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Angold4/WorkSpace/compass-ui/public/sheets/"/>
    </mc:Choice>
  </mc:AlternateContent>
  <xr:revisionPtr revIDLastSave="0" documentId="13_ncr:1_{AED817BF-D30C-9F43-AC63-8445D5142C08}" xr6:coauthVersionLast="47" xr6:coauthVersionMax="47" xr10:uidLastSave="{00000000-0000-0000-0000-000000000000}"/>
  <bookViews>
    <workbookView xWindow="0" yWindow="0" windowWidth="33600" windowHeight="21000" activeTab="1" xr2:uid="{00000000-000D-0000-FFFF-FFFF00000000}"/>
  </bookViews>
  <sheets>
    <sheet name="PnL" sheetId="1" r:id="rId1"/>
    <sheet name="PortPerf" sheetId="2" r:id="rId2"/>
    <sheet name="Trade Record by acct" sheetId="3" r:id="rId3"/>
    <sheet name="HistClsP" sheetId="7" r:id="rId4"/>
    <sheet name="PnLDetails" sheetId="8" r:id="rId5"/>
    <sheet name="Received Order Summary" sheetId="4" r:id="rId6"/>
    <sheet name="Rejected Order Summary" sheetId="5" r:id="rId7"/>
    <sheet name="Unfilled Order Summary" sheetId="6" r:id="rId8"/>
    <sheet name="Sheet Summary"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677" i="8" l="1"/>
  <c r="Y677" i="8"/>
  <c r="X677" i="8"/>
  <c r="W677" i="8"/>
  <c r="V677" i="8"/>
  <c r="U677" i="8"/>
  <c r="T677" i="8"/>
  <c r="S677" i="8"/>
  <c r="R677" i="8"/>
  <c r="P677" i="8"/>
  <c r="M677" i="8"/>
  <c r="L677" i="8"/>
  <c r="J677" i="8"/>
  <c r="I677" i="8"/>
  <c r="H677" i="8"/>
  <c r="G677" i="8"/>
  <c r="F677" i="8"/>
  <c r="E677" i="8"/>
  <c r="D677" i="8"/>
  <c r="C677" i="8"/>
  <c r="B677" i="8"/>
  <c r="A677" i="8"/>
  <c r="Z676" i="8"/>
  <c r="Y676" i="8"/>
  <c r="X676" i="8"/>
  <c r="W676" i="8"/>
  <c r="V676" i="8"/>
  <c r="U676" i="8"/>
  <c r="T676" i="8"/>
  <c r="S676" i="8"/>
  <c r="R676" i="8"/>
  <c r="P676" i="8"/>
  <c r="M676" i="8"/>
  <c r="L676" i="8"/>
  <c r="J676" i="8"/>
  <c r="I676" i="8"/>
  <c r="H676" i="8"/>
  <c r="G676" i="8"/>
  <c r="F676" i="8"/>
  <c r="E676" i="8"/>
  <c r="D676" i="8"/>
  <c r="C676" i="8"/>
  <c r="B676" i="8"/>
  <c r="A676" i="8"/>
  <c r="Z675" i="8"/>
  <c r="Y675" i="8"/>
  <c r="X675" i="8"/>
  <c r="W675" i="8"/>
  <c r="V675" i="8"/>
  <c r="U675" i="8"/>
  <c r="T675" i="8"/>
  <c r="S675" i="8"/>
  <c r="R675" i="8"/>
  <c r="P675" i="8"/>
  <c r="M675" i="8"/>
  <c r="L675" i="8"/>
  <c r="J675" i="8"/>
  <c r="I675" i="8"/>
  <c r="H675" i="8"/>
  <c r="G675" i="8"/>
  <c r="F675" i="8"/>
  <c r="E675" i="8"/>
  <c r="D675" i="8"/>
  <c r="C675" i="8"/>
  <c r="B675" i="8"/>
  <c r="A675" i="8"/>
  <c r="Z674" i="8"/>
  <c r="Y674" i="8"/>
  <c r="X674" i="8"/>
  <c r="W674" i="8"/>
  <c r="V674" i="8"/>
  <c r="U674" i="8"/>
  <c r="T674" i="8"/>
  <c r="S674" i="8"/>
  <c r="R674" i="8"/>
  <c r="P674" i="8"/>
  <c r="M674" i="8"/>
  <c r="L674" i="8"/>
  <c r="J674" i="8"/>
  <c r="I674" i="8"/>
  <c r="H674" i="8"/>
  <c r="G674" i="8"/>
  <c r="F674" i="8"/>
  <c r="E674" i="8"/>
  <c r="D674" i="8"/>
  <c r="C674" i="8"/>
  <c r="B674" i="8"/>
  <c r="A674" i="8"/>
  <c r="Z673" i="8"/>
  <c r="Y673" i="8"/>
  <c r="X673" i="8"/>
  <c r="W673" i="8"/>
  <c r="V673" i="8"/>
  <c r="U673" i="8"/>
  <c r="T673" i="8"/>
  <c r="S673" i="8"/>
  <c r="R673" i="8"/>
  <c r="P673" i="8"/>
  <c r="M673" i="8"/>
  <c r="L673" i="8"/>
  <c r="J673" i="8"/>
  <c r="I673" i="8"/>
  <c r="H673" i="8"/>
  <c r="G673" i="8"/>
  <c r="F673" i="8"/>
  <c r="E673" i="8"/>
  <c r="D673" i="8"/>
  <c r="C673" i="8"/>
  <c r="B673" i="8"/>
  <c r="A673" i="8"/>
  <c r="Z672" i="8"/>
  <c r="Y672" i="8"/>
  <c r="X672" i="8"/>
  <c r="W672" i="8"/>
  <c r="V672" i="8"/>
  <c r="U672" i="8"/>
  <c r="T672" i="8"/>
  <c r="S672" i="8"/>
  <c r="R672" i="8"/>
  <c r="P672" i="8"/>
  <c r="M672" i="8"/>
  <c r="L672" i="8"/>
  <c r="J672" i="8"/>
  <c r="I672" i="8"/>
  <c r="H672" i="8"/>
  <c r="G672" i="8"/>
  <c r="F672" i="8"/>
  <c r="E672" i="8"/>
  <c r="D672" i="8"/>
  <c r="C672" i="8"/>
  <c r="B672" i="8"/>
  <c r="A672" i="8"/>
  <c r="Z671" i="8"/>
  <c r="Y671" i="8"/>
  <c r="X671" i="8"/>
  <c r="W671" i="8"/>
  <c r="V671" i="8"/>
  <c r="U671" i="8"/>
  <c r="T671" i="8"/>
  <c r="S671" i="8"/>
  <c r="R671" i="8"/>
  <c r="P671" i="8"/>
  <c r="M671" i="8"/>
  <c r="L671" i="8"/>
  <c r="J671" i="8"/>
  <c r="I671" i="8"/>
  <c r="H671" i="8"/>
  <c r="G671" i="8"/>
  <c r="F671" i="8"/>
  <c r="E671" i="8"/>
  <c r="D671" i="8"/>
  <c r="C671" i="8"/>
  <c r="B671" i="8"/>
  <c r="A671" i="8"/>
  <c r="Z670" i="8"/>
  <c r="Y670" i="8"/>
  <c r="X670" i="8"/>
  <c r="W670" i="8"/>
  <c r="V670" i="8"/>
  <c r="U670" i="8"/>
  <c r="T670" i="8"/>
  <c r="S670" i="8"/>
  <c r="R670" i="8"/>
  <c r="P670" i="8"/>
  <c r="M670" i="8"/>
  <c r="L670" i="8"/>
  <c r="J670" i="8"/>
  <c r="I670" i="8"/>
  <c r="H670" i="8"/>
  <c r="G670" i="8"/>
  <c r="F670" i="8"/>
  <c r="E670" i="8"/>
  <c r="D670" i="8"/>
  <c r="C670" i="8"/>
  <c r="B670" i="8"/>
  <c r="A670" i="8"/>
  <c r="Z669" i="8"/>
  <c r="Y669" i="8"/>
  <c r="X669" i="8"/>
  <c r="W669" i="8"/>
  <c r="V669" i="8"/>
  <c r="U669" i="8"/>
  <c r="T669" i="8"/>
  <c r="S669" i="8"/>
  <c r="R669" i="8"/>
  <c r="P669" i="8"/>
  <c r="M669" i="8"/>
  <c r="L669" i="8"/>
  <c r="J669" i="8"/>
  <c r="I669" i="8"/>
  <c r="H669" i="8"/>
  <c r="G669" i="8"/>
  <c r="F669" i="8"/>
  <c r="E669" i="8"/>
  <c r="D669" i="8"/>
  <c r="C669" i="8"/>
  <c r="B669" i="8"/>
  <c r="A669" i="8"/>
  <c r="Z668" i="8"/>
  <c r="Y668" i="8"/>
  <c r="X668" i="8"/>
  <c r="W668" i="8"/>
  <c r="V668" i="8"/>
  <c r="U668" i="8"/>
  <c r="T668" i="8"/>
  <c r="S668" i="8"/>
  <c r="R668" i="8"/>
  <c r="P668" i="8"/>
  <c r="M668" i="8"/>
  <c r="L668" i="8"/>
  <c r="J668" i="8"/>
  <c r="I668" i="8"/>
  <c r="H668" i="8"/>
  <c r="G668" i="8"/>
  <c r="F668" i="8"/>
  <c r="E668" i="8"/>
  <c r="D668" i="8"/>
  <c r="C668" i="8"/>
  <c r="B668" i="8"/>
  <c r="A668" i="8"/>
  <c r="Z667" i="8"/>
  <c r="Y667" i="8"/>
  <c r="X667" i="8"/>
  <c r="W667" i="8"/>
  <c r="V667" i="8"/>
  <c r="U667" i="8"/>
  <c r="T667" i="8"/>
  <c r="S667" i="8"/>
  <c r="R667" i="8"/>
  <c r="P667" i="8"/>
  <c r="M667" i="8"/>
  <c r="L667" i="8"/>
  <c r="J667" i="8"/>
  <c r="I667" i="8"/>
  <c r="H667" i="8"/>
  <c r="G667" i="8"/>
  <c r="F667" i="8"/>
  <c r="E667" i="8"/>
  <c r="D667" i="8"/>
  <c r="C667" i="8"/>
  <c r="B667" i="8"/>
  <c r="A667" i="8"/>
  <c r="Z666" i="8"/>
  <c r="Y666" i="8"/>
  <c r="X666" i="8"/>
  <c r="W666" i="8"/>
  <c r="V666" i="8"/>
  <c r="U666" i="8"/>
  <c r="T666" i="8"/>
  <c r="S666" i="8"/>
  <c r="R666" i="8"/>
  <c r="P666" i="8"/>
  <c r="M666" i="8"/>
  <c r="L666" i="8"/>
  <c r="J666" i="8"/>
  <c r="I666" i="8"/>
  <c r="H666" i="8"/>
  <c r="G666" i="8"/>
  <c r="F666" i="8"/>
  <c r="E666" i="8"/>
  <c r="D666" i="8"/>
  <c r="C666" i="8"/>
  <c r="B666" i="8"/>
  <c r="A666" i="8"/>
  <c r="Z665" i="8"/>
  <c r="Y665" i="8"/>
  <c r="X665" i="8"/>
  <c r="W665" i="8"/>
  <c r="V665" i="8"/>
  <c r="U665" i="8"/>
  <c r="T665" i="8"/>
  <c r="S665" i="8"/>
  <c r="R665" i="8"/>
  <c r="P665" i="8"/>
  <c r="M665" i="8"/>
  <c r="L665" i="8"/>
  <c r="J665" i="8"/>
  <c r="I665" i="8"/>
  <c r="H665" i="8"/>
  <c r="G665" i="8"/>
  <c r="F665" i="8"/>
  <c r="E665" i="8"/>
  <c r="D665" i="8"/>
  <c r="C665" i="8"/>
  <c r="B665" i="8"/>
  <c r="A665" i="8"/>
  <c r="Z664" i="8"/>
  <c r="Y664" i="8"/>
  <c r="X664" i="8"/>
  <c r="W664" i="8"/>
  <c r="V664" i="8"/>
  <c r="U664" i="8"/>
  <c r="T664" i="8"/>
  <c r="S664" i="8"/>
  <c r="R664" i="8"/>
  <c r="P664" i="8"/>
  <c r="M664" i="8"/>
  <c r="L664" i="8"/>
  <c r="J664" i="8"/>
  <c r="I664" i="8"/>
  <c r="H664" i="8"/>
  <c r="G664" i="8"/>
  <c r="F664" i="8"/>
  <c r="E664" i="8"/>
  <c r="D664" i="8"/>
  <c r="C664" i="8"/>
  <c r="B664" i="8"/>
  <c r="A664" i="8"/>
  <c r="Z663" i="8"/>
  <c r="Y663" i="8"/>
  <c r="X663" i="8"/>
  <c r="W663" i="8"/>
  <c r="V663" i="8"/>
  <c r="U663" i="8"/>
  <c r="T663" i="8"/>
  <c r="S663" i="8"/>
  <c r="R663" i="8"/>
  <c r="P663" i="8"/>
  <c r="M663" i="8"/>
  <c r="L663" i="8"/>
  <c r="J663" i="8"/>
  <c r="I663" i="8"/>
  <c r="H663" i="8"/>
  <c r="G663" i="8"/>
  <c r="F663" i="8"/>
  <c r="E663" i="8"/>
  <c r="D663" i="8"/>
  <c r="C663" i="8"/>
  <c r="B663" i="8"/>
  <c r="A663" i="8"/>
  <c r="Z662" i="8"/>
  <c r="Y662" i="8"/>
  <c r="X662" i="8"/>
  <c r="W662" i="8"/>
  <c r="V662" i="8"/>
  <c r="U662" i="8"/>
  <c r="T662" i="8"/>
  <c r="S662" i="8"/>
  <c r="R662" i="8"/>
  <c r="P662" i="8"/>
  <c r="M662" i="8"/>
  <c r="L662" i="8"/>
  <c r="J662" i="8"/>
  <c r="I662" i="8"/>
  <c r="H662" i="8"/>
  <c r="G662" i="8"/>
  <c r="F662" i="8"/>
  <c r="E662" i="8"/>
  <c r="D662" i="8"/>
  <c r="C662" i="8"/>
  <c r="B662" i="8"/>
  <c r="A662" i="8"/>
  <c r="Z661" i="8"/>
  <c r="Y661" i="8"/>
  <c r="X661" i="8"/>
  <c r="W661" i="8"/>
  <c r="V661" i="8"/>
  <c r="U661" i="8"/>
  <c r="T661" i="8"/>
  <c r="S661" i="8"/>
  <c r="R661" i="8"/>
  <c r="P661" i="8"/>
  <c r="M661" i="8"/>
  <c r="L661" i="8"/>
  <c r="J661" i="8"/>
  <c r="I661" i="8"/>
  <c r="H661" i="8"/>
  <c r="G661" i="8"/>
  <c r="F661" i="8"/>
  <c r="E661" i="8"/>
  <c r="D661" i="8"/>
  <c r="C661" i="8"/>
  <c r="B661" i="8"/>
  <c r="A661" i="8"/>
  <c r="Z660" i="8"/>
  <c r="Y660" i="8"/>
  <c r="X660" i="8"/>
  <c r="W660" i="8"/>
  <c r="V660" i="8"/>
  <c r="U660" i="8"/>
  <c r="T660" i="8"/>
  <c r="S660" i="8"/>
  <c r="R660" i="8"/>
  <c r="P660" i="8"/>
  <c r="M660" i="8"/>
  <c r="L660" i="8"/>
  <c r="J660" i="8"/>
  <c r="I660" i="8"/>
  <c r="H660" i="8"/>
  <c r="G660" i="8"/>
  <c r="F660" i="8"/>
  <c r="E660" i="8"/>
  <c r="D660" i="8"/>
  <c r="C660" i="8"/>
  <c r="B660" i="8"/>
  <c r="A660" i="8"/>
  <c r="Z659" i="8"/>
  <c r="Y659" i="8"/>
  <c r="X659" i="8"/>
  <c r="W659" i="8"/>
  <c r="V659" i="8"/>
  <c r="U659" i="8"/>
  <c r="T659" i="8"/>
  <c r="S659" i="8"/>
  <c r="R659" i="8"/>
  <c r="P659" i="8"/>
  <c r="M659" i="8"/>
  <c r="L659" i="8"/>
  <c r="J659" i="8"/>
  <c r="I659" i="8"/>
  <c r="H659" i="8"/>
  <c r="G659" i="8"/>
  <c r="F659" i="8"/>
  <c r="E659" i="8"/>
  <c r="D659" i="8"/>
  <c r="C659" i="8"/>
  <c r="B659" i="8"/>
  <c r="A659" i="8"/>
  <c r="Z658" i="8"/>
  <c r="Y658" i="8"/>
  <c r="X658" i="8"/>
  <c r="W658" i="8"/>
  <c r="V658" i="8"/>
  <c r="U658" i="8"/>
  <c r="T658" i="8"/>
  <c r="S658" i="8"/>
  <c r="R658" i="8"/>
  <c r="P658" i="8"/>
  <c r="M658" i="8"/>
  <c r="L658" i="8"/>
  <c r="J658" i="8"/>
  <c r="I658" i="8"/>
  <c r="H658" i="8"/>
  <c r="G658" i="8"/>
  <c r="F658" i="8"/>
  <c r="E658" i="8"/>
  <c r="D658" i="8"/>
  <c r="C658" i="8"/>
  <c r="B658" i="8"/>
  <c r="A658" i="8"/>
  <c r="Z657" i="8"/>
  <c r="Y657" i="8"/>
  <c r="X657" i="8"/>
  <c r="W657" i="8"/>
  <c r="V657" i="8"/>
  <c r="U657" i="8"/>
  <c r="T657" i="8"/>
  <c r="S657" i="8"/>
  <c r="R657" i="8"/>
  <c r="P657" i="8"/>
  <c r="M657" i="8"/>
  <c r="L657" i="8"/>
  <c r="J657" i="8"/>
  <c r="I657" i="8"/>
  <c r="H657" i="8"/>
  <c r="G657" i="8"/>
  <c r="F657" i="8"/>
  <c r="E657" i="8"/>
  <c r="D657" i="8"/>
  <c r="C657" i="8"/>
  <c r="B657" i="8"/>
  <c r="A657" i="8"/>
  <c r="Z656" i="8"/>
  <c r="Y656" i="8"/>
  <c r="X656" i="8"/>
  <c r="W656" i="8"/>
  <c r="V656" i="8"/>
  <c r="U656" i="8"/>
  <c r="T656" i="8"/>
  <c r="S656" i="8"/>
  <c r="R656" i="8"/>
  <c r="P656" i="8"/>
  <c r="M656" i="8"/>
  <c r="L656" i="8"/>
  <c r="J656" i="8"/>
  <c r="I656" i="8"/>
  <c r="H656" i="8"/>
  <c r="G656" i="8"/>
  <c r="F656" i="8"/>
  <c r="E656" i="8"/>
  <c r="D656" i="8"/>
  <c r="C656" i="8"/>
  <c r="B656" i="8"/>
  <c r="A656" i="8"/>
  <c r="Z655" i="8"/>
  <c r="Y655" i="8"/>
  <c r="X655" i="8"/>
  <c r="W655" i="8"/>
  <c r="V655" i="8"/>
  <c r="U655" i="8"/>
  <c r="T655" i="8"/>
  <c r="S655" i="8"/>
  <c r="R655" i="8"/>
  <c r="P655" i="8"/>
  <c r="M655" i="8"/>
  <c r="L655" i="8"/>
  <c r="J655" i="8"/>
  <c r="I655" i="8"/>
  <c r="H655" i="8"/>
  <c r="G655" i="8"/>
  <c r="F655" i="8"/>
  <c r="E655" i="8"/>
  <c r="D655" i="8"/>
  <c r="C655" i="8"/>
  <c r="B655" i="8"/>
  <c r="A655" i="8"/>
  <c r="Z654" i="8"/>
  <c r="Y654" i="8"/>
  <c r="X654" i="8"/>
  <c r="W654" i="8"/>
  <c r="V654" i="8"/>
  <c r="U654" i="8"/>
  <c r="T654" i="8"/>
  <c r="S654" i="8"/>
  <c r="R654" i="8"/>
  <c r="P654" i="8"/>
  <c r="M654" i="8"/>
  <c r="L654" i="8"/>
  <c r="J654" i="8"/>
  <c r="I654" i="8"/>
  <c r="H654" i="8"/>
  <c r="G654" i="8"/>
  <c r="F654" i="8"/>
  <c r="E654" i="8"/>
  <c r="D654" i="8"/>
  <c r="C654" i="8"/>
  <c r="B654" i="8"/>
  <c r="A654" i="8"/>
  <c r="Z653" i="8"/>
  <c r="Y653" i="8"/>
  <c r="X653" i="8"/>
  <c r="W653" i="8"/>
  <c r="V653" i="8"/>
  <c r="U653" i="8"/>
  <c r="T653" i="8"/>
  <c r="S653" i="8"/>
  <c r="R653" i="8"/>
  <c r="P653" i="8"/>
  <c r="M653" i="8"/>
  <c r="L653" i="8"/>
  <c r="J653" i="8"/>
  <c r="I653" i="8"/>
  <c r="H653" i="8"/>
  <c r="G653" i="8"/>
  <c r="F653" i="8"/>
  <c r="E653" i="8"/>
  <c r="D653" i="8"/>
  <c r="C653" i="8"/>
  <c r="B653" i="8"/>
  <c r="A653" i="8"/>
  <c r="Z652" i="8"/>
  <c r="Y652" i="8"/>
  <c r="X652" i="8"/>
  <c r="W652" i="8"/>
  <c r="V652" i="8"/>
  <c r="U652" i="8"/>
  <c r="T652" i="8"/>
  <c r="S652" i="8"/>
  <c r="R652" i="8"/>
  <c r="P652" i="8"/>
  <c r="M652" i="8"/>
  <c r="L652" i="8"/>
  <c r="J652" i="8"/>
  <c r="I652" i="8"/>
  <c r="H652" i="8"/>
  <c r="G652" i="8"/>
  <c r="F652" i="8"/>
  <c r="E652" i="8"/>
  <c r="D652" i="8"/>
  <c r="C652" i="8"/>
  <c r="B652" i="8"/>
  <c r="A652" i="8"/>
  <c r="Z651" i="8"/>
  <c r="Y651" i="8"/>
  <c r="X651" i="8"/>
  <c r="W651" i="8"/>
  <c r="V651" i="8"/>
  <c r="U651" i="8"/>
  <c r="T651" i="8"/>
  <c r="S651" i="8"/>
  <c r="R651" i="8"/>
  <c r="P651" i="8"/>
  <c r="M651" i="8"/>
  <c r="L651" i="8"/>
  <c r="J651" i="8"/>
  <c r="I651" i="8"/>
  <c r="H651" i="8"/>
  <c r="G651" i="8"/>
  <c r="F651" i="8"/>
  <c r="E651" i="8"/>
  <c r="D651" i="8"/>
  <c r="C651" i="8"/>
  <c r="B651" i="8"/>
  <c r="A651" i="8"/>
  <c r="Z650" i="8"/>
  <c r="Y650" i="8"/>
  <c r="X650" i="8"/>
  <c r="W650" i="8"/>
  <c r="V650" i="8"/>
  <c r="U650" i="8"/>
  <c r="T650" i="8"/>
  <c r="S650" i="8"/>
  <c r="R650" i="8"/>
  <c r="P650" i="8"/>
  <c r="M650" i="8"/>
  <c r="L650" i="8"/>
  <c r="J650" i="8"/>
  <c r="I650" i="8"/>
  <c r="H650" i="8"/>
  <c r="G650" i="8"/>
  <c r="F650" i="8"/>
  <c r="E650" i="8"/>
  <c r="D650" i="8"/>
  <c r="C650" i="8"/>
  <c r="B650" i="8"/>
  <c r="A650" i="8"/>
  <c r="Z649" i="8"/>
  <c r="Y649" i="8"/>
  <c r="X649" i="8"/>
  <c r="W649" i="8"/>
  <c r="V649" i="8"/>
  <c r="U649" i="8"/>
  <c r="T649" i="8"/>
  <c r="S649" i="8"/>
  <c r="R649" i="8"/>
  <c r="P649" i="8"/>
  <c r="M649" i="8"/>
  <c r="L649" i="8"/>
  <c r="J649" i="8"/>
  <c r="I649" i="8"/>
  <c r="H649" i="8"/>
  <c r="G649" i="8"/>
  <c r="F649" i="8"/>
  <c r="E649" i="8"/>
  <c r="D649" i="8"/>
  <c r="C649" i="8"/>
  <c r="B649" i="8"/>
  <c r="A649" i="8"/>
  <c r="Z648" i="8"/>
  <c r="Y648" i="8"/>
  <c r="X648" i="8"/>
  <c r="W648" i="8"/>
  <c r="V648" i="8"/>
  <c r="U648" i="8"/>
  <c r="T648" i="8"/>
  <c r="S648" i="8"/>
  <c r="R648" i="8"/>
  <c r="P648" i="8"/>
  <c r="M648" i="8"/>
  <c r="L648" i="8"/>
  <c r="J648" i="8"/>
  <c r="I648" i="8"/>
  <c r="H648" i="8"/>
  <c r="G648" i="8"/>
  <c r="F648" i="8"/>
  <c r="E648" i="8"/>
  <c r="D648" i="8"/>
  <c r="C648" i="8"/>
  <c r="B648" i="8"/>
  <c r="A648" i="8"/>
  <c r="Z647" i="8"/>
  <c r="Y647" i="8"/>
  <c r="X647" i="8"/>
  <c r="W647" i="8"/>
  <c r="V647" i="8"/>
  <c r="U647" i="8"/>
  <c r="T647" i="8"/>
  <c r="S647" i="8"/>
  <c r="R647" i="8"/>
  <c r="P647" i="8"/>
  <c r="M647" i="8"/>
  <c r="L647" i="8"/>
  <c r="J647" i="8"/>
  <c r="I647" i="8"/>
  <c r="H647" i="8"/>
  <c r="G647" i="8"/>
  <c r="F647" i="8"/>
  <c r="E647" i="8"/>
  <c r="D647" i="8"/>
  <c r="C647" i="8"/>
  <c r="B647" i="8"/>
  <c r="A647" i="8"/>
  <c r="Z646" i="8"/>
  <c r="Y646" i="8"/>
  <c r="X646" i="8"/>
  <c r="W646" i="8"/>
  <c r="V646" i="8"/>
  <c r="U646" i="8"/>
  <c r="T646" i="8"/>
  <c r="S646" i="8"/>
  <c r="R646" i="8"/>
  <c r="P646" i="8"/>
  <c r="M646" i="8"/>
  <c r="L646" i="8"/>
  <c r="J646" i="8"/>
  <c r="I646" i="8"/>
  <c r="H646" i="8"/>
  <c r="G646" i="8"/>
  <c r="F646" i="8"/>
  <c r="E646" i="8"/>
  <c r="D646" i="8"/>
  <c r="C646" i="8"/>
  <c r="B646" i="8"/>
  <c r="A646" i="8"/>
  <c r="Z645" i="8"/>
  <c r="Y645" i="8"/>
  <c r="X645" i="8"/>
  <c r="W645" i="8"/>
  <c r="V645" i="8"/>
  <c r="U645" i="8"/>
  <c r="T645" i="8"/>
  <c r="S645" i="8"/>
  <c r="R645" i="8"/>
  <c r="P645" i="8"/>
  <c r="M645" i="8"/>
  <c r="L645" i="8"/>
  <c r="J645" i="8"/>
  <c r="I645" i="8"/>
  <c r="H645" i="8"/>
  <c r="G645" i="8"/>
  <c r="F645" i="8"/>
  <c r="E645" i="8"/>
  <c r="D645" i="8"/>
  <c r="C645" i="8"/>
  <c r="B645" i="8"/>
  <c r="A645" i="8"/>
  <c r="Z644" i="8"/>
  <c r="Y644" i="8"/>
  <c r="X644" i="8"/>
  <c r="W644" i="8"/>
  <c r="V644" i="8"/>
  <c r="U644" i="8"/>
  <c r="T644" i="8"/>
  <c r="S644" i="8"/>
  <c r="R644" i="8"/>
  <c r="P644" i="8"/>
  <c r="M644" i="8"/>
  <c r="L644" i="8"/>
  <c r="J644" i="8"/>
  <c r="I644" i="8"/>
  <c r="H644" i="8"/>
  <c r="G644" i="8"/>
  <c r="F644" i="8"/>
  <c r="E644" i="8"/>
  <c r="D644" i="8"/>
  <c r="C644" i="8"/>
  <c r="B644" i="8"/>
  <c r="A644" i="8"/>
  <c r="Z643" i="8"/>
  <c r="Y643" i="8"/>
  <c r="X643" i="8"/>
  <c r="W643" i="8"/>
  <c r="V643" i="8"/>
  <c r="U643" i="8"/>
  <c r="T643" i="8"/>
  <c r="S643" i="8"/>
  <c r="R643" i="8"/>
  <c r="P643" i="8"/>
  <c r="M643" i="8"/>
  <c r="L643" i="8"/>
  <c r="J643" i="8"/>
  <c r="I643" i="8"/>
  <c r="H643" i="8"/>
  <c r="G643" i="8"/>
  <c r="F643" i="8"/>
  <c r="E643" i="8"/>
  <c r="D643" i="8"/>
  <c r="C643" i="8"/>
  <c r="B643" i="8"/>
  <c r="A643" i="8"/>
  <c r="Z642" i="8"/>
  <c r="Y642" i="8"/>
  <c r="X642" i="8"/>
  <c r="W642" i="8"/>
  <c r="V642" i="8"/>
  <c r="U642" i="8"/>
  <c r="T642" i="8"/>
  <c r="S642" i="8"/>
  <c r="R642" i="8"/>
  <c r="P642" i="8"/>
  <c r="M642" i="8"/>
  <c r="L642" i="8"/>
  <c r="J642" i="8"/>
  <c r="I642" i="8"/>
  <c r="H642" i="8"/>
  <c r="G642" i="8"/>
  <c r="F642" i="8"/>
  <c r="E642" i="8"/>
  <c r="D642" i="8"/>
  <c r="C642" i="8"/>
  <c r="B642" i="8"/>
  <c r="A642" i="8"/>
  <c r="Z641" i="8"/>
  <c r="Y641" i="8"/>
  <c r="X641" i="8"/>
  <c r="W641" i="8"/>
  <c r="V641" i="8"/>
  <c r="U641" i="8"/>
  <c r="T641" i="8"/>
  <c r="S641" i="8"/>
  <c r="R641" i="8"/>
  <c r="P641" i="8"/>
  <c r="M641" i="8"/>
  <c r="L641" i="8"/>
  <c r="J641" i="8"/>
  <c r="I641" i="8"/>
  <c r="H641" i="8"/>
  <c r="G641" i="8"/>
  <c r="F641" i="8"/>
  <c r="E641" i="8"/>
  <c r="D641" i="8"/>
  <c r="C641" i="8"/>
  <c r="B641" i="8"/>
  <c r="A641" i="8"/>
  <c r="Z640" i="8"/>
  <c r="Y640" i="8"/>
  <c r="X640" i="8"/>
  <c r="W640" i="8"/>
  <c r="V640" i="8"/>
  <c r="U640" i="8"/>
  <c r="T640" i="8"/>
  <c r="S640" i="8"/>
  <c r="R640" i="8"/>
  <c r="P640" i="8"/>
  <c r="M640" i="8"/>
  <c r="L640" i="8"/>
  <c r="J640" i="8"/>
  <c r="I640" i="8"/>
  <c r="H640" i="8"/>
  <c r="G640" i="8"/>
  <c r="F640" i="8"/>
  <c r="E640" i="8"/>
  <c r="D640" i="8"/>
  <c r="C640" i="8"/>
  <c r="B640" i="8"/>
  <c r="A640" i="8"/>
  <c r="Z639" i="8"/>
  <c r="Y639" i="8"/>
  <c r="X639" i="8"/>
  <c r="W639" i="8"/>
  <c r="V639" i="8"/>
  <c r="U639" i="8"/>
  <c r="T639" i="8"/>
  <c r="S639" i="8"/>
  <c r="R639" i="8"/>
  <c r="P639" i="8"/>
  <c r="M639" i="8"/>
  <c r="L639" i="8"/>
  <c r="J639" i="8"/>
  <c r="I639" i="8"/>
  <c r="H639" i="8"/>
  <c r="G639" i="8"/>
  <c r="F639" i="8"/>
  <c r="E639" i="8"/>
  <c r="D639" i="8"/>
  <c r="C639" i="8"/>
  <c r="B639" i="8"/>
  <c r="A639" i="8"/>
  <c r="Z638" i="8"/>
  <c r="Y638" i="8"/>
  <c r="X638" i="8"/>
  <c r="W638" i="8"/>
  <c r="V638" i="8"/>
  <c r="U638" i="8"/>
  <c r="T638" i="8"/>
  <c r="S638" i="8"/>
  <c r="R638" i="8"/>
  <c r="P638" i="8"/>
  <c r="M638" i="8"/>
  <c r="L638" i="8"/>
  <c r="J638" i="8"/>
  <c r="I638" i="8"/>
  <c r="H638" i="8"/>
  <c r="G638" i="8"/>
  <c r="F638" i="8"/>
  <c r="E638" i="8"/>
  <c r="D638" i="8"/>
  <c r="C638" i="8"/>
  <c r="B638" i="8"/>
  <c r="A638" i="8"/>
  <c r="Z637" i="8"/>
  <c r="Y637" i="8"/>
  <c r="X637" i="8"/>
  <c r="W637" i="8"/>
  <c r="V637" i="8"/>
  <c r="U637" i="8"/>
  <c r="T637" i="8"/>
  <c r="S637" i="8"/>
  <c r="R637" i="8"/>
  <c r="P637" i="8"/>
  <c r="M637" i="8"/>
  <c r="L637" i="8"/>
  <c r="J637" i="8"/>
  <c r="I637" i="8"/>
  <c r="H637" i="8"/>
  <c r="G637" i="8"/>
  <c r="F637" i="8"/>
  <c r="E637" i="8"/>
  <c r="D637" i="8"/>
  <c r="C637" i="8"/>
  <c r="B637" i="8"/>
  <c r="A637" i="8"/>
  <c r="Z636" i="8"/>
  <c r="Y636" i="8"/>
  <c r="X636" i="8"/>
  <c r="W636" i="8"/>
  <c r="V636" i="8"/>
  <c r="U636" i="8"/>
  <c r="T636" i="8"/>
  <c r="S636" i="8"/>
  <c r="R636" i="8"/>
  <c r="P636" i="8"/>
  <c r="M636" i="8"/>
  <c r="L636" i="8"/>
  <c r="J636" i="8"/>
  <c r="I636" i="8"/>
  <c r="H636" i="8"/>
  <c r="G636" i="8"/>
  <c r="F636" i="8"/>
  <c r="E636" i="8"/>
  <c r="D636" i="8"/>
  <c r="C636" i="8"/>
  <c r="B636" i="8"/>
  <c r="A636" i="8"/>
  <c r="Z635" i="8"/>
  <c r="Y635" i="8"/>
  <c r="X635" i="8"/>
  <c r="W635" i="8"/>
  <c r="V635" i="8"/>
  <c r="U635" i="8"/>
  <c r="T635" i="8"/>
  <c r="S635" i="8"/>
  <c r="R635" i="8"/>
  <c r="P635" i="8"/>
  <c r="M635" i="8"/>
  <c r="L635" i="8"/>
  <c r="J635" i="8"/>
  <c r="I635" i="8"/>
  <c r="H635" i="8"/>
  <c r="G635" i="8"/>
  <c r="F635" i="8"/>
  <c r="E635" i="8"/>
  <c r="D635" i="8"/>
  <c r="C635" i="8"/>
  <c r="B635" i="8"/>
  <c r="A635" i="8"/>
  <c r="Z634" i="8"/>
  <c r="Y634" i="8"/>
  <c r="X634" i="8"/>
  <c r="W634" i="8"/>
  <c r="V634" i="8"/>
  <c r="U634" i="8"/>
  <c r="T634" i="8"/>
  <c r="S634" i="8"/>
  <c r="R634" i="8"/>
  <c r="P634" i="8"/>
  <c r="M634" i="8"/>
  <c r="L634" i="8"/>
  <c r="J634" i="8"/>
  <c r="I634" i="8"/>
  <c r="H634" i="8"/>
  <c r="G634" i="8"/>
  <c r="F634" i="8"/>
  <c r="E634" i="8"/>
  <c r="D634" i="8"/>
  <c r="C634" i="8"/>
  <c r="B634" i="8"/>
  <c r="A634" i="8"/>
  <c r="Z633" i="8"/>
  <c r="Y633" i="8"/>
  <c r="X633" i="8"/>
  <c r="W633" i="8"/>
  <c r="V633" i="8"/>
  <c r="U633" i="8"/>
  <c r="T633" i="8"/>
  <c r="S633" i="8"/>
  <c r="R633" i="8"/>
  <c r="P633" i="8"/>
  <c r="M633" i="8"/>
  <c r="L633" i="8"/>
  <c r="J633" i="8"/>
  <c r="I633" i="8"/>
  <c r="H633" i="8"/>
  <c r="G633" i="8"/>
  <c r="F633" i="8"/>
  <c r="E633" i="8"/>
  <c r="D633" i="8"/>
  <c r="C633" i="8"/>
  <c r="B633" i="8"/>
  <c r="A633" i="8"/>
  <c r="Z632" i="8"/>
  <c r="Y632" i="8"/>
  <c r="X632" i="8"/>
  <c r="W632" i="8"/>
  <c r="V632" i="8"/>
  <c r="U632" i="8"/>
  <c r="T632" i="8"/>
  <c r="S632" i="8"/>
  <c r="R632" i="8"/>
  <c r="P632" i="8"/>
  <c r="M632" i="8"/>
  <c r="L632" i="8"/>
  <c r="J632" i="8"/>
  <c r="I632" i="8"/>
  <c r="H632" i="8"/>
  <c r="G632" i="8"/>
  <c r="F632" i="8"/>
  <c r="E632" i="8"/>
  <c r="D632" i="8"/>
  <c r="C632" i="8"/>
  <c r="B632" i="8"/>
  <c r="A632" i="8"/>
  <c r="Z631" i="8"/>
  <c r="Y631" i="8"/>
  <c r="X631" i="8"/>
  <c r="W631" i="8"/>
  <c r="V631" i="8"/>
  <c r="U631" i="8"/>
  <c r="T631" i="8"/>
  <c r="S631" i="8"/>
  <c r="R631" i="8"/>
  <c r="P631" i="8"/>
  <c r="M631" i="8"/>
  <c r="L631" i="8"/>
  <c r="J631" i="8"/>
  <c r="I631" i="8"/>
  <c r="H631" i="8"/>
  <c r="G631" i="8"/>
  <c r="F631" i="8"/>
  <c r="E631" i="8"/>
  <c r="D631" i="8"/>
  <c r="C631" i="8"/>
  <c r="B631" i="8"/>
  <c r="A631" i="8"/>
  <c r="Z630" i="8"/>
  <c r="Y630" i="8"/>
  <c r="X630" i="8"/>
  <c r="W630" i="8"/>
  <c r="V630" i="8"/>
  <c r="U630" i="8"/>
  <c r="T630" i="8"/>
  <c r="S630" i="8"/>
  <c r="R630" i="8"/>
  <c r="P630" i="8"/>
  <c r="M630" i="8"/>
  <c r="L630" i="8"/>
  <c r="J630" i="8"/>
  <c r="I630" i="8"/>
  <c r="H630" i="8"/>
  <c r="G630" i="8"/>
  <c r="F630" i="8"/>
  <c r="E630" i="8"/>
  <c r="D630" i="8"/>
  <c r="C630" i="8"/>
  <c r="B630" i="8"/>
  <c r="A630" i="8"/>
  <c r="Z629" i="8"/>
  <c r="Y629" i="8"/>
  <c r="X629" i="8"/>
  <c r="W629" i="8"/>
  <c r="V629" i="8"/>
  <c r="U629" i="8"/>
  <c r="T629" i="8"/>
  <c r="S629" i="8"/>
  <c r="R629" i="8"/>
  <c r="P629" i="8"/>
  <c r="M629" i="8"/>
  <c r="L629" i="8"/>
  <c r="J629" i="8"/>
  <c r="I629" i="8"/>
  <c r="H629" i="8"/>
  <c r="G629" i="8"/>
  <c r="F629" i="8"/>
  <c r="E629" i="8"/>
  <c r="D629" i="8"/>
  <c r="C629" i="8"/>
  <c r="B629" i="8"/>
  <c r="A629" i="8"/>
  <c r="Z628" i="8"/>
  <c r="Y628" i="8"/>
  <c r="X628" i="8"/>
  <c r="W628" i="8"/>
  <c r="V628" i="8"/>
  <c r="U628" i="8"/>
  <c r="T628" i="8"/>
  <c r="S628" i="8"/>
  <c r="R628" i="8"/>
  <c r="P628" i="8"/>
  <c r="M628" i="8"/>
  <c r="L628" i="8"/>
  <c r="J628" i="8"/>
  <c r="I628" i="8"/>
  <c r="H628" i="8"/>
  <c r="G628" i="8"/>
  <c r="F628" i="8"/>
  <c r="E628" i="8"/>
  <c r="D628" i="8"/>
  <c r="C628" i="8"/>
  <c r="B628" i="8"/>
  <c r="A628" i="8"/>
  <c r="Z627" i="8"/>
  <c r="Y627" i="8"/>
  <c r="X627" i="8"/>
  <c r="W627" i="8"/>
  <c r="V627" i="8"/>
  <c r="U627" i="8"/>
  <c r="T627" i="8"/>
  <c r="S627" i="8"/>
  <c r="R627" i="8"/>
  <c r="P627" i="8"/>
  <c r="M627" i="8"/>
  <c r="L627" i="8"/>
  <c r="J627" i="8"/>
  <c r="I627" i="8"/>
  <c r="H627" i="8"/>
  <c r="G627" i="8"/>
  <c r="F627" i="8"/>
  <c r="E627" i="8"/>
  <c r="D627" i="8"/>
  <c r="C627" i="8"/>
  <c r="B627" i="8"/>
  <c r="A627" i="8"/>
  <c r="Z626" i="8"/>
  <c r="Y626" i="8"/>
  <c r="X626" i="8"/>
  <c r="W626" i="8"/>
  <c r="V626" i="8"/>
  <c r="U626" i="8"/>
  <c r="T626" i="8"/>
  <c r="S626" i="8"/>
  <c r="R626" i="8"/>
  <c r="P626" i="8"/>
  <c r="M626" i="8"/>
  <c r="L626" i="8"/>
  <c r="J626" i="8"/>
  <c r="I626" i="8"/>
  <c r="H626" i="8"/>
  <c r="G626" i="8"/>
  <c r="F626" i="8"/>
  <c r="E626" i="8"/>
  <c r="D626" i="8"/>
  <c r="C626" i="8"/>
  <c r="B626" i="8"/>
  <c r="A626" i="8"/>
  <c r="Z625" i="8"/>
  <c r="Y625" i="8"/>
  <c r="X625" i="8"/>
  <c r="W625" i="8"/>
  <c r="V625" i="8"/>
  <c r="U625" i="8"/>
  <c r="T625" i="8"/>
  <c r="S625" i="8"/>
  <c r="R625" i="8"/>
  <c r="P625" i="8"/>
  <c r="M625" i="8"/>
  <c r="L625" i="8"/>
  <c r="J625" i="8"/>
  <c r="I625" i="8"/>
  <c r="H625" i="8"/>
  <c r="G625" i="8"/>
  <c r="F625" i="8"/>
  <c r="E625" i="8"/>
  <c r="D625" i="8"/>
  <c r="C625" i="8"/>
  <c r="B625" i="8"/>
  <c r="A625" i="8"/>
  <c r="Z624" i="8"/>
  <c r="Y624" i="8"/>
  <c r="X624" i="8"/>
  <c r="W624" i="8"/>
  <c r="V624" i="8"/>
  <c r="U624" i="8"/>
  <c r="T624" i="8"/>
  <c r="S624" i="8"/>
  <c r="R624" i="8"/>
  <c r="P624" i="8"/>
  <c r="M624" i="8"/>
  <c r="L624" i="8"/>
  <c r="J624" i="8"/>
  <c r="I624" i="8"/>
  <c r="H624" i="8"/>
  <c r="G624" i="8"/>
  <c r="F624" i="8"/>
  <c r="E624" i="8"/>
  <c r="D624" i="8"/>
  <c r="C624" i="8"/>
  <c r="B624" i="8"/>
  <c r="A624" i="8"/>
  <c r="Z623" i="8"/>
  <c r="Y623" i="8"/>
  <c r="X623" i="8"/>
  <c r="W623" i="8"/>
  <c r="V623" i="8"/>
  <c r="U623" i="8"/>
  <c r="T623" i="8"/>
  <c r="S623" i="8"/>
  <c r="R623" i="8"/>
  <c r="P623" i="8"/>
  <c r="M623" i="8"/>
  <c r="L623" i="8"/>
  <c r="J623" i="8"/>
  <c r="I623" i="8"/>
  <c r="H623" i="8"/>
  <c r="G623" i="8"/>
  <c r="F623" i="8"/>
  <c r="E623" i="8"/>
  <c r="D623" i="8"/>
  <c r="C623" i="8"/>
  <c r="B623" i="8"/>
  <c r="A623" i="8"/>
  <c r="Z622" i="8"/>
  <c r="Y622" i="8"/>
  <c r="X622" i="8"/>
  <c r="W622" i="8"/>
  <c r="V622" i="8"/>
  <c r="U622" i="8"/>
  <c r="T622" i="8"/>
  <c r="S622" i="8"/>
  <c r="R622" i="8"/>
  <c r="P622" i="8"/>
  <c r="M622" i="8"/>
  <c r="L622" i="8"/>
  <c r="J622" i="8"/>
  <c r="I622" i="8"/>
  <c r="H622" i="8"/>
  <c r="G622" i="8"/>
  <c r="F622" i="8"/>
  <c r="E622" i="8"/>
  <c r="D622" i="8"/>
  <c r="C622" i="8"/>
  <c r="B622" i="8"/>
  <c r="A622" i="8"/>
  <c r="Z621" i="8"/>
  <c r="Y621" i="8"/>
  <c r="X621" i="8"/>
  <c r="W621" i="8"/>
  <c r="V621" i="8"/>
  <c r="U621" i="8"/>
  <c r="T621" i="8"/>
  <c r="S621" i="8"/>
  <c r="R621" i="8"/>
  <c r="P621" i="8"/>
  <c r="M621" i="8"/>
  <c r="L621" i="8"/>
  <c r="J621" i="8"/>
  <c r="I621" i="8"/>
  <c r="H621" i="8"/>
  <c r="G621" i="8"/>
  <c r="F621" i="8"/>
  <c r="E621" i="8"/>
  <c r="D621" i="8"/>
  <c r="C621" i="8"/>
  <c r="B621" i="8"/>
  <c r="A621" i="8"/>
  <c r="Z620" i="8"/>
  <c r="Y620" i="8"/>
  <c r="X620" i="8"/>
  <c r="W620" i="8"/>
  <c r="V620" i="8"/>
  <c r="U620" i="8"/>
  <c r="T620" i="8"/>
  <c r="S620" i="8"/>
  <c r="R620" i="8"/>
  <c r="P620" i="8"/>
  <c r="M620" i="8"/>
  <c r="L620" i="8"/>
  <c r="J620" i="8"/>
  <c r="I620" i="8"/>
  <c r="H620" i="8"/>
  <c r="G620" i="8"/>
  <c r="F620" i="8"/>
  <c r="E620" i="8"/>
  <c r="D620" i="8"/>
  <c r="C620" i="8"/>
  <c r="B620" i="8"/>
  <c r="A620" i="8"/>
  <c r="Z619" i="8"/>
  <c r="Y619" i="8"/>
  <c r="X619" i="8"/>
  <c r="W619" i="8"/>
  <c r="V619" i="8"/>
  <c r="U619" i="8"/>
  <c r="T619" i="8"/>
  <c r="S619" i="8"/>
  <c r="R619" i="8"/>
  <c r="P619" i="8"/>
  <c r="M619" i="8"/>
  <c r="L619" i="8"/>
  <c r="J619" i="8"/>
  <c r="I619" i="8"/>
  <c r="H619" i="8"/>
  <c r="G619" i="8"/>
  <c r="F619" i="8"/>
  <c r="E619" i="8"/>
  <c r="D619" i="8"/>
  <c r="C619" i="8"/>
  <c r="B619" i="8"/>
  <c r="A619" i="8"/>
  <c r="Z618" i="8"/>
  <c r="Y618" i="8"/>
  <c r="X618" i="8"/>
  <c r="W618" i="8"/>
  <c r="V618" i="8"/>
  <c r="U618" i="8"/>
  <c r="T618" i="8"/>
  <c r="S618" i="8"/>
  <c r="R618" i="8"/>
  <c r="P618" i="8"/>
  <c r="M618" i="8"/>
  <c r="L618" i="8"/>
  <c r="J618" i="8"/>
  <c r="I618" i="8"/>
  <c r="H618" i="8"/>
  <c r="G618" i="8"/>
  <c r="F618" i="8"/>
  <c r="E618" i="8"/>
  <c r="D618" i="8"/>
  <c r="C618" i="8"/>
  <c r="B618" i="8"/>
  <c r="A618" i="8"/>
  <c r="Z617" i="8"/>
  <c r="Y617" i="8"/>
  <c r="X617" i="8"/>
  <c r="W617" i="8"/>
  <c r="V617" i="8"/>
  <c r="U617" i="8"/>
  <c r="T617" i="8"/>
  <c r="S617" i="8"/>
  <c r="R617" i="8"/>
  <c r="P617" i="8"/>
  <c r="M617" i="8"/>
  <c r="L617" i="8"/>
  <c r="J617" i="8"/>
  <c r="I617" i="8"/>
  <c r="H617" i="8"/>
  <c r="G617" i="8"/>
  <c r="F617" i="8"/>
  <c r="E617" i="8"/>
  <c r="D617" i="8"/>
  <c r="C617" i="8"/>
  <c r="B617" i="8"/>
  <c r="A617" i="8"/>
  <c r="Z616" i="8"/>
  <c r="Y616" i="8"/>
  <c r="X616" i="8"/>
  <c r="W616" i="8"/>
  <c r="V616" i="8"/>
  <c r="U616" i="8"/>
  <c r="T616" i="8"/>
  <c r="S616" i="8"/>
  <c r="R616" i="8"/>
  <c r="P616" i="8"/>
  <c r="M616" i="8"/>
  <c r="L616" i="8"/>
  <c r="J616" i="8"/>
  <c r="I616" i="8"/>
  <c r="H616" i="8"/>
  <c r="G616" i="8"/>
  <c r="F616" i="8"/>
  <c r="E616" i="8"/>
  <c r="D616" i="8"/>
  <c r="C616" i="8"/>
  <c r="B616" i="8"/>
  <c r="A616" i="8"/>
  <c r="Z615" i="8"/>
  <c r="Y615" i="8"/>
  <c r="X615" i="8"/>
  <c r="W615" i="8"/>
  <c r="V615" i="8"/>
  <c r="U615" i="8"/>
  <c r="T615" i="8"/>
  <c r="S615" i="8"/>
  <c r="R615" i="8"/>
  <c r="P615" i="8"/>
  <c r="M615" i="8"/>
  <c r="L615" i="8"/>
  <c r="J615" i="8"/>
  <c r="I615" i="8"/>
  <c r="H615" i="8"/>
  <c r="G615" i="8"/>
  <c r="F615" i="8"/>
  <c r="E615" i="8"/>
  <c r="D615" i="8"/>
  <c r="C615" i="8"/>
  <c r="B615" i="8"/>
  <c r="A615" i="8"/>
  <c r="Z614" i="8"/>
  <c r="Y614" i="8"/>
  <c r="X614" i="8"/>
  <c r="W614" i="8"/>
  <c r="V614" i="8"/>
  <c r="U614" i="8"/>
  <c r="T614" i="8"/>
  <c r="S614" i="8"/>
  <c r="R614" i="8"/>
  <c r="P614" i="8"/>
  <c r="M614" i="8"/>
  <c r="L614" i="8"/>
  <c r="J614" i="8"/>
  <c r="I614" i="8"/>
  <c r="H614" i="8"/>
  <c r="G614" i="8"/>
  <c r="F614" i="8"/>
  <c r="E614" i="8"/>
  <c r="D614" i="8"/>
  <c r="C614" i="8"/>
  <c r="B614" i="8"/>
  <c r="A614" i="8"/>
  <c r="Z613" i="8"/>
  <c r="Y613" i="8"/>
  <c r="X613" i="8"/>
  <c r="W613" i="8"/>
  <c r="V613" i="8"/>
  <c r="U613" i="8"/>
  <c r="T613" i="8"/>
  <c r="S613" i="8"/>
  <c r="R613" i="8"/>
  <c r="P613" i="8"/>
  <c r="M613" i="8"/>
  <c r="L613" i="8"/>
  <c r="J613" i="8"/>
  <c r="I613" i="8"/>
  <c r="H613" i="8"/>
  <c r="G613" i="8"/>
  <c r="F613" i="8"/>
  <c r="E613" i="8"/>
  <c r="D613" i="8"/>
  <c r="C613" i="8"/>
  <c r="B613" i="8"/>
  <c r="A613" i="8"/>
  <c r="Z612" i="8"/>
  <c r="Y612" i="8"/>
  <c r="X612" i="8"/>
  <c r="W612" i="8"/>
  <c r="V612" i="8"/>
  <c r="U612" i="8"/>
  <c r="T612" i="8"/>
  <c r="S612" i="8"/>
  <c r="R612" i="8"/>
  <c r="P612" i="8"/>
  <c r="M612" i="8"/>
  <c r="L612" i="8"/>
  <c r="J612" i="8"/>
  <c r="I612" i="8"/>
  <c r="H612" i="8"/>
  <c r="G612" i="8"/>
  <c r="F612" i="8"/>
  <c r="E612" i="8"/>
  <c r="D612" i="8"/>
  <c r="C612" i="8"/>
  <c r="B612" i="8"/>
  <c r="A612" i="8"/>
  <c r="Z611" i="8"/>
  <c r="Y611" i="8"/>
  <c r="X611" i="8"/>
  <c r="W611" i="8"/>
  <c r="V611" i="8"/>
  <c r="U611" i="8"/>
  <c r="T611" i="8"/>
  <c r="S611" i="8"/>
  <c r="R611" i="8"/>
  <c r="P611" i="8"/>
  <c r="M611" i="8"/>
  <c r="L611" i="8"/>
  <c r="J611" i="8"/>
  <c r="I611" i="8"/>
  <c r="H611" i="8"/>
  <c r="G611" i="8"/>
  <c r="F611" i="8"/>
  <c r="E611" i="8"/>
  <c r="D611" i="8"/>
  <c r="C611" i="8"/>
  <c r="B611" i="8"/>
  <c r="A611" i="8"/>
  <c r="Z610" i="8"/>
  <c r="Y610" i="8"/>
  <c r="X610" i="8"/>
  <c r="W610" i="8"/>
  <c r="V610" i="8"/>
  <c r="U610" i="8"/>
  <c r="T610" i="8"/>
  <c r="S610" i="8"/>
  <c r="R610" i="8"/>
  <c r="P610" i="8"/>
  <c r="M610" i="8"/>
  <c r="L610" i="8"/>
  <c r="J610" i="8"/>
  <c r="I610" i="8"/>
  <c r="H610" i="8"/>
  <c r="G610" i="8"/>
  <c r="F610" i="8"/>
  <c r="E610" i="8"/>
  <c r="D610" i="8"/>
  <c r="C610" i="8"/>
  <c r="B610" i="8"/>
  <c r="A610" i="8"/>
  <c r="Z609" i="8"/>
  <c r="Y609" i="8"/>
  <c r="X609" i="8"/>
  <c r="W609" i="8"/>
  <c r="V609" i="8"/>
  <c r="U609" i="8"/>
  <c r="T609" i="8"/>
  <c r="S609" i="8"/>
  <c r="R609" i="8"/>
  <c r="P609" i="8"/>
  <c r="M609" i="8"/>
  <c r="L609" i="8"/>
  <c r="J609" i="8"/>
  <c r="I609" i="8"/>
  <c r="H609" i="8"/>
  <c r="G609" i="8"/>
  <c r="F609" i="8"/>
  <c r="E609" i="8"/>
  <c r="D609" i="8"/>
  <c r="C609" i="8"/>
  <c r="B609" i="8"/>
  <c r="A609" i="8"/>
  <c r="Z608" i="8"/>
  <c r="Y608" i="8"/>
  <c r="X608" i="8"/>
  <c r="W608" i="8"/>
  <c r="V608" i="8"/>
  <c r="U608" i="8"/>
  <c r="T608" i="8"/>
  <c r="S608" i="8"/>
  <c r="R608" i="8"/>
  <c r="P608" i="8"/>
  <c r="M608" i="8"/>
  <c r="L608" i="8"/>
  <c r="J608" i="8"/>
  <c r="I608" i="8"/>
  <c r="H608" i="8"/>
  <c r="G608" i="8"/>
  <c r="F608" i="8"/>
  <c r="E608" i="8"/>
  <c r="D608" i="8"/>
  <c r="C608" i="8"/>
  <c r="B608" i="8"/>
  <c r="A608" i="8"/>
  <c r="Z607" i="8"/>
  <c r="Y607" i="8"/>
  <c r="X607" i="8"/>
  <c r="W607" i="8"/>
  <c r="V607" i="8"/>
  <c r="U607" i="8"/>
  <c r="T607" i="8"/>
  <c r="S607" i="8"/>
  <c r="R607" i="8"/>
  <c r="P607" i="8"/>
  <c r="M607" i="8"/>
  <c r="L607" i="8"/>
  <c r="J607" i="8"/>
  <c r="I607" i="8"/>
  <c r="H607" i="8"/>
  <c r="G607" i="8"/>
  <c r="F607" i="8"/>
  <c r="E607" i="8"/>
  <c r="D607" i="8"/>
  <c r="C607" i="8"/>
  <c r="B607" i="8"/>
  <c r="A607" i="8"/>
  <c r="Z606" i="8"/>
  <c r="Y606" i="8"/>
  <c r="X606" i="8"/>
  <c r="W606" i="8"/>
  <c r="V606" i="8"/>
  <c r="U606" i="8"/>
  <c r="T606" i="8"/>
  <c r="S606" i="8"/>
  <c r="R606" i="8"/>
  <c r="P606" i="8"/>
  <c r="M606" i="8"/>
  <c r="L606" i="8"/>
  <c r="J606" i="8"/>
  <c r="I606" i="8"/>
  <c r="H606" i="8"/>
  <c r="G606" i="8"/>
  <c r="F606" i="8"/>
  <c r="E606" i="8"/>
  <c r="D606" i="8"/>
  <c r="C606" i="8"/>
  <c r="B606" i="8"/>
  <c r="A606" i="8"/>
  <c r="Z605" i="8"/>
  <c r="Y605" i="8"/>
  <c r="X605" i="8"/>
  <c r="W605" i="8"/>
  <c r="V605" i="8"/>
  <c r="U605" i="8"/>
  <c r="T605" i="8"/>
  <c r="S605" i="8"/>
  <c r="R605" i="8"/>
  <c r="P605" i="8"/>
  <c r="M605" i="8"/>
  <c r="L605" i="8"/>
  <c r="J605" i="8"/>
  <c r="I605" i="8"/>
  <c r="H605" i="8"/>
  <c r="G605" i="8"/>
  <c r="F605" i="8"/>
  <c r="E605" i="8"/>
  <c r="D605" i="8"/>
  <c r="C605" i="8"/>
  <c r="B605" i="8"/>
  <c r="A605" i="8"/>
  <c r="Z604" i="8"/>
  <c r="Y604" i="8"/>
  <c r="X604" i="8"/>
  <c r="W604" i="8"/>
  <c r="V604" i="8"/>
  <c r="U604" i="8"/>
  <c r="T604" i="8"/>
  <c r="S604" i="8"/>
  <c r="R604" i="8"/>
  <c r="P604" i="8"/>
  <c r="M604" i="8"/>
  <c r="L604" i="8"/>
  <c r="J604" i="8"/>
  <c r="I604" i="8"/>
  <c r="H604" i="8"/>
  <c r="G604" i="8"/>
  <c r="F604" i="8"/>
  <c r="E604" i="8"/>
  <c r="D604" i="8"/>
  <c r="C604" i="8"/>
  <c r="B604" i="8"/>
  <c r="A604" i="8"/>
  <c r="Z603" i="8"/>
  <c r="Y603" i="8"/>
  <c r="X603" i="8"/>
  <c r="W603" i="8"/>
  <c r="V603" i="8"/>
  <c r="U603" i="8"/>
  <c r="T603" i="8"/>
  <c r="S603" i="8"/>
  <c r="R603" i="8"/>
  <c r="P603" i="8"/>
  <c r="M603" i="8"/>
  <c r="L603" i="8"/>
  <c r="J603" i="8"/>
  <c r="I603" i="8"/>
  <c r="H603" i="8"/>
  <c r="G603" i="8"/>
  <c r="F603" i="8"/>
  <c r="E603" i="8"/>
  <c r="D603" i="8"/>
  <c r="C603" i="8"/>
  <c r="B603" i="8"/>
  <c r="A603" i="8"/>
  <c r="Z602" i="8"/>
  <c r="Y602" i="8"/>
  <c r="X602" i="8"/>
  <c r="W602" i="8"/>
  <c r="V602" i="8"/>
  <c r="U602" i="8"/>
  <c r="T602" i="8"/>
  <c r="S602" i="8"/>
  <c r="R602" i="8"/>
  <c r="P602" i="8"/>
  <c r="M602" i="8"/>
  <c r="L602" i="8"/>
  <c r="J602" i="8"/>
  <c r="I602" i="8"/>
  <c r="H602" i="8"/>
  <c r="G602" i="8"/>
  <c r="F602" i="8"/>
  <c r="E602" i="8"/>
  <c r="D602" i="8"/>
  <c r="C602" i="8"/>
  <c r="B602" i="8"/>
  <c r="A602" i="8"/>
  <c r="Z601" i="8"/>
  <c r="Y601" i="8"/>
  <c r="X601" i="8"/>
  <c r="W601" i="8"/>
  <c r="V601" i="8"/>
  <c r="U601" i="8"/>
  <c r="T601" i="8"/>
  <c r="S601" i="8"/>
  <c r="R601" i="8"/>
  <c r="P601" i="8"/>
  <c r="M601" i="8"/>
  <c r="L601" i="8"/>
  <c r="J601" i="8"/>
  <c r="I601" i="8"/>
  <c r="H601" i="8"/>
  <c r="G601" i="8"/>
  <c r="F601" i="8"/>
  <c r="E601" i="8"/>
  <c r="D601" i="8"/>
  <c r="C601" i="8"/>
  <c r="B601" i="8"/>
  <c r="A601" i="8"/>
  <c r="Z600" i="8"/>
  <c r="Y600" i="8"/>
  <c r="X600" i="8"/>
  <c r="W600" i="8"/>
  <c r="V600" i="8"/>
  <c r="U600" i="8"/>
  <c r="T600" i="8"/>
  <c r="S600" i="8"/>
  <c r="R600" i="8"/>
  <c r="P600" i="8"/>
  <c r="M600" i="8"/>
  <c r="L600" i="8"/>
  <c r="J600" i="8"/>
  <c r="I600" i="8"/>
  <c r="H600" i="8"/>
  <c r="G600" i="8"/>
  <c r="F600" i="8"/>
  <c r="E600" i="8"/>
  <c r="D600" i="8"/>
  <c r="C600" i="8"/>
  <c r="B600" i="8"/>
  <c r="A600" i="8"/>
  <c r="Z599" i="8"/>
  <c r="Y599" i="8"/>
  <c r="X599" i="8"/>
  <c r="W599" i="8"/>
  <c r="V599" i="8"/>
  <c r="U599" i="8"/>
  <c r="T599" i="8"/>
  <c r="S599" i="8"/>
  <c r="R599" i="8"/>
  <c r="P599" i="8"/>
  <c r="M599" i="8"/>
  <c r="L599" i="8"/>
  <c r="J599" i="8"/>
  <c r="I599" i="8"/>
  <c r="H599" i="8"/>
  <c r="G599" i="8"/>
  <c r="F599" i="8"/>
  <c r="E599" i="8"/>
  <c r="D599" i="8"/>
  <c r="C599" i="8"/>
  <c r="B599" i="8"/>
  <c r="A599" i="8"/>
  <c r="Z598" i="8"/>
  <c r="Y598" i="8"/>
  <c r="X598" i="8"/>
  <c r="W598" i="8"/>
  <c r="V598" i="8"/>
  <c r="U598" i="8"/>
  <c r="T598" i="8"/>
  <c r="S598" i="8"/>
  <c r="R598" i="8"/>
  <c r="P598" i="8"/>
  <c r="M598" i="8"/>
  <c r="L598" i="8"/>
  <c r="J598" i="8"/>
  <c r="I598" i="8"/>
  <c r="H598" i="8"/>
  <c r="G598" i="8"/>
  <c r="F598" i="8"/>
  <c r="E598" i="8"/>
  <c r="D598" i="8"/>
  <c r="C598" i="8"/>
  <c r="B598" i="8"/>
  <c r="A598" i="8"/>
  <c r="Z597" i="8"/>
  <c r="Y597" i="8"/>
  <c r="X597" i="8"/>
  <c r="W597" i="8"/>
  <c r="V597" i="8"/>
  <c r="U597" i="8"/>
  <c r="T597" i="8"/>
  <c r="S597" i="8"/>
  <c r="R597" i="8"/>
  <c r="P597" i="8"/>
  <c r="M597" i="8"/>
  <c r="L597" i="8"/>
  <c r="J597" i="8"/>
  <c r="I597" i="8"/>
  <c r="H597" i="8"/>
  <c r="G597" i="8"/>
  <c r="F597" i="8"/>
  <c r="E597" i="8"/>
  <c r="D597" i="8"/>
  <c r="C597" i="8"/>
  <c r="B597" i="8"/>
  <c r="A597" i="8"/>
  <c r="Z596" i="8"/>
  <c r="Y596" i="8"/>
  <c r="X596" i="8"/>
  <c r="W596" i="8"/>
  <c r="V596" i="8"/>
  <c r="U596" i="8"/>
  <c r="T596" i="8"/>
  <c r="S596" i="8"/>
  <c r="R596" i="8"/>
  <c r="P596" i="8"/>
  <c r="M596" i="8"/>
  <c r="L596" i="8"/>
  <c r="J596" i="8"/>
  <c r="I596" i="8"/>
  <c r="H596" i="8"/>
  <c r="G596" i="8"/>
  <c r="F596" i="8"/>
  <c r="E596" i="8"/>
  <c r="D596" i="8"/>
  <c r="C596" i="8"/>
  <c r="B596" i="8"/>
  <c r="A596" i="8"/>
  <c r="Z595" i="8"/>
  <c r="Y595" i="8"/>
  <c r="X595" i="8"/>
  <c r="W595" i="8"/>
  <c r="V595" i="8"/>
  <c r="U595" i="8"/>
  <c r="T595" i="8"/>
  <c r="S595" i="8"/>
  <c r="R595" i="8"/>
  <c r="P595" i="8"/>
  <c r="M595" i="8"/>
  <c r="L595" i="8"/>
  <c r="J595" i="8"/>
  <c r="I595" i="8"/>
  <c r="H595" i="8"/>
  <c r="G595" i="8"/>
  <c r="F595" i="8"/>
  <c r="E595" i="8"/>
  <c r="D595" i="8"/>
  <c r="C595" i="8"/>
  <c r="B595" i="8"/>
  <c r="A595" i="8"/>
  <c r="Z594" i="8"/>
  <c r="Y594" i="8"/>
  <c r="X594" i="8"/>
  <c r="W594" i="8"/>
  <c r="V594" i="8"/>
  <c r="U594" i="8"/>
  <c r="T594" i="8"/>
  <c r="S594" i="8"/>
  <c r="R594" i="8"/>
  <c r="P594" i="8"/>
  <c r="M594" i="8"/>
  <c r="L594" i="8"/>
  <c r="J594" i="8"/>
  <c r="I594" i="8"/>
  <c r="H594" i="8"/>
  <c r="G594" i="8"/>
  <c r="F594" i="8"/>
  <c r="E594" i="8"/>
  <c r="D594" i="8"/>
  <c r="C594" i="8"/>
  <c r="B594" i="8"/>
  <c r="A594" i="8"/>
  <c r="Z593" i="8"/>
  <c r="Y593" i="8"/>
  <c r="X593" i="8"/>
  <c r="W593" i="8"/>
  <c r="V593" i="8"/>
  <c r="U593" i="8"/>
  <c r="T593" i="8"/>
  <c r="S593" i="8"/>
  <c r="R593" i="8"/>
  <c r="P593" i="8"/>
  <c r="M593" i="8"/>
  <c r="L593" i="8"/>
  <c r="J593" i="8"/>
  <c r="I593" i="8"/>
  <c r="H593" i="8"/>
  <c r="G593" i="8"/>
  <c r="F593" i="8"/>
  <c r="E593" i="8"/>
  <c r="D593" i="8"/>
  <c r="C593" i="8"/>
  <c r="B593" i="8"/>
  <c r="A593" i="8"/>
  <c r="Z592" i="8"/>
  <c r="Y592" i="8"/>
  <c r="X592" i="8"/>
  <c r="W592" i="8"/>
  <c r="V592" i="8"/>
  <c r="U592" i="8"/>
  <c r="T592" i="8"/>
  <c r="S592" i="8"/>
  <c r="R592" i="8"/>
  <c r="P592" i="8"/>
  <c r="M592" i="8"/>
  <c r="L592" i="8"/>
  <c r="J592" i="8"/>
  <c r="I592" i="8"/>
  <c r="H592" i="8"/>
  <c r="G592" i="8"/>
  <c r="F592" i="8"/>
  <c r="E592" i="8"/>
  <c r="D592" i="8"/>
  <c r="C592" i="8"/>
  <c r="B592" i="8"/>
  <c r="A592" i="8"/>
  <c r="Z591" i="8"/>
  <c r="Y591" i="8"/>
  <c r="X591" i="8"/>
  <c r="W591" i="8"/>
  <c r="V591" i="8"/>
  <c r="U591" i="8"/>
  <c r="T591" i="8"/>
  <c r="S591" i="8"/>
  <c r="R591" i="8"/>
  <c r="P591" i="8"/>
  <c r="M591" i="8"/>
  <c r="L591" i="8"/>
  <c r="J591" i="8"/>
  <c r="I591" i="8"/>
  <c r="H591" i="8"/>
  <c r="G591" i="8"/>
  <c r="F591" i="8"/>
  <c r="E591" i="8"/>
  <c r="D591" i="8"/>
  <c r="C591" i="8"/>
  <c r="B591" i="8"/>
  <c r="A591" i="8"/>
  <c r="Z590" i="8"/>
  <c r="Y590" i="8"/>
  <c r="X590" i="8"/>
  <c r="W590" i="8"/>
  <c r="V590" i="8"/>
  <c r="U590" i="8"/>
  <c r="T590" i="8"/>
  <c r="S590" i="8"/>
  <c r="R590" i="8"/>
  <c r="P590" i="8"/>
  <c r="M590" i="8"/>
  <c r="L590" i="8"/>
  <c r="J590" i="8"/>
  <c r="I590" i="8"/>
  <c r="H590" i="8"/>
  <c r="G590" i="8"/>
  <c r="F590" i="8"/>
  <c r="E590" i="8"/>
  <c r="D590" i="8"/>
  <c r="C590" i="8"/>
  <c r="B590" i="8"/>
  <c r="A590" i="8"/>
  <c r="Z589" i="8"/>
  <c r="Y589" i="8"/>
  <c r="X589" i="8"/>
  <c r="W589" i="8"/>
  <c r="V589" i="8"/>
  <c r="U589" i="8"/>
  <c r="T589" i="8"/>
  <c r="S589" i="8"/>
  <c r="R589" i="8"/>
  <c r="P589" i="8"/>
  <c r="M589" i="8"/>
  <c r="L589" i="8"/>
  <c r="J589" i="8"/>
  <c r="I589" i="8"/>
  <c r="H589" i="8"/>
  <c r="G589" i="8"/>
  <c r="F589" i="8"/>
  <c r="E589" i="8"/>
  <c r="D589" i="8"/>
  <c r="C589" i="8"/>
  <c r="B589" i="8"/>
  <c r="A589" i="8"/>
  <c r="Z588" i="8"/>
  <c r="Y588" i="8"/>
  <c r="X588" i="8"/>
  <c r="W588" i="8"/>
  <c r="V588" i="8"/>
  <c r="U588" i="8"/>
  <c r="T588" i="8"/>
  <c r="S588" i="8"/>
  <c r="R588" i="8"/>
  <c r="P588" i="8"/>
  <c r="M588" i="8"/>
  <c r="L588" i="8"/>
  <c r="J588" i="8"/>
  <c r="I588" i="8"/>
  <c r="H588" i="8"/>
  <c r="G588" i="8"/>
  <c r="F588" i="8"/>
  <c r="E588" i="8"/>
  <c r="D588" i="8"/>
  <c r="C588" i="8"/>
  <c r="B588" i="8"/>
  <c r="A588" i="8"/>
  <c r="Z587" i="8"/>
  <c r="Y587" i="8"/>
  <c r="X587" i="8"/>
  <c r="W587" i="8"/>
  <c r="V587" i="8"/>
  <c r="U587" i="8"/>
  <c r="T587" i="8"/>
  <c r="S587" i="8"/>
  <c r="R587" i="8"/>
  <c r="P587" i="8"/>
  <c r="M587" i="8"/>
  <c r="L587" i="8"/>
  <c r="J587" i="8"/>
  <c r="I587" i="8"/>
  <c r="H587" i="8"/>
  <c r="G587" i="8"/>
  <c r="F587" i="8"/>
  <c r="E587" i="8"/>
  <c r="D587" i="8"/>
  <c r="C587" i="8"/>
  <c r="B587" i="8"/>
  <c r="A587" i="8"/>
  <c r="Z586" i="8"/>
  <c r="Y586" i="8"/>
  <c r="X586" i="8"/>
  <c r="W586" i="8"/>
  <c r="V586" i="8"/>
  <c r="U586" i="8"/>
  <c r="T586" i="8"/>
  <c r="S586" i="8"/>
  <c r="R586" i="8"/>
  <c r="P586" i="8"/>
  <c r="M586" i="8"/>
  <c r="L586" i="8"/>
  <c r="J586" i="8"/>
  <c r="I586" i="8"/>
  <c r="H586" i="8"/>
  <c r="G586" i="8"/>
  <c r="F586" i="8"/>
  <c r="E586" i="8"/>
  <c r="D586" i="8"/>
  <c r="C586" i="8"/>
  <c r="B586" i="8"/>
  <c r="A586" i="8"/>
  <c r="Z585" i="8"/>
  <c r="Y585" i="8"/>
  <c r="X585" i="8"/>
  <c r="W585" i="8"/>
  <c r="V585" i="8"/>
  <c r="U585" i="8"/>
  <c r="T585" i="8"/>
  <c r="S585" i="8"/>
  <c r="R585" i="8"/>
  <c r="P585" i="8"/>
  <c r="M585" i="8"/>
  <c r="L585" i="8"/>
  <c r="J585" i="8"/>
  <c r="I585" i="8"/>
  <c r="H585" i="8"/>
  <c r="G585" i="8"/>
  <c r="F585" i="8"/>
  <c r="E585" i="8"/>
  <c r="D585" i="8"/>
  <c r="C585" i="8"/>
  <c r="B585" i="8"/>
  <c r="A585" i="8"/>
  <c r="Z584" i="8"/>
  <c r="Y584" i="8"/>
  <c r="X584" i="8"/>
  <c r="W584" i="8"/>
  <c r="V584" i="8"/>
  <c r="U584" i="8"/>
  <c r="T584" i="8"/>
  <c r="S584" i="8"/>
  <c r="R584" i="8"/>
  <c r="P584" i="8"/>
  <c r="M584" i="8"/>
  <c r="L584" i="8"/>
  <c r="J584" i="8"/>
  <c r="I584" i="8"/>
  <c r="H584" i="8"/>
  <c r="G584" i="8"/>
  <c r="F584" i="8"/>
  <c r="E584" i="8"/>
  <c r="D584" i="8"/>
  <c r="C584" i="8"/>
  <c r="B584" i="8"/>
  <c r="A584" i="8"/>
  <c r="Z583" i="8"/>
  <c r="Y583" i="8"/>
  <c r="X583" i="8"/>
  <c r="W583" i="8"/>
  <c r="V583" i="8"/>
  <c r="U583" i="8"/>
  <c r="T583" i="8"/>
  <c r="S583" i="8"/>
  <c r="R583" i="8"/>
  <c r="P583" i="8"/>
  <c r="M583" i="8"/>
  <c r="L583" i="8"/>
  <c r="J583" i="8"/>
  <c r="I583" i="8"/>
  <c r="H583" i="8"/>
  <c r="G583" i="8"/>
  <c r="F583" i="8"/>
  <c r="E583" i="8"/>
  <c r="D583" i="8"/>
  <c r="C583" i="8"/>
  <c r="B583" i="8"/>
  <c r="A583" i="8"/>
  <c r="Z582" i="8"/>
  <c r="Y582" i="8"/>
  <c r="X582" i="8"/>
  <c r="W582" i="8"/>
  <c r="V582" i="8"/>
  <c r="U582" i="8"/>
  <c r="T582" i="8"/>
  <c r="S582" i="8"/>
  <c r="R582" i="8"/>
  <c r="P582" i="8"/>
  <c r="M582" i="8"/>
  <c r="L582" i="8"/>
  <c r="J582" i="8"/>
  <c r="I582" i="8"/>
  <c r="H582" i="8"/>
  <c r="G582" i="8"/>
  <c r="F582" i="8"/>
  <c r="E582" i="8"/>
  <c r="D582" i="8"/>
  <c r="C582" i="8"/>
  <c r="B582" i="8"/>
  <c r="A582" i="8"/>
  <c r="Z581" i="8"/>
  <c r="Y581" i="8"/>
  <c r="X581" i="8"/>
  <c r="W581" i="8"/>
  <c r="V581" i="8"/>
  <c r="U581" i="8"/>
  <c r="T581" i="8"/>
  <c r="S581" i="8"/>
  <c r="R581" i="8"/>
  <c r="P581" i="8"/>
  <c r="M581" i="8"/>
  <c r="L581" i="8"/>
  <c r="J581" i="8"/>
  <c r="I581" i="8"/>
  <c r="H581" i="8"/>
  <c r="G581" i="8"/>
  <c r="F581" i="8"/>
  <c r="E581" i="8"/>
  <c r="D581" i="8"/>
  <c r="C581" i="8"/>
  <c r="B581" i="8"/>
  <c r="A581" i="8"/>
  <c r="Z580" i="8"/>
  <c r="Y580" i="8"/>
  <c r="X580" i="8"/>
  <c r="W580" i="8"/>
  <c r="V580" i="8"/>
  <c r="U580" i="8"/>
  <c r="T580" i="8"/>
  <c r="S580" i="8"/>
  <c r="R580" i="8"/>
  <c r="P580" i="8"/>
  <c r="M580" i="8"/>
  <c r="L580" i="8"/>
  <c r="J580" i="8"/>
  <c r="I580" i="8"/>
  <c r="H580" i="8"/>
  <c r="G580" i="8"/>
  <c r="F580" i="8"/>
  <c r="E580" i="8"/>
  <c r="D580" i="8"/>
  <c r="C580" i="8"/>
  <c r="B580" i="8"/>
  <c r="A580" i="8"/>
  <c r="Z579" i="8"/>
  <c r="Y579" i="8"/>
  <c r="X579" i="8"/>
  <c r="W579" i="8"/>
  <c r="V579" i="8"/>
  <c r="U579" i="8"/>
  <c r="T579" i="8"/>
  <c r="S579" i="8"/>
  <c r="R579" i="8"/>
  <c r="P579" i="8"/>
  <c r="M579" i="8"/>
  <c r="L579" i="8"/>
  <c r="J579" i="8"/>
  <c r="I579" i="8"/>
  <c r="H579" i="8"/>
  <c r="G579" i="8"/>
  <c r="F579" i="8"/>
  <c r="E579" i="8"/>
  <c r="D579" i="8"/>
  <c r="C579" i="8"/>
  <c r="B579" i="8"/>
  <c r="A579" i="8"/>
  <c r="Z578" i="8"/>
  <c r="Y578" i="8"/>
  <c r="X578" i="8"/>
  <c r="W578" i="8"/>
  <c r="V578" i="8"/>
  <c r="U578" i="8"/>
  <c r="T578" i="8"/>
  <c r="S578" i="8"/>
  <c r="R578" i="8"/>
  <c r="P578" i="8"/>
  <c r="M578" i="8"/>
  <c r="L578" i="8"/>
  <c r="J578" i="8"/>
  <c r="I578" i="8"/>
  <c r="H578" i="8"/>
  <c r="G578" i="8"/>
  <c r="F578" i="8"/>
  <c r="E578" i="8"/>
  <c r="D578" i="8"/>
  <c r="C578" i="8"/>
  <c r="B578" i="8"/>
  <c r="A578" i="8"/>
  <c r="Z577" i="8"/>
  <c r="Y577" i="8"/>
  <c r="X577" i="8"/>
  <c r="W577" i="8"/>
  <c r="V577" i="8"/>
  <c r="U577" i="8"/>
  <c r="T577" i="8"/>
  <c r="S577" i="8"/>
  <c r="R577" i="8"/>
  <c r="P577" i="8"/>
  <c r="M577" i="8"/>
  <c r="L577" i="8"/>
  <c r="J577" i="8"/>
  <c r="I577" i="8"/>
  <c r="H577" i="8"/>
  <c r="G577" i="8"/>
  <c r="F577" i="8"/>
  <c r="E577" i="8"/>
  <c r="D577" i="8"/>
  <c r="C577" i="8"/>
  <c r="B577" i="8"/>
  <c r="A577" i="8"/>
  <c r="Z576" i="8"/>
  <c r="Y576" i="8"/>
  <c r="X576" i="8"/>
  <c r="W576" i="8"/>
  <c r="V576" i="8"/>
  <c r="U576" i="8"/>
  <c r="T576" i="8"/>
  <c r="S576" i="8"/>
  <c r="R576" i="8"/>
  <c r="P576" i="8"/>
  <c r="M576" i="8"/>
  <c r="L576" i="8"/>
  <c r="J576" i="8"/>
  <c r="I576" i="8"/>
  <c r="H576" i="8"/>
  <c r="G576" i="8"/>
  <c r="F576" i="8"/>
  <c r="E576" i="8"/>
  <c r="D576" i="8"/>
  <c r="C576" i="8"/>
  <c r="B576" i="8"/>
  <c r="A576" i="8"/>
  <c r="Z575" i="8"/>
  <c r="Y575" i="8"/>
  <c r="X575" i="8"/>
  <c r="W575" i="8"/>
  <c r="V575" i="8"/>
  <c r="U575" i="8"/>
  <c r="T575" i="8"/>
  <c r="S575" i="8"/>
  <c r="R575" i="8"/>
  <c r="P575" i="8"/>
  <c r="M575" i="8"/>
  <c r="L575" i="8"/>
  <c r="J575" i="8"/>
  <c r="I575" i="8"/>
  <c r="H575" i="8"/>
  <c r="G575" i="8"/>
  <c r="F575" i="8"/>
  <c r="E575" i="8"/>
  <c r="D575" i="8"/>
  <c r="C575" i="8"/>
  <c r="B575" i="8"/>
  <c r="A575" i="8"/>
  <c r="Z574" i="8"/>
  <c r="Y574" i="8"/>
  <c r="X574" i="8"/>
  <c r="W574" i="8"/>
  <c r="V574" i="8"/>
  <c r="U574" i="8"/>
  <c r="T574" i="8"/>
  <c r="S574" i="8"/>
  <c r="R574" i="8"/>
  <c r="P574" i="8"/>
  <c r="M574" i="8"/>
  <c r="L574" i="8"/>
  <c r="J574" i="8"/>
  <c r="I574" i="8"/>
  <c r="H574" i="8"/>
  <c r="G574" i="8"/>
  <c r="F574" i="8"/>
  <c r="E574" i="8"/>
  <c r="D574" i="8"/>
  <c r="C574" i="8"/>
  <c r="B574" i="8"/>
  <c r="A574" i="8"/>
  <c r="Z573" i="8"/>
  <c r="Y573" i="8"/>
  <c r="X573" i="8"/>
  <c r="W573" i="8"/>
  <c r="V573" i="8"/>
  <c r="U573" i="8"/>
  <c r="T573" i="8"/>
  <c r="S573" i="8"/>
  <c r="R573" i="8"/>
  <c r="P573" i="8"/>
  <c r="M573" i="8"/>
  <c r="L573" i="8"/>
  <c r="J573" i="8"/>
  <c r="I573" i="8"/>
  <c r="H573" i="8"/>
  <c r="G573" i="8"/>
  <c r="F573" i="8"/>
  <c r="E573" i="8"/>
  <c r="D573" i="8"/>
  <c r="C573" i="8"/>
  <c r="B573" i="8"/>
  <c r="A573" i="8"/>
  <c r="Z572" i="8"/>
  <c r="Y572" i="8"/>
  <c r="X572" i="8"/>
  <c r="W572" i="8"/>
  <c r="V572" i="8"/>
  <c r="U572" i="8"/>
  <c r="T572" i="8"/>
  <c r="S572" i="8"/>
  <c r="R572" i="8"/>
  <c r="P572" i="8"/>
  <c r="M572" i="8"/>
  <c r="L572" i="8"/>
  <c r="J572" i="8"/>
  <c r="I572" i="8"/>
  <c r="H572" i="8"/>
  <c r="G572" i="8"/>
  <c r="F572" i="8"/>
  <c r="E572" i="8"/>
  <c r="D572" i="8"/>
  <c r="C572" i="8"/>
  <c r="B572" i="8"/>
  <c r="A572" i="8"/>
  <c r="Z571" i="8"/>
  <c r="Y571" i="8"/>
  <c r="X571" i="8"/>
  <c r="W571" i="8"/>
  <c r="V571" i="8"/>
  <c r="U571" i="8"/>
  <c r="T571" i="8"/>
  <c r="S571" i="8"/>
  <c r="R571" i="8"/>
  <c r="P571" i="8"/>
  <c r="M571" i="8"/>
  <c r="L571" i="8"/>
  <c r="J571" i="8"/>
  <c r="I571" i="8"/>
  <c r="H571" i="8"/>
  <c r="G571" i="8"/>
  <c r="F571" i="8"/>
  <c r="E571" i="8"/>
  <c r="D571" i="8"/>
  <c r="C571" i="8"/>
  <c r="B571" i="8"/>
  <c r="A571" i="8"/>
  <c r="Z570" i="8"/>
  <c r="Y570" i="8"/>
  <c r="X570" i="8"/>
  <c r="W570" i="8"/>
  <c r="V570" i="8"/>
  <c r="U570" i="8"/>
  <c r="T570" i="8"/>
  <c r="S570" i="8"/>
  <c r="R570" i="8"/>
  <c r="P570" i="8"/>
  <c r="M570" i="8"/>
  <c r="L570" i="8"/>
  <c r="J570" i="8"/>
  <c r="I570" i="8"/>
  <c r="H570" i="8"/>
  <c r="G570" i="8"/>
  <c r="F570" i="8"/>
  <c r="E570" i="8"/>
  <c r="D570" i="8"/>
  <c r="C570" i="8"/>
  <c r="B570" i="8"/>
  <c r="A570" i="8"/>
  <c r="Z569" i="8"/>
  <c r="Y569" i="8"/>
  <c r="X569" i="8"/>
  <c r="W569" i="8"/>
  <c r="V569" i="8"/>
  <c r="U569" i="8"/>
  <c r="T569" i="8"/>
  <c r="S569" i="8"/>
  <c r="R569" i="8"/>
  <c r="P569" i="8"/>
  <c r="M569" i="8"/>
  <c r="L569" i="8"/>
  <c r="J569" i="8"/>
  <c r="I569" i="8"/>
  <c r="H569" i="8"/>
  <c r="G569" i="8"/>
  <c r="F569" i="8"/>
  <c r="E569" i="8"/>
  <c r="D569" i="8"/>
  <c r="C569" i="8"/>
  <c r="B569" i="8"/>
  <c r="A569" i="8"/>
  <c r="Z568" i="8"/>
  <c r="Y568" i="8"/>
  <c r="X568" i="8"/>
  <c r="W568" i="8"/>
  <c r="V568" i="8"/>
  <c r="U568" i="8"/>
  <c r="T568" i="8"/>
  <c r="S568" i="8"/>
  <c r="R568" i="8"/>
  <c r="P568" i="8"/>
  <c r="M568" i="8"/>
  <c r="L568" i="8"/>
  <c r="J568" i="8"/>
  <c r="I568" i="8"/>
  <c r="H568" i="8"/>
  <c r="G568" i="8"/>
  <c r="F568" i="8"/>
  <c r="E568" i="8"/>
  <c r="D568" i="8"/>
  <c r="C568" i="8"/>
  <c r="B568" i="8"/>
  <c r="A568" i="8"/>
  <c r="Z567" i="8"/>
  <c r="Y567" i="8"/>
  <c r="X567" i="8"/>
  <c r="W567" i="8"/>
  <c r="V567" i="8"/>
  <c r="U567" i="8"/>
  <c r="T567" i="8"/>
  <c r="S567" i="8"/>
  <c r="R567" i="8"/>
  <c r="P567" i="8"/>
  <c r="M567" i="8"/>
  <c r="L567" i="8"/>
  <c r="J567" i="8"/>
  <c r="I567" i="8"/>
  <c r="H567" i="8"/>
  <c r="G567" i="8"/>
  <c r="F567" i="8"/>
  <c r="E567" i="8"/>
  <c r="D567" i="8"/>
  <c r="C567" i="8"/>
  <c r="B567" i="8"/>
  <c r="A567" i="8"/>
  <c r="Z566" i="8"/>
  <c r="Y566" i="8"/>
  <c r="X566" i="8"/>
  <c r="W566" i="8"/>
  <c r="V566" i="8"/>
  <c r="U566" i="8"/>
  <c r="T566" i="8"/>
  <c r="S566" i="8"/>
  <c r="R566" i="8"/>
  <c r="P566" i="8"/>
  <c r="M566" i="8"/>
  <c r="L566" i="8"/>
  <c r="J566" i="8"/>
  <c r="I566" i="8"/>
  <c r="H566" i="8"/>
  <c r="G566" i="8"/>
  <c r="F566" i="8"/>
  <c r="E566" i="8"/>
  <c r="D566" i="8"/>
  <c r="C566" i="8"/>
  <c r="B566" i="8"/>
  <c r="A566" i="8"/>
  <c r="Z565" i="8"/>
  <c r="Y565" i="8"/>
  <c r="X565" i="8"/>
  <c r="W565" i="8"/>
  <c r="V565" i="8"/>
  <c r="U565" i="8"/>
  <c r="T565" i="8"/>
  <c r="S565" i="8"/>
  <c r="R565" i="8"/>
  <c r="P565" i="8"/>
  <c r="M565" i="8"/>
  <c r="L565" i="8"/>
  <c r="J565" i="8"/>
  <c r="I565" i="8"/>
  <c r="H565" i="8"/>
  <c r="G565" i="8"/>
  <c r="F565" i="8"/>
  <c r="E565" i="8"/>
  <c r="D565" i="8"/>
  <c r="C565" i="8"/>
  <c r="B565" i="8"/>
  <c r="A565" i="8"/>
  <c r="Z564" i="8"/>
  <c r="Y564" i="8"/>
  <c r="X564" i="8"/>
  <c r="W564" i="8"/>
  <c r="V564" i="8"/>
  <c r="U564" i="8"/>
  <c r="T564" i="8"/>
  <c r="S564" i="8"/>
  <c r="R564" i="8"/>
  <c r="P564" i="8"/>
  <c r="M564" i="8"/>
  <c r="L564" i="8"/>
  <c r="J564" i="8"/>
  <c r="I564" i="8"/>
  <c r="H564" i="8"/>
  <c r="G564" i="8"/>
  <c r="F564" i="8"/>
  <c r="E564" i="8"/>
  <c r="D564" i="8"/>
  <c r="C564" i="8"/>
  <c r="B564" i="8"/>
  <c r="A564" i="8"/>
  <c r="Z563" i="8"/>
  <c r="Y563" i="8"/>
  <c r="X563" i="8"/>
  <c r="W563" i="8"/>
  <c r="V563" i="8"/>
  <c r="U563" i="8"/>
  <c r="T563" i="8"/>
  <c r="S563" i="8"/>
  <c r="R563" i="8"/>
  <c r="P563" i="8"/>
  <c r="M563" i="8"/>
  <c r="L563" i="8"/>
  <c r="J563" i="8"/>
  <c r="I563" i="8"/>
  <c r="H563" i="8"/>
  <c r="G563" i="8"/>
  <c r="F563" i="8"/>
  <c r="E563" i="8"/>
  <c r="D563" i="8"/>
  <c r="C563" i="8"/>
  <c r="B563" i="8"/>
  <c r="A563" i="8"/>
  <c r="Z562" i="8"/>
  <c r="Y562" i="8"/>
  <c r="X562" i="8"/>
  <c r="W562" i="8"/>
  <c r="V562" i="8"/>
  <c r="U562" i="8"/>
  <c r="T562" i="8"/>
  <c r="S562" i="8"/>
  <c r="R562" i="8"/>
  <c r="P562" i="8"/>
  <c r="M562" i="8"/>
  <c r="L562" i="8"/>
  <c r="J562" i="8"/>
  <c r="I562" i="8"/>
  <c r="H562" i="8"/>
  <c r="G562" i="8"/>
  <c r="F562" i="8"/>
  <c r="E562" i="8"/>
  <c r="D562" i="8"/>
  <c r="C562" i="8"/>
  <c r="B562" i="8"/>
  <c r="A562" i="8"/>
  <c r="Z561" i="8"/>
  <c r="Y561" i="8"/>
  <c r="X561" i="8"/>
  <c r="W561" i="8"/>
  <c r="V561" i="8"/>
  <c r="U561" i="8"/>
  <c r="T561" i="8"/>
  <c r="S561" i="8"/>
  <c r="R561" i="8"/>
  <c r="P561" i="8"/>
  <c r="M561" i="8"/>
  <c r="L561" i="8"/>
  <c r="J561" i="8"/>
  <c r="I561" i="8"/>
  <c r="H561" i="8"/>
  <c r="G561" i="8"/>
  <c r="F561" i="8"/>
  <c r="E561" i="8"/>
  <c r="D561" i="8"/>
  <c r="C561" i="8"/>
  <c r="B561" i="8"/>
  <c r="A561" i="8"/>
  <c r="Z560" i="8"/>
  <c r="Y560" i="8"/>
  <c r="X560" i="8"/>
  <c r="W560" i="8"/>
  <c r="V560" i="8"/>
  <c r="U560" i="8"/>
  <c r="T560" i="8"/>
  <c r="S560" i="8"/>
  <c r="R560" i="8"/>
  <c r="P560" i="8"/>
  <c r="M560" i="8"/>
  <c r="L560" i="8"/>
  <c r="J560" i="8"/>
  <c r="I560" i="8"/>
  <c r="H560" i="8"/>
  <c r="G560" i="8"/>
  <c r="F560" i="8"/>
  <c r="E560" i="8"/>
  <c r="D560" i="8"/>
  <c r="C560" i="8"/>
  <c r="B560" i="8"/>
  <c r="A560" i="8"/>
  <c r="Z559" i="8"/>
  <c r="Y559" i="8"/>
  <c r="X559" i="8"/>
  <c r="W559" i="8"/>
  <c r="V559" i="8"/>
  <c r="U559" i="8"/>
  <c r="T559" i="8"/>
  <c r="S559" i="8"/>
  <c r="R559" i="8"/>
  <c r="P559" i="8"/>
  <c r="M559" i="8"/>
  <c r="L559" i="8"/>
  <c r="J559" i="8"/>
  <c r="I559" i="8"/>
  <c r="H559" i="8"/>
  <c r="G559" i="8"/>
  <c r="F559" i="8"/>
  <c r="E559" i="8"/>
  <c r="D559" i="8"/>
  <c r="C559" i="8"/>
  <c r="B559" i="8"/>
  <c r="A559" i="8"/>
  <c r="Z558" i="8"/>
  <c r="Y558" i="8"/>
  <c r="X558" i="8"/>
  <c r="W558" i="8"/>
  <c r="V558" i="8"/>
  <c r="U558" i="8"/>
  <c r="T558" i="8"/>
  <c r="S558" i="8"/>
  <c r="R558" i="8"/>
  <c r="P558" i="8"/>
  <c r="M558" i="8"/>
  <c r="L558" i="8"/>
  <c r="J558" i="8"/>
  <c r="I558" i="8"/>
  <c r="H558" i="8"/>
  <c r="G558" i="8"/>
  <c r="F558" i="8"/>
  <c r="E558" i="8"/>
  <c r="D558" i="8"/>
  <c r="C558" i="8"/>
  <c r="B558" i="8"/>
  <c r="A558" i="8"/>
  <c r="Z557" i="8"/>
  <c r="Y557" i="8"/>
  <c r="X557" i="8"/>
  <c r="W557" i="8"/>
  <c r="V557" i="8"/>
  <c r="U557" i="8"/>
  <c r="T557" i="8"/>
  <c r="S557" i="8"/>
  <c r="R557" i="8"/>
  <c r="P557" i="8"/>
  <c r="M557" i="8"/>
  <c r="L557" i="8"/>
  <c r="J557" i="8"/>
  <c r="I557" i="8"/>
  <c r="H557" i="8"/>
  <c r="G557" i="8"/>
  <c r="F557" i="8"/>
  <c r="E557" i="8"/>
  <c r="D557" i="8"/>
  <c r="C557" i="8"/>
  <c r="B557" i="8"/>
  <c r="A557" i="8"/>
  <c r="Z556" i="8"/>
  <c r="Y556" i="8"/>
  <c r="X556" i="8"/>
  <c r="W556" i="8"/>
  <c r="V556" i="8"/>
  <c r="U556" i="8"/>
  <c r="T556" i="8"/>
  <c r="S556" i="8"/>
  <c r="R556" i="8"/>
  <c r="P556" i="8"/>
  <c r="M556" i="8"/>
  <c r="L556" i="8"/>
  <c r="J556" i="8"/>
  <c r="I556" i="8"/>
  <c r="H556" i="8"/>
  <c r="G556" i="8"/>
  <c r="F556" i="8"/>
  <c r="E556" i="8"/>
  <c r="D556" i="8"/>
  <c r="C556" i="8"/>
  <c r="B556" i="8"/>
  <c r="A556" i="8"/>
  <c r="Z555" i="8"/>
  <c r="Y555" i="8"/>
  <c r="X555" i="8"/>
  <c r="W555" i="8"/>
  <c r="V555" i="8"/>
  <c r="U555" i="8"/>
  <c r="T555" i="8"/>
  <c r="S555" i="8"/>
  <c r="R555" i="8"/>
  <c r="P555" i="8"/>
  <c r="M555" i="8"/>
  <c r="L555" i="8"/>
  <c r="J555" i="8"/>
  <c r="I555" i="8"/>
  <c r="H555" i="8"/>
  <c r="G555" i="8"/>
  <c r="F555" i="8"/>
  <c r="E555" i="8"/>
  <c r="D555" i="8"/>
  <c r="C555" i="8"/>
  <c r="B555" i="8"/>
  <c r="A555" i="8"/>
  <c r="Z554" i="8"/>
  <c r="Y554" i="8"/>
  <c r="X554" i="8"/>
  <c r="W554" i="8"/>
  <c r="V554" i="8"/>
  <c r="U554" i="8"/>
  <c r="T554" i="8"/>
  <c r="S554" i="8"/>
  <c r="R554" i="8"/>
  <c r="P554" i="8"/>
  <c r="M554" i="8"/>
  <c r="L554" i="8"/>
  <c r="J554" i="8"/>
  <c r="I554" i="8"/>
  <c r="H554" i="8"/>
  <c r="G554" i="8"/>
  <c r="F554" i="8"/>
  <c r="E554" i="8"/>
  <c r="D554" i="8"/>
  <c r="C554" i="8"/>
  <c r="B554" i="8"/>
  <c r="A554" i="8"/>
  <c r="Z553" i="8"/>
  <c r="Y553" i="8"/>
  <c r="X553" i="8"/>
  <c r="W553" i="8"/>
  <c r="V553" i="8"/>
  <c r="U553" i="8"/>
  <c r="T553" i="8"/>
  <c r="S553" i="8"/>
  <c r="R553" i="8"/>
  <c r="P553" i="8"/>
  <c r="M553" i="8"/>
  <c r="L553" i="8"/>
  <c r="J553" i="8"/>
  <c r="I553" i="8"/>
  <c r="H553" i="8"/>
  <c r="G553" i="8"/>
  <c r="F553" i="8"/>
  <c r="E553" i="8"/>
  <c r="D553" i="8"/>
  <c r="C553" i="8"/>
  <c r="B553" i="8"/>
  <c r="A553" i="8"/>
  <c r="Z552" i="8"/>
  <c r="Y552" i="8"/>
  <c r="X552" i="8"/>
  <c r="W552" i="8"/>
  <c r="V552" i="8"/>
  <c r="U552" i="8"/>
  <c r="T552" i="8"/>
  <c r="S552" i="8"/>
  <c r="R552" i="8"/>
  <c r="P552" i="8"/>
  <c r="M552" i="8"/>
  <c r="L552" i="8"/>
  <c r="J552" i="8"/>
  <c r="I552" i="8"/>
  <c r="H552" i="8"/>
  <c r="G552" i="8"/>
  <c r="F552" i="8"/>
  <c r="E552" i="8"/>
  <c r="D552" i="8"/>
  <c r="C552" i="8"/>
  <c r="B552" i="8"/>
  <c r="A552" i="8"/>
  <c r="Z551" i="8"/>
  <c r="Y551" i="8"/>
  <c r="X551" i="8"/>
  <c r="W551" i="8"/>
  <c r="V551" i="8"/>
  <c r="U551" i="8"/>
  <c r="T551" i="8"/>
  <c r="S551" i="8"/>
  <c r="R551" i="8"/>
  <c r="P551" i="8"/>
  <c r="M551" i="8"/>
  <c r="L551" i="8"/>
  <c r="J551" i="8"/>
  <c r="I551" i="8"/>
  <c r="H551" i="8"/>
  <c r="G551" i="8"/>
  <c r="F551" i="8"/>
  <c r="E551" i="8"/>
  <c r="D551" i="8"/>
  <c r="C551" i="8"/>
  <c r="B551" i="8"/>
  <c r="A551" i="8"/>
  <c r="Z550" i="8"/>
  <c r="Y550" i="8"/>
  <c r="X550" i="8"/>
  <c r="W550" i="8"/>
  <c r="V550" i="8"/>
  <c r="U550" i="8"/>
  <c r="T550" i="8"/>
  <c r="S550" i="8"/>
  <c r="R550" i="8"/>
  <c r="P550" i="8"/>
  <c r="M550" i="8"/>
  <c r="L550" i="8"/>
  <c r="J550" i="8"/>
  <c r="I550" i="8"/>
  <c r="H550" i="8"/>
  <c r="G550" i="8"/>
  <c r="F550" i="8"/>
  <c r="E550" i="8"/>
  <c r="D550" i="8"/>
  <c r="C550" i="8"/>
  <c r="B550" i="8"/>
  <c r="A550" i="8"/>
  <c r="Z549" i="8"/>
  <c r="Y549" i="8"/>
  <c r="X549" i="8"/>
  <c r="W549" i="8"/>
  <c r="V549" i="8"/>
  <c r="U549" i="8"/>
  <c r="T549" i="8"/>
  <c r="S549" i="8"/>
  <c r="R549" i="8"/>
  <c r="P549" i="8"/>
  <c r="M549" i="8"/>
  <c r="L549" i="8"/>
  <c r="J549" i="8"/>
  <c r="I549" i="8"/>
  <c r="H549" i="8"/>
  <c r="G549" i="8"/>
  <c r="F549" i="8"/>
  <c r="E549" i="8"/>
  <c r="D549" i="8"/>
  <c r="C549" i="8"/>
  <c r="B549" i="8"/>
  <c r="A549" i="8"/>
  <c r="Z548" i="8"/>
  <c r="Y548" i="8"/>
  <c r="X548" i="8"/>
  <c r="W548" i="8"/>
  <c r="V548" i="8"/>
  <c r="U548" i="8"/>
  <c r="T548" i="8"/>
  <c r="S548" i="8"/>
  <c r="R548" i="8"/>
  <c r="P548" i="8"/>
  <c r="M548" i="8"/>
  <c r="L548" i="8"/>
  <c r="J548" i="8"/>
  <c r="I548" i="8"/>
  <c r="H548" i="8"/>
  <c r="G548" i="8"/>
  <c r="F548" i="8"/>
  <c r="E548" i="8"/>
  <c r="D548" i="8"/>
  <c r="C548" i="8"/>
  <c r="B548" i="8"/>
  <c r="A548" i="8"/>
  <c r="Z547" i="8"/>
  <c r="Y547" i="8"/>
  <c r="X547" i="8"/>
  <c r="W547" i="8"/>
  <c r="V547" i="8"/>
  <c r="U547" i="8"/>
  <c r="T547" i="8"/>
  <c r="S547" i="8"/>
  <c r="R547" i="8"/>
  <c r="P547" i="8"/>
  <c r="M547" i="8"/>
  <c r="L547" i="8"/>
  <c r="J547" i="8"/>
  <c r="I547" i="8"/>
  <c r="H547" i="8"/>
  <c r="G547" i="8"/>
  <c r="F547" i="8"/>
  <c r="E547" i="8"/>
  <c r="D547" i="8"/>
  <c r="C547" i="8"/>
  <c r="B547" i="8"/>
  <c r="A547" i="8"/>
  <c r="Z546" i="8"/>
  <c r="Y546" i="8"/>
  <c r="X546" i="8"/>
  <c r="W546" i="8"/>
  <c r="V546" i="8"/>
  <c r="U546" i="8"/>
  <c r="T546" i="8"/>
  <c r="S546" i="8"/>
  <c r="R546" i="8"/>
  <c r="P546" i="8"/>
  <c r="M546" i="8"/>
  <c r="L546" i="8"/>
  <c r="J546" i="8"/>
  <c r="I546" i="8"/>
  <c r="H546" i="8"/>
  <c r="G546" i="8"/>
  <c r="F546" i="8"/>
  <c r="E546" i="8"/>
  <c r="D546" i="8"/>
  <c r="C546" i="8"/>
  <c r="B546" i="8"/>
  <c r="A546" i="8"/>
  <c r="Z545" i="8"/>
  <c r="Y545" i="8"/>
  <c r="X545" i="8"/>
  <c r="W545" i="8"/>
  <c r="V545" i="8"/>
  <c r="U545" i="8"/>
  <c r="T545" i="8"/>
  <c r="S545" i="8"/>
  <c r="R545" i="8"/>
  <c r="P545" i="8"/>
  <c r="M545" i="8"/>
  <c r="L545" i="8"/>
  <c r="J545" i="8"/>
  <c r="I545" i="8"/>
  <c r="H545" i="8"/>
  <c r="G545" i="8"/>
  <c r="F545" i="8"/>
  <c r="E545" i="8"/>
  <c r="D545" i="8"/>
  <c r="C545" i="8"/>
  <c r="B545" i="8"/>
  <c r="A545" i="8"/>
  <c r="Z544" i="8"/>
  <c r="Y544" i="8"/>
  <c r="X544" i="8"/>
  <c r="W544" i="8"/>
  <c r="V544" i="8"/>
  <c r="U544" i="8"/>
  <c r="T544" i="8"/>
  <c r="S544" i="8"/>
  <c r="R544" i="8"/>
  <c r="P544" i="8"/>
  <c r="M544" i="8"/>
  <c r="L544" i="8"/>
  <c r="J544" i="8"/>
  <c r="I544" i="8"/>
  <c r="H544" i="8"/>
  <c r="G544" i="8"/>
  <c r="F544" i="8"/>
  <c r="E544" i="8"/>
  <c r="D544" i="8"/>
  <c r="C544" i="8"/>
  <c r="B544" i="8"/>
  <c r="A544" i="8"/>
  <c r="Z543" i="8"/>
  <c r="Y543" i="8"/>
  <c r="X543" i="8"/>
  <c r="W543" i="8"/>
  <c r="V543" i="8"/>
  <c r="U543" i="8"/>
  <c r="T543" i="8"/>
  <c r="S543" i="8"/>
  <c r="R543" i="8"/>
  <c r="P543" i="8"/>
  <c r="M543" i="8"/>
  <c r="L543" i="8"/>
  <c r="J543" i="8"/>
  <c r="I543" i="8"/>
  <c r="H543" i="8"/>
  <c r="G543" i="8"/>
  <c r="F543" i="8"/>
  <c r="E543" i="8"/>
  <c r="D543" i="8"/>
  <c r="C543" i="8"/>
  <c r="B543" i="8"/>
  <c r="A543" i="8"/>
  <c r="Z542" i="8"/>
  <c r="Y542" i="8"/>
  <c r="X542" i="8"/>
  <c r="W542" i="8"/>
  <c r="V542" i="8"/>
  <c r="U542" i="8"/>
  <c r="T542" i="8"/>
  <c r="S542" i="8"/>
  <c r="R542" i="8"/>
  <c r="P542" i="8"/>
  <c r="M542" i="8"/>
  <c r="L542" i="8"/>
  <c r="J542" i="8"/>
  <c r="I542" i="8"/>
  <c r="H542" i="8"/>
  <c r="G542" i="8"/>
  <c r="F542" i="8"/>
  <c r="E542" i="8"/>
  <c r="D542" i="8"/>
  <c r="C542" i="8"/>
  <c r="B542" i="8"/>
  <c r="A542" i="8"/>
  <c r="Z541" i="8"/>
  <c r="Y541" i="8"/>
  <c r="X541" i="8"/>
  <c r="W541" i="8"/>
  <c r="V541" i="8"/>
  <c r="U541" i="8"/>
  <c r="T541" i="8"/>
  <c r="S541" i="8"/>
  <c r="R541" i="8"/>
  <c r="P541" i="8"/>
  <c r="M541" i="8"/>
  <c r="L541" i="8"/>
  <c r="J541" i="8"/>
  <c r="I541" i="8"/>
  <c r="H541" i="8"/>
  <c r="G541" i="8"/>
  <c r="F541" i="8"/>
  <c r="E541" i="8"/>
  <c r="D541" i="8"/>
  <c r="C541" i="8"/>
  <c r="B541" i="8"/>
  <c r="A541" i="8"/>
  <c r="Z540" i="8"/>
  <c r="Y540" i="8"/>
  <c r="X540" i="8"/>
  <c r="W540" i="8"/>
  <c r="V540" i="8"/>
  <c r="U540" i="8"/>
  <c r="T540" i="8"/>
  <c r="S540" i="8"/>
  <c r="R540" i="8"/>
  <c r="P540" i="8"/>
  <c r="M540" i="8"/>
  <c r="L540" i="8"/>
  <c r="J540" i="8"/>
  <c r="I540" i="8"/>
  <c r="H540" i="8"/>
  <c r="G540" i="8"/>
  <c r="F540" i="8"/>
  <c r="E540" i="8"/>
  <c r="D540" i="8"/>
  <c r="C540" i="8"/>
  <c r="B540" i="8"/>
  <c r="A540" i="8"/>
  <c r="Z539" i="8"/>
  <c r="Y539" i="8"/>
  <c r="X539" i="8"/>
  <c r="W539" i="8"/>
  <c r="V539" i="8"/>
  <c r="U539" i="8"/>
  <c r="T539" i="8"/>
  <c r="S539" i="8"/>
  <c r="R539" i="8"/>
  <c r="P539" i="8"/>
  <c r="M539" i="8"/>
  <c r="L539" i="8"/>
  <c r="J539" i="8"/>
  <c r="I539" i="8"/>
  <c r="H539" i="8"/>
  <c r="G539" i="8"/>
  <c r="F539" i="8"/>
  <c r="E539" i="8"/>
  <c r="D539" i="8"/>
  <c r="C539" i="8"/>
  <c r="B539" i="8"/>
  <c r="A539" i="8"/>
  <c r="Z538" i="8"/>
  <c r="Y538" i="8"/>
  <c r="X538" i="8"/>
  <c r="W538" i="8"/>
  <c r="V538" i="8"/>
  <c r="U538" i="8"/>
  <c r="T538" i="8"/>
  <c r="S538" i="8"/>
  <c r="R538" i="8"/>
  <c r="P538" i="8"/>
  <c r="M538" i="8"/>
  <c r="L538" i="8"/>
  <c r="J538" i="8"/>
  <c r="I538" i="8"/>
  <c r="H538" i="8"/>
  <c r="G538" i="8"/>
  <c r="F538" i="8"/>
  <c r="E538" i="8"/>
  <c r="D538" i="8"/>
  <c r="C538" i="8"/>
  <c r="B538" i="8"/>
  <c r="A538" i="8"/>
  <c r="Z537" i="8"/>
  <c r="Y537" i="8"/>
  <c r="X537" i="8"/>
  <c r="W537" i="8"/>
  <c r="V537" i="8"/>
  <c r="U537" i="8"/>
  <c r="T537" i="8"/>
  <c r="S537" i="8"/>
  <c r="R537" i="8"/>
  <c r="P537" i="8"/>
  <c r="M537" i="8"/>
  <c r="L537" i="8"/>
  <c r="J537" i="8"/>
  <c r="I537" i="8"/>
  <c r="H537" i="8"/>
  <c r="G537" i="8"/>
  <c r="F537" i="8"/>
  <c r="E537" i="8"/>
  <c r="D537" i="8"/>
  <c r="C537" i="8"/>
  <c r="B537" i="8"/>
  <c r="A537" i="8"/>
  <c r="Z536" i="8"/>
  <c r="Y536" i="8"/>
  <c r="X536" i="8"/>
  <c r="W536" i="8"/>
  <c r="V536" i="8"/>
  <c r="U536" i="8"/>
  <c r="T536" i="8"/>
  <c r="S536" i="8"/>
  <c r="R536" i="8"/>
  <c r="P536" i="8"/>
  <c r="M536" i="8"/>
  <c r="L536" i="8"/>
  <c r="J536" i="8"/>
  <c r="I536" i="8"/>
  <c r="H536" i="8"/>
  <c r="G536" i="8"/>
  <c r="F536" i="8"/>
  <c r="E536" i="8"/>
  <c r="D536" i="8"/>
  <c r="C536" i="8"/>
  <c r="B536" i="8"/>
  <c r="A536" i="8"/>
  <c r="Z535" i="8"/>
  <c r="Y535" i="8"/>
  <c r="X535" i="8"/>
  <c r="W535" i="8"/>
  <c r="V535" i="8"/>
  <c r="U535" i="8"/>
  <c r="T535" i="8"/>
  <c r="S535" i="8"/>
  <c r="R535" i="8"/>
  <c r="P535" i="8"/>
  <c r="M535" i="8"/>
  <c r="L535" i="8"/>
  <c r="J535" i="8"/>
  <c r="I535" i="8"/>
  <c r="H535" i="8"/>
  <c r="G535" i="8"/>
  <c r="F535" i="8"/>
  <c r="E535" i="8"/>
  <c r="D535" i="8"/>
  <c r="C535" i="8"/>
  <c r="B535" i="8"/>
  <c r="A535" i="8"/>
  <c r="Z534" i="8"/>
  <c r="Y534" i="8"/>
  <c r="X534" i="8"/>
  <c r="W534" i="8"/>
  <c r="V534" i="8"/>
  <c r="U534" i="8"/>
  <c r="T534" i="8"/>
  <c r="S534" i="8"/>
  <c r="R534" i="8"/>
  <c r="P534" i="8"/>
  <c r="M534" i="8"/>
  <c r="L534" i="8"/>
  <c r="J534" i="8"/>
  <c r="I534" i="8"/>
  <c r="H534" i="8"/>
  <c r="G534" i="8"/>
  <c r="F534" i="8"/>
  <c r="E534" i="8"/>
  <c r="D534" i="8"/>
  <c r="C534" i="8"/>
  <c r="B534" i="8"/>
  <c r="A534" i="8"/>
  <c r="Z533" i="8"/>
  <c r="Y533" i="8"/>
  <c r="X533" i="8"/>
  <c r="W533" i="8"/>
  <c r="V533" i="8"/>
  <c r="U533" i="8"/>
  <c r="T533" i="8"/>
  <c r="S533" i="8"/>
  <c r="R533" i="8"/>
  <c r="P533" i="8"/>
  <c r="M533" i="8"/>
  <c r="L533" i="8"/>
  <c r="J533" i="8"/>
  <c r="I533" i="8"/>
  <c r="H533" i="8"/>
  <c r="G533" i="8"/>
  <c r="F533" i="8"/>
  <c r="E533" i="8"/>
  <c r="D533" i="8"/>
  <c r="C533" i="8"/>
  <c r="B533" i="8"/>
  <c r="A533" i="8"/>
  <c r="Z532" i="8"/>
  <c r="Y532" i="8"/>
  <c r="X532" i="8"/>
  <c r="W532" i="8"/>
  <c r="V532" i="8"/>
  <c r="U532" i="8"/>
  <c r="T532" i="8"/>
  <c r="S532" i="8"/>
  <c r="R532" i="8"/>
  <c r="P532" i="8"/>
  <c r="M532" i="8"/>
  <c r="L532" i="8"/>
  <c r="J532" i="8"/>
  <c r="I532" i="8"/>
  <c r="H532" i="8"/>
  <c r="G532" i="8"/>
  <c r="F532" i="8"/>
  <c r="E532" i="8"/>
  <c r="D532" i="8"/>
  <c r="C532" i="8"/>
  <c r="B532" i="8"/>
  <c r="A532" i="8"/>
  <c r="Z531" i="8"/>
  <c r="Y531" i="8"/>
  <c r="X531" i="8"/>
  <c r="W531" i="8"/>
  <c r="V531" i="8"/>
  <c r="U531" i="8"/>
  <c r="T531" i="8"/>
  <c r="S531" i="8"/>
  <c r="R531" i="8"/>
  <c r="P531" i="8"/>
  <c r="M531" i="8"/>
  <c r="L531" i="8"/>
  <c r="J531" i="8"/>
  <c r="I531" i="8"/>
  <c r="H531" i="8"/>
  <c r="G531" i="8"/>
  <c r="F531" i="8"/>
  <c r="E531" i="8"/>
  <c r="D531" i="8"/>
  <c r="C531" i="8"/>
  <c r="B531" i="8"/>
  <c r="A531" i="8"/>
  <c r="Z530" i="8"/>
  <c r="Y530" i="8"/>
  <c r="X530" i="8"/>
  <c r="W530" i="8"/>
  <c r="V530" i="8"/>
  <c r="U530" i="8"/>
  <c r="T530" i="8"/>
  <c r="S530" i="8"/>
  <c r="R530" i="8"/>
  <c r="P530" i="8"/>
  <c r="M530" i="8"/>
  <c r="L530" i="8"/>
  <c r="J530" i="8"/>
  <c r="I530" i="8"/>
  <c r="H530" i="8"/>
  <c r="G530" i="8"/>
  <c r="F530" i="8"/>
  <c r="E530" i="8"/>
  <c r="D530" i="8"/>
  <c r="C530" i="8"/>
  <c r="B530" i="8"/>
  <c r="A530" i="8"/>
  <c r="Z529" i="8"/>
  <c r="Y529" i="8"/>
  <c r="X529" i="8"/>
  <c r="W529" i="8"/>
  <c r="V529" i="8"/>
  <c r="U529" i="8"/>
  <c r="T529" i="8"/>
  <c r="S529" i="8"/>
  <c r="R529" i="8"/>
  <c r="P529" i="8"/>
  <c r="M529" i="8"/>
  <c r="L529" i="8"/>
  <c r="J529" i="8"/>
  <c r="I529" i="8"/>
  <c r="H529" i="8"/>
  <c r="G529" i="8"/>
  <c r="F529" i="8"/>
  <c r="E529" i="8"/>
  <c r="D529" i="8"/>
  <c r="C529" i="8"/>
  <c r="B529" i="8"/>
  <c r="A529" i="8"/>
  <c r="Z528" i="8"/>
  <c r="Y528" i="8"/>
  <c r="X528" i="8"/>
  <c r="W528" i="8"/>
  <c r="V528" i="8"/>
  <c r="U528" i="8"/>
  <c r="T528" i="8"/>
  <c r="S528" i="8"/>
  <c r="R528" i="8"/>
  <c r="P528" i="8"/>
  <c r="M528" i="8"/>
  <c r="L528" i="8"/>
  <c r="J528" i="8"/>
  <c r="I528" i="8"/>
  <c r="H528" i="8"/>
  <c r="G528" i="8"/>
  <c r="F528" i="8"/>
  <c r="E528" i="8"/>
  <c r="D528" i="8"/>
  <c r="C528" i="8"/>
  <c r="B528" i="8"/>
  <c r="A528" i="8"/>
  <c r="Z527" i="8"/>
  <c r="Y527" i="8"/>
  <c r="X527" i="8"/>
  <c r="W527" i="8"/>
  <c r="V527" i="8"/>
  <c r="U527" i="8"/>
  <c r="T527" i="8"/>
  <c r="S527" i="8"/>
  <c r="R527" i="8"/>
  <c r="P527" i="8"/>
  <c r="M527" i="8"/>
  <c r="L527" i="8"/>
  <c r="J527" i="8"/>
  <c r="I527" i="8"/>
  <c r="H527" i="8"/>
  <c r="G527" i="8"/>
  <c r="F527" i="8"/>
  <c r="E527" i="8"/>
  <c r="D527" i="8"/>
  <c r="C527" i="8"/>
  <c r="B527" i="8"/>
  <c r="A527" i="8"/>
  <c r="Z526" i="8"/>
  <c r="Y526" i="8"/>
  <c r="X526" i="8"/>
  <c r="W526" i="8"/>
  <c r="V526" i="8"/>
  <c r="U526" i="8"/>
  <c r="T526" i="8"/>
  <c r="S526" i="8"/>
  <c r="R526" i="8"/>
  <c r="P526" i="8"/>
  <c r="M526" i="8"/>
  <c r="L526" i="8"/>
  <c r="J526" i="8"/>
  <c r="I526" i="8"/>
  <c r="H526" i="8"/>
  <c r="G526" i="8"/>
  <c r="F526" i="8"/>
  <c r="E526" i="8"/>
  <c r="D526" i="8"/>
  <c r="C526" i="8"/>
  <c r="B526" i="8"/>
  <c r="A526" i="8"/>
  <c r="Z525" i="8"/>
  <c r="Y525" i="8"/>
  <c r="X525" i="8"/>
  <c r="W525" i="8"/>
  <c r="V525" i="8"/>
  <c r="U525" i="8"/>
  <c r="T525" i="8"/>
  <c r="S525" i="8"/>
  <c r="R525" i="8"/>
  <c r="P525" i="8"/>
  <c r="M525" i="8"/>
  <c r="L525" i="8"/>
  <c r="J525" i="8"/>
  <c r="I525" i="8"/>
  <c r="H525" i="8"/>
  <c r="G525" i="8"/>
  <c r="F525" i="8"/>
  <c r="E525" i="8"/>
  <c r="D525" i="8"/>
  <c r="C525" i="8"/>
  <c r="B525" i="8"/>
  <c r="A525" i="8"/>
  <c r="Z524" i="8"/>
  <c r="Y524" i="8"/>
  <c r="X524" i="8"/>
  <c r="W524" i="8"/>
  <c r="V524" i="8"/>
  <c r="U524" i="8"/>
  <c r="T524" i="8"/>
  <c r="S524" i="8"/>
  <c r="R524" i="8"/>
  <c r="P524" i="8"/>
  <c r="M524" i="8"/>
  <c r="L524" i="8"/>
  <c r="J524" i="8"/>
  <c r="I524" i="8"/>
  <c r="H524" i="8"/>
  <c r="G524" i="8"/>
  <c r="F524" i="8"/>
  <c r="E524" i="8"/>
  <c r="D524" i="8"/>
  <c r="C524" i="8"/>
  <c r="B524" i="8"/>
  <c r="A524" i="8"/>
  <c r="Z523" i="8"/>
  <c r="Y523" i="8"/>
  <c r="X523" i="8"/>
  <c r="W523" i="8"/>
  <c r="V523" i="8"/>
  <c r="U523" i="8"/>
  <c r="T523" i="8"/>
  <c r="S523" i="8"/>
  <c r="R523" i="8"/>
  <c r="P523" i="8"/>
  <c r="M523" i="8"/>
  <c r="L523" i="8"/>
  <c r="J523" i="8"/>
  <c r="I523" i="8"/>
  <c r="H523" i="8"/>
  <c r="G523" i="8"/>
  <c r="F523" i="8"/>
  <c r="E523" i="8"/>
  <c r="D523" i="8"/>
  <c r="C523" i="8"/>
  <c r="B523" i="8"/>
  <c r="A523" i="8"/>
  <c r="Z522" i="8"/>
  <c r="Y522" i="8"/>
  <c r="X522" i="8"/>
  <c r="W522" i="8"/>
  <c r="V522" i="8"/>
  <c r="U522" i="8"/>
  <c r="T522" i="8"/>
  <c r="S522" i="8"/>
  <c r="R522" i="8"/>
  <c r="P522" i="8"/>
  <c r="M522" i="8"/>
  <c r="L522" i="8"/>
  <c r="J522" i="8"/>
  <c r="I522" i="8"/>
  <c r="H522" i="8"/>
  <c r="G522" i="8"/>
  <c r="F522" i="8"/>
  <c r="E522" i="8"/>
  <c r="D522" i="8"/>
  <c r="C522" i="8"/>
  <c r="B522" i="8"/>
  <c r="A522" i="8"/>
  <c r="Z521" i="8"/>
  <c r="Y521" i="8"/>
  <c r="X521" i="8"/>
  <c r="W521" i="8"/>
  <c r="V521" i="8"/>
  <c r="U521" i="8"/>
  <c r="T521" i="8"/>
  <c r="S521" i="8"/>
  <c r="R521" i="8"/>
  <c r="P521" i="8"/>
  <c r="M521" i="8"/>
  <c r="L521" i="8"/>
  <c r="J521" i="8"/>
  <c r="I521" i="8"/>
  <c r="H521" i="8"/>
  <c r="G521" i="8"/>
  <c r="F521" i="8"/>
  <c r="E521" i="8"/>
  <c r="D521" i="8"/>
  <c r="C521" i="8"/>
  <c r="B521" i="8"/>
  <c r="A521" i="8"/>
  <c r="Z520" i="8"/>
  <c r="Y520" i="8"/>
  <c r="X520" i="8"/>
  <c r="W520" i="8"/>
  <c r="V520" i="8"/>
  <c r="U520" i="8"/>
  <c r="T520" i="8"/>
  <c r="S520" i="8"/>
  <c r="R520" i="8"/>
  <c r="P520" i="8"/>
  <c r="M520" i="8"/>
  <c r="L520" i="8"/>
  <c r="J520" i="8"/>
  <c r="I520" i="8"/>
  <c r="H520" i="8"/>
  <c r="G520" i="8"/>
  <c r="F520" i="8"/>
  <c r="E520" i="8"/>
  <c r="D520" i="8"/>
  <c r="C520" i="8"/>
  <c r="B520" i="8"/>
  <c r="A520" i="8"/>
  <c r="Z519" i="8"/>
  <c r="Y519" i="8"/>
  <c r="X519" i="8"/>
  <c r="W519" i="8"/>
  <c r="V519" i="8"/>
  <c r="U519" i="8"/>
  <c r="T519" i="8"/>
  <c r="S519" i="8"/>
  <c r="R519" i="8"/>
  <c r="P519" i="8"/>
  <c r="M519" i="8"/>
  <c r="L519" i="8"/>
  <c r="J519" i="8"/>
  <c r="I519" i="8"/>
  <c r="H519" i="8"/>
  <c r="G519" i="8"/>
  <c r="F519" i="8"/>
  <c r="E519" i="8"/>
  <c r="D519" i="8"/>
  <c r="C519" i="8"/>
  <c r="B519" i="8"/>
  <c r="A519" i="8"/>
  <c r="Z518" i="8"/>
  <c r="Y518" i="8"/>
  <c r="X518" i="8"/>
  <c r="W518" i="8"/>
  <c r="V518" i="8"/>
  <c r="U518" i="8"/>
  <c r="T518" i="8"/>
  <c r="S518" i="8"/>
  <c r="R518" i="8"/>
  <c r="P518" i="8"/>
  <c r="M518" i="8"/>
  <c r="L518" i="8"/>
  <c r="J518" i="8"/>
  <c r="I518" i="8"/>
  <c r="H518" i="8"/>
  <c r="G518" i="8"/>
  <c r="F518" i="8"/>
  <c r="E518" i="8"/>
  <c r="D518" i="8"/>
  <c r="C518" i="8"/>
  <c r="B518" i="8"/>
  <c r="A518" i="8"/>
  <c r="Z517" i="8"/>
  <c r="Y517" i="8"/>
  <c r="X517" i="8"/>
  <c r="W517" i="8"/>
  <c r="V517" i="8"/>
  <c r="U517" i="8"/>
  <c r="T517" i="8"/>
  <c r="S517" i="8"/>
  <c r="R517" i="8"/>
  <c r="P517" i="8"/>
  <c r="M517" i="8"/>
  <c r="L517" i="8"/>
  <c r="J517" i="8"/>
  <c r="I517" i="8"/>
  <c r="H517" i="8"/>
  <c r="G517" i="8"/>
  <c r="F517" i="8"/>
  <c r="E517" i="8"/>
  <c r="D517" i="8"/>
  <c r="C517" i="8"/>
  <c r="B517" i="8"/>
  <c r="A517" i="8"/>
  <c r="Z516" i="8"/>
  <c r="Y516" i="8"/>
  <c r="X516" i="8"/>
  <c r="W516" i="8"/>
  <c r="V516" i="8"/>
  <c r="U516" i="8"/>
  <c r="T516" i="8"/>
  <c r="S516" i="8"/>
  <c r="R516" i="8"/>
  <c r="P516" i="8"/>
  <c r="M516" i="8"/>
  <c r="L516" i="8"/>
  <c r="J516" i="8"/>
  <c r="I516" i="8"/>
  <c r="H516" i="8"/>
  <c r="G516" i="8"/>
  <c r="F516" i="8"/>
  <c r="E516" i="8"/>
  <c r="D516" i="8"/>
  <c r="C516" i="8"/>
  <c r="B516" i="8"/>
  <c r="A516" i="8"/>
  <c r="Z515" i="8"/>
  <c r="Y515" i="8"/>
  <c r="X515" i="8"/>
  <c r="W515" i="8"/>
  <c r="V515" i="8"/>
  <c r="U515" i="8"/>
  <c r="T515" i="8"/>
  <c r="S515" i="8"/>
  <c r="R515" i="8"/>
  <c r="P515" i="8"/>
  <c r="M515" i="8"/>
  <c r="L515" i="8"/>
  <c r="J515" i="8"/>
  <c r="I515" i="8"/>
  <c r="H515" i="8"/>
  <c r="G515" i="8"/>
  <c r="F515" i="8"/>
  <c r="E515" i="8"/>
  <c r="D515" i="8"/>
  <c r="C515" i="8"/>
  <c r="B515" i="8"/>
  <c r="A515" i="8"/>
  <c r="Z514" i="8"/>
  <c r="Y514" i="8"/>
  <c r="X514" i="8"/>
  <c r="W514" i="8"/>
  <c r="V514" i="8"/>
  <c r="U514" i="8"/>
  <c r="T514" i="8"/>
  <c r="S514" i="8"/>
  <c r="R514" i="8"/>
  <c r="P514" i="8"/>
  <c r="M514" i="8"/>
  <c r="L514" i="8"/>
  <c r="J514" i="8"/>
  <c r="I514" i="8"/>
  <c r="H514" i="8"/>
  <c r="G514" i="8"/>
  <c r="F514" i="8"/>
  <c r="E514" i="8"/>
  <c r="D514" i="8"/>
  <c r="C514" i="8"/>
  <c r="B514" i="8"/>
  <c r="A514" i="8"/>
  <c r="Z513" i="8"/>
  <c r="Y513" i="8"/>
  <c r="X513" i="8"/>
  <c r="W513" i="8"/>
  <c r="V513" i="8"/>
  <c r="U513" i="8"/>
  <c r="T513" i="8"/>
  <c r="S513" i="8"/>
  <c r="R513" i="8"/>
  <c r="P513" i="8"/>
  <c r="M513" i="8"/>
  <c r="L513" i="8"/>
  <c r="J513" i="8"/>
  <c r="I513" i="8"/>
  <c r="H513" i="8"/>
  <c r="G513" i="8"/>
  <c r="F513" i="8"/>
  <c r="E513" i="8"/>
  <c r="D513" i="8"/>
  <c r="C513" i="8"/>
  <c r="B513" i="8"/>
  <c r="A513" i="8"/>
  <c r="Z512" i="8"/>
  <c r="Y512" i="8"/>
  <c r="X512" i="8"/>
  <c r="W512" i="8"/>
  <c r="V512" i="8"/>
  <c r="U512" i="8"/>
  <c r="T512" i="8"/>
  <c r="S512" i="8"/>
  <c r="R512" i="8"/>
  <c r="P512" i="8"/>
  <c r="M512" i="8"/>
  <c r="L512" i="8"/>
  <c r="J512" i="8"/>
  <c r="I512" i="8"/>
  <c r="H512" i="8"/>
  <c r="G512" i="8"/>
  <c r="F512" i="8"/>
  <c r="E512" i="8"/>
  <c r="D512" i="8"/>
  <c r="C512" i="8"/>
  <c r="B512" i="8"/>
  <c r="A512" i="8"/>
  <c r="Z511" i="8"/>
  <c r="Y511" i="8"/>
  <c r="X511" i="8"/>
  <c r="W511" i="8"/>
  <c r="V511" i="8"/>
  <c r="U511" i="8"/>
  <c r="T511" i="8"/>
  <c r="S511" i="8"/>
  <c r="R511" i="8"/>
  <c r="P511" i="8"/>
  <c r="M511" i="8"/>
  <c r="L511" i="8"/>
  <c r="J511" i="8"/>
  <c r="I511" i="8"/>
  <c r="H511" i="8"/>
  <c r="G511" i="8"/>
  <c r="F511" i="8"/>
  <c r="E511" i="8"/>
  <c r="D511" i="8"/>
  <c r="C511" i="8"/>
  <c r="B511" i="8"/>
  <c r="A511" i="8"/>
  <c r="Z510" i="8"/>
  <c r="Y510" i="8"/>
  <c r="X510" i="8"/>
  <c r="W510" i="8"/>
  <c r="V510" i="8"/>
  <c r="U510" i="8"/>
  <c r="T510" i="8"/>
  <c r="S510" i="8"/>
  <c r="R510" i="8"/>
  <c r="P510" i="8"/>
  <c r="M510" i="8"/>
  <c r="L510" i="8"/>
  <c r="J510" i="8"/>
  <c r="I510" i="8"/>
  <c r="H510" i="8"/>
  <c r="G510" i="8"/>
  <c r="F510" i="8"/>
  <c r="E510" i="8"/>
  <c r="D510" i="8"/>
  <c r="C510" i="8"/>
  <c r="B510" i="8"/>
  <c r="A510" i="8"/>
  <c r="Z509" i="8"/>
  <c r="Y509" i="8"/>
  <c r="X509" i="8"/>
  <c r="W509" i="8"/>
  <c r="V509" i="8"/>
  <c r="U509" i="8"/>
  <c r="T509" i="8"/>
  <c r="S509" i="8"/>
  <c r="R509" i="8"/>
  <c r="P509" i="8"/>
  <c r="M509" i="8"/>
  <c r="L509" i="8"/>
  <c r="J509" i="8"/>
  <c r="I509" i="8"/>
  <c r="H509" i="8"/>
  <c r="G509" i="8"/>
  <c r="F509" i="8"/>
  <c r="E509" i="8"/>
  <c r="D509" i="8"/>
  <c r="C509" i="8"/>
  <c r="B509" i="8"/>
  <c r="A509" i="8"/>
  <c r="Z508" i="8"/>
  <c r="Y508" i="8"/>
  <c r="X508" i="8"/>
  <c r="W508" i="8"/>
  <c r="V508" i="8"/>
  <c r="U508" i="8"/>
  <c r="T508" i="8"/>
  <c r="S508" i="8"/>
  <c r="R508" i="8"/>
  <c r="P508" i="8"/>
  <c r="M508" i="8"/>
  <c r="L508" i="8"/>
  <c r="J508" i="8"/>
  <c r="I508" i="8"/>
  <c r="H508" i="8"/>
  <c r="G508" i="8"/>
  <c r="F508" i="8"/>
  <c r="E508" i="8"/>
  <c r="D508" i="8"/>
  <c r="C508" i="8"/>
  <c r="B508" i="8"/>
  <c r="A508" i="8"/>
  <c r="Z507" i="8"/>
  <c r="Y507" i="8"/>
  <c r="X507" i="8"/>
  <c r="W507" i="8"/>
  <c r="V507" i="8"/>
  <c r="U507" i="8"/>
  <c r="T507" i="8"/>
  <c r="S507" i="8"/>
  <c r="R507" i="8"/>
  <c r="P507" i="8"/>
  <c r="M507" i="8"/>
  <c r="L507" i="8"/>
  <c r="J507" i="8"/>
  <c r="I507" i="8"/>
  <c r="H507" i="8"/>
  <c r="G507" i="8"/>
  <c r="F507" i="8"/>
  <c r="E507" i="8"/>
  <c r="D507" i="8"/>
  <c r="C507" i="8"/>
  <c r="B507" i="8"/>
  <c r="A507" i="8"/>
  <c r="Z506" i="8"/>
  <c r="Y506" i="8"/>
  <c r="X506" i="8"/>
  <c r="W506" i="8"/>
  <c r="V506" i="8"/>
  <c r="U506" i="8"/>
  <c r="T506" i="8"/>
  <c r="S506" i="8"/>
  <c r="R506" i="8"/>
  <c r="P506" i="8"/>
  <c r="M506" i="8"/>
  <c r="L506" i="8"/>
  <c r="J506" i="8"/>
  <c r="I506" i="8"/>
  <c r="H506" i="8"/>
  <c r="G506" i="8"/>
  <c r="F506" i="8"/>
  <c r="E506" i="8"/>
  <c r="D506" i="8"/>
  <c r="C506" i="8"/>
  <c r="B506" i="8"/>
  <c r="A506" i="8"/>
  <c r="Z505" i="8"/>
  <c r="Y505" i="8"/>
  <c r="X505" i="8"/>
  <c r="W505" i="8"/>
  <c r="V505" i="8"/>
  <c r="U505" i="8"/>
  <c r="T505" i="8"/>
  <c r="S505" i="8"/>
  <c r="R505" i="8"/>
  <c r="P505" i="8"/>
  <c r="M505" i="8"/>
  <c r="L505" i="8"/>
  <c r="J505" i="8"/>
  <c r="I505" i="8"/>
  <c r="H505" i="8"/>
  <c r="G505" i="8"/>
  <c r="F505" i="8"/>
  <c r="E505" i="8"/>
  <c r="D505" i="8"/>
  <c r="C505" i="8"/>
  <c r="B505" i="8"/>
  <c r="A505" i="8"/>
  <c r="Z504" i="8"/>
  <c r="Y504" i="8"/>
  <c r="X504" i="8"/>
  <c r="W504" i="8"/>
  <c r="V504" i="8"/>
  <c r="U504" i="8"/>
  <c r="T504" i="8"/>
  <c r="S504" i="8"/>
  <c r="R504" i="8"/>
  <c r="P504" i="8"/>
  <c r="M504" i="8"/>
  <c r="L504" i="8"/>
  <c r="J504" i="8"/>
  <c r="I504" i="8"/>
  <c r="H504" i="8"/>
  <c r="G504" i="8"/>
  <c r="F504" i="8"/>
  <c r="E504" i="8"/>
  <c r="D504" i="8"/>
  <c r="C504" i="8"/>
  <c r="B504" i="8"/>
  <c r="A504" i="8"/>
  <c r="Z503" i="8"/>
  <c r="Y503" i="8"/>
  <c r="X503" i="8"/>
  <c r="W503" i="8"/>
  <c r="V503" i="8"/>
  <c r="U503" i="8"/>
  <c r="T503" i="8"/>
  <c r="S503" i="8"/>
  <c r="R503" i="8"/>
  <c r="P503" i="8"/>
  <c r="M503" i="8"/>
  <c r="L503" i="8"/>
  <c r="J503" i="8"/>
  <c r="I503" i="8"/>
  <c r="H503" i="8"/>
  <c r="G503" i="8"/>
  <c r="F503" i="8"/>
  <c r="E503" i="8"/>
  <c r="D503" i="8"/>
  <c r="C503" i="8"/>
  <c r="B503" i="8"/>
  <c r="A503" i="8"/>
  <c r="Z502" i="8"/>
  <c r="Y502" i="8"/>
  <c r="X502" i="8"/>
  <c r="W502" i="8"/>
  <c r="V502" i="8"/>
  <c r="U502" i="8"/>
  <c r="T502" i="8"/>
  <c r="S502" i="8"/>
  <c r="R502" i="8"/>
  <c r="P502" i="8"/>
  <c r="M502" i="8"/>
  <c r="L502" i="8"/>
  <c r="J502" i="8"/>
  <c r="I502" i="8"/>
  <c r="H502" i="8"/>
  <c r="G502" i="8"/>
  <c r="F502" i="8"/>
  <c r="E502" i="8"/>
  <c r="D502" i="8"/>
  <c r="C502" i="8"/>
  <c r="B502" i="8"/>
  <c r="A502" i="8"/>
  <c r="Z501" i="8"/>
  <c r="Y501" i="8"/>
  <c r="X501" i="8"/>
  <c r="W501" i="8"/>
  <c r="V501" i="8"/>
  <c r="U501" i="8"/>
  <c r="T501" i="8"/>
  <c r="S501" i="8"/>
  <c r="R501" i="8"/>
  <c r="P501" i="8"/>
  <c r="M501" i="8"/>
  <c r="L501" i="8"/>
  <c r="J501" i="8"/>
  <c r="I501" i="8"/>
  <c r="H501" i="8"/>
  <c r="G501" i="8"/>
  <c r="F501" i="8"/>
  <c r="E501" i="8"/>
  <c r="D501" i="8"/>
  <c r="C501" i="8"/>
  <c r="B501" i="8"/>
  <c r="A501" i="8"/>
  <c r="Z500" i="8"/>
  <c r="Y500" i="8"/>
  <c r="X500" i="8"/>
  <c r="W500" i="8"/>
  <c r="V500" i="8"/>
  <c r="U500" i="8"/>
  <c r="T500" i="8"/>
  <c r="S500" i="8"/>
  <c r="R500" i="8"/>
  <c r="P500" i="8"/>
  <c r="M500" i="8"/>
  <c r="L500" i="8"/>
  <c r="J500" i="8"/>
  <c r="I500" i="8"/>
  <c r="H500" i="8"/>
  <c r="G500" i="8"/>
  <c r="F500" i="8"/>
  <c r="E500" i="8"/>
  <c r="D500" i="8"/>
  <c r="C500" i="8"/>
  <c r="B500" i="8"/>
  <c r="A500" i="8"/>
  <c r="Z499" i="8"/>
  <c r="Y499" i="8"/>
  <c r="X499" i="8"/>
  <c r="W499" i="8"/>
  <c r="V499" i="8"/>
  <c r="U499" i="8"/>
  <c r="T499" i="8"/>
  <c r="S499" i="8"/>
  <c r="R499" i="8"/>
  <c r="P499" i="8"/>
  <c r="M499" i="8"/>
  <c r="L499" i="8"/>
  <c r="J499" i="8"/>
  <c r="I499" i="8"/>
  <c r="H499" i="8"/>
  <c r="G499" i="8"/>
  <c r="F499" i="8"/>
  <c r="E499" i="8"/>
  <c r="D499" i="8"/>
  <c r="C499" i="8"/>
  <c r="B499" i="8"/>
  <c r="A499" i="8"/>
  <c r="Z498" i="8"/>
  <c r="Y498" i="8"/>
  <c r="X498" i="8"/>
  <c r="W498" i="8"/>
  <c r="V498" i="8"/>
  <c r="U498" i="8"/>
  <c r="T498" i="8"/>
  <c r="S498" i="8"/>
  <c r="R498" i="8"/>
  <c r="P498" i="8"/>
  <c r="M498" i="8"/>
  <c r="L498" i="8"/>
  <c r="J498" i="8"/>
  <c r="I498" i="8"/>
  <c r="H498" i="8"/>
  <c r="G498" i="8"/>
  <c r="F498" i="8"/>
  <c r="E498" i="8"/>
  <c r="D498" i="8"/>
  <c r="C498" i="8"/>
  <c r="B498" i="8"/>
  <c r="A498" i="8"/>
  <c r="Z497" i="8"/>
  <c r="Y497" i="8"/>
  <c r="X497" i="8"/>
  <c r="W497" i="8"/>
  <c r="V497" i="8"/>
  <c r="U497" i="8"/>
  <c r="T497" i="8"/>
  <c r="S497" i="8"/>
  <c r="R497" i="8"/>
  <c r="P497" i="8"/>
  <c r="M497" i="8"/>
  <c r="L497" i="8"/>
  <c r="J497" i="8"/>
  <c r="I497" i="8"/>
  <c r="H497" i="8"/>
  <c r="G497" i="8"/>
  <c r="F497" i="8"/>
  <c r="E497" i="8"/>
  <c r="D497" i="8"/>
  <c r="C497" i="8"/>
  <c r="B497" i="8"/>
  <c r="A497" i="8"/>
  <c r="Z496" i="8"/>
  <c r="Y496" i="8"/>
  <c r="X496" i="8"/>
  <c r="W496" i="8"/>
  <c r="V496" i="8"/>
  <c r="U496" i="8"/>
  <c r="T496" i="8"/>
  <c r="S496" i="8"/>
  <c r="R496" i="8"/>
  <c r="P496" i="8"/>
  <c r="M496" i="8"/>
  <c r="L496" i="8"/>
  <c r="J496" i="8"/>
  <c r="I496" i="8"/>
  <c r="H496" i="8"/>
  <c r="G496" i="8"/>
  <c r="F496" i="8"/>
  <c r="E496" i="8"/>
  <c r="D496" i="8"/>
  <c r="C496" i="8"/>
  <c r="B496" i="8"/>
  <c r="A496" i="8"/>
  <c r="Z495" i="8"/>
  <c r="Y495" i="8"/>
  <c r="X495" i="8"/>
  <c r="W495" i="8"/>
  <c r="V495" i="8"/>
  <c r="U495" i="8"/>
  <c r="T495" i="8"/>
  <c r="S495" i="8"/>
  <c r="R495" i="8"/>
  <c r="P495" i="8"/>
  <c r="M495" i="8"/>
  <c r="L495" i="8"/>
  <c r="J495" i="8"/>
  <c r="I495" i="8"/>
  <c r="H495" i="8"/>
  <c r="G495" i="8"/>
  <c r="F495" i="8"/>
  <c r="E495" i="8"/>
  <c r="D495" i="8"/>
  <c r="C495" i="8"/>
  <c r="B495" i="8"/>
  <c r="A495" i="8"/>
  <c r="Z494" i="8"/>
  <c r="Y494" i="8"/>
  <c r="X494" i="8"/>
  <c r="W494" i="8"/>
  <c r="V494" i="8"/>
  <c r="U494" i="8"/>
  <c r="T494" i="8"/>
  <c r="S494" i="8"/>
  <c r="R494" i="8"/>
  <c r="P494" i="8"/>
  <c r="M494" i="8"/>
  <c r="L494" i="8"/>
  <c r="J494" i="8"/>
  <c r="I494" i="8"/>
  <c r="H494" i="8"/>
  <c r="G494" i="8"/>
  <c r="F494" i="8"/>
  <c r="E494" i="8"/>
  <c r="D494" i="8"/>
  <c r="C494" i="8"/>
  <c r="B494" i="8"/>
  <c r="A494" i="8"/>
  <c r="Z493" i="8"/>
  <c r="Y493" i="8"/>
  <c r="X493" i="8"/>
  <c r="W493" i="8"/>
  <c r="V493" i="8"/>
  <c r="U493" i="8"/>
  <c r="T493" i="8"/>
  <c r="S493" i="8"/>
  <c r="R493" i="8"/>
  <c r="P493" i="8"/>
  <c r="M493" i="8"/>
  <c r="L493" i="8"/>
  <c r="J493" i="8"/>
  <c r="I493" i="8"/>
  <c r="H493" i="8"/>
  <c r="G493" i="8"/>
  <c r="F493" i="8"/>
  <c r="E493" i="8"/>
  <c r="D493" i="8"/>
  <c r="C493" i="8"/>
  <c r="B493" i="8"/>
  <c r="A493" i="8"/>
  <c r="Z492" i="8"/>
  <c r="Y492" i="8"/>
  <c r="X492" i="8"/>
  <c r="W492" i="8"/>
  <c r="V492" i="8"/>
  <c r="U492" i="8"/>
  <c r="T492" i="8"/>
  <c r="S492" i="8"/>
  <c r="R492" i="8"/>
  <c r="P492" i="8"/>
  <c r="M492" i="8"/>
  <c r="L492" i="8"/>
  <c r="J492" i="8"/>
  <c r="I492" i="8"/>
  <c r="H492" i="8"/>
  <c r="G492" i="8"/>
  <c r="F492" i="8"/>
  <c r="E492" i="8"/>
  <c r="D492" i="8"/>
  <c r="C492" i="8"/>
  <c r="B492" i="8"/>
  <c r="A492" i="8"/>
  <c r="Z491" i="8"/>
  <c r="Y491" i="8"/>
  <c r="X491" i="8"/>
  <c r="W491" i="8"/>
  <c r="V491" i="8"/>
  <c r="U491" i="8"/>
  <c r="T491" i="8"/>
  <c r="S491" i="8"/>
  <c r="R491" i="8"/>
  <c r="P491" i="8"/>
  <c r="M491" i="8"/>
  <c r="L491" i="8"/>
  <c r="J491" i="8"/>
  <c r="I491" i="8"/>
  <c r="H491" i="8"/>
  <c r="G491" i="8"/>
  <c r="F491" i="8"/>
  <c r="E491" i="8"/>
  <c r="D491" i="8"/>
  <c r="C491" i="8"/>
  <c r="B491" i="8"/>
  <c r="A491" i="8"/>
  <c r="Z490" i="8"/>
  <c r="Y490" i="8"/>
  <c r="X490" i="8"/>
  <c r="W490" i="8"/>
  <c r="V490" i="8"/>
  <c r="U490" i="8"/>
  <c r="T490" i="8"/>
  <c r="S490" i="8"/>
  <c r="R490" i="8"/>
  <c r="P490" i="8"/>
  <c r="M490" i="8"/>
  <c r="L490" i="8"/>
  <c r="J490" i="8"/>
  <c r="I490" i="8"/>
  <c r="H490" i="8"/>
  <c r="G490" i="8"/>
  <c r="F490" i="8"/>
  <c r="E490" i="8"/>
  <c r="D490" i="8"/>
  <c r="C490" i="8"/>
  <c r="B490" i="8"/>
  <c r="A490" i="8"/>
  <c r="Z489" i="8"/>
  <c r="Y489" i="8"/>
  <c r="X489" i="8"/>
  <c r="W489" i="8"/>
  <c r="V489" i="8"/>
  <c r="U489" i="8"/>
  <c r="T489" i="8"/>
  <c r="S489" i="8"/>
  <c r="R489" i="8"/>
  <c r="P489" i="8"/>
  <c r="M489" i="8"/>
  <c r="L489" i="8"/>
  <c r="J489" i="8"/>
  <c r="I489" i="8"/>
  <c r="H489" i="8"/>
  <c r="G489" i="8"/>
  <c r="F489" i="8"/>
  <c r="E489" i="8"/>
  <c r="D489" i="8"/>
  <c r="C489" i="8"/>
  <c r="B489" i="8"/>
  <c r="A489" i="8"/>
  <c r="Z488" i="8"/>
  <c r="Y488" i="8"/>
  <c r="X488" i="8"/>
  <c r="W488" i="8"/>
  <c r="V488" i="8"/>
  <c r="U488" i="8"/>
  <c r="T488" i="8"/>
  <c r="S488" i="8"/>
  <c r="R488" i="8"/>
  <c r="P488" i="8"/>
  <c r="M488" i="8"/>
  <c r="L488" i="8"/>
  <c r="J488" i="8"/>
  <c r="I488" i="8"/>
  <c r="H488" i="8"/>
  <c r="G488" i="8"/>
  <c r="F488" i="8"/>
  <c r="E488" i="8"/>
  <c r="D488" i="8"/>
  <c r="C488" i="8"/>
  <c r="B488" i="8"/>
  <c r="A488" i="8"/>
  <c r="Z487" i="8"/>
  <c r="Y487" i="8"/>
  <c r="X487" i="8"/>
  <c r="W487" i="8"/>
  <c r="V487" i="8"/>
  <c r="U487" i="8"/>
  <c r="T487" i="8"/>
  <c r="S487" i="8"/>
  <c r="R487" i="8"/>
  <c r="P487" i="8"/>
  <c r="M487" i="8"/>
  <c r="L487" i="8"/>
  <c r="J487" i="8"/>
  <c r="I487" i="8"/>
  <c r="H487" i="8"/>
  <c r="G487" i="8"/>
  <c r="F487" i="8"/>
  <c r="E487" i="8"/>
  <c r="D487" i="8"/>
  <c r="C487" i="8"/>
  <c r="B487" i="8"/>
  <c r="A487" i="8"/>
  <c r="Z486" i="8"/>
  <c r="Y486" i="8"/>
  <c r="X486" i="8"/>
  <c r="W486" i="8"/>
  <c r="V486" i="8"/>
  <c r="U486" i="8"/>
  <c r="T486" i="8"/>
  <c r="S486" i="8"/>
  <c r="R486" i="8"/>
  <c r="P486" i="8"/>
  <c r="M486" i="8"/>
  <c r="L486" i="8"/>
  <c r="J486" i="8"/>
  <c r="I486" i="8"/>
  <c r="H486" i="8"/>
  <c r="G486" i="8"/>
  <c r="F486" i="8"/>
  <c r="E486" i="8"/>
  <c r="D486" i="8"/>
  <c r="C486" i="8"/>
  <c r="B486" i="8"/>
  <c r="A486" i="8"/>
  <c r="Z485" i="8"/>
  <c r="Y485" i="8"/>
  <c r="X485" i="8"/>
  <c r="W485" i="8"/>
  <c r="V485" i="8"/>
  <c r="U485" i="8"/>
  <c r="T485" i="8"/>
  <c r="S485" i="8"/>
  <c r="R485" i="8"/>
  <c r="P485" i="8"/>
  <c r="M485" i="8"/>
  <c r="L485" i="8"/>
  <c r="J485" i="8"/>
  <c r="I485" i="8"/>
  <c r="H485" i="8"/>
  <c r="G485" i="8"/>
  <c r="F485" i="8"/>
  <c r="E485" i="8"/>
  <c r="D485" i="8"/>
  <c r="C485" i="8"/>
  <c r="B485" i="8"/>
  <c r="A485" i="8"/>
  <c r="Z484" i="8"/>
  <c r="Y484" i="8"/>
  <c r="X484" i="8"/>
  <c r="W484" i="8"/>
  <c r="V484" i="8"/>
  <c r="U484" i="8"/>
  <c r="T484" i="8"/>
  <c r="S484" i="8"/>
  <c r="R484" i="8"/>
  <c r="P484" i="8"/>
  <c r="M484" i="8"/>
  <c r="L484" i="8"/>
  <c r="J484" i="8"/>
  <c r="I484" i="8"/>
  <c r="H484" i="8"/>
  <c r="G484" i="8"/>
  <c r="F484" i="8"/>
  <c r="E484" i="8"/>
  <c r="D484" i="8"/>
  <c r="C484" i="8"/>
  <c r="B484" i="8"/>
  <c r="A484" i="8"/>
  <c r="Z483" i="8"/>
  <c r="Y483" i="8"/>
  <c r="X483" i="8"/>
  <c r="W483" i="8"/>
  <c r="V483" i="8"/>
  <c r="U483" i="8"/>
  <c r="T483" i="8"/>
  <c r="S483" i="8"/>
  <c r="R483" i="8"/>
  <c r="P483" i="8"/>
  <c r="M483" i="8"/>
  <c r="L483" i="8"/>
  <c r="J483" i="8"/>
  <c r="I483" i="8"/>
  <c r="H483" i="8"/>
  <c r="G483" i="8"/>
  <c r="F483" i="8"/>
  <c r="E483" i="8"/>
  <c r="D483" i="8"/>
  <c r="C483" i="8"/>
  <c r="B483" i="8"/>
  <c r="A483" i="8"/>
  <c r="Z482" i="8"/>
  <c r="Y482" i="8"/>
  <c r="X482" i="8"/>
  <c r="W482" i="8"/>
  <c r="V482" i="8"/>
  <c r="U482" i="8"/>
  <c r="T482" i="8"/>
  <c r="S482" i="8"/>
  <c r="R482" i="8"/>
  <c r="P482" i="8"/>
  <c r="M482" i="8"/>
  <c r="L482" i="8"/>
  <c r="J482" i="8"/>
  <c r="I482" i="8"/>
  <c r="H482" i="8"/>
  <c r="G482" i="8"/>
  <c r="F482" i="8"/>
  <c r="E482" i="8"/>
  <c r="D482" i="8"/>
  <c r="C482" i="8"/>
  <c r="B482" i="8"/>
  <c r="A482" i="8"/>
  <c r="Z481" i="8"/>
  <c r="Y481" i="8"/>
  <c r="X481" i="8"/>
  <c r="W481" i="8"/>
  <c r="V481" i="8"/>
  <c r="U481" i="8"/>
  <c r="T481" i="8"/>
  <c r="S481" i="8"/>
  <c r="R481" i="8"/>
  <c r="P481" i="8"/>
  <c r="M481" i="8"/>
  <c r="L481" i="8"/>
  <c r="J481" i="8"/>
  <c r="I481" i="8"/>
  <c r="H481" i="8"/>
  <c r="G481" i="8"/>
  <c r="F481" i="8"/>
  <c r="E481" i="8"/>
  <c r="D481" i="8"/>
  <c r="C481" i="8"/>
  <c r="B481" i="8"/>
  <c r="A481" i="8"/>
  <c r="Z480" i="8"/>
  <c r="Y480" i="8"/>
  <c r="X480" i="8"/>
  <c r="W480" i="8"/>
  <c r="V480" i="8"/>
  <c r="U480" i="8"/>
  <c r="T480" i="8"/>
  <c r="S480" i="8"/>
  <c r="R480" i="8"/>
  <c r="P480" i="8"/>
  <c r="M480" i="8"/>
  <c r="L480" i="8"/>
  <c r="J480" i="8"/>
  <c r="I480" i="8"/>
  <c r="H480" i="8"/>
  <c r="G480" i="8"/>
  <c r="F480" i="8"/>
  <c r="E480" i="8"/>
  <c r="D480" i="8"/>
  <c r="C480" i="8"/>
  <c r="B480" i="8"/>
  <c r="A480" i="8"/>
  <c r="Z479" i="8"/>
  <c r="Y479" i="8"/>
  <c r="X479" i="8"/>
  <c r="W479" i="8"/>
  <c r="V479" i="8"/>
  <c r="U479" i="8"/>
  <c r="T479" i="8"/>
  <c r="S479" i="8"/>
  <c r="R479" i="8"/>
  <c r="P479" i="8"/>
  <c r="M479" i="8"/>
  <c r="L479" i="8"/>
  <c r="J479" i="8"/>
  <c r="I479" i="8"/>
  <c r="H479" i="8"/>
  <c r="G479" i="8"/>
  <c r="F479" i="8"/>
  <c r="E479" i="8"/>
  <c r="D479" i="8"/>
  <c r="C479" i="8"/>
  <c r="B479" i="8"/>
  <c r="A479" i="8"/>
  <c r="Z478" i="8"/>
  <c r="Y478" i="8"/>
  <c r="X478" i="8"/>
  <c r="W478" i="8"/>
  <c r="V478" i="8"/>
  <c r="U478" i="8"/>
  <c r="T478" i="8"/>
  <c r="S478" i="8"/>
  <c r="R478" i="8"/>
  <c r="P478" i="8"/>
  <c r="M478" i="8"/>
  <c r="L478" i="8"/>
  <c r="J478" i="8"/>
  <c r="I478" i="8"/>
  <c r="H478" i="8"/>
  <c r="G478" i="8"/>
  <c r="F478" i="8"/>
  <c r="E478" i="8"/>
  <c r="D478" i="8"/>
  <c r="C478" i="8"/>
  <c r="B478" i="8"/>
  <c r="A478" i="8"/>
  <c r="Z477" i="8"/>
  <c r="Y477" i="8"/>
  <c r="X477" i="8"/>
  <c r="W477" i="8"/>
  <c r="V477" i="8"/>
  <c r="U477" i="8"/>
  <c r="T477" i="8"/>
  <c r="S477" i="8"/>
  <c r="R477" i="8"/>
  <c r="P477" i="8"/>
  <c r="M477" i="8"/>
  <c r="L477" i="8"/>
  <c r="J477" i="8"/>
  <c r="I477" i="8"/>
  <c r="H477" i="8"/>
  <c r="G477" i="8"/>
  <c r="F477" i="8"/>
  <c r="E477" i="8"/>
  <c r="D477" i="8"/>
  <c r="C477" i="8"/>
  <c r="B477" i="8"/>
  <c r="A477" i="8"/>
  <c r="Z476" i="8"/>
  <c r="Y476" i="8"/>
  <c r="X476" i="8"/>
  <c r="W476" i="8"/>
  <c r="V476" i="8"/>
  <c r="U476" i="8"/>
  <c r="T476" i="8"/>
  <c r="S476" i="8"/>
  <c r="R476" i="8"/>
  <c r="P476" i="8"/>
  <c r="M476" i="8"/>
  <c r="L476" i="8"/>
  <c r="J476" i="8"/>
  <c r="I476" i="8"/>
  <c r="H476" i="8"/>
  <c r="G476" i="8"/>
  <c r="F476" i="8"/>
  <c r="E476" i="8"/>
  <c r="D476" i="8"/>
  <c r="C476" i="8"/>
  <c r="B476" i="8"/>
  <c r="A476" i="8"/>
  <c r="Z475" i="8"/>
  <c r="Y475" i="8"/>
  <c r="X475" i="8"/>
  <c r="W475" i="8"/>
  <c r="V475" i="8"/>
  <c r="U475" i="8"/>
  <c r="T475" i="8"/>
  <c r="S475" i="8"/>
  <c r="R475" i="8"/>
  <c r="P475" i="8"/>
  <c r="M475" i="8"/>
  <c r="L475" i="8"/>
  <c r="J475" i="8"/>
  <c r="I475" i="8"/>
  <c r="H475" i="8"/>
  <c r="G475" i="8"/>
  <c r="F475" i="8"/>
  <c r="E475" i="8"/>
  <c r="D475" i="8"/>
  <c r="C475" i="8"/>
  <c r="B475" i="8"/>
  <c r="A475" i="8"/>
  <c r="Z474" i="8"/>
  <c r="Y474" i="8"/>
  <c r="X474" i="8"/>
  <c r="W474" i="8"/>
  <c r="V474" i="8"/>
  <c r="U474" i="8"/>
  <c r="T474" i="8"/>
  <c r="S474" i="8"/>
  <c r="R474" i="8"/>
  <c r="P474" i="8"/>
  <c r="M474" i="8"/>
  <c r="L474" i="8"/>
  <c r="J474" i="8"/>
  <c r="I474" i="8"/>
  <c r="H474" i="8"/>
  <c r="G474" i="8"/>
  <c r="F474" i="8"/>
  <c r="E474" i="8"/>
  <c r="D474" i="8"/>
  <c r="C474" i="8"/>
  <c r="B474" i="8"/>
  <c r="A474" i="8"/>
  <c r="Z473" i="8"/>
  <c r="Y473" i="8"/>
  <c r="X473" i="8"/>
  <c r="W473" i="8"/>
  <c r="V473" i="8"/>
  <c r="U473" i="8"/>
  <c r="T473" i="8"/>
  <c r="S473" i="8"/>
  <c r="R473" i="8"/>
  <c r="P473" i="8"/>
  <c r="M473" i="8"/>
  <c r="L473" i="8"/>
  <c r="J473" i="8"/>
  <c r="I473" i="8"/>
  <c r="H473" i="8"/>
  <c r="G473" i="8"/>
  <c r="F473" i="8"/>
  <c r="E473" i="8"/>
  <c r="D473" i="8"/>
  <c r="C473" i="8"/>
  <c r="B473" i="8"/>
  <c r="A473" i="8"/>
  <c r="Z472" i="8"/>
  <c r="Y472" i="8"/>
  <c r="X472" i="8"/>
  <c r="W472" i="8"/>
  <c r="V472" i="8"/>
  <c r="U472" i="8"/>
  <c r="T472" i="8"/>
  <c r="S472" i="8"/>
  <c r="R472" i="8"/>
  <c r="P472" i="8"/>
  <c r="M472" i="8"/>
  <c r="L472" i="8"/>
  <c r="J472" i="8"/>
  <c r="I472" i="8"/>
  <c r="H472" i="8"/>
  <c r="G472" i="8"/>
  <c r="F472" i="8"/>
  <c r="E472" i="8"/>
  <c r="D472" i="8"/>
  <c r="C472" i="8"/>
  <c r="B472" i="8"/>
  <c r="A472" i="8"/>
  <c r="Z471" i="8"/>
  <c r="Y471" i="8"/>
  <c r="X471" i="8"/>
  <c r="W471" i="8"/>
  <c r="V471" i="8"/>
  <c r="U471" i="8"/>
  <c r="T471" i="8"/>
  <c r="S471" i="8"/>
  <c r="R471" i="8"/>
  <c r="P471" i="8"/>
  <c r="M471" i="8"/>
  <c r="L471" i="8"/>
  <c r="J471" i="8"/>
  <c r="I471" i="8"/>
  <c r="H471" i="8"/>
  <c r="G471" i="8"/>
  <c r="F471" i="8"/>
  <c r="E471" i="8"/>
  <c r="D471" i="8"/>
  <c r="C471" i="8"/>
  <c r="B471" i="8"/>
  <c r="A471" i="8"/>
  <c r="Z470" i="8"/>
  <c r="Y470" i="8"/>
  <c r="X470" i="8"/>
  <c r="W470" i="8"/>
  <c r="V470" i="8"/>
  <c r="U470" i="8"/>
  <c r="T470" i="8"/>
  <c r="S470" i="8"/>
  <c r="R470" i="8"/>
  <c r="P470" i="8"/>
  <c r="M470" i="8"/>
  <c r="L470" i="8"/>
  <c r="J470" i="8"/>
  <c r="I470" i="8"/>
  <c r="H470" i="8"/>
  <c r="G470" i="8"/>
  <c r="F470" i="8"/>
  <c r="E470" i="8"/>
  <c r="D470" i="8"/>
  <c r="C470" i="8"/>
  <c r="B470" i="8"/>
  <c r="A470" i="8"/>
  <c r="Z469" i="8"/>
  <c r="Y469" i="8"/>
  <c r="X469" i="8"/>
  <c r="W469" i="8"/>
  <c r="V469" i="8"/>
  <c r="U469" i="8"/>
  <c r="T469" i="8"/>
  <c r="S469" i="8"/>
  <c r="R469" i="8"/>
  <c r="P469" i="8"/>
  <c r="M469" i="8"/>
  <c r="L469" i="8"/>
  <c r="J469" i="8"/>
  <c r="I469" i="8"/>
  <c r="H469" i="8"/>
  <c r="G469" i="8"/>
  <c r="F469" i="8"/>
  <c r="E469" i="8"/>
  <c r="D469" i="8"/>
  <c r="C469" i="8"/>
  <c r="B469" i="8"/>
  <c r="A469" i="8"/>
  <c r="Z468" i="8"/>
  <c r="Y468" i="8"/>
  <c r="X468" i="8"/>
  <c r="W468" i="8"/>
  <c r="V468" i="8"/>
  <c r="U468" i="8"/>
  <c r="T468" i="8"/>
  <c r="S468" i="8"/>
  <c r="R468" i="8"/>
  <c r="P468" i="8"/>
  <c r="M468" i="8"/>
  <c r="L468" i="8"/>
  <c r="J468" i="8"/>
  <c r="I468" i="8"/>
  <c r="H468" i="8"/>
  <c r="G468" i="8"/>
  <c r="F468" i="8"/>
  <c r="E468" i="8"/>
  <c r="D468" i="8"/>
  <c r="C468" i="8"/>
  <c r="B468" i="8"/>
  <c r="A468" i="8"/>
  <c r="Z467" i="8"/>
  <c r="Y467" i="8"/>
  <c r="X467" i="8"/>
  <c r="W467" i="8"/>
  <c r="V467" i="8"/>
  <c r="U467" i="8"/>
  <c r="T467" i="8"/>
  <c r="S467" i="8"/>
  <c r="R467" i="8"/>
  <c r="P467" i="8"/>
  <c r="M467" i="8"/>
  <c r="L467" i="8"/>
  <c r="J467" i="8"/>
  <c r="I467" i="8"/>
  <c r="H467" i="8"/>
  <c r="G467" i="8"/>
  <c r="F467" i="8"/>
  <c r="E467" i="8"/>
  <c r="D467" i="8"/>
  <c r="C467" i="8"/>
  <c r="B467" i="8"/>
  <c r="A467" i="8"/>
  <c r="Z466" i="8"/>
  <c r="Y466" i="8"/>
  <c r="X466" i="8"/>
  <c r="W466" i="8"/>
  <c r="V466" i="8"/>
  <c r="U466" i="8"/>
  <c r="T466" i="8"/>
  <c r="S466" i="8"/>
  <c r="R466" i="8"/>
  <c r="P466" i="8"/>
  <c r="M466" i="8"/>
  <c r="L466" i="8"/>
  <c r="J466" i="8"/>
  <c r="I466" i="8"/>
  <c r="H466" i="8"/>
  <c r="G466" i="8"/>
  <c r="F466" i="8"/>
  <c r="E466" i="8"/>
  <c r="D466" i="8"/>
  <c r="C466" i="8"/>
  <c r="B466" i="8"/>
  <c r="A466" i="8"/>
  <c r="Z465" i="8"/>
  <c r="Y465" i="8"/>
  <c r="X465" i="8"/>
  <c r="W465" i="8"/>
  <c r="V465" i="8"/>
  <c r="U465" i="8"/>
  <c r="T465" i="8"/>
  <c r="S465" i="8"/>
  <c r="R465" i="8"/>
  <c r="P465" i="8"/>
  <c r="M465" i="8"/>
  <c r="L465" i="8"/>
  <c r="J465" i="8"/>
  <c r="I465" i="8"/>
  <c r="H465" i="8"/>
  <c r="G465" i="8"/>
  <c r="F465" i="8"/>
  <c r="E465" i="8"/>
  <c r="D465" i="8"/>
  <c r="C465" i="8"/>
  <c r="B465" i="8"/>
  <c r="A465" i="8"/>
  <c r="Z464" i="8"/>
  <c r="Y464" i="8"/>
  <c r="X464" i="8"/>
  <c r="W464" i="8"/>
  <c r="V464" i="8"/>
  <c r="U464" i="8"/>
  <c r="T464" i="8"/>
  <c r="S464" i="8"/>
  <c r="R464" i="8"/>
  <c r="P464" i="8"/>
  <c r="M464" i="8"/>
  <c r="L464" i="8"/>
  <c r="J464" i="8"/>
  <c r="I464" i="8"/>
  <c r="H464" i="8"/>
  <c r="G464" i="8"/>
  <c r="F464" i="8"/>
  <c r="E464" i="8"/>
  <c r="D464" i="8"/>
  <c r="C464" i="8"/>
  <c r="B464" i="8"/>
  <c r="A464" i="8"/>
  <c r="Z463" i="8"/>
  <c r="Y463" i="8"/>
  <c r="X463" i="8"/>
  <c r="W463" i="8"/>
  <c r="V463" i="8"/>
  <c r="U463" i="8"/>
  <c r="T463" i="8"/>
  <c r="S463" i="8"/>
  <c r="R463" i="8"/>
  <c r="P463" i="8"/>
  <c r="M463" i="8"/>
  <c r="L463" i="8"/>
  <c r="J463" i="8"/>
  <c r="I463" i="8"/>
  <c r="H463" i="8"/>
  <c r="G463" i="8"/>
  <c r="F463" i="8"/>
  <c r="E463" i="8"/>
  <c r="D463" i="8"/>
  <c r="C463" i="8"/>
  <c r="B463" i="8"/>
  <c r="A463" i="8"/>
  <c r="Z462" i="8"/>
  <c r="Y462" i="8"/>
  <c r="X462" i="8"/>
  <c r="W462" i="8"/>
  <c r="V462" i="8"/>
  <c r="U462" i="8"/>
  <c r="T462" i="8"/>
  <c r="S462" i="8"/>
  <c r="P462" i="8"/>
  <c r="M462" i="8"/>
  <c r="L462" i="8"/>
  <c r="J462" i="8"/>
  <c r="I462" i="8"/>
  <c r="H462" i="8"/>
  <c r="G462" i="8"/>
  <c r="F462" i="8"/>
  <c r="E462" i="8"/>
  <c r="D462" i="8"/>
  <c r="C462" i="8"/>
  <c r="B462" i="8"/>
  <c r="A462" i="8"/>
  <c r="Z461" i="8"/>
  <c r="Y461" i="8"/>
  <c r="X461" i="8"/>
  <c r="W461" i="8"/>
  <c r="V461" i="8"/>
  <c r="U461" i="8"/>
  <c r="T461" i="8"/>
  <c r="S461" i="8"/>
  <c r="R461" i="8"/>
  <c r="P461" i="8"/>
  <c r="M461" i="8"/>
  <c r="L461" i="8"/>
  <c r="J461" i="8"/>
  <c r="I461" i="8"/>
  <c r="H461" i="8"/>
  <c r="G461" i="8"/>
  <c r="F461" i="8"/>
  <c r="E461" i="8"/>
  <c r="D461" i="8"/>
  <c r="C461" i="8"/>
  <c r="B461" i="8"/>
  <c r="A461" i="8"/>
  <c r="Z460" i="8"/>
  <c r="Y460" i="8"/>
  <c r="X460" i="8"/>
  <c r="W460" i="8"/>
  <c r="V460" i="8"/>
  <c r="U460" i="8"/>
  <c r="T460" i="8"/>
  <c r="S460" i="8"/>
  <c r="R460" i="8"/>
  <c r="P460" i="8"/>
  <c r="M460" i="8"/>
  <c r="L460" i="8"/>
  <c r="J460" i="8"/>
  <c r="I460" i="8"/>
  <c r="H460" i="8"/>
  <c r="G460" i="8"/>
  <c r="F460" i="8"/>
  <c r="E460" i="8"/>
  <c r="D460" i="8"/>
  <c r="C460" i="8"/>
  <c r="B460" i="8"/>
  <c r="A460" i="8"/>
  <c r="Z459" i="8"/>
  <c r="Y459" i="8"/>
  <c r="X459" i="8"/>
  <c r="W459" i="8"/>
  <c r="V459" i="8"/>
  <c r="U459" i="8"/>
  <c r="T459" i="8"/>
  <c r="S459" i="8"/>
  <c r="R459" i="8"/>
  <c r="P459" i="8"/>
  <c r="M459" i="8"/>
  <c r="L459" i="8"/>
  <c r="J459" i="8"/>
  <c r="I459" i="8"/>
  <c r="H459" i="8"/>
  <c r="G459" i="8"/>
  <c r="F459" i="8"/>
  <c r="E459" i="8"/>
  <c r="D459" i="8"/>
  <c r="C459" i="8"/>
  <c r="B459" i="8"/>
  <c r="A459" i="8"/>
  <c r="Z458" i="8"/>
  <c r="Y458" i="8"/>
  <c r="X458" i="8"/>
  <c r="W458" i="8"/>
  <c r="V458" i="8"/>
  <c r="U458" i="8"/>
  <c r="T458" i="8"/>
  <c r="S458" i="8"/>
  <c r="R458" i="8"/>
  <c r="P458" i="8"/>
  <c r="M458" i="8"/>
  <c r="L458" i="8"/>
  <c r="J458" i="8"/>
  <c r="I458" i="8"/>
  <c r="H458" i="8"/>
  <c r="G458" i="8"/>
  <c r="F458" i="8"/>
  <c r="E458" i="8"/>
  <c r="D458" i="8"/>
  <c r="C458" i="8"/>
  <c r="B458" i="8"/>
  <c r="A458" i="8"/>
  <c r="Z457" i="8"/>
  <c r="Y457" i="8"/>
  <c r="X457" i="8"/>
  <c r="W457" i="8"/>
  <c r="V457" i="8"/>
  <c r="U457" i="8"/>
  <c r="T457" i="8"/>
  <c r="S457" i="8"/>
  <c r="R457" i="8"/>
  <c r="P457" i="8"/>
  <c r="M457" i="8"/>
  <c r="L457" i="8"/>
  <c r="J457" i="8"/>
  <c r="I457" i="8"/>
  <c r="H457" i="8"/>
  <c r="G457" i="8"/>
  <c r="F457" i="8"/>
  <c r="E457" i="8"/>
  <c r="D457" i="8"/>
  <c r="C457" i="8"/>
  <c r="B457" i="8"/>
  <c r="A457" i="8"/>
  <c r="Z456" i="8"/>
  <c r="Y456" i="8"/>
  <c r="X456" i="8"/>
  <c r="W456" i="8"/>
  <c r="V456" i="8"/>
  <c r="U456" i="8"/>
  <c r="T456" i="8"/>
  <c r="S456" i="8"/>
  <c r="R456" i="8"/>
  <c r="P456" i="8"/>
  <c r="M456" i="8"/>
  <c r="L456" i="8"/>
  <c r="J456" i="8"/>
  <c r="I456" i="8"/>
  <c r="H456" i="8"/>
  <c r="G456" i="8"/>
  <c r="F456" i="8"/>
  <c r="E456" i="8"/>
  <c r="D456" i="8"/>
  <c r="C456" i="8"/>
  <c r="B456" i="8"/>
  <c r="A456" i="8"/>
  <c r="Z455" i="8"/>
  <c r="Y455" i="8"/>
  <c r="X455" i="8"/>
  <c r="W455" i="8"/>
  <c r="V455" i="8"/>
  <c r="U455" i="8"/>
  <c r="T455" i="8"/>
  <c r="S455" i="8"/>
  <c r="R455" i="8"/>
  <c r="P455" i="8"/>
  <c r="M455" i="8"/>
  <c r="L455" i="8"/>
  <c r="J455" i="8"/>
  <c r="I455" i="8"/>
  <c r="H455" i="8"/>
  <c r="G455" i="8"/>
  <c r="F455" i="8"/>
  <c r="E455" i="8"/>
  <c r="D455" i="8"/>
  <c r="C455" i="8"/>
  <c r="B455" i="8"/>
  <c r="A455" i="8"/>
  <c r="Z454" i="8"/>
  <c r="Y454" i="8"/>
  <c r="X454" i="8"/>
  <c r="W454" i="8"/>
  <c r="V454" i="8"/>
  <c r="U454" i="8"/>
  <c r="T454" i="8"/>
  <c r="S454" i="8"/>
  <c r="R454" i="8"/>
  <c r="P454" i="8"/>
  <c r="M454" i="8"/>
  <c r="L454" i="8"/>
  <c r="J454" i="8"/>
  <c r="I454" i="8"/>
  <c r="H454" i="8"/>
  <c r="G454" i="8"/>
  <c r="F454" i="8"/>
  <c r="E454" i="8"/>
  <c r="D454" i="8"/>
  <c r="C454" i="8"/>
  <c r="B454" i="8"/>
  <c r="A454" i="8"/>
  <c r="Z453" i="8"/>
  <c r="Y453" i="8"/>
  <c r="X453" i="8"/>
  <c r="W453" i="8"/>
  <c r="V453" i="8"/>
  <c r="U453" i="8"/>
  <c r="T453" i="8"/>
  <c r="S453" i="8"/>
  <c r="R453" i="8"/>
  <c r="P453" i="8"/>
  <c r="M453" i="8"/>
  <c r="L453" i="8"/>
  <c r="J453" i="8"/>
  <c r="I453" i="8"/>
  <c r="H453" i="8"/>
  <c r="G453" i="8"/>
  <c r="F453" i="8"/>
  <c r="E453" i="8"/>
  <c r="D453" i="8"/>
  <c r="C453" i="8"/>
  <c r="B453" i="8"/>
  <c r="A453" i="8"/>
  <c r="Z452" i="8"/>
  <c r="Y452" i="8"/>
  <c r="X452" i="8"/>
  <c r="W452" i="8"/>
  <c r="V452" i="8"/>
  <c r="U452" i="8"/>
  <c r="T452" i="8"/>
  <c r="S452" i="8"/>
  <c r="R452" i="8"/>
  <c r="P452" i="8"/>
  <c r="M452" i="8"/>
  <c r="L452" i="8"/>
  <c r="J452" i="8"/>
  <c r="I452" i="8"/>
  <c r="H452" i="8"/>
  <c r="G452" i="8"/>
  <c r="F452" i="8"/>
  <c r="E452" i="8"/>
  <c r="D452" i="8"/>
  <c r="C452" i="8"/>
  <c r="B452" i="8"/>
  <c r="A452" i="8"/>
  <c r="Z451" i="8"/>
  <c r="Y451" i="8"/>
  <c r="X451" i="8"/>
  <c r="W451" i="8"/>
  <c r="V451" i="8"/>
  <c r="U451" i="8"/>
  <c r="T451" i="8"/>
  <c r="S451" i="8"/>
  <c r="R451" i="8"/>
  <c r="P451" i="8"/>
  <c r="M451" i="8"/>
  <c r="L451" i="8"/>
  <c r="J451" i="8"/>
  <c r="I451" i="8"/>
  <c r="H451" i="8"/>
  <c r="G451" i="8"/>
  <c r="F451" i="8"/>
  <c r="E451" i="8"/>
  <c r="D451" i="8"/>
  <c r="C451" i="8"/>
  <c r="B451" i="8"/>
  <c r="A451" i="8"/>
  <c r="Z450" i="8"/>
  <c r="Y450" i="8"/>
  <c r="X450" i="8"/>
  <c r="W450" i="8"/>
  <c r="V450" i="8"/>
  <c r="U450" i="8"/>
  <c r="T450" i="8"/>
  <c r="S450" i="8"/>
  <c r="R450" i="8"/>
  <c r="P450" i="8"/>
  <c r="M450" i="8"/>
  <c r="L450" i="8"/>
  <c r="J450" i="8"/>
  <c r="I450" i="8"/>
  <c r="H450" i="8"/>
  <c r="G450" i="8"/>
  <c r="F450" i="8"/>
  <c r="E450" i="8"/>
  <c r="D450" i="8"/>
  <c r="C450" i="8"/>
  <c r="B450" i="8"/>
  <c r="A450" i="8"/>
  <c r="Z449" i="8"/>
  <c r="Y449" i="8"/>
  <c r="X449" i="8"/>
  <c r="W449" i="8"/>
  <c r="V449" i="8"/>
  <c r="U449" i="8"/>
  <c r="T449" i="8"/>
  <c r="S449" i="8"/>
  <c r="R449" i="8"/>
  <c r="P449" i="8"/>
  <c r="M449" i="8"/>
  <c r="L449" i="8"/>
  <c r="J449" i="8"/>
  <c r="I449" i="8"/>
  <c r="H449" i="8"/>
  <c r="G449" i="8"/>
  <c r="F449" i="8"/>
  <c r="E449" i="8"/>
  <c r="D449" i="8"/>
  <c r="C449" i="8"/>
  <c r="B449" i="8"/>
  <c r="A449" i="8"/>
  <c r="Z448" i="8"/>
  <c r="Y448" i="8"/>
  <c r="X448" i="8"/>
  <c r="W448" i="8"/>
  <c r="V448" i="8"/>
  <c r="U448" i="8"/>
  <c r="T448" i="8"/>
  <c r="S448" i="8"/>
  <c r="R448" i="8"/>
  <c r="P448" i="8"/>
  <c r="M448" i="8"/>
  <c r="L448" i="8"/>
  <c r="J448" i="8"/>
  <c r="I448" i="8"/>
  <c r="H448" i="8"/>
  <c r="G448" i="8"/>
  <c r="F448" i="8"/>
  <c r="E448" i="8"/>
  <c r="D448" i="8"/>
  <c r="C448" i="8"/>
  <c r="B448" i="8"/>
  <c r="A448" i="8"/>
  <c r="Z447" i="8"/>
  <c r="Y447" i="8"/>
  <c r="X447" i="8"/>
  <c r="W447" i="8"/>
  <c r="V447" i="8"/>
  <c r="U447" i="8"/>
  <c r="T447" i="8"/>
  <c r="S447" i="8"/>
  <c r="R447" i="8"/>
  <c r="P447" i="8"/>
  <c r="M447" i="8"/>
  <c r="L447" i="8"/>
  <c r="J447" i="8"/>
  <c r="I447" i="8"/>
  <c r="H447" i="8"/>
  <c r="G447" i="8"/>
  <c r="F447" i="8"/>
  <c r="E447" i="8"/>
  <c r="D447" i="8"/>
  <c r="C447" i="8"/>
  <c r="B447" i="8"/>
  <c r="A447" i="8"/>
  <c r="Z446" i="8"/>
  <c r="Y446" i="8"/>
  <c r="X446" i="8"/>
  <c r="W446" i="8"/>
  <c r="V446" i="8"/>
  <c r="U446" i="8"/>
  <c r="T446" i="8"/>
  <c r="S446" i="8"/>
  <c r="R446" i="8"/>
  <c r="P446" i="8"/>
  <c r="M446" i="8"/>
  <c r="L446" i="8"/>
  <c r="J446" i="8"/>
  <c r="I446" i="8"/>
  <c r="H446" i="8"/>
  <c r="G446" i="8"/>
  <c r="F446" i="8"/>
  <c r="E446" i="8"/>
  <c r="D446" i="8"/>
  <c r="C446" i="8"/>
  <c r="B446" i="8"/>
  <c r="A446" i="8"/>
  <c r="Z445" i="8"/>
  <c r="Y445" i="8"/>
  <c r="X445" i="8"/>
  <c r="W445" i="8"/>
  <c r="V445" i="8"/>
  <c r="U445" i="8"/>
  <c r="T445" i="8"/>
  <c r="S445" i="8"/>
  <c r="R445" i="8"/>
  <c r="P445" i="8"/>
  <c r="M445" i="8"/>
  <c r="L445" i="8"/>
  <c r="J445" i="8"/>
  <c r="I445" i="8"/>
  <c r="H445" i="8"/>
  <c r="G445" i="8"/>
  <c r="F445" i="8"/>
  <c r="E445" i="8"/>
  <c r="D445" i="8"/>
  <c r="C445" i="8"/>
  <c r="B445" i="8"/>
  <c r="A445" i="8"/>
  <c r="Z444" i="8"/>
  <c r="Y444" i="8"/>
  <c r="X444" i="8"/>
  <c r="W444" i="8"/>
  <c r="V444" i="8"/>
  <c r="U444" i="8"/>
  <c r="T444" i="8"/>
  <c r="S444" i="8"/>
  <c r="R444" i="8"/>
  <c r="P444" i="8"/>
  <c r="M444" i="8"/>
  <c r="L444" i="8"/>
  <c r="J444" i="8"/>
  <c r="I444" i="8"/>
  <c r="H444" i="8"/>
  <c r="G444" i="8"/>
  <c r="F444" i="8"/>
  <c r="E444" i="8"/>
  <c r="D444" i="8"/>
  <c r="C444" i="8"/>
  <c r="B444" i="8"/>
  <c r="A444" i="8"/>
  <c r="Z443" i="8"/>
  <c r="Y443" i="8"/>
  <c r="X443" i="8"/>
  <c r="W443" i="8"/>
  <c r="V443" i="8"/>
  <c r="U443" i="8"/>
  <c r="T443" i="8"/>
  <c r="S443" i="8"/>
  <c r="R443" i="8"/>
  <c r="P443" i="8"/>
  <c r="M443" i="8"/>
  <c r="L443" i="8"/>
  <c r="J443" i="8"/>
  <c r="I443" i="8"/>
  <c r="H443" i="8"/>
  <c r="G443" i="8"/>
  <c r="F443" i="8"/>
  <c r="E443" i="8"/>
  <c r="D443" i="8"/>
  <c r="C443" i="8"/>
  <c r="B443" i="8"/>
  <c r="A443" i="8"/>
  <c r="Z442" i="8"/>
  <c r="Y442" i="8"/>
  <c r="X442" i="8"/>
  <c r="W442" i="8"/>
  <c r="V442" i="8"/>
  <c r="U442" i="8"/>
  <c r="T442" i="8"/>
  <c r="S442" i="8"/>
  <c r="R442" i="8"/>
  <c r="P442" i="8"/>
  <c r="M442" i="8"/>
  <c r="L442" i="8"/>
  <c r="J442" i="8"/>
  <c r="I442" i="8"/>
  <c r="H442" i="8"/>
  <c r="G442" i="8"/>
  <c r="F442" i="8"/>
  <c r="E442" i="8"/>
  <c r="D442" i="8"/>
  <c r="C442" i="8"/>
  <c r="B442" i="8"/>
  <c r="A442" i="8"/>
  <c r="Z441" i="8"/>
  <c r="Y441" i="8"/>
  <c r="X441" i="8"/>
  <c r="W441" i="8"/>
  <c r="V441" i="8"/>
  <c r="U441" i="8"/>
  <c r="T441" i="8"/>
  <c r="S441" i="8"/>
  <c r="R441" i="8"/>
  <c r="P441" i="8"/>
  <c r="M441" i="8"/>
  <c r="L441" i="8"/>
  <c r="J441" i="8"/>
  <c r="I441" i="8"/>
  <c r="H441" i="8"/>
  <c r="G441" i="8"/>
  <c r="F441" i="8"/>
  <c r="E441" i="8"/>
  <c r="D441" i="8"/>
  <c r="C441" i="8"/>
  <c r="B441" i="8"/>
  <c r="A441" i="8"/>
  <c r="Z440" i="8"/>
  <c r="Y440" i="8"/>
  <c r="X440" i="8"/>
  <c r="W440" i="8"/>
  <c r="V440" i="8"/>
  <c r="U440" i="8"/>
  <c r="T440" i="8"/>
  <c r="S440" i="8"/>
  <c r="R440" i="8"/>
  <c r="P440" i="8"/>
  <c r="M440" i="8"/>
  <c r="L440" i="8"/>
  <c r="J440" i="8"/>
  <c r="I440" i="8"/>
  <c r="H440" i="8"/>
  <c r="G440" i="8"/>
  <c r="F440" i="8"/>
  <c r="E440" i="8"/>
  <c r="D440" i="8"/>
  <c r="C440" i="8"/>
  <c r="B440" i="8"/>
  <c r="A440" i="8"/>
  <c r="Z439" i="8"/>
  <c r="Y439" i="8"/>
  <c r="X439" i="8"/>
  <c r="W439" i="8"/>
  <c r="V439" i="8"/>
  <c r="U439" i="8"/>
  <c r="T439" i="8"/>
  <c r="S439" i="8"/>
  <c r="R439" i="8"/>
  <c r="P439" i="8"/>
  <c r="M439" i="8"/>
  <c r="L439" i="8"/>
  <c r="J439" i="8"/>
  <c r="I439" i="8"/>
  <c r="H439" i="8"/>
  <c r="G439" i="8"/>
  <c r="F439" i="8"/>
  <c r="E439" i="8"/>
  <c r="D439" i="8"/>
  <c r="C439" i="8"/>
  <c r="B439" i="8"/>
  <c r="A439" i="8"/>
  <c r="Z438" i="8"/>
  <c r="Y438" i="8"/>
  <c r="X438" i="8"/>
  <c r="W438" i="8"/>
  <c r="V438" i="8"/>
  <c r="U438" i="8"/>
  <c r="T438" i="8"/>
  <c r="S438" i="8"/>
  <c r="R438" i="8"/>
  <c r="P438" i="8"/>
  <c r="M438" i="8"/>
  <c r="L438" i="8"/>
  <c r="J438" i="8"/>
  <c r="I438" i="8"/>
  <c r="H438" i="8"/>
  <c r="G438" i="8"/>
  <c r="F438" i="8"/>
  <c r="E438" i="8"/>
  <c r="D438" i="8"/>
  <c r="C438" i="8"/>
  <c r="B438" i="8"/>
  <c r="A438" i="8"/>
  <c r="Z437" i="8"/>
  <c r="Y437" i="8"/>
  <c r="X437" i="8"/>
  <c r="W437" i="8"/>
  <c r="V437" i="8"/>
  <c r="U437" i="8"/>
  <c r="T437" i="8"/>
  <c r="S437" i="8"/>
  <c r="R437" i="8"/>
  <c r="P437" i="8"/>
  <c r="M437" i="8"/>
  <c r="L437" i="8"/>
  <c r="J437" i="8"/>
  <c r="I437" i="8"/>
  <c r="H437" i="8"/>
  <c r="G437" i="8"/>
  <c r="F437" i="8"/>
  <c r="E437" i="8"/>
  <c r="D437" i="8"/>
  <c r="C437" i="8"/>
  <c r="B437" i="8"/>
  <c r="A437" i="8"/>
  <c r="Z436" i="8"/>
  <c r="Y436" i="8"/>
  <c r="X436" i="8"/>
  <c r="W436" i="8"/>
  <c r="V436" i="8"/>
  <c r="U436" i="8"/>
  <c r="T436" i="8"/>
  <c r="S436" i="8"/>
  <c r="R436" i="8"/>
  <c r="P436" i="8"/>
  <c r="M436" i="8"/>
  <c r="L436" i="8"/>
  <c r="J436" i="8"/>
  <c r="I436" i="8"/>
  <c r="H436" i="8"/>
  <c r="G436" i="8"/>
  <c r="F436" i="8"/>
  <c r="E436" i="8"/>
  <c r="D436" i="8"/>
  <c r="C436" i="8"/>
  <c r="B436" i="8"/>
  <c r="A436" i="8"/>
  <c r="Z435" i="8"/>
  <c r="Y435" i="8"/>
  <c r="X435" i="8"/>
  <c r="W435" i="8"/>
  <c r="V435" i="8"/>
  <c r="U435" i="8"/>
  <c r="T435" i="8"/>
  <c r="S435" i="8"/>
  <c r="R435" i="8"/>
  <c r="P435" i="8"/>
  <c r="M435" i="8"/>
  <c r="L435" i="8"/>
  <c r="J435" i="8"/>
  <c r="I435" i="8"/>
  <c r="H435" i="8"/>
  <c r="G435" i="8"/>
  <c r="F435" i="8"/>
  <c r="E435" i="8"/>
  <c r="D435" i="8"/>
  <c r="C435" i="8"/>
  <c r="B435" i="8"/>
  <c r="A435" i="8"/>
  <c r="Z434" i="8"/>
  <c r="Y434" i="8"/>
  <c r="X434" i="8"/>
  <c r="W434" i="8"/>
  <c r="V434" i="8"/>
  <c r="U434" i="8"/>
  <c r="T434" i="8"/>
  <c r="S434" i="8"/>
  <c r="R434" i="8"/>
  <c r="P434" i="8"/>
  <c r="M434" i="8"/>
  <c r="L434" i="8"/>
  <c r="J434" i="8"/>
  <c r="I434" i="8"/>
  <c r="H434" i="8"/>
  <c r="G434" i="8"/>
  <c r="F434" i="8"/>
  <c r="E434" i="8"/>
  <c r="D434" i="8"/>
  <c r="C434" i="8"/>
  <c r="B434" i="8"/>
  <c r="A434" i="8"/>
  <c r="Z433" i="8"/>
  <c r="Y433" i="8"/>
  <c r="X433" i="8"/>
  <c r="W433" i="8"/>
  <c r="V433" i="8"/>
  <c r="U433" i="8"/>
  <c r="T433" i="8"/>
  <c r="S433" i="8"/>
  <c r="R433" i="8"/>
  <c r="P433" i="8"/>
  <c r="M433" i="8"/>
  <c r="L433" i="8"/>
  <c r="J433" i="8"/>
  <c r="I433" i="8"/>
  <c r="H433" i="8"/>
  <c r="G433" i="8"/>
  <c r="F433" i="8"/>
  <c r="E433" i="8"/>
  <c r="D433" i="8"/>
  <c r="C433" i="8"/>
  <c r="B433" i="8"/>
  <c r="A433" i="8"/>
  <c r="Z432" i="8"/>
  <c r="Y432" i="8"/>
  <c r="X432" i="8"/>
  <c r="W432" i="8"/>
  <c r="V432" i="8"/>
  <c r="U432" i="8"/>
  <c r="T432" i="8"/>
  <c r="S432" i="8"/>
  <c r="R432" i="8"/>
  <c r="P432" i="8"/>
  <c r="M432" i="8"/>
  <c r="L432" i="8"/>
  <c r="J432" i="8"/>
  <c r="I432" i="8"/>
  <c r="H432" i="8"/>
  <c r="G432" i="8"/>
  <c r="F432" i="8"/>
  <c r="E432" i="8"/>
  <c r="D432" i="8"/>
  <c r="C432" i="8"/>
  <c r="B432" i="8"/>
  <c r="A432" i="8"/>
  <c r="Z431" i="8"/>
  <c r="Y431" i="8"/>
  <c r="X431" i="8"/>
  <c r="W431" i="8"/>
  <c r="V431" i="8"/>
  <c r="U431" i="8"/>
  <c r="T431" i="8"/>
  <c r="S431" i="8"/>
  <c r="R431" i="8"/>
  <c r="P431" i="8"/>
  <c r="M431" i="8"/>
  <c r="L431" i="8"/>
  <c r="J431" i="8"/>
  <c r="I431" i="8"/>
  <c r="H431" i="8"/>
  <c r="G431" i="8"/>
  <c r="F431" i="8"/>
  <c r="E431" i="8"/>
  <c r="D431" i="8"/>
  <c r="C431" i="8"/>
  <c r="B431" i="8"/>
  <c r="A431" i="8"/>
  <c r="Z430" i="8"/>
  <c r="Y430" i="8"/>
  <c r="X430" i="8"/>
  <c r="W430" i="8"/>
  <c r="V430" i="8"/>
  <c r="U430" i="8"/>
  <c r="T430" i="8"/>
  <c r="S430" i="8"/>
  <c r="R430" i="8"/>
  <c r="P430" i="8"/>
  <c r="M430" i="8"/>
  <c r="L430" i="8"/>
  <c r="J430" i="8"/>
  <c r="I430" i="8"/>
  <c r="H430" i="8"/>
  <c r="G430" i="8"/>
  <c r="F430" i="8"/>
  <c r="E430" i="8"/>
  <c r="D430" i="8"/>
  <c r="C430" i="8"/>
  <c r="B430" i="8"/>
  <c r="A430" i="8"/>
  <c r="Z429" i="8"/>
  <c r="Y429" i="8"/>
  <c r="X429" i="8"/>
  <c r="W429" i="8"/>
  <c r="V429" i="8"/>
  <c r="U429" i="8"/>
  <c r="T429" i="8"/>
  <c r="S429" i="8"/>
  <c r="R429" i="8"/>
  <c r="P429" i="8"/>
  <c r="M429" i="8"/>
  <c r="L429" i="8"/>
  <c r="J429" i="8"/>
  <c r="I429" i="8"/>
  <c r="H429" i="8"/>
  <c r="G429" i="8"/>
  <c r="F429" i="8"/>
  <c r="E429" i="8"/>
  <c r="D429" i="8"/>
  <c r="C429" i="8"/>
  <c r="B429" i="8"/>
  <c r="A429" i="8"/>
  <c r="Z428" i="8"/>
  <c r="Y428" i="8"/>
  <c r="X428" i="8"/>
  <c r="W428" i="8"/>
  <c r="V428" i="8"/>
  <c r="U428" i="8"/>
  <c r="T428" i="8"/>
  <c r="S428" i="8"/>
  <c r="R428" i="8"/>
  <c r="P428" i="8"/>
  <c r="M428" i="8"/>
  <c r="L428" i="8"/>
  <c r="J428" i="8"/>
  <c r="I428" i="8"/>
  <c r="H428" i="8"/>
  <c r="G428" i="8"/>
  <c r="F428" i="8"/>
  <c r="E428" i="8"/>
  <c r="D428" i="8"/>
  <c r="C428" i="8"/>
  <c r="B428" i="8"/>
  <c r="A428" i="8"/>
  <c r="Z427" i="8"/>
  <c r="Y427" i="8"/>
  <c r="X427" i="8"/>
  <c r="W427" i="8"/>
  <c r="V427" i="8"/>
  <c r="U427" i="8"/>
  <c r="T427" i="8"/>
  <c r="S427" i="8"/>
  <c r="R427" i="8"/>
  <c r="P427" i="8"/>
  <c r="M427" i="8"/>
  <c r="L427" i="8"/>
  <c r="J427" i="8"/>
  <c r="I427" i="8"/>
  <c r="H427" i="8"/>
  <c r="G427" i="8"/>
  <c r="F427" i="8"/>
  <c r="E427" i="8"/>
  <c r="D427" i="8"/>
  <c r="C427" i="8"/>
  <c r="B427" i="8"/>
  <c r="A427" i="8"/>
  <c r="Z426" i="8"/>
  <c r="Y426" i="8"/>
  <c r="X426" i="8"/>
  <c r="W426" i="8"/>
  <c r="V426" i="8"/>
  <c r="U426" i="8"/>
  <c r="T426" i="8"/>
  <c r="S426" i="8"/>
  <c r="R426" i="8"/>
  <c r="P426" i="8"/>
  <c r="M426" i="8"/>
  <c r="L426" i="8"/>
  <c r="J426" i="8"/>
  <c r="I426" i="8"/>
  <c r="H426" i="8"/>
  <c r="G426" i="8"/>
  <c r="F426" i="8"/>
  <c r="E426" i="8"/>
  <c r="D426" i="8"/>
  <c r="C426" i="8"/>
  <c r="B426" i="8"/>
  <c r="A426" i="8"/>
  <c r="Z425" i="8"/>
  <c r="Y425" i="8"/>
  <c r="X425" i="8"/>
  <c r="W425" i="8"/>
  <c r="V425" i="8"/>
  <c r="U425" i="8"/>
  <c r="T425" i="8"/>
  <c r="S425" i="8"/>
  <c r="R425" i="8"/>
  <c r="P425" i="8"/>
  <c r="M425" i="8"/>
  <c r="L425" i="8"/>
  <c r="J425" i="8"/>
  <c r="I425" i="8"/>
  <c r="H425" i="8"/>
  <c r="G425" i="8"/>
  <c r="F425" i="8"/>
  <c r="E425" i="8"/>
  <c r="D425" i="8"/>
  <c r="C425" i="8"/>
  <c r="B425" i="8"/>
  <c r="A425" i="8"/>
  <c r="Z424" i="8"/>
  <c r="Y424" i="8"/>
  <c r="X424" i="8"/>
  <c r="W424" i="8"/>
  <c r="V424" i="8"/>
  <c r="U424" i="8"/>
  <c r="T424" i="8"/>
  <c r="S424" i="8"/>
  <c r="R424" i="8"/>
  <c r="P424" i="8"/>
  <c r="M424" i="8"/>
  <c r="L424" i="8"/>
  <c r="J424" i="8"/>
  <c r="I424" i="8"/>
  <c r="H424" i="8"/>
  <c r="G424" i="8"/>
  <c r="F424" i="8"/>
  <c r="E424" i="8"/>
  <c r="D424" i="8"/>
  <c r="C424" i="8"/>
  <c r="B424" i="8"/>
  <c r="A424" i="8"/>
  <c r="Z423" i="8"/>
  <c r="Y423" i="8"/>
  <c r="X423" i="8"/>
  <c r="W423" i="8"/>
  <c r="V423" i="8"/>
  <c r="U423" i="8"/>
  <c r="T423" i="8"/>
  <c r="S423" i="8"/>
  <c r="R423" i="8"/>
  <c r="P423" i="8"/>
  <c r="M423" i="8"/>
  <c r="L423" i="8"/>
  <c r="J423" i="8"/>
  <c r="I423" i="8"/>
  <c r="H423" i="8"/>
  <c r="G423" i="8"/>
  <c r="F423" i="8"/>
  <c r="E423" i="8"/>
  <c r="D423" i="8"/>
  <c r="C423" i="8"/>
  <c r="B423" i="8"/>
  <c r="A423" i="8"/>
  <c r="Z422" i="8"/>
  <c r="Y422" i="8"/>
  <c r="X422" i="8"/>
  <c r="W422" i="8"/>
  <c r="V422" i="8"/>
  <c r="U422" i="8"/>
  <c r="T422" i="8"/>
  <c r="S422" i="8"/>
  <c r="R422" i="8"/>
  <c r="P422" i="8"/>
  <c r="M422" i="8"/>
  <c r="L422" i="8"/>
  <c r="J422" i="8"/>
  <c r="I422" i="8"/>
  <c r="H422" i="8"/>
  <c r="G422" i="8"/>
  <c r="F422" i="8"/>
  <c r="E422" i="8"/>
  <c r="D422" i="8"/>
  <c r="C422" i="8"/>
  <c r="B422" i="8"/>
  <c r="A422" i="8"/>
  <c r="Z421" i="8"/>
  <c r="Y421" i="8"/>
  <c r="X421" i="8"/>
  <c r="W421" i="8"/>
  <c r="V421" i="8"/>
  <c r="U421" i="8"/>
  <c r="T421" i="8"/>
  <c r="S421" i="8"/>
  <c r="R421" i="8"/>
  <c r="P421" i="8"/>
  <c r="M421" i="8"/>
  <c r="L421" i="8"/>
  <c r="J421" i="8"/>
  <c r="I421" i="8"/>
  <c r="H421" i="8"/>
  <c r="G421" i="8"/>
  <c r="F421" i="8"/>
  <c r="E421" i="8"/>
  <c r="D421" i="8"/>
  <c r="C421" i="8"/>
  <c r="B421" i="8"/>
  <c r="A421" i="8"/>
  <c r="Z420" i="8"/>
  <c r="Y420" i="8"/>
  <c r="X420" i="8"/>
  <c r="W420" i="8"/>
  <c r="V420" i="8"/>
  <c r="U420" i="8"/>
  <c r="T420" i="8"/>
  <c r="S420" i="8"/>
  <c r="R420" i="8"/>
  <c r="P420" i="8"/>
  <c r="M420" i="8"/>
  <c r="L420" i="8"/>
  <c r="J420" i="8"/>
  <c r="I420" i="8"/>
  <c r="H420" i="8"/>
  <c r="G420" i="8"/>
  <c r="F420" i="8"/>
  <c r="E420" i="8"/>
  <c r="D420" i="8"/>
  <c r="C420" i="8"/>
  <c r="B420" i="8"/>
  <c r="A420" i="8"/>
  <c r="Z419" i="8"/>
  <c r="Y419" i="8"/>
  <c r="X419" i="8"/>
  <c r="W419" i="8"/>
  <c r="V419" i="8"/>
  <c r="U419" i="8"/>
  <c r="T419" i="8"/>
  <c r="S419" i="8"/>
  <c r="R419" i="8"/>
  <c r="P419" i="8"/>
  <c r="M419" i="8"/>
  <c r="L419" i="8"/>
  <c r="J419" i="8"/>
  <c r="I419" i="8"/>
  <c r="H419" i="8"/>
  <c r="G419" i="8"/>
  <c r="F419" i="8"/>
  <c r="E419" i="8"/>
  <c r="D419" i="8"/>
  <c r="C419" i="8"/>
  <c r="B419" i="8"/>
  <c r="A419" i="8"/>
  <c r="Z418" i="8"/>
  <c r="Y418" i="8"/>
  <c r="X418" i="8"/>
  <c r="W418" i="8"/>
  <c r="V418" i="8"/>
  <c r="U418" i="8"/>
  <c r="T418" i="8"/>
  <c r="S418" i="8"/>
  <c r="R418" i="8"/>
  <c r="P418" i="8"/>
  <c r="M418" i="8"/>
  <c r="L418" i="8"/>
  <c r="J418" i="8"/>
  <c r="I418" i="8"/>
  <c r="H418" i="8"/>
  <c r="G418" i="8"/>
  <c r="F418" i="8"/>
  <c r="E418" i="8"/>
  <c r="D418" i="8"/>
  <c r="C418" i="8"/>
  <c r="B418" i="8"/>
  <c r="A418" i="8"/>
  <c r="Z417" i="8"/>
  <c r="Y417" i="8"/>
  <c r="X417" i="8"/>
  <c r="W417" i="8"/>
  <c r="V417" i="8"/>
  <c r="U417" i="8"/>
  <c r="T417" i="8"/>
  <c r="S417" i="8"/>
  <c r="R417" i="8"/>
  <c r="P417" i="8"/>
  <c r="M417" i="8"/>
  <c r="L417" i="8"/>
  <c r="J417" i="8"/>
  <c r="I417" i="8"/>
  <c r="H417" i="8"/>
  <c r="G417" i="8"/>
  <c r="F417" i="8"/>
  <c r="E417" i="8"/>
  <c r="D417" i="8"/>
  <c r="C417" i="8"/>
  <c r="B417" i="8"/>
  <c r="A417" i="8"/>
  <c r="Z416" i="8"/>
  <c r="Y416" i="8"/>
  <c r="X416" i="8"/>
  <c r="W416" i="8"/>
  <c r="V416" i="8"/>
  <c r="U416" i="8"/>
  <c r="T416" i="8"/>
  <c r="S416" i="8"/>
  <c r="R416" i="8"/>
  <c r="P416" i="8"/>
  <c r="M416" i="8"/>
  <c r="L416" i="8"/>
  <c r="J416" i="8"/>
  <c r="I416" i="8"/>
  <c r="H416" i="8"/>
  <c r="G416" i="8"/>
  <c r="F416" i="8"/>
  <c r="E416" i="8"/>
  <c r="D416" i="8"/>
  <c r="C416" i="8"/>
  <c r="B416" i="8"/>
  <c r="A416" i="8"/>
  <c r="Z415" i="8"/>
  <c r="Y415" i="8"/>
  <c r="X415" i="8"/>
  <c r="W415" i="8"/>
  <c r="V415" i="8"/>
  <c r="U415" i="8"/>
  <c r="T415" i="8"/>
  <c r="S415" i="8"/>
  <c r="R415" i="8"/>
  <c r="P415" i="8"/>
  <c r="M415" i="8"/>
  <c r="L415" i="8"/>
  <c r="J415" i="8"/>
  <c r="I415" i="8"/>
  <c r="H415" i="8"/>
  <c r="G415" i="8"/>
  <c r="F415" i="8"/>
  <c r="E415" i="8"/>
  <c r="D415" i="8"/>
  <c r="C415" i="8"/>
  <c r="B415" i="8"/>
  <c r="A415" i="8"/>
  <c r="Z414" i="8"/>
  <c r="Y414" i="8"/>
  <c r="X414" i="8"/>
  <c r="W414" i="8"/>
  <c r="V414" i="8"/>
  <c r="U414" i="8"/>
  <c r="T414" i="8"/>
  <c r="S414" i="8"/>
  <c r="R414" i="8"/>
  <c r="P414" i="8"/>
  <c r="M414" i="8"/>
  <c r="L414" i="8"/>
  <c r="J414" i="8"/>
  <c r="I414" i="8"/>
  <c r="H414" i="8"/>
  <c r="G414" i="8"/>
  <c r="F414" i="8"/>
  <c r="E414" i="8"/>
  <c r="D414" i="8"/>
  <c r="C414" i="8"/>
  <c r="B414" i="8"/>
  <c r="A414" i="8"/>
  <c r="Z413" i="8"/>
  <c r="Y413" i="8"/>
  <c r="X413" i="8"/>
  <c r="W413" i="8"/>
  <c r="V413" i="8"/>
  <c r="U413" i="8"/>
  <c r="T413" i="8"/>
  <c r="S413" i="8"/>
  <c r="R413" i="8"/>
  <c r="P413" i="8"/>
  <c r="M413" i="8"/>
  <c r="L413" i="8"/>
  <c r="J413" i="8"/>
  <c r="I413" i="8"/>
  <c r="H413" i="8"/>
  <c r="G413" i="8"/>
  <c r="F413" i="8"/>
  <c r="E413" i="8"/>
  <c r="D413" i="8"/>
  <c r="C413" i="8"/>
  <c r="B413" i="8"/>
  <c r="A413" i="8"/>
  <c r="Z412" i="8"/>
  <c r="Y412" i="8"/>
  <c r="X412" i="8"/>
  <c r="W412" i="8"/>
  <c r="V412" i="8"/>
  <c r="U412" i="8"/>
  <c r="T412" i="8"/>
  <c r="S412" i="8"/>
  <c r="R412" i="8"/>
  <c r="P412" i="8"/>
  <c r="M412" i="8"/>
  <c r="L412" i="8"/>
  <c r="J412" i="8"/>
  <c r="I412" i="8"/>
  <c r="H412" i="8"/>
  <c r="G412" i="8"/>
  <c r="F412" i="8"/>
  <c r="E412" i="8"/>
  <c r="D412" i="8"/>
  <c r="C412" i="8"/>
  <c r="B412" i="8"/>
  <c r="A412" i="8"/>
  <c r="Z411" i="8"/>
  <c r="Y411" i="8"/>
  <c r="X411" i="8"/>
  <c r="W411" i="8"/>
  <c r="V411" i="8"/>
  <c r="U411" i="8"/>
  <c r="T411" i="8"/>
  <c r="S411" i="8"/>
  <c r="R411" i="8"/>
  <c r="P411" i="8"/>
  <c r="M411" i="8"/>
  <c r="L411" i="8"/>
  <c r="J411" i="8"/>
  <c r="I411" i="8"/>
  <c r="H411" i="8"/>
  <c r="G411" i="8"/>
  <c r="F411" i="8"/>
  <c r="E411" i="8"/>
  <c r="D411" i="8"/>
  <c r="C411" i="8"/>
  <c r="B411" i="8"/>
  <c r="A411" i="8"/>
  <c r="Z410" i="8"/>
  <c r="Y410" i="8"/>
  <c r="X410" i="8"/>
  <c r="W410" i="8"/>
  <c r="V410" i="8"/>
  <c r="U410" i="8"/>
  <c r="T410" i="8"/>
  <c r="S410" i="8"/>
  <c r="R410" i="8"/>
  <c r="P410" i="8"/>
  <c r="M410" i="8"/>
  <c r="L410" i="8"/>
  <c r="J410" i="8"/>
  <c r="I410" i="8"/>
  <c r="H410" i="8"/>
  <c r="G410" i="8"/>
  <c r="F410" i="8"/>
  <c r="E410" i="8"/>
  <c r="D410" i="8"/>
  <c r="C410" i="8"/>
  <c r="B410" i="8"/>
  <c r="A410" i="8"/>
  <c r="Z409" i="8"/>
  <c r="Y409" i="8"/>
  <c r="X409" i="8"/>
  <c r="W409" i="8"/>
  <c r="V409" i="8"/>
  <c r="U409" i="8"/>
  <c r="T409" i="8"/>
  <c r="S409" i="8"/>
  <c r="R409" i="8"/>
  <c r="P409" i="8"/>
  <c r="M409" i="8"/>
  <c r="L409" i="8"/>
  <c r="J409" i="8"/>
  <c r="I409" i="8"/>
  <c r="H409" i="8"/>
  <c r="G409" i="8"/>
  <c r="F409" i="8"/>
  <c r="E409" i="8"/>
  <c r="D409" i="8"/>
  <c r="C409" i="8"/>
  <c r="B409" i="8"/>
  <c r="A409" i="8"/>
  <c r="Z408" i="8"/>
  <c r="Y408" i="8"/>
  <c r="X408" i="8"/>
  <c r="W408" i="8"/>
  <c r="V408" i="8"/>
  <c r="U408" i="8"/>
  <c r="T408" i="8"/>
  <c r="S408" i="8"/>
  <c r="R408" i="8"/>
  <c r="P408" i="8"/>
  <c r="M408" i="8"/>
  <c r="L408" i="8"/>
  <c r="J408" i="8"/>
  <c r="I408" i="8"/>
  <c r="H408" i="8"/>
  <c r="G408" i="8"/>
  <c r="F408" i="8"/>
  <c r="E408" i="8"/>
  <c r="D408" i="8"/>
  <c r="C408" i="8"/>
  <c r="B408" i="8"/>
  <c r="A408" i="8"/>
  <c r="Z407" i="8"/>
  <c r="Y407" i="8"/>
  <c r="X407" i="8"/>
  <c r="W407" i="8"/>
  <c r="V407" i="8"/>
  <c r="U407" i="8"/>
  <c r="T407" i="8"/>
  <c r="S407" i="8"/>
  <c r="R407" i="8"/>
  <c r="P407" i="8"/>
  <c r="M407" i="8"/>
  <c r="L407" i="8"/>
  <c r="J407" i="8"/>
  <c r="I407" i="8"/>
  <c r="H407" i="8"/>
  <c r="G407" i="8"/>
  <c r="F407" i="8"/>
  <c r="E407" i="8"/>
  <c r="D407" i="8"/>
  <c r="C407" i="8"/>
  <c r="B407" i="8"/>
  <c r="A407" i="8"/>
  <c r="Z406" i="8"/>
  <c r="Y406" i="8"/>
  <c r="X406" i="8"/>
  <c r="W406" i="8"/>
  <c r="V406" i="8"/>
  <c r="U406" i="8"/>
  <c r="T406" i="8"/>
  <c r="S406" i="8"/>
  <c r="R406" i="8"/>
  <c r="P406" i="8"/>
  <c r="M406" i="8"/>
  <c r="L406" i="8"/>
  <c r="J406" i="8"/>
  <c r="I406" i="8"/>
  <c r="H406" i="8"/>
  <c r="G406" i="8"/>
  <c r="F406" i="8"/>
  <c r="E406" i="8"/>
  <c r="D406" i="8"/>
  <c r="C406" i="8"/>
  <c r="B406" i="8"/>
  <c r="A406" i="8"/>
  <c r="Z405" i="8"/>
  <c r="Y405" i="8"/>
  <c r="X405" i="8"/>
  <c r="W405" i="8"/>
  <c r="V405" i="8"/>
  <c r="U405" i="8"/>
  <c r="T405" i="8"/>
  <c r="S405" i="8"/>
  <c r="R405" i="8"/>
  <c r="P405" i="8"/>
  <c r="M405" i="8"/>
  <c r="L405" i="8"/>
  <c r="J405" i="8"/>
  <c r="I405" i="8"/>
  <c r="H405" i="8"/>
  <c r="G405" i="8"/>
  <c r="F405" i="8"/>
  <c r="E405" i="8"/>
  <c r="D405" i="8"/>
  <c r="C405" i="8"/>
  <c r="B405" i="8"/>
  <c r="A405" i="8"/>
  <c r="Z404" i="8"/>
  <c r="Y404" i="8"/>
  <c r="X404" i="8"/>
  <c r="W404" i="8"/>
  <c r="V404" i="8"/>
  <c r="U404" i="8"/>
  <c r="T404" i="8"/>
  <c r="S404" i="8"/>
  <c r="R404" i="8"/>
  <c r="P404" i="8"/>
  <c r="M404" i="8"/>
  <c r="L404" i="8"/>
  <c r="J404" i="8"/>
  <c r="I404" i="8"/>
  <c r="H404" i="8"/>
  <c r="G404" i="8"/>
  <c r="F404" i="8"/>
  <c r="E404" i="8"/>
  <c r="D404" i="8"/>
  <c r="C404" i="8"/>
  <c r="B404" i="8"/>
  <c r="A404" i="8"/>
  <c r="Z403" i="8"/>
  <c r="Y403" i="8"/>
  <c r="X403" i="8"/>
  <c r="W403" i="8"/>
  <c r="V403" i="8"/>
  <c r="U403" i="8"/>
  <c r="T403" i="8"/>
  <c r="S403" i="8"/>
  <c r="R403" i="8"/>
  <c r="P403" i="8"/>
  <c r="M403" i="8"/>
  <c r="L403" i="8"/>
  <c r="J403" i="8"/>
  <c r="I403" i="8"/>
  <c r="H403" i="8"/>
  <c r="G403" i="8"/>
  <c r="F403" i="8"/>
  <c r="E403" i="8"/>
  <c r="D403" i="8"/>
  <c r="C403" i="8"/>
  <c r="B403" i="8"/>
  <c r="A403" i="8"/>
  <c r="Z402" i="8"/>
  <c r="Y402" i="8"/>
  <c r="X402" i="8"/>
  <c r="W402" i="8"/>
  <c r="V402" i="8"/>
  <c r="U402" i="8"/>
  <c r="T402" i="8"/>
  <c r="S402" i="8"/>
  <c r="R402" i="8"/>
  <c r="P402" i="8"/>
  <c r="M402" i="8"/>
  <c r="L402" i="8"/>
  <c r="J402" i="8"/>
  <c r="I402" i="8"/>
  <c r="H402" i="8"/>
  <c r="G402" i="8"/>
  <c r="F402" i="8"/>
  <c r="E402" i="8"/>
  <c r="D402" i="8"/>
  <c r="C402" i="8"/>
  <c r="B402" i="8"/>
  <c r="A402" i="8"/>
  <c r="Z401" i="8"/>
  <c r="Y401" i="8"/>
  <c r="X401" i="8"/>
  <c r="W401" i="8"/>
  <c r="V401" i="8"/>
  <c r="U401" i="8"/>
  <c r="T401" i="8"/>
  <c r="S401" i="8"/>
  <c r="R401" i="8"/>
  <c r="P401" i="8"/>
  <c r="M401" i="8"/>
  <c r="L401" i="8"/>
  <c r="J401" i="8"/>
  <c r="I401" i="8"/>
  <c r="H401" i="8"/>
  <c r="G401" i="8"/>
  <c r="F401" i="8"/>
  <c r="E401" i="8"/>
  <c r="D401" i="8"/>
  <c r="C401" i="8"/>
  <c r="B401" i="8"/>
  <c r="A401" i="8"/>
  <c r="Z400" i="8"/>
  <c r="Y400" i="8"/>
  <c r="X400" i="8"/>
  <c r="W400" i="8"/>
  <c r="V400" i="8"/>
  <c r="U400" i="8"/>
  <c r="T400" i="8"/>
  <c r="S400" i="8"/>
  <c r="R400" i="8"/>
  <c r="P400" i="8"/>
  <c r="M400" i="8"/>
  <c r="L400" i="8"/>
  <c r="J400" i="8"/>
  <c r="I400" i="8"/>
  <c r="H400" i="8"/>
  <c r="G400" i="8"/>
  <c r="F400" i="8"/>
  <c r="E400" i="8"/>
  <c r="D400" i="8"/>
  <c r="C400" i="8"/>
  <c r="B400" i="8"/>
  <c r="A400" i="8"/>
  <c r="Z399" i="8"/>
  <c r="Y399" i="8"/>
  <c r="X399" i="8"/>
  <c r="W399" i="8"/>
  <c r="V399" i="8"/>
  <c r="U399" i="8"/>
  <c r="T399" i="8"/>
  <c r="S399" i="8"/>
  <c r="R399" i="8"/>
  <c r="P399" i="8"/>
  <c r="M399" i="8"/>
  <c r="L399" i="8"/>
  <c r="J399" i="8"/>
  <c r="I399" i="8"/>
  <c r="H399" i="8"/>
  <c r="G399" i="8"/>
  <c r="F399" i="8"/>
  <c r="E399" i="8"/>
  <c r="D399" i="8"/>
  <c r="C399" i="8"/>
  <c r="B399" i="8"/>
  <c r="A399" i="8"/>
  <c r="Z398" i="8"/>
  <c r="Y398" i="8"/>
  <c r="X398" i="8"/>
  <c r="W398" i="8"/>
  <c r="V398" i="8"/>
  <c r="U398" i="8"/>
  <c r="T398" i="8"/>
  <c r="S398" i="8"/>
  <c r="R398" i="8"/>
  <c r="P398" i="8"/>
  <c r="M398" i="8"/>
  <c r="L398" i="8"/>
  <c r="J398" i="8"/>
  <c r="I398" i="8"/>
  <c r="H398" i="8"/>
  <c r="G398" i="8"/>
  <c r="F398" i="8"/>
  <c r="E398" i="8"/>
  <c r="D398" i="8"/>
  <c r="C398" i="8"/>
  <c r="B398" i="8"/>
  <c r="A398" i="8"/>
  <c r="Z397" i="8"/>
  <c r="Y397" i="8"/>
  <c r="X397" i="8"/>
  <c r="W397" i="8"/>
  <c r="V397" i="8"/>
  <c r="U397" i="8"/>
  <c r="T397" i="8"/>
  <c r="S397" i="8"/>
  <c r="R397" i="8"/>
  <c r="P397" i="8"/>
  <c r="M397" i="8"/>
  <c r="L397" i="8"/>
  <c r="J397" i="8"/>
  <c r="I397" i="8"/>
  <c r="H397" i="8"/>
  <c r="G397" i="8"/>
  <c r="F397" i="8"/>
  <c r="E397" i="8"/>
  <c r="D397" i="8"/>
  <c r="C397" i="8"/>
  <c r="B397" i="8"/>
  <c r="A397" i="8"/>
  <c r="Z396" i="8"/>
  <c r="Y396" i="8"/>
  <c r="X396" i="8"/>
  <c r="W396" i="8"/>
  <c r="V396" i="8"/>
  <c r="U396" i="8"/>
  <c r="T396" i="8"/>
  <c r="S396" i="8"/>
  <c r="R396" i="8"/>
  <c r="P396" i="8"/>
  <c r="M396" i="8"/>
  <c r="L396" i="8"/>
  <c r="J396" i="8"/>
  <c r="I396" i="8"/>
  <c r="H396" i="8"/>
  <c r="G396" i="8"/>
  <c r="F396" i="8"/>
  <c r="E396" i="8"/>
  <c r="D396" i="8"/>
  <c r="C396" i="8"/>
  <c r="B396" i="8"/>
  <c r="A396" i="8"/>
  <c r="Z395" i="8"/>
  <c r="Y395" i="8"/>
  <c r="X395" i="8"/>
  <c r="W395" i="8"/>
  <c r="V395" i="8"/>
  <c r="U395" i="8"/>
  <c r="T395" i="8"/>
  <c r="S395" i="8"/>
  <c r="R395" i="8"/>
  <c r="P395" i="8"/>
  <c r="M395" i="8"/>
  <c r="L395" i="8"/>
  <c r="J395" i="8"/>
  <c r="I395" i="8"/>
  <c r="H395" i="8"/>
  <c r="G395" i="8"/>
  <c r="F395" i="8"/>
  <c r="E395" i="8"/>
  <c r="D395" i="8"/>
  <c r="C395" i="8"/>
  <c r="B395" i="8"/>
  <c r="A395" i="8"/>
  <c r="Z394" i="8"/>
  <c r="Y394" i="8"/>
  <c r="X394" i="8"/>
  <c r="W394" i="8"/>
  <c r="V394" i="8"/>
  <c r="U394" i="8"/>
  <c r="T394" i="8"/>
  <c r="S394" i="8"/>
  <c r="R394" i="8"/>
  <c r="P394" i="8"/>
  <c r="M394" i="8"/>
  <c r="L394" i="8"/>
  <c r="J394" i="8"/>
  <c r="I394" i="8"/>
  <c r="H394" i="8"/>
  <c r="G394" i="8"/>
  <c r="F394" i="8"/>
  <c r="E394" i="8"/>
  <c r="D394" i="8"/>
  <c r="C394" i="8"/>
  <c r="B394" i="8"/>
  <c r="A394" i="8"/>
  <c r="Z393" i="8"/>
  <c r="Y393" i="8"/>
  <c r="X393" i="8"/>
  <c r="W393" i="8"/>
  <c r="V393" i="8"/>
  <c r="U393" i="8"/>
  <c r="T393" i="8"/>
  <c r="S393" i="8"/>
  <c r="R393" i="8"/>
  <c r="P393" i="8"/>
  <c r="M393" i="8"/>
  <c r="L393" i="8"/>
  <c r="J393" i="8"/>
  <c r="I393" i="8"/>
  <c r="H393" i="8"/>
  <c r="G393" i="8"/>
  <c r="F393" i="8"/>
  <c r="E393" i="8"/>
  <c r="D393" i="8"/>
  <c r="C393" i="8"/>
  <c r="B393" i="8"/>
  <c r="A393" i="8"/>
  <c r="Z392" i="8"/>
  <c r="Y392" i="8"/>
  <c r="X392" i="8"/>
  <c r="W392" i="8"/>
  <c r="V392" i="8"/>
  <c r="U392" i="8"/>
  <c r="T392" i="8"/>
  <c r="S392" i="8"/>
  <c r="R392" i="8"/>
  <c r="P392" i="8"/>
  <c r="M392" i="8"/>
  <c r="L392" i="8"/>
  <c r="J392" i="8"/>
  <c r="I392" i="8"/>
  <c r="H392" i="8"/>
  <c r="G392" i="8"/>
  <c r="F392" i="8"/>
  <c r="E392" i="8"/>
  <c r="D392" i="8"/>
  <c r="C392" i="8"/>
  <c r="B392" i="8"/>
  <c r="A392" i="8"/>
  <c r="Z391" i="8"/>
  <c r="Y391" i="8"/>
  <c r="X391" i="8"/>
  <c r="W391" i="8"/>
  <c r="V391" i="8"/>
  <c r="U391" i="8"/>
  <c r="T391" i="8"/>
  <c r="S391" i="8"/>
  <c r="R391" i="8"/>
  <c r="P391" i="8"/>
  <c r="M391" i="8"/>
  <c r="L391" i="8"/>
  <c r="J391" i="8"/>
  <c r="I391" i="8"/>
  <c r="H391" i="8"/>
  <c r="G391" i="8"/>
  <c r="F391" i="8"/>
  <c r="E391" i="8"/>
  <c r="D391" i="8"/>
  <c r="C391" i="8"/>
  <c r="B391" i="8"/>
  <c r="A391" i="8"/>
  <c r="Z390" i="8"/>
  <c r="Y390" i="8"/>
  <c r="X390" i="8"/>
  <c r="W390" i="8"/>
  <c r="V390" i="8"/>
  <c r="U390" i="8"/>
  <c r="T390" i="8"/>
  <c r="S390" i="8"/>
  <c r="R390" i="8"/>
  <c r="P390" i="8"/>
  <c r="M390" i="8"/>
  <c r="L390" i="8"/>
  <c r="J390" i="8"/>
  <c r="I390" i="8"/>
  <c r="H390" i="8"/>
  <c r="G390" i="8"/>
  <c r="F390" i="8"/>
  <c r="E390" i="8"/>
  <c r="D390" i="8"/>
  <c r="C390" i="8"/>
  <c r="B390" i="8"/>
  <c r="A390" i="8"/>
  <c r="Z389" i="8"/>
  <c r="Y389" i="8"/>
  <c r="X389" i="8"/>
  <c r="W389" i="8"/>
  <c r="V389" i="8"/>
  <c r="U389" i="8"/>
  <c r="T389" i="8"/>
  <c r="S389" i="8"/>
  <c r="R389" i="8"/>
  <c r="P389" i="8"/>
  <c r="M389" i="8"/>
  <c r="L389" i="8"/>
  <c r="J389" i="8"/>
  <c r="I389" i="8"/>
  <c r="H389" i="8"/>
  <c r="G389" i="8"/>
  <c r="F389" i="8"/>
  <c r="E389" i="8"/>
  <c r="D389" i="8"/>
  <c r="C389" i="8"/>
  <c r="B389" i="8"/>
  <c r="A389" i="8"/>
  <c r="Z388" i="8"/>
  <c r="Y388" i="8"/>
  <c r="X388" i="8"/>
  <c r="W388" i="8"/>
  <c r="V388" i="8"/>
  <c r="U388" i="8"/>
  <c r="T388" i="8"/>
  <c r="S388" i="8"/>
  <c r="R388" i="8"/>
  <c r="P388" i="8"/>
  <c r="M388" i="8"/>
  <c r="L388" i="8"/>
  <c r="J388" i="8"/>
  <c r="I388" i="8"/>
  <c r="H388" i="8"/>
  <c r="G388" i="8"/>
  <c r="F388" i="8"/>
  <c r="E388" i="8"/>
  <c r="D388" i="8"/>
  <c r="C388" i="8"/>
  <c r="B388" i="8"/>
  <c r="A388" i="8"/>
  <c r="Z387" i="8"/>
  <c r="Y387" i="8"/>
  <c r="X387" i="8"/>
  <c r="W387" i="8"/>
  <c r="V387" i="8"/>
  <c r="U387" i="8"/>
  <c r="T387" i="8"/>
  <c r="S387" i="8"/>
  <c r="R387" i="8"/>
  <c r="P387" i="8"/>
  <c r="M387" i="8"/>
  <c r="L387" i="8"/>
  <c r="J387" i="8"/>
  <c r="I387" i="8"/>
  <c r="H387" i="8"/>
  <c r="G387" i="8"/>
  <c r="F387" i="8"/>
  <c r="E387" i="8"/>
  <c r="D387" i="8"/>
  <c r="C387" i="8"/>
  <c r="B387" i="8"/>
  <c r="A387" i="8"/>
  <c r="Z386" i="8"/>
  <c r="Y386" i="8"/>
  <c r="X386" i="8"/>
  <c r="W386" i="8"/>
  <c r="V386" i="8"/>
  <c r="U386" i="8"/>
  <c r="T386" i="8"/>
  <c r="S386" i="8"/>
  <c r="R386" i="8"/>
  <c r="P386" i="8"/>
  <c r="M386" i="8"/>
  <c r="L386" i="8"/>
  <c r="J386" i="8"/>
  <c r="I386" i="8"/>
  <c r="H386" i="8"/>
  <c r="G386" i="8"/>
  <c r="F386" i="8"/>
  <c r="E386" i="8"/>
  <c r="D386" i="8"/>
  <c r="C386" i="8"/>
  <c r="B386" i="8"/>
  <c r="A386" i="8"/>
  <c r="Z385" i="8"/>
  <c r="Y385" i="8"/>
  <c r="X385" i="8"/>
  <c r="W385" i="8"/>
  <c r="V385" i="8"/>
  <c r="U385" i="8"/>
  <c r="T385" i="8"/>
  <c r="S385" i="8"/>
  <c r="R385" i="8"/>
  <c r="P385" i="8"/>
  <c r="M385" i="8"/>
  <c r="L385" i="8"/>
  <c r="J385" i="8"/>
  <c r="I385" i="8"/>
  <c r="H385" i="8"/>
  <c r="G385" i="8"/>
  <c r="F385" i="8"/>
  <c r="E385" i="8"/>
  <c r="D385" i="8"/>
  <c r="C385" i="8"/>
  <c r="B385" i="8"/>
  <c r="A385" i="8"/>
  <c r="Z384" i="8"/>
  <c r="Y384" i="8"/>
  <c r="X384" i="8"/>
  <c r="W384" i="8"/>
  <c r="V384" i="8"/>
  <c r="U384" i="8"/>
  <c r="T384" i="8"/>
  <c r="S384" i="8"/>
  <c r="R384" i="8"/>
  <c r="P384" i="8"/>
  <c r="M384" i="8"/>
  <c r="L384" i="8"/>
  <c r="J384" i="8"/>
  <c r="I384" i="8"/>
  <c r="H384" i="8"/>
  <c r="G384" i="8"/>
  <c r="F384" i="8"/>
  <c r="E384" i="8"/>
  <c r="D384" i="8"/>
  <c r="C384" i="8"/>
  <c r="B384" i="8"/>
  <c r="A384" i="8"/>
  <c r="Z383" i="8"/>
  <c r="Y383" i="8"/>
  <c r="X383" i="8"/>
  <c r="W383" i="8"/>
  <c r="V383" i="8"/>
  <c r="U383" i="8"/>
  <c r="T383" i="8"/>
  <c r="S383" i="8"/>
  <c r="R383" i="8"/>
  <c r="P383" i="8"/>
  <c r="M383" i="8"/>
  <c r="L383" i="8"/>
  <c r="J383" i="8"/>
  <c r="I383" i="8"/>
  <c r="H383" i="8"/>
  <c r="G383" i="8"/>
  <c r="F383" i="8"/>
  <c r="E383" i="8"/>
  <c r="D383" i="8"/>
  <c r="C383" i="8"/>
  <c r="B383" i="8"/>
  <c r="A383" i="8"/>
  <c r="Z382" i="8"/>
  <c r="Y382" i="8"/>
  <c r="X382" i="8"/>
  <c r="W382" i="8"/>
  <c r="V382" i="8"/>
  <c r="U382" i="8"/>
  <c r="T382" i="8"/>
  <c r="S382" i="8"/>
  <c r="R382" i="8"/>
  <c r="P382" i="8"/>
  <c r="M382" i="8"/>
  <c r="L382" i="8"/>
  <c r="J382" i="8"/>
  <c r="I382" i="8"/>
  <c r="H382" i="8"/>
  <c r="G382" i="8"/>
  <c r="F382" i="8"/>
  <c r="E382" i="8"/>
  <c r="D382" i="8"/>
  <c r="C382" i="8"/>
  <c r="B382" i="8"/>
  <c r="A382" i="8"/>
  <c r="Z381" i="8"/>
  <c r="Y381" i="8"/>
  <c r="X381" i="8"/>
  <c r="W381" i="8"/>
  <c r="V381" i="8"/>
  <c r="U381" i="8"/>
  <c r="T381" i="8"/>
  <c r="S381" i="8"/>
  <c r="R381" i="8"/>
  <c r="P381" i="8"/>
  <c r="M381" i="8"/>
  <c r="L381" i="8"/>
  <c r="J381" i="8"/>
  <c r="I381" i="8"/>
  <c r="H381" i="8"/>
  <c r="G381" i="8"/>
  <c r="F381" i="8"/>
  <c r="E381" i="8"/>
  <c r="D381" i="8"/>
  <c r="C381" i="8"/>
  <c r="B381" i="8"/>
  <c r="A381" i="8"/>
  <c r="Z380" i="8"/>
  <c r="Y380" i="8"/>
  <c r="X380" i="8"/>
  <c r="W380" i="8"/>
  <c r="V380" i="8"/>
  <c r="U380" i="8"/>
  <c r="T380" i="8"/>
  <c r="S380" i="8"/>
  <c r="R380" i="8"/>
  <c r="P380" i="8"/>
  <c r="M380" i="8"/>
  <c r="L380" i="8"/>
  <c r="J380" i="8"/>
  <c r="I380" i="8"/>
  <c r="H380" i="8"/>
  <c r="G380" i="8"/>
  <c r="F380" i="8"/>
  <c r="E380" i="8"/>
  <c r="D380" i="8"/>
  <c r="C380" i="8"/>
  <c r="B380" i="8"/>
  <c r="A380" i="8"/>
  <c r="Z379" i="8"/>
  <c r="Y379" i="8"/>
  <c r="X379" i="8"/>
  <c r="W379" i="8"/>
  <c r="V379" i="8"/>
  <c r="U379" i="8"/>
  <c r="T379" i="8"/>
  <c r="S379" i="8"/>
  <c r="R379" i="8"/>
  <c r="P379" i="8"/>
  <c r="M379" i="8"/>
  <c r="L379" i="8"/>
  <c r="J379" i="8"/>
  <c r="I379" i="8"/>
  <c r="H379" i="8"/>
  <c r="G379" i="8"/>
  <c r="F379" i="8"/>
  <c r="E379" i="8"/>
  <c r="D379" i="8"/>
  <c r="C379" i="8"/>
  <c r="B379" i="8"/>
  <c r="A379" i="8"/>
  <c r="Z378" i="8"/>
  <c r="Y378" i="8"/>
  <c r="X378" i="8"/>
  <c r="W378" i="8"/>
  <c r="V378" i="8"/>
  <c r="U378" i="8"/>
  <c r="T378" i="8"/>
  <c r="S378" i="8"/>
  <c r="R378" i="8"/>
  <c r="P378" i="8"/>
  <c r="M378" i="8"/>
  <c r="L378" i="8"/>
  <c r="J378" i="8"/>
  <c r="I378" i="8"/>
  <c r="H378" i="8"/>
  <c r="G378" i="8"/>
  <c r="F378" i="8"/>
  <c r="E378" i="8"/>
  <c r="D378" i="8"/>
  <c r="C378" i="8"/>
  <c r="B378" i="8"/>
  <c r="A378" i="8"/>
  <c r="Z377" i="8"/>
  <c r="Y377" i="8"/>
  <c r="X377" i="8"/>
  <c r="W377" i="8"/>
  <c r="V377" i="8"/>
  <c r="U377" i="8"/>
  <c r="T377" i="8"/>
  <c r="S377" i="8"/>
  <c r="R377" i="8"/>
  <c r="P377" i="8"/>
  <c r="M377" i="8"/>
  <c r="L377" i="8"/>
  <c r="J377" i="8"/>
  <c r="I377" i="8"/>
  <c r="H377" i="8"/>
  <c r="G377" i="8"/>
  <c r="F377" i="8"/>
  <c r="E377" i="8"/>
  <c r="D377" i="8"/>
  <c r="C377" i="8"/>
  <c r="B377" i="8"/>
  <c r="A377" i="8"/>
  <c r="Z376" i="8"/>
  <c r="Y376" i="8"/>
  <c r="X376" i="8"/>
  <c r="W376" i="8"/>
  <c r="V376" i="8"/>
  <c r="U376" i="8"/>
  <c r="T376" i="8"/>
  <c r="S376" i="8"/>
  <c r="R376" i="8"/>
  <c r="P376" i="8"/>
  <c r="M376" i="8"/>
  <c r="L376" i="8"/>
  <c r="J376" i="8"/>
  <c r="I376" i="8"/>
  <c r="H376" i="8"/>
  <c r="G376" i="8"/>
  <c r="F376" i="8"/>
  <c r="E376" i="8"/>
  <c r="D376" i="8"/>
  <c r="C376" i="8"/>
  <c r="B376" i="8"/>
  <c r="A376" i="8"/>
  <c r="Z375" i="8"/>
  <c r="Y375" i="8"/>
  <c r="X375" i="8"/>
  <c r="W375" i="8"/>
  <c r="V375" i="8"/>
  <c r="U375" i="8"/>
  <c r="T375" i="8"/>
  <c r="S375" i="8"/>
  <c r="R375" i="8"/>
  <c r="P375" i="8"/>
  <c r="M375" i="8"/>
  <c r="L375" i="8"/>
  <c r="J375" i="8"/>
  <c r="I375" i="8"/>
  <c r="H375" i="8"/>
  <c r="G375" i="8"/>
  <c r="F375" i="8"/>
  <c r="E375" i="8"/>
  <c r="D375" i="8"/>
  <c r="C375" i="8"/>
  <c r="B375" i="8"/>
  <c r="A375" i="8"/>
  <c r="Z374" i="8"/>
  <c r="Y374" i="8"/>
  <c r="X374" i="8"/>
  <c r="W374" i="8"/>
  <c r="V374" i="8"/>
  <c r="U374" i="8"/>
  <c r="T374" i="8"/>
  <c r="S374" i="8"/>
  <c r="R374" i="8"/>
  <c r="P374" i="8"/>
  <c r="M374" i="8"/>
  <c r="L374" i="8"/>
  <c r="J374" i="8"/>
  <c r="I374" i="8"/>
  <c r="H374" i="8"/>
  <c r="G374" i="8"/>
  <c r="F374" i="8"/>
  <c r="E374" i="8"/>
  <c r="D374" i="8"/>
  <c r="C374" i="8"/>
  <c r="B374" i="8"/>
  <c r="A374" i="8"/>
  <c r="Z373" i="8"/>
  <c r="Y373" i="8"/>
  <c r="X373" i="8"/>
  <c r="W373" i="8"/>
  <c r="V373" i="8"/>
  <c r="U373" i="8"/>
  <c r="T373" i="8"/>
  <c r="S373" i="8"/>
  <c r="R373" i="8"/>
  <c r="P373" i="8"/>
  <c r="M373" i="8"/>
  <c r="L373" i="8"/>
  <c r="J373" i="8"/>
  <c r="I373" i="8"/>
  <c r="H373" i="8"/>
  <c r="G373" i="8"/>
  <c r="F373" i="8"/>
  <c r="E373" i="8"/>
  <c r="D373" i="8"/>
  <c r="C373" i="8"/>
  <c r="B373" i="8"/>
  <c r="A373" i="8"/>
  <c r="Z372" i="8"/>
  <c r="Y372" i="8"/>
  <c r="X372" i="8"/>
  <c r="W372" i="8"/>
  <c r="V372" i="8"/>
  <c r="U372" i="8"/>
  <c r="T372" i="8"/>
  <c r="S372" i="8"/>
  <c r="R372" i="8"/>
  <c r="P372" i="8"/>
  <c r="M372" i="8"/>
  <c r="L372" i="8"/>
  <c r="J372" i="8"/>
  <c r="I372" i="8"/>
  <c r="H372" i="8"/>
  <c r="G372" i="8"/>
  <c r="F372" i="8"/>
  <c r="E372" i="8"/>
  <c r="D372" i="8"/>
  <c r="C372" i="8"/>
  <c r="B372" i="8"/>
  <c r="A372" i="8"/>
  <c r="Z371" i="8"/>
  <c r="Y371" i="8"/>
  <c r="X371" i="8"/>
  <c r="W371" i="8"/>
  <c r="V371" i="8"/>
  <c r="U371" i="8"/>
  <c r="T371" i="8"/>
  <c r="S371" i="8"/>
  <c r="R371" i="8"/>
  <c r="P371" i="8"/>
  <c r="M371" i="8"/>
  <c r="L371" i="8"/>
  <c r="J371" i="8"/>
  <c r="I371" i="8"/>
  <c r="H371" i="8"/>
  <c r="G371" i="8"/>
  <c r="F371" i="8"/>
  <c r="E371" i="8"/>
  <c r="D371" i="8"/>
  <c r="C371" i="8"/>
  <c r="B371" i="8"/>
  <c r="A371" i="8"/>
  <c r="Z370" i="8"/>
  <c r="Y370" i="8"/>
  <c r="X370" i="8"/>
  <c r="W370" i="8"/>
  <c r="V370" i="8"/>
  <c r="U370" i="8"/>
  <c r="T370" i="8"/>
  <c r="S370" i="8"/>
  <c r="R370" i="8"/>
  <c r="P370" i="8"/>
  <c r="M370" i="8"/>
  <c r="L370" i="8"/>
  <c r="J370" i="8"/>
  <c r="I370" i="8"/>
  <c r="H370" i="8"/>
  <c r="G370" i="8"/>
  <c r="F370" i="8"/>
  <c r="E370" i="8"/>
  <c r="D370" i="8"/>
  <c r="C370" i="8"/>
  <c r="B370" i="8"/>
  <c r="A370" i="8"/>
  <c r="Z369" i="8"/>
  <c r="Y369" i="8"/>
  <c r="X369" i="8"/>
  <c r="W369" i="8"/>
  <c r="V369" i="8"/>
  <c r="U369" i="8"/>
  <c r="T369" i="8"/>
  <c r="S369" i="8"/>
  <c r="R369" i="8"/>
  <c r="P369" i="8"/>
  <c r="M369" i="8"/>
  <c r="L369" i="8"/>
  <c r="J369" i="8"/>
  <c r="I369" i="8"/>
  <c r="H369" i="8"/>
  <c r="G369" i="8"/>
  <c r="F369" i="8"/>
  <c r="E369" i="8"/>
  <c r="D369" i="8"/>
  <c r="C369" i="8"/>
  <c r="B369" i="8"/>
  <c r="A369" i="8"/>
  <c r="Z368" i="8"/>
  <c r="Y368" i="8"/>
  <c r="X368" i="8"/>
  <c r="W368" i="8"/>
  <c r="V368" i="8"/>
  <c r="U368" i="8"/>
  <c r="T368" i="8"/>
  <c r="S368" i="8"/>
  <c r="R368" i="8"/>
  <c r="P368" i="8"/>
  <c r="M368" i="8"/>
  <c r="L368" i="8"/>
  <c r="J368" i="8"/>
  <c r="I368" i="8"/>
  <c r="H368" i="8"/>
  <c r="G368" i="8"/>
  <c r="F368" i="8"/>
  <c r="E368" i="8"/>
  <c r="D368" i="8"/>
  <c r="C368" i="8"/>
  <c r="B368" i="8"/>
  <c r="A368" i="8"/>
  <c r="Z367" i="8"/>
  <c r="Y367" i="8"/>
  <c r="X367" i="8"/>
  <c r="W367" i="8"/>
  <c r="V367" i="8"/>
  <c r="U367" i="8"/>
  <c r="T367" i="8"/>
  <c r="S367" i="8"/>
  <c r="R367" i="8"/>
  <c r="P367" i="8"/>
  <c r="M367" i="8"/>
  <c r="L367" i="8"/>
  <c r="J367" i="8"/>
  <c r="I367" i="8"/>
  <c r="H367" i="8"/>
  <c r="G367" i="8"/>
  <c r="F367" i="8"/>
  <c r="E367" i="8"/>
  <c r="D367" i="8"/>
  <c r="C367" i="8"/>
  <c r="B367" i="8"/>
  <c r="A367" i="8"/>
  <c r="Z366" i="8"/>
  <c r="Y366" i="8"/>
  <c r="X366" i="8"/>
  <c r="W366" i="8"/>
  <c r="V366" i="8"/>
  <c r="U366" i="8"/>
  <c r="T366" i="8"/>
  <c r="S366" i="8"/>
  <c r="R366" i="8"/>
  <c r="P366" i="8"/>
  <c r="M366" i="8"/>
  <c r="L366" i="8"/>
  <c r="J366" i="8"/>
  <c r="I366" i="8"/>
  <c r="H366" i="8"/>
  <c r="G366" i="8"/>
  <c r="F366" i="8"/>
  <c r="E366" i="8"/>
  <c r="D366" i="8"/>
  <c r="C366" i="8"/>
  <c r="B366" i="8"/>
  <c r="A366" i="8"/>
  <c r="Z365" i="8"/>
  <c r="Y365" i="8"/>
  <c r="X365" i="8"/>
  <c r="W365" i="8"/>
  <c r="V365" i="8"/>
  <c r="U365" i="8"/>
  <c r="T365" i="8"/>
  <c r="S365" i="8"/>
  <c r="R365" i="8"/>
  <c r="P365" i="8"/>
  <c r="M365" i="8"/>
  <c r="L365" i="8"/>
  <c r="J365" i="8"/>
  <c r="I365" i="8"/>
  <c r="H365" i="8"/>
  <c r="G365" i="8"/>
  <c r="F365" i="8"/>
  <c r="E365" i="8"/>
  <c r="D365" i="8"/>
  <c r="C365" i="8"/>
  <c r="B365" i="8"/>
  <c r="A365" i="8"/>
  <c r="Z364" i="8"/>
  <c r="Y364" i="8"/>
  <c r="X364" i="8"/>
  <c r="W364" i="8"/>
  <c r="V364" i="8"/>
  <c r="U364" i="8"/>
  <c r="T364" i="8"/>
  <c r="S364" i="8"/>
  <c r="R364" i="8"/>
  <c r="P364" i="8"/>
  <c r="M364" i="8"/>
  <c r="L364" i="8"/>
  <c r="J364" i="8"/>
  <c r="I364" i="8"/>
  <c r="H364" i="8"/>
  <c r="G364" i="8"/>
  <c r="F364" i="8"/>
  <c r="E364" i="8"/>
  <c r="D364" i="8"/>
  <c r="C364" i="8"/>
  <c r="B364" i="8"/>
  <c r="A364" i="8"/>
  <c r="Z363" i="8"/>
  <c r="Y363" i="8"/>
  <c r="X363" i="8"/>
  <c r="W363" i="8"/>
  <c r="V363" i="8"/>
  <c r="U363" i="8"/>
  <c r="T363" i="8"/>
  <c r="S363" i="8"/>
  <c r="R363" i="8"/>
  <c r="P363" i="8"/>
  <c r="M363" i="8"/>
  <c r="L363" i="8"/>
  <c r="J363" i="8"/>
  <c r="I363" i="8"/>
  <c r="H363" i="8"/>
  <c r="G363" i="8"/>
  <c r="F363" i="8"/>
  <c r="E363" i="8"/>
  <c r="D363" i="8"/>
  <c r="C363" i="8"/>
  <c r="B363" i="8"/>
  <c r="A363" i="8"/>
  <c r="Z362" i="8"/>
  <c r="Y362" i="8"/>
  <c r="X362" i="8"/>
  <c r="W362" i="8"/>
  <c r="V362" i="8"/>
  <c r="U362" i="8"/>
  <c r="T362" i="8"/>
  <c r="S362" i="8"/>
  <c r="R362" i="8"/>
  <c r="P362" i="8"/>
  <c r="M362" i="8"/>
  <c r="L362" i="8"/>
  <c r="J362" i="8"/>
  <c r="I362" i="8"/>
  <c r="H362" i="8"/>
  <c r="G362" i="8"/>
  <c r="F362" i="8"/>
  <c r="E362" i="8"/>
  <c r="D362" i="8"/>
  <c r="C362" i="8"/>
  <c r="B362" i="8"/>
  <c r="A362" i="8"/>
  <c r="Z361" i="8"/>
  <c r="Y361" i="8"/>
  <c r="X361" i="8"/>
  <c r="W361" i="8"/>
  <c r="V361" i="8"/>
  <c r="U361" i="8"/>
  <c r="T361" i="8"/>
  <c r="S361" i="8"/>
  <c r="R361" i="8"/>
  <c r="P361" i="8"/>
  <c r="M361" i="8"/>
  <c r="L361" i="8"/>
  <c r="J361" i="8"/>
  <c r="I361" i="8"/>
  <c r="H361" i="8"/>
  <c r="G361" i="8"/>
  <c r="F361" i="8"/>
  <c r="E361" i="8"/>
  <c r="D361" i="8"/>
  <c r="C361" i="8"/>
  <c r="B361" i="8"/>
  <c r="A361" i="8"/>
  <c r="Z360" i="8"/>
  <c r="Y360" i="8"/>
  <c r="X360" i="8"/>
  <c r="W360" i="8"/>
  <c r="V360" i="8"/>
  <c r="U360" i="8"/>
  <c r="T360" i="8"/>
  <c r="S360" i="8"/>
  <c r="R360" i="8"/>
  <c r="P360" i="8"/>
  <c r="M360" i="8"/>
  <c r="L360" i="8"/>
  <c r="J360" i="8"/>
  <c r="I360" i="8"/>
  <c r="H360" i="8"/>
  <c r="G360" i="8"/>
  <c r="F360" i="8"/>
  <c r="E360" i="8"/>
  <c r="D360" i="8"/>
  <c r="C360" i="8"/>
  <c r="B360" i="8"/>
  <c r="A360" i="8"/>
  <c r="Z359" i="8"/>
  <c r="Y359" i="8"/>
  <c r="X359" i="8"/>
  <c r="W359" i="8"/>
  <c r="V359" i="8"/>
  <c r="U359" i="8"/>
  <c r="T359" i="8"/>
  <c r="S359" i="8"/>
  <c r="R359" i="8"/>
  <c r="P359" i="8"/>
  <c r="M359" i="8"/>
  <c r="L359" i="8"/>
  <c r="J359" i="8"/>
  <c r="I359" i="8"/>
  <c r="H359" i="8"/>
  <c r="G359" i="8"/>
  <c r="F359" i="8"/>
  <c r="E359" i="8"/>
  <c r="D359" i="8"/>
  <c r="C359" i="8"/>
  <c r="B359" i="8"/>
  <c r="A359" i="8"/>
  <c r="Z358" i="8"/>
  <c r="Y358" i="8"/>
  <c r="X358" i="8"/>
  <c r="W358" i="8"/>
  <c r="V358" i="8"/>
  <c r="U358" i="8"/>
  <c r="T358" i="8"/>
  <c r="S358" i="8"/>
  <c r="R358" i="8"/>
  <c r="P358" i="8"/>
  <c r="M358" i="8"/>
  <c r="L358" i="8"/>
  <c r="J358" i="8"/>
  <c r="I358" i="8"/>
  <c r="H358" i="8"/>
  <c r="G358" i="8"/>
  <c r="F358" i="8"/>
  <c r="E358" i="8"/>
  <c r="D358" i="8"/>
  <c r="C358" i="8"/>
  <c r="B358" i="8"/>
  <c r="A358" i="8"/>
  <c r="Z357" i="8"/>
  <c r="Y357" i="8"/>
  <c r="X357" i="8"/>
  <c r="W357" i="8"/>
  <c r="V357" i="8"/>
  <c r="U357" i="8"/>
  <c r="T357" i="8"/>
  <c r="S357" i="8"/>
  <c r="R357" i="8"/>
  <c r="P357" i="8"/>
  <c r="M357" i="8"/>
  <c r="L357" i="8"/>
  <c r="J357" i="8"/>
  <c r="I357" i="8"/>
  <c r="H357" i="8"/>
  <c r="G357" i="8"/>
  <c r="F357" i="8"/>
  <c r="E357" i="8"/>
  <c r="D357" i="8"/>
  <c r="C357" i="8"/>
  <c r="B357" i="8"/>
  <c r="A357" i="8"/>
  <c r="Z356" i="8"/>
  <c r="Y356" i="8"/>
  <c r="X356" i="8"/>
  <c r="W356" i="8"/>
  <c r="V356" i="8"/>
  <c r="U356" i="8"/>
  <c r="T356" i="8"/>
  <c r="S356" i="8"/>
  <c r="R356" i="8"/>
  <c r="P356" i="8"/>
  <c r="M356" i="8"/>
  <c r="L356" i="8"/>
  <c r="J356" i="8"/>
  <c r="I356" i="8"/>
  <c r="H356" i="8"/>
  <c r="G356" i="8"/>
  <c r="F356" i="8"/>
  <c r="E356" i="8"/>
  <c r="D356" i="8"/>
  <c r="C356" i="8"/>
  <c r="B356" i="8"/>
  <c r="A356" i="8"/>
  <c r="Z355" i="8"/>
  <c r="Y355" i="8"/>
  <c r="X355" i="8"/>
  <c r="W355" i="8"/>
  <c r="V355" i="8"/>
  <c r="U355" i="8"/>
  <c r="T355" i="8"/>
  <c r="S355" i="8"/>
  <c r="R355" i="8"/>
  <c r="P355" i="8"/>
  <c r="M355" i="8"/>
  <c r="L355" i="8"/>
  <c r="J355" i="8"/>
  <c r="I355" i="8"/>
  <c r="H355" i="8"/>
  <c r="G355" i="8"/>
  <c r="F355" i="8"/>
  <c r="E355" i="8"/>
  <c r="D355" i="8"/>
  <c r="C355" i="8"/>
  <c r="B355" i="8"/>
  <c r="A355" i="8"/>
  <c r="Z354" i="8"/>
  <c r="Y354" i="8"/>
  <c r="X354" i="8"/>
  <c r="W354" i="8"/>
  <c r="V354" i="8"/>
  <c r="U354" i="8"/>
  <c r="T354" i="8"/>
  <c r="S354" i="8"/>
  <c r="R354" i="8"/>
  <c r="P354" i="8"/>
  <c r="M354" i="8"/>
  <c r="L354" i="8"/>
  <c r="J354" i="8"/>
  <c r="I354" i="8"/>
  <c r="H354" i="8"/>
  <c r="G354" i="8"/>
  <c r="F354" i="8"/>
  <c r="E354" i="8"/>
  <c r="D354" i="8"/>
  <c r="C354" i="8"/>
  <c r="B354" i="8"/>
  <c r="A354" i="8"/>
  <c r="Z353" i="8"/>
  <c r="Y353" i="8"/>
  <c r="X353" i="8"/>
  <c r="W353" i="8"/>
  <c r="V353" i="8"/>
  <c r="U353" i="8"/>
  <c r="T353" i="8"/>
  <c r="S353" i="8"/>
  <c r="R353" i="8"/>
  <c r="P353" i="8"/>
  <c r="M353" i="8"/>
  <c r="L353" i="8"/>
  <c r="J353" i="8"/>
  <c r="I353" i="8"/>
  <c r="H353" i="8"/>
  <c r="G353" i="8"/>
  <c r="F353" i="8"/>
  <c r="E353" i="8"/>
  <c r="D353" i="8"/>
  <c r="C353" i="8"/>
  <c r="B353" i="8"/>
  <c r="A353" i="8"/>
  <c r="Z352" i="8"/>
  <c r="Y352" i="8"/>
  <c r="X352" i="8"/>
  <c r="W352" i="8"/>
  <c r="V352" i="8"/>
  <c r="U352" i="8"/>
  <c r="T352" i="8"/>
  <c r="S352" i="8"/>
  <c r="R352" i="8"/>
  <c r="P352" i="8"/>
  <c r="M352" i="8"/>
  <c r="L352" i="8"/>
  <c r="J352" i="8"/>
  <c r="I352" i="8"/>
  <c r="H352" i="8"/>
  <c r="G352" i="8"/>
  <c r="F352" i="8"/>
  <c r="E352" i="8"/>
  <c r="D352" i="8"/>
  <c r="C352" i="8"/>
  <c r="B352" i="8"/>
  <c r="A352" i="8"/>
  <c r="Z351" i="8"/>
  <c r="Y351" i="8"/>
  <c r="X351" i="8"/>
  <c r="W351" i="8"/>
  <c r="V351" i="8"/>
  <c r="U351" i="8"/>
  <c r="T351" i="8"/>
  <c r="S351" i="8"/>
  <c r="R351" i="8"/>
  <c r="P351" i="8"/>
  <c r="M351" i="8"/>
  <c r="L351" i="8"/>
  <c r="J351" i="8"/>
  <c r="I351" i="8"/>
  <c r="H351" i="8"/>
  <c r="G351" i="8"/>
  <c r="F351" i="8"/>
  <c r="E351" i="8"/>
  <c r="D351" i="8"/>
  <c r="C351" i="8"/>
  <c r="B351" i="8"/>
  <c r="A351" i="8"/>
  <c r="Z350" i="8"/>
  <c r="Y350" i="8"/>
  <c r="X350" i="8"/>
  <c r="W350" i="8"/>
  <c r="V350" i="8"/>
  <c r="U350" i="8"/>
  <c r="T350" i="8"/>
  <c r="S350" i="8"/>
  <c r="R350" i="8"/>
  <c r="P350" i="8"/>
  <c r="M350" i="8"/>
  <c r="L350" i="8"/>
  <c r="J350" i="8"/>
  <c r="I350" i="8"/>
  <c r="H350" i="8"/>
  <c r="G350" i="8"/>
  <c r="F350" i="8"/>
  <c r="E350" i="8"/>
  <c r="D350" i="8"/>
  <c r="C350" i="8"/>
  <c r="B350" i="8"/>
  <c r="A350" i="8"/>
  <c r="Z349" i="8"/>
  <c r="Y349" i="8"/>
  <c r="X349" i="8"/>
  <c r="W349" i="8"/>
  <c r="V349" i="8"/>
  <c r="U349" i="8"/>
  <c r="T349" i="8"/>
  <c r="S349" i="8"/>
  <c r="R349" i="8"/>
  <c r="P349" i="8"/>
  <c r="M349" i="8"/>
  <c r="L349" i="8"/>
  <c r="J349" i="8"/>
  <c r="I349" i="8"/>
  <c r="H349" i="8"/>
  <c r="G349" i="8"/>
  <c r="F349" i="8"/>
  <c r="E349" i="8"/>
  <c r="D349" i="8"/>
  <c r="C349" i="8"/>
  <c r="B349" i="8"/>
  <c r="A349" i="8"/>
  <c r="Z348" i="8"/>
  <c r="Y348" i="8"/>
  <c r="X348" i="8"/>
  <c r="W348" i="8"/>
  <c r="V348" i="8"/>
  <c r="U348" i="8"/>
  <c r="T348" i="8"/>
  <c r="S348" i="8"/>
  <c r="R348" i="8"/>
  <c r="P348" i="8"/>
  <c r="M348" i="8"/>
  <c r="L348" i="8"/>
  <c r="J348" i="8"/>
  <c r="I348" i="8"/>
  <c r="H348" i="8"/>
  <c r="G348" i="8"/>
  <c r="F348" i="8"/>
  <c r="E348" i="8"/>
  <c r="D348" i="8"/>
  <c r="C348" i="8"/>
  <c r="B348" i="8"/>
  <c r="A348" i="8"/>
  <c r="Z347" i="8"/>
  <c r="Y347" i="8"/>
  <c r="X347" i="8"/>
  <c r="W347" i="8"/>
  <c r="V347" i="8"/>
  <c r="U347" i="8"/>
  <c r="T347" i="8"/>
  <c r="S347" i="8"/>
  <c r="R347" i="8"/>
  <c r="P347" i="8"/>
  <c r="M347" i="8"/>
  <c r="L347" i="8"/>
  <c r="J347" i="8"/>
  <c r="I347" i="8"/>
  <c r="H347" i="8"/>
  <c r="G347" i="8"/>
  <c r="F347" i="8"/>
  <c r="E347" i="8"/>
  <c r="D347" i="8"/>
  <c r="C347" i="8"/>
  <c r="B347" i="8"/>
  <c r="A347" i="8"/>
  <c r="Z346" i="8"/>
  <c r="Y346" i="8"/>
  <c r="X346" i="8"/>
  <c r="W346" i="8"/>
  <c r="V346" i="8"/>
  <c r="U346" i="8"/>
  <c r="T346" i="8"/>
  <c r="S346" i="8"/>
  <c r="R346" i="8"/>
  <c r="P346" i="8"/>
  <c r="M346" i="8"/>
  <c r="L346" i="8"/>
  <c r="J346" i="8"/>
  <c r="I346" i="8"/>
  <c r="H346" i="8"/>
  <c r="G346" i="8"/>
  <c r="F346" i="8"/>
  <c r="E346" i="8"/>
  <c r="D346" i="8"/>
  <c r="C346" i="8"/>
  <c r="B346" i="8"/>
  <c r="A346" i="8"/>
  <c r="Z345" i="8"/>
  <c r="Y345" i="8"/>
  <c r="X345" i="8"/>
  <c r="W345" i="8"/>
  <c r="V345" i="8"/>
  <c r="U345" i="8"/>
  <c r="T345" i="8"/>
  <c r="S345" i="8"/>
  <c r="R345" i="8"/>
  <c r="P345" i="8"/>
  <c r="M345" i="8"/>
  <c r="L345" i="8"/>
  <c r="J345" i="8"/>
  <c r="I345" i="8"/>
  <c r="H345" i="8"/>
  <c r="G345" i="8"/>
  <c r="F345" i="8"/>
  <c r="E345" i="8"/>
  <c r="D345" i="8"/>
  <c r="C345" i="8"/>
  <c r="B345" i="8"/>
  <c r="A345" i="8"/>
  <c r="Z344" i="8"/>
  <c r="Y344" i="8"/>
  <c r="X344" i="8"/>
  <c r="W344" i="8"/>
  <c r="V344" i="8"/>
  <c r="U344" i="8"/>
  <c r="T344" i="8"/>
  <c r="S344" i="8"/>
  <c r="R344" i="8"/>
  <c r="P344" i="8"/>
  <c r="M344" i="8"/>
  <c r="L344" i="8"/>
  <c r="J344" i="8"/>
  <c r="I344" i="8"/>
  <c r="H344" i="8"/>
  <c r="G344" i="8"/>
  <c r="F344" i="8"/>
  <c r="E344" i="8"/>
  <c r="D344" i="8"/>
  <c r="C344" i="8"/>
  <c r="B344" i="8"/>
  <c r="A344" i="8"/>
  <c r="Z343" i="8"/>
  <c r="Y343" i="8"/>
  <c r="X343" i="8"/>
  <c r="W343" i="8"/>
  <c r="V343" i="8"/>
  <c r="U343" i="8"/>
  <c r="T343" i="8"/>
  <c r="S343" i="8"/>
  <c r="R343" i="8"/>
  <c r="P343" i="8"/>
  <c r="M343" i="8"/>
  <c r="L343" i="8"/>
  <c r="J343" i="8"/>
  <c r="I343" i="8"/>
  <c r="H343" i="8"/>
  <c r="G343" i="8"/>
  <c r="F343" i="8"/>
  <c r="E343" i="8"/>
  <c r="D343" i="8"/>
  <c r="C343" i="8"/>
  <c r="B343" i="8"/>
  <c r="A343" i="8"/>
  <c r="Z342" i="8"/>
  <c r="Y342" i="8"/>
  <c r="X342" i="8"/>
  <c r="W342" i="8"/>
  <c r="V342" i="8"/>
  <c r="U342" i="8"/>
  <c r="T342" i="8"/>
  <c r="S342" i="8"/>
  <c r="R342" i="8"/>
  <c r="P342" i="8"/>
  <c r="M342" i="8"/>
  <c r="L342" i="8"/>
  <c r="J342" i="8"/>
  <c r="I342" i="8"/>
  <c r="H342" i="8"/>
  <c r="G342" i="8"/>
  <c r="F342" i="8"/>
  <c r="E342" i="8"/>
  <c r="D342" i="8"/>
  <c r="C342" i="8"/>
  <c r="B342" i="8"/>
  <c r="A342" i="8"/>
  <c r="Z341" i="8"/>
  <c r="Y341" i="8"/>
  <c r="X341" i="8"/>
  <c r="W341" i="8"/>
  <c r="V341" i="8"/>
  <c r="U341" i="8"/>
  <c r="T341" i="8"/>
  <c r="S341" i="8"/>
  <c r="R341" i="8"/>
  <c r="P341" i="8"/>
  <c r="M341" i="8"/>
  <c r="L341" i="8"/>
  <c r="J341" i="8"/>
  <c r="I341" i="8"/>
  <c r="H341" i="8"/>
  <c r="G341" i="8"/>
  <c r="F341" i="8"/>
  <c r="E341" i="8"/>
  <c r="D341" i="8"/>
  <c r="C341" i="8"/>
  <c r="B341" i="8"/>
  <c r="A341" i="8"/>
  <c r="Z340" i="8"/>
  <c r="Y340" i="8"/>
  <c r="X340" i="8"/>
  <c r="W340" i="8"/>
  <c r="V340" i="8"/>
  <c r="U340" i="8"/>
  <c r="T340" i="8"/>
  <c r="S340" i="8"/>
  <c r="R340" i="8"/>
  <c r="P340" i="8"/>
  <c r="M340" i="8"/>
  <c r="L340" i="8"/>
  <c r="J340" i="8"/>
  <c r="I340" i="8"/>
  <c r="H340" i="8"/>
  <c r="G340" i="8"/>
  <c r="F340" i="8"/>
  <c r="E340" i="8"/>
  <c r="D340" i="8"/>
  <c r="C340" i="8"/>
  <c r="B340" i="8"/>
  <c r="A340" i="8"/>
  <c r="Z339" i="8"/>
  <c r="Y339" i="8"/>
  <c r="X339" i="8"/>
  <c r="W339" i="8"/>
  <c r="V339" i="8"/>
  <c r="U339" i="8"/>
  <c r="T339" i="8"/>
  <c r="S339" i="8"/>
  <c r="R339" i="8"/>
  <c r="P339" i="8"/>
  <c r="M339" i="8"/>
  <c r="L339" i="8"/>
  <c r="J339" i="8"/>
  <c r="I339" i="8"/>
  <c r="H339" i="8"/>
  <c r="G339" i="8"/>
  <c r="F339" i="8"/>
  <c r="E339" i="8"/>
  <c r="D339" i="8"/>
  <c r="C339" i="8"/>
  <c r="B339" i="8"/>
  <c r="A339" i="8"/>
  <c r="Z338" i="8"/>
  <c r="Y338" i="8"/>
  <c r="X338" i="8"/>
  <c r="W338" i="8"/>
  <c r="V338" i="8"/>
  <c r="U338" i="8"/>
  <c r="T338" i="8"/>
  <c r="S338" i="8"/>
  <c r="R338" i="8"/>
  <c r="P338" i="8"/>
  <c r="M338" i="8"/>
  <c r="L338" i="8"/>
  <c r="J338" i="8"/>
  <c r="I338" i="8"/>
  <c r="H338" i="8"/>
  <c r="G338" i="8"/>
  <c r="F338" i="8"/>
  <c r="E338" i="8"/>
  <c r="D338" i="8"/>
  <c r="C338" i="8"/>
  <c r="B338" i="8"/>
  <c r="A338" i="8"/>
  <c r="Z337" i="8"/>
  <c r="Y337" i="8"/>
  <c r="X337" i="8"/>
  <c r="W337" i="8"/>
  <c r="V337" i="8"/>
  <c r="U337" i="8"/>
  <c r="T337" i="8"/>
  <c r="S337" i="8"/>
  <c r="R337" i="8"/>
  <c r="P337" i="8"/>
  <c r="M337" i="8"/>
  <c r="L337" i="8"/>
  <c r="J337" i="8"/>
  <c r="I337" i="8"/>
  <c r="H337" i="8"/>
  <c r="G337" i="8"/>
  <c r="F337" i="8"/>
  <c r="E337" i="8"/>
  <c r="D337" i="8"/>
  <c r="C337" i="8"/>
  <c r="B337" i="8"/>
  <c r="A337" i="8"/>
  <c r="Z336" i="8"/>
  <c r="Y336" i="8"/>
  <c r="X336" i="8"/>
  <c r="W336" i="8"/>
  <c r="V336" i="8"/>
  <c r="U336" i="8"/>
  <c r="T336" i="8"/>
  <c r="S336" i="8"/>
  <c r="R336" i="8"/>
  <c r="P336" i="8"/>
  <c r="M336" i="8"/>
  <c r="L336" i="8"/>
  <c r="J336" i="8"/>
  <c r="I336" i="8"/>
  <c r="H336" i="8"/>
  <c r="G336" i="8"/>
  <c r="F336" i="8"/>
  <c r="E336" i="8"/>
  <c r="D336" i="8"/>
  <c r="C336" i="8"/>
  <c r="B336" i="8"/>
  <c r="A336" i="8"/>
  <c r="Z335" i="8"/>
  <c r="Y335" i="8"/>
  <c r="X335" i="8"/>
  <c r="W335" i="8"/>
  <c r="V335" i="8"/>
  <c r="U335" i="8"/>
  <c r="T335" i="8"/>
  <c r="S335" i="8"/>
  <c r="R335" i="8"/>
  <c r="P335" i="8"/>
  <c r="M335" i="8"/>
  <c r="L335" i="8"/>
  <c r="J335" i="8"/>
  <c r="I335" i="8"/>
  <c r="H335" i="8"/>
  <c r="G335" i="8"/>
  <c r="F335" i="8"/>
  <c r="E335" i="8"/>
  <c r="D335" i="8"/>
  <c r="C335" i="8"/>
  <c r="B335" i="8"/>
  <c r="A335" i="8"/>
  <c r="Z334" i="8"/>
  <c r="Y334" i="8"/>
  <c r="X334" i="8"/>
  <c r="W334" i="8"/>
  <c r="V334" i="8"/>
  <c r="U334" i="8"/>
  <c r="T334" i="8"/>
  <c r="S334" i="8"/>
  <c r="R334" i="8"/>
  <c r="P334" i="8"/>
  <c r="M334" i="8"/>
  <c r="L334" i="8"/>
  <c r="J334" i="8"/>
  <c r="I334" i="8"/>
  <c r="H334" i="8"/>
  <c r="G334" i="8"/>
  <c r="F334" i="8"/>
  <c r="E334" i="8"/>
  <c r="D334" i="8"/>
  <c r="C334" i="8"/>
  <c r="B334" i="8"/>
  <c r="A334" i="8"/>
  <c r="Z333" i="8"/>
  <c r="Y333" i="8"/>
  <c r="X333" i="8"/>
  <c r="W333" i="8"/>
  <c r="V333" i="8"/>
  <c r="U333" i="8"/>
  <c r="T333" i="8"/>
  <c r="S333" i="8"/>
  <c r="R333" i="8"/>
  <c r="P333" i="8"/>
  <c r="M333" i="8"/>
  <c r="L333" i="8"/>
  <c r="J333" i="8"/>
  <c r="I333" i="8"/>
  <c r="H333" i="8"/>
  <c r="G333" i="8"/>
  <c r="F333" i="8"/>
  <c r="E333" i="8"/>
  <c r="D333" i="8"/>
  <c r="C333" i="8"/>
  <c r="B333" i="8"/>
  <c r="A333" i="8"/>
  <c r="Z332" i="8"/>
  <c r="Y332" i="8"/>
  <c r="X332" i="8"/>
  <c r="W332" i="8"/>
  <c r="V332" i="8"/>
  <c r="U332" i="8"/>
  <c r="T332" i="8"/>
  <c r="S332" i="8"/>
  <c r="R332" i="8"/>
  <c r="P332" i="8"/>
  <c r="M332" i="8"/>
  <c r="L332" i="8"/>
  <c r="J332" i="8"/>
  <c r="I332" i="8"/>
  <c r="H332" i="8"/>
  <c r="G332" i="8"/>
  <c r="F332" i="8"/>
  <c r="E332" i="8"/>
  <c r="D332" i="8"/>
  <c r="C332" i="8"/>
  <c r="B332" i="8"/>
  <c r="A332" i="8"/>
  <c r="Z331" i="8"/>
  <c r="Y331" i="8"/>
  <c r="X331" i="8"/>
  <c r="W331" i="8"/>
  <c r="V331" i="8"/>
  <c r="U331" i="8"/>
  <c r="T331" i="8"/>
  <c r="S331" i="8"/>
  <c r="R331" i="8"/>
  <c r="P331" i="8"/>
  <c r="M331" i="8"/>
  <c r="L331" i="8"/>
  <c r="J331" i="8"/>
  <c r="I331" i="8"/>
  <c r="H331" i="8"/>
  <c r="G331" i="8"/>
  <c r="F331" i="8"/>
  <c r="E331" i="8"/>
  <c r="D331" i="8"/>
  <c r="C331" i="8"/>
  <c r="B331" i="8"/>
  <c r="A331" i="8"/>
  <c r="Z330" i="8"/>
  <c r="Y330" i="8"/>
  <c r="X330" i="8"/>
  <c r="W330" i="8"/>
  <c r="V330" i="8"/>
  <c r="U330" i="8"/>
  <c r="T330" i="8"/>
  <c r="S330" i="8"/>
  <c r="R330" i="8"/>
  <c r="P330" i="8"/>
  <c r="M330" i="8"/>
  <c r="L330" i="8"/>
  <c r="J330" i="8"/>
  <c r="I330" i="8"/>
  <c r="H330" i="8"/>
  <c r="G330" i="8"/>
  <c r="F330" i="8"/>
  <c r="E330" i="8"/>
  <c r="D330" i="8"/>
  <c r="C330" i="8"/>
  <c r="B330" i="8"/>
  <c r="A330" i="8"/>
  <c r="Z329" i="8"/>
  <c r="Y329" i="8"/>
  <c r="X329" i="8"/>
  <c r="W329" i="8"/>
  <c r="V329" i="8"/>
  <c r="U329" i="8"/>
  <c r="T329" i="8"/>
  <c r="S329" i="8"/>
  <c r="R329" i="8"/>
  <c r="P329" i="8"/>
  <c r="M329" i="8"/>
  <c r="L329" i="8"/>
  <c r="J329" i="8"/>
  <c r="I329" i="8"/>
  <c r="H329" i="8"/>
  <c r="G329" i="8"/>
  <c r="F329" i="8"/>
  <c r="E329" i="8"/>
  <c r="D329" i="8"/>
  <c r="C329" i="8"/>
  <c r="B329" i="8"/>
  <c r="A329" i="8"/>
  <c r="Z328" i="8"/>
  <c r="Y328" i="8"/>
  <c r="X328" i="8"/>
  <c r="W328" i="8"/>
  <c r="V328" i="8"/>
  <c r="U328" i="8"/>
  <c r="T328" i="8"/>
  <c r="S328" i="8"/>
  <c r="R328" i="8"/>
  <c r="P328" i="8"/>
  <c r="M328" i="8"/>
  <c r="L328" i="8"/>
  <c r="J328" i="8"/>
  <c r="I328" i="8"/>
  <c r="H328" i="8"/>
  <c r="G328" i="8"/>
  <c r="F328" i="8"/>
  <c r="E328" i="8"/>
  <c r="D328" i="8"/>
  <c r="C328" i="8"/>
  <c r="B328" i="8"/>
  <c r="A328" i="8"/>
  <c r="Z327" i="8"/>
  <c r="Y327" i="8"/>
  <c r="X327" i="8"/>
  <c r="W327" i="8"/>
  <c r="V327" i="8"/>
  <c r="U327" i="8"/>
  <c r="T327" i="8"/>
  <c r="S327" i="8"/>
  <c r="R327" i="8"/>
  <c r="P327" i="8"/>
  <c r="M327" i="8"/>
  <c r="L327" i="8"/>
  <c r="J327" i="8"/>
  <c r="I327" i="8"/>
  <c r="H327" i="8"/>
  <c r="G327" i="8"/>
  <c r="F327" i="8"/>
  <c r="E327" i="8"/>
  <c r="D327" i="8"/>
  <c r="C327" i="8"/>
  <c r="B327" i="8"/>
  <c r="A327" i="8"/>
  <c r="Z326" i="8"/>
  <c r="Y326" i="8"/>
  <c r="X326" i="8"/>
  <c r="W326" i="8"/>
  <c r="V326" i="8"/>
  <c r="U326" i="8"/>
  <c r="T326" i="8"/>
  <c r="S326" i="8"/>
  <c r="R326" i="8"/>
  <c r="P326" i="8"/>
  <c r="M326" i="8"/>
  <c r="L326" i="8"/>
  <c r="J326" i="8"/>
  <c r="I326" i="8"/>
  <c r="H326" i="8"/>
  <c r="G326" i="8"/>
  <c r="F326" i="8"/>
  <c r="E326" i="8"/>
  <c r="D326" i="8"/>
  <c r="C326" i="8"/>
  <c r="B326" i="8"/>
  <c r="A326" i="8"/>
  <c r="Z325" i="8"/>
  <c r="Y325" i="8"/>
  <c r="X325" i="8"/>
  <c r="W325" i="8"/>
  <c r="V325" i="8"/>
  <c r="U325" i="8"/>
  <c r="T325" i="8"/>
  <c r="S325" i="8"/>
  <c r="R325" i="8"/>
  <c r="P325" i="8"/>
  <c r="M325" i="8"/>
  <c r="L325" i="8"/>
  <c r="J325" i="8"/>
  <c r="I325" i="8"/>
  <c r="H325" i="8"/>
  <c r="G325" i="8"/>
  <c r="F325" i="8"/>
  <c r="E325" i="8"/>
  <c r="D325" i="8"/>
  <c r="C325" i="8"/>
  <c r="B325" i="8"/>
  <c r="A325" i="8"/>
  <c r="Z324" i="8"/>
  <c r="Y324" i="8"/>
  <c r="X324" i="8"/>
  <c r="W324" i="8"/>
  <c r="V324" i="8"/>
  <c r="U324" i="8"/>
  <c r="T324" i="8"/>
  <c r="S324" i="8"/>
  <c r="R324" i="8"/>
  <c r="P324" i="8"/>
  <c r="M324" i="8"/>
  <c r="L324" i="8"/>
  <c r="J324" i="8"/>
  <c r="I324" i="8"/>
  <c r="H324" i="8"/>
  <c r="G324" i="8"/>
  <c r="F324" i="8"/>
  <c r="E324" i="8"/>
  <c r="D324" i="8"/>
  <c r="C324" i="8"/>
  <c r="B324" i="8"/>
  <c r="A324" i="8"/>
  <c r="Z323" i="8"/>
  <c r="Y323" i="8"/>
  <c r="X323" i="8"/>
  <c r="W323" i="8"/>
  <c r="V323" i="8"/>
  <c r="U323" i="8"/>
  <c r="T323" i="8"/>
  <c r="S323" i="8"/>
  <c r="R323" i="8"/>
  <c r="P323" i="8"/>
  <c r="M323" i="8"/>
  <c r="L323" i="8"/>
  <c r="J323" i="8"/>
  <c r="I323" i="8"/>
  <c r="H323" i="8"/>
  <c r="G323" i="8"/>
  <c r="F323" i="8"/>
  <c r="E323" i="8"/>
  <c r="D323" i="8"/>
  <c r="C323" i="8"/>
  <c r="B323" i="8"/>
  <c r="A323" i="8"/>
  <c r="Z322" i="8"/>
  <c r="Y322" i="8"/>
  <c r="X322" i="8"/>
  <c r="W322" i="8"/>
  <c r="V322" i="8"/>
  <c r="U322" i="8"/>
  <c r="T322" i="8"/>
  <c r="S322" i="8"/>
  <c r="R322" i="8"/>
  <c r="P322" i="8"/>
  <c r="M322" i="8"/>
  <c r="L322" i="8"/>
  <c r="J322" i="8"/>
  <c r="I322" i="8"/>
  <c r="H322" i="8"/>
  <c r="G322" i="8"/>
  <c r="F322" i="8"/>
  <c r="E322" i="8"/>
  <c r="D322" i="8"/>
  <c r="C322" i="8"/>
  <c r="B322" i="8"/>
  <c r="A322" i="8"/>
  <c r="Z321" i="8"/>
  <c r="Y321" i="8"/>
  <c r="X321" i="8"/>
  <c r="W321" i="8"/>
  <c r="V321" i="8"/>
  <c r="U321" i="8"/>
  <c r="T321" i="8"/>
  <c r="S321" i="8"/>
  <c r="R321" i="8"/>
  <c r="P321" i="8"/>
  <c r="M321" i="8"/>
  <c r="L321" i="8"/>
  <c r="J321" i="8"/>
  <c r="I321" i="8"/>
  <c r="H321" i="8"/>
  <c r="G321" i="8"/>
  <c r="F321" i="8"/>
  <c r="E321" i="8"/>
  <c r="D321" i="8"/>
  <c r="C321" i="8"/>
  <c r="B321" i="8"/>
  <c r="A321" i="8"/>
  <c r="Z320" i="8"/>
  <c r="Y320" i="8"/>
  <c r="X320" i="8"/>
  <c r="W320" i="8"/>
  <c r="V320" i="8"/>
  <c r="U320" i="8"/>
  <c r="T320" i="8"/>
  <c r="S320" i="8"/>
  <c r="R320" i="8"/>
  <c r="P320" i="8"/>
  <c r="M320" i="8"/>
  <c r="L320" i="8"/>
  <c r="J320" i="8"/>
  <c r="I320" i="8"/>
  <c r="H320" i="8"/>
  <c r="G320" i="8"/>
  <c r="F320" i="8"/>
  <c r="E320" i="8"/>
  <c r="D320" i="8"/>
  <c r="C320" i="8"/>
  <c r="B320" i="8"/>
  <c r="A320" i="8"/>
  <c r="Z319" i="8"/>
  <c r="Y319" i="8"/>
  <c r="X319" i="8"/>
  <c r="W319" i="8"/>
  <c r="V319" i="8"/>
  <c r="U319" i="8"/>
  <c r="T319" i="8"/>
  <c r="S319" i="8"/>
  <c r="R319" i="8"/>
  <c r="P319" i="8"/>
  <c r="M319" i="8"/>
  <c r="L319" i="8"/>
  <c r="J319" i="8"/>
  <c r="I319" i="8"/>
  <c r="H319" i="8"/>
  <c r="G319" i="8"/>
  <c r="F319" i="8"/>
  <c r="E319" i="8"/>
  <c r="D319" i="8"/>
  <c r="C319" i="8"/>
  <c r="B319" i="8"/>
  <c r="A319" i="8"/>
  <c r="Z318" i="8"/>
  <c r="Y318" i="8"/>
  <c r="X318" i="8"/>
  <c r="W318" i="8"/>
  <c r="V318" i="8"/>
  <c r="U318" i="8"/>
  <c r="T318" i="8"/>
  <c r="S318" i="8"/>
  <c r="R318" i="8"/>
  <c r="P318" i="8"/>
  <c r="M318" i="8"/>
  <c r="L318" i="8"/>
  <c r="J318" i="8"/>
  <c r="I318" i="8"/>
  <c r="H318" i="8"/>
  <c r="G318" i="8"/>
  <c r="F318" i="8"/>
  <c r="E318" i="8"/>
  <c r="D318" i="8"/>
  <c r="C318" i="8"/>
  <c r="B318" i="8"/>
  <c r="A318" i="8"/>
  <c r="Z317" i="8"/>
  <c r="Y317" i="8"/>
  <c r="X317" i="8"/>
  <c r="W317" i="8"/>
  <c r="V317" i="8"/>
  <c r="U317" i="8"/>
  <c r="T317" i="8"/>
  <c r="S317" i="8"/>
  <c r="R317" i="8"/>
  <c r="P317" i="8"/>
  <c r="M317" i="8"/>
  <c r="L317" i="8"/>
  <c r="J317" i="8"/>
  <c r="I317" i="8"/>
  <c r="H317" i="8"/>
  <c r="G317" i="8"/>
  <c r="F317" i="8"/>
  <c r="E317" i="8"/>
  <c r="D317" i="8"/>
  <c r="C317" i="8"/>
  <c r="B317" i="8"/>
  <c r="A317" i="8"/>
  <c r="Z316" i="8"/>
  <c r="Y316" i="8"/>
  <c r="X316" i="8"/>
  <c r="W316" i="8"/>
  <c r="V316" i="8"/>
  <c r="U316" i="8"/>
  <c r="T316" i="8"/>
  <c r="S316" i="8"/>
  <c r="R316" i="8"/>
  <c r="P316" i="8"/>
  <c r="M316" i="8"/>
  <c r="L316" i="8"/>
  <c r="J316" i="8"/>
  <c r="I316" i="8"/>
  <c r="H316" i="8"/>
  <c r="G316" i="8"/>
  <c r="F316" i="8"/>
  <c r="E316" i="8"/>
  <c r="D316" i="8"/>
  <c r="C316" i="8"/>
  <c r="B316" i="8"/>
  <c r="A316" i="8"/>
  <c r="Z315" i="8"/>
  <c r="Y315" i="8"/>
  <c r="X315" i="8"/>
  <c r="W315" i="8"/>
  <c r="V315" i="8"/>
  <c r="U315" i="8"/>
  <c r="T315" i="8"/>
  <c r="S315" i="8"/>
  <c r="R315" i="8"/>
  <c r="P315" i="8"/>
  <c r="M315" i="8"/>
  <c r="L315" i="8"/>
  <c r="J315" i="8"/>
  <c r="I315" i="8"/>
  <c r="H315" i="8"/>
  <c r="G315" i="8"/>
  <c r="F315" i="8"/>
  <c r="E315" i="8"/>
  <c r="D315" i="8"/>
  <c r="C315" i="8"/>
  <c r="B315" i="8"/>
  <c r="A315" i="8"/>
  <c r="Z314" i="8"/>
  <c r="Y314" i="8"/>
  <c r="X314" i="8"/>
  <c r="W314" i="8"/>
  <c r="V314" i="8"/>
  <c r="U314" i="8"/>
  <c r="T314" i="8"/>
  <c r="S314" i="8"/>
  <c r="R314" i="8"/>
  <c r="P314" i="8"/>
  <c r="M314" i="8"/>
  <c r="L314" i="8"/>
  <c r="J314" i="8"/>
  <c r="I314" i="8"/>
  <c r="H314" i="8"/>
  <c r="G314" i="8"/>
  <c r="F314" i="8"/>
  <c r="E314" i="8"/>
  <c r="D314" i="8"/>
  <c r="C314" i="8"/>
  <c r="B314" i="8"/>
  <c r="A314" i="8"/>
  <c r="Z313" i="8"/>
  <c r="Y313" i="8"/>
  <c r="X313" i="8"/>
  <c r="W313" i="8"/>
  <c r="V313" i="8"/>
  <c r="U313" i="8"/>
  <c r="T313" i="8"/>
  <c r="S313" i="8"/>
  <c r="R313" i="8"/>
  <c r="P313" i="8"/>
  <c r="M313" i="8"/>
  <c r="L313" i="8"/>
  <c r="J313" i="8"/>
  <c r="I313" i="8"/>
  <c r="H313" i="8"/>
  <c r="G313" i="8"/>
  <c r="F313" i="8"/>
  <c r="E313" i="8"/>
  <c r="D313" i="8"/>
  <c r="C313" i="8"/>
  <c r="B313" i="8"/>
  <c r="A313" i="8"/>
  <c r="Z312" i="8"/>
  <c r="Y312" i="8"/>
  <c r="X312" i="8"/>
  <c r="W312" i="8"/>
  <c r="V312" i="8"/>
  <c r="U312" i="8"/>
  <c r="T312" i="8"/>
  <c r="S312" i="8"/>
  <c r="R312" i="8"/>
  <c r="P312" i="8"/>
  <c r="M312" i="8"/>
  <c r="L312" i="8"/>
  <c r="J312" i="8"/>
  <c r="I312" i="8"/>
  <c r="H312" i="8"/>
  <c r="G312" i="8"/>
  <c r="F312" i="8"/>
  <c r="E312" i="8"/>
  <c r="D312" i="8"/>
  <c r="C312" i="8"/>
  <c r="B312" i="8"/>
  <c r="A312" i="8"/>
  <c r="Z311" i="8"/>
  <c r="Y311" i="8"/>
  <c r="X311" i="8"/>
  <c r="W311" i="8"/>
  <c r="V311" i="8"/>
  <c r="U311" i="8"/>
  <c r="T311" i="8"/>
  <c r="S311" i="8"/>
  <c r="R311" i="8"/>
  <c r="P311" i="8"/>
  <c r="M311" i="8"/>
  <c r="L311" i="8"/>
  <c r="J311" i="8"/>
  <c r="I311" i="8"/>
  <c r="H311" i="8"/>
  <c r="G311" i="8"/>
  <c r="F311" i="8"/>
  <c r="E311" i="8"/>
  <c r="D311" i="8"/>
  <c r="C311" i="8"/>
  <c r="B311" i="8"/>
  <c r="A311" i="8"/>
  <c r="Z310" i="8"/>
  <c r="Y310" i="8"/>
  <c r="X310" i="8"/>
  <c r="W310" i="8"/>
  <c r="V310" i="8"/>
  <c r="U310" i="8"/>
  <c r="T310" i="8"/>
  <c r="S310" i="8"/>
  <c r="R310" i="8"/>
  <c r="P310" i="8"/>
  <c r="M310" i="8"/>
  <c r="L310" i="8"/>
  <c r="J310" i="8"/>
  <c r="I310" i="8"/>
  <c r="H310" i="8"/>
  <c r="G310" i="8"/>
  <c r="F310" i="8"/>
  <c r="E310" i="8"/>
  <c r="D310" i="8"/>
  <c r="C310" i="8"/>
  <c r="B310" i="8"/>
  <c r="A310" i="8"/>
  <c r="Z309" i="8"/>
  <c r="Y309" i="8"/>
  <c r="X309" i="8"/>
  <c r="W309" i="8"/>
  <c r="V309" i="8"/>
  <c r="U309" i="8"/>
  <c r="T309" i="8"/>
  <c r="S309" i="8"/>
  <c r="R309" i="8"/>
  <c r="P309" i="8"/>
  <c r="M309" i="8"/>
  <c r="L309" i="8"/>
  <c r="J309" i="8"/>
  <c r="I309" i="8"/>
  <c r="H309" i="8"/>
  <c r="G309" i="8"/>
  <c r="F309" i="8"/>
  <c r="E309" i="8"/>
  <c r="D309" i="8"/>
  <c r="C309" i="8"/>
  <c r="B309" i="8"/>
  <c r="A309" i="8"/>
  <c r="Z308" i="8"/>
  <c r="Y308" i="8"/>
  <c r="X308" i="8"/>
  <c r="W308" i="8"/>
  <c r="V308" i="8"/>
  <c r="U308" i="8"/>
  <c r="T308" i="8"/>
  <c r="S308" i="8"/>
  <c r="R308" i="8"/>
  <c r="P308" i="8"/>
  <c r="M308" i="8"/>
  <c r="L308" i="8"/>
  <c r="J308" i="8"/>
  <c r="I308" i="8"/>
  <c r="H308" i="8"/>
  <c r="G308" i="8"/>
  <c r="F308" i="8"/>
  <c r="E308" i="8"/>
  <c r="D308" i="8"/>
  <c r="C308" i="8"/>
  <c r="B308" i="8"/>
  <c r="A308" i="8"/>
  <c r="Z307" i="8"/>
  <c r="Y307" i="8"/>
  <c r="X307" i="8"/>
  <c r="W307" i="8"/>
  <c r="V307" i="8"/>
  <c r="U307" i="8"/>
  <c r="T307" i="8"/>
  <c r="S307" i="8"/>
  <c r="R307" i="8"/>
  <c r="P307" i="8"/>
  <c r="M307" i="8"/>
  <c r="L307" i="8"/>
  <c r="J307" i="8"/>
  <c r="I307" i="8"/>
  <c r="H307" i="8"/>
  <c r="G307" i="8"/>
  <c r="F307" i="8"/>
  <c r="E307" i="8"/>
  <c r="D307" i="8"/>
  <c r="C307" i="8"/>
  <c r="B307" i="8"/>
  <c r="A307" i="8"/>
  <c r="Z306" i="8"/>
  <c r="Y306" i="8"/>
  <c r="X306" i="8"/>
  <c r="W306" i="8"/>
  <c r="V306" i="8"/>
  <c r="U306" i="8"/>
  <c r="T306" i="8"/>
  <c r="S306" i="8"/>
  <c r="R306" i="8"/>
  <c r="P306" i="8"/>
  <c r="M306" i="8"/>
  <c r="L306" i="8"/>
  <c r="J306" i="8"/>
  <c r="I306" i="8"/>
  <c r="H306" i="8"/>
  <c r="G306" i="8"/>
  <c r="F306" i="8"/>
  <c r="E306" i="8"/>
  <c r="D306" i="8"/>
  <c r="C306" i="8"/>
  <c r="B306" i="8"/>
  <c r="A306" i="8"/>
  <c r="Z305" i="8"/>
  <c r="Y305" i="8"/>
  <c r="X305" i="8"/>
  <c r="W305" i="8"/>
  <c r="V305" i="8"/>
  <c r="U305" i="8"/>
  <c r="T305" i="8"/>
  <c r="S305" i="8"/>
  <c r="R305" i="8"/>
  <c r="P305" i="8"/>
  <c r="M305" i="8"/>
  <c r="L305" i="8"/>
  <c r="J305" i="8"/>
  <c r="I305" i="8"/>
  <c r="H305" i="8"/>
  <c r="G305" i="8"/>
  <c r="F305" i="8"/>
  <c r="E305" i="8"/>
  <c r="D305" i="8"/>
  <c r="C305" i="8"/>
  <c r="B305" i="8"/>
  <c r="A305" i="8"/>
  <c r="Z304" i="8"/>
  <c r="Y304" i="8"/>
  <c r="X304" i="8"/>
  <c r="W304" i="8"/>
  <c r="V304" i="8"/>
  <c r="U304" i="8"/>
  <c r="T304" i="8"/>
  <c r="S304" i="8"/>
  <c r="R304" i="8"/>
  <c r="P304" i="8"/>
  <c r="M304" i="8"/>
  <c r="L304" i="8"/>
  <c r="J304" i="8"/>
  <c r="I304" i="8"/>
  <c r="H304" i="8"/>
  <c r="G304" i="8"/>
  <c r="F304" i="8"/>
  <c r="E304" i="8"/>
  <c r="D304" i="8"/>
  <c r="C304" i="8"/>
  <c r="B304" i="8"/>
  <c r="A304" i="8"/>
  <c r="Z303" i="8"/>
  <c r="Y303" i="8"/>
  <c r="X303" i="8"/>
  <c r="W303" i="8"/>
  <c r="V303" i="8"/>
  <c r="U303" i="8"/>
  <c r="T303" i="8"/>
  <c r="S303" i="8"/>
  <c r="R303" i="8"/>
  <c r="P303" i="8"/>
  <c r="M303" i="8"/>
  <c r="L303" i="8"/>
  <c r="J303" i="8"/>
  <c r="I303" i="8"/>
  <c r="H303" i="8"/>
  <c r="G303" i="8"/>
  <c r="F303" i="8"/>
  <c r="E303" i="8"/>
  <c r="D303" i="8"/>
  <c r="C303" i="8"/>
  <c r="B303" i="8"/>
  <c r="A303" i="8"/>
  <c r="Z302" i="8"/>
  <c r="Y302" i="8"/>
  <c r="X302" i="8"/>
  <c r="W302" i="8"/>
  <c r="V302" i="8"/>
  <c r="U302" i="8"/>
  <c r="T302" i="8"/>
  <c r="S302" i="8"/>
  <c r="R302" i="8"/>
  <c r="P302" i="8"/>
  <c r="M302" i="8"/>
  <c r="L302" i="8"/>
  <c r="J302" i="8"/>
  <c r="I302" i="8"/>
  <c r="H302" i="8"/>
  <c r="G302" i="8"/>
  <c r="F302" i="8"/>
  <c r="E302" i="8"/>
  <c r="D302" i="8"/>
  <c r="C302" i="8"/>
  <c r="B302" i="8"/>
  <c r="A302" i="8"/>
  <c r="Z301" i="8"/>
  <c r="Y301" i="8"/>
  <c r="X301" i="8"/>
  <c r="W301" i="8"/>
  <c r="V301" i="8"/>
  <c r="U301" i="8"/>
  <c r="T301" i="8"/>
  <c r="S301" i="8"/>
  <c r="R301" i="8"/>
  <c r="P301" i="8"/>
  <c r="M301" i="8"/>
  <c r="L301" i="8"/>
  <c r="J301" i="8"/>
  <c r="I301" i="8"/>
  <c r="H301" i="8"/>
  <c r="G301" i="8"/>
  <c r="F301" i="8"/>
  <c r="E301" i="8"/>
  <c r="D301" i="8"/>
  <c r="C301" i="8"/>
  <c r="B301" i="8"/>
  <c r="A301" i="8"/>
  <c r="Z300" i="8"/>
  <c r="Y300" i="8"/>
  <c r="X300" i="8"/>
  <c r="W300" i="8"/>
  <c r="V300" i="8"/>
  <c r="U300" i="8"/>
  <c r="T300" i="8"/>
  <c r="S300" i="8"/>
  <c r="R300" i="8"/>
  <c r="P300" i="8"/>
  <c r="M300" i="8"/>
  <c r="L300" i="8"/>
  <c r="J300" i="8"/>
  <c r="I300" i="8"/>
  <c r="H300" i="8"/>
  <c r="G300" i="8"/>
  <c r="F300" i="8"/>
  <c r="E300" i="8"/>
  <c r="D300" i="8"/>
  <c r="C300" i="8"/>
  <c r="B300" i="8"/>
  <c r="A300" i="8"/>
  <c r="Z299" i="8"/>
  <c r="Y299" i="8"/>
  <c r="X299" i="8"/>
  <c r="W299" i="8"/>
  <c r="V299" i="8"/>
  <c r="U299" i="8"/>
  <c r="T299" i="8"/>
  <c r="S299" i="8"/>
  <c r="R299" i="8"/>
  <c r="P299" i="8"/>
  <c r="M299" i="8"/>
  <c r="L299" i="8"/>
  <c r="J299" i="8"/>
  <c r="I299" i="8"/>
  <c r="H299" i="8"/>
  <c r="G299" i="8"/>
  <c r="F299" i="8"/>
  <c r="E299" i="8"/>
  <c r="D299" i="8"/>
  <c r="C299" i="8"/>
  <c r="B299" i="8"/>
  <c r="A299" i="8"/>
  <c r="Z298" i="8"/>
  <c r="Y298" i="8"/>
  <c r="X298" i="8"/>
  <c r="W298" i="8"/>
  <c r="V298" i="8"/>
  <c r="U298" i="8"/>
  <c r="T298" i="8"/>
  <c r="S298" i="8"/>
  <c r="R298" i="8"/>
  <c r="P298" i="8"/>
  <c r="M298" i="8"/>
  <c r="L298" i="8"/>
  <c r="J298" i="8"/>
  <c r="I298" i="8"/>
  <c r="H298" i="8"/>
  <c r="G298" i="8"/>
  <c r="F298" i="8"/>
  <c r="E298" i="8"/>
  <c r="D298" i="8"/>
  <c r="C298" i="8"/>
  <c r="B298" i="8"/>
  <c r="A298" i="8"/>
  <c r="Z297" i="8"/>
  <c r="Y297" i="8"/>
  <c r="X297" i="8"/>
  <c r="W297" i="8"/>
  <c r="V297" i="8"/>
  <c r="U297" i="8"/>
  <c r="T297" i="8"/>
  <c r="S297" i="8"/>
  <c r="R297" i="8"/>
  <c r="P297" i="8"/>
  <c r="M297" i="8"/>
  <c r="L297" i="8"/>
  <c r="J297" i="8"/>
  <c r="I297" i="8"/>
  <c r="H297" i="8"/>
  <c r="G297" i="8"/>
  <c r="F297" i="8"/>
  <c r="E297" i="8"/>
  <c r="D297" i="8"/>
  <c r="C297" i="8"/>
  <c r="B297" i="8"/>
  <c r="A297" i="8"/>
  <c r="Z296" i="8"/>
  <c r="Y296" i="8"/>
  <c r="X296" i="8"/>
  <c r="W296" i="8"/>
  <c r="V296" i="8"/>
  <c r="U296" i="8"/>
  <c r="T296" i="8"/>
  <c r="S296" i="8"/>
  <c r="R296" i="8"/>
  <c r="P296" i="8"/>
  <c r="M296" i="8"/>
  <c r="L296" i="8"/>
  <c r="J296" i="8"/>
  <c r="I296" i="8"/>
  <c r="H296" i="8"/>
  <c r="G296" i="8"/>
  <c r="F296" i="8"/>
  <c r="E296" i="8"/>
  <c r="D296" i="8"/>
  <c r="C296" i="8"/>
  <c r="B296" i="8"/>
  <c r="A296" i="8"/>
  <c r="Z295" i="8"/>
  <c r="Y295" i="8"/>
  <c r="X295" i="8"/>
  <c r="W295" i="8"/>
  <c r="V295" i="8"/>
  <c r="U295" i="8"/>
  <c r="T295" i="8"/>
  <c r="S295" i="8"/>
  <c r="R295" i="8"/>
  <c r="P295" i="8"/>
  <c r="M295" i="8"/>
  <c r="L295" i="8"/>
  <c r="J295" i="8"/>
  <c r="I295" i="8"/>
  <c r="H295" i="8"/>
  <c r="G295" i="8"/>
  <c r="F295" i="8"/>
  <c r="E295" i="8"/>
  <c r="D295" i="8"/>
  <c r="C295" i="8"/>
  <c r="B295" i="8"/>
  <c r="A295" i="8"/>
  <c r="Z294" i="8"/>
  <c r="Y294" i="8"/>
  <c r="X294" i="8"/>
  <c r="W294" i="8"/>
  <c r="V294" i="8"/>
  <c r="U294" i="8"/>
  <c r="T294" i="8"/>
  <c r="S294" i="8"/>
  <c r="R294" i="8"/>
  <c r="P294" i="8"/>
  <c r="M294" i="8"/>
  <c r="L294" i="8"/>
  <c r="J294" i="8"/>
  <c r="I294" i="8"/>
  <c r="H294" i="8"/>
  <c r="G294" i="8"/>
  <c r="F294" i="8"/>
  <c r="E294" i="8"/>
  <c r="D294" i="8"/>
  <c r="C294" i="8"/>
  <c r="B294" i="8"/>
  <c r="A294" i="8"/>
  <c r="Z293" i="8"/>
  <c r="Y293" i="8"/>
  <c r="X293" i="8"/>
  <c r="W293" i="8"/>
  <c r="V293" i="8"/>
  <c r="U293" i="8"/>
  <c r="T293" i="8"/>
  <c r="S293" i="8"/>
  <c r="R293" i="8"/>
  <c r="P293" i="8"/>
  <c r="M293" i="8"/>
  <c r="L293" i="8"/>
  <c r="J293" i="8"/>
  <c r="I293" i="8"/>
  <c r="H293" i="8"/>
  <c r="G293" i="8"/>
  <c r="F293" i="8"/>
  <c r="E293" i="8"/>
  <c r="D293" i="8"/>
  <c r="C293" i="8"/>
  <c r="B293" i="8"/>
  <c r="A293" i="8"/>
  <c r="Z292" i="8"/>
  <c r="Y292" i="8"/>
  <c r="X292" i="8"/>
  <c r="W292" i="8"/>
  <c r="V292" i="8"/>
  <c r="U292" i="8"/>
  <c r="T292" i="8"/>
  <c r="S292" i="8"/>
  <c r="R292" i="8"/>
  <c r="P292" i="8"/>
  <c r="M292" i="8"/>
  <c r="L292" i="8"/>
  <c r="J292" i="8"/>
  <c r="I292" i="8"/>
  <c r="H292" i="8"/>
  <c r="G292" i="8"/>
  <c r="F292" i="8"/>
  <c r="E292" i="8"/>
  <c r="D292" i="8"/>
  <c r="C292" i="8"/>
  <c r="B292" i="8"/>
  <c r="A292" i="8"/>
  <c r="Z291" i="8"/>
  <c r="Y291" i="8"/>
  <c r="X291" i="8"/>
  <c r="W291" i="8"/>
  <c r="V291" i="8"/>
  <c r="U291" i="8"/>
  <c r="T291" i="8"/>
  <c r="S291" i="8"/>
  <c r="R291" i="8"/>
  <c r="P291" i="8"/>
  <c r="M291" i="8"/>
  <c r="L291" i="8"/>
  <c r="J291" i="8"/>
  <c r="I291" i="8"/>
  <c r="H291" i="8"/>
  <c r="G291" i="8"/>
  <c r="F291" i="8"/>
  <c r="E291" i="8"/>
  <c r="D291" i="8"/>
  <c r="C291" i="8"/>
  <c r="B291" i="8"/>
  <c r="A291" i="8"/>
  <c r="Z290" i="8"/>
  <c r="Y290" i="8"/>
  <c r="X290" i="8"/>
  <c r="W290" i="8"/>
  <c r="V290" i="8"/>
  <c r="U290" i="8"/>
  <c r="T290" i="8"/>
  <c r="S290" i="8"/>
  <c r="R290" i="8"/>
  <c r="P290" i="8"/>
  <c r="M290" i="8"/>
  <c r="L290" i="8"/>
  <c r="J290" i="8"/>
  <c r="I290" i="8"/>
  <c r="H290" i="8"/>
  <c r="G290" i="8"/>
  <c r="F290" i="8"/>
  <c r="E290" i="8"/>
  <c r="D290" i="8"/>
  <c r="C290" i="8"/>
  <c r="B290" i="8"/>
  <c r="A290" i="8"/>
  <c r="Z289" i="8"/>
  <c r="Y289" i="8"/>
  <c r="X289" i="8"/>
  <c r="W289" i="8"/>
  <c r="V289" i="8"/>
  <c r="U289" i="8"/>
  <c r="T289" i="8"/>
  <c r="S289" i="8"/>
  <c r="R289" i="8"/>
  <c r="P289" i="8"/>
  <c r="M289" i="8"/>
  <c r="L289" i="8"/>
  <c r="J289" i="8"/>
  <c r="I289" i="8"/>
  <c r="H289" i="8"/>
  <c r="G289" i="8"/>
  <c r="F289" i="8"/>
  <c r="E289" i="8"/>
  <c r="D289" i="8"/>
  <c r="C289" i="8"/>
  <c r="B289" i="8"/>
  <c r="A289" i="8"/>
  <c r="Z288" i="8"/>
  <c r="Y288" i="8"/>
  <c r="X288" i="8"/>
  <c r="W288" i="8"/>
  <c r="V288" i="8"/>
  <c r="U288" i="8"/>
  <c r="T288" i="8"/>
  <c r="S288" i="8"/>
  <c r="R288" i="8"/>
  <c r="P288" i="8"/>
  <c r="M288" i="8"/>
  <c r="L288" i="8"/>
  <c r="J288" i="8"/>
  <c r="I288" i="8"/>
  <c r="H288" i="8"/>
  <c r="G288" i="8"/>
  <c r="F288" i="8"/>
  <c r="E288" i="8"/>
  <c r="D288" i="8"/>
  <c r="C288" i="8"/>
  <c r="B288" i="8"/>
  <c r="A288" i="8"/>
  <c r="Z287" i="8"/>
  <c r="Y287" i="8"/>
  <c r="X287" i="8"/>
  <c r="W287" i="8"/>
  <c r="V287" i="8"/>
  <c r="U287" i="8"/>
  <c r="T287" i="8"/>
  <c r="S287" i="8"/>
  <c r="R287" i="8"/>
  <c r="P287" i="8"/>
  <c r="M287" i="8"/>
  <c r="L287" i="8"/>
  <c r="J287" i="8"/>
  <c r="I287" i="8"/>
  <c r="H287" i="8"/>
  <c r="G287" i="8"/>
  <c r="F287" i="8"/>
  <c r="E287" i="8"/>
  <c r="D287" i="8"/>
  <c r="C287" i="8"/>
  <c r="B287" i="8"/>
  <c r="A287" i="8"/>
  <c r="Z286" i="8"/>
  <c r="Y286" i="8"/>
  <c r="X286" i="8"/>
  <c r="W286" i="8"/>
  <c r="V286" i="8"/>
  <c r="U286" i="8"/>
  <c r="T286" i="8"/>
  <c r="S286" i="8"/>
  <c r="R286" i="8"/>
  <c r="P286" i="8"/>
  <c r="M286" i="8"/>
  <c r="L286" i="8"/>
  <c r="J286" i="8"/>
  <c r="I286" i="8"/>
  <c r="H286" i="8"/>
  <c r="G286" i="8"/>
  <c r="F286" i="8"/>
  <c r="E286" i="8"/>
  <c r="D286" i="8"/>
  <c r="C286" i="8"/>
  <c r="B286" i="8"/>
  <c r="A286" i="8"/>
  <c r="Z285" i="8"/>
  <c r="Y285" i="8"/>
  <c r="X285" i="8"/>
  <c r="W285" i="8"/>
  <c r="V285" i="8"/>
  <c r="U285" i="8"/>
  <c r="T285" i="8"/>
  <c r="S285" i="8"/>
  <c r="R285" i="8"/>
  <c r="P285" i="8"/>
  <c r="M285" i="8"/>
  <c r="L285" i="8"/>
  <c r="J285" i="8"/>
  <c r="I285" i="8"/>
  <c r="H285" i="8"/>
  <c r="G285" i="8"/>
  <c r="F285" i="8"/>
  <c r="E285" i="8"/>
  <c r="D285" i="8"/>
  <c r="C285" i="8"/>
  <c r="B285" i="8"/>
  <c r="A285" i="8"/>
  <c r="Z284" i="8"/>
  <c r="Y284" i="8"/>
  <c r="X284" i="8"/>
  <c r="W284" i="8"/>
  <c r="V284" i="8"/>
  <c r="U284" i="8"/>
  <c r="T284" i="8"/>
  <c r="S284" i="8"/>
  <c r="R284" i="8"/>
  <c r="P284" i="8"/>
  <c r="M284" i="8"/>
  <c r="L284" i="8"/>
  <c r="J284" i="8"/>
  <c r="I284" i="8"/>
  <c r="H284" i="8"/>
  <c r="G284" i="8"/>
  <c r="F284" i="8"/>
  <c r="E284" i="8"/>
  <c r="D284" i="8"/>
  <c r="C284" i="8"/>
  <c r="B284" i="8"/>
  <c r="A284" i="8"/>
  <c r="Z283" i="8"/>
  <c r="Y283" i="8"/>
  <c r="X283" i="8"/>
  <c r="W283" i="8"/>
  <c r="V283" i="8"/>
  <c r="U283" i="8"/>
  <c r="T283" i="8"/>
  <c r="S283" i="8"/>
  <c r="R283" i="8"/>
  <c r="P283" i="8"/>
  <c r="M283" i="8"/>
  <c r="L283" i="8"/>
  <c r="J283" i="8"/>
  <c r="I283" i="8"/>
  <c r="H283" i="8"/>
  <c r="G283" i="8"/>
  <c r="F283" i="8"/>
  <c r="E283" i="8"/>
  <c r="D283" i="8"/>
  <c r="C283" i="8"/>
  <c r="B283" i="8"/>
  <c r="A283" i="8"/>
  <c r="Z282" i="8"/>
  <c r="Y282" i="8"/>
  <c r="X282" i="8"/>
  <c r="W282" i="8"/>
  <c r="V282" i="8"/>
  <c r="U282" i="8"/>
  <c r="T282" i="8"/>
  <c r="S282" i="8"/>
  <c r="R282" i="8"/>
  <c r="P282" i="8"/>
  <c r="M282" i="8"/>
  <c r="L282" i="8"/>
  <c r="J282" i="8"/>
  <c r="I282" i="8"/>
  <c r="H282" i="8"/>
  <c r="G282" i="8"/>
  <c r="F282" i="8"/>
  <c r="E282" i="8"/>
  <c r="D282" i="8"/>
  <c r="C282" i="8"/>
  <c r="B282" i="8"/>
  <c r="A282" i="8"/>
  <c r="Z281" i="8"/>
  <c r="Y281" i="8"/>
  <c r="X281" i="8"/>
  <c r="W281" i="8"/>
  <c r="V281" i="8"/>
  <c r="U281" i="8"/>
  <c r="T281" i="8"/>
  <c r="S281" i="8"/>
  <c r="R281" i="8"/>
  <c r="P281" i="8"/>
  <c r="M281" i="8"/>
  <c r="L281" i="8"/>
  <c r="J281" i="8"/>
  <c r="I281" i="8"/>
  <c r="H281" i="8"/>
  <c r="G281" i="8"/>
  <c r="F281" i="8"/>
  <c r="E281" i="8"/>
  <c r="D281" i="8"/>
  <c r="C281" i="8"/>
  <c r="B281" i="8"/>
  <c r="A281" i="8"/>
  <c r="Z280" i="8"/>
  <c r="Y280" i="8"/>
  <c r="X280" i="8"/>
  <c r="W280" i="8"/>
  <c r="V280" i="8"/>
  <c r="U280" i="8"/>
  <c r="T280" i="8"/>
  <c r="S280" i="8"/>
  <c r="R280" i="8"/>
  <c r="P280" i="8"/>
  <c r="M280" i="8"/>
  <c r="L280" i="8"/>
  <c r="J280" i="8"/>
  <c r="I280" i="8"/>
  <c r="H280" i="8"/>
  <c r="G280" i="8"/>
  <c r="F280" i="8"/>
  <c r="E280" i="8"/>
  <c r="D280" i="8"/>
  <c r="C280" i="8"/>
  <c r="B280" i="8"/>
  <c r="A280" i="8"/>
  <c r="Z279" i="8"/>
  <c r="Y279" i="8"/>
  <c r="X279" i="8"/>
  <c r="W279" i="8"/>
  <c r="V279" i="8"/>
  <c r="U279" i="8"/>
  <c r="T279" i="8"/>
  <c r="S279" i="8"/>
  <c r="R279" i="8"/>
  <c r="P279" i="8"/>
  <c r="M279" i="8"/>
  <c r="L279" i="8"/>
  <c r="J279" i="8"/>
  <c r="I279" i="8"/>
  <c r="H279" i="8"/>
  <c r="G279" i="8"/>
  <c r="F279" i="8"/>
  <c r="E279" i="8"/>
  <c r="D279" i="8"/>
  <c r="C279" i="8"/>
  <c r="B279" i="8"/>
  <c r="A279" i="8"/>
  <c r="Z278" i="8"/>
  <c r="Y278" i="8"/>
  <c r="X278" i="8"/>
  <c r="W278" i="8"/>
  <c r="V278" i="8"/>
  <c r="U278" i="8"/>
  <c r="T278" i="8"/>
  <c r="S278" i="8"/>
  <c r="R278" i="8"/>
  <c r="P278" i="8"/>
  <c r="M278" i="8"/>
  <c r="L278" i="8"/>
  <c r="J278" i="8"/>
  <c r="I278" i="8"/>
  <c r="H278" i="8"/>
  <c r="G278" i="8"/>
  <c r="F278" i="8"/>
  <c r="E278" i="8"/>
  <c r="D278" i="8"/>
  <c r="C278" i="8"/>
  <c r="B278" i="8"/>
  <c r="A278" i="8"/>
  <c r="Z277" i="8"/>
  <c r="Y277" i="8"/>
  <c r="X277" i="8"/>
  <c r="W277" i="8"/>
  <c r="V277" i="8"/>
  <c r="U277" i="8"/>
  <c r="T277" i="8"/>
  <c r="S277" i="8"/>
  <c r="R277" i="8"/>
  <c r="P277" i="8"/>
  <c r="M277" i="8"/>
  <c r="L277" i="8"/>
  <c r="J277" i="8"/>
  <c r="I277" i="8"/>
  <c r="H277" i="8"/>
  <c r="G277" i="8"/>
  <c r="F277" i="8"/>
  <c r="E277" i="8"/>
  <c r="D277" i="8"/>
  <c r="C277" i="8"/>
  <c r="B277" i="8"/>
  <c r="A277" i="8"/>
  <c r="Z276" i="8"/>
  <c r="Y276" i="8"/>
  <c r="X276" i="8"/>
  <c r="W276" i="8"/>
  <c r="V276" i="8"/>
  <c r="U276" i="8"/>
  <c r="T276" i="8"/>
  <c r="S276" i="8"/>
  <c r="R276" i="8"/>
  <c r="P276" i="8"/>
  <c r="M276" i="8"/>
  <c r="L276" i="8"/>
  <c r="J276" i="8"/>
  <c r="I276" i="8"/>
  <c r="H276" i="8"/>
  <c r="G276" i="8"/>
  <c r="F276" i="8"/>
  <c r="E276" i="8"/>
  <c r="D276" i="8"/>
  <c r="C276" i="8"/>
  <c r="B276" i="8"/>
  <c r="A276" i="8"/>
  <c r="Z275" i="8"/>
  <c r="Y275" i="8"/>
  <c r="X275" i="8"/>
  <c r="W275" i="8"/>
  <c r="V275" i="8"/>
  <c r="U275" i="8"/>
  <c r="T275" i="8"/>
  <c r="S275" i="8"/>
  <c r="R275" i="8"/>
  <c r="P275" i="8"/>
  <c r="M275" i="8"/>
  <c r="L275" i="8"/>
  <c r="J275" i="8"/>
  <c r="I275" i="8"/>
  <c r="H275" i="8"/>
  <c r="G275" i="8"/>
  <c r="F275" i="8"/>
  <c r="E275" i="8"/>
  <c r="D275" i="8"/>
  <c r="C275" i="8"/>
  <c r="B275" i="8"/>
  <c r="A275" i="8"/>
  <c r="Z274" i="8"/>
  <c r="Y274" i="8"/>
  <c r="X274" i="8"/>
  <c r="W274" i="8"/>
  <c r="V274" i="8"/>
  <c r="U274" i="8"/>
  <c r="T274" i="8"/>
  <c r="S274" i="8"/>
  <c r="R274" i="8"/>
  <c r="P274" i="8"/>
  <c r="M274" i="8"/>
  <c r="L274" i="8"/>
  <c r="J274" i="8"/>
  <c r="I274" i="8"/>
  <c r="H274" i="8"/>
  <c r="G274" i="8"/>
  <c r="F274" i="8"/>
  <c r="E274" i="8"/>
  <c r="D274" i="8"/>
  <c r="C274" i="8"/>
  <c r="B274" i="8"/>
  <c r="A274" i="8"/>
  <c r="Z273" i="8"/>
  <c r="Y273" i="8"/>
  <c r="X273" i="8"/>
  <c r="W273" i="8"/>
  <c r="V273" i="8"/>
  <c r="U273" i="8"/>
  <c r="T273" i="8"/>
  <c r="S273" i="8"/>
  <c r="R273" i="8"/>
  <c r="P273" i="8"/>
  <c r="M273" i="8"/>
  <c r="L273" i="8"/>
  <c r="J273" i="8"/>
  <c r="I273" i="8"/>
  <c r="H273" i="8"/>
  <c r="G273" i="8"/>
  <c r="F273" i="8"/>
  <c r="E273" i="8"/>
  <c r="D273" i="8"/>
  <c r="C273" i="8"/>
  <c r="B273" i="8"/>
  <c r="A273" i="8"/>
  <c r="Z272" i="8"/>
  <c r="Y272" i="8"/>
  <c r="X272" i="8"/>
  <c r="W272" i="8"/>
  <c r="V272" i="8"/>
  <c r="U272" i="8"/>
  <c r="T272" i="8"/>
  <c r="S272" i="8"/>
  <c r="R272" i="8"/>
  <c r="P272" i="8"/>
  <c r="M272" i="8"/>
  <c r="L272" i="8"/>
  <c r="J272" i="8"/>
  <c r="I272" i="8"/>
  <c r="H272" i="8"/>
  <c r="G272" i="8"/>
  <c r="F272" i="8"/>
  <c r="E272" i="8"/>
  <c r="D272" i="8"/>
  <c r="C272" i="8"/>
  <c r="B272" i="8"/>
  <c r="A272" i="8"/>
  <c r="Z271" i="8"/>
  <c r="Y271" i="8"/>
  <c r="X271" i="8"/>
  <c r="W271" i="8"/>
  <c r="V271" i="8"/>
  <c r="U271" i="8"/>
  <c r="T271" i="8"/>
  <c r="S271" i="8"/>
  <c r="R271" i="8"/>
  <c r="P271" i="8"/>
  <c r="M271" i="8"/>
  <c r="J271" i="8"/>
  <c r="I271" i="8"/>
  <c r="H271" i="8"/>
  <c r="G271" i="8"/>
  <c r="F271" i="8"/>
  <c r="E271" i="8"/>
  <c r="D271" i="8"/>
  <c r="C271" i="8"/>
  <c r="B271" i="8"/>
  <c r="A271" i="8"/>
  <c r="Z270" i="8"/>
  <c r="Y270" i="8"/>
  <c r="X270" i="8"/>
  <c r="W270" i="8"/>
  <c r="V270" i="8"/>
  <c r="U270" i="8"/>
  <c r="T270" i="8"/>
  <c r="S270" i="8"/>
  <c r="R270" i="8"/>
  <c r="P270" i="8"/>
  <c r="M270" i="8"/>
  <c r="L270" i="8"/>
  <c r="J270" i="8"/>
  <c r="I270" i="8"/>
  <c r="H270" i="8"/>
  <c r="G270" i="8"/>
  <c r="F270" i="8"/>
  <c r="E270" i="8"/>
  <c r="D270" i="8"/>
  <c r="C270" i="8"/>
  <c r="B270" i="8"/>
  <c r="A270" i="8"/>
  <c r="Z269" i="8"/>
  <c r="Y269" i="8"/>
  <c r="X269" i="8"/>
  <c r="W269" i="8"/>
  <c r="V269" i="8"/>
  <c r="U269" i="8"/>
  <c r="T269" i="8"/>
  <c r="S269" i="8"/>
  <c r="R269" i="8"/>
  <c r="P269" i="8"/>
  <c r="M269" i="8"/>
  <c r="L269" i="8"/>
  <c r="J269" i="8"/>
  <c r="I269" i="8"/>
  <c r="H269" i="8"/>
  <c r="G269" i="8"/>
  <c r="F269" i="8"/>
  <c r="E269" i="8"/>
  <c r="D269" i="8"/>
  <c r="C269" i="8"/>
  <c r="B269" i="8"/>
  <c r="A269" i="8"/>
  <c r="Z268" i="8"/>
  <c r="Y268" i="8"/>
  <c r="X268" i="8"/>
  <c r="W268" i="8"/>
  <c r="V268" i="8"/>
  <c r="U268" i="8"/>
  <c r="T268" i="8"/>
  <c r="S268" i="8"/>
  <c r="R268" i="8"/>
  <c r="P268" i="8"/>
  <c r="M268" i="8"/>
  <c r="L268" i="8"/>
  <c r="J268" i="8"/>
  <c r="I268" i="8"/>
  <c r="H268" i="8"/>
  <c r="G268" i="8"/>
  <c r="F268" i="8"/>
  <c r="E268" i="8"/>
  <c r="D268" i="8"/>
  <c r="C268" i="8"/>
  <c r="B268" i="8"/>
  <c r="A268" i="8"/>
  <c r="Z267" i="8"/>
  <c r="Y267" i="8"/>
  <c r="X267" i="8"/>
  <c r="W267" i="8"/>
  <c r="V267" i="8"/>
  <c r="U267" i="8"/>
  <c r="T267" i="8"/>
  <c r="S267" i="8"/>
  <c r="R267" i="8"/>
  <c r="P267" i="8"/>
  <c r="M267" i="8"/>
  <c r="L267" i="8"/>
  <c r="J267" i="8"/>
  <c r="I267" i="8"/>
  <c r="H267" i="8"/>
  <c r="G267" i="8"/>
  <c r="F267" i="8"/>
  <c r="E267" i="8"/>
  <c r="D267" i="8"/>
  <c r="C267" i="8"/>
  <c r="B267" i="8"/>
  <c r="A267" i="8"/>
  <c r="Z266" i="8"/>
  <c r="Y266" i="8"/>
  <c r="X266" i="8"/>
  <c r="W266" i="8"/>
  <c r="V266" i="8"/>
  <c r="U266" i="8"/>
  <c r="T266" i="8"/>
  <c r="S266" i="8"/>
  <c r="R266" i="8"/>
  <c r="P266" i="8"/>
  <c r="M266" i="8"/>
  <c r="L266" i="8"/>
  <c r="J266" i="8"/>
  <c r="I266" i="8"/>
  <c r="H266" i="8"/>
  <c r="G266" i="8"/>
  <c r="F266" i="8"/>
  <c r="E266" i="8"/>
  <c r="D266" i="8"/>
  <c r="C266" i="8"/>
  <c r="B266" i="8"/>
  <c r="A266" i="8"/>
  <c r="Z265" i="8"/>
  <c r="Y265" i="8"/>
  <c r="X265" i="8"/>
  <c r="W265" i="8"/>
  <c r="V265" i="8"/>
  <c r="U265" i="8"/>
  <c r="T265" i="8"/>
  <c r="S265" i="8"/>
  <c r="R265" i="8"/>
  <c r="P265" i="8"/>
  <c r="M265" i="8"/>
  <c r="L265" i="8"/>
  <c r="J265" i="8"/>
  <c r="I265" i="8"/>
  <c r="H265" i="8"/>
  <c r="G265" i="8"/>
  <c r="F265" i="8"/>
  <c r="E265" i="8"/>
  <c r="D265" i="8"/>
  <c r="C265" i="8"/>
  <c r="B265" i="8"/>
  <c r="A265" i="8"/>
  <c r="Z264" i="8"/>
  <c r="Y264" i="8"/>
  <c r="X264" i="8"/>
  <c r="W264" i="8"/>
  <c r="V264" i="8"/>
  <c r="U264" i="8"/>
  <c r="T264" i="8"/>
  <c r="S264" i="8"/>
  <c r="R264" i="8"/>
  <c r="P264" i="8"/>
  <c r="M264" i="8"/>
  <c r="L264" i="8"/>
  <c r="J264" i="8"/>
  <c r="I264" i="8"/>
  <c r="H264" i="8"/>
  <c r="G264" i="8"/>
  <c r="F264" i="8"/>
  <c r="E264" i="8"/>
  <c r="D264" i="8"/>
  <c r="C264" i="8"/>
  <c r="B264" i="8"/>
  <c r="A264" i="8"/>
  <c r="Z263" i="8"/>
  <c r="Y263" i="8"/>
  <c r="X263" i="8"/>
  <c r="W263" i="8"/>
  <c r="V263" i="8"/>
  <c r="U263" i="8"/>
  <c r="T263" i="8"/>
  <c r="S263" i="8"/>
  <c r="R263" i="8"/>
  <c r="P263" i="8"/>
  <c r="M263" i="8"/>
  <c r="L263" i="8"/>
  <c r="J263" i="8"/>
  <c r="I263" i="8"/>
  <c r="H263" i="8"/>
  <c r="G263" i="8"/>
  <c r="F263" i="8"/>
  <c r="E263" i="8"/>
  <c r="D263" i="8"/>
  <c r="C263" i="8"/>
  <c r="B263" i="8"/>
  <c r="A263" i="8"/>
  <c r="Z262" i="8"/>
  <c r="Y262" i="8"/>
  <c r="X262" i="8"/>
  <c r="W262" i="8"/>
  <c r="V262" i="8"/>
  <c r="U262" i="8"/>
  <c r="T262" i="8"/>
  <c r="S262" i="8"/>
  <c r="R262" i="8"/>
  <c r="P262" i="8"/>
  <c r="M262" i="8"/>
  <c r="L262" i="8"/>
  <c r="J262" i="8"/>
  <c r="I262" i="8"/>
  <c r="H262" i="8"/>
  <c r="G262" i="8"/>
  <c r="F262" i="8"/>
  <c r="E262" i="8"/>
  <c r="D262" i="8"/>
  <c r="C262" i="8"/>
  <c r="B262" i="8"/>
  <c r="A262" i="8"/>
  <c r="Z261" i="8"/>
  <c r="Y261" i="8"/>
  <c r="X261" i="8"/>
  <c r="W261" i="8"/>
  <c r="V261" i="8"/>
  <c r="U261" i="8"/>
  <c r="T261" i="8"/>
  <c r="S261" i="8"/>
  <c r="R261" i="8"/>
  <c r="P261" i="8"/>
  <c r="M261" i="8"/>
  <c r="L261" i="8"/>
  <c r="J261" i="8"/>
  <c r="I261" i="8"/>
  <c r="H261" i="8"/>
  <c r="G261" i="8"/>
  <c r="F261" i="8"/>
  <c r="E261" i="8"/>
  <c r="D261" i="8"/>
  <c r="C261" i="8"/>
  <c r="B261" i="8"/>
  <c r="A261" i="8"/>
  <c r="Z260" i="8"/>
  <c r="Y260" i="8"/>
  <c r="X260" i="8"/>
  <c r="W260" i="8"/>
  <c r="V260" i="8"/>
  <c r="U260" i="8"/>
  <c r="T260" i="8"/>
  <c r="S260" i="8"/>
  <c r="R260" i="8"/>
  <c r="P260" i="8"/>
  <c r="M260" i="8"/>
  <c r="L260" i="8"/>
  <c r="J260" i="8"/>
  <c r="I260" i="8"/>
  <c r="H260" i="8"/>
  <c r="G260" i="8"/>
  <c r="F260" i="8"/>
  <c r="E260" i="8"/>
  <c r="D260" i="8"/>
  <c r="C260" i="8"/>
  <c r="B260" i="8"/>
  <c r="A260" i="8"/>
  <c r="Z259" i="8"/>
  <c r="Y259" i="8"/>
  <c r="X259" i="8"/>
  <c r="W259" i="8"/>
  <c r="V259" i="8"/>
  <c r="U259" i="8"/>
  <c r="T259" i="8"/>
  <c r="S259" i="8"/>
  <c r="R259" i="8"/>
  <c r="P259" i="8"/>
  <c r="M259" i="8"/>
  <c r="L259" i="8"/>
  <c r="J259" i="8"/>
  <c r="I259" i="8"/>
  <c r="H259" i="8"/>
  <c r="G259" i="8"/>
  <c r="F259" i="8"/>
  <c r="E259" i="8"/>
  <c r="D259" i="8"/>
  <c r="C259" i="8"/>
  <c r="B259" i="8"/>
  <c r="A259" i="8"/>
  <c r="Z258" i="8"/>
  <c r="Y258" i="8"/>
  <c r="X258" i="8"/>
  <c r="W258" i="8"/>
  <c r="V258" i="8"/>
  <c r="U258" i="8"/>
  <c r="T258" i="8"/>
  <c r="S258" i="8"/>
  <c r="R258" i="8"/>
  <c r="P258" i="8"/>
  <c r="M258" i="8"/>
  <c r="L258" i="8"/>
  <c r="J258" i="8"/>
  <c r="I258" i="8"/>
  <c r="H258" i="8"/>
  <c r="G258" i="8"/>
  <c r="F258" i="8"/>
  <c r="E258" i="8"/>
  <c r="D258" i="8"/>
  <c r="C258" i="8"/>
  <c r="B258" i="8"/>
  <c r="A258" i="8"/>
  <c r="Z257" i="8"/>
  <c r="Y257" i="8"/>
  <c r="X257" i="8"/>
  <c r="W257" i="8"/>
  <c r="V257" i="8"/>
  <c r="U257" i="8"/>
  <c r="T257" i="8"/>
  <c r="S257" i="8"/>
  <c r="R257" i="8"/>
  <c r="P257" i="8"/>
  <c r="M257" i="8"/>
  <c r="L257" i="8"/>
  <c r="J257" i="8"/>
  <c r="I257" i="8"/>
  <c r="H257" i="8"/>
  <c r="G257" i="8"/>
  <c r="F257" i="8"/>
  <c r="E257" i="8"/>
  <c r="D257" i="8"/>
  <c r="C257" i="8"/>
  <c r="B257" i="8"/>
  <c r="A257" i="8"/>
  <c r="Z256" i="8"/>
  <c r="Y256" i="8"/>
  <c r="X256" i="8"/>
  <c r="W256" i="8"/>
  <c r="V256" i="8"/>
  <c r="U256" i="8"/>
  <c r="T256" i="8"/>
  <c r="S256" i="8"/>
  <c r="R256" i="8"/>
  <c r="P256" i="8"/>
  <c r="M256" i="8"/>
  <c r="L256" i="8"/>
  <c r="J256" i="8"/>
  <c r="I256" i="8"/>
  <c r="H256" i="8"/>
  <c r="G256" i="8"/>
  <c r="F256" i="8"/>
  <c r="E256" i="8"/>
  <c r="D256" i="8"/>
  <c r="C256" i="8"/>
  <c r="B256" i="8"/>
  <c r="A256" i="8"/>
  <c r="Z255" i="8"/>
  <c r="Y255" i="8"/>
  <c r="X255" i="8"/>
  <c r="W255" i="8"/>
  <c r="V255" i="8"/>
  <c r="U255" i="8"/>
  <c r="T255" i="8"/>
  <c r="S255" i="8"/>
  <c r="R255" i="8"/>
  <c r="P255" i="8"/>
  <c r="M255" i="8"/>
  <c r="L255" i="8"/>
  <c r="J255" i="8"/>
  <c r="I255" i="8"/>
  <c r="H255" i="8"/>
  <c r="G255" i="8"/>
  <c r="F255" i="8"/>
  <c r="E255" i="8"/>
  <c r="D255" i="8"/>
  <c r="C255" i="8"/>
  <c r="B255" i="8"/>
  <c r="A255" i="8"/>
  <c r="Z254" i="8"/>
  <c r="Y254" i="8"/>
  <c r="X254" i="8"/>
  <c r="W254" i="8"/>
  <c r="V254" i="8"/>
  <c r="U254" i="8"/>
  <c r="T254" i="8"/>
  <c r="S254" i="8"/>
  <c r="R254" i="8"/>
  <c r="P254" i="8"/>
  <c r="M254" i="8"/>
  <c r="L254" i="8"/>
  <c r="J254" i="8"/>
  <c r="I254" i="8"/>
  <c r="H254" i="8"/>
  <c r="G254" i="8"/>
  <c r="F254" i="8"/>
  <c r="E254" i="8"/>
  <c r="D254" i="8"/>
  <c r="C254" i="8"/>
  <c r="B254" i="8"/>
  <c r="A254" i="8"/>
  <c r="Z253" i="8"/>
  <c r="Y253" i="8"/>
  <c r="X253" i="8"/>
  <c r="W253" i="8"/>
  <c r="V253" i="8"/>
  <c r="U253" i="8"/>
  <c r="T253" i="8"/>
  <c r="S253" i="8"/>
  <c r="R253" i="8"/>
  <c r="P253" i="8"/>
  <c r="M253" i="8"/>
  <c r="L253" i="8"/>
  <c r="J253" i="8"/>
  <c r="I253" i="8"/>
  <c r="H253" i="8"/>
  <c r="G253" i="8"/>
  <c r="F253" i="8"/>
  <c r="E253" i="8"/>
  <c r="D253" i="8"/>
  <c r="C253" i="8"/>
  <c r="B253" i="8"/>
  <c r="A253" i="8"/>
  <c r="Z252" i="8"/>
  <c r="Y252" i="8"/>
  <c r="X252" i="8"/>
  <c r="W252" i="8"/>
  <c r="V252" i="8"/>
  <c r="U252" i="8"/>
  <c r="T252" i="8"/>
  <c r="S252" i="8"/>
  <c r="R252" i="8"/>
  <c r="P252" i="8"/>
  <c r="M252" i="8"/>
  <c r="L252" i="8"/>
  <c r="J252" i="8"/>
  <c r="I252" i="8"/>
  <c r="H252" i="8"/>
  <c r="G252" i="8"/>
  <c r="F252" i="8"/>
  <c r="E252" i="8"/>
  <c r="D252" i="8"/>
  <c r="C252" i="8"/>
  <c r="B252" i="8"/>
  <c r="A252" i="8"/>
  <c r="Z251" i="8"/>
  <c r="Y251" i="8"/>
  <c r="X251" i="8"/>
  <c r="W251" i="8"/>
  <c r="V251" i="8"/>
  <c r="U251" i="8"/>
  <c r="T251" i="8"/>
  <c r="S251" i="8"/>
  <c r="R251" i="8"/>
  <c r="P251" i="8"/>
  <c r="M251" i="8"/>
  <c r="L251" i="8"/>
  <c r="J251" i="8"/>
  <c r="I251" i="8"/>
  <c r="H251" i="8"/>
  <c r="G251" i="8"/>
  <c r="F251" i="8"/>
  <c r="E251" i="8"/>
  <c r="D251" i="8"/>
  <c r="C251" i="8"/>
  <c r="B251" i="8"/>
  <c r="A251" i="8"/>
  <c r="Z250" i="8"/>
  <c r="Y250" i="8"/>
  <c r="X250" i="8"/>
  <c r="W250" i="8"/>
  <c r="V250" i="8"/>
  <c r="U250" i="8"/>
  <c r="T250" i="8"/>
  <c r="S250" i="8"/>
  <c r="R250" i="8"/>
  <c r="P250" i="8"/>
  <c r="M250" i="8"/>
  <c r="L250" i="8"/>
  <c r="J250" i="8"/>
  <c r="I250" i="8"/>
  <c r="H250" i="8"/>
  <c r="G250" i="8"/>
  <c r="F250" i="8"/>
  <c r="E250" i="8"/>
  <c r="D250" i="8"/>
  <c r="C250" i="8"/>
  <c r="B250" i="8"/>
  <c r="A250" i="8"/>
  <c r="Z249" i="8"/>
  <c r="Y249" i="8"/>
  <c r="X249" i="8"/>
  <c r="W249" i="8"/>
  <c r="V249" i="8"/>
  <c r="U249" i="8"/>
  <c r="T249" i="8"/>
  <c r="S249" i="8"/>
  <c r="R249" i="8"/>
  <c r="P249" i="8"/>
  <c r="M249" i="8"/>
  <c r="L249" i="8"/>
  <c r="J249" i="8"/>
  <c r="I249" i="8"/>
  <c r="H249" i="8"/>
  <c r="G249" i="8"/>
  <c r="F249" i="8"/>
  <c r="E249" i="8"/>
  <c r="D249" i="8"/>
  <c r="C249" i="8"/>
  <c r="B249" i="8"/>
  <c r="A249" i="8"/>
  <c r="Z248" i="8"/>
  <c r="Y248" i="8"/>
  <c r="X248" i="8"/>
  <c r="W248" i="8"/>
  <c r="V248" i="8"/>
  <c r="U248" i="8"/>
  <c r="T248" i="8"/>
  <c r="S248" i="8"/>
  <c r="R248" i="8"/>
  <c r="P248" i="8"/>
  <c r="M248" i="8"/>
  <c r="L248" i="8"/>
  <c r="J248" i="8"/>
  <c r="I248" i="8"/>
  <c r="H248" i="8"/>
  <c r="G248" i="8"/>
  <c r="F248" i="8"/>
  <c r="E248" i="8"/>
  <c r="D248" i="8"/>
  <c r="C248" i="8"/>
  <c r="B248" i="8"/>
  <c r="A248" i="8"/>
  <c r="Z247" i="8"/>
  <c r="Y247" i="8"/>
  <c r="X247" i="8"/>
  <c r="W247" i="8"/>
  <c r="V247" i="8"/>
  <c r="U247" i="8"/>
  <c r="T247" i="8"/>
  <c r="S247" i="8"/>
  <c r="R247" i="8"/>
  <c r="P247" i="8"/>
  <c r="M247" i="8"/>
  <c r="L247" i="8"/>
  <c r="J247" i="8"/>
  <c r="I247" i="8"/>
  <c r="H247" i="8"/>
  <c r="G247" i="8"/>
  <c r="F247" i="8"/>
  <c r="E247" i="8"/>
  <c r="D247" i="8"/>
  <c r="C247" i="8"/>
  <c r="B247" i="8"/>
  <c r="A247" i="8"/>
  <c r="Z246" i="8"/>
  <c r="Y246" i="8"/>
  <c r="X246" i="8"/>
  <c r="W246" i="8"/>
  <c r="V246" i="8"/>
  <c r="U246" i="8"/>
  <c r="T246" i="8"/>
  <c r="S246" i="8"/>
  <c r="R246" i="8"/>
  <c r="P246" i="8"/>
  <c r="M246" i="8"/>
  <c r="L246" i="8"/>
  <c r="J246" i="8"/>
  <c r="I246" i="8"/>
  <c r="H246" i="8"/>
  <c r="G246" i="8"/>
  <c r="F246" i="8"/>
  <c r="E246" i="8"/>
  <c r="D246" i="8"/>
  <c r="C246" i="8"/>
  <c r="B246" i="8"/>
  <c r="A246" i="8"/>
  <c r="Z245" i="8"/>
  <c r="Y245" i="8"/>
  <c r="X245" i="8"/>
  <c r="W245" i="8"/>
  <c r="V245" i="8"/>
  <c r="U245" i="8"/>
  <c r="T245" i="8"/>
  <c r="S245" i="8"/>
  <c r="R245" i="8"/>
  <c r="P245" i="8"/>
  <c r="M245" i="8"/>
  <c r="L245" i="8"/>
  <c r="J245" i="8"/>
  <c r="I245" i="8"/>
  <c r="H245" i="8"/>
  <c r="G245" i="8"/>
  <c r="F245" i="8"/>
  <c r="E245" i="8"/>
  <c r="D245" i="8"/>
  <c r="C245" i="8"/>
  <c r="B245" i="8"/>
  <c r="A245" i="8"/>
  <c r="Z244" i="8"/>
  <c r="Y244" i="8"/>
  <c r="X244" i="8"/>
  <c r="W244" i="8"/>
  <c r="V244" i="8"/>
  <c r="U244" i="8"/>
  <c r="T244" i="8"/>
  <c r="S244" i="8"/>
  <c r="R244" i="8"/>
  <c r="P244" i="8"/>
  <c r="M244" i="8"/>
  <c r="L244" i="8"/>
  <c r="J244" i="8"/>
  <c r="I244" i="8"/>
  <c r="H244" i="8"/>
  <c r="G244" i="8"/>
  <c r="F244" i="8"/>
  <c r="E244" i="8"/>
  <c r="D244" i="8"/>
  <c r="C244" i="8"/>
  <c r="B244" i="8"/>
  <c r="A244" i="8"/>
  <c r="Z243" i="8"/>
  <c r="Y243" i="8"/>
  <c r="X243" i="8"/>
  <c r="W243" i="8"/>
  <c r="V243" i="8"/>
  <c r="U243" i="8"/>
  <c r="T243" i="8"/>
  <c r="S243" i="8"/>
  <c r="R243" i="8"/>
  <c r="P243" i="8"/>
  <c r="M243" i="8"/>
  <c r="L243" i="8"/>
  <c r="J243" i="8"/>
  <c r="I243" i="8"/>
  <c r="H243" i="8"/>
  <c r="G243" i="8"/>
  <c r="F243" i="8"/>
  <c r="E243" i="8"/>
  <c r="D243" i="8"/>
  <c r="C243" i="8"/>
  <c r="B243" i="8"/>
  <c r="A243" i="8"/>
  <c r="Z242" i="8"/>
  <c r="Y242" i="8"/>
  <c r="X242" i="8"/>
  <c r="W242" i="8"/>
  <c r="V242" i="8"/>
  <c r="U242" i="8"/>
  <c r="T242" i="8"/>
  <c r="S242" i="8"/>
  <c r="R242" i="8"/>
  <c r="P242" i="8"/>
  <c r="M242" i="8"/>
  <c r="L242" i="8"/>
  <c r="J242" i="8"/>
  <c r="I242" i="8"/>
  <c r="H242" i="8"/>
  <c r="G242" i="8"/>
  <c r="F242" i="8"/>
  <c r="E242" i="8"/>
  <c r="D242" i="8"/>
  <c r="C242" i="8"/>
  <c r="B242" i="8"/>
  <c r="A242" i="8"/>
  <c r="Z241" i="8"/>
  <c r="Y241" i="8"/>
  <c r="X241" i="8"/>
  <c r="W241" i="8"/>
  <c r="V241" i="8"/>
  <c r="U241" i="8"/>
  <c r="T241" i="8"/>
  <c r="S241" i="8"/>
  <c r="R241" i="8"/>
  <c r="P241" i="8"/>
  <c r="M241" i="8"/>
  <c r="L241" i="8"/>
  <c r="J241" i="8"/>
  <c r="I241" i="8"/>
  <c r="H241" i="8"/>
  <c r="G241" i="8"/>
  <c r="F241" i="8"/>
  <c r="E241" i="8"/>
  <c r="D241" i="8"/>
  <c r="C241" i="8"/>
  <c r="B241" i="8"/>
  <c r="A241" i="8"/>
  <c r="Z240" i="8"/>
  <c r="Y240" i="8"/>
  <c r="X240" i="8"/>
  <c r="W240" i="8"/>
  <c r="V240" i="8"/>
  <c r="U240" i="8"/>
  <c r="T240" i="8"/>
  <c r="S240" i="8"/>
  <c r="R240" i="8"/>
  <c r="P240" i="8"/>
  <c r="M240" i="8"/>
  <c r="L240" i="8"/>
  <c r="J240" i="8"/>
  <c r="I240" i="8"/>
  <c r="H240" i="8"/>
  <c r="G240" i="8"/>
  <c r="F240" i="8"/>
  <c r="E240" i="8"/>
  <c r="D240" i="8"/>
  <c r="C240" i="8"/>
  <c r="B240" i="8"/>
  <c r="A240" i="8"/>
  <c r="Z239" i="8"/>
  <c r="Y239" i="8"/>
  <c r="X239" i="8"/>
  <c r="W239" i="8"/>
  <c r="V239" i="8"/>
  <c r="U239" i="8"/>
  <c r="T239" i="8"/>
  <c r="S239" i="8"/>
  <c r="R239" i="8"/>
  <c r="P239" i="8"/>
  <c r="M239" i="8"/>
  <c r="L239" i="8"/>
  <c r="J239" i="8"/>
  <c r="I239" i="8"/>
  <c r="H239" i="8"/>
  <c r="G239" i="8"/>
  <c r="F239" i="8"/>
  <c r="E239" i="8"/>
  <c r="D239" i="8"/>
  <c r="C239" i="8"/>
  <c r="B239" i="8"/>
  <c r="A239" i="8"/>
  <c r="Z238" i="8"/>
  <c r="Y238" i="8"/>
  <c r="X238" i="8"/>
  <c r="W238" i="8"/>
  <c r="V238" i="8"/>
  <c r="U238" i="8"/>
  <c r="T238" i="8"/>
  <c r="S238" i="8"/>
  <c r="R238" i="8"/>
  <c r="P238" i="8"/>
  <c r="M238" i="8"/>
  <c r="L238" i="8"/>
  <c r="J238" i="8"/>
  <c r="I238" i="8"/>
  <c r="H238" i="8"/>
  <c r="G238" i="8"/>
  <c r="F238" i="8"/>
  <c r="E238" i="8"/>
  <c r="D238" i="8"/>
  <c r="C238" i="8"/>
  <c r="B238" i="8"/>
  <c r="A238" i="8"/>
  <c r="Z237" i="8"/>
  <c r="Y237" i="8"/>
  <c r="X237" i="8"/>
  <c r="W237" i="8"/>
  <c r="V237" i="8"/>
  <c r="U237" i="8"/>
  <c r="T237" i="8"/>
  <c r="S237" i="8"/>
  <c r="R237" i="8"/>
  <c r="P237" i="8"/>
  <c r="M237" i="8"/>
  <c r="L237" i="8"/>
  <c r="J237" i="8"/>
  <c r="I237" i="8"/>
  <c r="H237" i="8"/>
  <c r="G237" i="8"/>
  <c r="F237" i="8"/>
  <c r="E237" i="8"/>
  <c r="D237" i="8"/>
  <c r="C237" i="8"/>
  <c r="B237" i="8"/>
  <c r="A237" i="8"/>
  <c r="Z236" i="8"/>
  <c r="Y236" i="8"/>
  <c r="X236" i="8"/>
  <c r="W236" i="8"/>
  <c r="V236" i="8"/>
  <c r="U236" i="8"/>
  <c r="T236" i="8"/>
  <c r="S236" i="8"/>
  <c r="R236" i="8"/>
  <c r="P236" i="8"/>
  <c r="M236" i="8"/>
  <c r="L236" i="8"/>
  <c r="J236" i="8"/>
  <c r="I236" i="8"/>
  <c r="H236" i="8"/>
  <c r="G236" i="8"/>
  <c r="F236" i="8"/>
  <c r="E236" i="8"/>
  <c r="D236" i="8"/>
  <c r="C236" i="8"/>
  <c r="B236" i="8"/>
  <c r="A236" i="8"/>
  <c r="Z235" i="8"/>
  <c r="Y235" i="8"/>
  <c r="X235" i="8"/>
  <c r="W235" i="8"/>
  <c r="V235" i="8"/>
  <c r="U235" i="8"/>
  <c r="T235" i="8"/>
  <c r="S235" i="8"/>
  <c r="R235" i="8"/>
  <c r="P235" i="8"/>
  <c r="M235" i="8"/>
  <c r="L235" i="8"/>
  <c r="J235" i="8"/>
  <c r="I235" i="8"/>
  <c r="H235" i="8"/>
  <c r="G235" i="8"/>
  <c r="F235" i="8"/>
  <c r="E235" i="8"/>
  <c r="D235" i="8"/>
  <c r="C235" i="8"/>
  <c r="B235" i="8"/>
  <c r="A235" i="8"/>
  <c r="Z234" i="8"/>
  <c r="Y234" i="8"/>
  <c r="X234" i="8"/>
  <c r="W234" i="8"/>
  <c r="V234" i="8"/>
  <c r="U234" i="8"/>
  <c r="T234" i="8"/>
  <c r="S234" i="8"/>
  <c r="R234" i="8"/>
  <c r="P234" i="8"/>
  <c r="M234" i="8"/>
  <c r="L234" i="8"/>
  <c r="J234" i="8"/>
  <c r="I234" i="8"/>
  <c r="H234" i="8"/>
  <c r="G234" i="8"/>
  <c r="F234" i="8"/>
  <c r="E234" i="8"/>
  <c r="D234" i="8"/>
  <c r="C234" i="8"/>
  <c r="B234" i="8"/>
  <c r="A234" i="8"/>
  <c r="Z233" i="8"/>
  <c r="Y233" i="8"/>
  <c r="X233" i="8"/>
  <c r="W233" i="8"/>
  <c r="V233" i="8"/>
  <c r="U233" i="8"/>
  <c r="T233" i="8"/>
  <c r="S233" i="8"/>
  <c r="R233" i="8"/>
  <c r="P233" i="8"/>
  <c r="M233" i="8"/>
  <c r="L233" i="8"/>
  <c r="J233" i="8"/>
  <c r="I233" i="8"/>
  <c r="H233" i="8"/>
  <c r="G233" i="8"/>
  <c r="F233" i="8"/>
  <c r="E233" i="8"/>
  <c r="D233" i="8"/>
  <c r="C233" i="8"/>
  <c r="B233" i="8"/>
  <c r="A233" i="8"/>
  <c r="Z232" i="8"/>
  <c r="Y232" i="8"/>
  <c r="X232" i="8"/>
  <c r="W232" i="8"/>
  <c r="V232" i="8"/>
  <c r="U232" i="8"/>
  <c r="T232" i="8"/>
  <c r="S232" i="8"/>
  <c r="R232" i="8"/>
  <c r="P232" i="8"/>
  <c r="M232" i="8"/>
  <c r="L232" i="8"/>
  <c r="J232" i="8"/>
  <c r="I232" i="8"/>
  <c r="H232" i="8"/>
  <c r="G232" i="8"/>
  <c r="F232" i="8"/>
  <c r="E232" i="8"/>
  <c r="D232" i="8"/>
  <c r="C232" i="8"/>
  <c r="B232" i="8"/>
  <c r="A232" i="8"/>
  <c r="Z231" i="8"/>
  <c r="Y231" i="8"/>
  <c r="X231" i="8"/>
  <c r="W231" i="8"/>
  <c r="V231" i="8"/>
  <c r="U231" i="8"/>
  <c r="T231" i="8"/>
  <c r="S231" i="8"/>
  <c r="R231" i="8"/>
  <c r="P231" i="8"/>
  <c r="M231" i="8"/>
  <c r="L231" i="8"/>
  <c r="J231" i="8"/>
  <c r="I231" i="8"/>
  <c r="H231" i="8"/>
  <c r="G231" i="8"/>
  <c r="F231" i="8"/>
  <c r="E231" i="8"/>
  <c r="D231" i="8"/>
  <c r="C231" i="8"/>
  <c r="B231" i="8"/>
  <c r="A231" i="8"/>
  <c r="Z230" i="8"/>
  <c r="Y230" i="8"/>
  <c r="X230" i="8"/>
  <c r="W230" i="8"/>
  <c r="V230" i="8"/>
  <c r="U230" i="8"/>
  <c r="T230" i="8"/>
  <c r="S230" i="8"/>
  <c r="R230" i="8"/>
  <c r="P230" i="8"/>
  <c r="M230" i="8"/>
  <c r="L230" i="8"/>
  <c r="J230" i="8"/>
  <c r="I230" i="8"/>
  <c r="H230" i="8"/>
  <c r="G230" i="8"/>
  <c r="F230" i="8"/>
  <c r="E230" i="8"/>
  <c r="D230" i="8"/>
  <c r="C230" i="8"/>
  <c r="B230" i="8"/>
  <c r="A230" i="8"/>
  <c r="Z229" i="8"/>
  <c r="Y229" i="8"/>
  <c r="X229" i="8"/>
  <c r="W229" i="8"/>
  <c r="V229" i="8"/>
  <c r="U229" i="8"/>
  <c r="T229" i="8"/>
  <c r="S229" i="8"/>
  <c r="R229" i="8"/>
  <c r="P229" i="8"/>
  <c r="M229" i="8"/>
  <c r="L229" i="8"/>
  <c r="J229" i="8"/>
  <c r="I229" i="8"/>
  <c r="H229" i="8"/>
  <c r="G229" i="8"/>
  <c r="F229" i="8"/>
  <c r="E229" i="8"/>
  <c r="D229" i="8"/>
  <c r="C229" i="8"/>
  <c r="B229" i="8"/>
  <c r="A229" i="8"/>
  <c r="Z228" i="8"/>
  <c r="Y228" i="8"/>
  <c r="X228" i="8"/>
  <c r="W228" i="8"/>
  <c r="V228" i="8"/>
  <c r="U228" i="8"/>
  <c r="T228" i="8"/>
  <c r="S228" i="8"/>
  <c r="R228" i="8"/>
  <c r="P228" i="8"/>
  <c r="M228" i="8"/>
  <c r="L228" i="8"/>
  <c r="J228" i="8"/>
  <c r="I228" i="8"/>
  <c r="H228" i="8"/>
  <c r="G228" i="8"/>
  <c r="F228" i="8"/>
  <c r="E228" i="8"/>
  <c r="D228" i="8"/>
  <c r="C228" i="8"/>
  <c r="B228" i="8"/>
  <c r="A228" i="8"/>
  <c r="Z227" i="8"/>
  <c r="Y227" i="8"/>
  <c r="X227" i="8"/>
  <c r="W227" i="8"/>
  <c r="V227" i="8"/>
  <c r="U227" i="8"/>
  <c r="T227" i="8"/>
  <c r="S227" i="8"/>
  <c r="R227" i="8"/>
  <c r="P227" i="8"/>
  <c r="M227" i="8"/>
  <c r="L227" i="8"/>
  <c r="J227" i="8"/>
  <c r="I227" i="8"/>
  <c r="H227" i="8"/>
  <c r="G227" i="8"/>
  <c r="F227" i="8"/>
  <c r="E227" i="8"/>
  <c r="D227" i="8"/>
  <c r="C227" i="8"/>
  <c r="B227" i="8"/>
  <c r="A227" i="8"/>
  <c r="Z226" i="8"/>
  <c r="Y226" i="8"/>
  <c r="X226" i="8"/>
  <c r="W226" i="8"/>
  <c r="V226" i="8"/>
  <c r="U226" i="8"/>
  <c r="T226" i="8"/>
  <c r="S226" i="8"/>
  <c r="R226" i="8"/>
  <c r="P226" i="8"/>
  <c r="M226" i="8"/>
  <c r="L226" i="8"/>
  <c r="J226" i="8"/>
  <c r="I226" i="8"/>
  <c r="H226" i="8"/>
  <c r="G226" i="8"/>
  <c r="F226" i="8"/>
  <c r="E226" i="8"/>
  <c r="D226" i="8"/>
  <c r="C226" i="8"/>
  <c r="B226" i="8"/>
  <c r="A226" i="8"/>
  <c r="Z225" i="8"/>
  <c r="Y225" i="8"/>
  <c r="X225" i="8"/>
  <c r="W225" i="8"/>
  <c r="V225" i="8"/>
  <c r="U225" i="8"/>
  <c r="T225" i="8"/>
  <c r="S225" i="8"/>
  <c r="R225" i="8"/>
  <c r="P225" i="8"/>
  <c r="M225" i="8"/>
  <c r="L225" i="8"/>
  <c r="J225" i="8"/>
  <c r="I225" i="8"/>
  <c r="H225" i="8"/>
  <c r="G225" i="8"/>
  <c r="F225" i="8"/>
  <c r="E225" i="8"/>
  <c r="D225" i="8"/>
  <c r="C225" i="8"/>
  <c r="B225" i="8"/>
  <c r="A225" i="8"/>
  <c r="Z224" i="8"/>
  <c r="Y224" i="8"/>
  <c r="X224" i="8"/>
  <c r="W224" i="8"/>
  <c r="V224" i="8"/>
  <c r="U224" i="8"/>
  <c r="T224" i="8"/>
  <c r="S224" i="8"/>
  <c r="R224" i="8"/>
  <c r="P224" i="8"/>
  <c r="M224" i="8"/>
  <c r="L224" i="8"/>
  <c r="J224" i="8"/>
  <c r="I224" i="8"/>
  <c r="H224" i="8"/>
  <c r="G224" i="8"/>
  <c r="F224" i="8"/>
  <c r="E224" i="8"/>
  <c r="D224" i="8"/>
  <c r="C224" i="8"/>
  <c r="B224" i="8"/>
  <c r="A224" i="8"/>
  <c r="Z223" i="8"/>
  <c r="Y223" i="8"/>
  <c r="X223" i="8"/>
  <c r="W223" i="8"/>
  <c r="V223" i="8"/>
  <c r="U223" i="8"/>
  <c r="T223" i="8"/>
  <c r="S223" i="8"/>
  <c r="R223" i="8"/>
  <c r="P223" i="8"/>
  <c r="M223" i="8"/>
  <c r="L223" i="8"/>
  <c r="J223" i="8"/>
  <c r="I223" i="8"/>
  <c r="H223" i="8"/>
  <c r="G223" i="8"/>
  <c r="F223" i="8"/>
  <c r="E223" i="8"/>
  <c r="D223" i="8"/>
  <c r="C223" i="8"/>
  <c r="B223" i="8"/>
  <c r="A223" i="8"/>
  <c r="Z222" i="8"/>
  <c r="Y222" i="8"/>
  <c r="X222" i="8"/>
  <c r="W222" i="8"/>
  <c r="V222" i="8"/>
  <c r="U222" i="8"/>
  <c r="T222" i="8"/>
  <c r="S222" i="8"/>
  <c r="R222" i="8"/>
  <c r="P222" i="8"/>
  <c r="M222" i="8"/>
  <c r="L222" i="8"/>
  <c r="J222" i="8"/>
  <c r="I222" i="8"/>
  <c r="H222" i="8"/>
  <c r="G222" i="8"/>
  <c r="F222" i="8"/>
  <c r="E222" i="8"/>
  <c r="D222" i="8"/>
  <c r="C222" i="8"/>
  <c r="B222" i="8"/>
  <c r="A222" i="8"/>
  <c r="Z221" i="8"/>
  <c r="Y221" i="8"/>
  <c r="X221" i="8"/>
  <c r="W221" i="8"/>
  <c r="V221" i="8"/>
  <c r="U221" i="8"/>
  <c r="T221" i="8"/>
  <c r="S221" i="8"/>
  <c r="R221" i="8"/>
  <c r="P221" i="8"/>
  <c r="M221" i="8"/>
  <c r="L221" i="8"/>
  <c r="J221" i="8"/>
  <c r="I221" i="8"/>
  <c r="H221" i="8"/>
  <c r="G221" i="8"/>
  <c r="F221" i="8"/>
  <c r="E221" i="8"/>
  <c r="D221" i="8"/>
  <c r="C221" i="8"/>
  <c r="B221" i="8"/>
  <c r="A221" i="8"/>
  <c r="Z220" i="8"/>
  <c r="Y220" i="8"/>
  <c r="X220" i="8"/>
  <c r="W220" i="8"/>
  <c r="V220" i="8"/>
  <c r="U220" i="8"/>
  <c r="T220" i="8"/>
  <c r="S220" i="8"/>
  <c r="R220" i="8"/>
  <c r="P220" i="8"/>
  <c r="M220" i="8"/>
  <c r="L220" i="8"/>
  <c r="J220" i="8"/>
  <c r="I220" i="8"/>
  <c r="H220" i="8"/>
  <c r="G220" i="8"/>
  <c r="F220" i="8"/>
  <c r="E220" i="8"/>
  <c r="D220" i="8"/>
  <c r="C220" i="8"/>
  <c r="B220" i="8"/>
  <c r="A220" i="8"/>
  <c r="Z219" i="8"/>
  <c r="Y219" i="8"/>
  <c r="X219" i="8"/>
  <c r="W219" i="8"/>
  <c r="V219" i="8"/>
  <c r="U219" i="8"/>
  <c r="T219" i="8"/>
  <c r="S219" i="8"/>
  <c r="R219" i="8"/>
  <c r="P219" i="8"/>
  <c r="M219" i="8"/>
  <c r="L219" i="8"/>
  <c r="J219" i="8"/>
  <c r="I219" i="8"/>
  <c r="H219" i="8"/>
  <c r="G219" i="8"/>
  <c r="F219" i="8"/>
  <c r="E219" i="8"/>
  <c r="D219" i="8"/>
  <c r="C219" i="8"/>
  <c r="B219" i="8"/>
  <c r="A219" i="8"/>
  <c r="Z218" i="8"/>
  <c r="Y218" i="8"/>
  <c r="X218" i="8"/>
  <c r="W218" i="8"/>
  <c r="V218" i="8"/>
  <c r="U218" i="8"/>
  <c r="T218" i="8"/>
  <c r="S218" i="8"/>
  <c r="R218" i="8"/>
  <c r="P218" i="8"/>
  <c r="M218" i="8"/>
  <c r="L218" i="8"/>
  <c r="J218" i="8"/>
  <c r="I218" i="8"/>
  <c r="H218" i="8"/>
  <c r="G218" i="8"/>
  <c r="F218" i="8"/>
  <c r="E218" i="8"/>
  <c r="D218" i="8"/>
  <c r="C218" i="8"/>
  <c r="B218" i="8"/>
  <c r="A218" i="8"/>
  <c r="Z217" i="8"/>
  <c r="Y217" i="8"/>
  <c r="X217" i="8"/>
  <c r="W217" i="8"/>
  <c r="V217" i="8"/>
  <c r="U217" i="8"/>
  <c r="T217" i="8"/>
  <c r="S217" i="8"/>
  <c r="R217" i="8"/>
  <c r="P217" i="8"/>
  <c r="M217" i="8"/>
  <c r="L217" i="8"/>
  <c r="J217" i="8"/>
  <c r="I217" i="8"/>
  <c r="H217" i="8"/>
  <c r="G217" i="8"/>
  <c r="F217" i="8"/>
  <c r="E217" i="8"/>
  <c r="D217" i="8"/>
  <c r="C217" i="8"/>
  <c r="B217" i="8"/>
  <c r="A217" i="8"/>
  <c r="Z216" i="8"/>
  <c r="Y216" i="8"/>
  <c r="X216" i="8"/>
  <c r="W216" i="8"/>
  <c r="V216" i="8"/>
  <c r="U216" i="8"/>
  <c r="T216" i="8"/>
  <c r="S216" i="8"/>
  <c r="R216" i="8"/>
  <c r="P216" i="8"/>
  <c r="M216" i="8"/>
  <c r="L216" i="8"/>
  <c r="J216" i="8"/>
  <c r="I216" i="8"/>
  <c r="H216" i="8"/>
  <c r="G216" i="8"/>
  <c r="F216" i="8"/>
  <c r="E216" i="8"/>
  <c r="D216" i="8"/>
  <c r="C216" i="8"/>
  <c r="B216" i="8"/>
  <c r="A216" i="8"/>
  <c r="Z215" i="8"/>
  <c r="Y215" i="8"/>
  <c r="X215" i="8"/>
  <c r="W215" i="8"/>
  <c r="V215" i="8"/>
  <c r="U215" i="8"/>
  <c r="T215" i="8"/>
  <c r="S215" i="8"/>
  <c r="R215" i="8"/>
  <c r="P215" i="8"/>
  <c r="M215" i="8"/>
  <c r="L215" i="8"/>
  <c r="J215" i="8"/>
  <c r="I215" i="8"/>
  <c r="H215" i="8"/>
  <c r="G215" i="8"/>
  <c r="F215" i="8"/>
  <c r="E215" i="8"/>
  <c r="D215" i="8"/>
  <c r="C215" i="8"/>
  <c r="B215" i="8"/>
  <c r="A215" i="8"/>
  <c r="Z214" i="8"/>
  <c r="Y214" i="8"/>
  <c r="X214" i="8"/>
  <c r="W214" i="8"/>
  <c r="V214" i="8"/>
  <c r="U214" i="8"/>
  <c r="T214" i="8"/>
  <c r="S214" i="8"/>
  <c r="R214" i="8"/>
  <c r="P214" i="8"/>
  <c r="M214" i="8"/>
  <c r="L214" i="8"/>
  <c r="J214" i="8"/>
  <c r="I214" i="8"/>
  <c r="H214" i="8"/>
  <c r="G214" i="8"/>
  <c r="F214" i="8"/>
  <c r="E214" i="8"/>
  <c r="D214" i="8"/>
  <c r="C214" i="8"/>
  <c r="B214" i="8"/>
  <c r="A214" i="8"/>
  <c r="Z213" i="8"/>
  <c r="Y213" i="8"/>
  <c r="X213" i="8"/>
  <c r="W213" i="8"/>
  <c r="V213" i="8"/>
  <c r="U213" i="8"/>
  <c r="T213" i="8"/>
  <c r="S213" i="8"/>
  <c r="R213" i="8"/>
  <c r="P213" i="8"/>
  <c r="M213" i="8"/>
  <c r="L213" i="8"/>
  <c r="J213" i="8"/>
  <c r="I213" i="8"/>
  <c r="H213" i="8"/>
  <c r="G213" i="8"/>
  <c r="F213" i="8"/>
  <c r="E213" i="8"/>
  <c r="D213" i="8"/>
  <c r="C213" i="8"/>
  <c r="B213" i="8"/>
  <c r="A213" i="8"/>
  <c r="Z212" i="8"/>
  <c r="Y212" i="8"/>
  <c r="X212" i="8"/>
  <c r="W212" i="8"/>
  <c r="V212" i="8"/>
  <c r="U212" i="8"/>
  <c r="T212" i="8"/>
  <c r="S212" i="8"/>
  <c r="R212" i="8"/>
  <c r="P212" i="8"/>
  <c r="M212" i="8"/>
  <c r="L212" i="8"/>
  <c r="J212" i="8"/>
  <c r="I212" i="8"/>
  <c r="H212" i="8"/>
  <c r="G212" i="8"/>
  <c r="F212" i="8"/>
  <c r="E212" i="8"/>
  <c r="D212" i="8"/>
  <c r="C212" i="8"/>
  <c r="B212" i="8"/>
  <c r="A212" i="8"/>
  <c r="Z211" i="8"/>
  <c r="Y211" i="8"/>
  <c r="X211" i="8"/>
  <c r="W211" i="8"/>
  <c r="V211" i="8"/>
  <c r="U211" i="8"/>
  <c r="T211" i="8"/>
  <c r="S211" i="8"/>
  <c r="R211" i="8"/>
  <c r="P211" i="8"/>
  <c r="M211" i="8"/>
  <c r="L211" i="8"/>
  <c r="J211" i="8"/>
  <c r="I211" i="8"/>
  <c r="H211" i="8"/>
  <c r="G211" i="8"/>
  <c r="F211" i="8"/>
  <c r="E211" i="8"/>
  <c r="D211" i="8"/>
  <c r="C211" i="8"/>
  <c r="B211" i="8"/>
  <c r="A211" i="8"/>
  <c r="Z210" i="8"/>
  <c r="Y210" i="8"/>
  <c r="X210" i="8"/>
  <c r="W210" i="8"/>
  <c r="V210" i="8"/>
  <c r="U210" i="8"/>
  <c r="T210" i="8"/>
  <c r="S210" i="8"/>
  <c r="R210" i="8"/>
  <c r="P210" i="8"/>
  <c r="M210" i="8"/>
  <c r="L210" i="8"/>
  <c r="J210" i="8"/>
  <c r="I210" i="8"/>
  <c r="H210" i="8"/>
  <c r="G210" i="8"/>
  <c r="F210" i="8"/>
  <c r="E210" i="8"/>
  <c r="D210" i="8"/>
  <c r="C210" i="8"/>
  <c r="B210" i="8"/>
  <c r="A210" i="8"/>
  <c r="Z209" i="8"/>
  <c r="Y209" i="8"/>
  <c r="X209" i="8"/>
  <c r="W209" i="8"/>
  <c r="V209" i="8"/>
  <c r="U209" i="8"/>
  <c r="T209" i="8"/>
  <c r="S209" i="8"/>
  <c r="R209" i="8"/>
  <c r="P209" i="8"/>
  <c r="M209" i="8"/>
  <c r="L209" i="8"/>
  <c r="J209" i="8"/>
  <c r="I209" i="8"/>
  <c r="H209" i="8"/>
  <c r="G209" i="8"/>
  <c r="F209" i="8"/>
  <c r="E209" i="8"/>
  <c r="D209" i="8"/>
  <c r="C209" i="8"/>
  <c r="B209" i="8"/>
  <c r="A209" i="8"/>
  <c r="Z208" i="8"/>
  <c r="Y208" i="8"/>
  <c r="X208" i="8"/>
  <c r="W208" i="8"/>
  <c r="V208" i="8"/>
  <c r="U208" i="8"/>
  <c r="T208" i="8"/>
  <c r="S208" i="8"/>
  <c r="R208" i="8"/>
  <c r="P208" i="8"/>
  <c r="M208" i="8"/>
  <c r="L208" i="8"/>
  <c r="J208" i="8"/>
  <c r="I208" i="8"/>
  <c r="H208" i="8"/>
  <c r="G208" i="8"/>
  <c r="F208" i="8"/>
  <c r="E208" i="8"/>
  <c r="D208" i="8"/>
  <c r="C208" i="8"/>
  <c r="B208" i="8"/>
  <c r="A208" i="8"/>
  <c r="Z207" i="8"/>
  <c r="Y207" i="8"/>
  <c r="X207" i="8"/>
  <c r="W207" i="8"/>
  <c r="V207" i="8"/>
  <c r="U207" i="8"/>
  <c r="T207" i="8"/>
  <c r="S207" i="8"/>
  <c r="R207" i="8"/>
  <c r="P207" i="8"/>
  <c r="M207" i="8"/>
  <c r="L207" i="8"/>
  <c r="J207" i="8"/>
  <c r="I207" i="8"/>
  <c r="H207" i="8"/>
  <c r="G207" i="8"/>
  <c r="F207" i="8"/>
  <c r="E207" i="8"/>
  <c r="D207" i="8"/>
  <c r="C207" i="8"/>
  <c r="B207" i="8"/>
  <c r="A207" i="8"/>
  <c r="Z206" i="8"/>
  <c r="Y206" i="8"/>
  <c r="X206" i="8"/>
  <c r="W206" i="8"/>
  <c r="V206" i="8"/>
  <c r="U206" i="8"/>
  <c r="T206" i="8"/>
  <c r="S206" i="8"/>
  <c r="R206" i="8"/>
  <c r="P206" i="8"/>
  <c r="M206" i="8"/>
  <c r="L206" i="8"/>
  <c r="J206" i="8"/>
  <c r="I206" i="8"/>
  <c r="H206" i="8"/>
  <c r="G206" i="8"/>
  <c r="F206" i="8"/>
  <c r="E206" i="8"/>
  <c r="D206" i="8"/>
  <c r="C206" i="8"/>
  <c r="B206" i="8"/>
  <c r="A206" i="8"/>
  <c r="Z205" i="8"/>
  <c r="Y205" i="8"/>
  <c r="X205" i="8"/>
  <c r="W205" i="8"/>
  <c r="V205" i="8"/>
  <c r="U205" i="8"/>
  <c r="T205" i="8"/>
  <c r="S205" i="8"/>
  <c r="R205" i="8"/>
  <c r="P205" i="8"/>
  <c r="M205" i="8"/>
  <c r="L205" i="8"/>
  <c r="J205" i="8"/>
  <c r="I205" i="8"/>
  <c r="H205" i="8"/>
  <c r="G205" i="8"/>
  <c r="F205" i="8"/>
  <c r="E205" i="8"/>
  <c r="D205" i="8"/>
  <c r="C205" i="8"/>
  <c r="B205" i="8"/>
  <c r="A205" i="8"/>
  <c r="Z204" i="8"/>
  <c r="Y204" i="8"/>
  <c r="X204" i="8"/>
  <c r="W204" i="8"/>
  <c r="V204" i="8"/>
  <c r="U204" i="8"/>
  <c r="T204" i="8"/>
  <c r="S204" i="8"/>
  <c r="R204" i="8"/>
  <c r="P204" i="8"/>
  <c r="M204" i="8"/>
  <c r="L204" i="8"/>
  <c r="J204" i="8"/>
  <c r="I204" i="8"/>
  <c r="H204" i="8"/>
  <c r="G204" i="8"/>
  <c r="F204" i="8"/>
  <c r="E204" i="8"/>
  <c r="D204" i="8"/>
  <c r="C204" i="8"/>
  <c r="B204" i="8"/>
  <c r="A204" i="8"/>
  <c r="Z203" i="8"/>
  <c r="Y203" i="8"/>
  <c r="X203" i="8"/>
  <c r="W203" i="8"/>
  <c r="V203" i="8"/>
  <c r="U203" i="8"/>
  <c r="T203" i="8"/>
  <c r="S203" i="8"/>
  <c r="R203" i="8"/>
  <c r="P203" i="8"/>
  <c r="M203" i="8"/>
  <c r="L203" i="8"/>
  <c r="J203" i="8"/>
  <c r="I203" i="8"/>
  <c r="H203" i="8"/>
  <c r="G203" i="8"/>
  <c r="F203" i="8"/>
  <c r="E203" i="8"/>
  <c r="D203" i="8"/>
  <c r="C203" i="8"/>
  <c r="B203" i="8"/>
  <c r="A203" i="8"/>
  <c r="Z202" i="8"/>
  <c r="Y202" i="8"/>
  <c r="X202" i="8"/>
  <c r="W202" i="8"/>
  <c r="V202" i="8"/>
  <c r="U202" i="8"/>
  <c r="T202" i="8"/>
  <c r="S202" i="8"/>
  <c r="R202" i="8"/>
  <c r="P202" i="8"/>
  <c r="M202" i="8"/>
  <c r="L202" i="8"/>
  <c r="J202" i="8"/>
  <c r="I202" i="8"/>
  <c r="H202" i="8"/>
  <c r="G202" i="8"/>
  <c r="F202" i="8"/>
  <c r="E202" i="8"/>
  <c r="D202" i="8"/>
  <c r="C202" i="8"/>
  <c r="B202" i="8"/>
  <c r="A202" i="8"/>
  <c r="Z201" i="8"/>
  <c r="Y201" i="8"/>
  <c r="X201" i="8"/>
  <c r="W201" i="8"/>
  <c r="V201" i="8"/>
  <c r="U201" i="8"/>
  <c r="T201" i="8"/>
  <c r="S201" i="8"/>
  <c r="R201" i="8"/>
  <c r="P201" i="8"/>
  <c r="M201" i="8"/>
  <c r="L201" i="8"/>
  <c r="J201" i="8"/>
  <c r="I201" i="8"/>
  <c r="H201" i="8"/>
  <c r="G201" i="8"/>
  <c r="F201" i="8"/>
  <c r="E201" i="8"/>
  <c r="D201" i="8"/>
  <c r="C201" i="8"/>
  <c r="B201" i="8"/>
  <c r="A201" i="8"/>
  <c r="Z200" i="8"/>
  <c r="Y200" i="8"/>
  <c r="X200" i="8"/>
  <c r="W200" i="8"/>
  <c r="V200" i="8"/>
  <c r="U200" i="8"/>
  <c r="T200" i="8"/>
  <c r="S200" i="8"/>
  <c r="R200" i="8"/>
  <c r="P200" i="8"/>
  <c r="M200" i="8"/>
  <c r="L200" i="8"/>
  <c r="J200" i="8"/>
  <c r="I200" i="8"/>
  <c r="H200" i="8"/>
  <c r="G200" i="8"/>
  <c r="F200" i="8"/>
  <c r="E200" i="8"/>
  <c r="D200" i="8"/>
  <c r="C200" i="8"/>
  <c r="B200" i="8"/>
  <c r="A200" i="8"/>
  <c r="Z199" i="8"/>
  <c r="Y199" i="8"/>
  <c r="X199" i="8"/>
  <c r="W199" i="8"/>
  <c r="V199" i="8"/>
  <c r="U199" i="8"/>
  <c r="T199" i="8"/>
  <c r="S199" i="8"/>
  <c r="R199" i="8"/>
  <c r="P199" i="8"/>
  <c r="M199" i="8"/>
  <c r="L199" i="8"/>
  <c r="J199" i="8"/>
  <c r="I199" i="8"/>
  <c r="H199" i="8"/>
  <c r="G199" i="8"/>
  <c r="F199" i="8"/>
  <c r="E199" i="8"/>
  <c r="D199" i="8"/>
  <c r="C199" i="8"/>
  <c r="B199" i="8"/>
  <c r="A199" i="8"/>
  <c r="Z198" i="8"/>
  <c r="Y198" i="8"/>
  <c r="X198" i="8"/>
  <c r="W198" i="8"/>
  <c r="V198" i="8"/>
  <c r="U198" i="8"/>
  <c r="T198" i="8"/>
  <c r="S198" i="8"/>
  <c r="R198" i="8"/>
  <c r="P198" i="8"/>
  <c r="M198" i="8"/>
  <c r="L198" i="8"/>
  <c r="J198" i="8"/>
  <c r="I198" i="8"/>
  <c r="H198" i="8"/>
  <c r="G198" i="8"/>
  <c r="F198" i="8"/>
  <c r="E198" i="8"/>
  <c r="D198" i="8"/>
  <c r="C198" i="8"/>
  <c r="B198" i="8"/>
  <c r="A198" i="8"/>
  <c r="Z197" i="8"/>
  <c r="Y197" i="8"/>
  <c r="X197" i="8"/>
  <c r="W197" i="8"/>
  <c r="V197" i="8"/>
  <c r="U197" i="8"/>
  <c r="T197" i="8"/>
  <c r="S197" i="8"/>
  <c r="R197" i="8"/>
  <c r="P197" i="8"/>
  <c r="M197" i="8"/>
  <c r="L197" i="8"/>
  <c r="J197" i="8"/>
  <c r="I197" i="8"/>
  <c r="H197" i="8"/>
  <c r="G197" i="8"/>
  <c r="F197" i="8"/>
  <c r="E197" i="8"/>
  <c r="D197" i="8"/>
  <c r="C197" i="8"/>
  <c r="B197" i="8"/>
  <c r="A197" i="8"/>
  <c r="Z196" i="8"/>
  <c r="Y196" i="8"/>
  <c r="X196" i="8"/>
  <c r="W196" i="8"/>
  <c r="V196" i="8"/>
  <c r="U196" i="8"/>
  <c r="T196" i="8"/>
  <c r="S196" i="8"/>
  <c r="R196" i="8"/>
  <c r="P196" i="8"/>
  <c r="M196" i="8"/>
  <c r="L196" i="8"/>
  <c r="J196" i="8"/>
  <c r="I196" i="8"/>
  <c r="H196" i="8"/>
  <c r="G196" i="8"/>
  <c r="F196" i="8"/>
  <c r="E196" i="8"/>
  <c r="D196" i="8"/>
  <c r="C196" i="8"/>
  <c r="B196" i="8"/>
  <c r="A196" i="8"/>
  <c r="Z195" i="8"/>
  <c r="Y195" i="8"/>
  <c r="X195" i="8"/>
  <c r="W195" i="8"/>
  <c r="V195" i="8"/>
  <c r="U195" i="8"/>
  <c r="T195" i="8"/>
  <c r="S195" i="8"/>
  <c r="R195" i="8"/>
  <c r="P195" i="8"/>
  <c r="M195" i="8"/>
  <c r="L195" i="8"/>
  <c r="J195" i="8"/>
  <c r="I195" i="8"/>
  <c r="H195" i="8"/>
  <c r="G195" i="8"/>
  <c r="F195" i="8"/>
  <c r="E195" i="8"/>
  <c r="D195" i="8"/>
  <c r="C195" i="8"/>
  <c r="B195" i="8"/>
  <c r="A195" i="8"/>
  <c r="Z194" i="8"/>
  <c r="Y194" i="8"/>
  <c r="X194" i="8"/>
  <c r="W194" i="8"/>
  <c r="V194" i="8"/>
  <c r="U194" i="8"/>
  <c r="T194" i="8"/>
  <c r="S194" i="8"/>
  <c r="R194" i="8"/>
  <c r="P194" i="8"/>
  <c r="M194" i="8"/>
  <c r="L194" i="8"/>
  <c r="J194" i="8"/>
  <c r="I194" i="8"/>
  <c r="H194" i="8"/>
  <c r="G194" i="8"/>
  <c r="F194" i="8"/>
  <c r="E194" i="8"/>
  <c r="D194" i="8"/>
  <c r="C194" i="8"/>
  <c r="B194" i="8"/>
  <c r="A194" i="8"/>
  <c r="Z193" i="8"/>
  <c r="Y193" i="8"/>
  <c r="X193" i="8"/>
  <c r="W193" i="8"/>
  <c r="V193" i="8"/>
  <c r="U193" i="8"/>
  <c r="T193" i="8"/>
  <c r="S193" i="8"/>
  <c r="R193" i="8"/>
  <c r="P193" i="8"/>
  <c r="M193" i="8"/>
  <c r="L193" i="8"/>
  <c r="J193" i="8"/>
  <c r="I193" i="8"/>
  <c r="H193" i="8"/>
  <c r="G193" i="8"/>
  <c r="F193" i="8"/>
  <c r="E193" i="8"/>
  <c r="D193" i="8"/>
  <c r="C193" i="8"/>
  <c r="B193" i="8"/>
  <c r="A193" i="8"/>
  <c r="Z192" i="8"/>
  <c r="Y192" i="8"/>
  <c r="X192" i="8"/>
  <c r="W192" i="8"/>
  <c r="V192" i="8"/>
  <c r="U192" i="8"/>
  <c r="T192" i="8"/>
  <c r="S192" i="8"/>
  <c r="R192" i="8"/>
  <c r="P192" i="8"/>
  <c r="M192" i="8"/>
  <c r="L192" i="8"/>
  <c r="J192" i="8"/>
  <c r="I192" i="8"/>
  <c r="H192" i="8"/>
  <c r="G192" i="8"/>
  <c r="F192" i="8"/>
  <c r="E192" i="8"/>
  <c r="D192" i="8"/>
  <c r="C192" i="8"/>
  <c r="B192" i="8"/>
  <c r="A192" i="8"/>
  <c r="Z191" i="8"/>
  <c r="Y191" i="8"/>
  <c r="X191" i="8"/>
  <c r="W191" i="8"/>
  <c r="V191" i="8"/>
  <c r="U191" i="8"/>
  <c r="T191" i="8"/>
  <c r="S191" i="8"/>
  <c r="R191" i="8"/>
  <c r="P191" i="8"/>
  <c r="M191" i="8"/>
  <c r="L191" i="8"/>
  <c r="J191" i="8"/>
  <c r="I191" i="8"/>
  <c r="H191" i="8"/>
  <c r="G191" i="8"/>
  <c r="F191" i="8"/>
  <c r="E191" i="8"/>
  <c r="D191" i="8"/>
  <c r="C191" i="8"/>
  <c r="B191" i="8"/>
  <c r="A191" i="8"/>
  <c r="Z190" i="8"/>
  <c r="Y190" i="8"/>
  <c r="X190" i="8"/>
  <c r="W190" i="8"/>
  <c r="V190" i="8"/>
  <c r="U190" i="8"/>
  <c r="T190" i="8"/>
  <c r="S190" i="8"/>
  <c r="R190" i="8"/>
  <c r="P190" i="8"/>
  <c r="M190" i="8"/>
  <c r="L190" i="8"/>
  <c r="J190" i="8"/>
  <c r="I190" i="8"/>
  <c r="H190" i="8"/>
  <c r="G190" i="8"/>
  <c r="F190" i="8"/>
  <c r="E190" i="8"/>
  <c r="D190" i="8"/>
  <c r="C190" i="8"/>
  <c r="B190" i="8"/>
  <c r="A190" i="8"/>
  <c r="Z189" i="8"/>
  <c r="Y189" i="8"/>
  <c r="X189" i="8"/>
  <c r="W189" i="8"/>
  <c r="V189" i="8"/>
  <c r="U189" i="8"/>
  <c r="T189" i="8"/>
  <c r="S189" i="8"/>
  <c r="R189" i="8"/>
  <c r="P189" i="8"/>
  <c r="M189" i="8"/>
  <c r="L189" i="8"/>
  <c r="J189" i="8"/>
  <c r="I189" i="8"/>
  <c r="H189" i="8"/>
  <c r="G189" i="8"/>
  <c r="F189" i="8"/>
  <c r="E189" i="8"/>
  <c r="D189" i="8"/>
  <c r="C189" i="8"/>
  <c r="B189" i="8"/>
  <c r="A189" i="8"/>
  <c r="Z188" i="8"/>
  <c r="Y188" i="8"/>
  <c r="X188" i="8"/>
  <c r="W188" i="8"/>
  <c r="V188" i="8"/>
  <c r="U188" i="8"/>
  <c r="T188" i="8"/>
  <c r="S188" i="8"/>
  <c r="R188" i="8"/>
  <c r="P188" i="8"/>
  <c r="M188" i="8"/>
  <c r="L188" i="8"/>
  <c r="J188" i="8"/>
  <c r="I188" i="8"/>
  <c r="H188" i="8"/>
  <c r="G188" i="8"/>
  <c r="F188" i="8"/>
  <c r="E188" i="8"/>
  <c r="D188" i="8"/>
  <c r="C188" i="8"/>
  <c r="B188" i="8"/>
  <c r="A188" i="8"/>
  <c r="Z187" i="8"/>
  <c r="Y187" i="8"/>
  <c r="X187" i="8"/>
  <c r="W187" i="8"/>
  <c r="V187" i="8"/>
  <c r="U187" i="8"/>
  <c r="T187" i="8"/>
  <c r="S187" i="8"/>
  <c r="R187" i="8"/>
  <c r="P187" i="8"/>
  <c r="M187" i="8"/>
  <c r="L187" i="8"/>
  <c r="J187" i="8"/>
  <c r="I187" i="8"/>
  <c r="H187" i="8"/>
  <c r="G187" i="8"/>
  <c r="F187" i="8"/>
  <c r="E187" i="8"/>
  <c r="D187" i="8"/>
  <c r="C187" i="8"/>
  <c r="B187" i="8"/>
  <c r="A187" i="8"/>
  <c r="Z186" i="8"/>
  <c r="Y186" i="8"/>
  <c r="X186" i="8"/>
  <c r="W186" i="8"/>
  <c r="V186" i="8"/>
  <c r="U186" i="8"/>
  <c r="T186" i="8"/>
  <c r="S186" i="8"/>
  <c r="R186" i="8"/>
  <c r="P186" i="8"/>
  <c r="M186" i="8"/>
  <c r="L186" i="8"/>
  <c r="J186" i="8"/>
  <c r="I186" i="8"/>
  <c r="H186" i="8"/>
  <c r="G186" i="8"/>
  <c r="F186" i="8"/>
  <c r="E186" i="8"/>
  <c r="D186" i="8"/>
  <c r="C186" i="8"/>
  <c r="B186" i="8"/>
  <c r="A186" i="8"/>
  <c r="Z185" i="8"/>
  <c r="Y185" i="8"/>
  <c r="X185" i="8"/>
  <c r="W185" i="8"/>
  <c r="V185" i="8"/>
  <c r="U185" i="8"/>
  <c r="T185" i="8"/>
  <c r="S185" i="8"/>
  <c r="R185" i="8"/>
  <c r="P185" i="8"/>
  <c r="M185" i="8"/>
  <c r="L185" i="8"/>
  <c r="J185" i="8"/>
  <c r="I185" i="8"/>
  <c r="H185" i="8"/>
  <c r="G185" i="8"/>
  <c r="F185" i="8"/>
  <c r="E185" i="8"/>
  <c r="D185" i="8"/>
  <c r="C185" i="8"/>
  <c r="B185" i="8"/>
  <c r="A185" i="8"/>
  <c r="Z184" i="8"/>
  <c r="Y184" i="8"/>
  <c r="X184" i="8"/>
  <c r="W184" i="8"/>
  <c r="V184" i="8"/>
  <c r="U184" i="8"/>
  <c r="T184" i="8"/>
  <c r="S184" i="8"/>
  <c r="R184" i="8"/>
  <c r="P184" i="8"/>
  <c r="M184" i="8"/>
  <c r="L184" i="8"/>
  <c r="J184" i="8"/>
  <c r="I184" i="8"/>
  <c r="H184" i="8"/>
  <c r="G184" i="8"/>
  <c r="F184" i="8"/>
  <c r="E184" i="8"/>
  <c r="D184" i="8"/>
  <c r="C184" i="8"/>
  <c r="B184" i="8"/>
  <c r="A184" i="8"/>
  <c r="Z183" i="8"/>
  <c r="Y183" i="8"/>
  <c r="X183" i="8"/>
  <c r="W183" i="8"/>
  <c r="V183" i="8"/>
  <c r="U183" i="8"/>
  <c r="T183" i="8"/>
  <c r="S183" i="8"/>
  <c r="R183" i="8"/>
  <c r="P183" i="8"/>
  <c r="M183" i="8"/>
  <c r="L183" i="8"/>
  <c r="J183" i="8"/>
  <c r="I183" i="8"/>
  <c r="H183" i="8"/>
  <c r="G183" i="8"/>
  <c r="F183" i="8"/>
  <c r="E183" i="8"/>
  <c r="D183" i="8"/>
  <c r="C183" i="8"/>
  <c r="B183" i="8"/>
  <c r="A183" i="8"/>
  <c r="Z182" i="8"/>
  <c r="Y182" i="8"/>
  <c r="X182" i="8"/>
  <c r="W182" i="8"/>
  <c r="V182" i="8"/>
  <c r="U182" i="8"/>
  <c r="T182" i="8"/>
  <c r="S182" i="8"/>
  <c r="R182" i="8"/>
  <c r="P182" i="8"/>
  <c r="M182" i="8"/>
  <c r="L182" i="8"/>
  <c r="J182" i="8"/>
  <c r="I182" i="8"/>
  <c r="H182" i="8"/>
  <c r="G182" i="8"/>
  <c r="F182" i="8"/>
  <c r="E182" i="8"/>
  <c r="D182" i="8"/>
  <c r="C182" i="8"/>
  <c r="B182" i="8"/>
  <c r="A182" i="8"/>
  <c r="Z181" i="8"/>
  <c r="Y181" i="8"/>
  <c r="X181" i="8"/>
  <c r="W181" i="8"/>
  <c r="V181" i="8"/>
  <c r="U181" i="8"/>
  <c r="T181" i="8"/>
  <c r="S181" i="8"/>
  <c r="R181" i="8"/>
  <c r="P181" i="8"/>
  <c r="M181" i="8"/>
  <c r="L181" i="8"/>
  <c r="J181" i="8"/>
  <c r="I181" i="8"/>
  <c r="H181" i="8"/>
  <c r="G181" i="8"/>
  <c r="F181" i="8"/>
  <c r="E181" i="8"/>
  <c r="D181" i="8"/>
  <c r="C181" i="8"/>
  <c r="B181" i="8"/>
  <c r="A181" i="8"/>
  <c r="Z180" i="8"/>
  <c r="Y180" i="8"/>
  <c r="X180" i="8"/>
  <c r="W180" i="8"/>
  <c r="V180" i="8"/>
  <c r="U180" i="8"/>
  <c r="T180" i="8"/>
  <c r="S180" i="8"/>
  <c r="R180" i="8"/>
  <c r="P180" i="8"/>
  <c r="M180" i="8"/>
  <c r="L180" i="8"/>
  <c r="J180" i="8"/>
  <c r="I180" i="8"/>
  <c r="H180" i="8"/>
  <c r="G180" i="8"/>
  <c r="F180" i="8"/>
  <c r="E180" i="8"/>
  <c r="D180" i="8"/>
  <c r="C180" i="8"/>
  <c r="B180" i="8"/>
  <c r="A180" i="8"/>
  <c r="Z179" i="8"/>
  <c r="Y179" i="8"/>
  <c r="X179" i="8"/>
  <c r="W179" i="8"/>
  <c r="V179" i="8"/>
  <c r="U179" i="8"/>
  <c r="T179" i="8"/>
  <c r="S179" i="8"/>
  <c r="R179" i="8"/>
  <c r="P179" i="8"/>
  <c r="M179" i="8"/>
  <c r="L179" i="8"/>
  <c r="J179" i="8"/>
  <c r="I179" i="8"/>
  <c r="H179" i="8"/>
  <c r="G179" i="8"/>
  <c r="F179" i="8"/>
  <c r="E179" i="8"/>
  <c r="D179" i="8"/>
  <c r="C179" i="8"/>
  <c r="B179" i="8"/>
  <c r="A179" i="8"/>
  <c r="Z178" i="8"/>
  <c r="Y178" i="8"/>
  <c r="X178" i="8"/>
  <c r="W178" i="8"/>
  <c r="V178" i="8"/>
  <c r="U178" i="8"/>
  <c r="T178" i="8"/>
  <c r="S178" i="8"/>
  <c r="R178" i="8"/>
  <c r="P178" i="8"/>
  <c r="M178" i="8"/>
  <c r="L178" i="8"/>
  <c r="J178" i="8"/>
  <c r="I178" i="8"/>
  <c r="H178" i="8"/>
  <c r="G178" i="8"/>
  <c r="F178" i="8"/>
  <c r="E178" i="8"/>
  <c r="D178" i="8"/>
  <c r="C178" i="8"/>
  <c r="B178" i="8"/>
  <c r="A178" i="8"/>
  <c r="Z177" i="8"/>
  <c r="Y177" i="8"/>
  <c r="X177" i="8"/>
  <c r="W177" i="8"/>
  <c r="V177" i="8"/>
  <c r="U177" i="8"/>
  <c r="T177" i="8"/>
  <c r="S177" i="8"/>
  <c r="R177" i="8"/>
  <c r="P177" i="8"/>
  <c r="M177" i="8"/>
  <c r="L177" i="8"/>
  <c r="J177" i="8"/>
  <c r="I177" i="8"/>
  <c r="H177" i="8"/>
  <c r="G177" i="8"/>
  <c r="F177" i="8"/>
  <c r="E177" i="8"/>
  <c r="D177" i="8"/>
  <c r="C177" i="8"/>
  <c r="B177" i="8"/>
  <c r="A177" i="8"/>
  <c r="Z176" i="8"/>
  <c r="Y176" i="8"/>
  <c r="X176" i="8"/>
  <c r="W176" i="8"/>
  <c r="V176" i="8"/>
  <c r="U176" i="8"/>
  <c r="T176" i="8"/>
  <c r="S176" i="8"/>
  <c r="R176" i="8"/>
  <c r="P176" i="8"/>
  <c r="M176" i="8"/>
  <c r="L176" i="8"/>
  <c r="J176" i="8"/>
  <c r="I176" i="8"/>
  <c r="H176" i="8"/>
  <c r="G176" i="8"/>
  <c r="F176" i="8"/>
  <c r="E176" i="8"/>
  <c r="D176" i="8"/>
  <c r="C176" i="8"/>
  <c r="B176" i="8"/>
  <c r="A176" i="8"/>
  <c r="Z175" i="8"/>
  <c r="Y175" i="8"/>
  <c r="X175" i="8"/>
  <c r="W175" i="8"/>
  <c r="V175" i="8"/>
  <c r="U175" i="8"/>
  <c r="T175" i="8"/>
  <c r="S175" i="8"/>
  <c r="R175" i="8"/>
  <c r="P175" i="8"/>
  <c r="M175" i="8"/>
  <c r="L175" i="8"/>
  <c r="J175" i="8"/>
  <c r="I175" i="8"/>
  <c r="H175" i="8"/>
  <c r="G175" i="8"/>
  <c r="F175" i="8"/>
  <c r="E175" i="8"/>
  <c r="D175" i="8"/>
  <c r="C175" i="8"/>
  <c r="B175" i="8"/>
  <c r="A175" i="8"/>
  <c r="Z174" i="8"/>
  <c r="Y174" i="8"/>
  <c r="X174" i="8"/>
  <c r="W174" i="8"/>
  <c r="V174" i="8"/>
  <c r="U174" i="8"/>
  <c r="T174" i="8"/>
  <c r="S174" i="8"/>
  <c r="R174" i="8"/>
  <c r="P174" i="8"/>
  <c r="M174" i="8"/>
  <c r="L174" i="8"/>
  <c r="J174" i="8"/>
  <c r="I174" i="8"/>
  <c r="H174" i="8"/>
  <c r="G174" i="8"/>
  <c r="F174" i="8"/>
  <c r="E174" i="8"/>
  <c r="D174" i="8"/>
  <c r="C174" i="8"/>
  <c r="B174" i="8"/>
  <c r="A174" i="8"/>
  <c r="Z173" i="8"/>
  <c r="Y173" i="8"/>
  <c r="X173" i="8"/>
  <c r="W173" i="8"/>
  <c r="V173" i="8"/>
  <c r="U173" i="8"/>
  <c r="T173" i="8"/>
  <c r="S173" i="8"/>
  <c r="R173" i="8"/>
  <c r="P173" i="8"/>
  <c r="M173" i="8"/>
  <c r="L173" i="8"/>
  <c r="J173" i="8"/>
  <c r="I173" i="8"/>
  <c r="H173" i="8"/>
  <c r="G173" i="8"/>
  <c r="F173" i="8"/>
  <c r="E173" i="8"/>
  <c r="D173" i="8"/>
  <c r="C173" i="8"/>
  <c r="B173" i="8"/>
  <c r="A173" i="8"/>
  <c r="Z172" i="8"/>
  <c r="Y172" i="8"/>
  <c r="X172" i="8"/>
  <c r="W172" i="8"/>
  <c r="V172" i="8"/>
  <c r="U172" i="8"/>
  <c r="T172" i="8"/>
  <c r="S172" i="8"/>
  <c r="R172" i="8"/>
  <c r="P172" i="8"/>
  <c r="M172" i="8"/>
  <c r="L172" i="8"/>
  <c r="J172" i="8"/>
  <c r="I172" i="8"/>
  <c r="H172" i="8"/>
  <c r="G172" i="8"/>
  <c r="F172" i="8"/>
  <c r="E172" i="8"/>
  <c r="D172" i="8"/>
  <c r="C172" i="8"/>
  <c r="B172" i="8"/>
  <c r="A172" i="8"/>
  <c r="Z171" i="8"/>
  <c r="Y171" i="8"/>
  <c r="X171" i="8"/>
  <c r="W171" i="8"/>
  <c r="V171" i="8"/>
  <c r="U171" i="8"/>
  <c r="T171" i="8"/>
  <c r="S171" i="8"/>
  <c r="R171" i="8"/>
  <c r="P171" i="8"/>
  <c r="M171" i="8"/>
  <c r="L171" i="8"/>
  <c r="J171" i="8"/>
  <c r="I171" i="8"/>
  <c r="H171" i="8"/>
  <c r="G171" i="8"/>
  <c r="F171" i="8"/>
  <c r="E171" i="8"/>
  <c r="D171" i="8"/>
  <c r="C171" i="8"/>
  <c r="B171" i="8"/>
  <c r="A171" i="8"/>
  <c r="Z170" i="8"/>
  <c r="Y170" i="8"/>
  <c r="X170" i="8"/>
  <c r="W170" i="8"/>
  <c r="V170" i="8"/>
  <c r="U170" i="8"/>
  <c r="T170" i="8"/>
  <c r="S170" i="8"/>
  <c r="R170" i="8"/>
  <c r="P170" i="8"/>
  <c r="M170" i="8"/>
  <c r="L170" i="8"/>
  <c r="J170" i="8"/>
  <c r="I170" i="8"/>
  <c r="H170" i="8"/>
  <c r="G170" i="8"/>
  <c r="F170" i="8"/>
  <c r="E170" i="8"/>
  <c r="D170" i="8"/>
  <c r="C170" i="8"/>
  <c r="B170" i="8"/>
  <c r="A170" i="8"/>
  <c r="Z169" i="8"/>
  <c r="Y169" i="8"/>
  <c r="X169" i="8"/>
  <c r="W169" i="8"/>
  <c r="V169" i="8"/>
  <c r="U169" i="8"/>
  <c r="T169" i="8"/>
  <c r="S169" i="8"/>
  <c r="R169" i="8"/>
  <c r="P169" i="8"/>
  <c r="M169" i="8"/>
  <c r="L169" i="8"/>
  <c r="J169" i="8"/>
  <c r="I169" i="8"/>
  <c r="H169" i="8"/>
  <c r="G169" i="8"/>
  <c r="F169" i="8"/>
  <c r="E169" i="8"/>
  <c r="D169" i="8"/>
  <c r="C169" i="8"/>
  <c r="B169" i="8"/>
  <c r="A169" i="8"/>
  <c r="Z168" i="8"/>
  <c r="Y168" i="8"/>
  <c r="X168" i="8"/>
  <c r="W168" i="8"/>
  <c r="V168" i="8"/>
  <c r="U168" i="8"/>
  <c r="T168" i="8"/>
  <c r="S168" i="8"/>
  <c r="R168" i="8"/>
  <c r="P168" i="8"/>
  <c r="M168" i="8"/>
  <c r="L168" i="8"/>
  <c r="J168" i="8"/>
  <c r="I168" i="8"/>
  <c r="H168" i="8"/>
  <c r="G168" i="8"/>
  <c r="F168" i="8"/>
  <c r="E168" i="8"/>
  <c r="D168" i="8"/>
  <c r="C168" i="8"/>
  <c r="B168" i="8"/>
  <c r="A168" i="8"/>
  <c r="Z167" i="8"/>
  <c r="Y167" i="8"/>
  <c r="X167" i="8"/>
  <c r="W167" i="8"/>
  <c r="V167" i="8"/>
  <c r="U167" i="8"/>
  <c r="T167" i="8"/>
  <c r="S167" i="8"/>
  <c r="R167" i="8"/>
  <c r="P167" i="8"/>
  <c r="M167" i="8"/>
  <c r="L167" i="8"/>
  <c r="J167" i="8"/>
  <c r="I167" i="8"/>
  <c r="H167" i="8"/>
  <c r="G167" i="8"/>
  <c r="F167" i="8"/>
  <c r="E167" i="8"/>
  <c r="D167" i="8"/>
  <c r="C167" i="8"/>
  <c r="B167" i="8"/>
  <c r="A167" i="8"/>
  <c r="Z166" i="8"/>
  <c r="Y166" i="8"/>
  <c r="X166" i="8"/>
  <c r="W166" i="8"/>
  <c r="V166" i="8"/>
  <c r="U166" i="8"/>
  <c r="T166" i="8"/>
  <c r="S166" i="8"/>
  <c r="R166" i="8"/>
  <c r="P166" i="8"/>
  <c r="M166" i="8"/>
  <c r="L166" i="8"/>
  <c r="J166" i="8"/>
  <c r="I166" i="8"/>
  <c r="H166" i="8"/>
  <c r="G166" i="8"/>
  <c r="F166" i="8"/>
  <c r="E166" i="8"/>
  <c r="D166" i="8"/>
  <c r="C166" i="8"/>
  <c r="B166" i="8"/>
  <c r="A166" i="8"/>
  <c r="Z165" i="8"/>
  <c r="Y165" i="8"/>
  <c r="X165" i="8"/>
  <c r="W165" i="8"/>
  <c r="V165" i="8"/>
  <c r="U165" i="8"/>
  <c r="T165" i="8"/>
  <c r="S165" i="8"/>
  <c r="R165" i="8"/>
  <c r="P165" i="8"/>
  <c r="M165" i="8"/>
  <c r="L165" i="8"/>
  <c r="J165" i="8"/>
  <c r="I165" i="8"/>
  <c r="H165" i="8"/>
  <c r="G165" i="8"/>
  <c r="F165" i="8"/>
  <c r="E165" i="8"/>
  <c r="D165" i="8"/>
  <c r="C165" i="8"/>
  <c r="B165" i="8"/>
  <c r="A165" i="8"/>
  <c r="Z164" i="8"/>
  <c r="Y164" i="8"/>
  <c r="X164" i="8"/>
  <c r="W164" i="8"/>
  <c r="V164" i="8"/>
  <c r="U164" i="8"/>
  <c r="T164" i="8"/>
  <c r="S164" i="8"/>
  <c r="R164" i="8"/>
  <c r="P164" i="8"/>
  <c r="M164" i="8"/>
  <c r="L164" i="8"/>
  <c r="J164" i="8"/>
  <c r="I164" i="8"/>
  <c r="H164" i="8"/>
  <c r="G164" i="8"/>
  <c r="F164" i="8"/>
  <c r="E164" i="8"/>
  <c r="D164" i="8"/>
  <c r="C164" i="8"/>
  <c r="B164" i="8"/>
  <c r="A164" i="8"/>
  <c r="Z163" i="8"/>
  <c r="Y163" i="8"/>
  <c r="X163" i="8"/>
  <c r="W163" i="8"/>
  <c r="V163" i="8"/>
  <c r="U163" i="8"/>
  <c r="T163" i="8"/>
  <c r="S163" i="8"/>
  <c r="R163" i="8"/>
  <c r="P163" i="8"/>
  <c r="M163" i="8"/>
  <c r="L163" i="8"/>
  <c r="J163" i="8"/>
  <c r="I163" i="8"/>
  <c r="H163" i="8"/>
  <c r="G163" i="8"/>
  <c r="F163" i="8"/>
  <c r="E163" i="8"/>
  <c r="D163" i="8"/>
  <c r="C163" i="8"/>
  <c r="B163" i="8"/>
  <c r="A163" i="8"/>
  <c r="Z162" i="8"/>
  <c r="Y162" i="8"/>
  <c r="X162" i="8"/>
  <c r="W162" i="8"/>
  <c r="V162" i="8"/>
  <c r="U162" i="8"/>
  <c r="T162" i="8"/>
  <c r="S162" i="8"/>
  <c r="R162" i="8"/>
  <c r="P162" i="8"/>
  <c r="M162" i="8"/>
  <c r="L162" i="8"/>
  <c r="J162" i="8"/>
  <c r="I162" i="8"/>
  <c r="H162" i="8"/>
  <c r="G162" i="8"/>
  <c r="F162" i="8"/>
  <c r="E162" i="8"/>
  <c r="D162" i="8"/>
  <c r="C162" i="8"/>
  <c r="B162" i="8"/>
  <c r="A162" i="8"/>
  <c r="Z161" i="8"/>
  <c r="Y161" i="8"/>
  <c r="X161" i="8"/>
  <c r="W161" i="8"/>
  <c r="V161" i="8"/>
  <c r="U161" i="8"/>
  <c r="T161" i="8"/>
  <c r="S161" i="8"/>
  <c r="R161" i="8"/>
  <c r="P161" i="8"/>
  <c r="M161" i="8"/>
  <c r="L161" i="8"/>
  <c r="J161" i="8"/>
  <c r="I161" i="8"/>
  <c r="H161" i="8"/>
  <c r="G161" i="8"/>
  <c r="F161" i="8"/>
  <c r="E161" i="8"/>
  <c r="D161" i="8"/>
  <c r="C161" i="8"/>
  <c r="B161" i="8"/>
  <c r="A161" i="8"/>
  <c r="Z160" i="8"/>
  <c r="Y160" i="8"/>
  <c r="X160" i="8"/>
  <c r="W160" i="8"/>
  <c r="V160" i="8"/>
  <c r="U160" i="8"/>
  <c r="T160" i="8"/>
  <c r="S160" i="8"/>
  <c r="R160" i="8"/>
  <c r="P160" i="8"/>
  <c r="M160" i="8"/>
  <c r="L160" i="8"/>
  <c r="J160" i="8"/>
  <c r="I160" i="8"/>
  <c r="H160" i="8"/>
  <c r="G160" i="8"/>
  <c r="F160" i="8"/>
  <c r="E160" i="8"/>
  <c r="D160" i="8"/>
  <c r="C160" i="8"/>
  <c r="B160" i="8"/>
  <c r="A160" i="8"/>
  <c r="Z159" i="8"/>
  <c r="Y159" i="8"/>
  <c r="X159" i="8"/>
  <c r="W159" i="8"/>
  <c r="V159" i="8"/>
  <c r="U159" i="8"/>
  <c r="T159" i="8"/>
  <c r="S159" i="8"/>
  <c r="R159" i="8"/>
  <c r="P159" i="8"/>
  <c r="M159" i="8"/>
  <c r="L159" i="8"/>
  <c r="J159" i="8"/>
  <c r="I159" i="8"/>
  <c r="H159" i="8"/>
  <c r="G159" i="8"/>
  <c r="F159" i="8"/>
  <c r="E159" i="8"/>
  <c r="D159" i="8"/>
  <c r="C159" i="8"/>
  <c r="B159" i="8"/>
  <c r="A159" i="8"/>
  <c r="Z158" i="8"/>
  <c r="Y158" i="8"/>
  <c r="X158" i="8"/>
  <c r="W158" i="8"/>
  <c r="V158" i="8"/>
  <c r="U158" i="8"/>
  <c r="T158" i="8"/>
  <c r="S158" i="8"/>
  <c r="R158" i="8"/>
  <c r="P158" i="8"/>
  <c r="M158" i="8"/>
  <c r="L158" i="8"/>
  <c r="J158" i="8"/>
  <c r="I158" i="8"/>
  <c r="H158" i="8"/>
  <c r="G158" i="8"/>
  <c r="F158" i="8"/>
  <c r="E158" i="8"/>
  <c r="D158" i="8"/>
  <c r="C158" i="8"/>
  <c r="B158" i="8"/>
  <c r="A158" i="8"/>
  <c r="Z157" i="8"/>
  <c r="Y157" i="8"/>
  <c r="X157" i="8"/>
  <c r="W157" i="8"/>
  <c r="V157" i="8"/>
  <c r="U157" i="8"/>
  <c r="T157" i="8"/>
  <c r="S157" i="8"/>
  <c r="R157" i="8"/>
  <c r="P157" i="8"/>
  <c r="M157" i="8"/>
  <c r="L157" i="8"/>
  <c r="J157" i="8"/>
  <c r="I157" i="8"/>
  <c r="H157" i="8"/>
  <c r="G157" i="8"/>
  <c r="F157" i="8"/>
  <c r="E157" i="8"/>
  <c r="D157" i="8"/>
  <c r="C157" i="8"/>
  <c r="B157" i="8"/>
  <c r="A157" i="8"/>
  <c r="Z156" i="8"/>
  <c r="Y156" i="8"/>
  <c r="X156" i="8"/>
  <c r="W156" i="8"/>
  <c r="V156" i="8"/>
  <c r="U156" i="8"/>
  <c r="T156" i="8"/>
  <c r="S156" i="8"/>
  <c r="R156" i="8"/>
  <c r="P156" i="8"/>
  <c r="M156" i="8"/>
  <c r="L156" i="8"/>
  <c r="J156" i="8"/>
  <c r="I156" i="8"/>
  <c r="H156" i="8"/>
  <c r="G156" i="8"/>
  <c r="F156" i="8"/>
  <c r="E156" i="8"/>
  <c r="D156" i="8"/>
  <c r="C156" i="8"/>
  <c r="B156" i="8"/>
  <c r="A156" i="8"/>
  <c r="Z155" i="8"/>
  <c r="Y155" i="8"/>
  <c r="X155" i="8"/>
  <c r="W155" i="8"/>
  <c r="V155" i="8"/>
  <c r="U155" i="8"/>
  <c r="T155" i="8"/>
  <c r="S155" i="8"/>
  <c r="R155" i="8"/>
  <c r="P155" i="8"/>
  <c r="M155" i="8"/>
  <c r="L155" i="8"/>
  <c r="J155" i="8"/>
  <c r="I155" i="8"/>
  <c r="H155" i="8"/>
  <c r="G155" i="8"/>
  <c r="F155" i="8"/>
  <c r="E155" i="8"/>
  <c r="D155" i="8"/>
  <c r="C155" i="8"/>
  <c r="B155" i="8"/>
  <c r="A155" i="8"/>
  <c r="Z154" i="8"/>
  <c r="Y154" i="8"/>
  <c r="X154" i="8"/>
  <c r="W154" i="8"/>
  <c r="V154" i="8"/>
  <c r="U154" i="8"/>
  <c r="T154" i="8"/>
  <c r="S154" i="8"/>
  <c r="R154" i="8"/>
  <c r="P154" i="8"/>
  <c r="M154" i="8"/>
  <c r="L154" i="8"/>
  <c r="J154" i="8"/>
  <c r="I154" i="8"/>
  <c r="H154" i="8"/>
  <c r="G154" i="8"/>
  <c r="F154" i="8"/>
  <c r="E154" i="8"/>
  <c r="D154" i="8"/>
  <c r="C154" i="8"/>
  <c r="B154" i="8"/>
  <c r="A154" i="8"/>
  <c r="Z153" i="8"/>
  <c r="Y153" i="8"/>
  <c r="X153" i="8"/>
  <c r="W153" i="8"/>
  <c r="V153" i="8"/>
  <c r="U153" i="8"/>
  <c r="T153" i="8"/>
  <c r="S153" i="8"/>
  <c r="R153" i="8"/>
  <c r="P153" i="8"/>
  <c r="M153" i="8"/>
  <c r="L153" i="8"/>
  <c r="J153" i="8"/>
  <c r="I153" i="8"/>
  <c r="H153" i="8"/>
  <c r="G153" i="8"/>
  <c r="F153" i="8"/>
  <c r="E153" i="8"/>
  <c r="D153" i="8"/>
  <c r="C153" i="8"/>
  <c r="B153" i="8"/>
  <c r="A153" i="8"/>
  <c r="Z152" i="8"/>
  <c r="Y152" i="8"/>
  <c r="X152" i="8"/>
  <c r="W152" i="8"/>
  <c r="V152" i="8"/>
  <c r="U152" i="8"/>
  <c r="T152" i="8"/>
  <c r="S152" i="8"/>
  <c r="R152" i="8"/>
  <c r="P152" i="8"/>
  <c r="M152" i="8"/>
  <c r="L152" i="8"/>
  <c r="J152" i="8"/>
  <c r="I152" i="8"/>
  <c r="H152" i="8"/>
  <c r="G152" i="8"/>
  <c r="F152" i="8"/>
  <c r="E152" i="8"/>
  <c r="D152" i="8"/>
  <c r="C152" i="8"/>
  <c r="B152" i="8"/>
  <c r="A152" i="8"/>
  <c r="Z151" i="8"/>
  <c r="Y151" i="8"/>
  <c r="X151" i="8"/>
  <c r="W151" i="8"/>
  <c r="V151" i="8"/>
  <c r="U151" i="8"/>
  <c r="T151" i="8"/>
  <c r="S151" i="8"/>
  <c r="R151" i="8"/>
  <c r="P151" i="8"/>
  <c r="M151" i="8"/>
  <c r="L151" i="8"/>
  <c r="J151" i="8"/>
  <c r="I151" i="8"/>
  <c r="H151" i="8"/>
  <c r="G151" i="8"/>
  <c r="F151" i="8"/>
  <c r="E151" i="8"/>
  <c r="D151" i="8"/>
  <c r="C151" i="8"/>
  <c r="B151" i="8"/>
  <c r="A151" i="8"/>
  <c r="Z150" i="8"/>
  <c r="Y150" i="8"/>
  <c r="X150" i="8"/>
  <c r="W150" i="8"/>
  <c r="V150" i="8"/>
  <c r="U150" i="8"/>
  <c r="T150" i="8"/>
  <c r="S150" i="8"/>
  <c r="R150" i="8"/>
  <c r="P150" i="8"/>
  <c r="M150" i="8"/>
  <c r="L150" i="8"/>
  <c r="J150" i="8"/>
  <c r="I150" i="8"/>
  <c r="H150" i="8"/>
  <c r="G150" i="8"/>
  <c r="F150" i="8"/>
  <c r="E150" i="8"/>
  <c r="D150" i="8"/>
  <c r="C150" i="8"/>
  <c r="B150" i="8"/>
  <c r="A150" i="8"/>
  <c r="Z149" i="8"/>
  <c r="Y149" i="8"/>
  <c r="X149" i="8"/>
  <c r="W149" i="8"/>
  <c r="V149" i="8"/>
  <c r="U149" i="8"/>
  <c r="T149" i="8"/>
  <c r="S149" i="8"/>
  <c r="R149" i="8"/>
  <c r="P149" i="8"/>
  <c r="M149" i="8"/>
  <c r="L149" i="8"/>
  <c r="J149" i="8"/>
  <c r="I149" i="8"/>
  <c r="H149" i="8"/>
  <c r="G149" i="8"/>
  <c r="F149" i="8"/>
  <c r="E149" i="8"/>
  <c r="D149" i="8"/>
  <c r="C149" i="8"/>
  <c r="B149" i="8"/>
  <c r="A149" i="8"/>
  <c r="Z148" i="8"/>
  <c r="Y148" i="8"/>
  <c r="X148" i="8"/>
  <c r="W148" i="8"/>
  <c r="V148" i="8"/>
  <c r="U148" i="8"/>
  <c r="T148" i="8"/>
  <c r="S148" i="8"/>
  <c r="R148" i="8"/>
  <c r="P148" i="8"/>
  <c r="M148" i="8"/>
  <c r="L148" i="8"/>
  <c r="J148" i="8"/>
  <c r="I148" i="8"/>
  <c r="H148" i="8"/>
  <c r="G148" i="8"/>
  <c r="F148" i="8"/>
  <c r="E148" i="8"/>
  <c r="D148" i="8"/>
  <c r="C148" i="8"/>
  <c r="B148" i="8"/>
  <c r="A148" i="8"/>
  <c r="Z147" i="8"/>
  <c r="Y147" i="8"/>
  <c r="X147" i="8"/>
  <c r="W147" i="8"/>
  <c r="V147" i="8"/>
  <c r="U147" i="8"/>
  <c r="T147" i="8"/>
  <c r="S147" i="8"/>
  <c r="R147" i="8"/>
  <c r="P147" i="8"/>
  <c r="M147" i="8"/>
  <c r="L147" i="8"/>
  <c r="J147" i="8"/>
  <c r="I147" i="8"/>
  <c r="H147" i="8"/>
  <c r="G147" i="8"/>
  <c r="F147" i="8"/>
  <c r="E147" i="8"/>
  <c r="D147" i="8"/>
  <c r="C147" i="8"/>
  <c r="B147" i="8"/>
  <c r="A147" i="8"/>
  <c r="Z146" i="8"/>
  <c r="Y146" i="8"/>
  <c r="X146" i="8"/>
  <c r="W146" i="8"/>
  <c r="V146" i="8"/>
  <c r="U146" i="8"/>
  <c r="T146" i="8"/>
  <c r="S146" i="8"/>
  <c r="R146" i="8"/>
  <c r="P146" i="8"/>
  <c r="M146" i="8"/>
  <c r="L146" i="8"/>
  <c r="J146" i="8"/>
  <c r="I146" i="8"/>
  <c r="H146" i="8"/>
  <c r="G146" i="8"/>
  <c r="F146" i="8"/>
  <c r="E146" i="8"/>
  <c r="D146" i="8"/>
  <c r="C146" i="8"/>
  <c r="B146" i="8"/>
  <c r="A146" i="8"/>
  <c r="Z145" i="8"/>
  <c r="Y145" i="8"/>
  <c r="X145" i="8"/>
  <c r="W145" i="8"/>
  <c r="V145" i="8"/>
  <c r="U145" i="8"/>
  <c r="T145" i="8"/>
  <c r="S145" i="8"/>
  <c r="R145" i="8"/>
  <c r="P145" i="8"/>
  <c r="M145" i="8"/>
  <c r="L145" i="8"/>
  <c r="J145" i="8"/>
  <c r="I145" i="8"/>
  <c r="H145" i="8"/>
  <c r="G145" i="8"/>
  <c r="F145" i="8"/>
  <c r="E145" i="8"/>
  <c r="D145" i="8"/>
  <c r="C145" i="8"/>
  <c r="B145" i="8"/>
  <c r="A145" i="8"/>
  <c r="Z144" i="8"/>
  <c r="Y144" i="8"/>
  <c r="X144" i="8"/>
  <c r="W144" i="8"/>
  <c r="V144" i="8"/>
  <c r="U144" i="8"/>
  <c r="T144" i="8"/>
  <c r="S144" i="8"/>
  <c r="R144" i="8"/>
  <c r="P144" i="8"/>
  <c r="M144" i="8"/>
  <c r="L144" i="8"/>
  <c r="J144" i="8"/>
  <c r="I144" i="8"/>
  <c r="H144" i="8"/>
  <c r="G144" i="8"/>
  <c r="F144" i="8"/>
  <c r="E144" i="8"/>
  <c r="D144" i="8"/>
  <c r="C144" i="8"/>
  <c r="B144" i="8"/>
  <c r="A144" i="8"/>
  <c r="Z143" i="8"/>
  <c r="Y143" i="8"/>
  <c r="X143" i="8"/>
  <c r="W143" i="8"/>
  <c r="V143" i="8"/>
  <c r="U143" i="8"/>
  <c r="T143" i="8"/>
  <c r="S143" i="8"/>
  <c r="R143" i="8"/>
  <c r="P143" i="8"/>
  <c r="M143" i="8"/>
  <c r="L143" i="8"/>
  <c r="J143" i="8"/>
  <c r="I143" i="8"/>
  <c r="H143" i="8"/>
  <c r="G143" i="8"/>
  <c r="F143" i="8"/>
  <c r="E143" i="8"/>
  <c r="D143" i="8"/>
  <c r="C143" i="8"/>
  <c r="B143" i="8"/>
  <c r="A143" i="8"/>
  <c r="Z142" i="8"/>
  <c r="Y142" i="8"/>
  <c r="X142" i="8"/>
  <c r="W142" i="8"/>
  <c r="V142" i="8"/>
  <c r="U142" i="8"/>
  <c r="T142" i="8"/>
  <c r="S142" i="8"/>
  <c r="R142" i="8"/>
  <c r="P142" i="8"/>
  <c r="M142" i="8"/>
  <c r="L142" i="8"/>
  <c r="J142" i="8"/>
  <c r="I142" i="8"/>
  <c r="H142" i="8"/>
  <c r="G142" i="8"/>
  <c r="F142" i="8"/>
  <c r="E142" i="8"/>
  <c r="D142" i="8"/>
  <c r="C142" i="8"/>
  <c r="B142" i="8"/>
  <c r="A142" i="8"/>
  <c r="Z141" i="8"/>
  <c r="Y141" i="8"/>
  <c r="X141" i="8"/>
  <c r="W141" i="8"/>
  <c r="V141" i="8"/>
  <c r="U141" i="8"/>
  <c r="T141" i="8"/>
  <c r="S141" i="8"/>
  <c r="R141" i="8"/>
  <c r="P141" i="8"/>
  <c r="M141" i="8"/>
  <c r="L141" i="8"/>
  <c r="J141" i="8"/>
  <c r="I141" i="8"/>
  <c r="H141" i="8"/>
  <c r="G141" i="8"/>
  <c r="F141" i="8"/>
  <c r="E141" i="8"/>
  <c r="D141" i="8"/>
  <c r="C141" i="8"/>
  <c r="B141" i="8"/>
  <c r="A141" i="8"/>
  <c r="Z140" i="8"/>
  <c r="Y140" i="8"/>
  <c r="X140" i="8"/>
  <c r="W140" i="8"/>
  <c r="V140" i="8"/>
  <c r="U140" i="8"/>
  <c r="T140" i="8"/>
  <c r="S140" i="8"/>
  <c r="R140" i="8"/>
  <c r="P140" i="8"/>
  <c r="M140" i="8"/>
  <c r="L140" i="8"/>
  <c r="J140" i="8"/>
  <c r="I140" i="8"/>
  <c r="H140" i="8"/>
  <c r="G140" i="8"/>
  <c r="F140" i="8"/>
  <c r="E140" i="8"/>
  <c r="D140" i="8"/>
  <c r="C140" i="8"/>
  <c r="B140" i="8"/>
  <c r="A140" i="8"/>
  <c r="Z139" i="8"/>
  <c r="Y139" i="8"/>
  <c r="X139" i="8"/>
  <c r="W139" i="8"/>
  <c r="V139" i="8"/>
  <c r="U139" i="8"/>
  <c r="T139" i="8"/>
  <c r="S139" i="8"/>
  <c r="R139" i="8"/>
  <c r="P139" i="8"/>
  <c r="M139" i="8"/>
  <c r="L139" i="8"/>
  <c r="J139" i="8"/>
  <c r="I139" i="8"/>
  <c r="H139" i="8"/>
  <c r="G139" i="8"/>
  <c r="F139" i="8"/>
  <c r="E139" i="8"/>
  <c r="D139" i="8"/>
  <c r="C139" i="8"/>
  <c r="B139" i="8"/>
  <c r="A139" i="8"/>
  <c r="Z138" i="8"/>
  <c r="Y138" i="8"/>
  <c r="X138" i="8"/>
  <c r="W138" i="8"/>
  <c r="V138" i="8"/>
  <c r="U138" i="8"/>
  <c r="T138" i="8"/>
  <c r="S138" i="8"/>
  <c r="R138" i="8"/>
  <c r="P138" i="8"/>
  <c r="M138" i="8"/>
  <c r="L138" i="8"/>
  <c r="J138" i="8"/>
  <c r="I138" i="8"/>
  <c r="H138" i="8"/>
  <c r="G138" i="8"/>
  <c r="F138" i="8"/>
  <c r="E138" i="8"/>
  <c r="D138" i="8"/>
  <c r="C138" i="8"/>
  <c r="B138" i="8"/>
  <c r="A138" i="8"/>
  <c r="Z137" i="8"/>
  <c r="Y137" i="8"/>
  <c r="X137" i="8"/>
  <c r="W137" i="8"/>
  <c r="V137" i="8"/>
  <c r="U137" i="8"/>
  <c r="T137" i="8"/>
  <c r="S137" i="8"/>
  <c r="R137" i="8"/>
  <c r="P137" i="8"/>
  <c r="M137" i="8"/>
  <c r="L137" i="8"/>
  <c r="J137" i="8"/>
  <c r="I137" i="8"/>
  <c r="H137" i="8"/>
  <c r="G137" i="8"/>
  <c r="F137" i="8"/>
  <c r="E137" i="8"/>
  <c r="D137" i="8"/>
  <c r="C137" i="8"/>
  <c r="B137" i="8"/>
  <c r="A137" i="8"/>
  <c r="Z136" i="8"/>
  <c r="Y136" i="8"/>
  <c r="X136" i="8"/>
  <c r="W136" i="8"/>
  <c r="V136" i="8"/>
  <c r="U136" i="8"/>
  <c r="T136" i="8"/>
  <c r="S136" i="8"/>
  <c r="R136" i="8"/>
  <c r="P136" i="8"/>
  <c r="M136" i="8"/>
  <c r="L136" i="8"/>
  <c r="J136" i="8"/>
  <c r="I136" i="8"/>
  <c r="H136" i="8"/>
  <c r="G136" i="8"/>
  <c r="F136" i="8"/>
  <c r="E136" i="8"/>
  <c r="D136" i="8"/>
  <c r="C136" i="8"/>
  <c r="B136" i="8"/>
  <c r="A136" i="8"/>
  <c r="Z135" i="8"/>
  <c r="Y135" i="8"/>
  <c r="X135" i="8"/>
  <c r="W135" i="8"/>
  <c r="V135" i="8"/>
  <c r="U135" i="8"/>
  <c r="T135" i="8"/>
  <c r="S135" i="8"/>
  <c r="R135" i="8"/>
  <c r="P135" i="8"/>
  <c r="M135" i="8"/>
  <c r="L135" i="8"/>
  <c r="J135" i="8"/>
  <c r="I135" i="8"/>
  <c r="H135" i="8"/>
  <c r="G135" i="8"/>
  <c r="F135" i="8"/>
  <c r="E135" i="8"/>
  <c r="D135" i="8"/>
  <c r="C135" i="8"/>
  <c r="B135" i="8"/>
  <c r="A135" i="8"/>
  <c r="Z134" i="8"/>
  <c r="Y134" i="8"/>
  <c r="X134" i="8"/>
  <c r="W134" i="8"/>
  <c r="V134" i="8"/>
  <c r="U134" i="8"/>
  <c r="T134" i="8"/>
  <c r="S134" i="8"/>
  <c r="R134" i="8"/>
  <c r="P134" i="8"/>
  <c r="M134" i="8"/>
  <c r="L134" i="8"/>
  <c r="J134" i="8"/>
  <c r="I134" i="8"/>
  <c r="H134" i="8"/>
  <c r="G134" i="8"/>
  <c r="F134" i="8"/>
  <c r="E134" i="8"/>
  <c r="D134" i="8"/>
  <c r="C134" i="8"/>
  <c r="B134" i="8"/>
  <c r="A134" i="8"/>
  <c r="Z133" i="8"/>
  <c r="Y133" i="8"/>
  <c r="X133" i="8"/>
  <c r="W133" i="8"/>
  <c r="V133" i="8"/>
  <c r="U133" i="8"/>
  <c r="T133" i="8"/>
  <c r="S133" i="8"/>
  <c r="R133" i="8"/>
  <c r="P133" i="8"/>
  <c r="M133" i="8"/>
  <c r="L133" i="8"/>
  <c r="J133" i="8"/>
  <c r="I133" i="8"/>
  <c r="H133" i="8"/>
  <c r="G133" i="8"/>
  <c r="F133" i="8"/>
  <c r="E133" i="8"/>
  <c r="D133" i="8"/>
  <c r="C133" i="8"/>
  <c r="B133" i="8"/>
  <c r="A133" i="8"/>
  <c r="Z132" i="8"/>
  <c r="Y132" i="8"/>
  <c r="X132" i="8"/>
  <c r="W132" i="8"/>
  <c r="V132" i="8"/>
  <c r="U132" i="8"/>
  <c r="T132" i="8"/>
  <c r="S132" i="8"/>
  <c r="R132" i="8"/>
  <c r="P132" i="8"/>
  <c r="M132" i="8"/>
  <c r="L132" i="8"/>
  <c r="J132" i="8"/>
  <c r="I132" i="8"/>
  <c r="H132" i="8"/>
  <c r="G132" i="8"/>
  <c r="F132" i="8"/>
  <c r="E132" i="8"/>
  <c r="D132" i="8"/>
  <c r="C132" i="8"/>
  <c r="B132" i="8"/>
  <c r="A132" i="8"/>
  <c r="Z131" i="8"/>
  <c r="Y131" i="8"/>
  <c r="X131" i="8"/>
  <c r="W131" i="8"/>
  <c r="V131" i="8"/>
  <c r="U131" i="8"/>
  <c r="T131" i="8"/>
  <c r="S131" i="8"/>
  <c r="R131" i="8"/>
  <c r="P131" i="8"/>
  <c r="M131" i="8"/>
  <c r="L131" i="8"/>
  <c r="J131" i="8"/>
  <c r="I131" i="8"/>
  <c r="H131" i="8"/>
  <c r="G131" i="8"/>
  <c r="F131" i="8"/>
  <c r="E131" i="8"/>
  <c r="D131" i="8"/>
  <c r="C131" i="8"/>
  <c r="B131" i="8"/>
  <c r="A131" i="8"/>
  <c r="Z130" i="8"/>
  <c r="Y130" i="8"/>
  <c r="X130" i="8"/>
  <c r="W130" i="8"/>
  <c r="V130" i="8"/>
  <c r="U130" i="8"/>
  <c r="T130" i="8"/>
  <c r="S130" i="8"/>
  <c r="R130" i="8"/>
  <c r="P130" i="8"/>
  <c r="M130" i="8"/>
  <c r="L130" i="8"/>
  <c r="J130" i="8"/>
  <c r="I130" i="8"/>
  <c r="H130" i="8"/>
  <c r="G130" i="8"/>
  <c r="F130" i="8"/>
  <c r="E130" i="8"/>
  <c r="D130" i="8"/>
  <c r="C130" i="8"/>
  <c r="B130" i="8"/>
  <c r="A130" i="8"/>
  <c r="Z129" i="8"/>
  <c r="Y129" i="8"/>
  <c r="X129" i="8"/>
  <c r="W129" i="8"/>
  <c r="V129" i="8"/>
  <c r="U129" i="8"/>
  <c r="T129" i="8"/>
  <c r="S129" i="8"/>
  <c r="R129" i="8"/>
  <c r="P129" i="8"/>
  <c r="M129" i="8"/>
  <c r="L129" i="8"/>
  <c r="J129" i="8"/>
  <c r="I129" i="8"/>
  <c r="H129" i="8"/>
  <c r="G129" i="8"/>
  <c r="F129" i="8"/>
  <c r="E129" i="8"/>
  <c r="D129" i="8"/>
  <c r="C129" i="8"/>
  <c r="B129" i="8"/>
  <c r="A129" i="8"/>
  <c r="Z128" i="8"/>
  <c r="Y128" i="8"/>
  <c r="X128" i="8"/>
  <c r="W128" i="8"/>
  <c r="V128" i="8"/>
  <c r="U128" i="8"/>
  <c r="T128" i="8"/>
  <c r="S128" i="8"/>
  <c r="R128" i="8"/>
  <c r="P128" i="8"/>
  <c r="M128" i="8"/>
  <c r="L128" i="8"/>
  <c r="J128" i="8"/>
  <c r="I128" i="8"/>
  <c r="H128" i="8"/>
  <c r="G128" i="8"/>
  <c r="F128" i="8"/>
  <c r="E128" i="8"/>
  <c r="D128" i="8"/>
  <c r="C128" i="8"/>
  <c r="B128" i="8"/>
  <c r="A128" i="8"/>
  <c r="Z127" i="8"/>
  <c r="Y127" i="8"/>
  <c r="X127" i="8"/>
  <c r="W127" i="8"/>
  <c r="V127" i="8"/>
  <c r="U127" i="8"/>
  <c r="T127" i="8"/>
  <c r="S127" i="8"/>
  <c r="R127" i="8"/>
  <c r="P127" i="8"/>
  <c r="M127" i="8"/>
  <c r="L127" i="8"/>
  <c r="J127" i="8"/>
  <c r="I127" i="8"/>
  <c r="H127" i="8"/>
  <c r="G127" i="8"/>
  <c r="F127" i="8"/>
  <c r="E127" i="8"/>
  <c r="D127" i="8"/>
  <c r="C127" i="8"/>
  <c r="B127" i="8"/>
  <c r="A127" i="8"/>
  <c r="Z126" i="8"/>
  <c r="Y126" i="8"/>
  <c r="X126" i="8"/>
  <c r="W126" i="8"/>
  <c r="V126" i="8"/>
  <c r="U126" i="8"/>
  <c r="T126" i="8"/>
  <c r="S126" i="8"/>
  <c r="R126" i="8"/>
  <c r="P126" i="8"/>
  <c r="M126" i="8"/>
  <c r="L126" i="8"/>
  <c r="J126" i="8"/>
  <c r="I126" i="8"/>
  <c r="H126" i="8"/>
  <c r="G126" i="8"/>
  <c r="F126" i="8"/>
  <c r="E126" i="8"/>
  <c r="D126" i="8"/>
  <c r="C126" i="8"/>
  <c r="B126" i="8"/>
  <c r="A126" i="8"/>
  <c r="Z125" i="8"/>
  <c r="Y125" i="8"/>
  <c r="X125" i="8"/>
  <c r="W125" i="8"/>
  <c r="V125" i="8"/>
  <c r="U125" i="8"/>
  <c r="T125" i="8"/>
  <c r="S125" i="8"/>
  <c r="R125" i="8"/>
  <c r="P125" i="8"/>
  <c r="M125" i="8"/>
  <c r="L125" i="8"/>
  <c r="J125" i="8"/>
  <c r="I125" i="8"/>
  <c r="H125" i="8"/>
  <c r="G125" i="8"/>
  <c r="F125" i="8"/>
  <c r="E125" i="8"/>
  <c r="D125" i="8"/>
  <c r="C125" i="8"/>
  <c r="B125" i="8"/>
  <c r="A125" i="8"/>
  <c r="Z124" i="8"/>
  <c r="Y124" i="8"/>
  <c r="X124" i="8"/>
  <c r="W124" i="8"/>
  <c r="V124" i="8"/>
  <c r="U124" i="8"/>
  <c r="T124" i="8"/>
  <c r="S124" i="8"/>
  <c r="R124" i="8"/>
  <c r="P124" i="8"/>
  <c r="M124" i="8"/>
  <c r="L124" i="8"/>
  <c r="J124" i="8"/>
  <c r="I124" i="8"/>
  <c r="H124" i="8"/>
  <c r="G124" i="8"/>
  <c r="F124" i="8"/>
  <c r="E124" i="8"/>
  <c r="D124" i="8"/>
  <c r="C124" i="8"/>
  <c r="B124" i="8"/>
  <c r="A124" i="8"/>
  <c r="Z123" i="8"/>
  <c r="Y123" i="8"/>
  <c r="X123" i="8"/>
  <c r="W123" i="8"/>
  <c r="V123" i="8"/>
  <c r="U123" i="8"/>
  <c r="T123" i="8"/>
  <c r="S123" i="8"/>
  <c r="R123" i="8"/>
  <c r="P123" i="8"/>
  <c r="M123" i="8"/>
  <c r="L123" i="8"/>
  <c r="J123" i="8"/>
  <c r="I123" i="8"/>
  <c r="H123" i="8"/>
  <c r="G123" i="8"/>
  <c r="F123" i="8"/>
  <c r="E123" i="8"/>
  <c r="D123" i="8"/>
  <c r="C123" i="8"/>
  <c r="B123" i="8"/>
  <c r="A123" i="8"/>
  <c r="Z122" i="8"/>
  <c r="Y122" i="8"/>
  <c r="X122" i="8"/>
  <c r="W122" i="8"/>
  <c r="V122" i="8"/>
  <c r="U122" i="8"/>
  <c r="T122" i="8"/>
  <c r="S122" i="8"/>
  <c r="R122" i="8"/>
  <c r="P122" i="8"/>
  <c r="M122" i="8"/>
  <c r="L122" i="8"/>
  <c r="J122" i="8"/>
  <c r="I122" i="8"/>
  <c r="H122" i="8"/>
  <c r="G122" i="8"/>
  <c r="F122" i="8"/>
  <c r="E122" i="8"/>
  <c r="D122" i="8"/>
  <c r="C122" i="8"/>
  <c r="B122" i="8"/>
  <c r="A122" i="8"/>
  <c r="Z121" i="8"/>
  <c r="Y121" i="8"/>
  <c r="X121" i="8"/>
  <c r="W121" i="8"/>
  <c r="V121" i="8"/>
  <c r="U121" i="8"/>
  <c r="T121" i="8"/>
  <c r="S121" i="8"/>
  <c r="R121" i="8"/>
  <c r="P121" i="8"/>
  <c r="M121" i="8"/>
  <c r="L121" i="8"/>
  <c r="J121" i="8"/>
  <c r="I121" i="8"/>
  <c r="H121" i="8"/>
  <c r="G121" i="8"/>
  <c r="F121" i="8"/>
  <c r="E121" i="8"/>
  <c r="D121" i="8"/>
  <c r="C121" i="8"/>
  <c r="B121" i="8"/>
  <c r="A121" i="8"/>
  <c r="Z120" i="8"/>
  <c r="Y120" i="8"/>
  <c r="X120" i="8"/>
  <c r="W120" i="8"/>
  <c r="V120" i="8"/>
  <c r="U120" i="8"/>
  <c r="T120" i="8"/>
  <c r="S120" i="8"/>
  <c r="R120" i="8"/>
  <c r="P120" i="8"/>
  <c r="M120" i="8"/>
  <c r="L120" i="8"/>
  <c r="J120" i="8"/>
  <c r="I120" i="8"/>
  <c r="H120" i="8"/>
  <c r="G120" i="8"/>
  <c r="F120" i="8"/>
  <c r="E120" i="8"/>
  <c r="D120" i="8"/>
  <c r="C120" i="8"/>
  <c r="B120" i="8"/>
  <c r="A120" i="8"/>
  <c r="Z119" i="8"/>
  <c r="Y119" i="8"/>
  <c r="X119" i="8"/>
  <c r="W119" i="8"/>
  <c r="V119" i="8"/>
  <c r="U119" i="8"/>
  <c r="T119" i="8"/>
  <c r="S119" i="8"/>
  <c r="R119" i="8"/>
  <c r="P119" i="8"/>
  <c r="M119" i="8"/>
  <c r="L119" i="8"/>
  <c r="J119" i="8"/>
  <c r="I119" i="8"/>
  <c r="H119" i="8"/>
  <c r="G119" i="8"/>
  <c r="F119" i="8"/>
  <c r="E119" i="8"/>
  <c r="D119" i="8"/>
  <c r="C119" i="8"/>
  <c r="B119" i="8"/>
  <c r="A119" i="8"/>
  <c r="Z118" i="8"/>
  <c r="Y118" i="8"/>
  <c r="X118" i="8"/>
  <c r="W118" i="8"/>
  <c r="V118" i="8"/>
  <c r="U118" i="8"/>
  <c r="T118" i="8"/>
  <c r="S118" i="8"/>
  <c r="R118" i="8"/>
  <c r="P118" i="8"/>
  <c r="M118" i="8"/>
  <c r="L118" i="8"/>
  <c r="J118" i="8"/>
  <c r="I118" i="8"/>
  <c r="H118" i="8"/>
  <c r="G118" i="8"/>
  <c r="F118" i="8"/>
  <c r="E118" i="8"/>
  <c r="D118" i="8"/>
  <c r="C118" i="8"/>
  <c r="B118" i="8"/>
  <c r="A118" i="8"/>
  <c r="Z117" i="8"/>
  <c r="Y117" i="8"/>
  <c r="X117" i="8"/>
  <c r="W117" i="8"/>
  <c r="V117" i="8"/>
  <c r="U117" i="8"/>
  <c r="T117" i="8"/>
  <c r="S117" i="8"/>
  <c r="R117" i="8"/>
  <c r="P117" i="8"/>
  <c r="M117" i="8"/>
  <c r="L117" i="8"/>
  <c r="J117" i="8"/>
  <c r="I117" i="8"/>
  <c r="H117" i="8"/>
  <c r="G117" i="8"/>
  <c r="F117" i="8"/>
  <c r="E117" i="8"/>
  <c r="D117" i="8"/>
  <c r="C117" i="8"/>
  <c r="B117" i="8"/>
  <c r="A117" i="8"/>
  <c r="Z116" i="8"/>
  <c r="Y116" i="8"/>
  <c r="X116" i="8"/>
  <c r="W116" i="8"/>
  <c r="V116" i="8"/>
  <c r="U116" i="8"/>
  <c r="T116" i="8"/>
  <c r="S116" i="8"/>
  <c r="R116" i="8"/>
  <c r="P116" i="8"/>
  <c r="M116" i="8"/>
  <c r="L116" i="8"/>
  <c r="J116" i="8"/>
  <c r="I116" i="8"/>
  <c r="H116" i="8"/>
  <c r="G116" i="8"/>
  <c r="F116" i="8"/>
  <c r="E116" i="8"/>
  <c r="D116" i="8"/>
  <c r="C116" i="8"/>
  <c r="B116" i="8"/>
  <c r="A116" i="8"/>
  <c r="Z115" i="8"/>
  <c r="Y115" i="8"/>
  <c r="X115" i="8"/>
  <c r="W115" i="8"/>
  <c r="V115" i="8"/>
  <c r="U115" i="8"/>
  <c r="T115" i="8"/>
  <c r="S115" i="8"/>
  <c r="R115" i="8"/>
  <c r="P115" i="8"/>
  <c r="M115" i="8"/>
  <c r="L115" i="8"/>
  <c r="J115" i="8"/>
  <c r="I115" i="8"/>
  <c r="H115" i="8"/>
  <c r="G115" i="8"/>
  <c r="F115" i="8"/>
  <c r="E115" i="8"/>
  <c r="D115" i="8"/>
  <c r="C115" i="8"/>
  <c r="B115" i="8"/>
  <c r="A115" i="8"/>
  <c r="Z114" i="8"/>
  <c r="Y114" i="8"/>
  <c r="X114" i="8"/>
  <c r="W114" i="8"/>
  <c r="V114" i="8"/>
  <c r="U114" i="8"/>
  <c r="T114" i="8"/>
  <c r="S114" i="8"/>
  <c r="R114" i="8"/>
  <c r="P114" i="8"/>
  <c r="M114" i="8"/>
  <c r="L114" i="8"/>
  <c r="J114" i="8"/>
  <c r="I114" i="8"/>
  <c r="H114" i="8"/>
  <c r="G114" i="8"/>
  <c r="F114" i="8"/>
  <c r="E114" i="8"/>
  <c r="D114" i="8"/>
  <c r="C114" i="8"/>
  <c r="B114" i="8"/>
  <c r="A114" i="8"/>
  <c r="Z113" i="8"/>
  <c r="Y113" i="8"/>
  <c r="X113" i="8"/>
  <c r="W113" i="8"/>
  <c r="V113" i="8"/>
  <c r="U113" i="8"/>
  <c r="T113" i="8"/>
  <c r="S113" i="8"/>
  <c r="R113" i="8"/>
  <c r="P113" i="8"/>
  <c r="M113" i="8"/>
  <c r="L113" i="8"/>
  <c r="J113" i="8"/>
  <c r="I113" i="8"/>
  <c r="H113" i="8"/>
  <c r="G113" i="8"/>
  <c r="F113" i="8"/>
  <c r="E113" i="8"/>
  <c r="D113" i="8"/>
  <c r="C113" i="8"/>
  <c r="B113" i="8"/>
  <c r="A113" i="8"/>
  <c r="Z112" i="8"/>
  <c r="Y112" i="8"/>
  <c r="X112" i="8"/>
  <c r="W112" i="8"/>
  <c r="V112" i="8"/>
  <c r="U112" i="8"/>
  <c r="T112" i="8"/>
  <c r="S112" i="8"/>
  <c r="R112" i="8"/>
  <c r="P112" i="8"/>
  <c r="M112" i="8"/>
  <c r="L112" i="8"/>
  <c r="J112" i="8"/>
  <c r="I112" i="8"/>
  <c r="H112" i="8"/>
  <c r="G112" i="8"/>
  <c r="F112" i="8"/>
  <c r="E112" i="8"/>
  <c r="D112" i="8"/>
  <c r="C112" i="8"/>
  <c r="B112" i="8"/>
  <c r="A112" i="8"/>
  <c r="Z111" i="8"/>
  <c r="Y111" i="8"/>
  <c r="X111" i="8"/>
  <c r="W111" i="8"/>
  <c r="V111" i="8"/>
  <c r="U111" i="8"/>
  <c r="T111" i="8"/>
  <c r="S111" i="8"/>
  <c r="R111" i="8"/>
  <c r="P111" i="8"/>
  <c r="M111" i="8"/>
  <c r="L111" i="8"/>
  <c r="J111" i="8"/>
  <c r="I111" i="8"/>
  <c r="H111" i="8"/>
  <c r="G111" i="8"/>
  <c r="F111" i="8"/>
  <c r="E111" i="8"/>
  <c r="D111" i="8"/>
  <c r="C111" i="8"/>
  <c r="B111" i="8"/>
  <c r="A111" i="8"/>
  <c r="Z110" i="8"/>
  <c r="Y110" i="8"/>
  <c r="X110" i="8"/>
  <c r="W110" i="8"/>
  <c r="V110" i="8"/>
  <c r="U110" i="8"/>
  <c r="T110" i="8"/>
  <c r="S110" i="8"/>
  <c r="R110" i="8"/>
  <c r="P110" i="8"/>
  <c r="M110" i="8"/>
  <c r="L110" i="8"/>
  <c r="J110" i="8"/>
  <c r="I110" i="8"/>
  <c r="H110" i="8"/>
  <c r="G110" i="8"/>
  <c r="F110" i="8"/>
  <c r="E110" i="8"/>
  <c r="D110" i="8"/>
  <c r="C110" i="8"/>
  <c r="B110" i="8"/>
  <c r="A110" i="8"/>
  <c r="Z109" i="8"/>
  <c r="Y109" i="8"/>
  <c r="X109" i="8"/>
  <c r="W109" i="8"/>
  <c r="V109" i="8"/>
  <c r="U109" i="8"/>
  <c r="T109" i="8"/>
  <c r="S109" i="8"/>
  <c r="R109" i="8"/>
  <c r="P109" i="8"/>
  <c r="M109" i="8"/>
  <c r="L109" i="8"/>
  <c r="J109" i="8"/>
  <c r="I109" i="8"/>
  <c r="H109" i="8"/>
  <c r="G109" i="8"/>
  <c r="F109" i="8"/>
  <c r="E109" i="8"/>
  <c r="D109" i="8"/>
  <c r="C109" i="8"/>
  <c r="B109" i="8"/>
  <c r="A109" i="8"/>
  <c r="Z108" i="8"/>
  <c r="Y108" i="8"/>
  <c r="X108" i="8"/>
  <c r="W108" i="8"/>
  <c r="V108" i="8"/>
  <c r="U108" i="8"/>
  <c r="T108" i="8"/>
  <c r="S108" i="8"/>
  <c r="R108" i="8"/>
  <c r="P108" i="8"/>
  <c r="M108" i="8"/>
  <c r="L108" i="8"/>
  <c r="J108" i="8"/>
  <c r="I108" i="8"/>
  <c r="H108" i="8"/>
  <c r="G108" i="8"/>
  <c r="F108" i="8"/>
  <c r="E108" i="8"/>
  <c r="D108" i="8"/>
  <c r="C108" i="8"/>
  <c r="B108" i="8"/>
  <c r="A108" i="8"/>
  <c r="Z107" i="8"/>
  <c r="Y107" i="8"/>
  <c r="X107" i="8"/>
  <c r="W107" i="8"/>
  <c r="V107" i="8"/>
  <c r="U107" i="8"/>
  <c r="T107" i="8"/>
  <c r="S107" i="8"/>
  <c r="R107" i="8"/>
  <c r="P107" i="8"/>
  <c r="M107" i="8"/>
  <c r="L107" i="8"/>
  <c r="J107" i="8"/>
  <c r="I107" i="8"/>
  <c r="H107" i="8"/>
  <c r="G107" i="8"/>
  <c r="F107" i="8"/>
  <c r="E107" i="8"/>
  <c r="D107" i="8"/>
  <c r="C107" i="8"/>
  <c r="B107" i="8"/>
  <c r="A107" i="8"/>
  <c r="Z106" i="8"/>
  <c r="Y106" i="8"/>
  <c r="X106" i="8"/>
  <c r="W106" i="8"/>
  <c r="V106" i="8"/>
  <c r="U106" i="8"/>
  <c r="T106" i="8"/>
  <c r="S106" i="8"/>
  <c r="R106" i="8"/>
  <c r="P106" i="8"/>
  <c r="M106" i="8"/>
  <c r="L106" i="8"/>
  <c r="J106" i="8"/>
  <c r="I106" i="8"/>
  <c r="H106" i="8"/>
  <c r="G106" i="8"/>
  <c r="F106" i="8"/>
  <c r="E106" i="8"/>
  <c r="D106" i="8"/>
  <c r="C106" i="8"/>
  <c r="B106" i="8"/>
  <c r="A106" i="8"/>
  <c r="Z105" i="8"/>
  <c r="Y105" i="8"/>
  <c r="X105" i="8"/>
  <c r="W105" i="8"/>
  <c r="V105" i="8"/>
  <c r="U105" i="8"/>
  <c r="T105" i="8"/>
  <c r="S105" i="8"/>
  <c r="R105" i="8"/>
  <c r="P105" i="8"/>
  <c r="M105" i="8"/>
  <c r="L105" i="8"/>
  <c r="J105" i="8"/>
  <c r="I105" i="8"/>
  <c r="H105" i="8"/>
  <c r="G105" i="8"/>
  <c r="F105" i="8"/>
  <c r="E105" i="8"/>
  <c r="D105" i="8"/>
  <c r="C105" i="8"/>
  <c r="B105" i="8"/>
  <c r="A105" i="8"/>
  <c r="Z104" i="8"/>
  <c r="Y104" i="8"/>
  <c r="X104" i="8"/>
  <c r="W104" i="8"/>
  <c r="V104" i="8"/>
  <c r="U104" i="8"/>
  <c r="T104" i="8"/>
  <c r="S104" i="8"/>
  <c r="R104" i="8"/>
  <c r="P104" i="8"/>
  <c r="M104" i="8"/>
  <c r="L104" i="8"/>
  <c r="J104" i="8"/>
  <c r="I104" i="8"/>
  <c r="H104" i="8"/>
  <c r="G104" i="8"/>
  <c r="F104" i="8"/>
  <c r="E104" i="8"/>
  <c r="D104" i="8"/>
  <c r="C104" i="8"/>
  <c r="B104" i="8"/>
  <c r="A104" i="8"/>
  <c r="Z103" i="8"/>
  <c r="Y103" i="8"/>
  <c r="X103" i="8"/>
  <c r="W103" i="8"/>
  <c r="V103" i="8"/>
  <c r="U103" i="8"/>
  <c r="T103" i="8"/>
  <c r="S103" i="8"/>
  <c r="R103" i="8"/>
  <c r="P103" i="8"/>
  <c r="M103" i="8"/>
  <c r="L103" i="8"/>
  <c r="J103" i="8"/>
  <c r="I103" i="8"/>
  <c r="H103" i="8"/>
  <c r="G103" i="8"/>
  <c r="F103" i="8"/>
  <c r="E103" i="8"/>
  <c r="D103" i="8"/>
  <c r="C103" i="8"/>
  <c r="B103" i="8"/>
  <c r="A103" i="8"/>
  <c r="Z102" i="8"/>
  <c r="Y102" i="8"/>
  <c r="X102" i="8"/>
  <c r="W102" i="8"/>
  <c r="V102" i="8"/>
  <c r="U102" i="8"/>
  <c r="T102" i="8"/>
  <c r="S102" i="8"/>
  <c r="R102" i="8"/>
  <c r="P102" i="8"/>
  <c r="M102" i="8"/>
  <c r="L102" i="8"/>
  <c r="J102" i="8"/>
  <c r="I102" i="8"/>
  <c r="H102" i="8"/>
  <c r="G102" i="8"/>
  <c r="F102" i="8"/>
  <c r="E102" i="8"/>
  <c r="D102" i="8"/>
  <c r="C102" i="8"/>
  <c r="B102" i="8"/>
  <c r="A102" i="8"/>
  <c r="Z101" i="8"/>
  <c r="Y101" i="8"/>
  <c r="X101" i="8"/>
  <c r="W101" i="8"/>
  <c r="V101" i="8"/>
  <c r="U101" i="8"/>
  <c r="T101" i="8"/>
  <c r="S101" i="8"/>
  <c r="R101" i="8"/>
  <c r="P101" i="8"/>
  <c r="M101" i="8"/>
  <c r="L101" i="8"/>
  <c r="J101" i="8"/>
  <c r="I101" i="8"/>
  <c r="H101" i="8"/>
  <c r="G101" i="8"/>
  <c r="F101" i="8"/>
  <c r="E101" i="8"/>
  <c r="D101" i="8"/>
  <c r="C101" i="8"/>
  <c r="B101" i="8"/>
  <c r="A101" i="8"/>
  <c r="Z100" i="8"/>
  <c r="Y100" i="8"/>
  <c r="X100" i="8"/>
  <c r="W100" i="8"/>
  <c r="V100" i="8"/>
  <c r="U100" i="8"/>
  <c r="T100" i="8"/>
  <c r="S100" i="8"/>
  <c r="R100" i="8"/>
  <c r="P100" i="8"/>
  <c r="M100" i="8"/>
  <c r="L100" i="8"/>
  <c r="J100" i="8"/>
  <c r="I100" i="8"/>
  <c r="H100" i="8"/>
  <c r="G100" i="8"/>
  <c r="F100" i="8"/>
  <c r="E100" i="8"/>
  <c r="D100" i="8"/>
  <c r="C100" i="8"/>
  <c r="B100" i="8"/>
  <c r="A100" i="8"/>
  <c r="Z99" i="8"/>
  <c r="Y99" i="8"/>
  <c r="X99" i="8"/>
  <c r="W99" i="8"/>
  <c r="V99" i="8"/>
  <c r="U99" i="8"/>
  <c r="T99" i="8"/>
  <c r="S99" i="8"/>
  <c r="R99" i="8"/>
  <c r="P99" i="8"/>
  <c r="M99" i="8"/>
  <c r="L99" i="8"/>
  <c r="J99" i="8"/>
  <c r="I99" i="8"/>
  <c r="H99" i="8"/>
  <c r="G99" i="8"/>
  <c r="F99" i="8"/>
  <c r="E99" i="8"/>
  <c r="D99" i="8"/>
  <c r="C99" i="8"/>
  <c r="B99" i="8"/>
  <c r="A99" i="8"/>
  <c r="Z98" i="8"/>
  <c r="Y98" i="8"/>
  <c r="X98" i="8"/>
  <c r="W98" i="8"/>
  <c r="V98" i="8"/>
  <c r="U98" i="8"/>
  <c r="T98" i="8"/>
  <c r="S98" i="8"/>
  <c r="R98" i="8"/>
  <c r="P98" i="8"/>
  <c r="M98" i="8"/>
  <c r="L98" i="8"/>
  <c r="J98" i="8"/>
  <c r="I98" i="8"/>
  <c r="H98" i="8"/>
  <c r="G98" i="8"/>
  <c r="F98" i="8"/>
  <c r="E98" i="8"/>
  <c r="D98" i="8"/>
  <c r="C98" i="8"/>
  <c r="B98" i="8"/>
  <c r="A98" i="8"/>
  <c r="Z97" i="8"/>
  <c r="Y97" i="8"/>
  <c r="X97" i="8"/>
  <c r="W97" i="8"/>
  <c r="V97" i="8"/>
  <c r="U97" i="8"/>
  <c r="T97" i="8"/>
  <c r="S97" i="8"/>
  <c r="R97" i="8"/>
  <c r="P97" i="8"/>
  <c r="M97" i="8"/>
  <c r="L97" i="8"/>
  <c r="J97" i="8"/>
  <c r="I97" i="8"/>
  <c r="H97" i="8"/>
  <c r="G97" i="8"/>
  <c r="F97" i="8"/>
  <c r="E97" i="8"/>
  <c r="D97" i="8"/>
  <c r="C97" i="8"/>
  <c r="B97" i="8"/>
  <c r="A97" i="8"/>
  <c r="Z96" i="8"/>
  <c r="Y96" i="8"/>
  <c r="X96" i="8"/>
  <c r="W96" i="8"/>
  <c r="V96" i="8"/>
  <c r="U96" i="8"/>
  <c r="T96" i="8"/>
  <c r="S96" i="8"/>
  <c r="R96" i="8"/>
  <c r="P96" i="8"/>
  <c r="M96" i="8"/>
  <c r="L96" i="8"/>
  <c r="J96" i="8"/>
  <c r="I96" i="8"/>
  <c r="H96" i="8"/>
  <c r="G96" i="8"/>
  <c r="F96" i="8"/>
  <c r="E96" i="8"/>
  <c r="D96" i="8"/>
  <c r="C96" i="8"/>
  <c r="B96" i="8"/>
  <c r="A96" i="8"/>
  <c r="Z95" i="8"/>
  <c r="Y95" i="8"/>
  <c r="X95" i="8"/>
  <c r="W95" i="8"/>
  <c r="V95" i="8"/>
  <c r="U95" i="8"/>
  <c r="T95" i="8"/>
  <c r="S95" i="8"/>
  <c r="R95" i="8"/>
  <c r="P95" i="8"/>
  <c r="M95" i="8"/>
  <c r="L95" i="8"/>
  <c r="J95" i="8"/>
  <c r="I95" i="8"/>
  <c r="H95" i="8"/>
  <c r="G95" i="8"/>
  <c r="F95" i="8"/>
  <c r="E95" i="8"/>
  <c r="D95" i="8"/>
  <c r="C95" i="8"/>
  <c r="B95" i="8"/>
  <c r="A95" i="8"/>
  <c r="Z94" i="8"/>
  <c r="Y94" i="8"/>
  <c r="X94" i="8"/>
  <c r="W94" i="8"/>
  <c r="V94" i="8"/>
  <c r="U94" i="8"/>
  <c r="T94" i="8"/>
  <c r="S94" i="8"/>
  <c r="R94" i="8"/>
  <c r="P94" i="8"/>
  <c r="M94" i="8"/>
  <c r="L94" i="8"/>
  <c r="J94" i="8"/>
  <c r="I94" i="8"/>
  <c r="H94" i="8"/>
  <c r="G94" i="8"/>
  <c r="F94" i="8"/>
  <c r="E94" i="8"/>
  <c r="D94" i="8"/>
  <c r="C94" i="8"/>
  <c r="B94" i="8"/>
  <c r="A94" i="8"/>
  <c r="Z93" i="8"/>
  <c r="Y93" i="8"/>
  <c r="X93" i="8"/>
  <c r="W93" i="8"/>
  <c r="V93" i="8"/>
  <c r="U93" i="8"/>
  <c r="T93" i="8"/>
  <c r="S93" i="8"/>
  <c r="R93" i="8"/>
  <c r="P93" i="8"/>
  <c r="M93" i="8"/>
  <c r="L93" i="8"/>
  <c r="J93" i="8"/>
  <c r="I93" i="8"/>
  <c r="H93" i="8"/>
  <c r="G93" i="8"/>
  <c r="F93" i="8"/>
  <c r="E93" i="8"/>
  <c r="D93" i="8"/>
  <c r="C93" i="8"/>
  <c r="B93" i="8"/>
  <c r="A93" i="8"/>
  <c r="Z92" i="8"/>
  <c r="Y92" i="8"/>
  <c r="X92" i="8"/>
  <c r="W92" i="8"/>
  <c r="V92" i="8"/>
  <c r="U92" i="8"/>
  <c r="T92" i="8"/>
  <c r="S92" i="8"/>
  <c r="R92" i="8"/>
  <c r="P92" i="8"/>
  <c r="M92" i="8"/>
  <c r="L92" i="8"/>
  <c r="J92" i="8"/>
  <c r="I92" i="8"/>
  <c r="H92" i="8"/>
  <c r="G92" i="8"/>
  <c r="F92" i="8"/>
  <c r="E92" i="8"/>
  <c r="D92" i="8"/>
  <c r="C92" i="8"/>
  <c r="B92" i="8"/>
  <c r="A92" i="8"/>
  <c r="Z91" i="8"/>
  <c r="Y91" i="8"/>
  <c r="X91" i="8"/>
  <c r="W91" i="8"/>
  <c r="V91" i="8"/>
  <c r="U91" i="8"/>
  <c r="T91" i="8"/>
  <c r="S91" i="8"/>
  <c r="R91" i="8"/>
  <c r="P91" i="8"/>
  <c r="M91" i="8"/>
  <c r="L91" i="8"/>
  <c r="J91" i="8"/>
  <c r="I91" i="8"/>
  <c r="H91" i="8"/>
  <c r="G91" i="8"/>
  <c r="F91" i="8"/>
  <c r="E91" i="8"/>
  <c r="D91" i="8"/>
  <c r="C91" i="8"/>
  <c r="B91" i="8"/>
  <c r="A91" i="8"/>
  <c r="Z90" i="8"/>
  <c r="Y90" i="8"/>
  <c r="X90" i="8"/>
  <c r="W90" i="8"/>
  <c r="V90" i="8"/>
  <c r="U90" i="8"/>
  <c r="T90" i="8"/>
  <c r="S90" i="8"/>
  <c r="R90" i="8"/>
  <c r="P90" i="8"/>
  <c r="M90" i="8"/>
  <c r="L90" i="8"/>
  <c r="J90" i="8"/>
  <c r="I90" i="8"/>
  <c r="H90" i="8"/>
  <c r="G90" i="8"/>
  <c r="F90" i="8"/>
  <c r="E90" i="8"/>
  <c r="D90" i="8"/>
  <c r="C90" i="8"/>
  <c r="B90" i="8"/>
  <c r="A90" i="8"/>
  <c r="Z89" i="8"/>
  <c r="Y89" i="8"/>
  <c r="X89" i="8"/>
  <c r="W89" i="8"/>
  <c r="V89" i="8"/>
  <c r="U89" i="8"/>
  <c r="T89" i="8"/>
  <c r="S89" i="8"/>
  <c r="R89" i="8"/>
  <c r="P89" i="8"/>
  <c r="M89" i="8"/>
  <c r="L89" i="8"/>
  <c r="J89" i="8"/>
  <c r="I89" i="8"/>
  <c r="H89" i="8"/>
  <c r="G89" i="8"/>
  <c r="F89" i="8"/>
  <c r="E89" i="8"/>
  <c r="D89" i="8"/>
  <c r="C89" i="8"/>
  <c r="B89" i="8"/>
  <c r="A89" i="8"/>
  <c r="Z88" i="8"/>
  <c r="Y88" i="8"/>
  <c r="X88" i="8"/>
  <c r="W88" i="8"/>
  <c r="V88" i="8"/>
  <c r="U88" i="8"/>
  <c r="T88" i="8"/>
  <c r="S88" i="8"/>
  <c r="R88" i="8"/>
  <c r="P88" i="8"/>
  <c r="M88" i="8"/>
  <c r="L88" i="8"/>
  <c r="J88" i="8"/>
  <c r="I88" i="8"/>
  <c r="H88" i="8"/>
  <c r="G88" i="8"/>
  <c r="F88" i="8"/>
  <c r="E88" i="8"/>
  <c r="D88" i="8"/>
  <c r="C88" i="8"/>
  <c r="B88" i="8"/>
  <c r="A88" i="8"/>
  <c r="Z87" i="8"/>
  <c r="Y87" i="8"/>
  <c r="X87" i="8"/>
  <c r="W87" i="8"/>
  <c r="V87" i="8"/>
  <c r="U87" i="8"/>
  <c r="T87" i="8"/>
  <c r="S87" i="8"/>
  <c r="R87" i="8"/>
  <c r="P87" i="8"/>
  <c r="M87" i="8"/>
  <c r="L87" i="8"/>
  <c r="J87" i="8"/>
  <c r="I87" i="8"/>
  <c r="H87" i="8"/>
  <c r="G87" i="8"/>
  <c r="F87" i="8"/>
  <c r="E87" i="8"/>
  <c r="D87" i="8"/>
  <c r="C87" i="8"/>
  <c r="B87" i="8"/>
  <c r="A87" i="8"/>
  <c r="Z86" i="8"/>
  <c r="Y86" i="8"/>
  <c r="X86" i="8"/>
  <c r="W86" i="8"/>
  <c r="V86" i="8"/>
  <c r="U86" i="8"/>
  <c r="T86" i="8"/>
  <c r="S86" i="8"/>
  <c r="R86" i="8"/>
  <c r="P86" i="8"/>
  <c r="M86" i="8"/>
  <c r="L86" i="8"/>
  <c r="J86" i="8"/>
  <c r="I86" i="8"/>
  <c r="H86" i="8"/>
  <c r="G86" i="8"/>
  <c r="F86" i="8"/>
  <c r="E86" i="8"/>
  <c r="D86" i="8"/>
  <c r="C86" i="8"/>
  <c r="B86" i="8"/>
  <c r="A86" i="8"/>
  <c r="Z85" i="8"/>
  <c r="Y85" i="8"/>
  <c r="X85" i="8"/>
  <c r="W85" i="8"/>
  <c r="V85" i="8"/>
  <c r="U85" i="8"/>
  <c r="T85" i="8"/>
  <c r="S85" i="8"/>
  <c r="R85" i="8"/>
  <c r="P85" i="8"/>
  <c r="M85" i="8"/>
  <c r="L85" i="8"/>
  <c r="J85" i="8"/>
  <c r="I85" i="8"/>
  <c r="H85" i="8"/>
  <c r="G85" i="8"/>
  <c r="F85" i="8"/>
  <c r="E85" i="8"/>
  <c r="D85" i="8"/>
  <c r="C85" i="8"/>
  <c r="B85" i="8"/>
  <c r="A85" i="8"/>
  <c r="Z84" i="8"/>
  <c r="Y84" i="8"/>
  <c r="X84" i="8"/>
  <c r="W84" i="8"/>
  <c r="V84" i="8"/>
  <c r="U84" i="8"/>
  <c r="T84" i="8"/>
  <c r="S84" i="8"/>
  <c r="R84" i="8"/>
  <c r="P84" i="8"/>
  <c r="M84" i="8"/>
  <c r="L84" i="8"/>
  <c r="J84" i="8"/>
  <c r="I84" i="8"/>
  <c r="H84" i="8"/>
  <c r="G84" i="8"/>
  <c r="F84" i="8"/>
  <c r="E84" i="8"/>
  <c r="D84" i="8"/>
  <c r="C84" i="8"/>
  <c r="B84" i="8"/>
  <c r="A84" i="8"/>
  <c r="Z83" i="8"/>
  <c r="Y83" i="8"/>
  <c r="X83" i="8"/>
  <c r="W83" i="8"/>
  <c r="V83" i="8"/>
  <c r="U83" i="8"/>
  <c r="T83" i="8"/>
  <c r="S83" i="8"/>
  <c r="R83" i="8"/>
  <c r="P83" i="8"/>
  <c r="M83" i="8"/>
  <c r="L83" i="8"/>
  <c r="J83" i="8"/>
  <c r="I83" i="8"/>
  <c r="H83" i="8"/>
  <c r="G83" i="8"/>
  <c r="F83" i="8"/>
  <c r="E83" i="8"/>
  <c r="D83" i="8"/>
  <c r="C83" i="8"/>
  <c r="B83" i="8"/>
  <c r="A83" i="8"/>
  <c r="Z82" i="8"/>
  <c r="Y82" i="8"/>
  <c r="X82" i="8"/>
  <c r="W82" i="8"/>
  <c r="V82" i="8"/>
  <c r="U82" i="8"/>
  <c r="T82" i="8"/>
  <c r="S82" i="8"/>
  <c r="R82" i="8"/>
  <c r="P82" i="8"/>
  <c r="M82" i="8"/>
  <c r="L82" i="8"/>
  <c r="J82" i="8"/>
  <c r="I82" i="8"/>
  <c r="H82" i="8"/>
  <c r="G82" i="8"/>
  <c r="F82" i="8"/>
  <c r="E82" i="8"/>
  <c r="D82" i="8"/>
  <c r="C82" i="8"/>
  <c r="B82" i="8"/>
  <c r="A82" i="8"/>
  <c r="Z81" i="8"/>
  <c r="Y81" i="8"/>
  <c r="X81" i="8"/>
  <c r="W81" i="8"/>
  <c r="V81" i="8"/>
  <c r="U81" i="8"/>
  <c r="T81" i="8"/>
  <c r="S81" i="8"/>
  <c r="R81" i="8"/>
  <c r="P81" i="8"/>
  <c r="M81" i="8"/>
  <c r="L81" i="8"/>
  <c r="J81" i="8"/>
  <c r="I81" i="8"/>
  <c r="H81" i="8"/>
  <c r="G81" i="8"/>
  <c r="F81" i="8"/>
  <c r="E81" i="8"/>
  <c r="D81" i="8"/>
  <c r="C81" i="8"/>
  <c r="B81" i="8"/>
  <c r="A81" i="8"/>
  <c r="Z80" i="8"/>
  <c r="Y80" i="8"/>
  <c r="X80" i="8"/>
  <c r="W80" i="8"/>
  <c r="V80" i="8"/>
  <c r="U80" i="8"/>
  <c r="T80" i="8"/>
  <c r="S80" i="8"/>
  <c r="R80" i="8"/>
  <c r="P80" i="8"/>
  <c r="M80" i="8"/>
  <c r="L80" i="8"/>
  <c r="J80" i="8"/>
  <c r="I80" i="8"/>
  <c r="H80" i="8"/>
  <c r="G80" i="8"/>
  <c r="F80" i="8"/>
  <c r="E80" i="8"/>
  <c r="D80" i="8"/>
  <c r="C80" i="8"/>
  <c r="B80" i="8"/>
  <c r="A80" i="8"/>
  <c r="Z79" i="8"/>
  <c r="Y79" i="8"/>
  <c r="X79" i="8"/>
  <c r="W79" i="8"/>
  <c r="V79" i="8"/>
  <c r="U79" i="8"/>
  <c r="T79" i="8"/>
  <c r="S79" i="8"/>
  <c r="R79" i="8"/>
  <c r="P79" i="8"/>
  <c r="M79" i="8"/>
  <c r="L79" i="8"/>
  <c r="J79" i="8"/>
  <c r="I79" i="8"/>
  <c r="H79" i="8"/>
  <c r="G79" i="8"/>
  <c r="F79" i="8"/>
  <c r="E79" i="8"/>
  <c r="D79" i="8"/>
  <c r="C79" i="8"/>
  <c r="B79" i="8"/>
  <c r="A79" i="8"/>
  <c r="Z78" i="8"/>
  <c r="Y78" i="8"/>
  <c r="X78" i="8"/>
  <c r="W78" i="8"/>
  <c r="V78" i="8"/>
  <c r="U78" i="8"/>
  <c r="T78" i="8"/>
  <c r="S78" i="8"/>
  <c r="R78" i="8"/>
  <c r="P78" i="8"/>
  <c r="M78" i="8"/>
  <c r="L78" i="8"/>
  <c r="J78" i="8"/>
  <c r="I78" i="8"/>
  <c r="H78" i="8"/>
  <c r="G78" i="8"/>
  <c r="F78" i="8"/>
  <c r="E78" i="8"/>
  <c r="D78" i="8"/>
  <c r="C78" i="8"/>
  <c r="B78" i="8"/>
  <c r="A78" i="8"/>
  <c r="Z77" i="8"/>
  <c r="Y77" i="8"/>
  <c r="X77" i="8"/>
  <c r="W77" i="8"/>
  <c r="V77" i="8"/>
  <c r="U77" i="8"/>
  <c r="T77" i="8"/>
  <c r="S77" i="8"/>
  <c r="R77" i="8"/>
  <c r="P77" i="8"/>
  <c r="M77" i="8"/>
  <c r="L77" i="8"/>
  <c r="J77" i="8"/>
  <c r="I77" i="8"/>
  <c r="H77" i="8"/>
  <c r="G77" i="8"/>
  <c r="F77" i="8"/>
  <c r="E77" i="8"/>
  <c r="D77" i="8"/>
  <c r="C77" i="8"/>
  <c r="B77" i="8"/>
  <c r="A77" i="8"/>
  <c r="Z76" i="8"/>
  <c r="Y76" i="8"/>
  <c r="X76" i="8"/>
  <c r="W76" i="8"/>
  <c r="V76" i="8"/>
  <c r="U76" i="8"/>
  <c r="T76" i="8"/>
  <c r="S76" i="8"/>
  <c r="R76" i="8"/>
  <c r="P76" i="8"/>
  <c r="M76" i="8"/>
  <c r="L76" i="8"/>
  <c r="J76" i="8"/>
  <c r="I76" i="8"/>
  <c r="H76" i="8"/>
  <c r="G76" i="8"/>
  <c r="F76" i="8"/>
  <c r="E76" i="8"/>
  <c r="D76" i="8"/>
  <c r="C76" i="8"/>
  <c r="B76" i="8"/>
  <c r="A76" i="8"/>
  <c r="Z75" i="8"/>
  <c r="Y75" i="8"/>
  <c r="X75" i="8"/>
  <c r="W75" i="8"/>
  <c r="V75" i="8"/>
  <c r="U75" i="8"/>
  <c r="T75" i="8"/>
  <c r="S75" i="8"/>
  <c r="R75" i="8"/>
  <c r="P75" i="8"/>
  <c r="M75" i="8"/>
  <c r="L75" i="8"/>
  <c r="J75" i="8"/>
  <c r="I75" i="8"/>
  <c r="H75" i="8"/>
  <c r="G75" i="8"/>
  <c r="F75" i="8"/>
  <c r="E75" i="8"/>
  <c r="D75" i="8"/>
  <c r="C75" i="8"/>
  <c r="B75" i="8"/>
  <c r="A75" i="8"/>
  <c r="Z74" i="8"/>
  <c r="Y74" i="8"/>
  <c r="X74" i="8"/>
  <c r="W74" i="8"/>
  <c r="V74" i="8"/>
  <c r="U74" i="8"/>
  <c r="T74" i="8"/>
  <c r="S74" i="8"/>
  <c r="R74" i="8"/>
  <c r="P74" i="8"/>
  <c r="M74" i="8"/>
  <c r="L74" i="8"/>
  <c r="J74" i="8"/>
  <c r="I74" i="8"/>
  <c r="H74" i="8"/>
  <c r="G74" i="8"/>
  <c r="F74" i="8"/>
  <c r="E74" i="8"/>
  <c r="D74" i="8"/>
  <c r="C74" i="8"/>
  <c r="B74" i="8"/>
  <c r="A74" i="8"/>
  <c r="Z73" i="8"/>
  <c r="Y73" i="8"/>
  <c r="X73" i="8"/>
  <c r="W73" i="8"/>
  <c r="V73" i="8"/>
  <c r="U73" i="8"/>
  <c r="T73" i="8"/>
  <c r="S73" i="8"/>
  <c r="R73" i="8"/>
  <c r="P73" i="8"/>
  <c r="M73" i="8"/>
  <c r="L73" i="8"/>
  <c r="J73" i="8"/>
  <c r="I73" i="8"/>
  <c r="H73" i="8"/>
  <c r="G73" i="8"/>
  <c r="F73" i="8"/>
  <c r="E73" i="8"/>
  <c r="D73" i="8"/>
  <c r="C73" i="8"/>
  <c r="B73" i="8"/>
  <c r="A73" i="8"/>
  <c r="Z72" i="8"/>
  <c r="Y72" i="8"/>
  <c r="X72" i="8"/>
  <c r="W72" i="8"/>
  <c r="V72" i="8"/>
  <c r="U72" i="8"/>
  <c r="T72" i="8"/>
  <c r="S72" i="8"/>
  <c r="R72" i="8"/>
  <c r="P72" i="8"/>
  <c r="M72" i="8"/>
  <c r="L72" i="8"/>
  <c r="J72" i="8"/>
  <c r="I72" i="8"/>
  <c r="H72" i="8"/>
  <c r="G72" i="8"/>
  <c r="F72" i="8"/>
  <c r="E72" i="8"/>
  <c r="D72" i="8"/>
  <c r="C72" i="8"/>
  <c r="B72" i="8"/>
  <c r="A72" i="8"/>
  <c r="Z71" i="8"/>
  <c r="Y71" i="8"/>
  <c r="X71" i="8"/>
  <c r="W71" i="8"/>
  <c r="V71" i="8"/>
  <c r="U71" i="8"/>
  <c r="T71" i="8"/>
  <c r="S71" i="8"/>
  <c r="R71" i="8"/>
  <c r="P71" i="8"/>
  <c r="M71" i="8"/>
  <c r="L71" i="8"/>
  <c r="J71" i="8"/>
  <c r="I71" i="8"/>
  <c r="H71" i="8"/>
  <c r="G71" i="8"/>
  <c r="F71" i="8"/>
  <c r="E71" i="8"/>
  <c r="D71" i="8"/>
  <c r="C71" i="8"/>
  <c r="B71" i="8"/>
  <c r="A71" i="8"/>
  <c r="Z70" i="8"/>
  <c r="Y70" i="8"/>
  <c r="X70" i="8"/>
  <c r="W70" i="8"/>
  <c r="V70" i="8"/>
  <c r="U70" i="8"/>
  <c r="T70" i="8"/>
  <c r="S70" i="8"/>
  <c r="R70" i="8"/>
  <c r="P70" i="8"/>
  <c r="M70" i="8"/>
  <c r="L70" i="8"/>
  <c r="J70" i="8"/>
  <c r="I70" i="8"/>
  <c r="H70" i="8"/>
  <c r="G70" i="8"/>
  <c r="F70" i="8"/>
  <c r="E70" i="8"/>
  <c r="D70" i="8"/>
  <c r="C70" i="8"/>
  <c r="B70" i="8"/>
  <c r="A70" i="8"/>
  <c r="Z69" i="8"/>
  <c r="Y69" i="8"/>
  <c r="X69" i="8"/>
  <c r="W69" i="8"/>
  <c r="V69" i="8"/>
  <c r="U69" i="8"/>
  <c r="T69" i="8"/>
  <c r="S69" i="8"/>
  <c r="R69" i="8"/>
  <c r="P69" i="8"/>
  <c r="M69" i="8"/>
  <c r="L69" i="8"/>
  <c r="J69" i="8"/>
  <c r="I69" i="8"/>
  <c r="H69" i="8"/>
  <c r="G69" i="8"/>
  <c r="F69" i="8"/>
  <c r="E69" i="8"/>
  <c r="D69" i="8"/>
  <c r="C69" i="8"/>
  <c r="B69" i="8"/>
  <c r="A69" i="8"/>
  <c r="Z68" i="8"/>
  <c r="Y68" i="8"/>
  <c r="X68" i="8"/>
  <c r="W68" i="8"/>
  <c r="V68" i="8"/>
  <c r="U68" i="8"/>
  <c r="T68" i="8"/>
  <c r="S68" i="8"/>
  <c r="R68" i="8"/>
  <c r="P68" i="8"/>
  <c r="M68" i="8"/>
  <c r="L68" i="8"/>
  <c r="J68" i="8"/>
  <c r="I68" i="8"/>
  <c r="H68" i="8"/>
  <c r="G68" i="8"/>
  <c r="F68" i="8"/>
  <c r="E68" i="8"/>
  <c r="D68" i="8"/>
  <c r="C68" i="8"/>
  <c r="B68" i="8"/>
  <c r="A68" i="8"/>
  <c r="Z67" i="8"/>
  <c r="Y67" i="8"/>
  <c r="X67" i="8"/>
  <c r="W67" i="8"/>
  <c r="V67" i="8"/>
  <c r="U67" i="8"/>
  <c r="T67" i="8"/>
  <c r="S67" i="8"/>
  <c r="R67" i="8"/>
  <c r="P67" i="8"/>
  <c r="M67" i="8"/>
  <c r="L67" i="8"/>
  <c r="J67" i="8"/>
  <c r="I67" i="8"/>
  <c r="H67" i="8"/>
  <c r="G67" i="8"/>
  <c r="F67" i="8"/>
  <c r="E67" i="8"/>
  <c r="D67" i="8"/>
  <c r="C67" i="8"/>
  <c r="B67" i="8"/>
  <c r="A67" i="8"/>
  <c r="Z66" i="8"/>
  <c r="Y66" i="8"/>
  <c r="X66" i="8"/>
  <c r="W66" i="8"/>
  <c r="V66" i="8"/>
  <c r="U66" i="8"/>
  <c r="T66" i="8"/>
  <c r="S66" i="8"/>
  <c r="R66" i="8"/>
  <c r="P66" i="8"/>
  <c r="M66" i="8"/>
  <c r="L66" i="8"/>
  <c r="J66" i="8"/>
  <c r="I66" i="8"/>
  <c r="H66" i="8"/>
  <c r="G66" i="8"/>
  <c r="F66" i="8"/>
  <c r="E66" i="8"/>
  <c r="D66" i="8"/>
  <c r="C66" i="8"/>
  <c r="B66" i="8"/>
  <c r="A66" i="8"/>
  <c r="Z65" i="8"/>
  <c r="Y65" i="8"/>
  <c r="X65" i="8"/>
  <c r="W65" i="8"/>
  <c r="V65" i="8"/>
  <c r="U65" i="8"/>
  <c r="T65" i="8"/>
  <c r="S65" i="8"/>
  <c r="R65" i="8"/>
  <c r="P65" i="8"/>
  <c r="M65" i="8"/>
  <c r="L65" i="8"/>
  <c r="J65" i="8"/>
  <c r="I65" i="8"/>
  <c r="H65" i="8"/>
  <c r="G65" i="8"/>
  <c r="F65" i="8"/>
  <c r="E65" i="8"/>
  <c r="D65" i="8"/>
  <c r="C65" i="8"/>
  <c r="B65" i="8"/>
  <c r="A65" i="8"/>
  <c r="Z64" i="8"/>
  <c r="Y64" i="8"/>
  <c r="X64" i="8"/>
  <c r="W64" i="8"/>
  <c r="V64" i="8"/>
  <c r="U64" i="8"/>
  <c r="T64" i="8"/>
  <c r="S64" i="8"/>
  <c r="R64" i="8"/>
  <c r="P64" i="8"/>
  <c r="M64" i="8"/>
  <c r="L64" i="8"/>
  <c r="J64" i="8"/>
  <c r="I64" i="8"/>
  <c r="H64" i="8"/>
  <c r="G64" i="8"/>
  <c r="F64" i="8"/>
  <c r="E64" i="8"/>
  <c r="D64" i="8"/>
  <c r="C64" i="8"/>
  <c r="B64" i="8"/>
  <c r="A64" i="8"/>
  <c r="Z63" i="8"/>
  <c r="Y63" i="8"/>
  <c r="X63" i="8"/>
  <c r="W63" i="8"/>
  <c r="V63" i="8"/>
  <c r="U63" i="8"/>
  <c r="T63" i="8"/>
  <c r="S63" i="8"/>
  <c r="R63" i="8"/>
  <c r="P63" i="8"/>
  <c r="M63" i="8"/>
  <c r="L63" i="8"/>
  <c r="J63" i="8"/>
  <c r="I63" i="8"/>
  <c r="H63" i="8"/>
  <c r="G63" i="8"/>
  <c r="F63" i="8"/>
  <c r="E63" i="8"/>
  <c r="D63" i="8"/>
  <c r="C63" i="8"/>
  <c r="B63" i="8"/>
  <c r="A63" i="8"/>
  <c r="Z62" i="8"/>
  <c r="Y62" i="8"/>
  <c r="X62" i="8"/>
  <c r="W62" i="8"/>
  <c r="V62" i="8"/>
  <c r="U62" i="8"/>
  <c r="T62" i="8"/>
  <c r="S62" i="8"/>
  <c r="R62" i="8"/>
  <c r="P62" i="8"/>
  <c r="M62" i="8"/>
  <c r="L62" i="8"/>
  <c r="J62" i="8"/>
  <c r="I62" i="8"/>
  <c r="H62" i="8"/>
  <c r="G62" i="8"/>
  <c r="F62" i="8"/>
  <c r="E62" i="8"/>
  <c r="D62" i="8"/>
  <c r="C62" i="8"/>
  <c r="B62" i="8"/>
  <c r="A62" i="8"/>
  <c r="Z61" i="8"/>
  <c r="Y61" i="8"/>
  <c r="X61" i="8"/>
  <c r="W61" i="8"/>
  <c r="V61" i="8"/>
  <c r="U61" i="8"/>
  <c r="T61" i="8"/>
  <c r="S61" i="8"/>
  <c r="R61" i="8"/>
  <c r="P61" i="8"/>
  <c r="M61" i="8"/>
  <c r="L61" i="8"/>
  <c r="J61" i="8"/>
  <c r="I61" i="8"/>
  <c r="H61" i="8"/>
  <c r="G61" i="8"/>
  <c r="F61" i="8"/>
  <c r="E61" i="8"/>
  <c r="D61" i="8"/>
  <c r="C61" i="8"/>
  <c r="B61" i="8"/>
  <c r="A61" i="8"/>
  <c r="Z60" i="8"/>
  <c r="Y60" i="8"/>
  <c r="X60" i="8"/>
  <c r="W60" i="8"/>
  <c r="V60" i="8"/>
  <c r="U60" i="8"/>
  <c r="T60" i="8"/>
  <c r="S60" i="8"/>
  <c r="R60" i="8"/>
  <c r="P60" i="8"/>
  <c r="M60" i="8"/>
  <c r="L60" i="8"/>
  <c r="J60" i="8"/>
  <c r="I60" i="8"/>
  <c r="H60" i="8"/>
  <c r="G60" i="8"/>
  <c r="F60" i="8"/>
  <c r="E60" i="8"/>
  <c r="D60" i="8"/>
  <c r="C60" i="8"/>
  <c r="B60" i="8"/>
  <c r="A60" i="8"/>
  <c r="Z59" i="8"/>
  <c r="Y59" i="8"/>
  <c r="X59" i="8"/>
  <c r="W59" i="8"/>
  <c r="V59" i="8"/>
  <c r="U59" i="8"/>
  <c r="T59" i="8"/>
  <c r="S59" i="8"/>
  <c r="R59" i="8"/>
  <c r="P59" i="8"/>
  <c r="M59" i="8"/>
  <c r="L59" i="8"/>
  <c r="J59" i="8"/>
  <c r="I59" i="8"/>
  <c r="H59" i="8"/>
  <c r="G59" i="8"/>
  <c r="F59" i="8"/>
  <c r="E59" i="8"/>
  <c r="D59" i="8"/>
  <c r="C59" i="8"/>
  <c r="B59" i="8"/>
  <c r="A59" i="8"/>
  <c r="Z58" i="8"/>
  <c r="Y58" i="8"/>
  <c r="X58" i="8"/>
  <c r="W58" i="8"/>
  <c r="V58" i="8"/>
  <c r="U58" i="8"/>
  <c r="T58" i="8"/>
  <c r="S58" i="8"/>
  <c r="R58" i="8"/>
  <c r="P58" i="8"/>
  <c r="M58" i="8"/>
  <c r="L58" i="8"/>
  <c r="J58" i="8"/>
  <c r="I58" i="8"/>
  <c r="H58" i="8"/>
  <c r="G58" i="8"/>
  <c r="F58" i="8"/>
  <c r="E58" i="8"/>
  <c r="D58" i="8"/>
  <c r="C58" i="8"/>
  <c r="B58" i="8"/>
  <c r="A58" i="8"/>
  <c r="Z57" i="8"/>
  <c r="Y57" i="8"/>
  <c r="X57" i="8"/>
  <c r="W57" i="8"/>
  <c r="V57" i="8"/>
  <c r="U57" i="8"/>
  <c r="T57" i="8"/>
  <c r="S57" i="8"/>
  <c r="R57" i="8"/>
  <c r="P57" i="8"/>
  <c r="M57" i="8"/>
  <c r="L57" i="8"/>
  <c r="J57" i="8"/>
  <c r="I57" i="8"/>
  <c r="H57" i="8"/>
  <c r="G57" i="8"/>
  <c r="F57" i="8"/>
  <c r="E57" i="8"/>
  <c r="D57" i="8"/>
  <c r="C57" i="8"/>
  <c r="B57" i="8"/>
  <c r="A57" i="8"/>
  <c r="Z56" i="8"/>
  <c r="Y56" i="8"/>
  <c r="X56" i="8"/>
  <c r="W56" i="8"/>
  <c r="V56" i="8"/>
  <c r="U56" i="8"/>
  <c r="T56" i="8"/>
  <c r="S56" i="8"/>
  <c r="R56" i="8"/>
  <c r="P56" i="8"/>
  <c r="M56" i="8"/>
  <c r="L56" i="8"/>
  <c r="J56" i="8"/>
  <c r="I56" i="8"/>
  <c r="H56" i="8"/>
  <c r="G56" i="8"/>
  <c r="F56" i="8"/>
  <c r="E56" i="8"/>
  <c r="D56" i="8"/>
  <c r="C56" i="8"/>
  <c r="B56" i="8"/>
  <c r="A56" i="8"/>
  <c r="Z55" i="8"/>
  <c r="Y55" i="8"/>
  <c r="X55" i="8"/>
  <c r="W55" i="8"/>
  <c r="V55" i="8"/>
  <c r="U55" i="8"/>
  <c r="T55" i="8"/>
  <c r="S55" i="8"/>
  <c r="R55" i="8"/>
  <c r="P55" i="8"/>
  <c r="M55" i="8"/>
  <c r="L55" i="8"/>
  <c r="J55" i="8"/>
  <c r="I55" i="8"/>
  <c r="H55" i="8"/>
  <c r="G55" i="8"/>
  <c r="F55" i="8"/>
  <c r="E55" i="8"/>
  <c r="D55" i="8"/>
  <c r="C55" i="8"/>
  <c r="B55" i="8"/>
  <c r="A55" i="8"/>
  <c r="Z54" i="8"/>
  <c r="Y54" i="8"/>
  <c r="X54" i="8"/>
  <c r="W54" i="8"/>
  <c r="V54" i="8"/>
  <c r="U54" i="8"/>
  <c r="T54" i="8"/>
  <c r="S54" i="8"/>
  <c r="R54" i="8"/>
  <c r="P54" i="8"/>
  <c r="M54" i="8"/>
  <c r="L54" i="8"/>
  <c r="J54" i="8"/>
  <c r="I54" i="8"/>
  <c r="H54" i="8"/>
  <c r="G54" i="8"/>
  <c r="F54" i="8"/>
  <c r="E54" i="8"/>
  <c r="D54" i="8"/>
  <c r="C54" i="8"/>
  <c r="B54" i="8"/>
  <c r="A54" i="8"/>
  <c r="Z53" i="8"/>
  <c r="Y53" i="8"/>
  <c r="X53" i="8"/>
  <c r="W53" i="8"/>
  <c r="V53" i="8"/>
  <c r="U53" i="8"/>
  <c r="T53" i="8"/>
  <c r="S53" i="8"/>
  <c r="R53" i="8"/>
  <c r="P53" i="8"/>
  <c r="M53" i="8"/>
  <c r="L53" i="8"/>
  <c r="J53" i="8"/>
  <c r="I53" i="8"/>
  <c r="H53" i="8"/>
  <c r="G53" i="8"/>
  <c r="F53" i="8"/>
  <c r="E53" i="8"/>
  <c r="D53" i="8"/>
  <c r="C53" i="8"/>
  <c r="B53" i="8"/>
  <c r="A53" i="8"/>
  <c r="Z52" i="8"/>
  <c r="Y52" i="8"/>
  <c r="X52" i="8"/>
  <c r="W52" i="8"/>
  <c r="V52" i="8"/>
  <c r="U52" i="8"/>
  <c r="T52" i="8"/>
  <c r="S52" i="8"/>
  <c r="R52" i="8"/>
  <c r="P52" i="8"/>
  <c r="M52" i="8"/>
  <c r="L52" i="8"/>
  <c r="J52" i="8"/>
  <c r="I52" i="8"/>
  <c r="H52" i="8"/>
  <c r="G52" i="8"/>
  <c r="F52" i="8"/>
  <c r="E52" i="8"/>
  <c r="D52" i="8"/>
  <c r="C52" i="8"/>
  <c r="B52" i="8"/>
  <c r="A52" i="8"/>
  <c r="Z51" i="8"/>
  <c r="Y51" i="8"/>
  <c r="X51" i="8"/>
  <c r="W51" i="8"/>
  <c r="V51" i="8"/>
  <c r="U51" i="8"/>
  <c r="T51" i="8"/>
  <c r="S51" i="8"/>
  <c r="R51" i="8"/>
  <c r="P51" i="8"/>
  <c r="M51" i="8"/>
  <c r="L51" i="8"/>
  <c r="J51" i="8"/>
  <c r="I51" i="8"/>
  <c r="H51" i="8"/>
  <c r="G51" i="8"/>
  <c r="F51" i="8"/>
  <c r="E51" i="8"/>
  <c r="D51" i="8"/>
  <c r="C51" i="8"/>
  <c r="B51" i="8"/>
  <c r="A51" i="8"/>
  <c r="Z50" i="8"/>
  <c r="Y50" i="8"/>
  <c r="X50" i="8"/>
  <c r="W50" i="8"/>
  <c r="V50" i="8"/>
  <c r="U50" i="8"/>
  <c r="T50" i="8"/>
  <c r="S50" i="8"/>
  <c r="R50" i="8"/>
  <c r="P50" i="8"/>
  <c r="M50" i="8"/>
  <c r="L50" i="8"/>
  <c r="J50" i="8"/>
  <c r="I50" i="8"/>
  <c r="H50" i="8"/>
  <c r="G50" i="8"/>
  <c r="F50" i="8"/>
  <c r="E50" i="8"/>
  <c r="D50" i="8"/>
  <c r="C50" i="8"/>
  <c r="B50" i="8"/>
  <c r="A50" i="8"/>
  <c r="Z49" i="8"/>
  <c r="Y49" i="8"/>
  <c r="X49" i="8"/>
  <c r="W49" i="8"/>
  <c r="V49" i="8"/>
  <c r="U49" i="8"/>
  <c r="T49" i="8"/>
  <c r="S49" i="8"/>
  <c r="R49" i="8"/>
  <c r="P49" i="8"/>
  <c r="M49" i="8"/>
  <c r="L49" i="8"/>
  <c r="J49" i="8"/>
  <c r="I49" i="8"/>
  <c r="H49" i="8"/>
  <c r="G49" i="8"/>
  <c r="F49" i="8"/>
  <c r="E49" i="8"/>
  <c r="D49" i="8"/>
  <c r="C49" i="8"/>
  <c r="B49" i="8"/>
  <c r="A49" i="8"/>
  <c r="Z48" i="8"/>
  <c r="Y48" i="8"/>
  <c r="X48" i="8"/>
  <c r="W48" i="8"/>
  <c r="V48" i="8"/>
  <c r="U48" i="8"/>
  <c r="T48" i="8"/>
  <c r="S48" i="8"/>
  <c r="R48" i="8"/>
  <c r="P48" i="8"/>
  <c r="M48" i="8"/>
  <c r="L48" i="8"/>
  <c r="J48" i="8"/>
  <c r="I48" i="8"/>
  <c r="H48" i="8"/>
  <c r="G48" i="8"/>
  <c r="F48" i="8"/>
  <c r="E48" i="8"/>
  <c r="D48" i="8"/>
  <c r="C48" i="8"/>
  <c r="B48" i="8"/>
  <c r="A48" i="8"/>
  <c r="Z47" i="8"/>
  <c r="Y47" i="8"/>
  <c r="X47" i="8"/>
  <c r="W47" i="8"/>
  <c r="V47" i="8"/>
  <c r="U47" i="8"/>
  <c r="T47" i="8"/>
  <c r="S47" i="8"/>
  <c r="R47" i="8"/>
  <c r="P47" i="8"/>
  <c r="M47" i="8"/>
  <c r="L47" i="8"/>
  <c r="J47" i="8"/>
  <c r="I47" i="8"/>
  <c r="H47" i="8"/>
  <c r="G47" i="8"/>
  <c r="F47" i="8"/>
  <c r="E47" i="8"/>
  <c r="D47" i="8"/>
  <c r="C47" i="8"/>
  <c r="B47" i="8"/>
  <c r="A47" i="8"/>
  <c r="Z46" i="8"/>
  <c r="Y46" i="8"/>
  <c r="X46" i="8"/>
  <c r="W46" i="8"/>
  <c r="V46" i="8"/>
  <c r="U46" i="8"/>
  <c r="T46" i="8"/>
  <c r="S46" i="8"/>
  <c r="R46" i="8"/>
  <c r="P46" i="8"/>
  <c r="M46" i="8"/>
  <c r="L46" i="8"/>
  <c r="J46" i="8"/>
  <c r="I46" i="8"/>
  <c r="H46" i="8"/>
  <c r="G46" i="8"/>
  <c r="F46" i="8"/>
  <c r="E46" i="8"/>
  <c r="D46" i="8"/>
  <c r="C46" i="8"/>
  <c r="B46" i="8"/>
  <c r="A46" i="8"/>
  <c r="Z45" i="8"/>
  <c r="Y45" i="8"/>
  <c r="X45" i="8"/>
  <c r="W45" i="8"/>
  <c r="V45" i="8"/>
  <c r="U45" i="8"/>
  <c r="T45" i="8"/>
  <c r="S45" i="8"/>
  <c r="R45" i="8"/>
  <c r="P45" i="8"/>
  <c r="M45" i="8"/>
  <c r="L45" i="8"/>
  <c r="J45" i="8"/>
  <c r="I45" i="8"/>
  <c r="H45" i="8"/>
  <c r="G45" i="8"/>
  <c r="F45" i="8"/>
  <c r="E45" i="8"/>
  <c r="D45" i="8"/>
  <c r="C45" i="8"/>
  <c r="B45" i="8"/>
  <c r="A45" i="8"/>
  <c r="Z44" i="8"/>
  <c r="Y44" i="8"/>
  <c r="X44" i="8"/>
  <c r="W44" i="8"/>
  <c r="V44" i="8"/>
  <c r="U44" i="8"/>
  <c r="T44" i="8"/>
  <c r="S44" i="8"/>
  <c r="R44" i="8"/>
  <c r="P44" i="8"/>
  <c r="M44" i="8"/>
  <c r="L44" i="8"/>
  <c r="J44" i="8"/>
  <c r="I44" i="8"/>
  <c r="H44" i="8"/>
  <c r="G44" i="8"/>
  <c r="F44" i="8"/>
  <c r="E44" i="8"/>
  <c r="D44" i="8"/>
  <c r="C44" i="8"/>
  <c r="B44" i="8"/>
  <c r="A44" i="8"/>
  <c r="Z43" i="8"/>
  <c r="Y43" i="8"/>
  <c r="X43" i="8"/>
  <c r="W43" i="8"/>
  <c r="V43" i="8"/>
  <c r="U43" i="8"/>
  <c r="T43" i="8"/>
  <c r="S43" i="8"/>
  <c r="R43" i="8"/>
  <c r="P43" i="8"/>
  <c r="M43" i="8"/>
  <c r="L43" i="8"/>
  <c r="J43" i="8"/>
  <c r="I43" i="8"/>
  <c r="H43" i="8"/>
  <c r="G43" i="8"/>
  <c r="F43" i="8"/>
  <c r="E43" i="8"/>
  <c r="D43" i="8"/>
  <c r="C43" i="8"/>
  <c r="B43" i="8"/>
  <c r="A43" i="8"/>
  <c r="Z42" i="8"/>
  <c r="Y42" i="8"/>
  <c r="X42" i="8"/>
  <c r="W42" i="8"/>
  <c r="V42" i="8"/>
  <c r="U42" i="8"/>
  <c r="T42" i="8"/>
  <c r="S42" i="8"/>
  <c r="R42" i="8"/>
  <c r="P42" i="8"/>
  <c r="M42" i="8"/>
  <c r="L42" i="8"/>
  <c r="J42" i="8"/>
  <c r="I42" i="8"/>
  <c r="H42" i="8"/>
  <c r="G42" i="8"/>
  <c r="F42" i="8"/>
  <c r="E42" i="8"/>
  <c r="D42" i="8"/>
  <c r="C42" i="8"/>
  <c r="B42" i="8"/>
  <c r="A42" i="8"/>
  <c r="Z41" i="8"/>
  <c r="Y41" i="8"/>
  <c r="X41" i="8"/>
  <c r="W41" i="8"/>
  <c r="V41" i="8"/>
  <c r="U41" i="8"/>
  <c r="T41" i="8"/>
  <c r="S41" i="8"/>
  <c r="R41" i="8"/>
  <c r="P41" i="8"/>
  <c r="M41" i="8"/>
  <c r="L41" i="8"/>
  <c r="J41" i="8"/>
  <c r="I41" i="8"/>
  <c r="H41" i="8"/>
  <c r="G41" i="8"/>
  <c r="F41" i="8"/>
  <c r="E41" i="8"/>
  <c r="D41" i="8"/>
  <c r="C41" i="8"/>
  <c r="B41" i="8"/>
  <c r="A41" i="8"/>
  <c r="Z40" i="8"/>
  <c r="Y40" i="8"/>
  <c r="X40" i="8"/>
  <c r="W40" i="8"/>
  <c r="V40" i="8"/>
  <c r="U40" i="8"/>
  <c r="T40" i="8"/>
  <c r="S40" i="8"/>
  <c r="R40" i="8"/>
  <c r="P40" i="8"/>
  <c r="M40" i="8"/>
  <c r="L40" i="8"/>
  <c r="J40" i="8"/>
  <c r="I40" i="8"/>
  <c r="H40" i="8"/>
  <c r="G40" i="8"/>
  <c r="F40" i="8"/>
  <c r="E40" i="8"/>
  <c r="D40" i="8"/>
  <c r="C40" i="8"/>
  <c r="B40" i="8"/>
  <c r="A40" i="8"/>
  <c r="Z39" i="8"/>
  <c r="Y39" i="8"/>
  <c r="X39" i="8"/>
  <c r="W39" i="8"/>
  <c r="V39" i="8"/>
  <c r="U39" i="8"/>
  <c r="T39" i="8"/>
  <c r="S39" i="8"/>
  <c r="R39" i="8"/>
  <c r="P39" i="8"/>
  <c r="M39" i="8"/>
  <c r="L39" i="8"/>
  <c r="J39" i="8"/>
  <c r="I39" i="8"/>
  <c r="H39" i="8"/>
  <c r="G39" i="8"/>
  <c r="F39" i="8"/>
  <c r="E39" i="8"/>
  <c r="D39" i="8"/>
  <c r="C39" i="8"/>
  <c r="B39" i="8"/>
  <c r="A39" i="8"/>
  <c r="Z38" i="8"/>
  <c r="Y38" i="8"/>
  <c r="X38" i="8"/>
  <c r="W38" i="8"/>
  <c r="V38" i="8"/>
  <c r="U38" i="8"/>
  <c r="T38" i="8"/>
  <c r="S38" i="8"/>
  <c r="R38" i="8"/>
  <c r="P38" i="8"/>
  <c r="M38" i="8"/>
  <c r="L38" i="8"/>
  <c r="J38" i="8"/>
  <c r="I38" i="8"/>
  <c r="H38" i="8"/>
  <c r="G38" i="8"/>
  <c r="F38" i="8"/>
  <c r="E38" i="8"/>
  <c r="D38" i="8"/>
  <c r="C38" i="8"/>
  <c r="B38" i="8"/>
  <c r="A38" i="8"/>
  <c r="Z37" i="8"/>
  <c r="Y37" i="8"/>
  <c r="X37" i="8"/>
  <c r="W37" i="8"/>
  <c r="V37" i="8"/>
  <c r="U37" i="8"/>
  <c r="T37" i="8"/>
  <c r="S37" i="8"/>
  <c r="R37" i="8"/>
  <c r="P37" i="8"/>
  <c r="M37" i="8"/>
  <c r="L37" i="8"/>
  <c r="J37" i="8"/>
  <c r="I37" i="8"/>
  <c r="H37" i="8"/>
  <c r="G37" i="8"/>
  <c r="F37" i="8"/>
  <c r="E37" i="8"/>
  <c r="D37" i="8"/>
  <c r="C37" i="8"/>
  <c r="B37" i="8"/>
  <c r="A37" i="8"/>
  <c r="Z36" i="8"/>
  <c r="Y36" i="8"/>
  <c r="X36" i="8"/>
  <c r="W36" i="8"/>
  <c r="V36" i="8"/>
  <c r="U36" i="8"/>
  <c r="T36" i="8"/>
  <c r="S36" i="8"/>
  <c r="R36" i="8"/>
  <c r="P36" i="8"/>
  <c r="M36" i="8"/>
  <c r="L36" i="8"/>
  <c r="J36" i="8"/>
  <c r="I36" i="8"/>
  <c r="H36" i="8"/>
  <c r="G36" i="8"/>
  <c r="F36" i="8"/>
  <c r="E36" i="8"/>
  <c r="D36" i="8"/>
  <c r="C36" i="8"/>
  <c r="B36" i="8"/>
  <c r="A36" i="8"/>
  <c r="Z35" i="8"/>
  <c r="Y35" i="8"/>
  <c r="X35" i="8"/>
  <c r="W35" i="8"/>
  <c r="V35" i="8"/>
  <c r="U35" i="8"/>
  <c r="T35" i="8"/>
  <c r="S35" i="8"/>
  <c r="R35" i="8"/>
  <c r="P35" i="8"/>
  <c r="M35" i="8"/>
  <c r="L35" i="8"/>
  <c r="J35" i="8"/>
  <c r="I35" i="8"/>
  <c r="H35" i="8"/>
  <c r="G35" i="8"/>
  <c r="F35" i="8"/>
  <c r="E35" i="8"/>
  <c r="D35" i="8"/>
  <c r="C35" i="8"/>
  <c r="B35" i="8"/>
  <c r="A35" i="8"/>
  <c r="Z34" i="8"/>
  <c r="Y34" i="8"/>
  <c r="X34" i="8"/>
  <c r="W34" i="8"/>
  <c r="V34" i="8"/>
  <c r="U34" i="8"/>
  <c r="T34" i="8"/>
  <c r="S34" i="8"/>
  <c r="R34" i="8"/>
  <c r="P34" i="8"/>
  <c r="M34" i="8"/>
  <c r="L34" i="8"/>
  <c r="J34" i="8"/>
  <c r="I34" i="8"/>
  <c r="H34" i="8"/>
  <c r="G34" i="8"/>
  <c r="F34" i="8"/>
  <c r="E34" i="8"/>
  <c r="D34" i="8"/>
  <c r="C34" i="8"/>
  <c r="B34" i="8"/>
  <c r="A34" i="8"/>
  <c r="Z33" i="8"/>
  <c r="Y33" i="8"/>
  <c r="X33" i="8"/>
  <c r="W33" i="8"/>
  <c r="V33" i="8"/>
  <c r="U33" i="8"/>
  <c r="T33" i="8"/>
  <c r="S33" i="8"/>
  <c r="R33" i="8"/>
  <c r="P33" i="8"/>
  <c r="M33" i="8"/>
  <c r="L33" i="8"/>
  <c r="J33" i="8"/>
  <c r="I33" i="8"/>
  <c r="H33" i="8"/>
  <c r="G33" i="8"/>
  <c r="F33" i="8"/>
  <c r="E33" i="8"/>
  <c r="D33" i="8"/>
  <c r="C33" i="8"/>
  <c r="B33" i="8"/>
  <c r="A33" i="8"/>
  <c r="Z32" i="8"/>
  <c r="Y32" i="8"/>
  <c r="X32" i="8"/>
  <c r="W32" i="8"/>
  <c r="V32" i="8"/>
  <c r="U32" i="8"/>
  <c r="T32" i="8"/>
  <c r="S32" i="8"/>
  <c r="R32" i="8"/>
  <c r="P32" i="8"/>
  <c r="M32" i="8"/>
  <c r="L32" i="8"/>
  <c r="J32" i="8"/>
  <c r="I32" i="8"/>
  <c r="H32" i="8"/>
  <c r="G32" i="8"/>
  <c r="F32" i="8"/>
  <c r="E32" i="8"/>
  <c r="D32" i="8"/>
  <c r="C32" i="8"/>
  <c r="B32" i="8"/>
  <c r="A32" i="8"/>
  <c r="Z31" i="8"/>
  <c r="Y31" i="8"/>
  <c r="X31" i="8"/>
  <c r="W31" i="8"/>
  <c r="V31" i="8"/>
  <c r="U31" i="8"/>
  <c r="T31" i="8"/>
  <c r="S31" i="8"/>
  <c r="R31" i="8"/>
  <c r="P31" i="8"/>
  <c r="M31" i="8"/>
  <c r="L31" i="8"/>
  <c r="J31" i="8"/>
  <c r="I31" i="8"/>
  <c r="H31" i="8"/>
  <c r="G31" i="8"/>
  <c r="F31" i="8"/>
  <c r="E31" i="8"/>
  <c r="D31" i="8"/>
  <c r="C31" i="8"/>
  <c r="B31" i="8"/>
  <c r="A31" i="8"/>
  <c r="Z30" i="8"/>
  <c r="Y30" i="8"/>
  <c r="X30" i="8"/>
  <c r="W30" i="8"/>
  <c r="V30" i="8"/>
  <c r="U30" i="8"/>
  <c r="T30" i="8"/>
  <c r="S30" i="8"/>
  <c r="R30" i="8"/>
  <c r="P30" i="8"/>
  <c r="M30" i="8"/>
  <c r="L30" i="8"/>
  <c r="J30" i="8"/>
  <c r="I30" i="8"/>
  <c r="H30" i="8"/>
  <c r="G30" i="8"/>
  <c r="F30" i="8"/>
  <c r="E30" i="8"/>
  <c r="D30" i="8"/>
  <c r="C30" i="8"/>
  <c r="B30" i="8"/>
  <c r="A30" i="8"/>
  <c r="Z29" i="8"/>
  <c r="Y29" i="8"/>
  <c r="X29" i="8"/>
  <c r="W29" i="8"/>
  <c r="V29" i="8"/>
  <c r="U29" i="8"/>
  <c r="T29" i="8"/>
  <c r="S29" i="8"/>
  <c r="R29" i="8"/>
  <c r="P29" i="8"/>
  <c r="M29" i="8"/>
  <c r="L29" i="8"/>
  <c r="J29" i="8"/>
  <c r="I29" i="8"/>
  <c r="H29" i="8"/>
  <c r="G29" i="8"/>
  <c r="F29" i="8"/>
  <c r="E29" i="8"/>
  <c r="D29" i="8"/>
  <c r="C29" i="8"/>
  <c r="B29" i="8"/>
  <c r="A29" i="8"/>
  <c r="Z28" i="8"/>
  <c r="Y28" i="8"/>
  <c r="X28" i="8"/>
  <c r="W28" i="8"/>
  <c r="V28" i="8"/>
  <c r="U28" i="8"/>
  <c r="T28" i="8"/>
  <c r="S28" i="8"/>
  <c r="R28" i="8"/>
  <c r="P28" i="8"/>
  <c r="M28" i="8"/>
  <c r="L28" i="8"/>
  <c r="J28" i="8"/>
  <c r="I28" i="8"/>
  <c r="H28" i="8"/>
  <c r="G28" i="8"/>
  <c r="F28" i="8"/>
  <c r="E28" i="8"/>
  <c r="D28" i="8"/>
  <c r="C28" i="8"/>
  <c r="B28" i="8"/>
  <c r="A28" i="8"/>
  <c r="Z27" i="8"/>
  <c r="Y27" i="8"/>
  <c r="X27" i="8"/>
  <c r="W27" i="8"/>
  <c r="V27" i="8"/>
  <c r="U27" i="8"/>
  <c r="T27" i="8"/>
  <c r="S27" i="8"/>
  <c r="R27" i="8"/>
  <c r="P27" i="8"/>
  <c r="M27" i="8"/>
  <c r="L27" i="8"/>
  <c r="J27" i="8"/>
  <c r="I27" i="8"/>
  <c r="H27" i="8"/>
  <c r="G27" i="8"/>
  <c r="F27" i="8"/>
  <c r="E27" i="8"/>
  <c r="D27" i="8"/>
  <c r="C27" i="8"/>
  <c r="B27" i="8"/>
  <c r="A27" i="8"/>
  <c r="Z26" i="8"/>
  <c r="Y26" i="8"/>
  <c r="X26" i="8"/>
  <c r="W26" i="8"/>
  <c r="V26" i="8"/>
  <c r="U26" i="8"/>
  <c r="T26" i="8"/>
  <c r="S26" i="8"/>
  <c r="R26" i="8"/>
  <c r="P26" i="8"/>
  <c r="M26" i="8"/>
  <c r="L26" i="8"/>
  <c r="J26" i="8"/>
  <c r="I26" i="8"/>
  <c r="H26" i="8"/>
  <c r="G26" i="8"/>
  <c r="F26" i="8"/>
  <c r="E26" i="8"/>
  <c r="D26" i="8"/>
  <c r="C26" i="8"/>
  <c r="B26" i="8"/>
  <c r="A26" i="8"/>
  <c r="Z25" i="8"/>
  <c r="Y25" i="8"/>
  <c r="X25" i="8"/>
  <c r="W25" i="8"/>
  <c r="V25" i="8"/>
  <c r="U25" i="8"/>
  <c r="T25" i="8"/>
  <c r="S25" i="8"/>
  <c r="R25" i="8"/>
  <c r="P25" i="8"/>
  <c r="M25" i="8"/>
  <c r="L25" i="8"/>
  <c r="J25" i="8"/>
  <c r="I25" i="8"/>
  <c r="H25" i="8"/>
  <c r="G25" i="8"/>
  <c r="F25" i="8"/>
  <c r="E25" i="8"/>
  <c r="D25" i="8"/>
  <c r="C25" i="8"/>
  <c r="B25" i="8"/>
  <c r="A25" i="8"/>
  <c r="Z24" i="8"/>
  <c r="Y24" i="8"/>
  <c r="X24" i="8"/>
  <c r="W24" i="8"/>
  <c r="V24" i="8"/>
  <c r="U24" i="8"/>
  <c r="T24" i="8"/>
  <c r="S24" i="8"/>
  <c r="R24" i="8"/>
  <c r="P24" i="8"/>
  <c r="M24" i="8"/>
  <c r="L24" i="8"/>
  <c r="J24" i="8"/>
  <c r="I24" i="8"/>
  <c r="H24" i="8"/>
  <c r="G24" i="8"/>
  <c r="F24" i="8"/>
  <c r="E24" i="8"/>
  <c r="D24" i="8"/>
  <c r="C24" i="8"/>
  <c r="B24" i="8"/>
  <c r="A24" i="8"/>
  <c r="Z23" i="8"/>
  <c r="Y23" i="8"/>
  <c r="X23" i="8"/>
  <c r="W23" i="8"/>
  <c r="V23" i="8"/>
  <c r="U23" i="8"/>
  <c r="T23" i="8"/>
  <c r="S23" i="8"/>
  <c r="R23" i="8"/>
  <c r="P23" i="8"/>
  <c r="M23" i="8"/>
  <c r="L23" i="8"/>
  <c r="J23" i="8"/>
  <c r="I23" i="8"/>
  <c r="H23" i="8"/>
  <c r="G23" i="8"/>
  <c r="F23" i="8"/>
  <c r="E23" i="8"/>
  <c r="D23" i="8"/>
  <c r="C23" i="8"/>
  <c r="B23" i="8"/>
  <c r="A23" i="8"/>
  <c r="Z22" i="8"/>
  <c r="Y22" i="8"/>
  <c r="X22" i="8"/>
  <c r="W22" i="8"/>
  <c r="V22" i="8"/>
  <c r="U22" i="8"/>
  <c r="T22" i="8"/>
  <c r="S22" i="8"/>
  <c r="R22" i="8"/>
  <c r="P22" i="8"/>
  <c r="M22" i="8"/>
  <c r="L22" i="8"/>
  <c r="J22" i="8"/>
  <c r="I22" i="8"/>
  <c r="H22" i="8"/>
  <c r="G22" i="8"/>
  <c r="F22" i="8"/>
  <c r="E22" i="8"/>
  <c r="D22" i="8"/>
  <c r="C22" i="8"/>
  <c r="B22" i="8"/>
  <c r="A22" i="8"/>
  <c r="Z21" i="8"/>
  <c r="Y21" i="8"/>
  <c r="X21" i="8"/>
  <c r="W21" i="8"/>
  <c r="V21" i="8"/>
  <c r="U21" i="8"/>
  <c r="T21" i="8"/>
  <c r="S21" i="8"/>
  <c r="R21" i="8"/>
  <c r="P21" i="8"/>
  <c r="M21" i="8"/>
  <c r="L21" i="8"/>
  <c r="J21" i="8"/>
  <c r="I21" i="8"/>
  <c r="H21" i="8"/>
  <c r="G21" i="8"/>
  <c r="F21" i="8"/>
  <c r="E21" i="8"/>
  <c r="D21" i="8"/>
  <c r="C21" i="8"/>
  <c r="B21" i="8"/>
  <c r="A21" i="8"/>
  <c r="Z20" i="8"/>
  <c r="Y20" i="8"/>
  <c r="X20" i="8"/>
  <c r="W20" i="8"/>
  <c r="V20" i="8"/>
  <c r="U20" i="8"/>
  <c r="T20" i="8"/>
  <c r="S20" i="8"/>
  <c r="R20" i="8"/>
  <c r="P20" i="8"/>
  <c r="M20" i="8"/>
  <c r="L20" i="8"/>
  <c r="J20" i="8"/>
  <c r="I20" i="8"/>
  <c r="H20" i="8"/>
  <c r="G20" i="8"/>
  <c r="F20" i="8"/>
  <c r="E20" i="8"/>
  <c r="D20" i="8"/>
  <c r="C20" i="8"/>
  <c r="B20" i="8"/>
  <c r="A20" i="8"/>
  <c r="Z19" i="8"/>
  <c r="Y19" i="8"/>
  <c r="X19" i="8"/>
  <c r="W19" i="8"/>
  <c r="V19" i="8"/>
  <c r="U19" i="8"/>
  <c r="T19" i="8"/>
  <c r="S19" i="8"/>
  <c r="R19" i="8"/>
  <c r="P19" i="8"/>
  <c r="M19" i="8"/>
  <c r="L19" i="8"/>
  <c r="J19" i="8"/>
  <c r="I19" i="8"/>
  <c r="H19" i="8"/>
  <c r="G19" i="8"/>
  <c r="F19" i="8"/>
  <c r="E19" i="8"/>
  <c r="D19" i="8"/>
  <c r="C19" i="8"/>
  <c r="B19" i="8"/>
  <c r="A19" i="8"/>
  <c r="Z18" i="8"/>
  <c r="Y18" i="8"/>
  <c r="X18" i="8"/>
  <c r="W18" i="8"/>
  <c r="V18" i="8"/>
  <c r="U18" i="8"/>
  <c r="T18" i="8"/>
  <c r="S18" i="8"/>
  <c r="R18" i="8"/>
  <c r="P18" i="8"/>
  <c r="M18" i="8"/>
  <c r="L18" i="8"/>
  <c r="J18" i="8"/>
  <c r="I18" i="8"/>
  <c r="H18" i="8"/>
  <c r="G18" i="8"/>
  <c r="F18" i="8"/>
  <c r="E18" i="8"/>
  <c r="D18" i="8"/>
  <c r="C18" i="8"/>
  <c r="B18" i="8"/>
  <c r="A18" i="8"/>
  <c r="Z17" i="8"/>
  <c r="Y17" i="8"/>
  <c r="X17" i="8"/>
  <c r="W17" i="8"/>
  <c r="V17" i="8"/>
  <c r="U17" i="8"/>
  <c r="T17" i="8"/>
  <c r="S17" i="8"/>
  <c r="R17" i="8"/>
  <c r="P17" i="8"/>
  <c r="M17" i="8"/>
  <c r="L17" i="8"/>
  <c r="J17" i="8"/>
  <c r="I17" i="8"/>
  <c r="H17" i="8"/>
  <c r="G17" i="8"/>
  <c r="F17" i="8"/>
  <c r="E17" i="8"/>
  <c r="D17" i="8"/>
  <c r="C17" i="8"/>
  <c r="B17" i="8"/>
  <c r="A17" i="8"/>
  <c r="Z16" i="8"/>
  <c r="Y16" i="8"/>
  <c r="X16" i="8"/>
  <c r="W16" i="8"/>
  <c r="V16" i="8"/>
  <c r="U16" i="8"/>
  <c r="T16" i="8"/>
  <c r="S16" i="8"/>
  <c r="R16" i="8"/>
  <c r="P16" i="8"/>
  <c r="M16" i="8"/>
  <c r="L16" i="8"/>
  <c r="J16" i="8"/>
  <c r="I16" i="8"/>
  <c r="H16" i="8"/>
  <c r="G16" i="8"/>
  <c r="F16" i="8"/>
  <c r="E16" i="8"/>
  <c r="D16" i="8"/>
  <c r="C16" i="8"/>
  <c r="B16" i="8"/>
  <c r="A16" i="8"/>
  <c r="Z15" i="8"/>
  <c r="Y15" i="8"/>
  <c r="X15" i="8"/>
  <c r="W15" i="8"/>
  <c r="V15" i="8"/>
  <c r="U15" i="8"/>
  <c r="T15" i="8"/>
  <c r="S15" i="8"/>
  <c r="R15" i="8"/>
  <c r="P15" i="8"/>
  <c r="M15" i="8"/>
  <c r="L15" i="8"/>
  <c r="J15" i="8"/>
  <c r="I15" i="8"/>
  <c r="H15" i="8"/>
  <c r="G15" i="8"/>
  <c r="F15" i="8"/>
  <c r="E15" i="8"/>
  <c r="D15" i="8"/>
  <c r="C15" i="8"/>
  <c r="B15" i="8"/>
  <c r="A15" i="8"/>
  <c r="Z14" i="8"/>
  <c r="Y14" i="8"/>
  <c r="X14" i="8"/>
  <c r="W14" i="8"/>
  <c r="V14" i="8"/>
  <c r="U14" i="8"/>
  <c r="T14" i="8"/>
  <c r="S14" i="8"/>
  <c r="R14" i="8"/>
  <c r="P14" i="8"/>
  <c r="M14" i="8"/>
  <c r="L14" i="8"/>
  <c r="J14" i="8"/>
  <c r="I14" i="8"/>
  <c r="H14" i="8"/>
  <c r="G14" i="8"/>
  <c r="F14" i="8"/>
  <c r="E14" i="8"/>
  <c r="D14" i="8"/>
  <c r="C14" i="8"/>
  <c r="B14" i="8"/>
  <c r="A14" i="8"/>
  <c r="Z13" i="8"/>
  <c r="Y13" i="8"/>
  <c r="X13" i="8"/>
  <c r="W13" i="8"/>
  <c r="V13" i="8"/>
  <c r="U13" i="8"/>
  <c r="T13" i="8"/>
  <c r="S13" i="8"/>
  <c r="R13" i="8"/>
  <c r="P13" i="8"/>
  <c r="M13" i="8"/>
  <c r="L13" i="8"/>
  <c r="J13" i="8"/>
  <c r="I13" i="8"/>
  <c r="H13" i="8"/>
  <c r="G13" i="8"/>
  <c r="F13" i="8"/>
  <c r="E13" i="8"/>
  <c r="D13" i="8"/>
  <c r="C13" i="8"/>
  <c r="B13" i="8"/>
  <c r="A13" i="8"/>
  <c r="Z12" i="8"/>
  <c r="Y12" i="8"/>
  <c r="X12" i="8"/>
  <c r="W12" i="8"/>
  <c r="V12" i="8"/>
  <c r="U12" i="8"/>
  <c r="T12" i="8"/>
  <c r="S12" i="8"/>
  <c r="R12" i="8"/>
  <c r="P12" i="8"/>
  <c r="M12" i="8"/>
  <c r="L12" i="8"/>
  <c r="J12" i="8"/>
  <c r="I12" i="8"/>
  <c r="H12" i="8"/>
  <c r="G12" i="8"/>
  <c r="F12" i="8"/>
  <c r="E12" i="8"/>
  <c r="D12" i="8"/>
  <c r="C12" i="8"/>
  <c r="B12" i="8"/>
  <c r="A12" i="8"/>
  <c r="Z11" i="8"/>
  <c r="Y11" i="8"/>
  <c r="X11" i="8"/>
  <c r="W11" i="8"/>
  <c r="V11" i="8"/>
  <c r="U11" i="8"/>
  <c r="T11" i="8"/>
  <c r="S11" i="8"/>
  <c r="R11" i="8"/>
  <c r="P11" i="8"/>
  <c r="M11" i="8"/>
  <c r="L11" i="8"/>
  <c r="J11" i="8"/>
  <c r="I11" i="8"/>
  <c r="H11" i="8"/>
  <c r="G11" i="8"/>
  <c r="F11" i="8"/>
  <c r="E11" i="8"/>
  <c r="D11" i="8"/>
  <c r="C11" i="8"/>
  <c r="B11" i="8"/>
  <c r="A11" i="8"/>
  <c r="Z10" i="8"/>
  <c r="Y10" i="8"/>
  <c r="X10" i="8"/>
  <c r="W10" i="8"/>
  <c r="V10" i="8"/>
  <c r="U10" i="8"/>
  <c r="T10" i="8"/>
  <c r="S10" i="8"/>
  <c r="R10" i="8"/>
  <c r="P10" i="8"/>
  <c r="M10" i="8"/>
  <c r="L10" i="8"/>
  <c r="J10" i="8"/>
  <c r="I10" i="8"/>
  <c r="H10" i="8"/>
  <c r="G10" i="8"/>
  <c r="F10" i="8"/>
  <c r="E10" i="8"/>
  <c r="D10" i="8"/>
  <c r="C10" i="8"/>
  <c r="B10" i="8"/>
  <c r="A10" i="8"/>
  <c r="Z9" i="8"/>
  <c r="Y9" i="8"/>
  <c r="X9" i="8"/>
  <c r="W9" i="8"/>
  <c r="V9" i="8"/>
  <c r="U9" i="8"/>
  <c r="T9" i="8"/>
  <c r="S9" i="8"/>
  <c r="R9" i="8"/>
  <c r="P9" i="8"/>
  <c r="M9" i="8"/>
  <c r="L9" i="8"/>
  <c r="J9" i="8"/>
  <c r="I9" i="8"/>
  <c r="H9" i="8"/>
  <c r="G9" i="8"/>
  <c r="F9" i="8"/>
  <c r="E9" i="8"/>
  <c r="D9" i="8"/>
  <c r="C9" i="8"/>
  <c r="B9" i="8"/>
  <c r="A9" i="8"/>
  <c r="Z8" i="8"/>
  <c r="Y8" i="8"/>
  <c r="X8" i="8"/>
  <c r="W8" i="8"/>
  <c r="V8" i="8"/>
  <c r="U8" i="8"/>
  <c r="T8" i="8"/>
  <c r="S8" i="8"/>
  <c r="R8" i="8"/>
  <c r="P8" i="8"/>
  <c r="M8" i="8"/>
  <c r="L8" i="8"/>
  <c r="J8" i="8"/>
  <c r="I8" i="8"/>
  <c r="H8" i="8"/>
  <c r="G8" i="8"/>
  <c r="F8" i="8"/>
  <c r="E8" i="8"/>
  <c r="D8" i="8"/>
  <c r="C8" i="8"/>
  <c r="B8" i="8"/>
  <c r="A8" i="8"/>
  <c r="V7" i="8"/>
  <c r="U7" i="8"/>
  <c r="T7" i="8"/>
  <c r="S7" i="8"/>
  <c r="P7" i="8"/>
  <c r="M7" i="8"/>
  <c r="L7" i="8"/>
  <c r="Z4" i="8"/>
  <c r="Y4" i="8"/>
  <c r="X4" i="8"/>
  <c r="W4" i="8"/>
  <c r="V4" i="8"/>
  <c r="U4" i="8"/>
  <c r="T4" i="8"/>
  <c r="S4" i="8"/>
  <c r="R4" i="8"/>
  <c r="P4" i="8"/>
  <c r="O4" i="8"/>
  <c r="N4" i="8"/>
  <c r="M4" i="8"/>
  <c r="L4" i="8"/>
  <c r="K4" i="8"/>
  <c r="J4" i="8"/>
  <c r="I4" i="8"/>
  <c r="H4" i="8"/>
  <c r="G4" i="8"/>
  <c r="F4" i="8"/>
  <c r="E4" i="8"/>
  <c r="D4" i="8"/>
  <c r="C4" i="8"/>
  <c r="B4" i="8"/>
  <c r="A4" i="8"/>
  <c r="W3" i="8"/>
  <c r="V3" i="8"/>
  <c r="U3" i="8"/>
  <c r="T3" i="8"/>
  <c r="S3" i="8"/>
  <c r="R3" i="8"/>
  <c r="H1" i="8"/>
  <c r="G1" i="8"/>
  <c r="A1" i="8"/>
  <c r="FO84" i="7"/>
  <c r="FN84" i="7"/>
  <c r="FM84" i="7"/>
  <c r="FL84" i="7"/>
  <c r="FK84" i="7"/>
  <c r="FJ84" i="7"/>
  <c r="FI84" i="7"/>
  <c r="FH84" i="7"/>
  <c r="FG84" i="7"/>
  <c r="FF84" i="7"/>
  <c r="FE84" i="7"/>
  <c r="FD84" i="7"/>
  <c r="FC84" i="7"/>
  <c r="FB84" i="7"/>
  <c r="FA84" i="7"/>
  <c r="EZ84" i="7"/>
  <c r="EY84" i="7"/>
  <c r="EX84" i="7"/>
  <c r="EW84" i="7"/>
  <c r="EV84" i="7"/>
  <c r="EU84" i="7"/>
  <c r="ET84" i="7"/>
  <c r="ES84" i="7"/>
  <c r="ER84" i="7"/>
  <c r="EQ84" i="7"/>
  <c r="EP84" i="7"/>
  <c r="EO84" i="7"/>
  <c r="EN84" i="7"/>
  <c r="EM84" i="7"/>
  <c r="EL84" i="7"/>
  <c r="EK84" i="7"/>
  <c r="EJ84" i="7"/>
  <c r="EI84" i="7"/>
  <c r="EH84" i="7"/>
  <c r="EG84" i="7"/>
  <c r="EF84" i="7"/>
  <c r="EE84" i="7"/>
  <c r="ED84" i="7"/>
  <c r="EC84" i="7"/>
  <c r="EB84" i="7"/>
  <c r="EA84" i="7"/>
  <c r="DZ84" i="7"/>
  <c r="DY84" i="7"/>
  <c r="DX84" i="7"/>
  <c r="DW84" i="7"/>
  <c r="DV84" i="7"/>
  <c r="DU84" i="7"/>
  <c r="DT84" i="7"/>
  <c r="DS84" i="7"/>
  <c r="DR84" i="7"/>
  <c r="DQ84" i="7"/>
  <c r="DP84" i="7"/>
  <c r="DO84" i="7"/>
  <c r="DN84" i="7"/>
  <c r="DM84" i="7"/>
  <c r="DL84" i="7"/>
  <c r="DK84" i="7"/>
  <c r="DJ84" i="7"/>
  <c r="DI84" i="7"/>
  <c r="DH84" i="7"/>
  <c r="DG84" i="7"/>
  <c r="DF84" i="7"/>
  <c r="DE84" i="7"/>
  <c r="DD84" i="7"/>
  <c r="DC84" i="7"/>
  <c r="DB84" i="7"/>
  <c r="DA84" i="7"/>
  <c r="CZ84" i="7"/>
  <c r="CY84" i="7"/>
  <c r="CX84" i="7"/>
  <c r="CW84" i="7"/>
  <c r="CV84" i="7"/>
  <c r="CU84" i="7"/>
  <c r="CT84" i="7"/>
  <c r="CS84" i="7"/>
  <c r="CR84" i="7"/>
  <c r="CQ84" i="7"/>
  <c r="CP84" i="7"/>
  <c r="CO84" i="7"/>
  <c r="CN84" i="7"/>
  <c r="CM84" i="7"/>
  <c r="CL84" i="7"/>
  <c r="CK84" i="7"/>
  <c r="CJ84" i="7"/>
  <c r="CI84" i="7"/>
  <c r="CH84" i="7"/>
  <c r="CG84" i="7"/>
  <c r="CF84" i="7"/>
  <c r="CE84" i="7"/>
  <c r="CD84" i="7"/>
  <c r="CC84" i="7"/>
  <c r="CB84" i="7"/>
  <c r="CA84" i="7"/>
  <c r="BZ84" i="7"/>
  <c r="BY84" i="7"/>
  <c r="BX84" i="7"/>
  <c r="BW84" i="7"/>
  <c r="BV84" i="7"/>
  <c r="BU84" i="7"/>
  <c r="BT84" i="7"/>
  <c r="BS84" i="7"/>
  <c r="BR84" i="7"/>
  <c r="BQ84" i="7"/>
  <c r="BP84" i="7"/>
  <c r="BO84" i="7"/>
  <c r="BN84" i="7"/>
  <c r="BM84" i="7"/>
  <c r="BL84" i="7"/>
  <c r="BK84" i="7"/>
  <c r="BJ84" i="7"/>
  <c r="BI84" i="7"/>
  <c r="BH84" i="7"/>
  <c r="BG84" i="7"/>
  <c r="BF84" i="7"/>
  <c r="BE84" i="7"/>
  <c r="BD84" i="7"/>
  <c r="BC84" i="7"/>
  <c r="BB84" i="7"/>
  <c r="BA84" i="7"/>
  <c r="AZ84" i="7"/>
  <c r="AY84" i="7"/>
  <c r="AX84" i="7"/>
  <c r="AW84" i="7"/>
  <c r="AV84" i="7"/>
  <c r="AU84" i="7"/>
  <c r="AT84" i="7"/>
  <c r="AS84" i="7"/>
  <c r="AR84" i="7"/>
  <c r="AQ84" i="7"/>
  <c r="AP84" i="7"/>
  <c r="AO84" i="7"/>
  <c r="AN84" i="7"/>
  <c r="AM84" i="7"/>
  <c r="AL84" i="7"/>
  <c r="AK84" i="7"/>
  <c r="AJ84" i="7"/>
  <c r="AI84" i="7"/>
  <c r="AH84" i="7"/>
  <c r="AG84" i="7"/>
  <c r="AF84" i="7"/>
  <c r="AE84" i="7"/>
  <c r="AD84" i="7"/>
  <c r="AC84" i="7"/>
  <c r="AB84" i="7"/>
  <c r="AA84" i="7"/>
  <c r="Z84" i="7"/>
  <c r="Y84" i="7"/>
  <c r="X84" i="7"/>
  <c r="W84" i="7"/>
  <c r="V84" i="7"/>
  <c r="U84" i="7"/>
  <c r="T84" i="7"/>
  <c r="S84" i="7"/>
  <c r="R84" i="7"/>
  <c r="Q84" i="7"/>
  <c r="P84" i="7"/>
  <c r="O84" i="7"/>
  <c r="N84" i="7"/>
  <c r="M84" i="7"/>
  <c r="L84" i="7"/>
  <c r="K84" i="7"/>
  <c r="J84" i="7"/>
  <c r="I84" i="7"/>
  <c r="H84" i="7"/>
  <c r="G84" i="7"/>
  <c r="F84" i="7"/>
  <c r="E84" i="7"/>
  <c r="D84" i="7"/>
  <c r="C84" i="7"/>
  <c r="B84" i="7"/>
  <c r="A84" i="7"/>
  <c r="FO83" i="7"/>
  <c r="FN83" i="7"/>
  <c r="FM83" i="7"/>
  <c r="FL83" i="7"/>
  <c r="FK83" i="7"/>
  <c r="FJ83" i="7"/>
  <c r="FI83" i="7"/>
  <c r="FH83" i="7"/>
  <c r="FG83" i="7"/>
  <c r="FF83" i="7"/>
  <c r="FE83" i="7"/>
  <c r="FD83" i="7"/>
  <c r="FC83" i="7"/>
  <c r="FB83" i="7"/>
  <c r="FA83" i="7"/>
  <c r="EZ83" i="7"/>
  <c r="EY83" i="7"/>
  <c r="EX83" i="7"/>
  <c r="EW83" i="7"/>
  <c r="EV83" i="7"/>
  <c r="EU83" i="7"/>
  <c r="ET83" i="7"/>
  <c r="ES83" i="7"/>
  <c r="ER83" i="7"/>
  <c r="EQ83" i="7"/>
  <c r="EP83" i="7"/>
  <c r="EO83" i="7"/>
  <c r="EN83" i="7"/>
  <c r="EM83" i="7"/>
  <c r="EL83" i="7"/>
  <c r="EK83" i="7"/>
  <c r="EJ83" i="7"/>
  <c r="EI83" i="7"/>
  <c r="EH83" i="7"/>
  <c r="EG83" i="7"/>
  <c r="EF83" i="7"/>
  <c r="EE83" i="7"/>
  <c r="ED83" i="7"/>
  <c r="EC83" i="7"/>
  <c r="EB83" i="7"/>
  <c r="EA83" i="7"/>
  <c r="DZ83" i="7"/>
  <c r="DY83" i="7"/>
  <c r="DX83" i="7"/>
  <c r="DW83" i="7"/>
  <c r="DV83" i="7"/>
  <c r="DU83" i="7"/>
  <c r="DT83" i="7"/>
  <c r="DS83" i="7"/>
  <c r="DR83" i="7"/>
  <c r="DQ83" i="7"/>
  <c r="DP83" i="7"/>
  <c r="DO83" i="7"/>
  <c r="DN83" i="7"/>
  <c r="DM83" i="7"/>
  <c r="DL83" i="7"/>
  <c r="DK83" i="7"/>
  <c r="DJ83" i="7"/>
  <c r="DI83" i="7"/>
  <c r="DH83" i="7"/>
  <c r="DG83" i="7"/>
  <c r="DF83" i="7"/>
  <c r="DE83" i="7"/>
  <c r="DD83" i="7"/>
  <c r="DC83" i="7"/>
  <c r="DB83" i="7"/>
  <c r="DA83" i="7"/>
  <c r="CZ83" i="7"/>
  <c r="CY83" i="7"/>
  <c r="CX83" i="7"/>
  <c r="CW83" i="7"/>
  <c r="CV83" i="7"/>
  <c r="CU83" i="7"/>
  <c r="CT83" i="7"/>
  <c r="CS83" i="7"/>
  <c r="CR83" i="7"/>
  <c r="CQ83" i="7"/>
  <c r="CP83" i="7"/>
  <c r="CO83" i="7"/>
  <c r="CN83" i="7"/>
  <c r="CM83" i="7"/>
  <c r="CL83" i="7"/>
  <c r="CK83" i="7"/>
  <c r="CJ83" i="7"/>
  <c r="CI83" i="7"/>
  <c r="CH83" i="7"/>
  <c r="CG83" i="7"/>
  <c r="CF83" i="7"/>
  <c r="CE83" i="7"/>
  <c r="CD83" i="7"/>
  <c r="CC83" i="7"/>
  <c r="CB83" i="7"/>
  <c r="CA83" i="7"/>
  <c r="BZ83" i="7"/>
  <c r="BY83" i="7"/>
  <c r="BX83" i="7"/>
  <c r="BW83" i="7"/>
  <c r="BV83" i="7"/>
  <c r="BU83" i="7"/>
  <c r="BT83" i="7"/>
  <c r="BS83" i="7"/>
  <c r="BR83" i="7"/>
  <c r="BQ83" i="7"/>
  <c r="BP83" i="7"/>
  <c r="BO83" i="7"/>
  <c r="BN83" i="7"/>
  <c r="BM83" i="7"/>
  <c r="BL83" i="7"/>
  <c r="BK83" i="7"/>
  <c r="BJ83" i="7"/>
  <c r="BI83" i="7"/>
  <c r="BH83" i="7"/>
  <c r="BG83" i="7"/>
  <c r="BF83" i="7"/>
  <c r="BE83" i="7"/>
  <c r="BD83" i="7"/>
  <c r="BC83" i="7"/>
  <c r="BB83" i="7"/>
  <c r="BA83" i="7"/>
  <c r="AZ83" i="7"/>
  <c r="AY83" i="7"/>
  <c r="AX83" i="7"/>
  <c r="AW83" i="7"/>
  <c r="AV83" i="7"/>
  <c r="AU83" i="7"/>
  <c r="AT83" i="7"/>
  <c r="AS83" i="7"/>
  <c r="AR83" i="7"/>
  <c r="AQ83" i="7"/>
  <c r="AP83" i="7"/>
  <c r="AO83" i="7"/>
  <c r="AN83" i="7"/>
  <c r="AM83" i="7"/>
  <c r="AL83" i="7"/>
  <c r="AK83" i="7"/>
  <c r="AJ83" i="7"/>
  <c r="AI83" i="7"/>
  <c r="AH83" i="7"/>
  <c r="AG83" i="7"/>
  <c r="AF83" i="7"/>
  <c r="AE83" i="7"/>
  <c r="AD83" i="7"/>
  <c r="AC83" i="7"/>
  <c r="AB83" i="7"/>
  <c r="AA83" i="7"/>
  <c r="Z83" i="7"/>
  <c r="Y83" i="7"/>
  <c r="X83" i="7"/>
  <c r="W83" i="7"/>
  <c r="V83" i="7"/>
  <c r="U83" i="7"/>
  <c r="T83" i="7"/>
  <c r="S83" i="7"/>
  <c r="R83" i="7"/>
  <c r="Q83" i="7"/>
  <c r="P83" i="7"/>
  <c r="O83" i="7"/>
  <c r="N83" i="7"/>
  <c r="M83" i="7"/>
  <c r="L83" i="7"/>
  <c r="K83" i="7"/>
  <c r="J83" i="7"/>
  <c r="I83" i="7"/>
  <c r="H83" i="7"/>
  <c r="G83" i="7"/>
  <c r="F83" i="7"/>
  <c r="E83" i="7"/>
  <c r="D83" i="7"/>
  <c r="C83" i="7"/>
  <c r="B83" i="7"/>
  <c r="A83" i="7"/>
  <c r="FO82" i="7"/>
  <c r="FN82" i="7"/>
  <c r="FM82" i="7"/>
  <c r="FL82" i="7"/>
  <c r="FK82" i="7"/>
  <c r="FJ82" i="7"/>
  <c r="FI82" i="7"/>
  <c r="FH82" i="7"/>
  <c r="FG82" i="7"/>
  <c r="FF82" i="7"/>
  <c r="FE82" i="7"/>
  <c r="FD82" i="7"/>
  <c r="FC82" i="7"/>
  <c r="FB82" i="7"/>
  <c r="FA82" i="7"/>
  <c r="EZ82" i="7"/>
  <c r="EY82" i="7"/>
  <c r="EX82" i="7"/>
  <c r="EW82" i="7"/>
  <c r="EV82" i="7"/>
  <c r="EU82" i="7"/>
  <c r="ET82" i="7"/>
  <c r="ES82" i="7"/>
  <c r="ER82" i="7"/>
  <c r="EQ82" i="7"/>
  <c r="EP82" i="7"/>
  <c r="EO82" i="7"/>
  <c r="EN82" i="7"/>
  <c r="EM82" i="7"/>
  <c r="EL82" i="7"/>
  <c r="EK82" i="7"/>
  <c r="EJ82" i="7"/>
  <c r="EI82" i="7"/>
  <c r="EH82" i="7"/>
  <c r="EG82" i="7"/>
  <c r="EF82" i="7"/>
  <c r="EE82" i="7"/>
  <c r="ED82" i="7"/>
  <c r="EC82" i="7"/>
  <c r="EB82" i="7"/>
  <c r="EA82" i="7"/>
  <c r="DZ82" i="7"/>
  <c r="DY82" i="7"/>
  <c r="DX82" i="7"/>
  <c r="DW82" i="7"/>
  <c r="DV82" i="7"/>
  <c r="DU82" i="7"/>
  <c r="DT82" i="7"/>
  <c r="DS82" i="7"/>
  <c r="DR82" i="7"/>
  <c r="DQ82" i="7"/>
  <c r="DP82" i="7"/>
  <c r="DO82" i="7"/>
  <c r="DN82" i="7"/>
  <c r="DM82" i="7"/>
  <c r="DL82" i="7"/>
  <c r="DK82" i="7"/>
  <c r="DJ82" i="7"/>
  <c r="DI82" i="7"/>
  <c r="DH82" i="7"/>
  <c r="DG82" i="7"/>
  <c r="DF82" i="7"/>
  <c r="DE82" i="7"/>
  <c r="DD82" i="7"/>
  <c r="DC82" i="7"/>
  <c r="DB82" i="7"/>
  <c r="DA82" i="7"/>
  <c r="CZ82" i="7"/>
  <c r="CY82" i="7"/>
  <c r="CX82" i="7"/>
  <c r="CW82" i="7"/>
  <c r="CV82" i="7"/>
  <c r="CU82" i="7"/>
  <c r="CT82" i="7"/>
  <c r="CS82" i="7"/>
  <c r="CR82" i="7"/>
  <c r="CQ82" i="7"/>
  <c r="CP82" i="7"/>
  <c r="CO82" i="7"/>
  <c r="CN82" i="7"/>
  <c r="CM82" i="7"/>
  <c r="CL82" i="7"/>
  <c r="CK82" i="7"/>
  <c r="CJ82" i="7"/>
  <c r="CI82" i="7"/>
  <c r="CH82" i="7"/>
  <c r="CG82" i="7"/>
  <c r="CF82" i="7"/>
  <c r="CE82" i="7"/>
  <c r="CD82" i="7"/>
  <c r="CC82" i="7"/>
  <c r="CB82" i="7"/>
  <c r="CA82" i="7"/>
  <c r="BZ82" i="7"/>
  <c r="BY82" i="7"/>
  <c r="BX82" i="7"/>
  <c r="BW82" i="7"/>
  <c r="BV82" i="7"/>
  <c r="BU82" i="7"/>
  <c r="BT82" i="7"/>
  <c r="BS82" i="7"/>
  <c r="BR82" i="7"/>
  <c r="BQ82" i="7"/>
  <c r="BP82" i="7"/>
  <c r="BO82" i="7"/>
  <c r="BN82" i="7"/>
  <c r="BM82" i="7"/>
  <c r="BL82" i="7"/>
  <c r="BK82" i="7"/>
  <c r="BJ82" i="7"/>
  <c r="BI82" i="7"/>
  <c r="BH82" i="7"/>
  <c r="BG82" i="7"/>
  <c r="BF82" i="7"/>
  <c r="BE82" i="7"/>
  <c r="BD82" i="7"/>
  <c r="BC82" i="7"/>
  <c r="BB82" i="7"/>
  <c r="BA82" i="7"/>
  <c r="AZ82" i="7"/>
  <c r="AY82" i="7"/>
  <c r="AX82" i="7"/>
  <c r="AW82" i="7"/>
  <c r="AV82" i="7"/>
  <c r="AU82" i="7"/>
  <c r="AT82" i="7"/>
  <c r="AS82" i="7"/>
  <c r="AR82" i="7"/>
  <c r="AQ82" i="7"/>
  <c r="AP82" i="7"/>
  <c r="AO82" i="7"/>
  <c r="AN82" i="7"/>
  <c r="AM82" i="7"/>
  <c r="AL82" i="7"/>
  <c r="AK82" i="7"/>
  <c r="AJ82" i="7"/>
  <c r="AI82" i="7"/>
  <c r="AH82" i="7"/>
  <c r="AG82" i="7"/>
  <c r="AF82" i="7"/>
  <c r="AE82" i="7"/>
  <c r="AD82" i="7"/>
  <c r="AC82" i="7"/>
  <c r="AB82" i="7"/>
  <c r="AA82" i="7"/>
  <c r="Z82" i="7"/>
  <c r="Y82" i="7"/>
  <c r="X82" i="7"/>
  <c r="W82" i="7"/>
  <c r="V82" i="7"/>
  <c r="U82" i="7"/>
  <c r="T82" i="7"/>
  <c r="S82" i="7"/>
  <c r="R82" i="7"/>
  <c r="Q82" i="7"/>
  <c r="P82" i="7"/>
  <c r="O82" i="7"/>
  <c r="N82" i="7"/>
  <c r="M82" i="7"/>
  <c r="L82" i="7"/>
  <c r="K82" i="7"/>
  <c r="J82" i="7"/>
  <c r="I82" i="7"/>
  <c r="H82" i="7"/>
  <c r="G82" i="7"/>
  <c r="F82" i="7"/>
  <c r="E82" i="7"/>
  <c r="D82" i="7"/>
  <c r="C82" i="7"/>
  <c r="B82" i="7"/>
  <c r="A82" i="7"/>
  <c r="FO81" i="7"/>
  <c r="FN81" i="7"/>
  <c r="FM81" i="7"/>
  <c r="FL81" i="7"/>
  <c r="FK81" i="7"/>
  <c r="FJ81" i="7"/>
  <c r="FI81" i="7"/>
  <c r="FH81" i="7"/>
  <c r="FG81" i="7"/>
  <c r="FF81" i="7"/>
  <c r="FE81" i="7"/>
  <c r="FD81" i="7"/>
  <c r="FC81" i="7"/>
  <c r="FB81" i="7"/>
  <c r="FA81" i="7"/>
  <c r="EZ81" i="7"/>
  <c r="EY81" i="7"/>
  <c r="EX81" i="7"/>
  <c r="EW81" i="7"/>
  <c r="EV81" i="7"/>
  <c r="EU81" i="7"/>
  <c r="ET81" i="7"/>
  <c r="ES81" i="7"/>
  <c r="ER81" i="7"/>
  <c r="EQ81" i="7"/>
  <c r="EP81" i="7"/>
  <c r="EO81" i="7"/>
  <c r="EN81" i="7"/>
  <c r="EM81" i="7"/>
  <c r="EL81" i="7"/>
  <c r="EK81" i="7"/>
  <c r="EJ81" i="7"/>
  <c r="EI81" i="7"/>
  <c r="EH81" i="7"/>
  <c r="EG81" i="7"/>
  <c r="EF81" i="7"/>
  <c r="EE81" i="7"/>
  <c r="ED81" i="7"/>
  <c r="EC81" i="7"/>
  <c r="EB81" i="7"/>
  <c r="EA81" i="7"/>
  <c r="DZ81" i="7"/>
  <c r="DY81" i="7"/>
  <c r="DX81" i="7"/>
  <c r="DW81" i="7"/>
  <c r="DV81" i="7"/>
  <c r="DU81" i="7"/>
  <c r="DT81" i="7"/>
  <c r="DS81" i="7"/>
  <c r="DR81" i="7"/>
  <c r="DQ81" i="7"/>
  <c r="DP81" i="7"/>
  <c r="DO81" i="7"/>
  <c r="DN81" i="7"/>
  <c r="DM81" i="7"/>
  <c r="DL81" i="7"/>
  <c r="DK81" i="7"/>
  <c r="DJ81" i="7"/>
  <c r="DI81" i="7"/>
  <c r="DH81" i="7"/>
  <c r="DG81" i="7"/>
  <c r="DF81" i="7"/>
  <c r="DE81" i="7"/>
  <c r="DD81" i="7"/>
  <c r="DC81" i="7"/>
  <c r="DB81" i="7"/>
  <c r="DA81" i="7"/>
  <c r="CZ81" i="7"/>
  <c r="CY81" i="7"/>
  <c r="CX81" i="7"/>
  <c r="CW81" i="7"/>
  <c r="CV81" i="7"/>
  <c r="CU81" i="7"/>
  <c r="CT81" i="7"/>
  <c r="CS81" i="7"/>
  <c r="CR81" i="7"/>
  <c r="CQ81" i="7"/>
  <c r="CP81" i="7"/>
  <c r="CO81" i="7"/>
  <c r="CN81" i="7"/>
  <c r="CM81" i="7"/>
  <c r="CL81" i="7"/>
  <c r="CK81" i="7"/>
  <c r="CJ81" i="7"/>
  <c r="CI81" i="7"/>
  <c r="CH81" i="7"/>
  <c r="CG81" i="7"/>
  <c r="CF81" i="7"/>
  <c r="CE81" i="7"/>
  <c r="CD81" i="7"/>
  <c r="CC81" i="7"/>
  <c r="CB81" i="7"/>
  <c r="CA81" i="7"/>
  <c r="BZ81" i="7"/>
  <c r="BY81" i="7"/>
  <c r="BX81" i="7"/>
  <c r="BW81" i="7"/>
  <c r="BV81" i="7"/>
  <c r="BU81" i="7"/>
  <c r="BT81" i="7"/>
  <c r="BS81" i="7"/>
  <c r="BR81" i="7"/>
  <c r="BQ81" i="7"/>
  <c r="BP81" i="7"/>
  <c r="BO81" i="7"/>
  <c r="BN81" i="7"/>
  <c r="BM81" i="7"/>
  <c r="BL81" i="7"/>
  <c r="BK81" i="7"/>
  <c r="BJ81" i="7"/>
  <c r="BI81" i="7"/>
  <c r="BH81" i="7"/>
  <c r="BG81" i="7"/>
  <c r="BF81" i="7"/>
  <c r="BE81" i="7"/>
  <c r="BD81" i="7"/>
  <c r="BC81" i="7"/>
  <c r="BB81" i="7"/>
  <c r="BA81" i="7"/>
  <c r="AZ81" i="7"/>
  <c r="AY81" i="7"/>
  <c r="AX81" i="7"/>
  <c r="AW81" i="7"/>
  <c r="AV81" i="7"/>
  <c r="AU81" i="7"/>
  <c r="AT81" i="7"/>
  <c r="AS81" i="7"/>
  <c r="AR81" i="7"/>
  <c r="AQ81" i="7"/>
  <c r="AP81" i="7"/>
  <c r="AO81" i="7"/>
  <c r="AN81" i="7"/>
  <c r="AM81" i="7"/>
  <c r="AL81" i="7"/>
  <c r="AK81" i="7"/>
  <c r="AJ81" i="7"/>
  <c r="AI81" i="7"/>
  <c r="AH81" i="7"/>
  <c r="AG81" i="7"/>
  <c r="AF81" i="7"/>
  <c r="AE81" i="7"/>
  <c r="AD81" i="7"/>
  <c r="AC81" i="7"/>
  <c r="AB81" i="7"/>
  <c r="AA81" i="7"/>
  <c r="Z81" i="7"/>
  <c r="Y81" i="7"/>
  <c r="X81" i="7"/>
  <c r="W81" i="7"/>
  <c r="V81" i="7"/>
  <c r="U81" i="7"/>
  <c r="T81" i="7"/>
  <c r="S81" i="7"/>
  <c r="R81" i="7"/>
  <c r="Q81" i="7"/>
  <c r="P81" i="7"/>
  <c r="O81" i="7"/>
  <c r="N81" i="7"/>
  <c r="M81" i="7"/>
  <c r="L81" i="7"/>
  <c r="K81" i="7"/>
  <c r="J81" i="7"/>
  <c r="I81" i="7"/>
  <c r="H81" i="7"/>
  <c r="G81" i="7"/>
  <c r="F81" i="7"/>
  <c r="E81" i="7"/>
  <c r="D81" i="7"/>
  <c r="C81" i="7"/>
  <c r="B81" i="7"/>
  <c r="A81" i="7"/>
  <c r="FO80" i="7"/>
  <c r="FN80" i="7"/>
  <c r="FM80" i="7"/>
  <c r="FL80" i="7"/>
  <c r="FK80" i="7"/>
  <c r="FJ80" i="7"/>
  <c r="FI80" i="7"/>
  <c r="FH80" i="7"/>
  <c r="FG80" i="7"/>
  <c r="FF80" i="7"/>
  <c r="FE80" i="7"/>
  <c r="FD80" i="7"/>
  <c r="FC80" i="7"/>
  <c r="FB80" i="7"/>
  <c r="FA80" i="7"/>
  <c r="EZ80" i="7"/>
  <c r="EY80" i="7"/>
  <c r="EX80" i="7"/>
  <c r="EW80" i="7"/>
  <c r="EV80" i="7"/>
  <c r="EU80" i="7"/>
  <c r="ET80" i="7"/>
  <c r="ES80" i="7"/>
  <c r="ER80" i="7"/>
  <c r="EQ80" i="7"/>
  <c r="EP80" i="7"/>
  <c r="EO80" i="7"/>
  <c r="EN80" i="7"/>
  <c r="EM80" i="7"/>
  <c r="EL80" i="7"/>
  <c r="EK80" i="7"/>
  <c r="EJ80" i="7"/>
  <c r="EI80" i="7"/>
  <c r="EH80" i="7"/>
  <c r="EG80" i="7"/>
  <c r="EF80" i="7"/>
  <c r="EE80" i="7"/>
  <c r="ED80" i="7"/>
  <c r="EC80" i="7"/>
  <c r="EB80" i="7"/>
  <c r="EA80" i="7"/>
  <c r="DZ80" i="7"/>
  <c r="DY80" i="7"/>
  <c r="DX80" i="7"/>
  <c r="DW80" i="7"/>
  <c r="DV80" i="7"/>
  <c r="DU80" i="7"/>
  <c r="DT80" i="7"/>
  <c r="DS80" i="7"/>
  <c r="DR80" i="7"/>
  <c r="DQ80" i="7"/>
  <c r="DP80" i="7"/>
  <c r="DO80" i="7"/>
  <c r="DN80" i="7"/>
  <c r="DM80" i="7"/>
  <c r="DL80" i="7"/>
  <c r="DK80" i="7"/>
  <c r="DJ80" i="7"/>
  <c r="DI80" i="7"/>
  <c r="DH80" i="7"/>
  <c r="DG80" i="7"/>
  <c r="DF80" i="7"/>
  <c r="DE80" i="7"/>
  <c r="DD80" i="7"/>
  <c r="DC80" i="7"/>
  <c r="DB80" i="7"/>
  <c r="DA80" i="7"/>
  <c r="CZ80" i="7"/>
  <c r="CY80" i="7"/>
  <c r="CX80" i="7"/>
  <c r="CW80" i="7"/>
  <c r="CV80" i="7"/>
  <c r="CU80" i="7"/>
  <c r="CT80" i="7"/>
  <c r="CS80" i="7"/>
  <c r="CR80" i="7"/>
  <c r="CQ80" i="7"/>
  <c r="CP80" i="7"/>
  <c r="CO80" i="7"/>
  <c r="CN80" i="7"/>
  <c r="CM80" i="7"/>
  <c r="CL80" i="7"/>
  <c r="CK80" i="7"/>
  <c r="CJ80" i="7"/>
  <c r="CI80" i="7"/>
  <c r="CH80" i="7"/>
  <c r="CG80" i="7"/>
  <c r="CF80" i="7"/>
  <c r="CE80" i="7"/>
  <c r="CD80" i="7"/>
  <c r="CC80" i="7"/>
  <c r="CB80" i="7"/>
  <c r="CA80" i="7"/>
  <c r="BZ80" i="7"/>
  <c r="BY80" i="7"/>
  <c r="BX80" i="7"/>
  <c r="BW80" i="7"/>
  <c r="BV80" i="7"/>
  <c r="BU80" i="7"/>
  <c r="BT80" i="7"/>
  <c r="BS80" i="7"/>
  <c r="BR80" i="7"/>
  <c r="BQ80" i="7"/>
  <c r="BP80" i="7"/>
  <c r="BO80" i="7"/>
  <c r="BN80" i="7"/>
  <c r="BM80" i="7"/>
  <c r="BL80" i="7"/>
  <c r="BK80" i="7"/>
  <c r="BJ80" i="7"/>
  <c r="BI80" i="7"/>
  <c r="BH80" i="7"/>
  <c r="BG80" i="7"/>
  <c r="BF80" i="7"/>
  <c r="BE80" i="7"/>
  <c r="BD80" i="7"/>
  <c r="BC80" i="7"/>
  <c r="BB80" i="7"/>
  <c r="BA80" i="7"/>
  <c r="AZ80" i="7"/>
  <c r="AY80" i="7"/>
  <c r="AX80" i="7"/>
  <c r="AW80" i="7"/>
  <c r="AV80" i="7"/>
  <c r="AU80" i="7"/>
  <c r="AT80" i="7"/>
  <c r="AS80" i="7"/>
  <c r="AR80" i="7"/>
  <c r="AQ80" i="7"/>
  <c r="AP80" i="7"/>
  <c r="AO80" i="7"/>
  <c r="AN80" i="7"/>
  <c r="AM80" i="7"/>
  <c r="AL80" i="7"/>
  <c r="AK80" i="7"/>
  <c r="AJ80" i="7"/>
  <c r="AI80" i="7"/>
  <c r="AH80" i="7"/>
  <c r="AG80" i="7"/>
  <c r="AF80" i="7"/>
  <c r="AE80" i="7"/>
  <c r="AD80" i="7"/>
  <c r="AC80" i="7"/>
  <c r="AB80" i="7"/>
  <c r="AA80" i="7"/>
  <c r="Z80" i="7"/>
  <c r="Y80" i="7"/>
  <c r="X80" i="7"/>
  <c r="W80" i="7"/>
  <c r="V80" i="7"/>
  <c r="U80" i="7"/>
  <c r="T80" i="7"/>
  <c r="S80" i="7"/>
  <c r="R80" i="7"/>
  <c r="Q80" i="7"/>
  <c r="P80" i="7"/>
  <c r="O80" i="7"/>
  <c r="N80" i="7"/>
  <c r="M80" i="7"/>
  <c r="L80" i="7"/>
  <c r="K80" i="7"/>
  <c r="J80" i="7"/>
  <c r="I80" i="7"/>
  <c r="H80" i="7"/>
  <c r="G80" i="7"/>
  <c r="F80" i="7"/>
  <c r="E80" i="7"/>
  <c r="D80" i="7"/>
  <c r="C80" i="7"/>
  <c r="B80" i="7"/>
  <c r="A80" i="7"/>
  <c r="FO79" i="7"/>
  <c r="FN79" i="7"/>
  <c r="FM79" i="7"/>
  <c r="FL79" i="7"/>
  <c r="FK79" i="7"/>
  <c r="FJ79" i="7"/>
  <c r="FI79" i="7"/>
  <c r="FH79" i="7"/>
  <c r="FG79" i="7"/>
  <c r="FF79" i="7"/>
  <c r="FE79" i="7"/>
  <c r="FD79" i="7"/>
  <c r="FC79" i="7"/>
  <c r="FB79" i="7"/>
  <c r="FA79" i="7"/>
  <c r="EZ79" i="7"/>
  <c r="EY79" i="7"/>
  <c r="EX79" i="7"/>
  <c r="EW79" i="7"/>
  <c r="EV79" i="7"/>
  <c r="EU79" i="7"/>
  <c r="ET79" i="7"/>
  <c r="ES79" i="7"/>
  <c r="ER79" i="7"/>
  <c r="EQ79" i="7"/>
  <c r="EP79" i="7"/>
  <c r="EO79" i="7"/>
  <c r="EN79" i="7"/>
  <c r="EM79" i="7"/>
  <c r="EL79" i="7"/>
  <c r="EK79" i="7"/>
  <c r="EJ79" i="7"/>
  <c r="EI79" i="7"/>
  <c r="EH79" i="7"/>
  <c r="EG79" i="7"/>
  <c r="EF79" i="7"/>
  <c r="EE79" i="7"/>
  <c r="ED79" i="7"/>
  <c r="EC79" i="7"/>
  <c r="EB79" i="7"/>
  <c r="EA79" i="7"/>
  <c r="DZ79" i="7"/>
  <c r="DY79" i="7"/>
  <c r="DX79" i="7"/>
  <c r="DW79" i="7"/>
  <c r="DV79" i="7"/>
  <c r="DU79" i="7"/>
  <c r="DT79" i="7"/>
  <c r="DS79" i="7"/>
  <c r="DR79" i="7"/>
  <c r="DQ79" i="7"/>
  <c r="DP79" i="7"/>
  <c r="DO79" i="7"/>
  <c r="DN79" i="7"/>
  <c r="DM79" i="7"/>
  <c r="DL79" i="7"/>
  <c r="DK79" i="7"/>
  <c r="DJ79" i="7"/>
  <c r="DI79" i="7"/>
  <c r="DH79" i="7"/>
  <c r="DG79" i="7"/>
  <c r="DF79" i="7"/>
  <c r="DE79" i="7"/>
  <c r="DD79" i="7"/>
  <c r="DC79" i="7"/>
  <c r="DB79" i="7"/>
  <c r="DA79" i="7"/>
  <c r="CZ79" i="7"/>
  <c r="CY79" i="7"/>
  <c r="CX79" i="7"/>
  <c r="CW79" i="7"/>
  <c r="CV79" i="7"/>
  <c r="CU79" i="7"/>
  <c r="CT79" i="7"/>
  <c r="CS79" i="7"/>
  <c r="CR79" i="7"/>
  <c r="CQ79" i="7"/>
  <c r="CP79" i="7"/>
  <c r="CO79" i="7"/>
  <c r="CN79" i="7"/>
  <c r="CM79" i="7"/>
  <c r="CL79" i="7"/>
  <c r="CK79" i="7"/>
  <c r="CJ79" i="7"/>
  <c r="CI79" i="7"/>
  <c r="CH79" i="7"/>
  <c r="CG79" i="7"/>
  <c r="CF79" i="7"/>
  <c r="CE79" i="7"/>
  <c r="CD79" i="7"/>
  <c r="CC79" i="7"/>
  <c r="CB79" i="7"/>
  <c r="CA79" i="7"/>
  <c r="BZ79" i="7"/>
  <c r="BY79" i="7"/>
  <c r="BX79" i="7"/>
  <c r="BW79" i="7"/>
  <c r="BV79" i="7"/>
  <c r="BU79" i="7"/>
  <c r="BT79" i="7"/>
  <c r="BS79" i="7"/>
  <c r="BR79" i="7"/>
  <c r="BQ79" i="7"/>
  <c r="BP79" i="7"/>
  <c r="BO79" i="7"/>
  <c r="BN79" i="7"/>
  <c r="BM79" i="7"/>
  <c r="BL79" i="7"/>
  <c r="BK79" i="7"/>
  <c r="BJ79" i="7"/>
  <c r="BI79" i="7"/>
  <c r="BH79" i="7"/>
  <c r="BG79" i="7"/>
  <c r="BF79" i="7"/>
  <c r="BE79" i="7"/>
  <c r="BD79" i="7"/>
  <c r="BC79" i="7"/>
  <c r="BB79" i="7"/>
  <c r="BA79" i="7"/>
  <c r="AZ79" i="7"/>
  <c r="AY79" i="7"/>
  <c r="AX79" i="7"/>
  <c r="AW79" i="7"/>
  <c r="AV79" i="7"/>
  <c r="AU79" i="7"/>
  <c r="AT79" i="7"/>
  <c r="AS79" i="7"/>
  <c r="AR79" i="7"/>
  <c r="AQ79" i="7"/>
  <c r="AP79" i="7"/>
  <c r="AO79" i="7"/>
  <c r="AN79" i="7"/>
  <c r="AM79" i="7"/>
  <c r="AL79" i="7"/>
  <c r="AK79" i="7"/>
  <c r="AJ79" i="7"/>
  <c r="AI79" i="7"/>
  <c r="AH79" i="7"/>
  <c r="AG79" i="7"/>
  <c r="AF79" i="7"/>
  <c r="AE79" i="7"/>
  <c r="AD79" i="7"/>
  <c r="AC79" i="7"/>
  <c r="AB79" i="7"/>
  <c r="AA79" i="7"/>
  <c r="Z79" i="7"/>
  <c r="Y79" i="7"/>
  <c r="X79" i="7"/>
  <c r="W79" i="7"/>
  <c r="V79" i="7"/>
  <c r="U79" i="7"/>
  <c r="T79" i="7"/>
  <c r="S79" i="7"/>
  <c r="R79" i="7"/>
  <c r="Q79" i="7"/>
  <c r="P79" i="7"/>
  <c r="O79" i="7"/>
  <c r="N79" i="7"/>
  <c r="M79" i="7"/>
  <c r="L79" i="7"/>
  <c r="K79" i="7"/>
  <c r="J79" i="7"/>
  <c r="I79" i="7"/>
  <c r="H79" i="7"/>
  <c r="G79" i="7"/>
  <c r="F79" i="7"/>
  <c r="E79" i="7"/>
  <c r="D79" i="7"/>
  <c r="C79" i="7"/>
  <c r="B79" i="7"/>
  <c r="A79" i="7"/>
  <c r="FO78" i="7"/>
  <c r="FN78" i="7"/>
  <c r="FM78" i="7"/>
  <c r="FL78" i="7"/>
  <c r="FK78" i="7"/>
  <c r="FJ78" i="7"/>
  <c r="FI78" i="7"/>
  <c r="FH78" i="7"/>
  <c r="FG78" i="7"/>
  <c r="FF78" i="7"/>
  <c r="FE78" i="7"/>
  <c r="FD78" i="7"/>
  <c r="FC78" i="7"/>
  <c r="FB78" i="7"/>
  <c r="FA78" i="7"/>
  <c r="EZ78" i="7"/>
  <c r="EY78" i="7"/>
  <c r="EX78" i="7"/>
  <c r="EW78" i="7"/>
  <c r="EV78" i="7"/>
  <c r="EU78" i="7"/>
  <c r="ET78" i="7"/>
  <c r="ES78" i="7"/>
  <c r="ER78" i="7"/>
  <c r="EQ78" i="7"/>
  <c r="EP78" i="7"/>
  <c r="EO78" i="7"/>
  <c r="EN78" i="7"/>
  <c r="EM78" i="7"/>
  <c r="EL78" i="7"/>
  <c r="EK78" i="7"/>
  <c r="EJ78" i="7"/>
  <c r="EI78" i="7"/>
  <c r="EH78" i="7"/>
  <c r="EG78" i="7"/>
  <c r="EF78" i="7"/>
  <c r="EE78" i="7"/>
  <c r="ED78" i="7"/>
  <c r="EC78" i="7"/>
  <c r="EB78" i="7"/>
  <c r="EA78" i="7"/>
  <c r="DZ78" i="7"/>
  <c r="DY78" i="7"/>
  <c r="DX78" i="7"/>
  <c r="DW78" i="7"/>
  <c r="DV78" i="7"/>
  <c r="DU78" i="7"/>
  <c r="DT78" i="7"/>
  <c r="DS78" i="7"/>
  <c r="DR78" i="7"/>
  <c r="DQ78" i="7"/>
  <c r="DP78" i="7"/>
  <c r="DO78" i="7"/>
  <c r="DN78" i="7"/>
  <c r="DM78" i="7"/>
  <c r="DL78" i="7"/>
  <c r="DK78" i="7"/>
  <c r="DJ78" i="7"/>
  <c r="DI78" i="7"/>
  <c r="DH78" i="7"/>
  <c r="DG78" i="7"/>
  <c r="DF78" i="7"/>
  <c r="DE78" i="7"/>
  <c r="DD78" i="7"/>
  <c r="DC78" i="7"/>
  <c r="DB78" i="7"/>
  <c r="DA78" i="7"/>
  <c r="CZ78" i="7"/>
  <c r="CY78" i="7"/>
  <c r="CX78" i="7"/>
  <c r="CW78" i="7"/>
  <c r="CV78" i="7"/>
  <c r="CU78" i="7"/>
  <c r="CT78" i="7"/>
  <c r="CS78" i="7"/>
  <c r="CR78" i="7"/>
  <c r="CQ78" i="7"/>
  <c r="CP78" i="7"/>
  <c r="CO78" i="7"/>
  <c r="CN78" i="7"/>
  <c r="CM78" i="7"/>
  <c r="CL78" i="7"/>
  <c r="CK78" i="7"/>
  <c r="CJ78" i="7"/>
  <c r="CI78" i="7"/>
  <c r="CH78" i="7"/>
  <c r="CG78" i="7"/>
  <c r="CF78" i="7"/>
  <c r="CE78" i="7"/>
  <c r="CD78" i="7"/>
  <c r="CC78" i="7"/>
  <c r="CB78" i="7"/>
  <c r="CA78" i="7"/>
  <c r="BZ78" i="7"/>
  <c r="BY78" i="7"/>
  <c r="BX78" i="7"/>
  <c r="BW78" i="7"/>
  <c r="BV78" i="7"/>
  <c r="BU78" i="7"/>
  <c r="BT78" i="7"/>
  <c r="BS78" i="7"/>
  <c r="BR78" i="7"/>
  <c r="BQ78" i="7"/>
  <c r="BP78" i="7"/>
  <c r="BO78" i="7"/>
  <c r="BN78" i="7"/>
  <c r="BM78" i="7"/>
  <c r="BL78" i="7"/>
  <c r="BK78" i="7"/>
  <c r="BJ78" i="7"/>
  <c r="BI78" i="7"/>
  <c r="BH78" i="7"/>
  <c r="BG78" i="7"/>
  <c r="BF78" i="7"/>
  <c r="BE78" i="7"/>
  <c r="BD78" i="7"/>
  <c r="BC78" i="7"/>
  <c r="BB78" i="7"/>
  <c r="BA78" i="7"/>
  <c r="AZ78" i="7"/>
  <c r="AY78" i="7"/>
  <c r="AX78" i="7"/>
  <c r="AW78" i="7"/>
  <c r="AV78" i="7"/>
  <c r="AU78" i="7"/>
  <c r="AT78" i="7"/>
  <c r="AS78" i="7"/>
  <c r="AR78" i="7"/>
  <c r="AQ78" i="7"/>
  <c r="AP78" i="7"/>
  <c r="AO78" i="7"/>
  <c r="AN78" i="7"/>
  <c r="AM78" i="7"/>
  <c r="AL78" i="7"/>
  <c r="AK78" i="7"/>
  <c r="AJ78" i="7"/>
  <c r="AI78" i="7"/>
  <c r="AH78" i="7"/>
  <c r="AG78" i="7"/>
  <c r="AF78" i="7"/>
  <c r="AE78" i="7"/>
  <c r="AD78" i="7"/>
  <c r="AC78" i="7"/>
  <c r="AB78" i="7"/>
  <c r="AA78" i="7"/>
  <c r="Z78" i="7"/>
  <c r="Y78" i="7"/>
  <c r="X78" i="7"/>
  <c r="W78" i="7"/>
  <c r="V78" i="7"/>
  <c r="U78" i="7"/>
  <c r="T78" i="7"/>
  <c r="S78" i="7"/>
  <c r="R78" i="7"/>
  <c r="Q78" i="7"/>
  <c r="P78" i="7"/>
  <c r="O78" i="7"/>
  <c r="N78" i="7"/>
  <c r="M78" i="7"/>
  <c r="L78" i="7"/>
  <c r="K78" i="7"/>
  <c r="J78" i="7"/>
  <c r="I78" i="7"/>
  <c r="H78" i="7"/>
  <c r="G78" i="7"/>
  <c r="F78" i="7"/>
  <c r="E78" i="7"/>
  <c r="D78" i="7"/>
  <c r="C78" i="7"/>
  <c r="B78" i="7"/>
  <c r="A78" i="7"/>
  <c r="FO77" i="7"/>
  <c r="FN77" i="7"/>
  <c r="FM77" i="7"/>
  <c r="FL77" i="7"/>
  <c r="FK77" i="7"/>
  <c r="FJ77" i="7"/>
  <c r="FI77" i="7"/>
  <c r="FH77" i="7"/>
  <c r="FG77" i="7"/>
  <c r="FF77" i="7"/>
  <c r="FE77" i="7"/>
  <c r="FD77" i="7"/>
  <c r="FC77" i="7"/>
  <c r="FB77" i="7"/>
  <c r="FA77" i="7"/>
  <c r="EZ77" i="7"/>
  <c r="EY77" i="7"/>
  <c r="EX77" i="7"/>
  <c r="EW77" i="7"/>
  <c r="EV77" i="7"/>
  <c r="EU77" i="7"/>
  <c r="ET77" i="7"/>
  <c r="ES77" i="7"/>
  <c r="ER77" i="7"/>
  <c r="EQ77" i="7"/>
  <c r="EP77" i="7"/>
  <c r="EO77" i="7"/>
  <c r="EN77" i="7"/>
  <c r="EM77" i="7"/>
  <c r="EL77" i="7"/>
  <c r="EK77" i="7"/>
  <c r="EJ77" i="7"/>
  <c r="EI77" i="7"/>
  <c r="EH77" i="7"/>
  <c r="EG77" i="7"/>
  <c r="EF77" i="7"/>
  <c r="EE77" i="7"/>
  <c r="ED77" i="7"/>
  <c r="EC77" i="7"/>
  <c r="EB77" i="7"/>
  <c r="EA77" i="7"/>
  <c r="DZ77" i="7"/>
  <c r="DY77" i="7"/>
  <c r="DX77" i="7"/>
  <c r="DW77" i="7"/>
  <c r="DV77" i="7"/>
  <c r="DU77" i="7"/>
  <c r="DT77" i="7"/>
  <c r="DS77" i="7"/>
  <c r="DR77" i="7"/>
  <c r="DQ77" i="7"/>
  <c r="DP77" i="7"/>
  <c r="DO77" i="7"/>
  <c r="DN77" i="7"/>
  <c r="DM77" i="7"/>
  <c r="DL77" i="7"/>
  <c r="DK77" i="7"/>
  <c r="DJ77" i="7"/>
  <c r="DI77" i="7"/>
  <c r="DH77" i="7"/>
  <c r="DG77" i="7"/>
  <c r="DF77" i="7"/>
  <c r="DE77" i="7"/>
  <c r="DD77" i="7"/>
  <c r="DC77" i="7"/>
  <c r="DB77" i="7"/>
  <c r="DA77" i="7"/>
  <c r="CZ77" i="7"/>
  <c r="CY77" i="7"/>
  <c r="CX77" i="7"/>
  <c r="CW77" i="7"/>
  <c r="CV77" i="7"/>
  <c r="CU77" i="7"/>
  <c r="CT77" i="7"/>
  <c r="CS77" i="7"/>
  <c r="CR77" i="7"/>
  <c r="CQ77" i="7"/>
  <c r="CP77" i="7"/>
  <c r="CO77" i="7"/>
  <c r="CN77" i="7"/>
  <c r="CM77" i="7"/>
  <c r="CL77" i="7"/>
  <c r="CK77" i="7"/>
  <c r="CJ77" i="7"/>
  <c r="CI77" i="7"/>
  <c r="CH77" i="7"/>
  <c r="CG77" i="7"/>
  <c r="CF77" i="7"/>
  <c r="CE77" i="7"/>
  <c r="CD77" i="7"/>
  <c r="CC77" i="7"/>
  <c r="CB77" i="7"/>
  <c r="CA77" i="7"/>
  <c r="BZ77" i="7"/>
  <c r="BY77" i="7"/>
  <c r="BX77" i="7"/>
  <c r="BW77" i="7"/>
  <c r="BV77" i="7"/>
  <c r="BU77" i="7"/>
  <c r="BT77" i="7"/>
  <c r="BS77" i="7"/>
  <c r="BR77" i="7"/>
  <c r="BQ77" i="7"/>
  <c r="BP77" i="7"/>
  <c r="BO77" i="7"/>
  <c r="BN77" i="7"/>
  <c r="BM77" i="7"/>
  <c r="BL77" i="7"/>
  <c r="BK77" i="7"/>
  <c r="BJ77" i="7"/>
  <c r="BI77" i="7"/>
  <c r="BH77" i="7"/>
  <c r="BG77" i="7"/>
  <c r="BF77" i="7"/>
  <c r="BE77" i="7"/>
  <c r="BD77" i="7"/>
  <c r="BC77" i="7"/>
  <c r="BB77" i="7"/>
  <c r="BA77" i="7"/>
  <c r="AZ77" i="7"/>
  <c r="AY77" i="7"/>
  <c r="AX77" i="7"/>
  <c r="AW77" i="7"/>
  <c r="AV77" i="7"/>
  <c r="AU77" i="7"/>
  <c r="AT77" i="7"/>
  <c r="AS77" i="7"/>
  <c r="AR77" i="7"/>
  <c r="AQ77" i="7"/>
  <c r="AP77" i="7"/>
  <c r="AO77" i="7"/>
  <c r="AN77" i="7"/>
  <c r="AM77" i="7"/>
  <c r="AL77" i="7"/>
  <c r="AK77" i="7"/>
  <c r="AJ77" i="7"/>
  <c r="AI77" i="7"/>
  <c r="AH77" i="7"/>
  <c r="AG77" i="7"/>
  <c r="AF77" i="7"/>
  <c r="AE77" i="7"/>
  <c r="AD77" i="7"/>
  <c r="AC77" i="7"/>
  <c r="AB77" i="7"/>
  <c r="AA77" i="7"/>
  <c r="Z77" i="7"/>
  <c r="Y77" i="7"/>
  <c r="X77" i="7"/>
  <c r="W77" i="7"/>
  <c r="V77" i="7"/>
  <c r="U77" i="7"/>
  <c r="T77" i="7"/>
  <c r="S77" i="7"/>
  <c r="R77" i="7"/>
  <c r="Q77" i="7"/>
  <c r="P77" i="7"/>
  <c r="O77" i="7"/>
  <c r="N77" i="7"/>
  <c r="M77" i="7"/>
  <c r="L77" i="7"/>
  <c r="K77" i="7"/>
  <c r="J77" i="7"/>
  <c r="I77" i="7"/>
  <c r="H77" i="7"/>
  <c r="G77" i="7"/>
  <c r="F77" i="7"/>
  <c r="E77" i="7"/>
  <c r="D77" i="7"/>
  <c r="C77" i="7"/>
  <c r="B77" i="7"/>
  <c r="A77" i="7"/>
  <c r="FO76" i="7"/>
  <c r="FN76" i="7"/>
  <c r="FM76" i="7"/>
  <c r="FL76" i="7"/>
  <c r="FK76" i="7"/>
  <c r="FJ76" i="7"/>
  <c r="FI76" i="7"/>
  <c r="FH76" i="7"/>
  <c r="FG76" i="7"/>
  <c r="FF76" i="7"/>
  <c r="FE76" i="7"/>
  <c r="FD76" i="7"/>
  <c r="FC76" i="7"/>
  <c r="FB76" i="7"/>
  <c r="FA76" i="7"/>
  <c r="EZ76" i="7"/>
  <c r="EY76" i="7"/>
  <c r="EX76" i="7"/>
  <c r="EW76" i="7"/>
  <c r="EV76" i="7"/>
  <c r="EU76" i="7"/>
  <c r="ET76" i="7"/>
  <c r="ES76" i="7"/>
  <c r="ER76" i="7"/>
  <c r="EQ76" i="7"/>
  <c r="EP76" i="7"/>
  <c r="EO76" i="7"/>
  <c r="EN76" i="7"/>
  <c r="EM76" i="7"/>
  <c r="EL76" i="7"/>
  <c r="EK76" i="7"/>
  <c r="EJ76" i="7"/>
  <c r="EI76" i="7"/>
  <c r="EH76" i="7"/>
  <c r="EG76" i="7"/>
  <c r="EF76" i="7"/>
  <c r="EE76" i="7"/>
  <c r="ED76" i="7"/>
  <c r="EC76" i="7"/>
  <c r="EB76" i="7"/>
  <c r="EA76" i="7"/>
  <c r="DZ76" i="7"/>
  <c r="DY76" i="7"/>
  <c r="DX76" i="7"/>
  <c r="DW76" i="7"/>
  <c r="DV76" i="7"/>
  <c r="DU76" i="7"/>
  <c r="DT76" i="7"/>
  <c r="DS76" i="7"/>
  <c r="DR76" i="7"/>
  <c r="DQ76" i="7"/>
  <c r="DP76" i="7"/>
  <c r="DO76" i="7"/>
  <c r="DN76" i="7"/>
  <c r="DM76" i="7"/>
  <c r="DL76" i="7"/>
  <c r="DK76" i="7"/>
  <c r="DJ76" i="7"/>
  <c r="DI76" i="7"/>
  <c r="DH76" i="7"/>
  <c r="DG76" i="7"/>
  <c r="DF76" i="7"/>
  <c r="DE76" i="7"/>
  <c r="DD76" i="7"/>
  <c r="DC76" i="7"/>
  <c r="DB76" i="7"/>
  <c r="DA76" i="7"/>
  <c r="CZ76" i="7"/>
  <c r="CY76" i="7"/>
  <c r="CX76" i="7"/>
  <c r="CW76" i="7"/>
  <c r="CV76" i="7"/>
  <c r="CU76" i="7"/>
  <c r="CT76" i="7"/>
  <c r="CS76" i="7"/>
  <c r="CR76" i="7"/>
  <c r="CQ76" i="7"/>
  <c r="CP76" i="7"/>
  <c r="CO76" i="7"/>
  <c r="CN76" i="7"/>
  <c r="CM76" i="7"/>
  <c r="CL76" i="7"/>
  <c r="CK76" i="7"/>
  <c r="CJ76" i="7"/>
  <c r="CI76" i="7"/>
  <c r="CH76" i="7"/>
  <c r="CG76" i="7"/>
  <c r="CF76" i="7"/>
  <c r="CE76" i="7"/>
  <c r="CD76" i="7"/>
  <c r="CC76" i="7"/>
  <c r="CB76" i="7"/>
  <c r="CA76" i="7"/>
  <c r="BZ76" i="7"/>
  <c r="BY76" i="7"/>
  <c r="BX76" i="7"/>
  <c r="BW76" i="7"/>
  <c r="BV76" i="7"/>
  <c r="BU76" i="7"/>
  <c r="BT76" i="7"/>
  <c r="BS76" i="7"/>
  <c r="BR76" i="7"/>
  <c r="BQ76" i="7"/>
  <c r="BP76" i="7"/>
  <c r="BO76" i="7"/>
  <c r="BN76" i="7"/>
  <c r="BM76" i="7"/>
  <c r="BL76" i="7"/>
  <c r="BK76" i="7"/>
  <c r="BJ76" i="7"/>
  <c r="BI76" i="7"/>
  <c r="BH76" i="7"/>
  <c r="BG76" i="7"/>
  <c r="BF76" i="7"/>
  <c r="BE76" i="7"/>
  <c r="BD76" i="7"/>
  <c r="BC76" i="7"/>
  <c r="BB76" i="7"/>
  <c r="BA76" i="7"/>
  <c r="AZ76" i="7"/>
  <c r="AY76" i="7"/>
  <c r="AX76" i="7"/>
  <c r="AW76" i="7"/>
  <c r="AV76" i="7"/>
  <c r="AU76" i="7"/>
  <c r="AT76" i="7"/>
  <c r="AS76" i="7"/>
  <c r="AR76" i="7"/>
  <c r="AQ76" i="7"/>
  <c r="AP76" i="7"/>
  <c r="AO76" i="7"/>
  <c r="AN76" i="7"/>
  <c r="AM76" i="7"/>
  <c r="AL76" i="7"/>
  <c r="AK76" i="7"/>
  <c r="AJ76" i="7"/>
  <c r="AI76" i="7"/>
  <c r="AH76" i="7"/>
  <c r="AG76" i="7"/>
  <c r="AF76" i="7"/>
  <c r="AE76" i="7"/>
  <c r="AD76" i="7"/>
  <c r="AC76" i="7"/>
  <c r="AB76" i="7"/>
  <c r="AA76" i="7"/>
  <c r="Z76" i="7"/>
  <c r="Y76" i="7"/>
  <c r="X76" i="7"/>
  <c r="W76" i="7"/>
  <c r="V76" i="7"/>
  <c r="U76" i="7"/>
  <c r="T76" i="7"/>
  <c r="S76" i="7"/>
  <c r="R76" i="7"/>
  <c r="Q76" i="7"/>
  <c r="P76" i="7"/>
  <c r="O76" i="7"/>
  <c r="N76" i="7"/>
  <c r="M76" i="7"/>
  <c r="L76" i="7"/>
  <c r="K76" i="7"/>
  <c r="J76" i="7"/>
  <c r="I76" i="7"/>
  <c r="H76" i="7"/>
  <c r="G76" i="7"/>
  <c r="F76" i="7"/>
  <c r="E76" i="7"/>
  <c r="D76" i="7"/>
  <c r="C76" i="7"/>
  <c r="B76" i="7"/>
  <c r="A76" i="7"/>
  <c r="FO75" i="7"/>
  <c r="FN75" i="7"/>
  <c r="FM75" i="7"/>
  <c r="FL75" i="7"/>
  <c r="FK75" i="7"/>
  <c r="FJ75" i="7"/>
  <c r="FI75" i="7"/>
  <c r="FH75" i="7"/>
  <c r="FG75" i="7"/>
  <c r="FF75" i="7"/>
  <c r="FE75" i="7"/>
  <c r="FD75" i="7"/>
  <c r="FC75" i="7"/>
  <c r="FB75" i="7"/>
  <c r="FA75" i="7"/>
  <c r="EZ75" i="7"/>
  <c r="EY75" i="7"/>
  <c r="EX75" i="7"/>
  <c r="EW75" i="7"/>
  <c r="EV75" i="7"/>
  <c r="EU75" i="7"/>
  <c r="ET75" i="7"/>
  <c r="ES75" i="7"/>
  <c r="ER75" i="7"/>
  <c r="EQ75" i="7"/>
  <c r="EP75" i="7"/>
  <c r="EO75" i="7"/>
  <c r="EN75" i="7"/>
  <c r="EM75" i="7"/>
  <c r="EL75" i="7"/>
  <c r="EK75" i="7"/>
  <c r="EJ75" i="7"/>
  <c r="EI75" i="7"/>
  <c r="EH75" i="7"/>
  <c r="EG75" i="7"/>
  <c r="EF75" i="7"/>
  <c r="EE75" i="7"/>
  <c r="ED75" i="7"/>
  <c r="EC75" i="7"/>
  <c r="EB75" i="7"/>
  <c r="EA75" i="7"/>
  <c r="DZ75" i="7"/>
  <c r="DY75" i="7"/>
  <c r="DX75" i="7"/>
  <c r="DW75" i="7"/>
  <c r="DV75" i="7"/>
  <c r="DU75" i="7"/>
  <c r="DT75" i="7"/>
  <c r="DS75" i="7"/>
  <c r="DR75" i="7"/>
  <c r="DQ75" i="7"/>
  <c r="DP75" i="7"/>
  <c r="DO75" i="7"/>
  <c r="DN75" i="7"/>
  <c r="DM75" i="7"/>
  <c r="DL75" i="7"/>
  <c r="DK75" i="7"/>
  <c r="DJ75" i="7"/>
  <c r="DI75" i="7"/>
  <c r="DH75" i="7"/>
  <c r="DG75" i="7"/>
  <c r="DF75" i="7"/>
  <c r="DE75" i="7"/>
  <c r="DD75" i="7"/>
  <c r="DC75" i="7"/>
  <c r="DB75" i="7"/>
  <c r="DA75" i="7"/>
  <c r="CZ75" i="7"/>
  <c r="CY75" i="7"/>
  <c r="CX75" i="7"/>
  <c r="CW75" i="7"/>
  <c r="CV75" i="7"/>
  <c r="CU75" i="7"/>
  <c r="CT75" i="7"/>
  <c r="CS75" i="7"/>
  <c r="CR75" i="7"/>
  <c r="CQ75" i="7"/>
  <c r="CP75" i="7"/>
  <c r="CO75" i="7"/>
  <c r="CN75" i="7"/>
  <c r="CM75" i="7"/>
  <c r="CL75" i="7"/>
  <c r="CK75" i="7"/>
  <c r="CJ75" i="7"/>
  <c r="CI75" i="7"/>
  <c r="CH75" i="7"/>
  <c r="CG75" i="7"/>
  <c r="CF75" i="7"/>
  <c r="CE75" i="7"/>
  <c r="CD75" i="7"/>
  <c r="CC75" i="7"/>
  <c r="CB75" i="7"/>
  <c r="CA75" i="7"/>
  <c r="BZ75" i="7"/>
  <c r="BY75" i="7"/>
  <c r="BX75" i="7"/>
  <c r="BW75" i="7"/>
  <c r="BV75" i="7"/>
  <c r="BU75" i="7"/>
  <c r="BT75" i="7"/>
  <c r="BS75" i="7"/>
  <c r="BR75" i="7"/>
  <c r="BQ75" i="7"/>
  <c r="BP75" i="7"/>
  <c r="BO75" i="7"/>
  <c r="BN75" i="7"/>
  <c r="BM75" i="7"/>
  <c r="BL75" i="7"/>
  <c r="BK75" i="7"/>
  <c r="BJ75" i="7"/>
  <c r="BI75" i="7"/>
  <c r="BH75" i="7"/>
  <c r="BG75" i="7"/>
  <c r="BF75" i="7"/>
  <c r="BE75" i="7"/>
  <c r="BD75" i="7"/>
  <c r="BC75" i="7"/>
  <c r="BB75" i="7"/>
  <c r="BA75" i="7"/>
  <c r="AZ75" i="7"/>
  <c r="AY75" i="7"/>
  <c r="AX75" i="7"/>
  <c r="AW75" i="7"/>
  <c r="AV75" i="7"/>
  <c r="AU75" i="7"/>
  <c r="AT75" i="7"/>
  <c r="AS75" i="7"/>
  <c r="AR75" i="7"/>
  <c r="AQ75" i="7"/>
  <c r="AP75" i="7"/>
  <c r="AO75" i="7"/>
  <c r="AN75" i="7"/>
  <c r="AM75" i="7"/>
  <c r="AL75" i="7"/>
  <c r="AK75" i="7"/>
  <c r="AJ75" i="7"/>
  <c r="AI75" i="7"/>
  <c r="AH75" i="7"/>
  <c r="AG75" i="7"/>
  <c r="AF75" i="7"/>
  <c r="AE75" i="7"/>
  <c r="AD75" i="7"/>
  <c r="AC75" i="7"/>
  <c r="AB75" i="7"/>
  <c r="AA75" i="7"/>
  <c r="Z75" i="7"/>
  <c r="Y75" i="7"/>
  <c r="X75" i="7"/>
  <c r="W75" i="7"/>
  <c r="V75" i="7"/>
  <c r="U75" i="7"/>
  <c r="T75" i="7"/>
  <c r="S75" i="7"/>
  <c r="R75" i="7"/>
  <c r="Q75" i="7"/>
  <c r="P75" i="7"/>
  <c r="O75" i="7"/>
  <c r="N75" i="7"/>
  <c r="M75" i="7"/>
  <c r="L75" i="7"/>
  <c r="K75" i="7"/>
  <c r="J75" i="7"/>
  <c r="I75" i="7"/>
  <c r="H75" i="7"/>
  <c r="G75" i="7"/>
  <c r="F75" i="7"/>
  <c r="E75" i="7"/>
  <c r="D75" i="7"/>
  <c r="C75" i="7"/>
  <c r="B75" i="7"/>
  <c r="A75" i="7"/>
  <c r="FO74" i="7"/>
  <c r="FN74" i="7"/>
  <c r="FM74" i="7"/>
  <c r="FL74" i="7"/>
  <c r="FK74" i="7"/>
  <c r="FJ74" i="7"/>
  <c r="FI74" i="7"/>
  <c r="FH74" i="7"/>
  <c r="FG74" i="7"/>
  <c r="FF74" i="7"/>
  <c r="FE74" i="7"/>
  <c r="FD74" i="7"/>
  <c r="FC74" i="7"/>
  <c r="FB74" i="7"/>
  <c r="FA74" i="7"/>
  <c r="EZ74" i="7"/>
  <c r="EY74" i="7"/>
  <c r="EX74" i="7"/>
  <c r="EW74" i="7"/>
  <c r="EV74" i="7"/>
  <c r="EU74" i="7"/>
  <c r="ET74" i="7"/>
  <c r="ES74" i="7"/>
  <c r="ER74" i="7"/>
  <c r="EQ74" i="7"/>
  <c r="EP74" i="7"/>
  <c r="EO74" i="7"/>
  <c r="EN74" i="7"/>
  <c r="EM74" i="7"/>
  <c r="EL74" i="7"/>
  <c r="EK74" i="7"/>
  <c r="EJ74" i="7"/>
  <c r="EI74" i="7"/>
  <c r="EH74" i="7"/>
  <c r="EG74" i="7"/>
  <c r="EF74" i="7"/>
  <c r="EE74" i="7"/>
  <c r="ED74" i="7"/>
  <c r="EC74" i="7"/>
  <c r="EB74" i="7"/>
  <c r="EA74" i="7"/>
  <c r="DZ74" i="7"/>
  <c r="DY74" i="7"/>
  <c r="DX74" i="7"/>
  <c r="DW74" i="7"/>
  <c r="DV74" i="7"/>
  <c r="DU74" i="7"/>
  <c r="DT74" i="7"/>
  <c r="DS74" i="7"/>
  <c r="DR74" i="7"/>
  <c r="DQ74" i="7"/>
  <c r="DP74" i="7"/>
  <c r="DO74" i="7"/>
  <c r="DN74" i="7"/>
  <c r="DM74" i="7"/>
  <c r="DL74" i="7"/>
  <c r="DK74" i="7"/>
  <c r="DJ74" i="7"/>
  <c r="DI74" i="7"/>
  <c r="DH74" i="7"/>
  <c r="DG74" i="7"/>
  <c r="DF74" i="7"/>
  <c r="DE74" i="7"/>
  <c r="DD74" i="7"/>
  <c r="DC74" i="7"/>
  <c r="DB74" i="7"/>
  <c r="DA74" i="7"/>
  <c r="CZ74" i="7"/>
  <c r="CY74" i="7"/>
  <c r="CX74" i="7"/>
  <c r="CW74" i="7"/>
  <c r="CV74" i="7"/>
  <c r="CU74" i="7"/>
  <c r="CT74" i="7"/>
  <c r="CS74" i="7"/>
  <c r="CR74" i="7"/>
  <c r="CQ74" i="7"/>
  <c r="CP74" i="7"/>
  <c r="CO74" i="7"/>
  <c r="CN74" i="7"/>
  <c r="CM74" i="7"/>
  <c r="CL74" i="7"/>
  <c r="CK74" i="7"/>
  <c r="CJ74" i="7"/>
  <c r="CI74" i="7"/>
  <c r="CH74" i="7"/>
  <c r="CG74" i="7"/>
  <c r="CF74" i="7"/>
  <c r="CE74" i="7"/>
  <c r="CD74" i="7"/>
  <c r="CC74" i="7"/>
  <c r="CB74" i="7"/>
  <c r="CA74" i="7"/>
  <c r="BZ74" i="7"/>
  <c r="BY74" i="7"/>
  <c r="BX74" i="7"/>
  <c r="BW74" i="7"/>
  <c r="BV74" i="7"/>
  <c r="BU74" i="7"/>
  <c r="BT74" i="7"/>
  <c r="BS74" i="7"/>
  <c r="BR74" i="7"/>
  <c r="BQ74" i="7"/>
  <c r="BP74" i="7"/>
  <c r="BO74" i="7"/>
  <c r="BN74" i="7"/>
  <c r="BM74" i="7"/>
  <c r="BL74" i="7"/>
  <c r="BK74" i="7"/>
  <c r="BJ74" i="7"/>
  <c r="BI74" i="7"/>
  <c r="BH74" i="7"/>
  <c r="BG74" i="7"/>
  <c r="BF74" i="7"/>
  <c r="BE74" i="7"/>
  <c r="BD74" i="7"/>
  <c r="BC74" i="7"/>
  <c r="BB74" i="7"/>
  <c r="BA74" i="7"/>
  <c r="AZ74" i="7"/>
  <c r="AY74" i="7"/>
  <c r="AX74" i="7"/>
  <c r="AW74" i="7"/>
  <c r="AV74" i="7"/>
  <c r="AU74" i="7"/>
  <c r="AT74" i="7"/>
  <c r="AS74" i="7"/>
  <c r="AR74" i="7"/>
  <c r="AQ74" i="7"/>
  <c r="AP74" i="7"/>
  <c r="AO74" i="7"/>
  <c r="AN74" i="7"/>
  <c r="AM74" i="7"/>
  <c r="AL74" i="7"/>
  <c r="AK74" i="7"/>
  <c r="AJ74" i="7"/>
  <c r="AI74" i="7"/>
  <c r="AH74" i="7"/>
  <c r="AG74" i="7"/>
  <c r="AF74" i="7"/>
  <c r="AE74" i="7"/>
  <c r="AD74" i="7"/>
  <c r="AC74" i="7"/>
  <c r="AB74" i="7"/>
  <c r="AA74" i="7"/>
  <c r="Z74" i="7"/>
  <c r="Y74" i="7"/>
  <c r="X74" i="7"/>
  <c r="W74" i="7"/>
  <c r="V74" i="7"/>
  <c r="U74" i="7"/>
  <c r="T74" i="7"/>
  <c r="S74" i="7"/>
  <c r="R74" i="7"/>
  <c r="Q74" i="7"/>
  <c r="P74" i="7"/>
  <c r="O74" i="7"/>
  <c r="N74" i="7"/>
  <c r="M74" i="7"/>
  <c r="L74" i="7"/>
  <c r="K74" i="7"/>
  <c r="J74" i="7"/>
  <c r="I74" i="7"/>
  <c r="H74" i="7"/>
  <c r="G74" i="7"/>
  <c r="F74" i="7"/>
  <c r="E74" i="7"/>
  <c r="D74" i="7"/>
  <c r="C74" i="7"/>
  <c r="B74" i="7"/>
  <c r="A74" i="7"/>
  <c r="FO73" i="7"/>
  <c r="FN73" i="7"/>
  <c r="FM73" i="7"/>
  <c r="FL73" i="7"/>
  <c r="FK73" i="7"/>
  <c r="FJ73" i="7"/>
  <c r="FI73" i="7"/>
  <c r="FH73" i="7"/>
  <c r="FG73" i="7"/>
  <c r="FF73" i="7"/>
  <c r="FE73" i="7"/>
  <c r="FD73" i="7"/>
  <c r="FC73" i="7"/>
  <c r="FB73" i="7"/>
  <c r="FA73" i="7"/>
  <c r="EZ73" i="7"/>
  <c r="EY73" i="7"/>
  <c r="EX73" i="7"/>
  <c r="EW73" i="7"/>
  <c r="EV73" i="7"/>
  <c r="EU73" i="7"/>
  <c r="ET73" i="7"/>
  <c r="ES73" i="7"/>
  <c r="ER73" i="7"/>
  <c r="EQ73" i="7"/>
  <c r="EP73" i="7"/>
  <c r="EO73" i="7"/>
  <c r="EN73" i="7"/>
  <c r="EM73" i="7"/>
  <c r="EL73" i="7"/>
  <c r="EK73" i="7"/>
  <c r="EJ73" i="7"/>
  <c r="EI73" i="7"/>
  <c r="EH73" i="7"/>
  <c r="EG73" i="7"/>
  <c r="EF73" i="7"/>
  <c r="EE73" i="7"/>
  <c r="ED73" i="7"/>
  <c r="EC73" i="7"/>
  <c r="EB73" i="7"/>
  <c r="EA73" i="7"/>
  <c r="DZ73" i="7"/>
  <c r="DY73" i="7"/>
  <c r="DX73" i="7"/>
  <c r="DW73" i="7"/>
  <c r="DV73" i="7"/>
  <c r="DU73" i="7"/>
  <c r="DT73" i="7"/>
  <c r="DS73" i="7"/>
  <c r="DR73" i="7"/>
  <c r="DQ73" i="7"/>
  <c r="DP73" i="7"/>
  <c r="DO73" i="7"/>
  <c r="DN73" i="7"/>
  <c r="DM73" i="7"/>
  <c r="DL73" i="7"/>
  <c r="DK73" i="7"/>
  <c r="DJ73" i="7"/>
  <c r="DI73" i="7"/>
  <c r="DH73" i="7"/>
  <c r="DG73" i="7"/>
  <c r="DF73" i="7"/>
  <c r="DE73" i="7"/>
  <c r="DD73" i="7"/>
  <c r="DC73" i="7"/>
  <c r="DB73" i="7"/>
  <c r="DA73" i="7"/>
  <c r="CZ73" i="7"/>
  <c r="CY73" i="7"/>
  <c r="CX73" i="7"/>
  <c r="CW73" i="7"/>
  <c r="CV73" i="7"/>
  <c r="CU73" i="7"/>
  <c r="CT73" i="7"/>
  <c r="CS73" i="7"/>
  <c r="CR73" i="7"/>
  <c r="CQ73" i="7"/>
  <c r="CP73" i="7"/>
  <c r="CO73" i="7"/>
  <c r="CN73" i="7"/>
  <c r="CM73" i="7"/>
  <c r="CL73" i="7"/>
  <c r="CK73" i="7"/>
  <c r="CJ73" i="7"/>
  <c r="CI73" i="7"/>
  <c r="CH73" i="7"/>
  <c r="CG73" i="7"/>
  <c r="CF73" i="7"/>
  <c r="CE73" i="7"/>
  <c r="CD73" i="7"/>
  <c r="CC73" i="7"/>
  <c r="CB73" i="7"/>
  <c r="CA73" i="7"/>
  <c r="BZ73" i="7"/>
  <c r="BY73" i="7"/>
  <c r="BX73" i="7"/>
  <c r="BW73" i="7"/>
  <c r="BV73" i="7"/>
  <c r="BU73" i="7"/>
  <c r="BT73" i="7"/>
  <c r="BS73" i="7"/>
  <c r="BR73" i="7"/>
  <c r="BQ73" i="7"/>
  <c r="BP73" i="7"/>
  <c r="BO73" i="7"/>
  <c r="BN73" i="7"/>
  <c r="BM73" i="7"/>
  <c r="BL73" i="7"/>
  <c r="BK73" i="7"/>
  <c r="BJ73" i="7"/>
  <c r="BI73" i="7"/>
  <c r="BH73" i="7"/>
  <c r="BG73" i="7"/>
  <c r="BF73" i="7"/>
  <c r="BE73" i="7"/>
  <c r="BD73" i="7"/>
  <c r="BC73" i="7"/>
  <c r="BB73" i="7"/>
  <c r="BA73" i="7"/>
  <c r="AZ73" i="7"/>
  <c r="AY73" i="7"/>
  <c r="AX73" i="7"/>
  <c r="AW73" i="7"/>
  <c r="AV73" i="7"/>
  <c r="AU73" i="7"/>
  <c r="AT73" i="7"/>
  <c r="AS73" i="7"/>
  <c r="AR73" i="7"/>
  <c r="AQ73" i="7"/>
  <c r="AP73" i="7"/>
  <c r="AO73" i="7"/>
  <c r="AN73" i="7"/>
  <c r="AM73" i="7"/>
  <c r="AL73" i="7"/>
  <c r="AK73" i="7"/>
  <c r="AJ73" i="7"/>
  <c r="AI73" i="7"/>
  <c r="AH73" i="7"/>
  <c r="AG73" i="7"/>
  <c r="AF73" i="7"/>
  <c r="AE73" i="7"/>
  <c r="AD73" i="7"/>
  <c r="AC73" i="7"/>
  <c r="AB73" i="7"/>
  <c r="AA73" i="7"/>
  <c r="Z73" i="7"/>
  <c r="Y73" i="7"/>
  <c r="X73" i="7"/>
  <c r="W73" i="7"/>
  <c r="V73" i="7"/>
  <c r="U73" i="7"/>
  <c r="T73" i="7"/>
  <c r="S73" i="7"/>
  <c r="R73" i="7"/>
  <c r="Q73" i="7"/>
  <c r="P73" i="7"/>
  <c r="O73" i="7"/>
  <c r="N73" i="7"/>
  <c r="M73" i="7"/>
  <c r="L73" i="7"/>
  <c r="K73" i="7"/>
  <c r="J73" i="7"/>
  <c r="I73" i="7"/>
  <c r="H73" i="7"/>
  <c r="G73" i="7"/>
  <c r="F73" i="7"/>
  <c r="E73" i="7"/>
  <c r="D73" i="7"/>
  <c r="C73" i="7"/>
  <c r="B73" i="7"/>
  <c r="A73" i="7"/>
  <c r="FO72" i="7"/>
  <c r="FN72" i="7"/>
  <c r="FM72" i="7"/>
  <c r="FL72" i="7"/>
  <c r="FK72" i="7"/>
  <c r="FJ72" i="7"/>
  <c r="FI72" i="7"/>
  <c r="FH72" i="7"/>
  <c r="FG72" i="7"/>
  <c r="FF72" i="7"/>
  <c r="FE72" i="7"/>
  <c r="FD72" i="7"/>
  <c r="FC72" i="7"/>
  <c r="FB72" i="7"/>
  <c r="FA72" i="7"/>
  <c r="EZ72" i="7"/>
  <c r="EY72" i="7"/>
  <c r="EX72" i="7"/>
  <c r="EW72" i="7"/>
  <c r="EV72" i="7"/>
  <c r="EU72" i="7"/>
  <c r="ET72" i="7"/>
  <c r="ES72" i="7"/>
  <c r="ER72" i="7"/>
  <c r="EQ72" i="7"/>
  <c r="EP72" i="7"/>
  <c r="EO72" i="7"/>
  <c r="EN72" i="7"/>
  <c r="EM72" i="7"/>
  <c r="EL72" i="7"/>
  <c r="EK72" i="7"/>
  <c r="EJ72" i="7"/>
  <c r="EI72" i="7"/>
  <c r="EH72" i="7"/>
  <c r="EG72" i="7"/>
  <c r="EF72" i="7"/>
  <c r="EE72" i="7"/>
  <c r="ED72" i="7"/>
  <c r="EC72" i="7"/>
  <c r="EB72" i="7"/>
  <c r="EA72" i="7"/>
  <c r="DZ72" i="7"/>
  <c r="DY72" i="7"/>
  <c r="DX72" i="7"/>
  <c r="DW72" i="7"/>
  <c r="DV72" i="7"/>
  <c r="DU72" i="7"/>
  <c r="DT72" i="7"/>
  <c r="DS72" i="7"/>
  <c r="DR72" i="7"/>
  <c r="DQ72" i="7"/>
  <c r="DP72" i="7"/>
  <c r="DO72" i="7"/>
  <c r="DN72" i="7"/>
  <c r="DM72" i="7"/>
  <c r="DL72" i="7"/>
  <c r="DK72" i="7"/>
  <c r="DJ72" i="7"/>
  <c r="DI72" i="7"/>
  <c r="DH72" i="7"/>
  <c r="DG72" i="7"/>
  <c r="DF72" i="7"/>
  <c r="DE72" i="7"/>
  <c r="DD72" i="7"/>
  <c r="DC72" i="7"/>
  <c r="DB72" i="7"/>
  <c r="DA72" i="7"/>
  <c r="CZ72" i="7"/>
  <c r="CY72" i="7"/>
  <c r="CX72" i="7"/>
  <c r="CW72" i="7"/>
  <c r="CV72" i="7"/>
  <c r="CU72" i="7"/>
  <c r="CT72" i="7"/>
  <c r="CS72" i="7"/>
  <c r="CR72" i="7"/>
  <c r="CQ72" i="7"/>
  <c r="CP72" i="7"/>
  <c r="CO72" i="7"/>
  <c r="CN72" i="7"/>
  <c r="CM72" i="7"/>
  <c r="CL72" i="7"/>
  <c r="CK72" i="7"/>
  <c r="CJ72" i="7"/>
  <c r="CI72" i="7"/>
  <c r="CH72" i="7"/>
  <c r="CG72" i="7"/>
  <c r="CF72" i="7"/>
  <c r="CE72" i="7"/>
  <c r="CD72" i="7"/>
  <c r="CC72" i="7"/>
  <c r="CB72" i="7"/>
  <c r="CA72" i="7"/>
  <c r="BZ72" i="7"/>
  <c r="BY72" i="7"/>
  <c r="BX72" i="7"/>
  <c r="BW72" i="7"/>
  <c r="BV72" i="7"/>
  <c r="BU72" i="7"/>
  <c r="BT72" i="7"/>
  <c r="BS72" i="7"/>
  <c r="BR72" i="7"/>
  <c r="BQ72" i="7"/>
  <c r="BP72" i="7"/>
  <c r="BO72" i="7"/>
  <c r="BN72" i="7"/>
  <c r="BM72" i="7"/>
  <c r="BL72" i="7"/>
  <c r="BK72" i="7"/>
  <c r="BJ72" i="7"/>
  <c r="BI72" i="7"/>
  <c r="BH72" i="7"/>
  <c r="BG72" i="7"/>
  <c r="BF72" i="7"/>
  <c r="BE72" i="7"/>
  <c r="BD72" i="7"/>
  <c r="BC72" i="7"/>
  <c r="BB72" i="7"/>
  <c r="BA72" i="7"/>
  <c r="AZ72" i="7"/>
  <c r="AY72" i="7"/>
  <c r="AX72" i="7"/>
  <c r="AW72" i="7"/>
  <c r="AV72" i="7"/>
  <c r="AU72" i="7"/>
  <c r="AT72" i="7"/>
  <c r="AS72" i="7"/>
  <c r="AR72" i="7"/>
  <c r="AQ72" i="7"/>
  <c r="AP72" i="7"/>
  <c r="AO72" i="7"/>
  <c r="AN72" i="7"/>
  <c r="AM72" i="7"/>
  <c r="AL72" i="7"/>
  <c r="AK72" i="7"/>
  <c r="AJ72" i="7"/>
  <c r="AI72" i="7"/>
  <c r="AH72" i="7"/>
  <c r="AG72" i="7"/>
  <c r="AF72" i="7"/>
  <c r="AE72" i="7"/>
  <c r="AD72" i="7"/>
  <c r="AC72" i="7"/>
  <c r="AB72" i="7"/>
  <c r="AA72" i="7"/>
  <c r="Z72" i="7"/>
  <c r="Y72" i="7"/>
  <c r="X72" i="7"/>
  <c r="W72" i="7"/>
  <c r="V72" i="7"/>
  <c r="U72" i="7"/>
  <c r="T72" i="7"/>
  <c r="S72" i="7"/>
  <c r="R72" i="7"/>
  <c r="Q72" i="7"/>
  <c r="P72" i="7"/>
  <c r="O72" i="7"/>
  <c r="N72" i="7"/>
  <c r="M72" i="7"/>
  <c r="L72" i="7"/>
  <c r="K72" i="7"/>
  <c r="J72" i="7"/>
  <c r="I72" i="7"/>
  <c r="H72" i="7"/>
  <c r="G72" i="7"/>
  <c r="F72" i="7"/>
  <c r="E72" i="7"/>
  <c r="D72" i="7"/>
  <c r="C72" i="7"/>
  <c r="B72" i="7"/>
  <c r="A72" i="7"/>
  <c r="FO71" i="7"/>
  <c r="FN71" i="7"/>
  <c r="FM71" i="7"/>
  <c r="FL71" i="7"/>
  <c r="FK71" i="7"/>
  <c r="FJ71" i="7"/>
  <c r="FI71" i="7"/>
  <c r="FH71" i="7"/>
  <c r="FG71" i="7"/>
  <c r="FF71" i="7"/>
  <c r="FE71" i="7"/>
  <c r="FD71" i="7"/>
  <c r="FC71" i="7"/>
  <c r="FB71" i="7"/>
  <c r="FA71" i="7"/>
  <c r="EZ71" i="7"/>
  <c r="EY71" i="7"/>
  <c r="EX71" i="7"/>
  <c r="EW71" i="7"/>
  <c r="EV71" i="7"/>
  <c r="EU71" i="7"/>
  <c r="ET71" i="7"/>
  <c r="ES71" i="7"/>
  <c r="ER71" i="7"/>
  <c r="EQ71" i="7"/>
  <c r="EP71" i="7"/>
  <c r="EO71" i="7"/>
  <c r="EN71" i="7"/>
  <c r="EM71" i="7"/>
  <c r="EL71" i="7"/>
  <c r="EK71" i="7"/>
  <c r="EJ71" i="7"/>
  <c r="EI71" i="7"/>
  <c r="EH71" i="7"/>
  <c r="EG71" i="7"/>
  <c r="EF71" i="7"/>
  <c r="EE71" i="7"/>
  <c r="ED71" i="7"/>
  <c r="EC71" i="7"/>
  <c r="EB71" i="7"/>
  <c r="EA71" i="7"/>
  <c r="DZ71" i="7"/>
  <c r="DY71" i="7"/>
  <c r="DX71" i="7"/>
  <c r="DW71" i="7"/>
  <c r="DV71" i="7"/>
  <c r="DU71" i="7"/>
  <c r="DT71" i="7"/>
  <c r="DS71" i="7"/>
  <c r="DR71" i="7"/>
  <c r="DQ71" i="7"/>
  <c r="DP71" i="7"/>
  <c r="DO71" i="7"/>
  <c r="DN71" i="7"/>
  <c r="DM71" i="7"/>
  <c r="DL71" i="7"/>
  <c r="DK71" i="7"/>
  <c r="DJ71" i="7"/>
  <c r="DI71" i="7"/>
  <c r="DH71" i="7"/>
  <c r="DG71" i="7"/>
  <c r="DF71" i="7"/>
  <c r="DE71" i="7"/>
  <c r="DD71" i="7"/>
  <c r="DC71" i="7"/>
  <c r="DB71" i="7"/>
  <c r="DA71" i="7"/>
  <c r="CZ71" i="7"/>
  <c r="CY71" i="7"/>
  <c r="CX71" i="7"/>
  <c r="CW71" i="7"/>
  <c r="CV71" i="7"/>
  <c r="CU71" i="7"/>
  <c r="CT71" i="7"/>
  <c r="CS71" i="7"/>
  <c r="CR71" i="7"/>
  <c r="CQ71" i="7"/>
  <c r="CP71" i="7"/>
  <c r="CO71" i="7"/>
  <c r="CN71" i="7"/>
  <c r="CM71" i="7"/>
  <c r="CL71" i="7"/>
  <c r="CK71" i="7"/>
  <c r="CJ71" i="7"/>
  <c r="CI71" i="7"/>
  <c r="CH71" i="7"/>
  <c r="CG71" i="7"/>
  <c r="CF71" i="7"/>
  <c r="CE71" i="7"/>
  <c r="CD71" i="7"/>
  <c r="CC71" i="7"/>
  <c r="CB71" i="7"/>
  <c r="CA71" i="7"/>
  <c r="BZ71" i="7"/>
  <c r="BY71" i="7"/>
  <c r="BX71" i="7"/>
  <c r="BW71" i="7"/>
  <c r="BV71" i="7"/>
  <c r="BU71" i="7"/>
  <c r="BT71" i="7"/>
  <c r="BS71" i="7"/>
  <c r="BR71" i="7"/>
  <c r="BQ71" i="7"/>
  <c r="BP71" i="7"/>
  <c r="BO71" i="7"/>
  <c r="BN71" i="7"/>
  <c r="BM71" i="7"/>
  <c r="BL71" i="7"/>
  <c r="BK71" i="7"/>
  <c r="BJ71" i="7"/>
  <c r="BI71" i="7"/>
  <c r="BH71" i="7"/>
  <c r="BG71" i="7"/>
  <c r="BF71" i="7"/>
  <c r="BE71" i="7"/>
  <c r="BD71" i="7"/>
  <c r="BC71" i="7"/>
  <c r="BB71" i="7"/>
  <c r="BA71" i="7"/>
  <c r="AZ71" i="7"/>
  <c r="AY71" i="7"/>
  <c r="AX71" i="7"/>
  <c r="AW71" i="7"/>
  <c r="AV71" i="7"/>
  <c r="AU71" i="7"/>
  <c r="AT71" i="7"/>
  <c r="AS71" i="7"/>
  <c r="AR71" i="7"/>
  <c r="AQ71" i="7"/>
  <c r="AP71" i="7"/>
  <c r="AO71" i="7"/>
  <c r="AN71" i="7"/>
  <c r="AM71" i="7"/>
  <c r="AL71" i="7"/>
  <c r="AK71" i="7"/>
  <c r="AJ71" i="7"/>
  <c r="AI71" i="7"/>
  <c r="AH71" i="7"/>
  <c r="AG71" i="7"/>
  <c r="AF71" i="7"/>
  <c r="AE71" i="7"/>
  <c r="AD71" i="7"/>
  <c r="AC71" i="7"/>
  <c r="AB71" i="7"/>
  <c r="AA71" i="7"/>
  <c r="Z71" i="7"/>
  <c r="Y71" i="7"/>
  <c r="X71" i="7"/>
  <c r="W71" i="7"/>
  <c r="V71" i="7"/>
  <c r="U71" i="7"/>
  <c r="T71" i="7"/>
  <c r="S71" i="7"/>
  <c r="R71" i="7"/>
  <c r="Q71" i="7"/>
  <c r="P71" i="7"/>
  <c r="O71" i="7"/>
  <c r="N71" i="7"/>
  <c r="M71" i="7"/>
  <c r="L71" i="7"/>
  <c r="K71" i="7"/>
  <c r="J71" i="7"/>
  <c r="I71" i="7"/>
  <c r="H71" i="7"/>
  <c r="G71" i="7"/>
  <c r="F71" i="7"/>
  <c r="E71" i="7"/>
  <c r="D71" i="7"/>
  <c r="C71" i="7"/>
  <c r="B71" i="7"/>
  <c r="A71" i="7"/>
  <c r="FO70" i="7"/>
  <c r="FN70" i="7"/>
  <c r="FM70" i="7"/>
  <c r="FL70" i="7"/>
  <c r="FK70" i="7"/>
  <c r="FJ70" i="7"/>
  <c r="FI70" i="7"/>
  <c r="FH70" i="7"/>
  <c r="FG70" i="7"/>
  <c r="FF70" i="7"/>
  <c r="FE70" i="7"/>
  <c r="FD70" i="7"/>
  <c r="FC70" i="7"/>
  <c r="FB70" i="7"/>
  <c r="FA70" i="7"/>
  <c r="EZ70" i="7"/>
  <c r="EY70" i="7"/>
  <c r="EX70" i="7"/>
  <c r="EW70" i="7"/>
  <c r="EV70" i="7"/>
  <c r="EU70" i="7"/>
  <c r="ET70" i="7"/>
  <c r="ES70" i="7"/>
  <c r="ER70" i="7"/>
  <c r="EQ70" i="7"/>
  <c r="EP70" i="7"/>
  <c r="EO70" i="7"/>
  <c r="EN70" i="7"/>
  <c r="EM70" i="7"/>
  <c r="EL70" i="7"/>
  <c r="EK70" i="7"/>
  <c r="EJ70" i="7"/>
  <c r="EI70" i="7"/>
  <c r="EH70" i="7"/>
  <c r="EG70" i="7"/>
  <c r="EF70" i="7"/>
  <c r="EE70" i="7"/>
  <c r="ED70" i="7"/>
  <c r="EC70" i="7"/>
  <c r="EB70" i="7"/>
  <c r="EA70" i="7"/>
  <c r="DZ70" i="7"/>
  <c r="DY70" i="7"/>
  <c r="DX70" i="7"/>
  <c r="DW70" i="7"/>
  <c r="DV70" i="7"/>
  <c r="DU70" i="7"/>
  <c r="DT70" i="7"/>
  <c r="DS70" i="7"/>
  <c r="DR70" i="7"/>
  <c r="DQ70" i="7"/>
  <c r="DP70" i="7"/>
  <c r="DO70" i="7"/>
  <c r="DN70" i="7"/>
  <c r="DM70" i="7"/>
  <c r="DL70" i="7"/>
  <c r="DK70" i="7"/>
  <c r="DJ70" i="7"/>
  <c r="DI70" i="7"/>
  <c r="DH70" i="7"/>
  <c r="DG70" i="7"/>
  <c r="DF70" i="7"/>
  <c r="DE70" i="7"/>
  <c r="DD70" i="7"/>
  <c r="DC70" i="7"/>
  <c r="DB70" i="7"/>
  <c r="DA70" i="7"/>
  <c r="CZ70" i="7"/>
  <c r="CY70" i="7"/>
  <c r="CX70" i="7"/>
  <c r="CW70" i="7"/>
  <c r="CV70" i="7"/>
  <c r="CU70" i="7"/>
  <c r="CT70" i="7"/>
  <c r="CS70" i="7"/>
  <c r="CR70" i="7"/>
  <c r="CQ70" i="7"/>
  <c r="CP70" i="7"/>
  <c r="CO70" i="7"/>
  <c r="CN70" i="7"/>
  <c r="CM70" i="7"/>
  <c r="CL70" i="7"/>
  <c r="CK70" i="7"/>
  <c r="CJ70" i="7"/>
  <c r="CI70" i="7"/>
  <c r="CH70" i="7"/>
  <c r="CG70" i="7"/>
  <c r="CF70" i="7"/>
  <c r="CE70" i="7"/>
  <c r="CD70" i="7"/>
  <c r="CC70" i="7"/>
  <c r="CB70" i="7"/>
  <c r="CA70" i="7"/>
  <c r="BZ70" i="7"/>
  <c r="BY70" i="7"/>
  <c r="BX70" i="7"/>
  <c r="BW70" i="7"/>
  <c r="BV70" i="7"/>
  <c r="BU70" i="7"/>
  <c r="BT70" i="7"/>
  <c r="BS70" i="7"/>
  <c r="BR70" i="7"/>
  <c r="BQ70" i="7"/>
  <c r="BP70" i="7"/>
  <c r="BO70" i="7"/>
  <c r="BN70" i="7"/>
  <c r="BM70" i="7"/>
  <c r="BL70" i="7"/>
  <c r="BK70" i="7"/>
  <c r="BJ70" i="7"/>
  <c r="BI70" i="7"/>
  <c r="BH70" i="7"/>
  <c r="BG70" i="7"/>
  <c r="BF70" i="7"/>
  <c r="BE70" i="7"/>
  <c r="BD70" i="7"/>
  <c r="BC70" i="7"/>
  <c r="BB70" i="7"/>
  <c r="BA70" i="7"/>
  <c r="AZ70" i="7"/>
  <c r="AY70" i="7"/>
  <c r="AX70" i="7"/>
  <c r="AW70" i="7"/>
  <c r="AV70" i="7"/>
  <c r="AU70" i="7"/>
  <c r="AT70" i="7"/>
  <c r="AS70" i="7"/>
  <c r="AR70" i="7"/>
  <c r="AQ70" i="7"/>
  <c r="AP70" i="7"/>
  <c r="AO70" i="7"/>
  <c r="AN70" i="7"/>
  <c r="AM70" i="7"/>
  <c r="AL70" i="7"/>
  <c r="AK70" i="7"/>
  <c r="AJ70" i="7"/>
  <c r="AI70" i="7"/>
  <c r="AH70" i="7"/>
  <c r="AG70" i="7"/>
  <c r="AF70" i="7"/>
  <c r="AE70" i="7"/>
  <c r="AD70" i="7"/>
  <c r="AC70" i="7"/>
  <c r="AB70" i="7"/>
  <c r="AA70" i="7"/>
  <c r="Z70" i="7"/>
  <c r="Y70" i="7"/>
  <c r="X70" i="7"/>
  <c r="W70" i="7"/>
  <c r="V70" i="7"/>
  <c r="U70" i="7"/>
  <c r="T70" i="7"/>
  <c r="S70" i="7"/>
  <c r="R70" i="7"/>
  <c r="Q70" i="7"/>
  <c r="P70" i="7"/>
  <c r="O70" i="7"/>
  <c r="N70" i="7"/>
  <c r="M70" i="7"/>
  <c r="L70" i="7"/>
  <c r="K70" i="7"/>
  <c r="J70" i="7"/>
  <c r="I70" i="7"/>
  <c r="H70" i="7"/>
  <c r="G70" i="7"/>
  <c r="F70" i="7"/>
  <c r="E70" i="7"/>
  <c r="D70" i="7"/>
  <c r="C70" i="7"/>
  <c r="B70" i="7"/>
  <c r="A70" i="7"/>
  <c r="FO69" i="7"/>
  <c r="FN69" i="7"/>
  <c r="FM69" i="7"/>
  <c r="FL69" i="7"/>
  <c r="FK69" i="7"/>
  <c r="FJ69" i="7"/>
  <c r="FI69" i="7"/>
  <c r="FH69" i="7"/>
  <c r="FG69" i="7"/>
  <c r="FF69" i="7"/>
  <c r="FE69" i="7"/>
  <c r="FD69" i="7"/>
  <c r="FC69" i="7"/>
  <c r="FB69" i="7"/>
  <c r="FA69" i="7"/>
  <c r="EZ69" i="7"/>
  <c r="EY69" i="7"/>
  <c r="EX69" i="7"/>
  <c r="EW69" i="7"/>
  <c r="EV69" i="7"/>
  <c r="EU69" i="7"/>
  <c r="ET69" i="7"/>
  <c r="ES69" i="7"/>
  <c r="ER69" i="7"/>
  <c r="EQ69" i="7"/>
  <c r="EP69" i="7"/>
  <c r="EO69" i="7"/>
  <c r="EN69" i="7"/>
  <c r="EM69" i="7"/>
  <c r="EL69" i="7"/>
  <c r="EK69" i="7"/>
  <c r="EJ69" i="7"/>
  <c r="EI69" i="7"/>
  <c r="EH69" i="7"/>
  <c r="EG69" i="7"/>
  <c r="EF69" i="7"/>
  <c r="EE69" i="7"/>
  <c r="ED69" i="7"/>
  <c r="EC69" i="7"/>
  <c r="EB69" i="7"/>
  <c r="EA69" i="7"/>
  <c r="DZ69" i="7"/>
  <c r="DY69" i="7"/>
  <c r="DX69" i="7"/>
  <c r="DW69" i="7"/>
  <c r="DV69" i="7"/>
  <c r="DU69" i="7"/>
  <c r="DT69" i="7"/>
  <c r="DS69" i="7"/>
  <c r="DR69" i="7"/>
  <c r="DQ69" i="7"/>
  <c r="DP69" i="7"/>
  <c r="DO69" i="7"/>
  <c r="DN69" i="7"/>
  <c r="DM69" i="7"/>
  <c r="DL69" i="7"/>
  <c r="DK69" i="7"/>
  <c r="DJ69" i="7"/>
  <c r="DI69" i="7"/>
  <c r="DH69" i="7"/>
  <c r="DG69" i="7"/>
  <c r="DF69" i="7"/>
  <c r="DE69" i="7"/>
  <c r="DD69" i="7"/>
  <c r="DC69" i="7"/>
  <c r="DB69" i="7"/>
  <c r="DA69" i="7"/>
  <c r="CZ69" i="7"/>
  <c r="CY69" i="7"/>
  <c r="CX69" i="7"/>
  <c r="CW69" i="7"/>
  <c r="CV69" i="7"/>
  <c r="CU69" i="7"/>
  <c r="CT69" i="7"/>
  <c r="CS69" i="7"/>
  <c r="CR69" i="7"/>
  <c r="CQ69" i="7"/>
  <c r="CP69" i="7"/>
  <c r="CO69" i="7"/>
  <c r="CN69" i="7"/>
  <c r="CM69" i="7"/>
  <c r="CL69" i="7"/>
  <c r="CK69" i="7"/>
  <c r="CJ69" i="7"/>
  <c r="CI69" i="7"/>
  <c r="CH69" i="7"/>
  <c r="CG69" i="7"/>
  <c r="CF69" i="7"/>
  <c r="CE69" i="7"/>
  <c r="CD69" i="7"/>
  <c r="CC69" i="7"/>
  <c r="CB69" i="7"/>
  <c r="CA69" i="7"/>
  <c r="BZ69" i="7"/>
  <c r="BY69" i="7"/>
  <c r="BX69" i="7"/>
  <c r="BW69" i="7"/>
  <c r="BV69" i="7"/>
  <c r="BU69" i="7"/>
  <c r="BT69" i="7"/>
  <c r="BS69" i="7"/>
  <c r="BR69" i="7"/>
  <c r="BQ69" i="7"/>
  <c r="BP69" i="7"/>
  <c r="BO69" i="7"/>
  <c r="BN69" i="7"/>
  <c r="BM69" i="7"/>
  <c r="BL69" i="7"/>
  <c r="BK69" i="7"/>
  <c r="BJ69" i="7"/>
  <c r="BI69" i="7"/>
  <c r="BH69" i="7"/>
  <c r="BG69" i="7"/>
  <c r="BF69" i="7"/>
  <c r="BE69" i="7"/>
  <c r="BD69" i="7"/>
  <c r="BC69" i="7"/>
  <c r="BB69" i="7"/>
  <c r="BA69" i="7"/>
  <c r="AZ69" i="7"/>
  <c r="AY69" i="7"/>
  <c r="AX69" i="7"/>
  <c r="AW69" i="7"/>
  <c r="AV69" i="7"/>
  <c r="AU69" i="7"/>
  <c r="AT69" i="7"/>
  <c r="AS69" i="7"/>
  <c r="AR69" i="7"/>
  <c r="AQ69" i="7"/>
  <c r="AP69" i="7"/>
  <c r="AO69" i="7"/>
  <c r="AN69" i="7"/>
  <c r="AM69" i="7"/>
  <c r="AL69" i="7"/>
  <c r="AK69" i="7"/>
  <c r="AJ69" i="7"/>
  <c r="AI69" i="7"/>
  <c r="AH69" i="7"/>
  <c r="AG69" i="7"/>
  <c r="AF69" i="7"/>
  <c r="AE69" i="7"/>
  <c r="AD69" i="7"/>
  <c r="AC69" i="7"/>
  <c r="AB69" i="7"/>
  <c r="AA69" i="7"/>
  <c r="Z69" i="7"/>
  <c r="Y69" i="7"/>
  <c r="X69" i="7"/>
  <c r="W69" i="7"/>
  <c r="V69" i="7"/>
  <c r="U69" i="7"/>
  <c r="T69" i="7"/>
  <c r="S69" i="7"/>
  <c r="R69" i="7"/>
  <c r="Q69" i="7"/>
  <c r="P69" i="7"/>
  <c r="O69" i="7"/>
  <c r="N69" i="7"/>
  <c r="M69" i="7"/>
  <c r="L69" i="7"/>
  <c r="K69" i="7"/>
  <c r="J69" i="7"/>
  <c r="I69" i="7"/>
  <c r="H69" i="7"/>
  <c r="G69" i="7"/>
  <c r="F69" i="7"/>
  <c r="E69" i="7"/>
  <c r="D69" i="7"/>
  <c r="C69" i="7"/>
  <c r="B69" i="7"/>
  <c r="A69" i="7"/>
  <c r="FO68" i="7"/>
  <c r="FN68" i="7"/>
  <c r="FM68" i="7"/>
  <c r="FL68" i="7"/>
  <c r="FK68" i="7"/>
  <c r="FJ68" i="7"/>
  <c r="FI68" i="7"/>
  <c r="FH68" i="7"/>
  <c r="FG68" i="7"/>
  <c r="FF68" i="7"/>
  <c r="FE68" i="7"/>
  <c r="FD68" i="7"/>
  <c r="FC68" i="7"/>
  <c r="FB68" i="7"/>
  <c r="FA68" i="7"/>
  <c r="EZ68" i="7"/>
  <c r="EY68" i="7"/>
  <c r="EX68" i="7"/>
  <c r="EW68" i="7"/>
  <c r="EV68" i="7"/>
  <c r="EU68" i="7"/>
  <c r="ET68" i="7"/>
  <c r="ES68" i="7"/>
  <c r="ER68" i="7"/>
  <c r="EQ68" i="7"/>
  <c r="EP68" i="7"/>
  <c r="EO68" i="7"/>
  <c r="EN68" i="7"/>
  <c r="EM68" i="7"/>
  <c r="EL68" i="7"/>
  <c r="EK68" i="7"/>
  <c r="EJ68" i="7"/>
  <c r="EI68" i="7"/>
  <c r="EH68" i="7"/>
  <c r="EG68" i="7"/>
  <c r="EF68" i="7"/>
  <c r="EE68" i="7"/>
  <c r="ED68" i="7"/>
  <c r="EC68" i="7"/>
  <c r="EB68" i="7"/>
  <c r="EA68" i="7"/>
  <c r="DZ68" i="7"/>
  <c r="DY68" i="7"/>
  <c r="DX68" i="7"/>
  <c r="DW68" i="7"/>
  <c r="DV68" i="7"/>
  <c r="DU68" i="7"/>
  <c r="DT68" i="7"/>
  <c r="DS68" i="7"/>
  <c r="DR68" i="7"/>
  <c r="DQ68" i="7"/>
  <c r="DP68" i="7"/>
  <c r="DO68" i="7"/>
  <c r="DN68" i="7"/>
  <c r="DM68" i="7"/>
  <c r="DL68" i="7"/>
  <c r="DK68" i="7"/>
  <c r="DJ68" i="7"/>
  <c r="DI68" i="7"/>
  <c r="DH68" i="7"/>
  <c r="DG68" i="7"/>
  <c r="DF68" i="7"/>
  <c r="DE68" i="7"/>
  <c r="DD68" i="7"/>
  <c r="DC68" i="7"/>
  <c r="DB68" i="7"/>
  <c r="DA68" i="7"/>
  <c r="CZ68" i="7"/>
  <c r="CY68" i="7"/>
  <c r="CX68" i="7"/>
  <c r="CW68" i="7"/>
  <c r="CV68" i="7"/>
  <c r="CU68" i="7"/>
  <c r="CT68" i="7"/>
  <c r="CS68" i="7"/>
  <c r="CR68" i="7"/>
  <c r="CQ68" i="7"/>
  <c r="CP68" i="7"/>
  <c r="CO68" i="7"/>
  <c r="CN68" i="7"/>
  <c r="CM68" i="7"/>
  <c r="CL68" i="7"/>
  <c r="CK68" i="7"/>
  <c r="CJ68" i="7"/>
  <c r="CI68" i="7"/>
  <c r="CH68" i="7"/>
  <c r="CG68" i="7"/>
  <c r="CF68" i="7"/>
  <c r="CE68" i="7"/>
  <c r="CD68" i="7"/>
  <c r="CC68" i="7"/>
  <c r="CB68" i="7"/>
  <c r="CA68" i="7"/>
  <c r="BZ68" i="7"/>
  <c r="BY68" i="7"/>
  <c r="BX68" i="7"/>
  <c r="BW68" i="7"/>
  <c r="BV68" i="7"/>
  <c r="BU68" i="7"/>
  <c r="BT68" i="7"/>
  <c r="BS68" i="7"/>
  <c r="BR68" i="7"/>
  <c r="BQ68" i="7"/>
  <c r="BP68" i="7"/>
  <c r="BO68" i="7"/>
  <c r="BN68" i="7"/>
  <c r="BM68" i="7"/>
  <c r="BL68" i="7"/>
  <c r="BK68" i="7"/>
  <c r="BJ68" i="7"/>
  <c r="BI68" i="7"/>
  <c r="BH68" i="7"/>
  <c r="BG68" i="7"/>
  <c r="BF68" i="7"/>
  <c r="BE68" i="7"/>
  <c r="BD68" i="7"/>
  <c r="BC68" i="7"/>
  <c r="BB68" i="7"/>
  <c r="BA68" i="7"/>
  <c r="AZ68" i="7"/>
  <c r="AY68" i="7"/>
  <c r="AX68" i="7"/>
  <c r="AW68" i="7"/>
  <c r="AV68" i="7"/>
  <c r="AU68" i="7"/>
  <c r="AT68" i="7"/>
  <c r="AS68" i="7"/>
  <c r="AR68" i="7"/>
  <c r="AQ68" i="7"/>
  <c r="AP68" i="7"/>
  <c r="AO68" i="7"/>
  <c r="AN68" i="7"/>
  <c r="AM68" i="7"/>
  <c r="AL68" i="7"/>
  <c r="AK68" i="7"/>
  <c r="AJ68" i="7"/>
  <c r="AI68" i="7"/>
  <c r="AH68" i="7"/>
  <c r="AG68" i="7"/>
  <c r="AF68" i="7"/>
  <c r="AE68" i="7"/>
  <c r="AD68" i="7"/>
  <c r="AC68" i="7"/>
  <c r="AB68" i="7"/>
  <c r="AA68" i="7"/>
  <c r="Z68" i="7"/>
  <c r="Y68" i="7"/>
  <c r="X68" i="7"/>
  <c r="W68" i="7"/>
  <c r="V68" i="7"/>
  <c r="U68" i="7"/>
  <c r="T68" i="7"/>
  <c r="S68" i="7"/>
  <c r="R68" i="7"/>
  <c r="Q68" i="7"/>
  <c r="P68" i="7"/>
  <c r="O68" i="7"/>
  <c r="N68" i="7"/>
  <c r="M68" i="7"/>
  <c r="L68" i="7"/>
  <c r="K68" i="7"/>
  <c r="J68" i="7"/>
  <c r="I68" i="7"/>
  <c r="H68" i="7"/>
  <c r="G68" i="7"/>
  <c r="F68" i="7"/>
  <c r="E68" i="7"/>
  <c r="D68" i="7"/>
  <c r="C68" i="7"/>
  <c r="B68" i="7"/>
  <c r="A68" i="7"/>
  <c r="FO67" i="7"/>
  <c r="FN67" i="7"/>
  <c r="FM67" i="7"/>
  <c r="FL67" i="7"/>
  <c r="FK67" i="7"/>
  <c r="FJ67" i="7"/>
  <c r="FI67" i="7"/>
  <c r="FH67" i="7"/>
  <c r="FG67" i="7"/>
  <c r="FF67" i="7"/>
  <c r="FE67" i="7"/>
  <c r="FD67" i="7"/>
  <c r="FC67" i="7"/>
  <c r="FB67" i="7"/>
  <c r="FA67" i="7"/>
  <c r="EZ67" i="7"/>
  <c r="EY67" i="7"/>
  <c r="EX67" i="7"/>
  <c r="EW67" i="7"/>
  <c r="EV67" i="7"/>
  <c r="EU67" i="7"/>
  <c r="ET67" i="7"/>
  <c r="ES67" i="7"/>
  <c r="ER67" i="7"/>
  <c r="EQ67" i="7"/>
  <c r="EP67" i="7"/>
  <c r="EO67" i="7"/>
  <c r="EN67" i="7"/>
  <c r="EM67" i="7"/>
  <c r="EL67" i="7"/>
  <c r="EK67" i="7"/>
  <c r="EJ67" i="7"/>
  <c r="EI67" i="7"/>
  <c r="EH67" i="7"/>
  <c r="EG67" i="7"/>
  <c r="EF67" i="7"/>
  <c r="EE67" i="7"/>
  <c r="ED67" i="7"/>
  <c r="EC67" i="7"/>
  <c r="EB67" i="7"/>
  <c r="EA67" i="7"/>
  <c r="DZ67" i="7"/>
  <c r="DY67" i="7"/>
  <c r="DX67" i="7"/>
  <c r="DW67" i="7"/>
  <c r="DV67" i="7"/>
  <c r="DU67" i="7"/>
  <c r="DT67" i="7"/>
  <c r="DS67" i="7"/>
  <c r="DR67" i="7"/>
  <c r="DQ67" i="7"/>
  <c r="DP67" i="7"/>
  <c r="DO67" i="7"/>
  <c r="DN67" i="7"/>
  <c r="DM67" i="7"/>
  <c r="DL67" i="7"/>
  <c r="DK67" i="7"/>
  <c r="DJ67" i="7"/>
  <c r="DI67" i="7"/>
  <c r="DH67" i="7"/>
  <c r="DG67" i="7"/>
  <c r="DF67" i="7"/>
  <c r="DE67" i="7"/>
  <c r="DD67" i="7"/>
  <c r="DC67" i="7"/>
  <c r="DB67" i="7"/>
  <c r="DA67" i="7"/>
  <c r="CZ67" i="7"/>
  <c r="CY67" i="7"/>
  <c r="CX67" i="7"/>
  <c r="CW67" i="7"/>
  <c r="CV67" i="7"/>
  <c r="CU67" i="7"/>
  <c r="CT67" i="7"/>
  <c r="CS67" i="7"/>
  <c r="CR67" i="7"/>
  <c r="CQ67" i="7"/>
  <c r="CP67" i="7"/>
  <c r="CO67" i="7"/>
  <c r="CN67" i="7"/>
  <c r="CM67" i="7"/>
  <c r="CL67" i="7"/>
  <c r="CK67" i="7"/>
  <c r="CJ67" i="7"/>
  <c r="CI67" i="7"/>
  <c r="CH67" i="7"/>
  <c r="CG67" i="7"/>
  <c r="CF67" i="7"/>
  <c r="CE67" i="7"/>
  <c r="CD67" i="7"/>
  <c r="CC67" i="7"/>
  <c r="CB67" i="7"/>
  <c r="CA67" i="7"/>
  <c r="BZ67" i="7"/>
  <c r="BY67" i="7"/>
  <c r="BX67" i="7"/>
  <c r="BW67" i="7"/>
  <c r="BV67" i="7"/>
  <c r="BU67" i="7"/>
  <c r="BT67" i="7"/>
  <c r="BS67" i="7"/>
  <c r="BR67" i="7"/>
  <c r="BQ67" i="7"/>
  <c r="BP67" i="7"/>
  <c r="BO67" i="7"/>
  <c r="BN67" i="7"/>
  <c r="BM67" i="7"/>
  <c r="BL67" i="7"/>
  <c r="BK67" i="7"/>
  <c r="BJ67" i="7"/>
  <c r="BI67" i="7"/>
  <c r="BH67" i="7"/>
  <c r="BG67" i="7"/>
  <c r="BF67" i="7"/>
  <c r="BE67" i="7"/>
  <c r="BD67" i="7"/>
  <c r="BC67" i="7"/>
  <c r="BB67" i="7"/>
  <c r="BA67" i="7"/>
  <c r="AZ67" i="7"/>
  <c r="AY67" i="7"/>
  <c r="AX67" i="7"/>
  <c r="AW67" i="7"/>
  <c r="AV67" i="7"/>
  <c r="AU67" i="7"/>
  <c r="AT67" i="7"/>
  <c r="AS67" i="7"/>
  <c r="AR67" i="7"/>
  <c r="AQ67" i="7"/>
  <c r="AP67" i="7"/>
  <c r="AO67" i="7"/>
  <c r="AN67" i="7"/>
  <c r="AM67" i="7"/>
  <c r="AL67" i="7"/>
  <c r="AK67" i="7"/>
  <c r="AJ67" i="7"/>
  <c r="AI67" i="7"/>
  <c r="AH67" i="7"/>
  <c r="AG67" i="7"/>
  <c r="AF67" i="7"/>
  <c r="AE67" i="7"/>
  <c r="AD67" i="7"/>
  <c r="AC67" i="7"/>
  <c r="AB67" i="7"/>
  <c r="AA67" i="7"/>
  <c r="Z67" i="7"/>
  <c r="Y67" i="7"/>
  <c r="X67" i="7"/>
  <c r="W67" i="7"/>
  <c r="V67" i="7"/>
  <c r="U67" i="7"/>
  <c r="T67" i="7"/>
  <c r="S67" i="7"/>
  <c r="R67" i="7"/>
  <c r="Q67" i="7"/>
  <c r="P67" i="7"/>
  <c r="O67" i="7"/>
  <c r="N67" i="7"/>
  <c r="M67" i="7"/>
  <c r="L67" i="7"/>
  <c r="K67" i="7"/>
  <c r="J67" i="7"/>
  <c r="I67" i="7"/>
  <c r="H67" i="7"/>
  <c r="G67" i="7"/>
  <c r="F67" i="7"/>
  <c r="E67" i="7"/>
  <c r="D67" i="7"/>
  <c r="C67" i="7"/>
  <c r="B67" i="7"/>
  <c r="A67" i="7"/>
  <c r="FO66" i="7"/>
  <c r="FN66" i="7"/>
  <c r="FM66" i="7"/>
  <c r="FL66" i="7"/>
  <c r="FK66" i="7"/>
  <c r="FJ66" i="7"/>
  <c r="FI66" i="7"/>
  <c r="FH66" i="7"/>
  <c r="FG66" i="7"/>
  <c r="FF66" i="7"/>
  <c r="FE66" i="7"/>
  <c r="FD66" i="7"/>
  <c r="FC66" i="7"/>
  <c r="FB66" i="7"/>
  <c r="FA66" i="7"/>
  <c r="EZ66" i="7"/>
  <c r="EY66" i="7"/>
  <c r="EX66" i="7"/>
  <c r="EW66" i="7"/>
  <c r="EV66" i="7"/>
  <c r="EU66" i="7"/>
  <c r="ET66" i="7"/>
  <c r="ES66" i="7"/>
  <c r="ER66" i="7"/>
  <c r="EQ66" i="7"/>
  <c r="EP66" i="7"/>
  <c r="EO66" i="7"/>
  <c r="EN66" i="7"/>
  <c r="EM66" i="7"/>
  <c r="EL66" i="7"/>
  <c r="EK66" i="7"/>
  <c r="EJ66" i="7"/>
  <c r="EI66" i="7"/>
  <c r="EH66" i="7"/>
  <c r="EG66" i="7"/>
  <c r="EF66" i="7"/>
  <c r="EE66" i="7"/>
  <c r="ED66" i="7"/>
  <c r="EC66" i="7"/>
  <c r="EB66" i="7"/>
  <c r="EA66" i="7"/>
  <c r="DZ66" i="7"/>
  <c r="DY66" i="7"/>
  <c r="DX66" i="7"/>
  <c r="DW66" i="7"/>
  <c r="DV66" i="7"/>
  <c r="DU66" i="7"/>
  <c r="DT66" i="7"/>
  <c r="DS66" i="7"/>
  <c r="DR66" i="7"/>
  <c r="DQ66" i="7"/>
  <c r="DP66" i="7"/>
  <c r="DO66" i="7"/>
  <c r="DN66" i="7"/>
  <c r="DM66" i="7"/>
  <c r="DL66" i="7"/>
  <c r="DK66" i="7"/>
  <c r="DJ66" i="7"/>
  <c r="DI66" i="7"/>
  <c r="DH66" i="7"/>
  <c r="DG66" i="7"/>
  <c r="DF66" i="7"/>
  <c r="DE66" i="7"/>
  <c r="DD66" i="7"/>
  <c r="DC66" i="7"/>
  <c r="DB66" i="7"/>
  <c r="DA66" i="7"/>
  <c r="CZ66" i="7"/>
  <c r="CY66" i="7"/>
  <c r="CX66" i="7"/>
  <c r="CW66" i="7"/>
  <c r="CV66" i="7"/>
  <c r="CU66" i="7"/>
  <c r="CT66" i="7"/>
  <c r="CS66" i="7"/>
  <c r="CR66" i="7"/>
  <c r="CQ66" i="7"/>
  <c r="CP66" i="7"/>
  <c r="CO66" i="7"/>
  <c r="CN66" i="7"/>
  <c r="CM66" i="7"/>
  <c r="CL66" i="7"/>
  <c r="CK66" i="7"/>
  <c r="CJ66" i="7"/>
  <c r="CI66" i="7"/>
  <c r="CH66" i="7"/>
  <c r="CG66" i="7"/>
  <c r="CF66" i="7"/>
  <c r="CE66" i="7"/>
  <c r="CD66" i="7"/>
  <c r="CC66" i="7"/>
  <c r="CB66" i="7"/>
  <c r="CA66" i="7"/>
  <c r="BZ66" i="7"/>
  <c r="BY66" i="7"/>
  <c r="BX66" i="7"/>
  <c r="BW66" i="7"/>
  <c r="BV66" i="7"/>
  <c r="BU66" i="7"/>
  <c r="BT66" i="7"/>
  <c r="BS66" i="7"/>
  <c r="BR66" i="7"/>
  <c r="BQ66" i="7"/>
  <c r="BP66" i="7"/>
  <c r="BO66" i="7"/>
  <c r="BN66" i="7"/>
  <c r="BM66" i="7"/>
  <c r="BL66" i="7"/>
  <c r="BK66" i="7"/>
  <c r="BJ66" i="7"/>
  <c r="BI66" i="7"/>
  <c r="BH66" i="7"/>
  <c r="BG66" i="7"/>
  <c r="BF66" i="7"/>
  <c r="BE66" i="7"/>
  <c r="BD66" i="7"/>
  <c r="BC66" i="7"/>
  <c r="BB66" i="7"/>
  <c r="BA66" i="7"/>
  <c r="AZ66" i="7"/>
  <c r="AY66" i="7"/>
  <c r="AX66" i="7"/>
  <c r="AW66" i="7"/>
  <c r="AV66" i="7"/>
  <c r="AU66" i="7"/>
  <c r="AT66" i="7"/>
  <c r="AS66" i="7"/>
  <c r="AR66" i="7"/>
  <c r="AQ66" i="7"/>
  <c r="AP66" i="7"/>
  <c r="AO66" i="7"/>
  <c r="AN66" i="7"/>
  <c r="AM66" i="7"/>
  <c r="AL66" i="7"/>
  <c r="AK66" i="7"/>
  <c r="AJ66" i="7"/>
  <c r="AI66" i="7"/>
  <c r="AH66" i="7"/>
  <c r="AG66" i="7"/>
  <c r="AF66" i="7"/>
  <c r="AE66" i="7"/>
  <c r="AD66" i="7"/>
  <c r="AC66" i="7"/>
  <c r="AB66" i="7"/>
  <c r="AA66" i="7"/>
  <c r="Z66" i="7"/>
  <c r="Y66" i="7"/>
  <c r="X66" i="7"/>
  <c r="W66" i="7"/>
  <c r="V66" i="7"/>
  <c r="U66" i="7"/>
  <c r="T66" i="7"/>
  <c r="S66" i="7"/>
  <c r="R66" i="7"/>
  <c r="Q66" i="7"/>
  <c r="P66" i="7"/>
  <c r="O66" i="7"/>
  <c r="N66" i="7"/>
  <c r="M66" i="7"/>
  <c r="L66" i="7"/>
  <c r="K66" i="7"/>
  <c r="J66" i="7"/>
  <c r="I66" i="7"/>
  <c r="H66" i="7"/>
  <c r="G66" i="7"/>
  <c r="F66" i="7"/>
  <c r="E66" i="7"/>
  <c r="D66" i="7"/>
  <c r="C66" i="7"/>
  <c r="B66" i="7"/>
  <c r="A66" i="7"/>
  <c r="FO65" i="7"/>
  <c r="FN65" i="7"/>
  <c r="FM65" i="7"/>
  <c r="FL65" i="7"/>
  <c r="FK65" i="7"/>
  <c r="FJ65" i="7"/>
  <c r="FI65" i="7"/>
  <c r="FH65" i="7"/>
  <c r="FG65" i="7"/>
  <c r="FF65" i="7"/>
  <c r="FE65" i="7"/>
  <c r="FD65" i="7"/>
  <c r="FC65" i="7"/>
  <c r="FB65" i="7"/>
  <c r="FA65" i="7"/>
  <c r="EZ65" i="7"/>
  <c r="EY65" i="7"/>
  <c r="EX65" i="7"/>
  <c r="EW65" i="7"/>
  <c r="EV65" i="7"/>
  <c r="EU65" i="7"/>
  <c r="ET65" i="7"/>
  <c r="ES65" i="7"/>
  <c r="ER65" i="7"/>
  <c r="EQ65" i="7"/>
  <c r="EP65" i="7"/>
  <c r="EO65" i="7"/>
  <c r="EN65" i="7"/>
  <c r="EM65" i="7"/>
  <c r="EL65" i="7"/>
  <c r="EK65" i="7"/>
  <c r="EJ65" i="7"/>
  <c r="EI65" i="7"/>
  <c r="EH65" i="7"/>
  <c r="EG65" i="7"/>
  <c r="EF65" i="7"/>
  <c r="EE65" i="7"/>
  <c r="ED65" i="7"/>
  <c r="EC65" i="7"/>
  <c r="EB65" i="7"/>
  <c r="EA65" i="7"/>
  <c r="DZ65" i="7"/>
  <c r="DY65" i="7"/>
  <c r="DX65" i="7"/>
  <c r="DW65" i="7"/>
  <c r="DV65" i="7"/>
  <c r="DU65" i="7"/>
  <c r="DT65" i="7"/>
  <c r="DS65" i="7"/>
  <c r="DR65" i="7"/>
  <c r="DQ65" i="7"/>
  <c r="DP65" i="7"/>
  <c r="DO65" i="7"/>
  <c r="DN65" i="7"/>
  <c r="DM65" i="7"/>
  <c r="DL65" i="7"/>
  <c r="DK65" i="7"/>
  <c r="DJ65" i="7"/>
  <c r="DI65" i="7"/>
  <c r="DH65" i="7"/>
  <c r="DG65" i="7"/>
  <c r="DF65" i="7"/>
  <c r="DE65" i="7"/>
  <c r="DD65" i="7"/>
  <c r="DC65" i="7"/>
  <c r="DB65" i="7"/>
  <c r="DA65" i="7"/>
  <c r="CZ65" i="7"/>
  <c r="CY65" i="7"/>
  <c r="CX65" i="7"/>
  <c r="CW65" i="7"/>
  <c r="CV65" i="7"/>
  <c r="CU65" i="7"/>
  <c r="CT65" i="7"/>
  <c r="CS65" i="7"/>
  <c r="CR65" i="7"/>
  <c r="CQ65" i="7"/>
  <c r="CP65" i="7"/>
  <c r="CO65" i="7"/>
  <c r="CN65" i="7"/>
  <c r="CM65" i="7"/>
  <c r="CL65" i="7"/>
  <c r="CK65" i="7"/>
  <c r="CJ65" i="7"/>
  <c r="CI65" i="7"/>
  <c r="CH65" i="7"/>
  <c r="CG65" i="7"/>
  <c r="CF65" i="7"/>
  <c r="CE65" i="7"/>
  <c r="CD65" i="7"/>
  <c r="CC65" i="7"/>
  <c r="CB65" i="7"/>
  <c r="CA65" i="7"/>
  <c r="BZ65" i="7"/>
  <c r="BY65" i="7"/>
  <c r="BX65" i="7"/>
  <c r="BW65" i="7"/>
  <c r="BV65" i="7"/>
  <c r="BU65" i="7"/>
  <c r="BT65" i="7"/>
  <c r="BS65" i="7"/>
  <c r="BR65" i="7"/>
  <c r="BQ65" i="7"/>
  <c r="BP65" i="7"/>
  <c r="BO65" i="7"/>
  <c r="BN65" i="7"/>
  <c r="BM65" i="7"/>
  <c r="BL65" i="7"/>
  <c r="BK65" i="7"/>
  <c r="BJ65" i="7"/>
  <c r="BI65" i="7"/>
  <c r="BH65" i="7"/>
  <c r="BG65" i="7"/>
  <c r="BF65" i="7"/>
  <c r="BE65" i="7"/>
  <c r="BD65" i="7"/>
  <c r="BC65" i="7"/>
  <c r="BB65" i="7"/>
  <c r="BA65" i="7"/>
  <c r="AZ65" i="7"/>
  <c r="AY65" i="7"/>
  <c r="AX65" i="7"/>
  <c r="AW65" i="7"/>
  <c r="AV65" i="7"/>
  <c r="AU65" i="7"/>
  <c r="AT65" i="7"/>
  <c r="AS65" i="7"/>
  <c r="AR65" i="7"/>
  <c r="AQ65" i="7"/>
  <c r="AP65" i="7"/>
  <c r="AO65" i="7"/>
  <c r="AN65" i="7"/>
  <c r="AM65" i="7"/>
  <c r="AL65" i="7"/>
  <c r="AK65" i="7"/>
  <c r="AJ65" i="7"/>
  <c r="AI65" i="7"/>
  <c r="AH65" i="7"/>
  <c r="AG65" i="7"/>
  <c r="AF65" i="7"/>
  <c r="AE65" i="7"/>
  <c r="AD65" i="7"/>
  <c r="AC65" i="7"/>
  <c r="AB65" i="7"/>
  <c r="AA65" i="7"/>
  <c r="Z65" i="7"/>
  <c r="Y65" i="7"/>
  <c r="X65" i="7"/>
  <c r="W65" i="7"/>
  <c r="V65" i="7"/>
  <c r="U65" i="7"/>
  <c r="T65" i="7"/>
  <c r="S65" i="7"/>
  <c r="R65" i="7"/>
  <c r="Q65" i="7"/>
  <c r="P65" i="7"/>
  <c r="O65" i="7"/>
  <c r="N65" i="7"/>
  <c r="M65" i="7"/>
  <c r="L65" i="7"/>
  <c r="K65" i="7"/>
  <c r="J65" i="7"/>
  <c r="I65" i="7"/>
  <c r="H65" i="7"/>
  <c r="G65" i="7"/>
  <c r="F65" i="7"/>
  <c r="E65" i="7"/>
  <c r="D65" i="7"/>
  <c r="C65" i="7"/>
  <c r="B65" i="7"/>
  <c r="A65" i="7"/>
  <c r="FO64" i="7"/>
  <c r="FN64" i="7"/>
  <c r="FM64" i="7"/>
  <c r="FL64" i="7"/>
  <c r="FK64" i="7"/>
  <c r="FJ64" i="7"/>
  <c r="FI64" i="7"/>
  <c r="FH64" i="7"/>
  <c r="FG64" i="7"/>
  <c r="FF64" i="7"/>
  <c r="FE64" i="7"/>
  <c r="FD64" i="7"/>
  <c r="FC64" i="7"/>
  <c r="FB64" i="7"/>
  <c r="FA64" i="7"/>
  <c r="EZ64" i="7"/>
  <c r="EY64" i="7"/>
  <c r="EX64" i="7"/>
  <c r="EW64" i="7"/>
  <c r="EV64" i="7"/>
  <c r="EU64" i="7"/>
  <c r="ET64" i="7"/>
  <c r="ES64" i="7"/>
  <c r="ER64" i="7"/>
  <c r="EQ64" i="7"/>
  <c r="EP64" i="7"/>
  <c r="EO64" i="7"/>
  <c r="EN64" i="7"/>
  <c r="EM64" i="7"/>
  <c r="EL64" i="7"/>
  <c r="EK64" i="7"/>
  <c r="EJ64" i="7"/>
  <c r="EI64" i="7"/>
  <c r="EH64" i="7"/>
  <c r="EG64" i="7"/>
  <c r="EF64" i="7"/>
  <c r="EE64" i="7"/>
  <c r="ED64" i="7"/>
  <c r="EC64" i="7"/>
  <c r="EB64" i="7"/>
  <c r="EA64" i="7"/>
  <c r="DZ64" i="7"/>
  <c r="DY64" i="7"/>
  <c r="DX64" i="7"/>
  <c r="DW64" i="7"/>
  <c r="DV64" i="7"/>
  <c r="DU64" i="7"/>
  <c r="DT64" i="7"/>
  <c r="DS64" i="7"/>
  <c r="DR64" i="7"/>
  <c r="DQ64" i="7"/>
  <c r="DP64" i="7"/>
  <c r="DO64" i="7"/>
  <c r="DN64" i="7"/>
  <c r="DM64" i="7"/>
  <c r="DL64" i="7"/>
  <c r="DK64" i="7"/>
  <c r="DJ64" i="7"/>
  <c r="DI64" i="7"/>
  <c r="DH64" i="7"/>
  <c r="DG64" i="7"/>
  <c r="DF64" i="7"/>
  <c r="DE64" i="7"/>
  <c r="DD64" i="7"/>
  <c r="DC64" i="7"/>
  <c r="DB64" i="7"/>
  <c r="DA64" i="7"/>
  <c r="CZ64" i="7"/>
  <c r="CY64" i="7"/>
  <c r="CX64" i="7"/>
  <c r="CW64" i="7"/>
  <c r="CV64" i="7"/>
  <c r="CU64" i="7"/>
  <c r="CT64" i="7"/>
  <c r="CS64" i="7"/>
  <c r="CR64" i="7"/>
  <c r="CQ64" i="7"/>
  <c r="CP64" i="7"/>
  <c r="CO64" i="7"/>
  <c r="CN64" i="7"/>
  <c r="CM64" i="7"/>
  <c r="CL64" i="7"/>
  <c r="CK64" i="7"/>
  <c r="CJ64" i="7"/>
  <c r="CI64" i="7"/>
  <c r="CH64" i="7"/>
  <c r="CG64" i="7"/>
  <c r="CF64" i="7"/>
  <c r="CE64" i="7"/>
  <c r="CD64" i="7"/>
  <c r="CC64" i="7"/>
  <c r="CB64" i="7"/>
  <c r="CA64" i="7"/>
  <c r="BZ64" i="7"/>
  <c r="BY64" i="7"/>
  <c r="BX64" i="7"/>
  <c r="BW64" i="7"/>
  <c r="BV64" i="7"/>
  <c r="BU64" i="7"/>
  <c r="BT64" i="7"/>
  <c r="BS64" i="7"/>
  <c r="BR64" i="7"/>
  <c r="BQ64" i="7"/>
  <c r="BP64" i="7"/>
  <c r="BO64" i="7"/>
  <c r="BN64" i="7"/>
  <c r="BM64" i="7"/>
  <c r="BL64" i="7"/>
  <c r="BK64" i="7"/>
  <c r="BJ64" i="7"/>
  <c r="BI64" i="7"/>
  <c r="BH64" i="7"/>
  <c r="BG64" i="7"/>
  <c r="BF64" i="7"/>
  <c r="BE64" i="7"/>
  <c r="BD64" i="7"/>
  <c r="BC64" i="7"/>
  <c r="BB64" i="7"/>
  <c r="BA64" i="7"/>
  <c r="AZ64" i="7"/>
  <c r="AY64" i="7"/>
  <c r="AX64" i="7"/>
  <c r="AW64" i="7"/>
  <c r="AV64" i="7"/>
  <c r="AU64" i="7"/>
  <c r="AT64" i="7"/>
  <c r="AS64" i="7"/>
  <c r="AR64" i="7"/>
  <c r="AQ64" i="7"/>
  <c r="AP64" i="7"/>
  <c r="AO64" i="7"/>
  <c r="AN64" i="7"/>
  <c r="AM64" i="7"/>
  <c r="AL64" i="7"/>
  <c r="AK64" i="7"/>
  <c r="AJ64" i="7"/>
  <c r="AI64" i="7"/>
  <c r="AH64" i="7"/>
  <c r="AG64" i="7"/>
  <c r="AF64" i="7"/>
  <c r="AE64" i="7"/>
  <c r="AD64" i="7"/>
  <c r="AC64" i="7"/>
  <c r="AB64" i="7"/>
  <c r="AA64" i="7"/>
  <c r="Z64" i="7"/>
  <c r="Y64" i="7"/>
  <c r="X64" i="7"/>
  <c r="W64" i="7"/>
  <c r="V64" i="7"/>
  <c r="U64" i="7"/>
  <c r="T64" i="7"/>
  <c r="S64" i="7"/>
  <c r="R64" i="7"/>
  <c r="Q64" i="7"/>
  <c r="P64" i="7"/>
  <c r="O64" i="7"/>
  <c r="N64" i="7"/>
  <c r="M64" i="7"/>
  <c r="L64" i="7"/>
  <c r="K64" i="7"/>
  <c r="J64" i="7"/>
  <c r="I64" i="7"/>
  <c r="H64" i="7"/>
  <c r="G64" i="7"/>
  <c r="F64" i="7"/>
  <c r="E64" i="7"/>
  <c r="D64" i="7"/>
  <c r="C64" i="7"/>
  <c r="B64" i="7"/>
  <c r="A64" i="7"/>
  <c r="FO63" i="7"/>
  <c r="FN63" i="7"/>
  <c r="FM63" i="7"/>
  <c r="FL63" i="7"/>
  <c r="FK63" i="7"/>
  <c r="FJ63" i="7"/>
  <c r="FI63" i="7"/>
  <c r="FH63" i="7"/>
  <c r="FG63" i="7"/>
  <c r="FF63" i="7"/>
  <c r="FE63" i="7"/>
  <c r="FD63" i="7"/>
  <c r="FC63" i="7"/>
  <c r="FB63" i="7"/>
  <c r="FA63" i="7"/>
  <c r="EZ63" i="7"/>
  <c r="EY63" i="7"/>
  <c r="EX63" i="7"/>
  <c r="EW63" i="7"/>
  <c r="EV63" i="7"/>
  <c r="EU63" i="7"/>
  <c r="ET63" i="7"/>
  <c r="ES63" i="7"/>
  <c r="ER63" i="7"/>
  <c r="EQ63" i="7"/>
  <c r="EP63" i="7"/>
  <c r="EO63" i="7"/>
  <c r="EN63" i="7"/>
  <c r="EM63" i="7"/>
  <c r="EL63" i="7"/>
  <c r="EK63" i="7"/>
  <c r="EJ63" i="7"/>
  <c r="EI63" i="7"/>
  <c r="EH63" i="7"/>
  <c r="EG63" i="7"/>
  <c r="EF63" i="7"/>
  <c r="EE63" i="7"/>
  <c r="ED63" i="7"/>
  <c r="EC63" i="7"/>
  <c r="EB63" i="7"/>
  <c r="EA63" i="7"/>
  <c r="DZ63" i="7"/>
  <c r="DY63" i="7"/>
  <c r="DX63" i="7"/>
  <c r="DW63" i="7"/>
  <c r="DV63" i="7"/>
  <c r="DU63" i="7"/>
  <c r="DT63" i="7"/>
  <c r="DS63" i="7"/>
  <c r="DR63" i="7"/>
  <c r="DQ63" i="7"/>
  <c r="DP63" i="7"/>
  <c r="DO63" i="7"/>
  <c r="DN63" i="7"/>
  <c r="DM63" i="7"/>
  <c r="DL63" i="7"/>
  <c r="DK63" i="7"/>
  <c r="DJ63" i="7"/>
  <c r="DI63" i="7"/>
  <c r="DH63" i="7"/>
  <c r="DG63" i="7"/>
  <c r="DF63" i="7"/>
  <c r="DE63" i="7"/>
  <c r="DD63" i="7"/>
  <c r="DC63" i="7"/>
  <c r="DB63" i="7"/>
  <c r="DA63" i="7"/>
  <c r="CZ63" i="7"/>
  <c r="CY63" i="7"/>
  <c r="CX63" i="7"/>
  <c r="CW63" i="7"/>
  <c r="CV63" i="7"/>
  <c r="CU63" i="7"/>
  <c r="CT63" i="7"/>
  <c r="CS63" i="7"/>
  <c r="CR63" i="7"/>
  <c r="CQ63" i="7"/>
  <c r="CP63" i="7"/>
  <c r="CO63" i="7"/>
  <c r="CN63" i="7"/>
  <c r="CM63" i="7"/>
  <c r="CL63" i="7"/>
  <c r="CK63" i="7"/>
  <c r="CJ63" i="7"/>
  <c r="CI63" i="7"/>
  <c r="CH63" i="7"/>
  <c r="CG63" i="7"/>
  <c r="CF63" i="7"/>
  <c r="CE63" i="7"/>
  <c r="CD63" i="7"/>
  <c r="CC63" i="7"/>
  <c r="CB63" i="7"/>
  <c r="CA63" i="7"/>
  <c r="BZ63" i="7"/>
  <c r="BY63" i="7"/>
  <c r="BX63" i="7"/>
  <c r="BW63" i="7"/>
  <c r="BV63" i="7"/>
  <c r="BU63" i="7"/>
  <c r="BT63" i="7"/>
  <c r="BS63" i="7"/>
  <c r="BR63" i="7"/>
  <c r="BQ63" i="7"/>
  <c r="BP63" i="7"/>
  <c r="BO63" i="7"/>
  <c r="BN63" i="7"/>
  <c r="BM63" i="7"/>
  <c r="BL63" i="7"/>
  <c r="BK63" i="7"/>
  <c r="BJ63" i="7"/>
  <c r="BI63" i="7"/>
  <c r="BH63" i="7"/>
  <c r="BG63" i="7"/>
  <c r="BF63" i="7"/>
  <c r="BE63" i="7"/>
  <c r="BD63" i="7"/>
  <c r="BC63" i="7"/>
  <c r="BB63" i="7"/>
  <c r="BA63" i="7"/>
  <c r="AZ63" i="7"/>
  <c r="AY63" i="7"/>
  <c r="AX63" i="7"/>
  <c r="AW63" i="7"/>
  <c r="AV63" i="7"/>
  <c r="AU63" i="7"/>
  <c r="AT63" i="7"/>
  <c r="AS63" i="7"/>
  <c r="AR63" i="7"/>
  <c r="AQ63" i="7"/>
  <c r="AP63" i="7"/>
  <c r="AO63" i="7"/>
  <c r="AN63" i="7"/>
  <c r="AM63" i="7"/>
  <c r="AL63" i="7"/>
  <c r="AK63" i="7"/>
  <c r="AJ63" i="7"/>
  <c r="AI63" i="7"/>
  <c r="AH63" i="7"/>
  <c r="AG63" i="7"/>
  <c r="AF63" i="7"/>
  <c r="AE63" i="7"/>
  <c r="AD63" i="7"/>
  <c r="AC63" i="7"/>
  <c r="AB63" i="7"/>
  <c r="AA63" i="7"/>
  <c r="Z63" i="7"/>
  <c r="Y63" i="7"/>
  <c r="X63" i="7"/>
  <c r="W63" i="7"/>
  <c r="V63" i="7"/>
  <c r="U63" i="7"/>
  <c r="T63" i="7"/>
  <c r="S63" i="7"/>
  <c r="R63" i="7"/>
  <c r="Q63" i="7"/>
  <c r="P63" i="7"/>
  <c r="O63" i="7"/>
  <c r="N63" i="7"/>
  <c r="M63" i="7"/>
  <c r="L63" i="7"/>
  <c r="K63" i="7"/>
  <c r="J63" i="7"/>
  <c r="I63" i="7"/>
  <c r="H63" i="7"/>
  <c r="G63" i="7"/>
  <c r="F63" i="7"/>
  <c r="E63" i="7"/>
  <c r="D63" i="7"/>
  <c r="C63" i="7"/>
  <c r="B63" i="7"/>
  <c r="A63" i="7"/>
  <c r="FO62" i="7"/>
  <c r="FN62" i="7"/>
  <c r="FM62" i="7"/>
  <c r="FL62" i="7"/>
  <c r="FK62" i="7"/>
  <c r="FJ62" i="7"/>
  <c r="FI62" i="7"/>
  <c r="FH62" i="7"/>
  <c r="FG62" i="7"/>
  <c r="FF62" i="7"/>
  <c r="FE62" i="7"/>
  <c r="FD62" i="7"/>
  <c r="FC62" i="7"/>
  <c r="FB62" i="7"/>
  <c r="FA62" i="7"/>
  <c r="EZ62" i="7"/>
  <c r="EY62" i="7"/>
  <c r="EX62" i="7"/>
  <c r="EW62" i="7"/>
  <c r="EV62" i="7"/>
  <c r="EU62" i="7"/>
  <c r="ET62" i="7"/>
  <c r="ES62" i="7"/>
  <c r="ER62" i="7"/>
  <c r="EQ62" i="7"/>
  <c r="EP62" i="7"/>
  <c r="EO62" i="7"/>
  <c r="EN62" i="7"/>
  <c r="EM62" i="7"/>
  <c r="EL62" i="7"/>
  <c r="EK62" i="7"/>
  <c r="EJ62" i="7"/>
  <c r="EI62" i="7"/>
  <c r="EH62" i="7"/>
  <c r="EG62" i="7"/>
  <c r="EF62" i="7"/>
  <c r="EE62" i="7"/>
  <c r="ED62" i="7"/>
  <c r="EC62" i="7"/>
  <c r="EB62" i="7"/>
  <c r="EA62" i="7"/>
  <c r="DZ62" i="7"/>
  <c r="DY62" i="7"/>
  <c r="DX62" i="7"/>
  <c r="DW62" i="7"/>
  <c r="DV62" i="7"/>
  <c r="DU62" i="7"/>
  <c r="DT62" i="7"/>
  <c r="DS62" i="7"/>
  <c r="DR62" i="7"/>
  <c r="DQ62" i="7"/>
  <c r="DP62" i="7"/>
  <c r="DO62" i="7"/>
  <c r="DN62" i="7"/>
  <c r="DM62" i="7"/>
  <c r="DL62" i="7"/>
  <c r="DK62" i="7"/>
  <c r="DJ62" i="7"/>
  <c r="DI62" i="7"/>
  <c r="DH62" i="7"/>
  <c r="DG62" i="7"/>
  <c r="DF62" i="7"/>
  <c r="DE62" i="7"/>
  <c r="DD62" i="7"/>
  <c r="DC62" i="7"/>
  <c r="DB62" i="7"/>
  <c r="DA62" i="7"/>
  <c r="CZ62" i="7"/>
  <c r="CY62" i="7"/>
  <c r="CX62" i="7"/>
  <c r="CW62" i="7"/>
  <c r="CV62" i="7"/>
  <c r="CU62" i="7"/>
  <c r="CT62" i="7"/>
  <c r="CS62" i="7"/>
  <c r="CR62" i="7"/>
  <c r="CQ62" i="7"/>
  <c r="CP62" i="7"/>
  <c r="CO62" i="7"/>
  <c r="CN62" i="7"/>
  <c r="CM62" i="7"/>
  <c r="CL62" i="7"/>
  <c r="CK62" i="7"/>
  <c r="CJ62" i="7"/>
  <c r="CI62" i="7"/>
  <c r="CH62" i="7"/>
  <c r="CG62" i="7"/>
  <c r="CF62" i="7"/>
  <c r="CE62" i="7"/>
  <c r="CD62" i="7"/>
  <c r="CC62" i="7"/>
  <c r="CB62" i="7"/>
  <c r="CA62" i="7"/>
  <c r="BZ62" i="7"/>
  <c r="BY62" i="7"/>
  <c r="BX62" i="7"/>
  <c r="BW62" i="7"/>
  <c r="BV62" i="7"/>
  <c r="BU62" i="7"/>
  <c r="BT62" i="7"/>
  <c r="BS62" i="7"/>
  <c r="BR62" i="7"/>
  <c r="BQ62" i="7"/>
  <c r="BP62" i="7"/>
  <c r="BO62" i="7"/>
  <c r="BN62" i="7"/>
  <c r="BM62" i="7"/>
  <c r="BL62" i="7"/>
  <c r="BK62" i="7"/>
  <c r="BJ62" i="7"/>
  <c r="BI62" i="7"/>
  <c r="BH62" i="7"/>
  <c r="BG62" i="7"/>
  <c r="BF62" i="7"/>
  <c r="BE62" i="7"/>
  <c r="BD62" i="7"/>
  <c r="BC62" i="7"/>
  <c r="BB62" i="7"/>
  <c r="BA62" i="7"/>
  <c r="AZ62" i="7"/>
  <c r="AY62" i="7"/>
  <c r="AX62" i="7"/>
  <c r="AW62" i="7"/>
  <c r="AV62" i="7"/>
  <c r="AU62" i="7"/>
  <c r="AT62" i="7"/>
  <c r="AS62" i="7"/>
  <c r="AR62" i="7"/>
  <c r="AQ62" i="7"/>
  <c r="AP62" i="7"/>
  <c r="AO62" i="7"/>
  <c r="AN62" i="7"/>
  <c r="AM62" i="7"/>
  <c r="AL62" i="7"/>
  <c r="AK62" i="7"/>
  <c r="AJ62" i="7"/>
  <c r="AI62" i="7"/>
  <c r="AH62" i="7"/>
  <c r="AG62" i="7"/>
  <c r="AF62" i="7"/>
  <c r="AE62" i="7"/>
  <c r="AD62" i="7"/>
  <c r="AC62" i="7"/>
  <c r="AB62" i="7"/>
  <c r="AA62" i="7"/>
  <c r="Z62" i="7"/>
  <c r="Y62" i="7"/>
  <c r="X62" i="7"/>
  <c r="W62" i="7"/>
  <c r="V62" i="7"/>
  <c r="U62" i="7"/>
  <c r="T62" i="7"/>
  <c r="S62" i="7"/>
  <c r="R62" i="7"/>
  <c r="Q62" i="7"/>
  <c r="P62" i="7"/>
  <c r="O62" i="7"/>
  <c r="N62" i="7"/>
  <c r="M62" i="7"/>
  <c r="L62" i="7"/>
  <c r="K62" i="7"/>
  <c r="J62" i="7"/>
  <c r="I62" i="7"/>
  <c r="H62" i="7"/>
  <c r="G62" i="7"/>
  <c r="F62" i="7"/>
  <c r="E62" i="7"/>
  <c r="D62" i="7"/>
  <c r="C62" i="7"/>
  <c r="B62" i="7"/>
  <c r="A62" i="7"/>
  <c r="FO61" i="7"/>
  <c r="FN61" i="7"/>
  <c r="FM61" i="7"/>
  <c r="FL61" i="7"/>
  <c r="FK61" i="7"/>
  <c r="FJ61" i="7"/>
  <c r="FI61" i="7"/>
  <c r="FH61" i="7"/>
  <c r="FG61" i="7"/>
  <c r="FF61" i="7"/>
  <c r="FE61" i="7"/>
  <c r="FD61" i="7"/>
  <c r="FC61" i="7"/>
  <c r="FB61" i="7"/>
  <c r="FA61" i="7"/>
  <c r="EZ61" i="7"/>
  <c r="EY61" i="7"/>
  <c r="EX61" i="7"/>
  <c r="EW61" i="7"/>
  <c r="EV61" i="7"/>
  <c r="EU61" i="7"/>
  <c r="ET61" i="7"/>
  <c r="ES61" i="7"/>
  <c r="ER61" i="7"/>
  <c r="EQ61" i="7"/>
  <c r="EP61" i="7"/>
  <c r="EO61" i="7"/>
  <c r="EN61" i="7"/>
  <c r="EM61" i="7"/>
  <c r="EL61" i="7"/>
  <c r="EK61" i="7"/>
  <c r="EJ61" i="7"/>
  <c r="EI61" i="7"/>
  <c r="EH61" i="7"/>
  <c r="EG61" i="7"/>
  <c r="EF61" i="7"/>
  <c r="EE61" i="7"/>
  <c r="ED61" i="7"/>
  <c r="EC61" i="7"/>
  <c r="EB61" i="7"/>
  <c r="EA61" i="7"/>
  <c r="DZ61" i="7"/>
  <c r="DY61" i="7"/>
  <c r="DX61" i="7"/>
  <c r="DW61" i="7"/>
  <c r="DV61" i="7"/>
  <c r="DU61" i="7"/>
  <c r="DT61" i="7"/>
  <c r="DS61" i="7"/>
  <c r="DR61" i="7"/>
  <c r="DQ61" i="7"/>
  <c r="DP61" i="7"/>
  <c r="DO61" i="7"/>
  <c r="DN61" i="7"/>
  <c r="DM61" i="7"/>
  <c r="DL61" i="7"/>
  <c r="DK61" i="7"/>
  <c r="DJ61" i="7"/>
  <c r="DI61" i="7"/>
  <c r="DH61" i="7"/>
  <c r="DG61" i="7"/>
  <c r="DF61" i="7"/>
  <c r="DE61" i="7"/>
  <c r="DD61" i="7"/>
  <c r="DC61" i="7"/>
  <c r="DB61" i="7"/>
  <c r="DA61" i="7"/>
  <c r="CZ61" i="7"/>
  <c r="CY61" i="7"/>
  <c r="CX61" i="7"/>
  <c r="CW61" i="7"/>
  <c r="CV61" i="7"/>
  <c r="CU61" i="7"/>
  <c r="CT61" i="7"/>
  <c r="CS61" i="7"/>
  <c r="CR61" i="7"/>
  <c r="CQ61" i="7"/>
  <c r="CP61" i="7"/>
  <c r="CO61" i="7"/>
  <c r="CN61" i="7"/>
  <c r="CM61" i="7"/>
  <c r="CL61" i="7"/>
  <c r="CK61" i="7"/>
  <c r="CJ61" i="7"/>
  <c r="CI61" i="7"/>
  <c r="CH61" i="7"/>
  <c r="CG61" i="7"/>
  <c r="CF61" i="7"/>
  <c r="CE61" i="7"/>
  <c r="CD61" i="7"/>
  <c r="CC61" i="7"/>
  <c r="CB61" i="7"/>
  <c r="CA61" i="7"/>
  <c r="BZ61" i="7"/>
  <c r="BY61" i="7"/>
  <c r="BX61" i="7"/>
  <c r="BW61" i="7"/>
  <c r="BV61" i="7"/>
  <c r="BU61" i="7"/>
  <c r="BT61" i="7"/>
  <c r="BS61" i="7"/>
  <c r="BR61" i="7"/>
  <c r="BQ61" i="7"/>
  <c r="BP61" i="7"/>
  <c r="BO61" i="7"/>
  <c r="BN61" i="7"/>
  <c r="BM61" i="7"/>
  <c r="BL61" i="7"/>
  <c r="BK61" i="7"/>
  <c r="BJ61" i="7"/>
  <c r="BI61" i="7"/>
  <c r="BH61" i="7"/>
  <c r="BG61" i="7"/>
  <c r="BF61" i="7"/>
  <c r="BE61" i="7"/>
  <c r="BD61" i="7"/>
  <c r="BC61" i="7"/>
  <c r="BB61" i="7"/>
  <c r="BA61" i="7"/>
  <c r="AZ61" i="7"/>
  <c r="AY61" i="7"/>
  <c r="AX61" i="7"/>
  <c r="AW61" i="7"/>
  <c r="AV61" i="7"/>
  <c r="AU61" i="7"/>
  <c r="AT61" i="7"/>
  <c r="AS61" i="7"/>
  <c r="AR61" i="7"/>
  <c r="AQ61" i="7"/>
  <c r="AP61" i="7"/>
  <c r="AO61" i="7"/>
  <c r="AN61" i="7"/>
  <c r="AM61" i="7"/>
  <c r="AL61" i="7"/>
  <c r="AK61" i="7"/>
  <c r="AJ61" i="7"/>
  <c r="AI61" i="7"/>
  <c r="AH61" i="7"/>
  <c r="AG61" i="7"/>
  <c r="AF61" i="7"/>
  <c r="AE61" i="7"/>
  <c r="AD61" i="7"/>
  <c r="AC61" i="7"/>
  <c r="AB61" i="7"/>
  <c r="AA61" i="7"/>
  <c r="Z61" i="7"/>
  <c r="Y61" i="7"/>
  <c r="X61" i="7"/>
  <c r="W61" i="7"/>
  <c r="V61" i="7"/>
  <c r="U61" i="7"/>
  <c r="T61" i="7"/>
  <c r="S61" i="7"/>
  <c r="R61" i="7"/>
  <c r="Q61" i="7"/>
  <c r="P61" i="7"/>
  <c r="O61" i="7"/>
  <c r="N61" i="7"/>
  <c r="M61" i="7"/>
  <c r="L61" i="7"/>
  <c r="K61" i="7"/>
  <c r="J61" i="7"/>
  <c r="I61" i="7"/>
  <c r="H61" i="7"/>
  <c r="G61" i="7"/>
  <c r="F61" i="7"/>
  <c r="E61" i="7"/>
  <c r="D61" i="7"/>
  <c r="C61" i="7"/>
  <c r="B61" i="7"/>
  <c r="A61" i="7"/>
  <c r="FO60" i="7"/>
  <c r="FN60" i="7"/>
  <c r="FM60" i="7"/>
  <c r="FL60" i="7"/>
  <c r="FK60" i="7"/>
  <c r="FJ60" i="7"/>
  <c r="FI60" i="7"/>
  <c r="FH60" i="7"/>
  <c r="FG60" i="7"/>
  <c r="FF60" i="7"/>
  <c r="FE60" i="7"/>
  <c r="FD60" i="7"/>
  <c r="FC60" i="7"/>
  <c r="FB60" i="7"/>
  <c r="FA60" i="7"/>
  <c r="EZ60" i="7"/>
  <c r="EY60" i="7"/>
  <c r="EX60" i="7"/>
  <c r="EW60" i="7"/>
  <c r="EV60" i="7"/>
  <c r="EU60" i="7"/>
  <c r="ET60" i="7"/>
  <c r="ES60" i="7"/>
  <c r="ER60" i="7"/>
  <c r="EQ60" i="7"/>
  <c r="EP60" i="7"/>
  <c r="EO60" i="7"/>
  <c r="EN60" i="7"/>
  <c r="EM60" i="7"/>
  <c r="EL60" i="7"/>
  <c r="EK60" i="7"/>
  <c r="EJ60" i="7"/>
  <c r="EI60" i="7"/>
  <c r="EH60" i="7"/>
  <c r="EG60" i="7"/>
  <c r="EF60" i="7"/>
  <c r="EE60" i="7"/>
  <c r="ED60" i="7"/>
  <c r="EC60" i="7"/>
  <c r="EB60" i="7"/>
  <c r="EA60" i="7"/>
  <c r="DZ60" i="7"/>
  <c r="DY60" i="7"/>
  <c r="DX60" i="7"/>
  <c r="DW60" i="7"/>
  <c r="DV60" i="7"/>
  <c r="DU60" i="7"/>
  <c r="DT60" i="7"/>
  <c r="DS60" i="7"/>
  <c r="DR60" i="7"/>
  <c r="DQ60" i="7"/>
  <c r="DP60" i="7"/>
  <c r="DO60" i="7"/>
  <c r="DN60" i="7"/>
  <c r="DM60" i="7"/>
  <c r="DL60" i="7"/>
  <c r="DK60" i="7"/>
  <c r="DJ60" i="7"/>
  <c r="DI60" i="7"/>
  <c r="DH60" i="7"/>
  <c r="DG60" i="7"/>
  <c r="DF60" i="7"/>
  <c r="DE60" i="7"/>
  <c r="DD60" i="7"/>
  <c r="DC60" i="7"/>
  <c r="DB60" i="7"/>
  <c r="DA60" i="7"/>
  <c r="CZ60" i="7"/>
  <c r="CY60" i="7"/>
  <c r="CX60" i="7"/>
  <c r="CW60" i="7"/>
  <c r="CV60" i="7"/>
  <c r="CU60" i="7"/>
  <c r="CT60" i="7"/>
  <c r="CS60" i="7"/>
  <c r="CR60" i="7"/>
  <c r="CQ60" i="7"/>
  <c r="CP60" i="7"/>
  <c r="CO60" i="7"/>
  <c r="CN60" i="7"/>
  <c r="CM60" i="7"/>
  <c r="CL60" i="7"/>
  <c r="CK60" i="7"/>
  <c r="CJ60" i="7"/>
  <c r="CI60" i="7"/>
  <c r="CH60" i="7"/>
  <c r="CG60" i="7"/>
  <c r="CF60" i="7"/>
  <c r="CE60" i="7"/>
  <c r="CD60" i="7"/>
  <c r="CC60" i="7"/>
  <c r="CB60" i="7"/>
  <c r="CA60" i="7"/>
  <c r="BZ60" i="7"/>
  <c r="BY60" i="7"/>
  <c r="BX60" i="7"/>
  <c r="BW60" i="7"/>
  <c r="BV60" i="7"/>
  <c r="BU60" i="7"/>
  <c r="BT60" i="7"/>
  <c r="BS60" i="7"/>
  <c r="BR60" i="7"/>
  <c r="BQ60" i="7"/>
  <c r="BP60" i="7"/>
  <c r="BO60" i="7"/>
  <c r="BN60" i="7"/>
  <c r="BM60" i="7"/>
  <c r="BL60" i="7"/>
  <c r="BK60" i="7"/>
  <c r="BJ60" i="7"/>
  <c r="BI60" i="7"/>
  <c r="BH60" i="7"/>
  <c r="BG60" i="7"/>
  <c r="BF60" i="7"/>
  <c r="BE60" i="7"/>
  <c r="BD60" i="7"/>
  <c r="BC60" i="7"/>
  <c r="BB60" i="7"/>
  <c r="BA60" i="7"/>
  <c r="AZ60" i="7"/>
  <c r="AY60" i="7"/>
  <c r="AX60" i="7"/>
  <c r="AW60" i="7"/>
  <c r="AV60" i="7"/>
  <c r="AU60" i="7"/>
  <c r="AT60" i="7"/>
  <c r="AS60" i="7"/>
  <c r="AR60" i="7"/>
  <c r="AQ60" i="7"/>
  <c r="AP60" i="7"/>
  <c r="AO60" i="7"/>
  <c r="AN60" i="7"/>
  <c r="AM60" i="7"/>
  <c r="AL60" i="7"/>
  <c r="AK60" i="7"/>
  <c r="AJ60" i="7"/>
  <c r="AI60" i="7"/>
  <c r="AH60" i="7"/>
  <c r="AG60" i="7"/>
  <c r="AF60" i="7"/>
  <c r="AE60" i="7"/>
  <c r="AD60" i="7"/>
  <c r="AC60" i="7"/>
  <c r="AB60" i="7"/>
  <c r="AA60" i="7"/>
  <c r="Z60" i="7"/>
  <c r="Y60" i="7"/>
  <c r="X60" i="7"/>
  <c r="W60" i="7"/>
  <c r="V60" i="7"/>
  <c r="U60" i="7"/>
  <c r="T60" i="7"/>
  <c r="S60" i="7"/>
  <c r="R60" i="7"/>
  <c r="Q60" i="7"/>
  <c r="P60" i="7"/>
  <c r="O60" i="7"/>
  <c r="N60" i="7"/>
  <c r="M60" i="7"/>
  <c r="L60" i="7"/>
  <c r="K60" i="7"/>
  <c r="J60" i="7"/>
  <c r="I60" i="7"/>
  <c r="H60" i="7"/>
  <c r="G60" i="7"/>
  <c r="F60" i="7"/>
  <c r="E60" i="7"/>
  <c r="D60" i="7"/>
  <c r="C60" i="7"/>
  <c r="B60" i="7"/>
  <c r="A60" i="7"/>
  <c r="FO59" i="7"/>
  <c r="FN59" i="7"/>
  <c r="FM59" i="7"/>
  <c r="FL59" i="7"/>
  <c r="FK59" i="7"/>
  <c r="FJ59" i="7"/>
  <c r="FI59" i="7"/>
  <c r="FH59" i="7"/>
  <c r="FG59" i="7"/>
  <c r="FF59" i="7"/>
  <c r="FE59" i="7"/>
  <c r="FD59" i="7"/>
  <c r="FC59" i="7"/>
  <c r="FB59" i="7"/>
  <c r="FA59" i="7"/>
  <c r="EZ59" i="7"/>
  <c r="EY59" i="7"/>
  <c r="EX59" i="7"/>
  <c r="EW59" i="7"/>
  <c r="EV59" i="7"/>
  <c r="EU59" i="7"/>
  <c r="ET59" i="7"/>
  <c r="ES59" i="7"/>
  <c r="ER59" i="7"/>
  <c r="EQ59" i="7"/>
  <c r="EP59" i="7"/>
  <c r="EO59" i="7"/>
  <c r="EN59" i="7"/>
  <c r="EM59" i="7"/>
  <c r="EL59" i="7"/>
  <c r="EK59" i="7"/>
  <c r="EJ59" i="7"/>
  <c r="EI59" i="7"/>
  <c r="EH59" i="7"/>
  <c r="EG59" i="7"/>
  <c r="EF59" i="7"/>
  <c r="EE59" i="7"/>
  <c r="ED59" i="7"/>
  <c r="EC59" i="7"/>
  <c r="EB59" i="7"/>
  <c r="EA59" i="7"/>
  <c r="DZ59" i="7"/>
  <c r="DY59" i="7"/>
  <c r="DX59" i="7"/>
  <c r="DW59" i="7"/>
  <c r="DV59" i="7"/>
  <c r="DU59" i="7"/>
  <c r="DT59" i="7"/>
  <c r="DS59" i="7"/>
  <c r="DR59" i="7"/>
  <c r="DQ59" i="7"/>
  <c r="DP59" i="7"/>
  <c r="DO59" i="7"/>
  <c r="DN59" i="7"/>
  <c r="DM59" i="7"/>
  <c r="DL59" i="7"/>
  <c r="DK59" i="7"/>
  <c r="DJ59" i="7"/>
  <c r="DI59" i="7"/>
  <c r="DH59" i="7"/>
  <c r="DG59" i="7"/>
  <c r="DF59" i="7"/>
  <c r="DE59" i="7"/>
  <c r="DD59" i="7"/>
  <c r="DC59" i="7"/>
  <c r="DB59" i="7"/>
  <c r="DA59" i="7"/>
  <c r="CZ59" i="7"/>
  <c r="CY59" i="7"/>
  <c r="CX59" i="7"/>
  <c r="CW59" i="7"/>
  <c r="CV59" i="7"/>
  <c r="CU59" i="7"/>
  <c r="CT59" i="7"/>
  <c r="CS59" i="7"/>
  <c r="CR59" i="7"/>
  <c r="CQ59" i="7"/>
  <c r="CP59" i="7"/>
  <c r="CO59" i="7"/>
  <c r="CN59" i="7"/>
  <c r="CM59" i="7"/>
  <c r="CL59" i="7"/>
  <c r="CK59" i="7"/>
  <c r="CJ59" i="7"/>
  <c r="CI59" i="7"/>
  <c r="CH59" i="7"/>
  <c r="CG59" i="7"/>
  <c r="CF59" i="7"/>
  <c r="CE59" i="7"/>
  <c r="CD59" i="7"/>
  <c r="CC59" i="7"/>
  <c r="CB59" i="7"/>
  <c r="CA59" i="7"/>
  <c r="BZ59" i="7"/>
  <c r="BY59" i="7"/>
  <c r="BX59" i="7"/>
  <c r="BW59" i="7"/>
  <c r="BV59" i="7"/>
  <c r="BU59" i="7"/>
  <c r="BT59" i="7"/>
  <c r="BS59" i="7"/>
  <c r="BR59" i="7"/>
  <c r="BQ59" i="7"/>
  <c r="BP59" i="7"/>
  <c r="BO59" i="7"/>
  <c r="BN59" i="7"/>
  <c r="BM59" i="7"/>
  <c r="BL59" i="7"/>
  <c r="BK59" i="7"/>
  <c r="BJ59" i="7"/>
  <c r="BI59" i="7"/>
  <c r="BH59" i="7"/>
  <c r="BG59" i="7"/>
  <c r="BF59" i="7"/>
  <c r="BE59" i="7"/>
  <c r="BD59" i="7"/>
  <c r="BC59" i="7"/>
  <c r="BB59" i="7"/>
  <c r="BA59" i="7"/>
  <c r="AZ59" i="7"/>
  <c r="AY59" i="7"/>
  <c r="AX59" i="7"/>
  <c r="AW59" i="7"/>
  <c r="AV59" i="7"/>
  <c r="AU59" i="7"/>
  <c r="AT59" i="7"/>
  <c r="AS59" i="7"/>
  <c r="AR59" i="7"/>
  <c r="AQ59" i="7"/>
  <c r="AP59" i="7"/>
  <c r="AO59" i="7"/>
  <c r="AN59" i="7"/>
  <c r="AM59" i="7"/>
  <c r="AL59" i="7"/>
  <c r="AK59" i="7"/>
  <c r="AJ59" i="7"/>
  <c r="AI59" i="7"/>
  <c r="AH59" i="7"/>
  <c r="AG59" i="7"/>
  <c r="AF59" i="7"/>
  <c r="AE59" i="7"/>
  <c r="AD59" i="7"/>
  <c r="AC59" i="7"/>
  <c r="AB59" i="7"/>
  <c r="AA59" i="7"/>
  <c r="Z59" i="7"/>
  <c r="Y59" i="7"/>
  <c r="X59" i="7"/>
  <c r="W59" i="7"/>
  <c r="V59" i="7"/>
  <c r="U59" i="7"/>
  <c r="T59" i="7"/>
  <c r="S59" i="7"/>
  <c r="R59" i="7"/>
  <c r="Q59" i="7"/>
  <c r="P59" i="7"/>
  <c r="O59" i="7"/>
  <c r="N59" i="7"/>
  <c r="M59" i="7"/>
  <c r="L59" i="7"/>
  <c r="K59" i="7"/>
  <c r="J59" i="7"/>
  <c r="I59" i="7"/>
  <c r="H59" i="7"/>
  <c r="G59" i="7"/>
  <c r="F59" i="7"/>
  <c r="E59" i="7"/>
  <c r="D59" i="7"/>
  <c r="C59" i="7"/>
  <c r="B59" i="7"/>
  <c r="A59" i="7"/>
  <c r="FO58" i="7"/>
  <c r="FN58" i="7"/>
  <c r="FM58" i="7"/>
  <c r="FL58" i="7"/>
  <c r="FK58" i="7"/>
  <c r="FJ58" i="7"/>
  <c r="FI58" i="7"/>
  <c r="FH58" i="7"/>
  <c r="FG58" i="7"/>
  <c r="FF58" i="7"/>
  <c r="FE58" i="7"/>
  <c r="FD58" i="7"/>
  <c r="FC58" i="7"/>
  <c r="FB58" i="7"/>
  <c r="FA58" i="7"/>
  <c r="EZ58" i="7"/>
  <c r="EY58" i="7"/>
  <c r="EX58" i="7"/>
  <c r="EW58" i="7"/>
  <c r="EV58" i="7"/>
  <c r="EU58" i="7"/>
  <c r="ET58" i="7"/>
  <c r="ES58" i="7"/>
  <c r="ER58" i="7"/>
  <c r="EQ58" i="7"/>
  <c r="EP58" i="7"/>
  <c r="EO58" i="7"/>
  <c r="EN58" i="7"/>
  <c r="EM58" i="7"/>
  <c r="EL58" i="7"/>
  <c r="EK58" i="7"/>
  <c r="EJ58" i="7"/>
  <c r="EI58" i="7"/>
  <c r="EH58" i="7"/>
  <c r="EG58" i="7"/>
  <c r="EF58" i="7"/>
  <c r="EE58" i="7"/>
  <c r="ED58" i="7"/>
  <c r="EC58" i="7"/>
  <c r="EB58" i="7"/>
  <c r="EA58" i="7"/>
  <c r="DZ58" i="7"/>
  <c r="DY58" i="7"/>
  <c r="DX58" i="7"/>
  <c r="DW58" i="7"/>
  <c r="DV58" i="7"/>
  <c r="DU58" i="7"/>
  <c r="DT58" i="7"/>
  <c r="DS58" i="7"/>
  <c r="DR58" i="7"/>
  <c r="DQ58" i="7"/>
  <c r="DP58" i="7"/>
  <c r="DO58" i="7"/>
  <c r="DN58" i="7"/>
  <c r="DM58" i="7"/>
  <c r="DL58" i="7"/>
  <c r="DK58" i="7"/>
  <c r="DJ58" i="7"/>
  <c r="DI58" i="7"/>
  <c r="DH58" i="7"/>
  <c r="DG58" i="7"/>
  <c r="DF58" i="7"/>
  <c r="DE58" i="7"/>
  <c r="DD58" i="7"/>
  <c r="DC58" i="7"/>
  <c r="DB58" i="7"/>
  <c r="DA58" i="7"/>
  <c r="CZ58" i="7"/>
  <c r="CY58" i="7"/>
  <c r="CX58" i="7"/>
  <c r="CW58" i="7"/>
  <c r="CV58" i="7"/>
  <c r="CU58" i="7"/>
  <c r="CT58" i="7"/>
  <c r="CS58" i="7"/>
  <c r="CR58" i="7"/>
  <c r="CQ58" i="7"/>
  <c r="CP58" i="7"/>
  <c r="CO58" i="7"/>
  <c r="CN58" i="7"/>
  <c r="CM58" i="7"/>
  <c r="CL58" i="7"/>
  <c r="CK58" i="7"/>
  <c r="CJ58" i="7"/>
  <c r="CI58" i="7"/>
  <c r="CH58" i="7"/>
  <c r="CG58" i="7"/>
  <c r="CF58" i="7"/>
  <c r="CE58" i="7"/>
  <c r="CD58" i="7"/>
  <c r="CC58" i="7"/>
  <c r="CB58" i="7"/>
  <c r="CA58" i="7"/>
  <c r="BZ58" i="7"/>
  <c r="BY58" i="7"/>
  <c r="BX58" i="7"/>
  <c r="BW58" i="7"/>
  <c r="BV58" i="7"/>
  <c r="BU58" i="7"/>
  <c r="BT58" i="7"/>
  <c r="BS58" i="7"/>
  <c r="BR58" i="7"/>
  <c r="BQ58" i="7"/>
  <c r="BP58" i="7"/>
  <c r="BO58" i="7"/>
  <c r="BN58" i="7"/>
  <c r="BM58" i="7"/>
  <c r="BL58" i="7"/>
  <c r="BK58" i="7"/>
  <c r="BJ58" i="7"/>
  <c r="BI58" i="7"/>
  <c r="BH58" i="7"/>
  <c r="BG58" i="7"/>
  <c r="BF58" i="7"/>
  <c r="BE58" i="7"/>
  <c r="BD58" i="7"/>
  <c r="BC58" i="7"/>
  <c r="BB58" i="7"/>
  <c r="BA58" i="7"/>
  <c r="AZ58" i="7"/>
  <c r="AY58" i="7"/>
  <c r="AX58" i="7"/>
  <c r="AW58" i="7"/>
  <c r="AV58" i="7"/>
  <c r="AU58" i="7"/>
  <c r="AT58" i="7"/>
  <c r="AS58" i="7"/>
  <c r="AR58" i="7"/>
  <c r="AQ58" i="7"/>
  <c r="AP58" i="7"/>
  <c r="AO58" i="7"/>
  <c r="AN58" i="7"/>
  <c r="AM58" i="7"/>
  <c r="AL58" i="7"/>
  <c r="AK58" i="7"/>
  <c r="AJ58" i="7"/>
  <c r="AI58" i="7"/>
  <c r="AH58" i="7"/>
  <c r="AG58" i="7"/>
  <c r="AF58" i="7"/>
  <c r="AE58" i="7"/>
  <c r="AD58" i="7"/>
  <c r="AC58" i="7"/>
  <c r="AB58" i="7"/>
  <c r="AA58" i="7"/>
  <c r="Z58" i="7"/>
  <c r="Y58" i="7"/>
  <c r="X58" i="7"/>
  <c r="W58" i="7"/>
  <c r="V58" i="7"/>
  <c r="U58" i="7"/>
  <c r="T58" i="7"/>
  <c r="S58" i="7"/>
  <c r="R58" i="7"/>
  <c r="Q58" i="7"/>
  <c r="P58" i="7"/>
  <c r="O58" i="7"/>
  <c r="N58" i="7"/>
  <c r="M58" i="7"/>
  <c r="L58" i="7"/>
  <c r="K58" i="7"/>
  <c r="J58" i="7"/>
  <c r="I58" i="7"/>
  <c r="H58" i="7"/>
  <c r="G58" i="7"/>
  <c r="F58" i="7"/>
  <c r="E58" i="7"/>
  <c r="D58" i="7"/>
  <c r="C58" i="7"/>
  <c r="B58" i="7"/>
  <c r="A58" i="7"/>
  <c r="FO57" i="7"/>
  <c r="FN57" i="7"/>
  <c r="FM57" i="7"/>
  <c r="FL57" i="7"/>
  <c r="FK57" i="7"/>
  <c r="FJ57" i="7"/>
  <c r="FI57" i="7"/>
  <c r="FH57" i="7"/>
  <c r="FG57" i="7"/>
  <c r="FF57" i="7"/>
  <c r="FE57" i="7"/>
  <c r="FD57" i="7"/>
  <c r="FC57" i="7"/>
  <c r="FB57" i="7"/>
  <c r="FA57" i="7"/>
  <c r="EZ57" i="7"/>
  <c r="EY57" i="7"/>
  <c r="EX57" i="7"/>
  <c r="EW57" i="7"/>
  <c r="EV57" i="7"/>
  <c r="EU57" i="7"/>
  <c r="ET57" i="7"/>
  <c r="ES57" i="7"/>
  <c r="ER57" i="7"/>
  <c r="EQ57" i="7"/>
  <c r="EP57" i="7"/>
  <c r="EO57" i="7"/>
  <c r="EN57" i="7"/>
  <c r="EM57" i="7"/>
  <c r="EL57" i="7"/>
  <c r="EK57" i="7"/>
  <c r="EJ57" i="7"/>
  <c r="EI57" i="7"/>
  <c r="EH57" i="7"/>
  <c r="EG57" i="7"/>
  <c r="EF57" i="7"/>
  <c r="EE57" i="7"/>
  <c r="ED57" i="7"/>
  <c r="EC57" i="7"/>
  <c r="EB57" i="7"/>
  <c r="EA57" i="7"/>
  <c r="DZ57" i="7"/>
  <c r="DY57" i="7"/>
  <c r="DX57" i="7"/>
  <c r="DW57" i="7"/>
  <c r="DV57" i="7"/>
  <c r="DU57" i="7"/>
  <c r="DT57" i="7"/>
  <c r="DS57" i="7"/>
  <c r="DR57" i="7"/>
  <c r="DQ57" i="7"/>
  <c r="DP57" i="7"/>
  <c r="DO57" i="7"/>
  <c r="DN57" i="7"/>
  <c r="DM57" i="7"/>
  <c r="DL57" i="7"/>
  <c r="DK57" i="7"/>
  <c r="DJ57" i="7"/>
  <c r="DI57" i="7"/>
  <c r="DH57" i="7"/>
  <c r="DG57" i="7"/>
  <c r="DF57" i="7"/>
  <c r="DE57" i="7"/>
  <c r="DD57" i="7"/>
  <c r="DC57" i="7"/>
  <c r="DB57" i="7"/>
  <c r="DA57" i="7"/>
  <c r="CZ57" i="7"/>
  <c r="CY57" i="7"/>
  <c r="CX57" i="7"/>
  <c r="CW57" i="7"/>
  <c r="CV57" i="7"/>
  <c r="CU57" i="7"/>
  <c r="CT57" i="7"/>
  <c r="CS57" i="7"/>
  <c r="CR57" i="7"/>
  <c r="CQ57" i="7"/>
  <c r="CP57" i="7"/>
  <c r="CO57" i="7"/>
  <c r="CN57" i="7"/>
  <c r="CM57" i="7"/>
  <c r="CL57" i="7"/>
  <c r="CK57" i="7"/>
  <c r="CJ57" i="7"/>
  <c r="CI57" i="7"/>
  <c r="CH57" i="7"/>
  <c r="CG57" i="7"/>
  <c r="CF57" i="7"/>
  <c r="CE57" i="7"/>
  <c r="CD57" i="7"/>
  <c r="CC57" i="7"/>
  <c r="CB57" i="7"/>
  <c r="CA57" i="7"/>
  <c r="BZ57" i="7"/>
  <c r="BY57" i="7"/>
  <c r="BX57" i="7"/>
  <c r="BW57" i="7"/>
  <c r="BV57" i="7"/>
  <c r="BU57" i="7"/>
  <c r="BT57" i="7"/>
  <c r="BS57" i="7"/>
  <c r="BR57" i="7"/>
  <c r="BQ57" i="7"/>
  <c r="BP57" i="7"/>
  <c r="BO57" i="7"/>
  <c r="BN57" i="7"/>
  <c r="BM57" i="7"/>
  <c r="BL57" i="7"/>
  <c r="BK57" i="7"/>
  <c r="BJ57" i="7"/>
  <c r="BI57" i="7"/>
  <c r="BH57" i="7"/>
  <c r="BG57" i="7"/>
  <c r="BF57" i="7"/>
  <c r="BE57" i="7"/>
  <c r="BD57" i="7"/>
  <c r="BC57" i="7"/>
  <c r="BB57" i="7"/>
  <c r="BA57" i="7"/>
  <c r="AZ57" i="7"/>
  <c r="AY57" i="7"/>
  <c r="AX57" i="7"/>
  <c r="AW57" i="7"/>
  <c r="AV57" i="7"/>
  <c r="AU57" i="7"/>
  <c r="AT57" i="7"/>
  <c r="AS57" i="7"/>
  <c r="AR57" i="7"/>
  <c r="AQ57" i="7"/>
  <c r="AP57" i="7"/>
  <c r="AO57" i="7"/>
  <c r="AN57" i="7"/>
  <c r="AM57" i="7"/>
  <c r="AL57" i="7"/>
  <c r="AK57" i="7"/>
  <c r="AJ57" i="7"/>
  <c r="AI57" i="7"/>
  <c r="AH57" i="7"/>
  <c r="AG57" i="7"/>
  <c r="AF57" i="7"/>
  <c r="AE57" i="7"/>
  <c r="AD57" i="7"/>
  <c r="AC57" i="7"/>
  <c r="AB57" i="7"/>
  <c r="AA57" i="7"/>
  <c r="Z57" i="7"/>
  <c r="Y57" i="7"/>
  <c r="X57" i="7"/>
  <c r="W57" i="7"/>
  <c r="V57" i="7"/>
  <c r="U57" i="7"/>
  <c r="T57" i="7"/>
  <c r="S57" i="7"/>
  <c r="R57" i="7"/>
  <c r="Q57" i="7"/>
  <c r="P57" i="7"/>
  <c r="O57" i="7"/>
  <c r="N57" i="7"/>
  <c r="M57" i="7"/>
  <c r="L57" i="7"/>
  <c r="K57" i="7"/>
  <c r="J57" i="7"/>
  <c r="I57" i="7"/>
  <c r="H57" i="7"/>
  <c r="G57" i="7"/>
  <c r="F57" i="7"/>
  <c r="E57" i="7"/>
  <c r="D57" i="7"/>
  <c r="C57" i="7"/>
  <c r="B57" i="7"/>
  <c r="A57" i="7"/>
  <c r="FO56" i="7"/>
  <c r="FN56" i="7"/>
  <c r="FM56" i="7"/>
  <c r="FL56" i="7"/>
  <c r="FK56" i="7"/>
  <c r="FJ56" i="7"/>
  <c r="FI56" i="7"/>
  <c r="FH56" i="7"/>
  <c r="FG56" i="7"/>
  <c r="FF56" i="7"/>
  <c r="FE56" i="7"/>
  <c r="FD56" i="7"/>
  <c r="FC56" i="7"/>
  <c r="FB56" i="7"/>
  <c r="FA56" i="7"/>
  <c r="EZ56" i="7"/>
  <c r="EY56" i="7"/>
  <c r="EX56" i="7"/>
  <c r="EW56" i="7"/>
  <c r="EV56" i="7"/>
  <c r="EU56" i="7"/>
  <c r="ET56" i="7"/>
  <c r="ES56" i="7"/>
  <c r="ER56" i="7"/>
  <c r="EQ56" i="7"/>
  <c r="EP56" i="7"/>
  <c r="EO56" i="7"/>
  <c r="EN56" i="7"/>
  <c r="EM56" i="7"/>
  <c r="EL56" i="7"/>
  <c r="EK56" i="7"/>
  <c r="EJ56" i="7"/>
  <c r="EI56" i="7"/>
  <c r="EH56" i="7"/>
  <c r="EG56" i="7"/>
  <c r="EF56" i="7"/>
  <c r="EE56" i="7"/>
  <c r="ED56" i="7"/>
  <c r="EC56" i="7"/>
  <c r="EB56" i="7"/>
  <c r="EA56" i="7"/>
  <c r="DZ56" i="7"/>
  <c r="DY56" i="7"/>
  <c r="DX56" i="7"/>
  <c r="DW56" i="7"/>
  <c r="DV56" i="7"/>
  <c r="DU56" i="7"/>
  <c r="DT56" i="7"/>
  <c r="DS56" i="7"/>
  <c r="DR56" i="7"/>
  <c r="DQ56" i="7"/>
  <c r="DP56" i="7"/>
  <c r="DO56" i="7"/>
  <c r="DN56" i="7"/>
  <c r="DM56" i="7"/>
  <c r="DL56" i="7"/>
  <c r="DK56" i="7"/>
  <c r="DJ56" i="7"/>
  <c r="DI56" i="7"/>
  <c r="DH56" i="7"/>
  <c r="DG56" i="7"/>
  <c r="DF56" i="7"/>
  <c r="DE56" i="7"/>
  <c r="DD56" i="7"/>
  <c r="DC56" i="7"/>
  <c r="DB56" i="7"/>
  <c r="DA56" i="7"/>
  <c r="CZ56" i="7"/>
  <c r="CY56" i="7"/>
  <c r="CX56" i="7"/>
  <c r="CW56" i="7"/>
  <c r="CV56" i="7"/>
  <c r="CU56" i="7"/>
  <c r="CT56" i="7"/>
  <c r="CS56" i="7"/>
  <c r="CR56" i="7"/>
  <c r="CQ56" i="7"/>
  <c r="CP56" i="7"/>
  <c r="CO56" i="7"/>
  <c r="CN56" i="7"/>
  <c r="CM56" i="7"/>
  <c r="CL56" i="7"/>
  <c r="CK56" i="7"/>
  <c r="CJ56" i="7"/>
  <c r="CI56" i="7"/>
  <c r="CH56" i="7"/>
  <c r="CG56" i="7"/>
  <c r="CF56" i="7"/>
  <c r="CE56" i="7"/>
  <c r="CD56" i="7"/>
  <c r="CC56" i="7"/>
  <c r="CB56" i="7"/>
  <c r="CA56" i="7"/>
  <c r="BZ56" i="7"/>
  <c r="BY56" i="7"/>
  <c r="BX56" i="7"/>
  <c r="BW56" i="7"/>
  <c r="BV56" i="7"/>
  <c r="BU56" i="7"/>
  <c r="BT56" i="7"/>
  <c r="BS56" i="7"/>
  <c r="BR56" i="7"/>
  <c r="BQ56" i="7"/>
  <c r="BP56" i="7"/>
  <c r="BO56" i="7"/>
  <c r="BN56" i="7"/>
  <c r="BM56" i="7"/>
  <c r="BL56" i="7"/>
  <c r="BK56" i="7"/>
  <c r="BJ56" i="7"/>
  <c r="BI56" i="7"/>
  <c r="BH56" i="7"/>
  <c r="BG56" i="7"/>
  <c r="BF56" i="7"/>
  <c r="BE56" i="7"/>
  <c r="BD56" i="7"/>
  <c r="BC56" i="7"/>
  <c r="BB56" i="7"/>
  <c r="BA56" i="7"/>
  <c r="AZ56" i="7"/>
  <c r="AY56" i="7"/>
  <c r="AX56" i="7"/>
  <c r="AW56" i="7"/>
  <c r="AV56" i="7"/>
  <c r="AU56" i="7"/>
  <c r="AT56" i="7"/>
  <c r="AS56" i="7"/>
  <c r="AR56" i="7"/>
  <c r="AQ56" i="7"/>
  <c r="AP56" i="7"/>
  <c r="AO56" i="7"/>
  <c r="AN56" i="7"/>
  <c r="AM56" i="7"/>
  <c r="AL56" i="7"/>
  <c r="AK56" i="7"/>
  <c r="AJ56" i="7"/>
  <c r="AI56" i="7"/>
  <c r="AH56" i="7"/>
  <c r="AG56" i="7"/>
  <c r="AF56" i="7"/>
  <c r="AE56" i="7"/>
  <c r="AD56" i="7"/>
  <c r="AC56" i="7"/>
  <c r="AB56" i="7"/>
  <c r="AA56" i="7"/>
  <c r="Z56" i="7"/>
  <c r="Y56" i="7"/>
  <c r="X56" i="7"/>
  <c r="W56" i="7"/>
  <c r="V56" i="7"/>
  <c r="U56" i="7"/>
  <c r="T56" i="7"/>
  <c r="S56" i="7"/>
  <c r="R56" i="7"/>
  <c r="Q56" i="7"/>
  <c r="P56" i="7"/>
  <c r="O56" i="7"/>
  <c r="N56" i="7"/>
  <c r="M56" i="7"/>
  <c r="L56" i="7"/>
  <c r="K56" i="7"/>
  <c r="J56" i="7"/>
  <c r="I56" i="7"/>
  <c r="H56" i="7"/>
  <c r="G56" i="7"/>
  <c r="F56" i="7"/>
  <c r="E56" i="7"/>
  <c r="D56" i="7"/>
  <c r="C56" i="7"/>
  <c r="B56" i="7"/>
  <c r="A56" i="7"/>
  <c r="FO55" i="7"/>
  <c r="FN55" i="7"/>
  <c r="FM55" i="7"/>
  <c r="FL55" i="7"/>
  <c r="FK55" i="7"/>
  <c r="FJ55" i="7"/>
  <c r="FI55" i="7"/>
  <c r="FH55" i="7"/>
  <c r="FG55" i="7"/>
  <c r="FF55" i="7"/>
  <c r="FE55" i="7"/>
  <c r="FD55" i="7"/>
  <c r="FC55" i="7"/>
  <c r="FB55" i="7"/>
  <c r="FA55" i="7"/>
  <c r="EZ55" i="7"/>
  <c r="EY55" i="7"/>
  <c r="EX55" i="7"/>
  <c r="EW55" i="7"/>
  <c r="EV55" i="7"/>
  <c r="EU55" i="7"/>
  <c r="ET55" i="7"/>
  <c r="ES55" i="7"/>
  <c r="ER55" i="7"/>
  <c r="EQ55" i="7"/>
  <c r="EP55" i="7"/>
  <c r="EO55" i="7"/>
  <c r="EN55" i="7"/>
  <c r="EM55" i="7"/>
  <c r="EL55" i="7"/>
  <c r="EK55" i="7"/>
  <c r="EJ55" i="7"/>
  <c r="EI55" i="7"/>
  <c r="EH55" i="7"/>
  <c r="EG55" i="7"/>
  <c r="EF55" i="7"/>
  <c r="EE55" i="7"/>
  <c r="ED55" i="7"/>
  <c r="EC55" i="7"/>
  <c r="EB55" i="7"/>
  <c r="EA55" i="7"/>
  <c r="DZ55" i="7"/>
  <c r="DY55" i="7"/>
  <c r="DX55" i="7"/>
  <c r="DW55" i="7"/>
  <c r="DV55" i="7"/>
  <c r="DU55" i="7"/>
  <c r="DT55" i="7"/>
  <c r="DS55" i="7"/>
  <c r="DR55" i="7"/>
  <c r="DQ55" i="7"/>
  <c r="DP55" i="7"/>
  <c r="DO55" i="7"/>
  <c r="DN55" i="7"/>
  <c r="DM55" i="7"/>
  <c r="DL55" i="7"/>
  <c r="DK55" i="7"/>
  <c r="DJ55" i="7"/>
  <c r="DI55" i="7"/>
  <c r="DH55" i="7"/>
  <c r="DG55" i="7"/>
  <c r="DF55" i="7"/>
  <c r="DE55" i="7"/>
  <c r="DD55" i="7"/>
  <c r="DC55" i="7"/>
  <c r="DB55" i="7"/>
  <c r="DA55" i="7"/>
  <c r="CZ55" i="7"/>
  <c r="CY55" i="7"/>
  <c r="CX55" i="7"/>
  <c r="CW55" i="7"/>
  <c r="CV55" i="7"/>
  <c r="CU55" i="7"/>
  <c r="CT55" i="7"/>
  <c r="CS55" i="7"/>
  <c r="CR55" i="7"/>
  <c r="CQ55" i="7"/>
  <c r="CP55" i="7"/>
  <c r="CO55" i="7"/>
  <c r="CN55" i="7"/>
  <c r="CM55" i="7"/>
  <c r="CL55" i="7"/>
  <c r="CK55" i="7"/>
  <c r="CJ55" i="7"/>
  <c r="CI55" i="7"/>
  <c r="CH55" i="7"/>
  <c r="CG55" i="7"/>
  <c r="CF55" i="7"/>
  <c r="CE55" i="7"/>
  <c r="CD55" i="7"/>
  <c r="CC55" i="7"/>
  <c r="CB55" i="7"/>
  <c r="CA55" i="7"/>
  <c r="BZ55" i="7"/>
  <c r="BY55" i="7"/>
  <c r="BX55" i="7"/>
  <c r="BW55" i="7"/>
  <c r="BV55" i="7"/>
  <c r="BU55" i="7"/>
  <c r="BT55" i="7"/>
  <c r="BS55" i="7"/>
  <c r="BR55" i="7"/>
  <c r="BQ55" i="7"/>
  <c r="BP55" i="7"/>
  <c r="BO55" i="7"/>
  <c r="BN55" i="7"/>
  <c r="BM55" i="7"/>
  <c r="BL55" i="7"/>
  <c r="BK55" i="7"/>
  <c r="BJ55" i="7"/>
  <c r="BI55" i="7"/>
  <c r="BH55" i="7"/>
  <c r="BG55" i="7"/>
  <c r="BF55" i="7"/>
  <c r="BE55" i="7"/>
  <c r="BD55" i="7"/>
  <c r="BC55" i="7"/>
  <c r="BB55" i="7"/>
  <c r="BA55" i="7"/>
  <c r="AZ55" i="7"/>
  <c r="AY55" i="7"/>
  <c r="AX55" i="7"/>
  <c r="AW55" i="7"/>
  <c r="AV55" i="7"/>
  <c r="AU55" i="7"/>
  <c r="AT55" i="7"/>
  <c r="AS55" i="7"/>
  <c r="AR55" i="7"/>
  <c r="AQ55" i="7"/>
  <c r="AP55" i="7"/>
  <c r="AO55" i="7"/>
  <c r="AN55" i="7"/>
  <c r="AM55" i="7"/>
  <c r="AL55" i="7"/>
  <c r="AK55" i="7"/>
  <c r="AJ55" i="7"/>
  <c r="AI55" i="7"/>
  <c r="AH55" i="7"/>
  <c r="AG55" i="7"/>
  <c r="AF55" i="7"/>
  <c r="AE55" i="7"/>
  <c r="AD55" i="7"/>
  <c r="AC55" i="7"/>
  <c r="AB55" i="7"/>
  <c r="AA55" i="7"/>
  <c r="Z55" i="7"/>
  <c r="Y55" i="7"/>
  <c r="X55" i="7"/>
  <c r="W55" i="7"/>
  <c r="V55" i="7"/>
  <c r="U55" i="7"/>
  <c r="T55" i="7"/>
  <c r="S55" i="7"/>
  <c r="R55" i="7"/>
  <c r="Q55" i="7"/>
  <c r="P55" i="7"/>
  <c r="O55" i="7"/>
  <c r="N55" i="7"/>
  <c r="M55" i="7"/>
  <c r="L55" i="7"/>
  <c r="K55" i="7"/>
  <c r="J55" i="7"/>
  <c r="I55" i="7"/>
  <c r="H55" i="7"/>
  <c r="G55" i="7"/>
  <c r="F55" i="7"/>
  <c r="E55" i="7"/>
  <c r="D55" i="7"/>
  <c r="C55" i="7"/>
  <c r="B55" i="7"/>
  <c r="A55" i="7"/>
  <c r="FO54" i="7"/>
  <c r="FN54" i="7"/>
  <c r="FM54" i="7"/>
  <c r="FL54" i="7"/>
  <c r="FK54" i="7"/>
  <c r="FJ54" i="7"/>
  <c r="FI54" i="7"/>
  <c r="FH54" i="7"/>
  <c r="FG54" i="7"/>
  <c r="FF54" i="7"/>
  <c r="FE54" i="7"/>
  <c r="FD54" i="7"/>
  <c r="FC54" i="7"/>
  <c r="FB54" i="7"/>
  <c r="FA54" i="7"/>
  <c r="EZ54" i="7"/>
  <c r="EY54" i="7"/>
  <c r="EX54" i="7"/>
  <c r="EW54" i="7"/>
  <c r="EV54" i="7"/>
  <c r="EU54" i="7"/>
  <c r="ET54" i="7"/>
  <c r="ES54" i="7"/>
  <c r="ER54" i="7"/>
  <c r="EQ54" i="7"/>
  <c r="EP54" i="7"/>
  <c r="EO54" i="7"/>
  <c r="EN54" i="7"/>
  <c r="EM54" i="7"/>
  <c r="EL54" i="7"/>
  <c r="EK54" i="7"/>
  <c r="EJ54" i="7"/>
  <c r="EI54" i="7"/>
  <c r="EH54" i="7"/>
  <c r="EG54" i="7"/>
  <c r="EF54" i="7"/>
  <c r="EE54" i="7"/>
  <c r="ED54" i="7"/>
  <c r="EC54" i="7"/>
  <c r="EB54" i="7"/>
  <c r="EA54" i="7"/>
  <c r="DZ54" i="7"/>
  <c r="DY54" i="7"/>
  <c r="DX54" i="7"/>
  <c r="DW54" i="7"/>
  <c r="DV54" i="7"/>
  <c r="DU54" i="7"/>
  <c r="DT54" i="7"/>
  <c r="DS54" i="7"/>
  <c r="DR54" i="7"/>
  <c r="DQ54" i="7"/>
  <c r="DP54" i="7"/>
  <c r="DO54" i="7"/>
  <c r="DN54" i="7"/>
  <c r="DM54" i="7"/>
  <c r="DL54" i="7"/>
  <c r="DK54" i="7"/>
  <c r="DJ54" i="7"/>
  <c r="DI54" i="7"/>
  <c r="DH54" i="7"/>
  <c r="DG54" i="7"/>
  <c r="DF54" i="7"/>
  <c r="DE54" i="7"/>
  <c r="DD54" i="7"/>
  <c r="DC54" i="7"/>
  <c r="DB54" i="7"/>
  <c r="DA54" i="7"/>
  <c r="CZ54" i="7"/>
  <c r="CY54" i="7"/>
  <c r="CX54" i="7"/>
  <c r="CW54" i="7"/>
  <c r="CV54" i="7"/>
  <c r="CU54" i="7"/>
  <c r="CT54" i="7"/>
  <c r="CS54" i="7"/>
  <c r="CR54" i="7"/>
  <c r="CQ54" i="7"/>
  <c r="CP54" i="7"/>
  <c r="CO54" i="7"/>
  <c r="CN54" i="7"/>
  <c r="CM54" i="7"/>
  <c r="CL54" i="7"/>
  <c r="CK54" i="7"/>
  <c r="CJ54" i="7"/>
  <c r="CI54" i="7"/>
  <c r="CH54" i="7"/>
  <c r="CG54" i="7"/>
  <c r="CF54" i="7"/>
  <c r="CE54" i="7"/>
  <c r="CD54" i="7"/>
  <c r="CC54" i="7"/>
  <c r="CB54" i="7"/>
  <c r="CA54" i="7"/>
  <c r="BZ54" i="7"/>
  <c r="BY54" i="7"/>
  <c r="BX54" i="7"/>
  <c r="BW54" i="7"/>
  <c r="BV54" i="7"/>
  <c r="BU54" i="7"/>
  <c r="BT54" i="7"/>
  <c r="BS54" i="7"/>
  <c r="BR54" i="7"/>
  <c r="BQ54" i="7"/>
  <c r="BP54" i="7"/>
  <c r="BO54" i="7"/>
  <c r="BN54" i="7"/>
  <c r="BM54" i="7"/>
  <c r="BL54" i="7"/>
  <c r="BK54" i="7"/>
  <c r="BJ54" i="7"/>
  <c r="BI54" i="7"/>
  <c r="BH54" i="7"/>
  <c r="BG54" i="7"/>
  <c r="BF54" i="7"/>
  <c r="BE54" i="7"/>
  <c r="BD54" i="7"/>
  <c r="BC54" i="7"/>
  <c r="BB54" i="7"/>
  <c r="BA54" i="7"/>
  <c r="AZ54" i="7"/>
  <c r="AY54" i="7"/>
  <c r="AX54" i="7"/>
  <c r="AW54" i="7"/>
  <c r="AV54" i="7"/>
  <c r="AU54" i="7"/>
  <c r="AT54" i="7"/>
  <c r="AS54" i="7"/>
  <c r="AR54" i="7"/>
  <c r="AQ54" i="7"/>
  <c r="AP54" i="7"/>
  <c r="AO54" i="7"/>
  <c r="AN54" i="7"/>
  <c r="AM54" i="7"/>
  <c r="AL54" i="7"/>
  <c r="AK54" i="7"/>
  <c r="AJ54" i="7"/>
  <c r="AI54" i="7"/>
  <c r="AH54" i="7"/>
  <c r="AG54" i="7"/>
  <c r="AF54" i="7"/>
  <c r="AE54" i="7"/>
  <c r="AD54" i="7"/>
  <c r="AC54" i="7"/>
  <c r="AB54" i="7"/>
  <c r="AA54" i="7"/>
  <c r="Z54" i="7"/>
  <c r="Y54" i="7"/>
  <c r="X54" i="7"/>
  <c r="W54" i="7"/>
  <c r="V54" i="7"/>
  <c r="U54" i="7"/>
  <c r="T54" i="7"/>
  <c r="S54" i="7"/>
  <c r="R54" i="7"/>
  <c r="Q54" i="7"/>
  <c r="P54" i="7"/>
  <c r="O54" i="7"/>
  <c r="N54" i="7"/>
  <c r="M54" i="7"/>
  <c r="L54" i="7"/>
  <c r="K54" i="7"/>
  <c r="J54" i="7"/>
  <c r="I54" i="7"/>
  <c r="H54" i="7"/>
  <c r="G54" i="7"/>
  <c r="F54" i="7"/>
  <c r="E54" i="7"/>
  <c r="D54" i="7"/>
  <c r="C54" i="7"/>
  <c r="B54" i="7"/>
  <c r="A54" i="7"/>
  <c r="FO53" i="7"/>
  <c r="FN53" i="7"/>
  <c r="FM53" i="7"/>
  <c r="FL53" i="7"/>
  <c r="FK53" i="7"/>
  <c r="FJ53" i="7"/>
  <c r="FI53" i="7"/>
  <c r="FH53" i="7"/>
  <c r="FG53" i="7"/>
  <c r="FF53" i="7"/>
  <c r="FE53" i="7"/>
  <c r="FD53" i="7"/>
  <c r="FC53" i="7"/>
  <c r="FB53" i="7"/>
  <c r="FA53" i="7"/>
  <c r="EZ53" i="7"/>
  <c r="EY53" i="7"/>
  <c r="EX53" i="7"/>
  <c r="EW53" i="7"/>
  <c r="EV53" i="7"/>
  <c r="EU53" i="7"/>
  <c r="ET53" i="7"/>
  <c r="ES53" i="7"/>
  <c r="ER53" i="7"/>
  <c r="EQ53" i="7"/>
  <c r="EP53" i="7"/>
  <c r="EO53" i="7"/>
  <c r="EN53" i="7"/>
  <c r="EM53" i="7"/>
  <c r="EL53" i="7"/>
  <c r="EK53" i="7"/>
  <c r="EJ53" i="7"/>
  <c r="EI53" i="7"/>
  <c r="EH53" i="7"/>
  <c r="EG53" i="7"/>
  <c r="EF53" i="7"/>
  <c r="EE53" i="7"/>
  <c r="ED53" i="7"/>
  <c r="EC53" i="7"/>
  <c r="EB53" i="7"/>
  <c r="EA53" i="7"/>
  <c r="DZ53" i="7"/>
  <c r="DY53" i="7"/>
  <c r="DX53" i="7"/>
  <c r="DW53" i="7"/>
  <c r="DV53" i="7"/>
  <c r="DU53" i="7"/>
  <c r="DT53" i="7"/>
  <c r="DS53" i="7"/>
  <c r="DR53" i="7"/>
  <c r="DQ53" i="7"/>
  <c r="DP53" i="7"/>
  <c r="DO53" i="7"/>
  <c r="DN53" i="7"/>
  <c r="DM53" i="7"/>
  <c r="DL53" i="7"/>
  <c r="DK53" i="7"/>
  <c r="DJ53" i="7"/>
  <c r="DI53" i="7"/>
  <c r="DH53" i="7"/>
  <c r="DG53" i="7"/>
  <c r="DF53" i="7"/>
  <c r="DE53" i="7"/>
  <c r="DD53" i="7"/>
  <c r="DC53" i="7"/>
  <c r="DB53" i="7"/>
  <c r="DA53" i="7"/>
  <c r="CZ53" i="7"/>
  <c r="CY53" i="7"/>
  <c r="CX53" i="7"/>
  <c r="CW53" i="7"/>
  <c r="CV53" i="7"/>
  <c r="CU53" i="7"/>
  <c r="CT53" i="7"/>
  <c r="CS53" i="7"/>
  <c r="CR53" i="7"/>
  <c r="CQ53" i="7"/>
  <c r="CP53" i="7"/>
  <c r="CO53" i="7"/>
  <c r="CN53" i="7"/>
  <c r="CM53" i="7"/>
  <c r="CL53" i="7"/>
  <c r="CK53" i="7"/>
  <c r="CJ53" i="7"/>
  <c r="CI53" i="7"/>
  <c r="CH53" i="7"/>
  <c r="CG53" i="7"/>
  <c r="CF53" i="7"/>
  <c r="CE53" i="7"/>
  <c r="CD53" i="7"/>
  <c r="CC53" i="7"/>
  <c r="CB53" i="7"/>
  <c r="CA53" i="7"/>
  <c r="BZ53" i="7"/>
  <c r="BY53" i="7"/>
  <c r="BX53" i="7"/>
  <c r="BW53" i="7"/>
  <c r="BV53" i="7"/>
  <c r="BU53" i="7"/>
  <c r="BT53" i="7"/>
  <c r="BS53" i="7"/>
  <c r="BR53" i="7"/>
  <c r="BQ53" i="7"/>
  <c r="BP53" i="7"/>
  <c r="BO53" i="7"/>
  <c r="BN53" i="7"/>
  <c r="BM53" i="7"/>
  <c r="BL53" i="7"/>
  <c r="BK53" i="7"/>
  <c r="BJ53" i="7"/>
  <c r="BI53" i="7"/>
  <c r="BH53" i="7"/>
  <c r="BG53" i="7"/>
  <c r="BF53" i="7"/>
  <c r="BE53" i="7"/>
  <c r="BD53" i="7"/>
  <c r="BC53" i="7"/>
  <c r="BB53" i="7"/>
  <c r="BA53" i="7"/>
  <c r="AZ53" i="7"/>
  <c r="AY53" i="7"/>
  <c r="AX53" i="7"/>
  <c r="AW53" i="7"/>
  <c r="AV53" i="7"/>
  <c r="AU53" i="7"/>
  <c r="AT53" i="7"/>
  <c r="AS53" i="7"/>
  <c r="AR53" i="7"/>
  <c r="AQ53" i="7"/>
  <c r="AP53" i="7"/>
  <c r="AO53" i="7"/>
  <c r="AN53" i="7"/>
  <c r="AM53" i="7"/>
  <c r="AL53" i="7"/>
  <c r="AK53" i="7"/>
  <c r="AJ53" i="7"/>
  <c r="AI53" i="7"/>
  <c r="AH53" i="7"/>
  <c r="AG53" i="7"/>
  <c r="AF53" i="7"/>
  <c r="AE53" i="7"/>
  <c r="AD53" i="7"/>
  <c r="AC53" i="7"/>
  <c r="AB53" i="7"/>
  <c r="AA53" i="7"/>
  <c r="Z53" i="7"/>
  <c r="Y53" i="7"/>
  <c r="X53" i="7"/>
  <c r="W53" i="7"/>
  <c r="V53" i="7"/>
  <c r="U53" i="7"/>
  <c r="T53" i="7"/>
  <c r="S53" i="7"/>
  <c r="R53" i="7"/>
  <c r="Q53" i="7"/>
  <c r="P53" i="7"/>
  <c r="O53" i="7"/>
  <c r="N53" i="7"/>
  <c r="M53" i="7"/>
  <c r="L53" i="7"/>
  <c r="K53" i="7"/>
  <c r="J53" i="7"/>
  <c r="I53" i="7"/>
  <c r="H53" i="7"/>
  <c r="G53" i="7"/>
  <c r="F53" i="7"/>
  <c r="E53" i="7"/>
  <c r="D53" i="7"/>
  <c r="C53" i="7"/>
  <c r="B53" i="7"/>
  <c r="A53" i="7"/>
  <c r="FO52" i="7"/>
  <c r="FN52" i="7"/>
  <c r="FM52" i="7"/>
  <c r="FL52" i="7"/>
  <c r="FK52" i="7"/>
  <c r="FJ52" i="7"/>
  <c r="FI52" i="7"/>
  <c r="FH52" i="7"/>
  <c r="FG52" i="7"/>
  <c r="FF52" i="7"/>
  <c r="FE52" i="7"/>
  <c r="FD52" i="7"/>
  <c r="FC52" i="7"/>
  <c r="FB52" i="7"/>
  <c r="FA52" i="7"/>
  <c r="EZ52" i="7"/>
  <c r="EY52" i="7"/>
  <c r="EX52" i="7"/>
  <c r="EW52" i="7"/>
  <c r="EV52" i="7"/>
  <c r="EU52" i="7"/>
  <c r="ET52" i="7"/>
  <c r="ES52" i="7"/>
  <c r="ER52" i="7"/>
  <c r="EQ52" i="7"/>
  <c r="EP52" i="7"/>
  <c r="EO52" i="7"/>
  <c r="EN52" i="7"/>
  <c r="EM52" i="7"/>
  <c r="EL52" i="7"/>
  <c r="EK52" i="7"/>
  <c r="EJ52" i="7"/>
  <c r="EI52" i="7"/>
  <c r="EH52" i="7"/>
  <c r="EG52" i="7"/>
  <c r="EF52" i="7"/>
  <c r="EE52" i="7"/>
  <c r="ED52" i="7"/>
  <c r="EC52" i="7"/>
  <c r="EB52" i="7"/>
  <c r="EA52" i="7"/>
  <c r="DZ52" i="7"/>
  <c r="DY52" i="7"/>
  <c r="DX52" i="7"/>
  <c r="DW52" i="7"/>
  <c r="DV52" i="7"/>
  <c r="DU52" i="7"/>
  <c r="DT52" i="7"/>
  <c r="DS52" i="7"/>
  <c r="DR52" i="7"/>
  <c r="DQ52" i="7"/>
  <c r="DP52" i="7"/>
  <c r="DO52" i="7"/>
  <c r="DN52" i="7"/>
  <c r="DM52" i="7"/>
  <c r="DL52" i="7"/>
  <c r="DK52" i="7"/>
  <c r="DJ52" i="7"/>
  <c r="DI52" i="7"/>
  <c r="DH52" i="7"/>
  <c r="DG52" i="7"/>
  <c r="DF52" i="7"/>
  <c r="DE52" i="7"/>
  <c r="DD52" i="7"/>
  <c r="DC52" i="7"/>
  <c r="DB52" i="7"/>
  <c r="DA52" i="7"/>
  <c r="CZ52" i="7"/>
  <c r="CY52" i="7"/>
  <c r="CX52" i="7"/>
  <c r="CW52" i="7"/>
  <c r="CV52" i="7"/>
  <c r="CU52" i="7"/>
  <c r="CT52" i="7"/>
  <c r="CS52" i="7"/>
  <c r="CR52" i="7"/>
  <c r="CQ52" i="7"/>
  <c r="CP52" i="7"/>
  <c r="CO52" i="7"/>
  <c r="CN52" i="7"/>
  <c r="CM52" i="7"/>
  <c r="CL52" i="7"/>
  <c r="CK52" i="7"/>
  <c r="CJ52" i="7"/>
  <c r="CI52" i="7"/>
  <c r="CH52" i="7"/>
  <c r="CG52" i="7"/>
  <c r="CF52" i="7"/>
  <c r="CE52" i="7"/>
  <c r="CD52" i="7"/>
  <c r="CC52" i="7"/>
  <c r="CB52" i="7"/>
  <c r="CA52" i="7"/>
  <c r="BZ52" i="7"/>
  <c r="BY52" i="7"/>
  <c r="BX52" i="7"/>
  <c r="BW52" i="7"/>
  <c r="BV52" i="7"/>
  <c r="BU52" i="7"/>
  <c r="BT52" i="7"/>
  <c r="BS52" i="7"/>
  <c r="BR52" i="7"/>
  <c r="BQ52" i="7"/>
  <c r="BP52" i="7"/>
  <c r="BO52" i="7"/>
  <c r="BN52" i="7"/>
  <c r="BM52" i="7"/>
  <c r="BL52" i="7"/>
  <c r="BK52" i="7"/>
  <c r="BJ52" i="7"/>
  <c r="BI52" i="7"/>
  <c r="BH52" i="7"/>
  <c r="BG52" i="7"/>
  <c r="BF52" i="7"/>
  <c r="BE52" i="7"/>
  <c r="BD52" i="7"/>
  <c r="BC52" i="7"/>
  <c r="BB52" i="7"/>
  <c r="BA52" i="7"/>
  <c r="AZ52" i="7"/>
  <c r="AY52" i="7"/>
  <c r="AX52" i="7"/>
  <c r="AW52" i="7"/>
  <c r="AV52" i="7"/>
  <c r="AU52" i="7"/>
  <c r="AT52" i="7"/>
  <c r="AS52" i="7"/>
  <c r="AR52" i="7"/>
  <c r="AQ52" i="7"/>
  <c r="AP52" i="7"/>
  <c r="AO52" i="7"/>
  <c r="AN52" i="7"/>
  <c r="AM52" i="7"/>
  <c r="AL52" i="7"/>
  <c r="AK52" i="7"/>
  <c r="AJ52" i="7"/>
  <c r="AI52" i="7"/>
  <c r="AH52" i="7"/>
  <c r="AG52" i="7"/>
  <c r="AF52" i="7"/>
  <c r="AE52" i="7"/>
  <c r="AD52" i="7"/>
  <c r="AC52" i="7"/>
  <c r="AB52" i="7"/>
  <c r="AA52" i="7"/>
  <c r="Z52" i="7"/>
  <c r="Y52" i="7"/>
  <c r="X52" i="7"/>
  <c r="W52" i="7"/>
  <c r="V52" i="7"/>
  <c r="U52" i="7"/>
  <c r="T52" i="7"/>
  <c r="S52" i="7"/>
  <c r="R52" i="7"/>
  <c r="Q52" i="7"/>
  <c r="P52" i="7"/>
  <c r="O52" i="7"/>
  <c r="N52" i="7"/>
  <c r="M52" i="7"/>
  <c r="L52" i="7"/>
  <c r="K52" i="7"/>
  <c r="J52" i="7"/>
  <c r="I52" i="7"/>
  <c r="H52" i="7"/>
  <c r="G52" i="7"/>
  <c r="F52" i="7"/>
  <c r="E52" i="7"/>
  <c r="D52" i="7"/>
  <c r="C52" i="7"/>
  <c r="B52" i="7"/>
  <c r="A52" i="7"/>
  <c r="FO51" i="7"/>
  <c r="FN51" i="7"/>
  <c r="FM51" i="7"/>
  <c r="FL51" i="7"/>
  <c r="FK51" i="7"/>
  <c r="FJ51" i="7"/>
  <c r="FI51" i="7"/>
  <c r="FH51" i="7"/>
  <c r="FG51" i="7"/>
  <c r="FF51" i="7"/>
  <c r="FE51" i="7"/>
  <c r="FD51" i="7"/>
  <c r="FC51" i="7"/>
  <c r="FB51" i="7"/>
  <c r="FA51" i="7"/>
  <c r="EZ51" i="7"/>
  <c r="EY51" i="7"/>
  <c r="EX51" i="7"/>
  <c r="EW51" i="7"/>
  <c r="EV51" i="7"/>
  <c r="EU51" i="7"/>
  <c r="ET51" i="7"/>
  <c r="ES51" i="7"/>
  <c r="ER51" i="7"/>
  <c r="EQ51" i="7"/>
  <c r="EP51" i="7"/>
  <c r="EO51" i="7"/>
  <c r="EN51" i="7"/>
  <c r="EM51" i="7"/>
  <c r="EL51" i="7"/>
  <c r="EK51" i="7"/>
  <c r="EJ51" i="7"/>
  <c r="EI51" i="7"/>
  <c r="EH51" i="7"/>
  <c r="EG51" i="7"/>
  <c r="EF51" i="7"/>
  <c r="EE51" i="7"/>
  <c r="ED51" i="7"/>
  <c r="EC51" i="7"/>
  <c r="EB51" i="7"/>
  <c r="EA51" i="7"/>
  <c r="DZ51" i="7"/>
  <c r="DY51" i="7"/>
  <c r="DX51" i="7"/>
  <c r="DW51" i="7"/>
  <c r="DV51" i="7"/>
  <c r="DU51" i="7"/>
  <c r="DT51" i="7"/>
  <c r="DS51" i="7"/>
  <c r="DR51" i="7"/>
  <c r="DQ51" i="7"/>
  <c r="DP51" i="7"/>
  <c r="DO51" i="7"/>
  <c r="DN51" i="7"/>
  <c r="DM51" i="7"/>
  <c r="DL51" i="7"/>
  <c r="DK51" i="7"/>
  <c r="DJ51" i="7"/>
  <c r="DI51" i="7"/>
  <c r="DH51" i="7"/>
  <c r="DG51" i="7"/>
  <c r="DF51" i="7"/>
  <c r="DE51" i="7"/>
  <c r="DD51" i="7"/>
  <c r="DC51" i="7"/>
  <c r="DB51" i="7"/>
  <c r="DA51" i="7"/>
  <c r="CZ51" i="7"/>
  <c r="CY51" i="7"/>
  <c r="CX51" i="7"/>
  <c r="CW51" i="7"/>
  <c r="CV51" i="7"/>
  <c r="CU51" i="7"/>
  <c r="CT51" i="7"/>
  <c r="CS51" i="7"/>
  <c r="CR51" i="7"/>
  <c r="CQ51" i="7"/>
  <c r="CP51" i="7"/>
  <c r="CO51" i="7"/>
  <c r="CN51" i="7"/>
  <c r="CM51" i="7"/>
  <c r="CL51" i="7"/>
  <c r="CK51" i="7"/>
  <c r="CJ51" i="7"/>
  <c r="CI51" i="7"/>
  <c r="CH51" i="7"/>
  <c r="CG51" i="7"/>
  <c r="CF51" i="7"/>
  <c r="CE51" i="7"/>
  <c r="CD51" i="7"/>
  <c r="CC51" i="7"/>
  <c r="CB51" i="7"/>
  <c r="CA51" i="7"/>
  <c r="BZ51" i="7"/>
  <c r="BY51" i="7"/>
  <c r="BX51" i="7"/>
  <c r="BW51" i="7"/>
  <c r="BV51" i="7"/>
  <c r="BU51" i="7"/>
  <c r="BT51" i="7"/>
  <c r="BS51" i="7"/>
  <c r="BR51" i="7"/>
  <c r="BQ51" i="7"/>
  <c r="BP51" i="7"/>
  <c r="BO51" i="7"/>
  <c r="BN51" i="7"/>
  <c r="BM51" i="7"/>
  <c r="BL51" i="7"/>
  <c r="BK51" i="7"/>
  <c r="BJ51" i="7"/>
  <c r="BI51" i="7"/>
  <c r="BH51" i="7"/>
  <c r="BG51" i="7"/>
  <c r="BF51" i="7"/>
  <c r="BE51" i="7"/>
  <c r="BD51" i="7"/>
  <c r="BC51" i="7"/>
  <c r="BB51" i="7"/>
  <c r="BA51" i="7"/>
  <c r="AZ51" i="7"/>
  <c r="AY51" i="7"/>
  <c r="AX51" i="7"/>
  <c r="AW51" i="7"/>
  <c r="AV51" i="7"/>
  <c r="AU51" i="7"/>
  <c r="AT51" i="7"/>
  <c r="AS51" i="7"/>
  <c r="AR51" i="7"/>
  <c r="AQ51" i="7"/>
  <c r="AP51" i="7"/>
  <c r="AO51" i="7"/>
  <c r="AN51" i="7"/>
  <c r="AM51" i="7"/>
  <c r="AL51" i="7"/>
  <c r="AK51" i="7"/>
  <c r="AJ51" i="7"/>
  <c r="AI51" i="7"/>
  <c r="AH51" i="7"/>
  <c r="AG51" i="7"/>
  <c r="AF51" i="7"/>
  <c r="AE51" i="7"/>
  <c r="AD51" i="7"/>
  <c r="AC51" i="7"/>
  <c r="AB51" i="7"/>
  <c r="AA51" i="7"/>
  <c r="Z51" i="7"/>
  <c r="Y51" i="7"/>
  <c r="X51" i="7"/>
  <c r="W51" i="7"/>
  <c r="V51" i="7"/>
  <c r="U51" i="7"/>
  <c r="T51" i="7"/>
  <c r="S51" i="7"/>
  <c r="R51" i="7"/>
  <c r="Q51" i="7"/>
  <c r="P51" i="7"/>
  <c r="O51" i="7"/>
  <c r="N51" i="7"/>
  <c r="M51" i="7"/>
  <c r="L51" i="7"/>
  <c r="K51" i="7"/>
  <c r="J51" i="7"/>
  <c r="I51" i="7"/>
  <c r="H51" i="7"/>
  <c r="G51" i="7"/>
  <c r="F51" i="7"/>
  <c r="E51" i="7"/>
  <c r="D51" i="7"/>
  <c r="C51" i="7"/>
  <c r="B51" i="7"/>
  <c r="A51" i="7"/>
  <c r="FO50" i="7"/>
  <c r="FN50" i="7"/>
  <c r="FM50" i="7"/>
  <c r="FL50" i="7"/>
  <c r="FK50" i="7"/>
  <c r="FJ50" i="7"/>
  <c r="FI50" i="7"/>
  <c r="FH50" i="7"/>
  <c r="FG50" i="7"/>
  <c r="FF50" i="7"/>
  <c r="FE50" i="7"/>
  <c r="FD50" i="7"/>
  <c r="FC50" i="7"/>
  <c r="FB50" i="7"/>
  <c r="FA50" i="7"/>
  <c r="EZ50" i="7"/>
  <c r="EY50" i="7"/>
  <c r="EX50" i="7"/>
  <c r="EW50" i="7"/>
  <c r="EV50" i="7"/>
  <c r="EU50" i="7"/>
  <c r="ET50" i="7"/>
  <c r="ES50" i="7"/>
  <c r="ER50" i="7"/>
  <c r="EQ50" i="7"/>
  <c r="EP50" i="7"/>
  <c r="EO50" i="7"/>
  <c r="EN50" i="7"/>
  <c r="EM50" i="7"/>
  <c r="EL50" i="7"/>
  <c r="EK50" i="7"/>
  <c r="EJ50" i="7"/>
  <c r="EI50" i="7"/>
  <c r="EH50" i="7"/>
  <c r="EG50" i="7"/>
  <c r="EF50" i="7"/>
  <c r="EE50" i="7"/>
  <c r="ED50" i="7"/>
  <c r="EC50" i="7"/>
  <c r="EB50" i="7"/>
  <c r="EA50" i="7"/>
  <c r="DZ50" i="7"/>
  <c r="DY50" i="7"/>
  <c r="DX50" i="7"/>
  <c r="DW50" i="7"/>
  <c r="DV50" i="7"/>
  <c r="DU50" i="7"/>
  <c r="DT50" i="7"/>
  <c r="DS50" i="7"/>
  <c r="DR50" i="7"/>
  <c r="DQ50" i="7"/>
  <c r="DP50" i="7"/>
  <c r="DO50" i="7"/>
  <c r="DN50" i="7"/>
  <c r="DM50" i="7"/>
  <c r="DL50" i="7"/>
  <c r="DK50" i="7"/>
  <c r="DJ50" i="7"/>
  <c r="DI50" i="7"/>
  <c r="DH50" i="7"/>
  <c r="DG50" i="7"/>
  <c r="DF50" i="7"/>
  <c r="DE50" i="7"/>
  <c r="DD50" i="7"/>
  <c r="DC50" i="7"/>
  <c r="DB50" i="7"/>
  <c r="DA50" i="7"/>
  <c r="CZ50" i="7"/>
  <c r="CY50" i="7"/>
  <c r="CX50" i="7"/>
  <c r="CW50" i="7"/>
  <c r="CV50" i="7"/>
  <c r="CU50" i="7"/>
  <c r="CT50" i="7"/>
  <c r="CS50" i="7"/>
  <c r="CR50" i="7"/>
  <c r="CQ50" i="7"/>
  <c r="CP50" i="7"/>
  <c r="CO50" i="7"/>
  <c r="CN50" i="7"/>
  <c r="CM50" i="7"/>
  <c r="CL50" i="7"/>
  <c r="CK50" i="7"/>
  <c r="CJ50" i="7"/>
  <c r="CI50" i="7"/>
  <c r="CH50" i="7"/>
  <c r="CG50" i="7"/>
  <c r="CF50" i="7"/>
  <c r="CE50" i="7"/>
  <c r="CD50" i="7"/>
  <c r="CC50" i="7"/>
  <c r="CB50" i="7"/>
  <c r="CA50" i="7"/>
  <c r="BZ50" i="7"/>
  <c r="BY50" i="7"/>
  <c r="BX50" i="7"/>
  <c r="BW50" i="7"/>
  <c r="BV50" i="7"/>
  <c r="BU50" i="7"/>
  <c r="BT50" i="7"/>
  <c r="BS50" i="7"/>
  <c r="BR50" i="7"/>
  <c r="BQ50" i="7"/>
  <c r="BP50" i="7"/>
  <c r="BO50" i="7"/>
  <c r="BN50" i="7"/>
  <c r="BM50" i="7"/>
  <c r="BL50" i="7"/>
  <c r="BK50" i="7"/>
  <c r="BJ50" i="7"/>
  <c r="BI50" i="7"/>
  <c r="BH50" i="7"/>
  <c r="BG50" i="7"/>
  <c r="BF50" i="7"/>
  <c r="BE50" i="7"/>
  <c r="BD50" i="7"/>
  <c r="BC50" i="7"/>
  <c r="BB50" i="7"/>
  <c r="BA50" i="7"/>
  <c r="AZ50" i="7"/>
  <c r="AY50" i="7"/>
  <c r="AX50" i="7"/>
  <c r="AW50" i="7"/>
  <c r="AV50" i="7"/>
  <c r="AU50" i="7"/>
  <c r="AT50" i="7"/>
  <c r="AS50" i="7"/>
  <c r="AR50" i="7"/>
  <c r="AQ50" i="7"/>
  <c r="AP50" i="7"/>
  <c r="AO50" i="7"/>
  <c r="AN50" i="7"/>
  <c r="AM50" i="7"/>
  <c r="AL50" i="7"/>
  <c r="AK50" i="7"/>
  <c r="AJ50" i="7"/>
  <c r="AI50" i="7"/>
  <c r="AH50" i="7"/>
  <c r="AG50" i="7"/>
  <c r="AF50" i="7"/>
  <c r="AE50" i="7"/>
  <c r="AD50" i="7"/>
  <c r="AC50" i="7"/>
  <c r="AB50" i="7"/>
  <c r="AA50" i="7"/>
  <c r="Z50" i="7"/>
  <c r="Y50" i="7"/>
  <c r="X50" i="7"/>
  <c r="W50" i="7"/>
  <c r="V50" i="7"/>
  <c r="U50" i="7"/>
  <c r="T50" i="7"/>
  <c r="S50" i="7"/>
  <c r="R50" i="7"/>
  <c r="Q50" i="7"/>
  <c r="P50" i="7"/>
  <c r="O50" i="7"/>
  <c r="N50" i="7"/>
  <c r="M50" i="7"/>
  <c r="L50" i="7"/>
  <c r="K50" i="7"/>
  <c r="J50" i="7"/>
  <c r="I50" i="7"/>
  <c r="H50" i="7"/>
  <c r="G50" i="7"/>
  <c r="F50" i="7"/>
  <c r="E50" i="7"/>
  <c r="D50" i="7"/>
  <c r="C50" i="7"/>
  <c r="B50" i="7"/>
  <c r="A50" i="7"/>
  <c r="FO49" i="7"/>
  <c r="FN49" i="7"/>
  <c r="FM49" i="7"/>
  <c r="FL49" i="7"/>
  <c r="FK49" i="7"/>
  <c r="FJ49" i="7"/>
  <c r="FI49" i="7"/>
  <c r="FH49" i="7"/>
  <c r="FG49" i="7"/>
  <c r="FF49" i="7"/>
  <c r="FE49" i="7"/>
  <c r="FD49" i="7"/>
  <c r="FC49" i="7"/>
  <c r="FB49" i="7"/>
  <c r="FA49" i="7"/>
  <c r="EZ49" i="7"/>
  <c r="EY49" i="7"/>
  <c r="EX49" i="7"/>
  <c r="EW49" i="7"/>
  <c r="EV49" i="7"/>
  <c r="EU49" i="7"/>
  <c r="ET49" i="7"/>
  <c r="ES49" i="7"/>
  <c r="ER49" i="7"/>
  <c r="EQ49" i="7"/>
  <c r="EP49" i="7"/>
  <c r="EO49" i="7"/>
  <c r="EN49" i="7"/>
  <c r="EM49" i="7"/>
  <c r="EL49" i="7"/>
  <c r="EK49" i="7"/>
  <c r="EJ49" i="7"/>
  <c r="EI49" i="7"/>
  <c r="EH49" i="7"/>
  <c r="EG49" i="7"/>
  <c r="EF49" i="7"/>
  <c r="EE49" i="7"/>
  <c r="ED49" i="7"/>
  <c r="EC49" i="7"/>
  <c r="EB49" i="7"/>
  <c r="EA49" i="7"/>
  <c r="DZ49" i="7"/>
  <c r="DY49" i="7"/>
  <c r="DX49" i="7"/>
  <c r="DW49" i="7"/>
  <c r="DV49" i="7"/>
  <c r="DU49" i="7"/>
  <c r="DT49" i="7"/>
  <c r="DS49" i="7"/>
  <c r="DR49" i="7"/>
  <c r="DQ49" i="7"/>
  <c r="DP49" i="7"/>
  <c r="DO49" i="7"/>
  <c r="DN49" i="7"/>
  <c r="DM49" i="7"/>
  <c r="DL49" i="7"/>
  <c r="DK49" i="7"/>
  <c r="DJ49" i="7"/>
  <c r="DI49" i="7"/>
  <c r="DH49" i="7"/>
  <c r="DG49" i="7"/>
  <c r="DF49" i="7"/>
  <c r="DE49" i="7"/>
  <c r="DD49" i="7"/>
  <c r="DC49" i="7"/>
  <c r="DB49" i="7"/>
  <c r="DA49" i="7"/>
  <c r="CZ49" i="7"/>
  <c r="CY49" i="7"/>
  <c r="CX49" i="7"/>
  <c r="CW49" i="7"/>
  <c r="CV49" i="7"/>
  <c r="CU49" i="7"/>
  <c r="CT49" i="7"/>
  <c r="CS49" i="7"/>
  <c r="CR49" i="7"/>
  <c r="CQ49" i="7"/>
  <c r="CP49" i="7"/>
  <c r="CO49" i="7"/>
  <c r="CN49" i="7"/>
  <c r="CM49" i="7"/>
  <c r="CL49" i="7"/>
  <c r="CK49" i="7"/>
  <c r="CJ49" i="7"/>
  <c r="CI49" i="7"/>
  <c r="CH49" i="7"/>
  <c r="CG49" i="7"/>
  <c r="CF49" i="7"/>
  <c r="CE49" i="7"/>
  <c r="CD49" i="7"/>
  <c r="CC49" i="7"/>
  <c r="CB49" i="7"/>
  <c r="CA49" i="7"/>
  <c r="BZ49" i="7"/>
  <c r="BY49" i="7"/>
  <c r="BX49" i="7"/>
  <c r="BW49" i="7"/>
  <c r="BV49" i="7"/>
  <c r="BU49" i="7"/>
  <c r="BT49" i="7"/>
  <c r="BS49" i="7"/>
  <c r="BR49" i="7"/>
  <c r="BQ49" i="7"/>
  <c r="BP49" i="7"/>
  <c r="BO49" i="7"/>
  <c r="BN49" i="7"/>
  <c r="BM49" i="7"/>
  <c r="BL49" i="7"/>
  <c r="BK49" i="7"/>
  <c r="BJ49" i="7"/>
  <c r="BI49" i="7"/>
  <c r="BH49" i="7"/>
  <c r="BG49" i="7"/>
  <c r="BF49" i="7"/>
  <c r="BE49" i="7"/>
  <c r="BD49" i="7"/>
  <c r="BC49" i="7"/>
  <c r="BB49" i="7"/>
  <c r="BA49" i="7"/>
  <c r="AZ49" i="7"/>
  <c r="AY49" i="7"/>
  <c r="AX49" i="7"/>
  <c r="AW49" i="7"/>
  <c r="AV49" i="7"/>
  <c r="AU49" i="7"/>
  <c r="AT49" i="7"/>
  <c r="AS49" i="7"/>
  <c r="AR49" i="7"/>
  <c r="AQ49" i="7"/>
  <c r="AP49" i="7"/>
  <c r="AO49" i="7"/>
  <c r="AN49" i="7"/>
  <c r="AM49" i="7"/>
  <c r="AL49" i="7"/>
  <c r="AK49" i="7"/>
  <c r="AJ49" i="7"/>
  <c r="AI49" i="7"/>
  <c r="AH49" i="7"/>
  <c r="AG49" i="7"/>
  <c r="AF49" i="7"/>
  <c r="AE49" i="7"/>
  <c r="AD49" i="7"/>
  <c r="AC49" i="7"/>
  <c r="AB49" i="7"/>
  <c r="AA49" i="7"/>
  <c r="Z49" i="7"/>
  <c r="Y49" i="7"/>
  <c r="X49" i="7"/>
  <c r="W49" i="7"/>
  <c r="V49" i="7"/>
  <c r="U49" i="7"/>
  <c r="T49" i="7"/>
  <c r="S49" i="7"/>
  <c r="R49" i="7"/>
  <c r="Q49" i="7"/>
  <c r="P49" i="7"/>
  <c r="O49" i="7"/>
  <c r="N49" i="7"/>
  <c r="M49" i="7"/>
  <c r="L49" i="7"/>
  <c r="K49" i="7"/>
  <c r="J49" i="7"/>
  <c r="I49" i="7"/>
  <c r="H49" i="7"/>
  <c r="G49" i="7"/>
  <c r="F49" i="7"/>
  <c r="E49" i="7"/>
  <c r="D49" i="7"/>
  <c r="C49" i="7"/>
  <c r="B49" i="7"/>
  <c r="A49" i="7"/>
  <c r="FO48" i="7"/>
  <c r="FN48" i="7"/>
  <c r="FM48" i="7"/>
  <c r="FL48" i="7"/>
  <c r="FK48" i="7"/>
  <c r="FJ48" i="7"/>
  <c r="FI48" i="7"/>
  <c r="FH48" i="7"/>
  <c r="FG48" i="7"/>
  <c r="FF48" i="7"/>
  <c r="FE48" i="7"/>
  <c r="FD48" i="7"/>
  <c r="FC48" i="7"/>
  <c r="FB48" i="7"/>
  <c r="FA48" i="7"/>
  <c r="EZ48" i="7"/>
  <c r="EY48" i="7"/>
  <c r="EX48" i="7"/>
  <c r="EW48" i="7"/>
  <c r="EV48" i="7"/>
  <c r="EU48" i="7"/>
  <c r="ET48" i="7"/>
  <c r="ES48" i="7"/>
  <c r="ER48" i="7"/>
  <c r="EQ48" i="7"/>
  <c r="EP48" i="7"/>
  <c r="EO48" i="7"/>
  <c r="EN48" i="7"/>
  <c r="EM48" i="7"/>
  <c r="EL48" i="7"/>
  <c r="EK48" i="7"/>
  <c r="EJ48" i="7"/>
  <c r="EI48" i="7"/>
  <c r="EH48" i="7"/>
  <c r="EG48" i="7"/>
  <c r="EF48" i="7"/>
  <c r="EE48" i="7"/>
  <c r="ED48" i="7"/>
  <c r="EC48" i="7"/>
  <c r="EB48" i="7"/>
  <c r="EA48" i="7"/>
  <c r="DZ48" i="7"/>
  <c r="DY48" i="7"/>
  <c r="DX48" i="7"/>
  <c r="DW48" i="7"/>
  <c r="DV48" i="7"/>
  <c r="DU48" i="7"/>
  <c r="DT48" i="7"/>
  <c r="DS48" i="7"/>
  <c r="DR48" i="7"/>
  <c r="DQ48" i="7"/>
  <c r="DP48" i="7"/>
  <c r="DO48" i="7"/>
  <c r="DN48" i="7"/>
  <c r="DM48" i="7"/>
  <c r="DL48" i="7"/>
  <c r="DK48" i="7"/>
  <c r="DJ48" i="7"/>
  <c r="DI48" i="7"/>
  <c r="DH48" i="7"/>
  <c r="DG48" i="7"/>
  <c r="DF48" i="7"/>
  <c r="DE48" i="7"/>
  <c r="DD48" i="7"/>
  <c r="DC48" i="7"/>
  <c r="DB48" i="7"/>
  <c r="DA48" i="7"/>
  <c r="CZ48" i="7"/>
  <c r="CY48" i="7"/>
  <c r="CX48" i="7"/>
  <c r="CW48" i="7"/>
  <c r="CV48" i="7"/>
  <c r="CU48" i="7"/>
  <c r="CT48" i="7"/>
  <c r="CS48" i="7"/>
  <c r="CR48" i="7"/>
  <c r="CQ48" i="7"/>
  <c r="CP48" i="7"/>
  <c r="CO48" i="7"/>
  <c r="CN48" i="7"/>
  <c r="CM48" i="7"/>
  <c r="CL48" i="7"/>
  <c r="CK48" i="7"/>
  <c r="CJ48" i="7"/>
  <c r="CI48" i="7"/>
  <c r="CH48" i="7"/>
  <c r="CG48" i="7"/>
  <c r="CF48" i="7"/>
  <c r="CE48" i="7"/>
  <c r="CD48" i="7"/>
  <c r="CC48" i="7"/>
  <c r="CB48" i="7"/>
  <c r="CA48" i="7"/>
  <c r="BZ48" i="7"/>
  <c r="BY48" i="7"/>
  <c r="BX48" i="7"/>
  <c r="BW48" i="7"/>
  <c r="BV48" i="7"/>
  <c r="BU48" i="7"/>
  <c r="BT48" i="7"/>
  <c r="BS48" i="7"/>
  <c r="BR48" i="7"/>
  <c r="BQ48" i="7"/>
  <c r="BP48" i="7"/>
  <c r="BO48" i="7"/>
  <c r="BN48" i="7"/>
  <c r="BM48" i="7"/>
  <c r="BL48" i="7"/>
  <c r="BK48" i="7"/>
  <c r="BJ48" i="7"/>
  <c r="BI48" i="7"/>
  <c r="BH48" i="7"/>
  <c r="BG48" i="7"/>
  <c r="BF48" i="7"/>
  <c r="BE48" i="7"/>
  <c r="BD48" i="7"/>
  <c r="BC48" i="7"/>
  <c r="BB48" i="7"/>
  <c r="BA48" i="7"/>
  <c r="AZ48" i="7"/>
  <c r="AY48" i="7"/>
  <c r="AX48" i="7"/>
  <c r="AW48" i="7"/>
  <c r="AV48" i="7"/>
  <c r="AU48" i="7"/>
  <c r="AT48" i="7"/>
  <c r="AS48" i="7"/>
  <c r="AR48" i="7"/>
  <c r="AQ48" i="7"/>
  <c r="AP48" i="7"/>
  <c r="AO48" i="7"/>
  <c r="AN48" i="7"/>
  <c r="AM48" i="7"/>
  <c r="AL48" i="7"/>
  <c r="AK48" i="7"/>
  <c r="AJ48" i="7"/>
  <c r="AI48" i="7"/>
  <c r="AH48" i="7"/>
  <c r="AG48" i="7"/>
  <c r="AF48" i="7"/>
  <c r="AE48" i="7"/>
  <c r="AD48" i="7"/>
  <c r="AC48" i="7"/>
  <c r="AB48" i="7"/>
  <c r="AA48" i="7"/>
  <c r="Z48" i="7"/>
  <c r="Y48" i="7"/>
  <c r="X48" i="7"/>
  <c r="W48" i="7"/>
  <c r="V48" i="7"/>
  <c r="U48" i="7"/>
  <c r="T48" i="7"/>
  <c r="S48" i="7"/>
  <c r="R48" i="7"/>
  <c r="Q48" i="7"/>
  <c r="P48" i="7"/>
  <c r="O48" i="7"/>
  <c r="N48" i="7"/>
  <c r="M48" i="7"/>
  <c r="L48" i="7"/>
  <c r="K48" i="7"/>
  <c r="J48" i="7"/>
  <c r="I48" i="7"/>
  <c r="H48" i="7"/>
  <c r="G48" i="7"/>
  <c r="F48" i="7"/>
  <c r="E48" i="7"/>
  <c r="D48" i="7"/>
  <c r="C48" i="7"/>
  <c r="B48" i="7"/>
  <c r="A48" i="7"/>
  <c r="FO47" i="7"/>
  <c r="FN47" i="7"/>
  <c r="FM47" i="7"/>
  <c r="FL47" i="7"/>
  <c r="FK47" i="7"/>
  <c r="FJ47" i="7"/>
  <c r="FI47" i="7"/>
  <c r="FH47" i="7"/>
  <c r="FG47" i="7"/>
  <c r="FF47" i="7"/>
  <c r="FE47" i="7"/>
  <c r="FD47" i="7"/>
  <c r="FC47" i="7"/>
  <c r="FB47" i="7"/>
  <c r="FA47" i="7"/>
  <c r="EZ47" i="7"/>
  <c r="EY47" i="7"/>
  <c r="EX47" i="7"/>
  <c r="EW47" i="7"/>
  <c r="EV47" i="7"/>
  <c r="EU47" i="7"/>
  <c r="ET47" i="7"/>
  <c r="ES47" i="7"/>
  <c r="ER47" i="7"/>
  <c r="EQ47" i="7"/>
  <c r="EP47" i="7"/>
  <c r="EO47" i="7"/>
  <c r="EN47" i="7"/>
  <c r="EM47" i="7"/>
  <c r="EL47" i="7"/>
  <c r="EK47" i="7"/>
  <c r="EJ47" i="7"/>
  <c r="EI47" i="7"/>
  <c r="EH47" i="7"/>
  <c r="EG47" i="7"/>
  <c r="EF47" i="7"/>
  <c r="EE47" i="7"/>
  <c r="ED47" i="7"/>
  <c r="EC47" i="7"/>
  <c r="EB47" i="7"/>
  <c r="EA47" i="7"/>
  <c r="DZ47" i="7"/>
  <c r="DY47" i="7"/>
  <c r="DX47" i="7"/>
  <c r="DW47" i="7"/>
  <c r="DV47" i="7"/>
  <c r="DU47" i="7"/>
  <c r="DT47" i="7"/>
  <c r="DS47" i="7"/>
  <c r="DR47" i="7"/>
  <c r="DQ47" i="7"/>
  <c r="DP47" i="7"/>
  <c r="DO47" i="7"/>
  <c r="DN47" i="7"/>
  <c r="DM47" i="7"/>
  <c r="DL47" i="7"/>
  <c r="DK47" i="7"/>
  <c r="DJ47" i="7"/>
  <c r="DI47" i="7"/>
  <c r="DH47" i="7"/>
  <c r="DG47" i="7"/>
  <c r="DF47" i="7"/>
  <c r="DE47" i="7"/>
  <c r="DD47" i="7"/>
  <c r="DC47" i="7"/>
  <c r="DB47" i="7"/>
  <c r="DA47" i="7"/>
  <c r="CZ47" i="7"/>
  <c r="CY47" i="7"/>
  <c r="CX47" i="7"/>
  <c r="CW47" i="7"/>
  <c r="CV47" i="7"/>
  <c r="CU47" i="7"/>
  <c r="CT47" i="7"/>
  <c r="CS47" i="7"/>
  <c r="CR47" i="7"/>
  <c r="CQ47" i="7"/>
  <c r="CP47" i="7"/>
  <c r="CO47" i="7"/>
  <c r="CN47" i="7"/>
  <c r="CM47" i="7"/>
  <c r="CL47" i="7"/>
  <c r="CK47" i="7"/>
  <c r="CJ47" i="7"/>
  <c r="CI47" i="7"/>
  <c r="CH47" i="7"/>
  <c r="CG47" i="7"/>
  <c r="CF47" i="7"/>
  <c r="CE47" i="7"/>
  <c r="CD47" i="7"/>
  <c r="CC47" i="7"/>
  <c r="CB47" i="7"/>
  <c r="CA47" i="7"/>
  <c r="BZ47" i="7"/>
  <c r="BY47" i="7"/>
  <c r="BX47" i="7"/>
  <c r="BW47" i="7"/>
  <c r="BV47" i="7"/>
  <c r="BU47" i="7"/>
  <c r="BT47" i="7"/>
  <c r="BS47" i="7"/>
  <c r="BR47" i="7"/>
  <c r="BQ47" i="7"/>
  <c r="BP47" i="7"/>
  <c r="BO47" i="7"/>
  <c r="BN47" i="7"/>
  <c r="BM47" i="7"/>
  <c r="BL47" i="7"/>
  <c r="BK47" i="7"/>
  <c r="BJ47" i="7"/>
  <c r="BI47" i="7"/>
  <c r="BH47" i="7"/>
  <c r="BG47" i="7"/>
  <c r="BF47" i="7"/>
  <c r="BE47" i="7"/>
  <c r="BD47" i="7"/>
  <c r="BC47" i="7"/>
  <c r="BB47" i="7"/>
  <c r="BA47" i="7"/>
  <c r="AZ47" i="7"/>
  <c r="AY47" i="7"/>
  <c r="AX47" i="7"/>
  <c r="AW47" i="7"/>
  <c r="AV47" i="7"/>
  <c r="AU47" i="7"/>
  <c r="AT47" i="7"/>
  <c r="AS47" i="7"/>
  <c r="AR47" i="7"/>
  <c r="AQ47" i="7"/>
  <c r="AP47" i="7"/>
  <c r="AO47" i="7"/>
  <c r="AN47" i="7"/>
  <c r="AM47" i="7"/>
  <c r="AL47" i="7"/>
  <c r="AK47" i="7"/>
  <c r="AJ47" i="7"/>
  <c r="AI47" i="7"/>
  <c r="AH47" i="7"/>
  <c r="AG47" i="7"/>
  <c r="AF47" i="7"/>
  <c r="AE47" i="7"/>
  <c r="AD47" i="7"/>
  <c r="AC47" i="7"/>
  <c r="AB47" i="7"/>
  <c r="AA47" i="7"/>
  <c r="Z47" i="7"/>
  <c r="Y47" i="7"/>
  <c r="X47" i="7"/>
  <c r="W47" i="7"/>
  <c r="V47" i="7"/>
  <c r="U47" i="7"/>
  <c r="T47" i="7"/>
  <c r="S47" i="7"/>
  <c r="R47" i="7"/>
  <c r="Q47" i="7"/>
  <c r="P47" i="7"/>
  <c r="O47" i="7"/>
  <c r="N47" i="7"/>
  <c r="M47" i="7"/>
  <c r="L47" i="7"/>
  <c r="K47" i="7"/>
  <c r="J47" i="7"/>
  <c r="I47" i="7"/>
  <c r="H47" i="7"/>
  <c r="G47" i="7"/>
  <c r="F47" i="7"/>
  <c r="E47" i="7"/>
  <c r="D47" i="7"/>
  <c r="C47" i="7"/>
  <c r="B47" i="7"/>
  <c r="A47" i="7"/>
  <c r="FO46" i="7"/>
  <c r="FN46" i="7"/>
  <c r="FM46" i="7"/>
  <c r="FL46" i="7"/>
  <c r="FK46" i="7"/>
  <c r="FJ46" i="7"/>
  <c r="FI46" i="7"/>
  <c r="FH46" i="7"/>
  <c r="FG46" i="7"/>
  <c r="FF46" i="7"/>
  <c r="FE46" i="7"/>
  <c r="FD46" i="7"/>
  <c r="FC46" i="7"/>
  <c r="FB46" i="7"/>
  <c r="FA46" i="7"/>
  <c r="EZ46" i="7"/>
  <c r="EY46" i="7"/>
  <c r="EX46" i="7"/>
  <c r="EW46" i="7"/>
  <c r="EV46" i="7"/>
  <c r="EU46" i="7"/>
  <c r="ET46" i="7"/>
  <c r="ES46" i="7"/>
  <c r="ER46" i="7"/>
  <c r="EQ46" i="7"/>
  <c r="EP46" i="7"/>
  <c r="EO46" i="7"/>
  <c r="EN46" i="7"/>
  <c r="EM46" i="7"/>
  <c r="EL46" i="7"/>
  <c r="EK46" i="7"/>
  <c r="EJ46" i="7"/>
  <c r="EI46" i="7"/>
  <c r="EH46" i="7"/>
  <c r="EG46" i="7"/>
  <c r="EF46" i="7"/>
  <c r="EE46" i="7"/>
  <c r="ED46" i="7"/>
  <c r="EC46" i="7"/>
  <c r="EB46" i="7"/>
  <c r="EA46" i="7"/>
  <c r="DZ46" i="7"/>
  <c r="DY46" i="7"/>
  <c r="DX46" i="7"/>
  <c r="DW46" i="7"/>
  <c r="DV46" i="7"/>
  <c r="DU46" i="7"/>
  <c r="DT46" i="7"/>
  <c r="DS46" i="7"/>
  <c r="DR46" i="7"/>
  <c r="DQ46" i="7"/>
  <c r="DP46" i="7"/>
  <c r="DO46" i="7"/>
  <c r="DN46" i="7"/>
  <c r="DM46" i="7"/>
  <c r="DL46" i="7"/>
  <c r="DK46" i="7"/>
  <c r="DJ46" i="7"/>
  <c r="DI46" i="7"/>
  <c r="DH46" i="7"/>
  <c r="DG46" i="7"/>
  <c r="DF46" i="7"/>
  <c r="DE46" i="7"/>
  <c r="DD46" i="7"/>
  <c r="DC46" i="7"/>
  <c r="DB46" i="7"/>
  <c r="DA46" i="7"/>
  <c r="CZ46" i="7"/>
  <c r="CY46" i="7"/>
  <c r="CX46" i="7"/>
  <c r="CW46" i="7"/>
  <c r="CV46" i="7"/>
  <c r="CU46" i="7"/>
  <c r="CT46" i="7"/>
  <c r="CS46" i="7"/>
  <c r="CR46" i="7"/>
  <c r="CQ46" i="7"/>
  <c r="CP46" i="7"/>
  <c r="CO46" i="7"/>
  <c r="CN46" i="7"/>
  <c r="CM46" i="7"/>
  <c r="CL46" i="7"/>
  <c r="CK46" i="7"/>
  <c r="CJ46" i="7"/>
  <c r="CI46" i="7"/>
  <c r="CH46" i="7"/>
  <c r="CG46" i="7"/>
  <c r="CF46" i="7"/>
  <c r="CE46" i="7"/>
  <c r="CD46" i="7"/>
  <c r="CC46" i="7"/>
  <c r="CB46" i="7"/>
  <c r="CA46" i="7"/>
  <c r="BZ46" i="7"/>
  <c r="BY46" i="7"/>
  <c r="BX46" i="7"/>
  <c r="BW46" i="7"/>
  <c r="BV46" i="7"/>
  <c r="BU46" i="7"/>
  <c r="BT46" i="7"/>
  <c r="BS46" i="7"/>
  <c r="BR46" i="7"/>
  <c r="BQ46" i="7"/>
  <c r="BP46" i="7"/>
  <c r="BO46" i="7"/>
  <c r="BN46" i="7"/>
  <c r="BM46" i="7"/>
  <c r="BL46" i="7"/>
  <c r="BK46" i="7"/>
  <c r="BJ46" i="7"/>
  <c r="BI46" i="7"/>
  <c r="BH46" i="7"/>
  <c r="BG46" i="7"/>
  <c r="BF46" i="7"/>
  <c r="BE46" i="7"/>
  <c r="BD46" i="7"/>
  <c r="BC46" i="7"/>
  <c r="BB46" i="7"/>
  <c r="BA46" i="7"/>
  <c r="AZ46" i="7"/>
  <c r="AY46" i="7"/>
  <c r="AX46" i="7"/>
  <c r="AW46" i="7"/>
  <c r="AV46" i="7"/>
  <c r="AU46" i="7"/>
  <c r="AT46" i="7"/>
  <c r="AS46" i="7"/>
  <c r="AR46" i="7"/>
  <c r="AQ46" i="7"/>
  <c r="AP46" i="7"/>
  <c r="AO46" i="7"/>
  <c r="AN46" i="7"/>
  <c r="AM46" i="7"/>
  <c r="AL46" i="7"/>
  <c r="AK46" i="7"/>
  <c r="AJ46" i="7"/>
  <c r="AI46" i="7"/>
  <c r="AH46" i="7"/>
  <c r="AG46" i="7"/>
  <c r="AF46" i="7"/>
  <c r="AE46" i="7"/>
  <c r="AD46" i="7"/>
  <c r="AC46" i="7"/>
  <c r="AB46" i="7"/>
  <c r="AA46" i="7"/>
  <c r="Z46" i="7"/>
  <c r="Y46" i="7"/>
  <c r="X46" i="7"/>
  <c r="W46" i="7"/>
  <c r="V46" i="7"/>
  <c r="U46" i="7"/>
  <c r="T46" i="7"/>
  <c r="S46" i="7"/>
  <c r="R46" i="7"/>
  <c r="Q46" i="7"/>
  <c r="P46" i="7"/>
  <c r="O46" i="7"/>
  <c r="N46" i="7"/>
  <c r="M46" i="7"/>
  <c r="L46" i="7"/>
  <c r="K46" i="7"/>
  <c r="J46" i="7"/>
  <c r="I46" i="7"/>
  <c r="H46" i="7"/>
  <c r="G46" i="7"/>
  <c r="F46" i="7"/>
  <c r="E46" i="7"/>
  <c r="D46" i="7"/>
  <c r="C46" i="7"/>
  <c r="B46" i="7"/>
  <c r="A46" i="7"/>
  <c r="FO45" i="7"/>
  <c r="FN45" i="7"/>
  <c r="FM45" i="7"/>
  <c r="FL45" i="7"/>
  <c r="FK45" i="7"/>
  <c r="FJ45" i="7"/>
  <c r="FI45" i="7"/>
  <c r="FH45" i="7"/>
  <c r="FG45" i="7"/>
  <c r="FF45" i="7"/>
  <c r="FE45" i="7"/>
  <c r="FD45" i="7"/>
  <c r="FC45" i="7"/>
  <c r="FB45" i="7"/>
  <c r="FA45" i="7"/>
  <c r="EZ45" i="7"/>
  <c r="EY45" i="7"/>
  <c r="EX45" i="7"/>
  <c r="EW45" i="7"/>
  <c r="EV45" i="7"/>
  <c r="EU45" i="7"/>
  <c r="ET45" i="7"/>
  <c r="ES45" i="7"/>
  <c r="ER45" i="7"/>
  <c r="EQ45" i="7"/>
  <c r="EP45" i="7"/>
  <c r="EO45" i="7"/>
  <c r="EN45" i="7"/>
  <c r="EM45" i="7"/>
  <c r="EL45" i="7"/>
  <c r="EK45" i="7"/>
  <c r="EJ45" i="7"/>
  <c r="EI45" i="7"/>
  <c r="EH45" i="7"/>
  <c r="EG45" i="7"/>
  <c r="EF45" i="7"/>
  <c r="EE45" i="7"/>
  <c r="ED45" i="7"/>
  <c r="EC45" i="7"/>
  <c r="EB45" i="7"/>
  <c r="EA45" i="7"/>
  <c r="DZ45" i="7"/>
  <c r="DY45" i="7"/>
  <c r="DX45" i="7"/>
  <c r="DW45" i="7"/>
  <c r="DV45" i="7"/>
  <c r="DU45" i="7"/>
  <c r="DT45" i="7"/>
  <c r="DS45" i="7"/>
  <c r="DR45" i="7"/>
  <c r="DQ45" i="7"/>
  <c r="DP45" i="7"/>
  <c r="DO45" i="7"/>
  <c r="DN45" i="7"/>
  <c r="DM45" i="7"/>
  <c r="DL45" i="7"/>
  <c r="DK45" i="7"/>
  <c r="DJ45" i="7"/>
  <c r="DI45" i="7"/>
  <c r="DH45" i="7"/>
  <c r="DG45" i="7"/>
  <c r="DF45" i="7"/>
  <c r="DE45" i="7"/>
  <c r="DD45" i="7"/>
  <c r="DC45" i="7"/>
  <c r="DB45" i="7"/>
  <c r="DA45" i="7"/>
  <c r="CZ45" i="7"/>
  <c r="CY45" i="7"/>
  <c r="CX45" i="7"/>
  <c r="CW45" i="7"/>
  <c r="CV45" i="7"/>
  <c r="CU45" i="7"/>
  <c r="CT45" i="7"/>
  <c r="CS45" i="7"/>
  <c r="CR45" i="7"/>
  <c r="CQ45" i="7"/>
  <c r="CP45" i="7"/>
  <c r="CO45" i="7"/>
  <c r="CN45" i="7"/>
  <c r="CM45" i="7"/>
  <c r="CL45" i="7"/>
  <c r="CK45" i="7"/>
  <c r="CJ45" i="7"/>
  <c r="CI45" i="7"/>
  <c r="CH45" i="7"/>
  <c r="CG45" i="7"/>
  <c r="CF45" i="7"/>
  <c r="CE45" i="7"/>
  <c r="CD45" i="7"/>
  <c r="CC45" i="7"/>
  <c r="CB45" i="7"/>
  <c r="CA45" i="7"/>
  <c r="BZ45" i="7"/>
  <c r="BY45" i="7"/>
  <c r="BX45" i="7"/>
  <c r="BW45" i="7"/>
  <c r="BV45" i="7"/>
  <c r="BU45" i="7"/>
  <c r="BT45" i="7"/>
  <c r="BS45" i="7"/>
  <c r="BR45" i="7"/>
  <c r="BQ45" i="7"/>
  <c r="BP45" i="7"/>
  <c r="BO45" i="7"/>
  <c r="BN45" i="7"/>
  <c r="BM45" i="7"/>
  <c r="BL45" i="7"/>
  <c r="BK45" i="7"/>
  <c r="BJ45" i="7"/>
  <c r="BI45" i="7"/>
  <c r="BH45" i="7"/>
  <c r="BG45" i="7"/>
  <c r="BF45" i="7"/>
  <c r="BE45" i="7"/>
  <c r="BD45" i="7"/>
  <c r="BC45" i="7"/>
  <c r="BB45" i="7"/>
  <c r="BA45" i="7"/>
  <c r="AZ45" i="7"/>
  <c r="AY45" i="7"/>
  <c r="AX45" i="7"/>
  <c r="AW45" i="7"/>
  <c r="AV45" i="7"/>
  <c r="AU45" i="7"/>
  <c r="AT45" i="7"/>
  <c r="AS45" i="7"/>
  <c r="AR45" i="7"/>
  <c r="AQ45" i="7"/>
  <c r="AP45" i="7"/>
  <c r="AO45" i="7"/>
  <c r="AN45" i="7"/>
  <c r="AM45" i="7"/>
  <c r="AL45" i="7"/>
  <c r="AK45" i="7"/>
  <c r="AJ45" i="7"/>
  <c r="AI45" i="7"/>
  <c r="AH45" i="7"/>
  <c r="AG45" i="7"/>
  <c r="AF45" i="7"/>
  <c r="AE45" i="7"/>
  <c r="AD45" i="7"/>
  <c r="AC45" i="7"/>
  <c r="AB45" i="7"/>
  <c r="AA45" i="7"/>
  <c r="Z45" i="7"/>
  <c r="Y45" i="7"/>
  <c r="X45" i="7"/>
  <c r="W45" i="7"/>
  <c r="V45" i="7"/>
  <c r="U45" i="7"/>
  <c r="T45" i="7"/>
  <c r="S45" i="7"/>
  <c r="R45" i="7"/>
  <c r="Q45" i="7"/>
  <c r="P45" i="7"/>
  <c r="O45" i="7"/>
  <c r="N45" i="7"/>
  <c r="M45" i="7"/>
  <c r="L45" i="7"/>
  <c r="K45" i="7"/>
  <c r="J45" i="7"/>
  <c r="I45" i="7"/>
  <c r="H45" i="7"/>
  <c r="G45" i="7"/>
  <c r="F45" i="7"/>
  <c r="E45" i="7"/>
  <c r="D45" i="7"/>
  <c r="C45" i="7"/>
  <c r="B45" i="7"/>
  <c r="A45" i="7"/>
  <c r="FO44" i="7"/>
  <c r="FN44" i="7"/>
  <c r="FM44" i="7"/>
  <c r="FL44" i="7"/>
  <c r="FK44" i="7"/>
  <c r="FJ44" i="7"/>
  <c r="FI44" i="7"/>
  <c r="FH44" i="7"/>
  <c r="FG44" i="7"/>
  <c r="FF44" i="7"/>
  <c r="FE44" i="7"/>
  <c r="FD44" i="7"/>
  <c r="FC44" i="7"/>
  <c r="FB44" i="7"/>
  <c r="FA44" i="7"/>
  <c r="EZ44" i="7"/>
  <c r="EY44" i="7"/>
  <c r="EX44" i="7"/>
  <c r="EW44" i="7"/>
  <c r="EV44" i="7"/>
  <c r="EU44" i="7"/>
  <c r="ET44" i="7"/>
  <c r="ES44" i="7"/>
  <c r="ER44" i="7"/>
  <c r="EQ44" i="7"/>
  <c r="EP44" i="7"/>
  <c r="EO44" i="7"/>
  <c r="EN44" i="7"/>
  <c r="EM44" i="7"/>
  <c r="EL44" i="7"/>
  <c r="EK44" i="7"/>
  <c r="EJ44" i="7"/>
  <c r="EI44" i="7"/>
  <c r="EH44" i="7"/>
  <c r="EG44" i="7"/>
  <c r="EF44" i="7"/>
  <c r="EE44" i="7"/>
  <c r="ED44" i="7"/>
  <c r="EC44" i="7"/>
  <c r="EB44" i="7"/>
  <c r="EA44" i="7"/>
  <c r="DZ44" i="7"/>
  <c r="DY44" i="7"/>
  <c r="DX44" i="7"/>
  <c r="DW44" i="7"/>
  <c r="DV44" i="7"/>
  <c r="DU44" i="7"/>
  <c r="DT44" i="7"/>
  <c r="DS44" i="7"/>
  <c r="DR44" i="7"/>
  <c r="DQ44" i="7"/>
  <c r="DP44" i="7"/>
  <c r="DO44" i="7"/>
  <c r="DN44" i="7"/>
  <c r="DM44" i="7"/>
  <c r="DL44" i="7"/>
  <c r="DK44" i="7"/>
  <c r="DJ44" i="7"/>
  <c r="DI44" i="7"/>
  <c r="DH44" i="7"/>
  <c r="DG44" i="7"/>
  <c r="DF44" i="7"/>
  <c r="DE44" i="7"/>
  <c r="DD44" i="7"/>
  <c r="DC44" i="7"/>
  <c r="DB44" i="7"/>
  <c r="DA44" i="7"/>
  <c r="CZ44" i="7"/>
  <c r="CY44" i="7"/>
  <c r="CX44" i="7"/>
  <c r="CW44" i="7"/>
  <c r="CV44" i="7"/>
  <c r="CU44" i="7"/>
  <c r="CT44" i="7"/>
  <c r="CS44" i="7"/>
  <c r="CR44" i="7"/>
  <c r="CQ44" i="7"/>
  <c r="CP44" i="7"/>
  <c r="CO44" i="7"/>
  <c r="CN44" i="7"/>
  <c r="CM44" i="7"/>
  <c r="CL44" i="7"/>
  <c r="CK44" i="7"/>
  <c r="CJ44" i="7"/>
  <c r="CI44" i="7"/>
  <c r="CH44" i="7"/>
  <c r="CG44" i="7"/>
  <c r="CF44" i="7"/>
  <c r="CE44" i="7"/>
  <c r="CD44" i="7"/>
  <c r="CC44" i="7"/>
  <c r="CB44" i="7"/>
  <c r="CA44" i="7"/>
  <c r="BZ44" i="7"/>
  <c r="BY44" i="7"/>
  <c r="BX44" i="7"/>
  <c r="BW44" i="7"/>
  <c r="BV44" i="7"/>
  <c r="BU44" i="7"/>
  <c r="BT44" i="7"/>
  <c r="BS44" i="7"/>
  <c r="BR44" i="7"/>
  <c r="BQ44" i="7"/>
  <c r="BP44" i="7"/>
  <c r="BO44" i="7"/>
  <c r="BN44" i="7"/>
  <c r="BM44" i="7"/>
  <c r="BL44" i="7"/>
  <c r="BK44" i="7"/>
  <c r="BJ44" i="7"/>
  <c r="BI44" i="7"/>
  <c r="BH44" i="7"/>
  <c r="BG44" i="7"/>
  <c r="BF44" i="7"/>
  <c r="BE44" i="7"/>
  <c r="BD44" i="7"/>
  <c r="BC44" i="7"/>
  <c r="BB44" i="7"/>
  <c r="BA44" i="7"/>
  <c r="AZ44" i="7"/>
  <c r="AY44" i="7"/>
  <c r="AX44" i="7"/>
  <c r="AW44" i="7"/>
  <c r="AV44" i="7"/>
  <c r="AU44" i="7"/>
  <c r="AT44" i="7"/>
  <c r="AS44" i="7"/>
  <c r="AR44" i="7"/>
  <c r="AQ44" i="7"/>
  <c r="AP44" i="7"/>
  <c r="AO44" i="7"/>
  <c r="AN44" i="7"/>
  <c r="AM44" i="7"/>
  <c r="AL44" i="7"/>
  <c r="AK44" i="7"/>
  <c r="AJ44" i="7"/>
  <c r="AI44" i="7"/>
  <c r="AH44" i="7"/>
  <c r="AG44" i="7"/>
  <c r="AF44" i="7"/>
  <c r="AE44" i="7"/>
  <c r="AD44" i="7"/>
  <c r="AC44" i="7"/>
  <c r="AB44" i="7"/>
  <c r="AA44" i="7"/>
  <c r="Z44" i="7"/>
  <c r="Y44" i="7"/>
  <c r="X44" i="7"/>
  <c r="W44" i="7"/>
  <c r="V44" i="7"/>
  <c r="U44" i="7"/>
  <c r="T44" i="7"/>
  <c r="S44" i="7"/>
  <c r="R44" i="7"/>
  <c r="Q44" i="7"/>
  <c r="P44" i="7"/>
  <c r="O44" i="7"/>
  <c r="N44" i="7"/>
  <c r="M44" i="7"/>
  <c r="L44" i="7"/>
  <c r="K44" i="7"/>
  <c r="J44" i="7"/>
  <c r="I44" i="7"/>
  <c r="H44" i="7"/>
  <c r="G44" i="7"/>
  <c r="F44" i="7"/>
  <c r="E44" i="7"/>
  <c r="D44" i="7"/>
  <c r="C44" i="7"/>
  <c r="B44" i="7"/>
  <c r="A44" i="7"/>
  <c r="FO43" i="7"/>
  <c r="FN43" i="7"/>
  <c r="FM43" i="7"/>
  <c r="FL43" i="7"/>
  <c r="FK43" i="7"/>
  <c r="FJ43" i="7"/>
  <c r="FI43" i="7"/>
  <c r="FH43" i="7"/>
  <c r="FG43" i="7"/>
  <c r="FF43" i="7"/>
  <c r="FE43" i="7"/>
  <c r="FD43" i="7"/>
  <c r="FC43" i="7"/>
  <c r="FB43" i="7"/>
  <c r="FA43" i="7"/>
  <c r="EZ43" i="7"/>
  <c r="EY43" i="7"/>
  <c r="EX43" i="7"/>
  <c r="EW43" i="7"/>
  <c r="EV43" i="7"/>
  <c r="EU43" i="7"/>
  <c r="ET43" i="7"/>
  <c r="ES43" i="7"/>
  <c r="ER43" i="7"/>
  <c r="EQ43" i="7"/>
  <c r="EP43" i="7"/>
  <c r="EO43" i="7"/>
  <c r="EN43" i="7"/>
  <c r="EM43" i="7"/>
  <c r="EL43" i="7"/>
  <c r="EK43" i="7"/>
  <c r="EJ43" i="7"/>
  <c r="EI43" i="7"/>
  <c r="EH43" i="7"/>
  <c r="EG43" i="7"/>
  <c r="EF43" i="7"/>
  <c r="EE43" i="7"/>
  <c r="ED43" i="7"/>
  <c r="EC43" i="7"/>
  <c r="EB43" i="7"/>
  <c r="EA43" i="7"/>
  <c r="DZ43" i="7"/>
  <c r="DY43" i="7"/>
  <c r="DX43" i="7"/>
  <c r="DW43" i="7"/>
  <c r="DV43" i="7"/>
  <c r="DU43" i="7"/>
  <c r="DT43" i="7"/>
  <c r="DS43" i="7"/>
  <c r="DR43" i="7"/>
  <c r="DQ43" i="7"/>
  <c r="DP43" i="7"/>
  <c r="DO43" i="7"/>
  <c r="DN43" i="7"/>
  <c r="DM43" i="7"/>
  <c r="DL43" i="7"/>
  <c r="DK43" i="7"/>
  <c r="DJ43" i="7"/>
  <c r="DI43" i="7"/>
  <c r="DH43" i="7"/>
  <c r="DG43" i="7"/>
  <c r="DF43" i="7"/>
  <c r="DE43" i="7"/>
  <c r="DD43" i="7"/>
  <c r="DC43" i="7"/>
  <c r="DB43" i="7"/>
  <c r="DA43" i="7"/>
  <c r="CZ43" i="7"/>
  <c r="CY43" i="7"/>
  <c r="CX43" i="7"/>
  <c r="CW43" i="7"/>
  <c r="CV43" i="7"/>
  <c r="CU43" i="7"/>
  <c r="CT43" i="7"/>
  <c r="CS43" i="7"/>
  <c r="CR43" i="7"/>
  <c r="CQ43" i="7"/>
  <c r="CP43" i="7"/>
  <c r="CO43" i="7"/>
  <c r="CN43" i="7"/>
  <c r="CM43" i="7"/>
  <c r="CL43" i="7"/>
  <c r="CK43" i="7"/>
  <c r="CJ43" i="7"/>
  <c r="CI43" i="7"/>
  <c r="CH43" i="7"/>
  <c r="CG43" i="7"/>
  <c r="CF43" i="7"/>
  <c r="CE43" i="7"/>
  <c r="CD43" i="7"/>
  <c r="CC43" i="7"/>
  <c r="CB43" i="7"/>
  <c r="CA43" i="7"/>
  <c r="BZ43" i="7"/>
  <c r="BY43" i="7"/>
  <c r="BX43" i="7"/>
  <c r="BW43" i="7"/>
  <c r="BV43" i="7"/>
  <c r="BU43" i="7"/>
  <c r="BT43" i="7"/>
  <c r="BS43" i="7"/>
  <c r="BR43" i="7"/>
  <c r="BQ43" i="7"/>
  <c r="BP43" i="7"/>
  <c r="BO43" i="7"/>
  <c r="BN43" i="7"/>
  <c r="BM43" i="7"/>
  <c r="BL43" i="7"/>
  <c r="BK43" i="7"/>
  <c r="BJ43" i="7"/>
  <c r="BI43" i="7"/>
  <c r="BH43" i="7"/>
  <c r="BG43" i="7"/>
  <c r="BF43" i="7"/>
  <c r="BE43" i="7"/>
  <c r="BD43" i="7"/>
  <c r="BC43" i="7"/>
  <c r="BB43" i="7"/>
  <c r="BA43" i="7"/>
  <c r="AZ43" i="7"/>
  <c r="AY43" i="7"/>
  <c r="AX43" i="7"/>
  <c r="AW43" i="7"/>
  <c r="AV43" i="7"/>
  <c r="AU43" i="7"/>
  <c r="AT43" i="7"/>
  <c r="AS43" i="7"/>
  <c r="AR43" i="7"/>
  <c r="AQ43" i="7"/>
  <c r="AP43" i="7"/>
  <c r="AO43" i="7"/>
  <c r="AN43" i="7"/>
  <c r="AM43" i="7"/>
  <c r="AL43" i="7"/>
  <c r="AK43" i="7"/>
  <c r="AJ43" i="7"/>
  <c r="AI43" i="7"/>
  <c r="AH43" i="7"/>
  <c r="AG43" i="7"/>
  <c r="AF43" i="7"/>
  <c r="AE43" i="7"/>
  <c r="AD43" i="7"/>
  <c r="AC43" i="7"/>
  <c r="AB43" i="7"/>
  <c r="AA43" i="7"/>
  <c r="Z43" i="7"/>
  <c r="Y43" i="7"/>
  <c r="X43" i="7"/>
  <c r="W43" i="7"/>
  <c r="V43" i="7"/>
  <c r="U43" i="7"/>
  <c r="T43" i="7"/>
  <c r="S43" i="7"/>
  <c r="R43" i="7"/>
  <c r="Q43" i="7"/>
  <c r="P43" i="7"/>
  <c r="O43" i="7"/>
  <c r="N43" i="7"/>
  <c r="M43" i="7"/>
  <c r="L43" i="7"/>
  <c r="K43" i="7"/>
  <c r="J43" i="7"/>
  <c r="I43" i="7"/>
  <c r="H43" i="7"/>
  <c r="G43" i="7"/>
  <c r="F43" i="7"/>
  <c r="E43" i="7"/>
  <c r="D43" i="7"/>
  <c r="C43" i="7"/>
  <c r="B43" i="7"/>
  <c r="A43" i="7"/>
  <c r="FO42" i="7"/>
  <c r="FN42" i="7"/>
  <c r="FM42" i="7"/>
  <c r="FL42" i="7"/>
  <c r="FK42" i="7"/>
  <c r="FJ42" i="7"/>
  <c r="FI42" i="7"/>
  <c r="FH42" i="7"/>
  <c r="FG42" i="7"/>
  <c r="FF42" i="7"/>
  <c r="FE42" i="7"/>
  <c r="FD42" i="7"/>
  <c r="FC42" i="7"/>
  <c r="FB42" i="7"/>
  <c r="FA42" i="7"/>
  <c r="EZ42" i="7"/>
  <c r="EY42" i="7"/>
  <c r="EX42" i="7"/>
  <c r="EW42" i="7"/>
  <c r="EV42" i="7"/>
  <c r="EU42" i="7"/>
  <c r="ET42" i="7"/>
  <c r="ES42" i="7"/>
  <c r="ER42" i="7"/>
  <c r="EQ42" i="7"/>
  <c r="EP42" i="7"/>
  <c r="EO42" i="7"/>
  <c r="EN42" i="7"/>
  <c r="EM42" i="7"/>
  <c r="EL42" i="7"/>
  <c r="EK42" i="7"/>
  <c r="EJ42" i="7"/>
  <c r="EI42" i="7"/>
  <c r="EH42" i="7"/>
  <c r="EG42" i="7"/>
  <c r="EF42" i="7"/>
  <c r="EE42" i="7"/>
  <c r="ED42" i="7"/>
  <c r="EC42" i="7"/>
  <c r="EB42" i="7"/>
  <c r="EA42" i="7"/>
  <c r="DZ42" i="7"/>
  <c r="DY42" i="7"/>
  <c r="DX42" i="7"/>
  <c r="DW42" i="7"/>
  <c r="DV42" i="7"/>
  <c r="DU42" i="7"/>
  <c r="DT42" i="7"/>
  <c r="DS42" i="7"/>
  <c r="DR42" i="7"/>
  <c r="DQ42" i="7"/>
  <c r="DP42" i="7"/>
  <c r="DO42" i="7"/>
  <c r="DN42" i="7"/>
  <c r="DM42" i="7"/>
  <c r="DL42" i="7"/>
  <c r="DK42" i="7"/>
  <c r="DJ42" i="7"/>
  <c r="DI42" i="7"/>
  <c r="DH42" i="7"/>
  <c r="DG42" i="7"/>
  <c r="DF42" i="7"/>
  <c r="DE42" i="7"/>
  <c r="DD42" i="7"/>
  <c r="DC42" i="7"/>
  <c r="DB42" i="7"/>
  <c r="DA42" i="7"/>
  <c r="CZ42" i="7"/>
  <c r="CY42" i="7"/>
  <c r="CX42" i="7"/>
  <c r="CW42" i="7"/>
  <c r="CV42" i="7"/>
  <c r="CU42" i="7"/>
  <c r="CT42" i="7"/>
  <c r="CS42" i="7"/>
  <c r="CR42" i="7"/>
  <c r="CQ42" i="7"/>
  <c r="CP42" i="7"/>
  <c r="CO42" i="7"/>
  <c r="CN42" i="7"/>
  <c r="CM42" i="7"/>
  <c r="CL42" i="7"/>
  <c r="CK42" i="7"/>
  <c r="CJ42" i="7"/>
  <c r="CI42" i="7"/>
  <c r="CH42" i="7"/>
  <c r="CG42" i="7"/>
  <c r="CF42" i="7"/>
  <c r="CE42" i="7"/>
  <c r="CD42" i="7"/>
  <c r="CC42" i="7"/>
  <c r="CB42" i="7"/>
  <c r="CA42" i="7"/>
  <c r="BZ42" i="7"/>
  <c r="BY42" i="7"/>
  <c r="BX42" i="7"/>
  <c r="BW42" i="7"/>
  <c r="BV42" i="7"/>
  <c r="BU42" i="7"/>
  <c r="BT42" i="7"/>
  <c r="BS42" i="7"/>
  <c r="BR42" i="7"/>
  <c r="BQ42" i="7"/>
  <c r="BP42" i="7"/>
  <c r="BO42" i="7"/>
  <c r="BN42" i="7"/>
  <c r="BM42" i="7"/>
  <c r="BL42" i="7"/>
  <c r="BK42" i="7"/>
  <c r="BJ42" i="7"/>
  <c r="BI42" i="7"/>
  <c r="BH42" i="7"/>
  <c r="BG42" i="7"/>
  <c r="BF42" i="7"/>
  <c r="BE42" i="7"/>
  <c r="BD42" i="7"/>
  <c r="BC42" i="7"/>
  <c r="BB42" i="7"/>
  <c r="BA42" i="7"/>
  <c r="AZ42" i="7"/>
  <c r="AY42" i="7"/>
  <c r="AX42" i="7"/>
  <c r="AW42" i="7"/>
  <c r="AV42" i="7"/>
  <c r="AU42" i="7"/>
  <c r="AT42" i="7"/>
  <c r="AS42" i="7"/>
  <c r="AR42" i="7"/>
  <c r="AQ42" i="7"/>
  <c r="AP42" i="7"/>
  <c r="AO42" i="7"/>
  <c r="AN42" i="7"/>
  <c r="AM42" i="7"/>
  <c r="AL42" i="7"/>
  <c r="AK42" i="7"/>
  <c r="AJ42" i="7"/>
  <c r="AI42" i="7"/>
  <c r="AH42" i="7"/>
  <c r="AG42" i="7"/>
  <c r="AF42" i="7"/>
  <c r="AE42" i="7"/>
  <c r="AD42" i="7"/>
  <c r="AC42" i="7"/>
  <c r="AB42" i="7"/>
  <c r="AA42" i="7"/>
  <c r="Z42" i="7"/>
  <c r="Y42" i="7"/>
  <c r="X42" i="7"/>
  <c r="W42" i="7"/>
  <c r="V42" i="7"/>
  <c r="U42" i="7"/>
  <c r="T42" i="7"/>
  <c r="S42" i="7"/>
  <c r="R42" i="7"/>
  <c r="Q42" i="7"/>
  <c r="P42" i="7"/>
  <c r="O42" i="7"/>
  <c r="N42" i="7"/>
  <c r="M42" i="7"/>
  <c r="L42" i="7"/>
  <c r="K42" i="7"/>
  <c r="J42" i="7"/>
  <c r="I42" i="7"/>
  <c r="H42" i="7"/>
  <c r="G42" i="7"/>
  <c r="F42" i="7"/>
  <c r="E42" i="7"/>
  <c r="D42" i="7"/>
  <c r="C42" i="7"/>
  <c r="B42" i="7"/>
  <c r="A42" i="7"/>
  <c r="FO41" i="7"/>
  <c r="FN41" i="7"/>
  <c r="FM41" i="7"/>
  <c r="FL41" i="7"/>
  <c r="FK41" i="7"/>
  <c r="FJ41" i="7"/>
  <c r="FI41" i="7"/>
  <c r="FH41" i="7"/>
  <c r="FG41" i="7"/>
  <c r="FF41" i="7"/>
  <c r="FE41" i="7"/>
  <c r="FD41" i="7"/>
  <c r="FC41" i="7"/>
  <c r="FB41" i="7"/>
  <c r="FA41" i="7"/>
  <c r="EZ41" i="7"/>
  <c r="EY41" i="7"/>
  <c r="EX41" i="7"/>
  <c r="EW41" i="7"/>
  <c r="EV41" i="7"/>
  <c r="EU41" i="7"/>
  <c r="ET41" i="7"/>
  <c r="ES41" i="7"/>
  <c r="ER41" i="7"/>
  <c r="EQ41" i="7"/>
  <c r="EP41" i="7"/>
  <c r="EO41" i="7"/>
  <c r="EN41" i="7"/>
  <c r="EM41" i="7"/>
  <c r="EL41" i="7"/>
  <c r="EK41" i="7"/>
  <c r="EJ41" i="7"/>
  <c r="EI41" i="7"/>
  <c r="EH41" i="7"/>
  <c r="EG41" i="7"/>
  <c r="EF41" i="7"/>
  <c r="EE41" i="7"/>
  <c r="ED41" i="7"/>
  <c r="EC41" i="7"/>
  <c r="EB41" i="7"/>
  <c r="EA41" i="7"/>
  <c r="DZ41" i="7"/>
  <c r="DY41" i="7"/>
  <c r="DX41" i="7"/>
  <c r="DW41" i="7"/>
  <c r="DV41" i="7"/>
  <c r="DU41" i="7"/>
  <c r="DT41" i="7"/>
  <c r="DR41" i="7"/>
  <c r="DQ41" i="7"/>
  <c r="DP41" i="7"/>
  <c r="DO41" i="7"/>
  <c r="DN41" i="7"/>
  <c r="DM41" i="7"/>
  <c r="DL41" i="7"/>
  <c r="DK41" i="7"/>
  <c r="DJ41" i="7"/>
  <c r="DI41" i="7"/>
  <c r="DH41" i="7"/>
  <c r="DG41" i="7"/>
  <c r="DF41" i="7"/>
  <c r="DE41" i="7"/>
  <c r="DD41" i="7"/>
  <c r="DC41" i="7"/>
  <c r="DB41" i="7"/>
  <c r="DA41" i="7"/>
  <c r="CZ41" i="7"/>
  <c r="CY41" i="7"/>
  <c r="CX41" i="7"/>
  <c r="CW41" i="7"/>
  <c r="CV41" i="7"/>
  <c r="CU41" i="7"/>
  <c r="CT41" i="7"/>
  <c r="CS41" i="7"/>
  <c r="CR41" i="7"/>
  <c r="CQ41" i="7"/>
  <c r="CP41" i="7"/>
  <c r="CO41" i="7"/>
  <c r="CN41" i="7"/>
  <c r="CM41" i="7"/>
  <c r="CL41" i="7"/>
  <c r="CK41" i="7"/>
  <c r="CJ41" i="7"/>
  <c r="CI41" i="7"/>
  <c r="CH41" i="7"/>
  <c r="CG41" i="7"/>
  <c r="CF41" i="7"/>
  <c r="CE41" i="7"/>
  <c r="CD41" i="7"/>
  <c r="CC41" i="7"/>
  <c r="CB41" i="7"/>
  <c r="CA41" i="7"/>
  <c r="BZ41" i="7"/>
  <c r="BY41" i="7"/>
  <c r="BX41" i="7"/>
  <c r="BW41" i="7"/>
  <c r="BV41" i="7"/>
  <c r="BU41" i="7"/>
  <c r="BT41" i="7"/>
  <c r="BS41" i="7"/>
  <c r="BR41" i="7"/>
  <c r="BQ41" i="7"/>
  <c r="BP41" i="7"/>
  <c r="BO41" i="7"/>
  <c r="BN41" i="7"/>
  <c r="BM41" i="7"/>
  <c r="BL41" i="7"/>
  <c r="BK41" i="7"/>
  <c r="BJ41" i="7"/>
  <c r="BI41" i="7"/>
  <c r="BH41" i="7"/>
  <c r="BG41" i="7"/>
  <c r="BF41" i="7"/>
  <c r="BE41" i="7"/>
  <c r="BD41" i="7"/>
  <c r="BC41" i="7"/>
  <c r="BB41" i="7"/>
  <c r="BA41" i="7"/>
  <c r="AZ41" i="7"/>
  <c r="AY41" i="7"/>
  <c r="AX41" i="7"/>
  <c r="AW41" i="7"/>
  <c r="AV41" i="7"/>
  <c r="AU41"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41" i="7"/>
  <c r="E41" i="7"/>
  <c r="D41" i="7"/>
  <c r="C41" i="7"/>
  <c r="B41" i="7"/>
  <c r="A41" i="7"/>
  <c r="FO40" i="7"/>
  <c r="FN40" i="7"/>
  <c r="FM40" i="7"/>
  <c r="FL40" i="7"/>
  <c r="FK40" i="7"/>
  <c r="FJ40" i="7"/>
  <c r="FI40" i="7"/>
  <c r="FH40" i="7"/>
  <c r="FG40" i="7"/>
  <c r="FF40" i="7"/>
  <c r="FE40" i="7"/>
  <c r="FD40" i="7"/>
  <c r="FC40" i="7"/>
  <c r="FB40" i="7"/>
  <c r="FA40" i="7"/>
  <c r="EZ40" i="7"/>
  <c r="EY40" i="7"/>
  <c r="EX40" i="7"/>
  <c r="EW40" i="7"/>
  <c r="EV40" i="7"/>
  <c r="EU40" i="7"/>
  <c r="ET40" i="7"/>
  <c r="ES40" i="7"/>
  <c r="ER40" i="7"/>
  <c r="EQ40" i="7"/>
  <c r="EP40" i="7"/>
  <c r="EO40" i="7"/>
  <c r="EN40" i="7"/>
  <c r="EM40" i="7"/>
  <c r="EL40" i="7"/>
  <c r="EK40" i="7"/>
  <c r="EJ40" i="7"/>
  <c r="EI40" i="7"/>
  <c r="EH40" i="7"/>
  <c r="EG40" i="7"/>
  <c r="EF40" i="7"/>
  <c r="EE40" i="7"/>
  <c r="ED40" i="7"/>
  <c r="EC40" i="7"/>
  <c r="EB40" i="7"/>
  <c r="EA40" i="7"/>
  <c r="DZ40" i="7"/>
  <c r="DY40" i="7"/>
  <c r="DX40" i="7"/>
  <c r="DW40" i="7"/>
  <c r="DV40" i="7"/>
  <c r="DU40" i="7"/>
  <c r="DT40" i="7"/>
  <c r="DS40" i="7"/>
  <c r="DR40" i="7"/>
  <c r="DQ40" i="7"/>
  <c r="DP40" i="7"/>
  <c r="DO40" i="7"/>
  <c r="DN40" i="7"/>
  <c r="DM40" i="7"/>
  <c r="DL40" i="7"/>
  <c r="DK40" i="7"/>
  <c r="DJ40" i="7"/>
  <c r="DI40" i="7"/>
  <c r="DH40" i="7"/>
  <c r="DG40" i="7"/>
  <c r="DF40" i="7"/>
  <c r="DE40" i="7"/>
  <c r="DD40" i="7"/>
  <c r="DC40" i="7"/>
  <c r="DB40" i="7"/>
  <c r="DA40" i="7"/>
  <c r="CZ40" i="7"/>
  <c r="CY40" i="7"/>
  <c r="CX40" i="7"/>
  <c r="CW40" i="7"/>
  <c r="CV40" i="7"/>
  <c r="CU40" i="7"/>
  <c r="CT40" i="7"/>
  <c r="CS40" i="7"/>
  <c r="CR40" i="7"/>
  <c r="CQ40" i="7"/>
  <c r="CP40" i="7"/>
  <c r="CO40" i="7"/>
  <c r="CN40" i="7"/>
  <c r="CM40" i="7"/>
  <c r="CL40" i="7"/>
  <c r="CK40" i="7"/>
  <c r="CJ40" i="7"/>
  <c r="CI40" i="7"/>
  <c r="CH40" i="7"/>
  <c r="CG40" i="7"/>
  <c r="CF40" i="7"/>
  <c r="CE40" i="7"/>
  <c r="CD40" i="7"/>
  <c r="CC40" i="7"/>
  <c r="CB40" i="7"/>
  <c r="CA40" i="7"/>
  <c r="BZ40" i="7"/>
  <c r="BY40" i="7"/>
  <c r="BX40" i="7"/>
  <c r="BW40" i="7"/>
  <c r="BV40" i="7"/>
  <c r="BU40" i="7"/>
  <c r="BT40" i="7"/>
  <c r="BS40" i="7"/>
  <c r="BR40" i="7"/>
  <c r="BQ40" i="7"/>
  <c r="BP40" i="7"/>
  <c r="BO40" i="7"/>
  <c r="BN40" i="7"/>
  <c r="BM40" i="7"/>
  <c r="BL40" i="7"/>
  <c r="BK40" i="7"/>
  <c r="BJ40" i="7"/>
  <c r="BI40" i="7"/>
  <c r="BH40" i="7"/>
  <c r="BG40" i="7"/>
  <c r="BF40" i="7"/>
  <c r="BE40" i="7"/>
  <c r="BD40" i="7"/>
  <c r="BC40" i="7"/>
  <c r="BB40" i="7"/>
  <c r="BA40" i="7"/>
  <c r="AZ40" i="7"/>
  <c r="AY40" i="7"/>
  <c r="AX40" i="7"/>
  <c r="AW40" i="7"/>
  <c r="AV40" i="7"/>
  <c r="AU40" i="7"/>
  <c r="AT40" i="7"/>
  <c r="AS40" i="7"/>
  <c r="AR40" i="7"/>
  <c r="AQ40" i="7"/>
  <c r="AP40" i="7"/>
  <c r="AO40" i="7"/>
  <c r="AN40" i="7"/>
  <c r="AM40" i="7"/>
  <c r="AL40"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H40" i="7"/>
  <c r="G40" i="7"/>
  <c r="F40" i="7"/>
  <c r="E40" i="7"/>
  <c r="D40" i="7"/>
  <c r="C40" i="7"/>
  <c r="B40" i="7"/>
  <c r="A40" i="7"/>
  <c r="EJ39" i="7"/>
  <c r="EI39" i="7"/>
  <c r="EH39" i="7"/>
  <c r="EG39" i="7"/>
  <c r="EF39" i="7"/>
  <c r="EE39" i="7"/>
  <c r="ED39" i="7"/>
  <c r="EC39" i="7"/>
  <c r="EB39" i="7"/>
  <c r="EA39" i="7"/>
  <c r="DZ39" i="7"/>
  <c r="DY39" i="7"/>
  <c r="DX39" i="7"/>
  <c r="DW39" i="7"/>
  <c r="DV39" i="7"/>
  <c r="DU39" i="7"/>
  <c r="DT39" i="7"/>
  <c r="DS39" i="7"/>
  <c r="DR39" i="7"/>
  <c r="DQ39" i="7"/>
  <c r="DP39" i="7"/>
  <c r="DO39" i="7"/>
  <c r="DN39" i="7"/>
  <c r="DM39" i="7"/>
  <c r="DL39" i="7"/>
  <c r="DK39" i="7"/>
  <c r="DJ39" i="7"/>
  <c r="DI39" i="7"/>
  <c r="DH39" i="7"/>
  <c r="DG39" i="7"/>
  <c r="DF39" i="7"/>
  <c r="DE39" i="7"/>
  <c r="DD39" i="7"/>
  <c r="DC39" i="7"/>
  <c r="DB39" i="7"/>
  <c r="DA39" i="7"/>
  <c r="CZ39" i="7"/>
  <c r="CY39" i="7"/>
  <c r="CX39" i="7"/>
  <c r="CW39" i="7"/>
  <c r="CV39" i="7"/>
  <c r="CU39" i="7"/>
  <c r="CT39" i="7"/>
  <c r="CS39" i="7"/>
  <c r="CR39" i="7"/>
  <c r="CQ39" i="7"/>
  <c r="CP39" i="7"/>
  <c r="CO39" i="7"/>
  <c r="CN39" i="7"/>
  <c r="CM39" i="7"/>
  <c r="CL39" i="7"/>
  <c r="CK39" i="7"/>
  <c r="CJ39" i="7"/>
  <c r="CI39" i="7"/>
  <c r="CH39" i="7"/>
  <c r="CG39" i="7"/>
  <c r="CF39" i="7"/>
  <c r="CE39" i="7"/>
  <c r="CD39" i="7"/>
  <c r="CC39" i="7"/>
  <c r="CB39" i="7"/>
  <c r="CA39" i="7"/>
  <c r="BZ39" i="7"/>
  <c r="BY39" i="7"/>
  <c r="BX39" i="7"/>
  <c r="BW39" i="7"/>
  <c r="BV39" i="7"/>
  <c r="BU39" i="7"/>
  <c r="BT39" i="7"/>
  <c r="BS39" i="7"/>
  <c r="BR39" i="7"/>
  <c r="BQ39" i="7"/>
  <c r="BP39" i="7"/>
  <c r="BO39" i="7"/>
  <c r="BN39" i="7"/>
  <c r="BM39" i="7"/>
  <c r="BL39" i="7"/>
  <c r="BK39" i="7"/>
  <c r="BJ39" i="7"/>
  <c r="BI39" i="7"/>
  <c r="BH39" i="7"/>
  <c r="BG39" i="7"/>
  <c r="BF39" i="7"/>
  <c r="BE39" i="7"/>
  <c r="BD39" i="7"/>
  <c r="BC39" i="7"/>
  <c r="BB39" i="7"/>
  <c r="BA39" i="7"/>
  <c r="AZ39" i="7"/>
  <c r="AY39" i="7"/>
  <c r="AX39" i="7"/>
  <c r="AW39" i="7"/>
  <c r="AV39" i="7"/>
  <c r="AU39"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B39" i="7"/>
  <c r="A39" i="7"/>
  <c r="DP38" i="7"/>
  <c r="DO38" i="7"/>
  <c r="DN38" i="7"/>
  <c r="DM38" i="7"/>
  <c r="DL38" i="7"/>
  <c r="DK38" i="7"/>
  <c r="DJ38" i="7"/>
  <c r="DI38" i="7"/>
  <c r="DH38" i="7"/>
  <c r="DG38" i="7"/>
  <c r="DF38" i="7"/>
  <c r="DE38" i="7"/>
  <c r="DD38" i="7"/>
  <c r="DC38" i="7"/>
  <c r="DB38" i="7"/>
  <c r="DA38" i="7"/>
  <c r="CZ38" i="7"/>
  <c r="CY38" i="7"/>
  <c r="CX38" i="7"/>
  <c r="CW38" i="7"/>
  <c r="CV38" i="7"/>
  <c r="CU38" i="7"/>
  <c r="CT38" i="7"/>
  <c r="CS38" i="7"/>
  <c r="CR38" i="7"/>
  <c r="CQ38" i="7"/>
  <c r="CP38" i="7"/>
  <c r="CO38" i="7"/>
  <c r="CN38" i="7"/>
  <c r="CM38" i="7"/>
  <c r="CL38" i="7"/>
  <c r="CK38" i="7"/>
  <c r="CJ38" i="7"/>
  <c r="CI38" i="7"/>
  <c r="CH38" i="7"/>
  <c r="CG38" i="7"/>
  <c r="CF38" i="7"/>
  <c r="CE38" i="7"/>
  <c r="CD38" i="7"/>
  <c r="CC38" i="7"/>
  <c r="CB38" i="7"/>
  <c r="CA38" i="7"/>
  <c r="BZ38" i="7"/>
  <c r="BY38" i="7"/>
  <c r="BX38" i="7"/>
  <c r="BW38" i="7"/>
  <c r="BV38" i="7"/>
  <c r="BU38" i="7"/>
  <c r="BT38" i="7"/>
  <c r="BS38" i="7"/>
  <c r="BR38" i="7"/>
  <c r="BQ38" i="7"/>
  <c r="BP38" i="7"/>
  <c r="BO38" i="7"/>
  <c r="BN38" i="7"/>
  <c r="BM38" i="7"/>
  <c r="BL38" i="7"/>
  <c r="BK38" i="7"/>
  <c r="BJ38" i="7"/>
  <c r="BI38" i="7"/>
  <c r="BH38" i="7"/>
  <c r="BG38" i="7"/>
  <c r="BF38" i="7"/>
  <c r="BE38" i="7"/>
  <c r="BD38" i="7"/>
  <c r="BC38" i="7"/>
  <c r="BB38" i="7"/>
  <c r="BA38" i="7"/>
  <c r="AZ38" i="7"/>
  <c r="AY38" i="7"/>
  <c r="AX38" i="7"/>
  <c r="AW38" i="7"/>
  <c r="AV38" i="7"/>
  <c r="AU38" i="7"/>
  <c r="AT38" i="7"/>
  <c r="AS38" i="7"/>
  <c r="AR38" i="7"/>
  <c r="AQ38" i="7"/>
  <c r="AP38" i="7"/>
  <c r="AO38" i="7"/>
  <c r="AN38" i="7"/>
  <c r="AM38" i="7"/>
  <c r="AL38" i="7"/>
  <c r="AK38" i="7"/>
  <c r="AJ38" i="7"/>
  <c r="AI38" i="7"/>
  <c r="AH38" i="7"/>
  <c r="AG38" i="7"/>
  <c r="AF38" i="7"/>
  <c r="AE38" i="7"/>
  <c r="AD38" i="7"/>
  <c r="AC38" i="7"/>
  <c r="AB38" i="7"/>
  <c r="AA38" i="7"/>
  <c r="Z38" i="7"/>
  <c r="Y38" i="7"/>
  <c r="X38" i="7"/>
  <c r="W38" i="7"/>
  <c r="V38" i="7"/>
  <c r="U38" i="7"/>
  <c r="T38" i="7"/>
  <c r="S38" i="7"/>
  <c r="R38" i="7"/>
  <c r="Q38" i="7"/>
  <c r="P38" i="7"/>
  <c r="O38" i="7"/>
  <c r="N38" i="7"/>
  <c r="M38" i="7"/>
  <c r="L38" i="7"/>
  <c r="K38" i="7"/>
  <c r="J38" i="7"/>
  <c r="I38" i="7"/>
  <c r="H38" i="7"/>
  <c r="G38" i="7"/>
  <c r="F38" i="7"/>
  <c r="E38" i="7"/>
  <c r="D38" i="7"/>
  <c r="C38" i="7"/>
  <c r="B38" i="7"/>
  <c r="A38" i="7"/>
  <c r="DN37" i="7"/>
  <c r="DM37" i="7"/>
  <c r="DL37" i="7"/>
  <c r="DK37" i="7"/>
  <c r="DJ37" i="7"/>
  <c r="DI37" i="7"/>
  <c r="DH37" i="7"/>
  <c r="DG37" i="7"/>
  <c r="DF37" i="7"/>
  <c r="DE37" i="7"/>
  <c r="DD37" i="7"/>
  <c r="DC37" i="7"/>
  <c r="DB37" i="7"/>
  <c r="DA37" i="7"/>
  <c r="CZ37" i="7"/>
  <c r="CY37" i="7"/>
  <c r="CX37" i="7"/>
  <c r="CW37" i="7"/>
  <c r="CV37" i="7"/>
  <c r="CU37" i="7"/>
  <c r="CT37" i="7"/>
  <c r="CS37" i="7"/>
  <c r="CR37" i="7"/>
  <c r="CQ37" i="7"/>
  <c r="CP37" i="7"/>
  <c r="CO37" i="7"/>
  <c r="CN37" i="7"/>
  <c r="CM37" i="7"/>
  <c r="CL37" i="7"/>
  <c r="CK37" i="7"/>
  <c r="CJ37" i="7"/>
  <c r="CI37" i="7"/>
  <c r="CH37" i="7"/>
  <c r="CG37" i="7"/>
  <c r="CF37" i="7"/>
  <c r="CE37" i="7"/>
  <c r="CD37" i="7"/>
  <c r="CC37" i="7"/>
  <c r="CB37" i="7"/>
  <c r="CA37" i="7"/>
  <c r="BZ37" i="7"/>
  <c r="BY37" i="7"/>
  <c r="BX37" i="7"/>
  <c r="BW37" i="7"/>
  <c r="BV37" i="7"/>
  <c r="BU37" i="7"/>
  <c r="BT37" i="7"/>
  <c r="BS37" i="7"/>
  <c r="BR37" i="7"/>
  <c r="BQ37" i="7"/>
  <c r="BP37" i="7"/>
  <c r="BO37" i="7"/>
  <c r="BN37" i="7"/>
  <c r="BM37" i="7"/>
  <c r="BL37" i="7"/>
  <c r="BK37" i="7"/>
  <c r="BJ37" i="7"/>
  <c r="BI37" i="7"/>
  <c r="BH37" i="7"/>
  <c r="BG37" i="7"/>
  <c r="BF37" i="7"/>
  <c r="BE37" i="7"/>
  <c r="BD37" i="7"/>
  <c r="BC37" i="7"/>
  <c r="BB37" i="7"/>
  <c r="BA37" i="7"/>
  <c r="AZ37" i="7"/>
  <c r="AY37" i="7"/>
  <c r="AX37" i="7"/>
  <c r="AW37" i="7"/>
  <c r="AV37" i="7"/>
  <c r="AU37" i="7"/>
  <c r="AT37" i="7"/>
  <c r="AS37" i="7"/>
  <c r="AR37" i="7"/>
  <c r="AQ37"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B37" i="7"/>
  <c r="A37" i="7"/>
  <c r="DK36" i="7"/>
  <c r="DJ36" i="7"/>
  <c r="DI36" i="7"/>
  <c r="DH36" i="7"/>
  <c r="DG36" i="7"/>
  <c r="DF36" i="7"/>
  <c r="DE36" i="7"/>
  <c r="DD36" i="7"/>
  <c r="DC36" i="7"/>
  <c r="DB36" i="7"/>
  <c r="DA36" i="7"/>
  <c r="CZ36" i="7"/>
  <c r="CY36" i="7"/>
  <c r="CX36" i="7"/>
  <c r="CW36" i="7"/>
  <c r="CV36" i="7"/>
  <c r="CU36" i="7"/>
  <c r="CT36" i="7"/>
  <c r="CS36" i="7"/>
  <c r="CR36" i="7"/>
  <c r="CQ36" i="7"/>
  <c r="CP36" i="7"/>
  <c r="CO36" i="7"/>
  <c r="CN36" i="7"/>
  <c r="CM36" i="7"/>
  <c r="CL36" i="7"/>
  <c r="CK36" i="7"/>
  <c r="CJ36" i="7"/>
  <c r="CI36" i="7"/>
  <c r="CH36" i="7"/>
  <c r="CG36" i="7"/>
  <c r="CF36" i="7"/>
  <c r="CE36" i="7"/>
  <c r="CD36" i="7"/>
  <c r="CC36" i="7"/>
  <c r="CB36" i="7"/>
  <c r="CA36" i="7"/>
  <c r="BZ36" i="7"/>
  <c r="BY36" i="7"/>
  <c r="BX36" i="7"/>
  <c r="BW36" i="7"/>
  <c r="BV36" i="7"/>
  <c r="BU36" i="7"/>
  <c r="BT36" i="7"/>
  <c r="BS36" i="7"/>
  <c r="BR36" i="7"/>
  <c r="BQ36" i="7"/>
  <c r="BP36" i="7"/>
  <c r="BO36" i="7"/>
  <c r="BN36" i="7"/>
  <c r="BM36" i="7"/>
  <c r="BL36" i="7"/>
  <c r="BK36" i="7"/>
  <c r="BJ36" i="7"/>
  <c r="BI36" i="7"/>
  <c r="BH36" i="7"/>
  <c r="BG36" i="7"/>
  <c r="BF36" i="7"/>
  <c r="BE36" i="7"/>
  <c r="BD36" i="7"/>
  <c r="BC36" i="7"/>
  <c r="BB36" i="7"/>
  <c r="BA36" i="7"/>
  <c r="AZ36" i="7"/>
  <c r="AY36" i="7"/>
  <c r="AX36" i="7"/>
  <c r="AW36" i="7"/>
  <c r="AV36" i="7"/>
  <c r="AU36" i="7"/>
  <c r="AT36" i="7"/>
  <c r="AS36" i="7"/>
  <c r="AR36" i="7"/>
  <c r="AQ36"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B36" i="7"/>
  <c r="A36" i="7"/>
  <c r="DI35" i="7"/>
  <c r="DH35" i="7"/>
  <c r="DG35" i="7"/>
  <c r="DF35" i="7"/>
  <c r="DE35" i="7"/>
  <c r="DD35" i="7"/>
  <c r="DC35" i="7"/>
  <c r="DB35" i="7"/>
  <c r="DA35" i="7"/>
  <c r="CZ35" i="7"/>
  <c r="CY35" i="7"/>
  <c r="CX35" i="7"/>
  <c r="CW35" i="7"/>
  <c r="CV35" i="7"/>
  <c r="CU35" i="7"/>
  <c r="CT35" i="7"/>
  <c r="CS35" i="7"/>
  <c r="CR35" i="7"/>
  <c r="CQ35" i="7"/>
  <c r="CP35" i="7"/>
  <c r="CO35" i="7"/>
  <c r="CN35" i="7"/>
  <c r="CM35" i="7"/>
  <c r="CL35" i="7"/>
  <c r="CK35" i="7"/>
  <c r="CJ35" i="7"/>
  <c r="CI35" i="7"/>
  <c r="CH35" i="7"/>
  <c r="CG35" i="7"/>
  <c r="CF35" i="7"/>
  <c r="CE35" i="7"/>
  <c r="CD35" i="7"/>
  <c r="CC35" i="7"/>
  <c r="CB35" i="7"/>
  <c r="CA35" i="7"/>
  <c r="BZ35" i="7"/>
  <c r="BY35" i="7"/>
  <c r="BX35" i="7"/>
  <c r="BW35" i="7"/>
  <c r="BV35" i="7"/>
  <c r="BU35" i="7"/>
  <c r="BT35" i="7"/>
  <c r="BS35" i="7"/>
  <c r="BR35" i="7"/>
  <c r="BQ35" i="7"/>
  <c r="BP35" i="7"/>
  <c r="BO35" i="7"/>
  <c r="BN35" i="7"/>
  <c r="BM35" i="7"/>
  <c r="BL35" i="7"/>
  <c r="BK35" i="7"/>
  <c r="BJ35" i="7"/>
  <c r="BI35" i="7"/>
  <c r="BH35" i="7"/>
  <c r="BG35" i="7"/>
  <c r="BF35" i="7"/>
  <c r="BE35" i="7"/>
  <c r="BD35" i="7"/>
  <c r="BC35" i="7"/>
  <c r="BB35" i="7"/>
  <c r="BA35" i="7"/>
  <c r="AZ35" i="7"/>
  <c r="AY35" i="7"/>
  <c r="AX35" i="7"/>
  <c r="AW35" i="7"/>
  <c r="AV35" i="7"/>
  <c r="AU35" i="7"/>
  <c r="AT35" i="7"/>
  <c r="AS35" i="7"/>
  <c r="AR35" i="7"/>
  <c r="AQ35"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B35" i="7"/>
  <c r="A35" i="7"/>
  <c r="DB34" i="7"/>
  <c r="DA34" i="7"/>
  <c r="CZ34" i="7"/>
  <c r="CY34" i="7"/>
  <c r="CX34" i="7"/>
  <c r="CW34" i="7"/>
  <c r="CV34" i="7"/>
  <c r="CU34" i="7"/>
  <c r="CT34" i="7"/>
  <c r="CS34" i="7"/>
  <c r="CR34" i="7"/>
  <c r="CQ34" i="7"/>
  <c r="CP34" i="7"/>
  <c r="CO34" i="7"/>
  <c r="CN34" i="7"/>
  <c r="CM34" i="7"/>
  <c r="CL34" i="7"/>
  <c r="CK34" i="7"/>
  <c r="CJ34" i="7"/>
  <c r="CI34" i="7"/>
  <c r="CH34" i="7"/>
  <c r="CG34" i="7"/>
  <c r="CF34" i="7"/>
  <c r="CE34" i="7"/>
  <c r="CD34" i="7"/>
  <c r="CC34" i="7"/>
  <c r="CB34" i="7"/>
  <c r="CA34" i="7"/>
  <c r="BZ34" i="7"/>
  <c r="BY34" i="7"/>
  <c r="BX34" i="7"/>
  <c r="BW34" i="7"/>
  <c r="BV34" i="7"/>
  <c r="BU34" i="7"/>
  <c r="BT34" i="7"/>
  <c r="BS34" i="7"/>
  <c r="BR34" i="7"/>
  <c r="BQ34" i="7"/>
  <c r="BP34" i="7"/>
  <c r="BO34" i="7"/>
  <c r="BN34" i="7"/>
  <c r="BM34" i="7"/>
  <c r="BL34" i="7"/>
  <c r="BK34" i="7"/>
  <c r="BJ34" i="7"/>
  <c r="BI34" i="7"/>
  <c r="BH34" i="7"/>
  <c r="BG34" i="7"/>
  <c r="BF34" i="7"/>
  <c r="BE34" i="7"/>
  <c r="BD34" i="7"/>
  <c r="BC34" i="7"/>
  <c r="BB34" i="7"/>
  <c r="BA34" i="7"/>
  <c r="AZ34" i="7"/>
  <c r="AY34" i="7"/>
  <c r="AX34" i="7"/>
  <c r="AW34" i="7"/>
  <c r="AV34" i="7"/>
  <c r="AU34" i="7"/>
  <c r="AT34" i="7"/>
  <c r="AS34" i="7"/>
  <c r="AR34" i="7"/>
  <c r="AQ34" i="7"/>
  <c r="AP34" i="7"/>
  <c r="AO34" i="7"/>
  <c r="AN34" i="7"/>
  <c r="AM34" i="7"/>
  <c r="AL34" i="7"/>
  <c r="AK34" i="7"/>
  <c r="AJ34" i="7"/>
  <c r="AI34" i="7"/>
  <c r="AH34" i="7"/>
  <c r="AG34" i="7"/>
  <c r="AF34" i="7"/>
  <c r="AE34" i="7"/>
  <c r="AD34" i="7"/>
  <c r="AC34" i="7"/>
  <c r="AB34" i="7"/>
  <c r="AA34" i="7"/>
  <c r="Z34" i="7"/>
  <c r="Y34" i="7"/>
  <c r="X34" i="7"/>
  <c r="W34" i="7"/>
  <c r="V34" i="7"/>
  <c r="U34" i="7"/>
  <c r="T34" i="7"/>
  <c r="S34" i="7"/>
  <c r="R34" i="7"/>
  <c r="Q34" i="7"/>
  <c r="P34" i="7"/>
  <c r="O34" i="7"/>
  <c r="N34" i="7"/>
  <c r="M34" i="7"/>
  <c r="L34" i="7"/>
  <c r="K34" i="7"/>
  <c r="J34" i="7"/>
  <c r="I34" i="7"/>
  <c r="H34" i="7"/>
  <c r="G34" i="7"/>
  <c r="F34" i="7"/>
  <c r="E34" i="7"/>
  <c r="D34" i="7"/>
  <c r="C34" i="7"/>
  <c r="B34" i="7"/>
  <c r="A34" i="7"/>
  <c r="DB33" i="7"/>
  <c r="DA33" i="7"/>
  <c r="CZ33" i="7"/>
  <c r="CY33" i="7"/>
  <c r="CX33" i="7"/>
  <c r="CW33" i="7"/>
  <c r="CV33" i="7"/>
  <c r="CU33" i="7"/>
  <c r="CT33" i="7"/>
  <c r="CS33" i="7"/>
  <c r="CR33" i="7"/>
  <c r="CQ33" i="7"/>
  <c r="CP33" i="7"/>
  <c r="CO33" i="7"/>
  <c r="CN33" i="7"/>
  <c r="CM33" i="7"/>
  <c r="CL33" i="7"/>
  <c r="CK33" i="7"/>
  <c r="CJ33" i="7"/>
  <c r="CI33" i="7"/>
  <c r="CH33" i="7"/>
  <c r="CG33" i="7"/>
  <c r="CF33" i="7"/>
  <c r="CE33" i="7"/>
  <c r="CD33" i="7"/>
  <c r="CC33" i="7"/>
  <c r="CB33" i="7"/>
  <c r="CA33" i="7"/>
  <c r="BZ33" i="7"/>
  <c r="BY33" i="7"/>
  <c r="BX33" i="7"/>
  <c r="BW33" i="7"/>
  <c r="BV33" i="7"/>
  <c r="BU33" i="7"/>
  <c r="BT33" i="7"/>
  <c r="BS33" i="7"/>
  <c r="BR33" i="7"/>
  <c r="BQ33" i="7"/>
  <c r="BP33" i="7"/>
  <c r="BO33" i="7"/>
  <c r="BN33" i="7"/>
  <c r="BM33" i="7"/>
  <c r="BL33" i="7"/>
  <c r="BK33" i="7"/>
  <c r="BJ33" i="7"/>
  <c r="BI33" i="7"/>
  <c r="BH33" i="7"/>
  <c r="BG33" i="7"/>
  <c r="BF33" i="7"/>
  <c r="BE33" i="7"/>
  <c r="BD33" i="7"/>
  <c r="BC33" i="7"/>
  <c r="BB33" i="7"/>
  <c r="BA33" i="7"/>
  <c r="AZ33" i="7"/>
  <c r="AY33" i="7"/>
  <c r="AX33" i="7"/>
  <c r="AW33" i="7"/>
  <c r="AV33" i="7"/>
  <c r="AU33" i="7"/>
  <c r="AT33" i="7"/>
  <c r="AS33" i="7"/>
  <c r="AR33" i="7"/>
  <c r="AQ33" i="7"/>
  <c r="AP33" i="7"/>
  <c r="AO33" i="7"/>
  <c r="AN33" i="7"/>
  <c r="AM33" i="7"/>
  <c r="AL33" i="7"/>
  <c r="AK33" i="7"/>
  <c r="AJ33" i="7"/>
  <c r="AI33" i="7"/>
  <c r="AH33" i="7"/>
  <c r="AG33" i="7"/>
  <c r="AF33" i="7"/>
  <c r="AE33" i="7"/>
  <c r="AD33" i="7"/>
  <c r="AC33" i="7"/>
  <c r="AB33" i="7"/>
  <c r="AA33" i="7"/>
  <c r="Z33" i="7"/>
  <c r="Y33" i="7"/>
  <c r="X33" i="7"/>
  <c r="W33" i="7"/>
  <c r="V33" i="7"/>
  <c r="U33" i="7"/>
  <c r="T33" i="7"/>
  <c r="S33" i="7"/>
  <c r="R33" i="7"/>
  <c r="Q33" i="7"/>
  <c r="P33" i="7"/>
  <c r="O33" i="7"/>
  <c r="N33" i="7"/>
  <c r="M33" i="7"/>
  <c r="L33" i="7"/>
  <c r="K33" i="7"/>
  <c r="J33" i="7"/>
  <c r="I33" i="7"/>
  <c r="H33" i="7"/>
  <c r="G33" i="7"/>
  <c r="F33" i="7"/>
  <c r="E33" i="7"/>
  <c r="D33" i="7"/>
  <c r="C33" i="7"/>
  <c r="B33" i="7"/>
  <c r="A33" i="7"/>
  <c r="DB32" i="7"/>
  <c r="DA32" i="7"/>
  <c r="CZ32" i="7"/>
  <c r="CY32" i="7"/>
  <c r="CX32" i="7"/>
  <c r="CW32" i="7"/>
  <c r="CV32" i="7"/>
  <c r="CU32" i="7"/>
  <c r="CT32" i="7"/>
  <c r="CS32" i="7"/>
  <c r="CR32" i="7"/>
  <c r="CQ32" i="7"/>
  <c r="CP32" i="7"/>
  <c r="CO32" i="7"/>
  <c r="CN32" i="7"/>
  <c r="CM32" i="7"/>
  <c r="CL32" i="7"/>
  <c r="CK32" i="7"/>
  <c r="CJ32" i="7"/>
  <c r="CI32" i="7"/>
  <c r="CH32" i="7"/>
  <c r="CG32" i="7"/>
  <c r="CF32" i="7"/>
  <c r="CE32" i="7"/>
  <c r="CD32" i="7"/>
  <c r="CC32" i="7"/>
  <c r="CB32" i="7"/>
  <c r="CA32" i="7"/>
  <c r="BZ32" i="7"/>
  <c r="BY32" i="7"/>
  <c r="BX32" i="7"/>
  <c r="BW32" i="7"/>
  <c r="BV32" i="7"/>
  <c r="BU32" i="7"/>
  <c r="BT32" i="7"/>
  <c r="BS32" i="7"/>
  <c r="BR32" i="7"/>
  <c r="BQ32" i="7"/>
  <c r="BP32" i="7"/>
  <c r="BO32" i="7"/>
  <c r="BN32" i="7"/>
  <c r="BM32" i="7"/>
  <c r="BL32" i="7"/>
  <c r="BK32" i="7"/>
  <c r="BJ32" i="7"/>
  <c r="BI32" i="7"/>
  <c r="BH32" i="7"/>
  <c r="BG32" i="7"/>
  <c r="BF32" i="7"/>
  <c r="BE32" i="7"/>
  <c r="BD32" i="7"/>
  <c r="BC32" i="7"/>
  <c r="BB32" i="7"/>
  <c r="BA32" i="7"/>
  <c r="AZ32" i="7"/>
  <c r="AY32" i="7"/>
  <c r="AX32" i="7"/>
  <c r="AW32" i="7"/>
  <c r="AV32" i="7"/>
  <c r="AU32" i="7"/>
  <c r="AT32" i="7"/>
  <c r="AS32" i="7"/>
  <c r="AR32" i="7"/>
  <c r="AQ32" i="7"/>
  <c r="AP32" i="7"/>
  <c r="AO32" i="7"/>
  <c r="AN32" i="7"/>
  <c r="AM32" i="7"/>
  <c r="AL32" i="7"/>
  <c r="AK32" i="7"/>
  <c r="AJ32" i="7"/>
  <c r="AI32" i="7"/>
  <c r="AH32" i="7"/>
  <c r="AG32" i="7"/>
  <c r="AF32" i="7"/>
  <c r="AE32" i="7"/>
  <c r="AD32" i="7"/>
  <c r="AC32" i="7"/>
  <c r="AB32" i="7"/>
  <c r="AA32" i="7"/>
  <c r="Z32" i="7"/>
  <c r="Y32" i="7"/>
  <c r="X32" i="7"/>
  <c r="W32" i="7"/>
  <c r="V32" i="7"/>
  <c r="U32" i="7"/>
  <c r="T32" i="7"/>
  <c r="S32" i="7"/>
  <c r="R32" i="7"/>
  <c r="Q32" i="7"/>
  <c r="P32" i="7"/>
  <c r="O32" i="7"/>
  <c r="N32" i="7"/>
  <c r="M32" i="7"/>
  <c r="L32" i="7"/>
  <c r="K32" i="7"/>
  <c r="J32" i="7"/>
  <c r="I32" i="7"/>
  <c r="H32" i="7"/>
  <c r="G32" i="7"/>
  <c r="F32" i="7"/>
  <c r="E32" i="7"/>
  <c r="D32" i="7"/>
  <c r="C32" i="7"/>
  <c r="B32" i="7"/>
  <c r="A32" i="7"/>
  <c r="CY31" i="7"/>
  <c r="CX31" i="7"/>
  <c r="CW31" i="7"/>
  <c r="CV31" i="7"/>
  <c r="CU31" i="7"/>
  <c r="CT31" i="7"/>
  <c r="CS31" i="7"/>
  <c r="CR31" i="7"/>
  <c r="CQ31" i="7"/>
  <c r="CP31" i="7"/>
  <c r="CO31" i="7"/>
  <c r="CN31" i="7"/>
  <c r="CM31" i="7"/>
  <c r="CL31" i="7"/>
  <c r="CK31" i="7"/>
  <c r="CJ31" i="7"/>
  <c r="CI31" i="7"/>
  <c r="CH31" i="7"/>
  <c r="CG31" i="7"/>
  <c r="CF31" i="7"/>
  <c r="CE31" i="7"/>
  <c r="CD31" i="7"/>
  <c r="CC31" i="7"/>
  <c r="CB31" i="7"/>
  <c r="CA31" i="7"/>
  <c r="BZ31" i="7"/>
  <c r="BY31" i="7"/>
  <c r="BX31" i="7"/>
  <c r="BW31" i="7"/>
  <c r="BV31" i="7"/>
  <c r="BU31" i="7"/>
  <c r="BT31" i="7"/>
  <c r="BS31" i="7"/>
  <c r="BR31" i="7"/>
  <c r="BQ31" i="7"/>
  <c r="BP31" i="7"/>
  <c r="BO31" i="7"/>
  <c r="BN31" i="7"/>
  <c r="BM31" i="7"/>
  <c r="BL31" i="7"/>
  <c r="BK31" i="7"/>
  <c r="BJ31" i="7"/>
  <c r="BI31" i="7"/>
  <c r="BH31" i="7"/>
  <c r="BG31" i="7"/>
  <c r="BF31" i="7"/>
  <c r="BE31" i="7"/>
  <c r="BD31" i="7"/>
  <c r="BC31" i="7"/>
  <c r="BB31" i="7"/>
  <c r="BA31" i="7"/>
  <c r="AZ31" i="7"/>
  <c r="AY31" i="7"/>
  <c r="AX31" i="7"/>
  <c r="AW31" i="7"/>
  <c r="AV31" i="7"/>
  <c r="AU31" i="7"/>
  <c r="AT31" i="7"/>
  <c r="AS31" i="7"/>
  <c r="AR31" i="7"/>
  <c r="AQ31" i="7"/>
  <c r="AP31" i="7"/>
  <c r="AO31" i="7"/>
  <c r="AN31" i="7"/>
  <c r="AM31" i="7"/>
  <c r="AL31" i="7"/>
  <c r="AK31" i="7"/>
  <c r="AJ31" i="7"/>
  <c r="AI31" i="7"/>
  <c r="AH31" i="7"/>
  <c r="AG31" i="7"/>
  <c r="AF31" i="7"/>
  <c r="AE31" i="7"/>
  <c r="AD31" i="7"/>
  <c r="AC31" i="7"/>
  <c r="AB31" i="7"/>
  <c r="AA31" i="7"/>
  <c r="Z31" i="7"/>
  <c r="Y31" i="7"/>
  <c r="X31" i="7"/>
  <c r="W31" i="7"/>
  <c r="V31" i="7"/>
  <c r="U31" i="7"/>
  <c r="T31" i="7"/>
  <c r="S31" i="7"/>
  <c r="R31" i="7"/>
  <c r="Q31" i="7"/>
  <c r="P31" i="7"/>
  <c r="O31" i="7"/>
  <c r="N31" i="7"/>
  <c r="M31" i="7"/>
  <c r="L31" i="7"/>
  <c r="K31" i="7"/>
  <c r="J31" i="7"/>
  <c r="I31" i="7"/>
  <c r="H31" i="7"/>
  <c r="G31" i="7"/>
  <c r="F31" i="7"/>
  <c r="E31" i="7"/>
  <c r="D31" i="7"/>
  <c r="C31" i="7"/>
  <c r="B31" i="7"/>
  <c r="A31" i="7"/>
  <c r="CU30" i="7"/>
  <c r="CT30" i="7"/>
  <c r="CS30" i="7"/>
  <c r="CR30" i="7"/>
  <c r="CQ30" i="7"/>
  <c r="CP30" i="7"/>
  <c r="CO30" i="7"/>
  <c r="CN30" i="7"/>
  <c r="CM30" i="7"/>
  <c r="CL30" i="7"/>
  <c r="CK30" i="7"/>
  <c r="CJ30" i="7"/>
  <c r="CI30" i="7"/>
  <c r="CH30" i="7"/>
  <c r="CG30" i="7"/>
  <c r="CF30" i="7"/>
  <c r="CE30" i="7"/>
  <c r="CD30" i="7"/>
  <c r="CC30" i="7"/>
  <c r="CB30" i="7"/>
  <c r="CA30" i="7"/>
  <c r="BZ30" i="7"/>
  <c r="BY30" i="7"/>
  <c r="BX30" i="7"/>
  <c r="BW30" i="7"/>
  <c r="BV30" i="7"/>
  <c r="BU30" i="7"/>
  <c r="BT30" i="7"/>
  <c r="BS30" i="7"/>
  <c r="BR30" i="7"/>
  <c r="BQ30" i="7"/>
  <c r="BP30" i="7"/>
  <c r="BO30" i="7"/>
  <c r="BN30" i="7"/>
  <c r="BM30" i="7"/>
  <c r="BL30" i="7"/>
  <c r="BK30" i="7"/>
  <c r="BJ30" i="7"/>
  <c r="BI30" i="7"/>
  <c r="BH30" i="7"/>
  <c r="BG30" i="7"/>
  <c r="BF30" i="7"/>
  <c r="BE30" i="7"/>
  <c r="BD30" i="7"/>
  <c r="BC30" i="7"/>
  <c r="BB30" i="7"/>
  <c r="BA30" i="7"/>
  <c r="AZ30" i="7"/>
  <c r="AY30" i="7"/>
  <c r="AX30" i="7"/>
  <c r="AW30" i="7"/>
  <c r="AV30" i="7"/>
  <c r="AU30" i="7"/>
  <c r="AT30" i="7"/>
  <c r="AS30" i="7"/>
  <c r="AR30" i="7"/>
  <c r="AQ30" i="7"/>
  <c r="AP30" i="7"/>
  <c r="AO30" i="7"/>
  <c r="AN30" i="7"/>
  <c r="AM30" i="7"/>
  <c r="AL30" i="7"/>
  <c r="AK30" i="7"/>
  <c r="AJ30" i="7"/>
  <c r="AI30" i="7"/>
  <c r="AH30" i="7"/>
  <c r="AG30" i="7"/>
  <c r="AF30" i="7"/>
  <c r="AE30" i="7"/>
  <c r="AD30" i="7"/>
  <c r="AC30" i="7"/>
  <c r="AB30" i="7"/>
  <c r="AA30" i="7"/>
  <c r="Z30" i="7"/>
  <c r="Y30" i="7"/>
  <c r="X30" i="7"/>
  <c r="W30" i="7"/>
  <c r="V30" i="7"/>
  <c r="U30" i="7"/>
  <c r="T30" i="7"/>
  <c r="S30" i="7"/>
  <c r="R30" i="7"/>
  <c r="Q30" i="7"/>
  <c r="P30" i="7"/>
  <c r="O30" i="7"/>
  <c r="N30" i="7"/>
  <c r="M30" i="7"/>
  <c r="L30" i="7"/>
  <c r="K30" i="7"/>
  <c r="J30" i="7"/>
  <c r="I30" i="7"/>
  <c r="H30" i="7"/>
  <c r="G30" i="7"/>
  <c r="F30" i="7"/>
  <c r="E30" i="7"/>
  <c r="D30" i="7"/>
  <c r="C30" i="7"/>
  <c r="B30" i="7"/>
  <c r="A30" i="7"/>
  <c r="CU29" i="7"/>
  <c r="CT29" i="7"/>
  <c r="CS29" i="7"/>
  <c r="CR29" i="7"/>
  <c r="CQ29" i="7"/>
  <c r="CP29" i="7"/>
  <c r="CO29" i="7"/>
  <c r="CN29" i="7"/>
  <c r="CM29" i="7"/>
  <c r="CL29" i="7"/>
  <c r="CK29" i="7"/>
  <c r="CJ29" i="7"/>
  <c r="CI29" i="7"/>
  <c r="CH29" i="7"/>
  <c r="CG29" i="7"/>
  <c r="CF29" i="7"/>
  <c r="CE29" i="7"/>
  <c r="CD29" i="7"/>
  <c r="CC29" i="7"/>
  <c r="CB29" i="7"/>
  <c r="CA29" i="7"/>
  <c r="BZ29" i="7"/>
  <c r="BY29" i="7"/>
  <c r="BX29" i="7"/>
  <c r="BW29" i="7"/>
  <c r="BV29" i="7"/>
  <c r="BU29" i="7"/>
  <c r="BT29" i="7"/>
  <c r="BS29" i="7"/>
  <c r="BR29" i="7"/>
  <c r="BQ29" i="7"/>
  <c r="BP29" i="7"/>
  <c r="BO29" i="7"/>
  <c r="BN29" i="7"/>
  <c r="BM29" i="7"/>
  <c r="BL29" i="7"/>
  <c r="BK29" i="7"/>
  <c r="BJ29" i="7"/>
  <c r="BI29" i="7"/>
  <c r="BH29" i="7"/>
  <c r="BG29" i="7"/>
  <c r="BF29" i="7"/>
  <c r="BE29" i="7"/>
  <c r="BD29" i="7"/>
  <c r="BC29" i="7"/>
  <c r="BB29" i="7"/>
  <c r="BA29" i="7"/>
  <c r="AZ29" i="7"/>
  <c r="AY29" i="7"/>
  <c r="AX29" i="7"/>
  <c r="AW29" i="7"/>
  <c r="AV29" i="7"/>
  <c r="AU29" i="7"/>
  <c r="AT29" i="7"/>
  <c r="AS29" i="7"/>
  <c r="AR29" i="7"/>
  <c r="AQ29" i="7"/>
  <c r="AP29" i="7"/>
  <c r="AO29" i="7"/>
  <c r="AN29" i="7"/>
  <c r="AM29" i="7"/>
  <c r="AL29"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29" i="7"/>
  <c r="E29" i="7"/>
  <c r="D29" i="7"/>
  <c r="C29" i="7"/>
  <c r="B29" i="7"/>
  <c r="A29" i="7"/>
  <c r="CR28" i="7"/>
  <c r="CQ28" i="7"/>
  <c r="CP28" i="7"/>
  <c r="CO28" i="7"/>
  <c r="CN28" i="7"/>
  <c r="CM28" i="7"/>
  <c r="CL28" i="7"/>
  <c r="CK28" i="7"/>
  <c r="CJ28" i="7"/>
  <c r="CI28" i="7"/>
  <c r="CH28" i="7"/>
  <c r="CG28" i="7"/>
  <c r="CF28" i="7"/>
  <c r="CE28" i="7"/>
  <c r="CD28" i="7"/>
  <c r="CC28" i="7"/>
  <c r="CB28" i="7"/>
  <c r="CA28" i="7"/>
  <c r="BZ28" i="7"/>
  <c r="BY28" i="7"/>
  <c r="BX28" i="7"/>
  <c r="BW28" i="7"/>
  <c r="BV28" i="7"/>
  <c r="BU28" i="7"/>
  <c r="BT28" i="7"/>
  <c r="BS28" i="7"/>
  <c r="BR28" i="7"/>
  <c r="BQ28" i="7"/>
  <c r="BP28" i="7"/>
  <c r="BO28" i="7"/>
  <c r="BN28" i="7"/>
  <c r="BM28" i="7"/>
  <c r="BL28" i="7"/>
  <c r="BK28" i="7"/>
  <c r="BJ28" i="7"/>
  <c r="BI28" i="7"/>
  <c r="BH28" i="7"/>
  <c r="BG28" i="7"/>
  <c r="BF28" i="7"/>
  <c r="BE28" i="7"/>
  <c r="BD28" i="7"/>
  <c r="BC28" i="7"/>
  <c r="BB28" i="7"/>
  <c r="BA28" i="7"/>
  <c r="AZ28" i="7"/>
  <c r="AY28" i="7"/>
  <c r="AX28" i="7"/>
  <c r="AW28" i="7"/>
  <c r="AV28" i="7"/>
  <c r="AU28" i="7"/>
  <c r="AT28" i="7"/>
  <c r="AS28" i="7"/>
  <c r="AR28" i="7"/>
  <c r="AQ28"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B28" i="7"/>
  <c r="A28" i="7"/>
  <c r="CM27" i="7"/>
  <c r="CL27" i="7"/>
  <c r="CK27" i="7"/>
  <c r="CJ27" i="7"/>
  <c r="CI27" i="7"/>
  <c r="CH27" i="7"/>
  <c r="CG27" i="7"/>
  <c r="CF27" i="7"/>
  <c r="CE27" i="7"/>
  <c r="CD27" i="7"/>
  <c r="CC27" i="7"/>
  <c r="CB27" i="7"/>
  <c r="CA27" i="7"/>
  <c r="BZ27" i="7"/>
  <c r="BY27" i="7"/>
  <c r="BX27" i="7"/>
  <c r="BW27" i="7"/>
  <c r="BV27" i="7"/>
  <c r="BU27" i="7"/>
  <c r="BT27" i="7"/>
  <c r="BS27" i="7"/>
  <c r="BR27" i="7"/>
  <c r="BQ27" i="7"/>
  <c r="BP27" i="7"/>
  <c r="BO27" i="7"/>
  <c r="BN27" i="7"/>
  <c r="BM27" i="7"/>
  <c r="BL27" i="7"/>
  <c r="BK27" i="7"/>
  <c r="BJ27" i="7"/>
  <c r="BI27" i="7"/>
  <c r="BH27" i="7"/>
  <c r="BG27" i="7"/>
  <c r="BF27" i="7"/>
  <c r="BE27" i="7"/>
  <c r="BD27" i="7"/>
  <c r="BC27" i="7"/>
  <c r="BB27" i="7"/>
  <c r="BA27" i="7"/>
  <c r="AZ27" i="7"/>
  <c r="AY27" i="7"/>
  <c r="AX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B27" i="7"/>
  <c r="A27" i="7"/>
  <c r="CM26" i="7"/>
  <c r="CL26" i="7"/>
  <c r="CK26" i="7"/>
  <c r="CJ26" i="7"/>
  <c r="CI26" i="7"/>
  <c r="CH26" i="7"/>
  <c r="CG26" i="7"/>
  <c r="CF26" i="7"/>
  <c r="CE26" i="7"/>
  <c r="CD26" i="7"/>
  <c r="CC26" i="7"/>
  <c r="CB26" i="7"/>
  <c r="CA26" i="7"/>
  <c r="BZ26" i="7"/>
  <c r="BY26" i="7"/>
  <c r="BX26" i="7"/>
  <c r="BW26" i="7"/>
  <c r="BV26" i="7"/>
  <c r="BU26" i="7"/>
  <c r="BT26" i="7"/>
  <c r="BS26" i="7"/>
  <c r="BR26" i="7"/>
  <c r="BQ26" i="7"/>
  <c r="BP26" i="7"/>
  <c r="BO26" i="7"/>
  <c r="BN26" i="7"/>
  <c r="BM26" i="7"/>
  <c r="BL26" i="7"/>
  <c r="BK26" i="7"/>
  <c r="BJ26" i="7"/>
  <c r="BI26" i="7"/>
  <c r="BH26" i="7"/>
  <c r="BG26" i="7"/>
  <c r="BF26" i="7"/>
  <c r="BE26" i="7"/>
  <c r="BD26" i="7"/>
  <c r="BC26" i="7"/>
  <c r="BB26" i="7"/>
  <c r="BA26" i="7"/>
  <c r="AZ26" i="7"/>
  <c r="AY26" i="7"/>
  <c r="AX26" i="7"/>
  <c r="AW26" i="7"/>
  <c r="AV26" i="7"/>
  <c r="AU26" i="7"/>
  <c r="AT26" i="7"/>
  <c r="AS26" i="7"/>
  <c r="AR26" i="7"/>
  <c r="AQ26"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B26" i="7"/>
  <c r="A26" i="7"/>
  <c r="CM25" i="7"/>
  <c r="CL25" i="7"/>
  <c r="CK25" i="7"/>
  <c r="CJ25" i="7"/>
  <c r="CI25" i="7"/>
  <c r="CH25" i="7"/>
  <c r="CG25" i="7"/>
  <c r="CF25" i="7"/>
  <c r="CE25" i="7"/>
  <c r="CD25" i="7"/>
  <c r="CC25" i="7"/>
  <c r="CB25" i="7"/>
  <c r="CA25" i="7"/>
  <c r="BZ25" i="7"/>
  <c r="BY25" i="7"/>
  <c r="BX25" i="7"/>
  <c r="BW25" i="7"/>
  <c r="BV25" i="7"/>
  <c r="BU25" i="7"/>
  <c r="BT25" i="7"/>
  <c r="BS25" i="7"/>
  <c r="BR25" i="7"/>
  <c r="BQ25" i="7"/>
  <c r="BP25" i="7"/>
  <c r="BO25" i="7"/>
  <c r="BN25" i="7"/>
  <c r="BM25" i="7"/>
  <c r="BL25" i="7"/>
  <c r="BK25" i="7"/>
  <c r="BJ25" i="7"/>
  <c r="BI25" i="7"/>
  <c r="BH25" i="7"/>
  <c r="BG25" i="7"/>
  <c r="BF25" i="7"/>
  <c r="BE25" i="7"/>
  <c r="BD25" i="7"/>
  <c r="BC25" i="7"/>
  <c r="BB25" i="7"/>
  <c r="BA25" i="7"/>
  <c r="AZ25" i="7"/>
  <c r="AY25" i="7"/>
  <c r="AX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B25" i="7"/>
  <c r="A25" i="7"/>
  <c r="CH24" i="7"/>
  <c r="CG24" i="7"/>
  <c r="CF24" i="7"/>
  <c r="CE24" i="7"/>
  <c r="CD24" i="7"/>
  <c r="CC24" i="7"/>
  <c r="CB24" i="7"/>
  <c r="CA24" i="7"/>
  <c r="BZ24" i="7"/>
  <c r="BY24" i="7"/>
  <c r="BX24" i="7"/>
  <c r="BW24" i="7"/>
  <c r="BV24" i="7"/>
  <c r="BU24" i="7"/>
  <c r="BT24" i="7"/>
  <c r="BS24" i="7"/>
  <c r="BR24" i="7"/>
  <c r="BQ24" i="7"/>
  <c r="BP24" i="7"/>
  <c r="BO24" i="7"/>
  <c r="BN24" i="7"/>
  <c r="BM24" i="7"/>
  <c r="BL24" i="7"/>
  <c r="BK24" i="7"/>
  <c r="BJ24" i="7"/>
  <c r="BI24" i="7"/>
  <c r="BH24" i="7"/>
  <c r="BG24" i="7"/>
  <c r="BF24" i="7"/>
  <c r="BE24" i="7"/>
  <c r="BD24" i="7"/>
  <c r="BC24" i="7"/>
  <c r="BB24" i="7"/>
  <c r="BA24" i="7"/>
  <c r="AZ24" i="7"/>
  <c r="AY24" i="7"/>
  <c r="AX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B24" i="7"/>
  <c r="A24" i="7"/>
  <c r="BY23" i="7"/>
  <c r="BX23" i="7"/>
  <c r="BW23" i="7"/>
  <c r="BV23" i="7"/>
  <c r="BU23" i="7"/>
  <c r="BT23" i="7"/>
  <c r="BS23" i="7"/>
  <c r="BR23" i="7"/>
  <c r="BQ23" i="7"/>
  <c r="BP23" i="7"/>
  <c r="BO23" i="7"/>
  <c r="BN23" i="7"/>
  <c r="BM23" i="7"/>
  <c r="BL23" i="7"/>
  <c r="BK23" i="7"/>
  <c r="BJ23" i="7"/>
  <c r="BI23" i="7"/>
  <c r="BH23" i="7"/>
  <c r="BG23"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B23" i="7"/>
  <c r="A23" i="7"/>
  <c r="BY22" i="7"/>
  <c r="BX22" i="7"/>
  <c r="BW22" i="7"/>
  <c r="BV22" i="7"/>
  <c r="BU22" i="7"/>
  <c r="BT22" i="7"/>
  <c r="BS22" i="7"/>
  <c r="BR22" i="7"/>
  <c r="BQ22" i="7"/>
  <c r="BP22" i="7"/>
  <c r="BO22" i="7"/>
  <c r="BN22" i="7"/>
  <c r="BM22" i="7"/>
  <c r="BL22" i="7"/>
  <c r="BK22" i="7"/>
  <c r="BJ22" i="7"/>
  <c r="BI22" i="7"/>
  <c r="BH22" i="7"/>
  <c r="BG22" i="7"/>
  <c r="BF22" i="7"/>
  <c r="BE22" i="7"/>
  <c r="BD22" i="7"/>
  <c r="BC22" i="7"/>
  <c r="BB22" i="7"/>
  <c r="BA22" i="7"/>
  <c r="AZ22" i="7"/>
  <c r="AY22" i="7"/>
  <c r="AX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B22" i="7"/>
  <c r="A22" i="7"/>
  <c r="BV21" i="7"/>
  <c r="BU21" i="7"/>
  <c r="BT21" i="7"/>
  <c r="BS21" i="7"/>
  <c r="BR21" i="7"/>
  <c r="BQ21" i="7"/>
  <c r="BP21" i="7"/>
  <c r="BO21" i="7"/>
  <c r="BN21" i="7"/>
  <c r="BM21" i="7"/>
  <c r="BL21" i="7"/>
  <c r="BK21" i="7"/>
  <c r="BJ21" i="7"/>
  <c r="BI21" i="7"/>
  <c r="BH21" i="7"/>
  <c r="BG21" i="7"/>
  <c r="BF21" i="7"/>
  <c r="BE21" i="7"/>
  <c r="BD21" i="7"/>
  <c r="BC21" i="7"/>
  <c r="BB21" i="7"/>
  <c r="BA21" i="7"/>
  <c r="AZ21" i="7"/>
  <c r="AY21" i="7"/>
  <c r="AX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B21" i="7"/>
  <c r="A21" i="7"/>
  <c r="BS20" i="7"/>
  <c r="BR20" i="7"/>
  <c r="BQ20" i="7"/>
  <c r="BP20" i="7"/>
  <c r="BO20" i="7"/>
  <c r="BN20" i="7"/>
  <c r="BM20" i="7"/>
  <c r="BL20" i="7"/>
  <c r="BK20" i="7"/>
  <c r="BJ20" i="7"/>
  <c r="BI20" i="7"/>
  <c r="BH20" i="7"/>
  <c r="BG20" i="7"/>
  <c r="BF20" i="7"/>
  <c r="BE20" i="7"/>
  <c r="BD20" i="7"/>
  <c r="BC20" i="7"/>
  <c r="BB20" i="7"/>
  <c r="BA20" i="7"/>
  <c r="AZ20" i="7"/>
  <c r="AY20" i="7"/>
  <c r="AX20" i="7"/>
  <c r="AW20" i="7"/>
  <c r="AV20" i="7"/>
  <c r="AU20" i="7"/>
  <c r="AT20" i="7"/>
  <c r="AS20"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B20" i="7"/>
  <c r="A20" i="7"/>
  <c r="BS19" i="7"/>
  <c r="BR19" i="7"/>
  <c r="BQ19" i="7"/>
  <c r="BP19" i="7"/>
  <c r="BO19" i="7"/>
  <c r="BN19" i="7"/>
  <c r="BM19" i="7"/>
  <c r="BL19" i="7"/>
  <c r="BK19" i="7"/>
  <c r="BJ19" i="7"/>
  <c r="BI19" i="7"/>
  <c r="BH19" i="7"/>
  <c r="BG19" i="7"/>
  <c r="BF19" i="7"/>
  <c r="BE19" i="7"/>
  <c r="BD19" i="7"/>
  <c r="BC19" i="7"/>
  <c r="BB19" i="7"/>
  <c r="BA19" i="7"/>
  <c r="AZ19" i="7"/>
  <c r="AY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B19" i="7"/>
  <c r="A19" i="7"/>
  <c r="BS18" i="7"/>
  <c r="BR18" i="7"/>
  <c r="BQ18" i="7"/>
  <c r="BP18" i="7"/>
  <c r="BO18" i="7"/>
  <c r="BN18" i="7"/>
  <c r="BM18" i="7"/>
  <c r="BL18" i="7"/>
  <c r="BK18" i="7"/>
  <c r="BJ18" i="7"/>
  <c r="BI18" i="7"/>
  <c r="BH18" i="7"/>
  <c r="BG18" i="7"/>
  <c r="BF18" i="7"/>
  <c r="BE18" i="7"/>
  <c r="BD18" i="7"/>
  <c r="BC18" i="7"/>
  <c r="BB18" i="7"/>
  <c r="BA18" i="7"/>
  <c r="AZ18" i="7"/>
  <c r="AY18" i="7"/>
  <c r="AX18" i="7"/>
  <c r="AW18" i="7"/>
  <c r="AV18" i="7"/>
  <c r="AU18" i="7"/>
  <c r="AT18" i="7"/>
  <c r="AS18" i="7"/>
  <c r="AR18" i="7"/>
  <c r="AQ18"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B18" i="7"/>
  <c r="A18" i="7"/>
  <c r="BA17" i="7"/>
  <c r="AZ17" i="7"/>
  <c r="AY17" i="7"/>
  <c r="AX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B17" i="7"/>
  <c r="A17" i="7"/>
  <c r="AV16" i="7"/>
  <c r="AU16" i="7"/>
  <c r="AT16" i="7"/>
  <c r="AS16" i="7"/>
  <c r="AR16" i="7"/>
  <c r="AQ16"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B16" i="7"/>
  <c r="A16"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B15" i="7"/>
  <c r="A15"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B14" i="7"/>
  <c r="A14" i="7"/>
  <c r="AC13" i="7"/>
  <c r="AB13" i="7"/>
  <c r="AA13" i="7"/>
  <c r="Z13" i="7"/>
  <c r="Y13" i="7"/>
  <c r="X13" i="7"/>
  <c r="W13" i="7"/>
  <c r="V13" i="7"/>
  <c r="U13" i="7"/>
  <c r="T13" i="7"/>
  <c r="S13" i="7"/>
  <c r="R13" i="7"/>
  <c r="Q13" i="7"/>
  <c r="P13" i="7"/>
  <c r="O13" i="7"/>
  <c r="N13" i="7"/>
  <c r="M13" i="7"/>
  <c r="L13" i="7"/>
  <c r="K13" i="7"/>
  <c r="J13" i="7"/>
  <c r="I13" i="7"/>
  <c r="H13" i="7"/>
  <c r="G13" i="7"/>
  <c r="F13" i="7"/>
  <c r="E13" i="7"/>
  <c r="D13" i="7"/>
  <c r="C13" i="7"/>
  <c r="B13" i="7"/>
  <c r="A13" i="7"/>
  <c r="AC12" i="7"/>
  <c r="AB12" i="7"/>
  <c r="AA12" i="7"/>
  <c r="Z12" i="7"/>
  <c r="Y12" i="7"/>
  <c r="X12" i="7"/>
  <c r="W12" i="7"/>
  <c r="V12" i="7"/>
  <c r="U12" i="7"/>
  <c r="T12" i="7"/>
  <c r="S12" i="7"/>
  <c r="R12" i="7"/>
  <c r="Q12" i="7"/>
  <c r="P12" i="7"/>
  <c r="O12" i="7"/>
  <c r="N12" i="7"/>
  <c r="M12" i="7"/>
  <c r="L12" i="7"/>
  <c r="K12" i="7"/>
  <c r="J12" i="7"/>
  <c r="I12" i="7"/>
  <c r="H12" i="7"/>
  <c r="G12" i="7"/>
  <c r="F12" i="7"/>
  <c r="E12" i="7"/>
  <c r="D12" i="7"/>
  <c r="C12" i="7"/>
  <c r="B12" i="7"/>
  <c r="A12" i="7"/>
  <c r="AC11" i="7"/>
  <c r="AB11" i="7"/>
  <c r="AA11" i="7"/>
  <c r="Z11" i="7"/>
  <c r="Y11" i="7"/>
  <c r="X11" i="7"/>
  <c r="W11" i="7"/>
  <c r="V11" i="7"/>
  <c r="U11" i="7"/>
  <c r="T11" i="7"/>
  <c r="S11" i="7"/>
  <c r="R11" i="7"/>
  <c r="Q11" i="7"/>
  <c r="P11" i="7"/>
  <c r="O11" i="7"/>
  <c r="N11" i="7"/>
  <c r="M11" i="7"/>
  <c r="L11" i="7"/>
  <c r="K11" i="7"/>
  <c r="J11" i="7"/>
  <c r="I11" i="7"/>
  <c r="H11" i="7"/>
  <c r="G11" i="7"/>
  <c r="F11" i="7"/>
  <c r="E11" i="7"/>
  <c r="D11" i="7"/>
  <c r="C11" i="7"/>
  <c r="B11" i="7"/>
  <c r="A11" i="7"/>
  <c r="X10" i="7"/>
  <c r="W10" i="7"/>
  <c r="V10" i="7"/>
  <c r="U10" i="7"/>
  <c r="T10" i="7"/>
  <c r="S10" i="7"/>
  <c r="R10" i="7"/>
  <c r="Q10" i="7"/>
  <c r="P10" i="7"/>
  <c r="O10" i="7"/>
  <c r="N10" i="7"/>
  <c r="M10" i="7"/>
  <c r="L10" i="7"/>
  <c r="K10" i="7"/>
  <c r="J10" i="7"/>
  <c r="I10" i="7"/>
  <c r="H10" i="7"/>
  <c r="G10" i="7"/>
  <c r="F10" i="7"/>
  <c r="E10" i="7"/>
  <c r="D10" i="7"/>
  <c r="C10" i="7"/>
  <c r="B10" i="7"/>
  <c r="A10" i="7"/>
  <c r="S9" i="7"/>
  <c r="R9" i="7"/>
  <c r="Q9" i="7"/>
  <c r="P9" i="7"/>
  <c r="O9" i="7"/>
  <c r="N9" i="7"/>
  <c r="M9" i="7"/>
  <c r="L9" i="7"/>
  <c r="K9" i="7"/>
  <c r="J9" i="7"/>
  <c r="I9" i="7"/>
  <c r="H9" i="7"/>
  <c r="G9" i="7"/>
  <c r="F9" i="7"/>
  <c r="E9" i="7"/>
  <c r="D9" i="7"/>
  <c r="C9" i="7"/>
  <c r="B9" i="7"/>
  <c r="A9" i="7"/>
  <c r="J8" i="7"/>
  <c r="I8" i="7"/>
  <c r="H8" i="7"/>
  <c r="G8" i="7"/>
  <c r="F8" i="7"/>
  <c r="E8" i="7"/>
  <c r="D8" i="7"/>
  <c r="C8" i="7"/>
  <c r="B8" i="7"/>
  <c r="A8" i="7"/>
  <c r="G7" i="7"/>
  <c r="F7" i="7"/>
  <c r="E7" i="7"/>
  <c r="D7" i="7"/>
  <c r="C7" i="7"/>
  <c r="B7" i="7"/>
  <c r="A7" i="7"/>
  <c r="B6" i="7"/>
  <c r="A6" i="7"/>
  <c r="FO5" i="7"/>
  <c r="FN5" i="7"/>
  <c r="FM5" i="7"/>
  <c r="FL5" i="7"/>
  <c r="FK5" i="7"/>
  <c r="FJ5" i="7"/>
  <c r="FI5" i="7"/>
  <c r="FH5" i="7"/>
  <c r="FG5" i="7"/>
  <c r="FF5" i="7"/>
  <c r="FE5" i="7"/>
  <c r="FD5" i="7"/>
  <c r="FC5" i="7"/>
  <c r="FB5" i="7"/>
  <c r="FA5" i="7"/>
  <c r="EZ5" i="7"/>
  <c r="EY5" i="7"/>
  <c r="EX5" i="7"/>
  <c r="EW5" i="7"/>
  <c r="EV5" i="7"/>
  <c r="EU5" i="7"/>
  <c r="ET5" i="7"/>
  <c r="ES5" i="7"/>
  <c r="ER5" i="7"/>
  <c r="EQ5" i="7"/>
  <c r="EP5" i="7"/>
  <c r="EO5" i="7"/>
  <c r="EN5" i="7"/>
  <c r="EM5" i="7"/>
  <c r="EL5" i="7"/>
  <c r="EK5" i="7"/>
  <c r="EJ5" i="7"/>
  <c r="EI5" i="7"/>
  <c r="EH5" i="7"/>
  <c r="EG5" i="7"/>
  <c r="EF5" i="7"/>
  <c r="EE5" i="7"/>
  <c r="ED5" i="7"/>
  <c r="EC5" i="7"/>
  <c r="EB5" i="7"/>
  <c r="EA5" i="7"/>
  <c r="DZ5" i="7"/>
  <c r="DY5" i="7"/>
  <c r="DX5" i="7"/>
  <c r="DW5" i="7"/>
  <c r="DV5" i="7"/>
  <c r="DU5" i="7"/>
  <c r="DT5" i="7"/>
  <c r="DS5" i="7"/>
  <c r="DR5" i="7"/>
  <c r="DQ5" i="7"/>
  <c r="DP5" i="7"/>
  <c r="DO5" i="7"/>
  <c r="DN5" i="7"/>
  <c r="DM5" i="7"/>
  <c r="DL5" i="7"/>
  <c r="DK5" i="7"/>
  <c r="DJ5" i="7"/>
  <c r="DI5" i="7"/>
  <c r="DH5" i="7"/>
  <c r="DG5" i="7"/>
  <c r="DF5" i="7"/>
  <c r="DE5" i="7"/>
  <c r="DD5" i="7"/>
  <c r="DC5" i="7"/>
  <c r="DB5" i="7"/>
  <c r="DA5" i="7"/>
  <c r="CZ5" i="7"/>
  <c r="CY5" i="7"/>
  <c r="CX5" i="7"/>
  <c r="CW5" i="7"/>
  <c r="CV5" i="7"/>
  <c r="CU5" i="7"/>
  <c r="CT5" i="7"/>
  <c r="CS5" i="7"/>
  <c r="CR5" i="7"/>
  <c r="CQ5" i="7"/>
  <c r="CP5" i="7"/>
  <c r="CO5" i="7"/>
  <c r="CN5" i="7"/>
  <c r="CM5" i="7"/>
  <c r="CL5" i="7"/>
  <c r="CK5" i="7"/>
  <c r="CJ5" i="7"/>
  <c r="CI5" i="7"/>
  <c r="CH5" i="7"/>
  <c r="CG5" i="7"/>
  <c r="CF5" i="7"/>
  <c r="CE5" i="7"/>
  <c r="CD5" i="7"/>
  <c r="CC5" i="7"/>
  <c r="CB5" i="7"/>
  <c r="CA5" i="7"/>
  <c r="BZ5" i="7"/>
  <c r="BY5" i="7"/>
  <c r="BX5" i="7"/>
  <c r="BW5" i="7"/>
  <c r="BV5" i="7"/>
  <c r="BU5" i="7"/>
  <c r="BT5" i="7"/>
  <c r="BS5" i="7"/>
  <c r="BR5" i="7"/>
  <c r="BQ5" i="7"/>
  <c r="BP5" i="7"/>
  <c r="BO5" i="7"/>
  <c r="BN5" i="7"/>
  <c r="BM5" i="7"/>
  <c r="BL5" i="7"/>
  <c r="BK5" i="7"/>
  <c r="BJ5" i="7"/>
  <c r="BI5" i="7"/>
  <c r="BH5" i="7"/>
  <c r="BG5" i="7"/>
  <c r="BF5" i="7"/>
  <c r="BE5" i="7"/>
  <c r="BD5" i="7"/>
  <c r="BC5" i="7"/>
  <c r="BB5" i="7"/>
  <c r="BA5" i="7"/>
  <c r="AZ5" i="7"/>
  <c r="AY5" i="7"/>
  <c r="AX5" i="7"/>
  <c r="AW5" i="7"/>
  <c r="AV5" i="7"/>
  <c r="AU5" i="7"/>
  <c r="AT5" i="7"/>
  <c r="AS5" i="7"/>
  <c r="AR5" i="7"/>
  <c r="AQ5" i="7"/>
  <c r="AP5" i="7"/>
  <c r="AO5" i="7"/>
  <c r="AN5" i="7"/>
  <c r="AM5" i="7"/>
  <c r="AL5" i="7"/>
  <c r="AK5" i="7"/>
  <c r="AJ5" i="7"/>
  <c r="AI5" i="7"/>
  <c r="AH5" i="7"/>
  <c r="AG5" i="7"/>
  <c r="AF5" i="7"/>
  <c r="AE5" i="7"/>
  <c r="AD5" i="7"/>
  <c r="AC5" i="7"/>
  <c r="AB5" i="7"/>
  <c r="AA5" i="7"/>
  <c r="Z5" i="7"/>
  <c r="Y5" i="7"/>
  <c r="X5" i="7"/>
  <c r="W5" i="7"/>
  <c r="V5" i="7"/>
  <c r="U5" i="7"/>
  <c r="T5" i="7"/>
  <c r="S5" i="7"/>
  <c r="R5" i="7"/>
  <c r="Q5" i="7"/>
  <c r="P5" i="7"/>
  <c r="O5" i="7"/>
  <c r="N5" i="7"/>
  <c r="M5" i="7"/>
  <c r="L5" i="7"/>
  <c r="K5" i="7"/>
  <c r="J5" i="7"/>
  <c r="I5" i="7"/>
  <c r="H5" i="7"/>
  <c r="G5" i="7"/>
  <c r="F5" i="7"/>
  <c r="E5" i="7"/>
  <c r="D5" i="7"/>
  <c r="C5" i="7"/>
  <c r="B5" i="7"/>
  <c r="A5" i="7"/>
  <c r="FO4" i="7"/>
  <c r="FN4" i="7"/>
  <c r="FM4" i="7"/>
  <c r="FL4" i="7"/>
  <c r="FK4" i="7"/>
  <c r="FJ4" i="7"/>
  <c r="FI4" i="7"/>
  <c r="FH4" i="7"/>
  <c r="FG4" i="7"/>
  <c r="FF4" i="7"/>
  <c r="FE4" i="7"/>
  <c r="FD4" i="7"/>
  <c r="FC4" i="7"/>
  <c r="FB4" i="7"/>
  <c r="FA4" i="7"/>
  <c r="EZ4" i="7"/>
  <c r="EY4" i="7"/>
  <c r="EX4" i="7"/>
  <c r="EW4" i="7"/>
  <c r="EV4" i="7"/>
  <c r="EU4" i="7"/>
  <c r="ET4" i="7"/>
  <c r="ES4" i="7"/>
  <c r="ER4" i="7"/>
  <c r="EQ4" i="7"/>
  <c r="EP4" i="7"/>
  <c r="EO4" i="7"/>
  <c r="EN4" i="7"/>
  <c r="EM4" i="7"/>
  <c r="EL4" i="7"/>
  <c r="EK4" i="7"/>
  <c r="EJ4" i="7"/>
  <c r="EI4" i="7"/>
  <c r="EH4" i="7"/>
  <c r="EG4" i="7"/>
  <c r="EF4" i="7"/>
  <c r="EE4" i="7"/>
  <c r="ED4" i="7"/>
  <c r="EC4" i="7"/>
  <c r="EB4" i="7"/>
  <c r="EA4" i="7"/>
  <c r="DZ4" i="7"/>
  <c r="DY4" i="7"/>
  <c r="DX4" i="7"/>
  <c r="DW4" i="7"/>
  <c r="DV4" i="7"/>
  <c r="DU4" i="7"/>
  <c r="DT4" i="7"/>
  <c r="DS4" i="7"/>
  <c r="DR4" i="7"/>
  <c r="DQ4" i="7"/>
  <c r="DP4" i="7"/>
  <c r="DO4" i="7"/>
  <c r="DN4" i="7"/>
  <c r="DM4" i="7"/>
  <c r="DL4" i="7"/>
  <c r="DK4" i="7"/>
  <c r="DJ4" i="7"/>
  <c r="DI4" i="7"/>
  <c r="DH4" i="7"/>
  <c r="DG4" i="7"/>
  <c r="DF4" i="7"/>
  <c r="DE4" i="7"/>
  <c r="DD4" i="7"/>
  <c r="DC4" i="7"/>
  <c r="DB4" i="7"/>
  <c r="DA4" i="7"/>
  <c r="CZ4" i="7"/>
  <c r="CY4" i="7"/>
  <c r="CX4" i="7"/>
  <c r="CW4" i="7"/>
  <c r="CV4" i="7"/>
  <c r="CU4" i="7"/>
  <c r="CT4" i="7"/>
  <c r="CS4" i="7"/>
  <c r="CR4" i="7"/>
  <c r="CQ4" i="7"/>
  <c r="CP4" i="7"/>
  <c r="CO4" i="7"/>
  <c r="CN4" i="7"/>
  <c r="CM4" i="7"/>
  <c r="CL4" i="7"/>
  <c r="CK4" i="7"/>
  <c r="CJ4" i="7"/>
  <c r="CI4" i="7"/>
  <c r="CH4" i="7"/>
  <c r="CG4" i="7"/>
  <c r="CF4" i="7"/>
  <c r="CE4" i="7"/>
  <c r="CD4" i="7"/>
  <c r="CC4" i="7"/>
  <c r="CB4" i="7"/>
  <c r="CA4" i="7"/>
  <c r="BZ4" i="7"/>
  <c r="BY4" i="7"/>
  <c r="BX4" i="7"/>
  <c r="BW4" i="7"/>
  <c r="BV4" i="7"/>
  <c r="BU4" i="7"/>
  <c r="BT4" i="7"/>
  <c r="BS4" i="7"/>
  <c r="BR4" i="7"/>
  <c r="BQ4" i="7"/>
  <c r="BP4" i="7"/>
  <c r="BO4" i="7"/>
  <c r="BN4" i="7"/>
  <c r="BM4" i="7"/>
  <c r="BL4" i="7"/>
  <c r="BK4" i="7"/>
  <c r="BJ4" i="7"/>
  <c r="BI4" i="7"/>
  <c r="BH4" i="7"/>
  <c r="BG4" i="7"/>
  <c r="BF4" i="7"/>
  <c r="BE4" i="7"/>
  <c r="BD4" i="7"/>
  <c r="BC4" i="7"/>
  <c r="BB4" i="7"/>
  <c r="BA4" i="7"/>
  <c r="AZ4" i="7"/>
  <c r="AY4" i="7"/>
  <c r="AX4" i="7"/>
  <c r="AW4" i="7"/>
  <c r="AV4" i="7"/>
  <c r="AU4" i="7"/>
  <c r="AT4" i="7"/>
  <c r="AS4" i="7"/>
  <c r="AR4" i="7"/>
  <c r="AQ4" i="7"/>
  <c r="AP4" i="7"/>
  <c r="AO4" i="7"/>
  <c r="AN4" i="7"/>
  <c r="AM4" i="7"/>
  <c r="AL4" i="7"/>
  <c r="AK4" i="7"/>
  <c r="AJ4" i="7"/>
  <c r="AI4" i="7"/>
  <c r="AH4" i="7"/>
  <c r="AG4" i="7"/>
  <c r="AF4" i="7"/>
  <c r="AE4" i="7"/>
  <c r="AD4" i="7"/>
  <c r="AC4" i="7"/>
  <c r="AB4" i="7"/>
  <c r="AA4" i="7"/>
  <c r="Z4" i="7"/>
  <c r="Y4" i="7"/>
  <c r="X4" i="7"/>
  <c r="W4" i="7"/>
  <c r="V4" i="7"/>
  <c r="U4" i="7"/>
  <c r="T4" i="7"/>
  <c r="S4" i="7"/>
  <c r="R4" i="7"/>
  <c r="Q4" i="7"/>
  <c r="P4" i="7"/>
  <c r="O4" i="7"/>
  <c r="N4" i="7"/>
  <c r="M4" i="7"/>
  <c r="L4" i="7"/>
  <c r="K4" i="7"/>
  <c r="J4" i="7"/>
  <c r="I4" i="7"/>
  <c r="H4" i="7"/>
  <c r="G4" i="7"/>
  <c r="F4" i="7"/>
  <c r="E4" i="7"/>
  <c r="D4" i="7"/>
  <c r="C4" i="7"/>
  <c r="B4" i="7"/>
  <c r="A4" i="7"/>
  <c r="FO3" i="7"/>
  <c r="FN3" i="7"/>
  <c r="FM3" i="7"/>
  <c r="FL3" i="7"/>
  <c r="FK3" i="7"/>
  <c r="FJ3" i="7"/>
  <c r="FI3" i="7"/>
  <c r="FH3" i="7"/>
  <c r="FG3" i="7"/>
  <c r="FF3" i="7"/>
  <c r="FE3" i="7"/>
  <c r="FD3" i="7"/>
  <c r="FC3" i="7"/>
  <c r="FB3" i="7"/>
  <c r="FA3" i="7"/>
  <c r="EZ3" i="7"/>
  <c r="EY3" i="7"/>
  <c r="EX3" i="7"/>
  <c r="EW3" i="7"/>
  <c r="EV3" i="7"/>
  <c r="EU3" i="7"/>
  <c r="ET3" i="7"/>
  <c r="ES3" i="7"/>
  <c r="ER3" i="7"/>
  <c r="EQ3" i="7"/>
  <c r="EP3" i="7"/>
  <c r="EO3" i="7"/>
  <c r="EN3" i="7"/>
  <c r="EM3" i="7"/>
  <c r="EL3" i="7"/>
  <c r="EK3" i="7"/>
  <c r="EJ3" i="7"/>
  <c r="EI3" i="7"/>
  <c r="EH3" i="7"/>
  <c r="EG3" i="7"/>
  <c r="EF3" i="7"/>
  <c r="EE3" i="7"/>
  <c r="ED3" i="7"/>
  <c r="EC3" i="7"/>
  <c r="EB3" i="7"/>
  <c r="EA3" i="7"/>
  <c r="DZ3" i="7"/>
  <c r="DY3" i="7"/>
  <c r="DX3" i="7"/>
  <c r="DW3" i="7"/>
  <c r="DV3" i="7"/>
  <c r="DU3" i="7"/>
  <c r="DT3" i="7"/>
  <c r="DS3" i="7"/>
  <c r="DR3" i="7"/>
  <c r="DQ3" i="7"/>
  <c r="DP3" i="7"/>
  <c r="DO3" i="7"/>
  <c r="DN3" i="7"/>
  <c r="DM3" i="7"/>
  <c r="DL3" i="7"/>
  <c r="DK3" i="7"/>
  <c r="DJ3" i="7"/>
  <c r="DI3" i="7"/>
  <c r="DH3" i="7"/>
  <c r="DG3" i="7"/>
  <c r="DF3" i="7"/>
  <c r="DE3" i="7"/>
  <c r="DD3" i="7"/>
  <c r="DC3" i="7"/>
  <c r="DB3" i="7"/>
  <c r="DA3" i="7"/>
  <c r="CZ3" i="7"/>
  <c r="CY3" i="7"/>
  <c r="CX3" i="7"/>
  <c r="CW3" i="7"/>
  <c r="CV3" i="7"/>
  <c r="CU3" i="7"/>
  <c r="CT3" i="7"/>
  <c r="CS3" i="7"/>
  <c r="CR3" i="7"/>
  <c r="CQ3" i="7"/>
  <c r="CP3" i="7"/>
  <c r="CO3" i="7"/>
  <c r="CN3" i="7"/>
  <c r="CM3" i="7"/>
  <c r="CL3" i="7"/>
  <c r="CK3" i="7"/>
  <c r="CJ3" i="7"/>
  <c r="CI3" i="7"/>
  <c r="CH3" i="7"/>
  <c r="CG3" i="7"/>
  <c r="CF3" i="7"/>
  <c r="CE3" i="7"/>
  <c r="CD3" i="7"/>
  <c r="CC3" i="7"/>
  <c r="CB3" i="7"/>
  <c r="CA3" i="7"/>
  <c r="BZ3" i="7"/>
  <c r="BY3" i="7"/>
  <c r="BX3" i="7"/>
  <c r="BW3" i="7"/>
  <c r="BV3" i="7"/>
  <c r="BU3" i="7"/>
  <c r="BT3" i="7"/>
  <c r="BS3" i="7"/>
  <c r="BR3" i="7"/>
  <c r="BQ3" i="7"/>
  <c r="BP3" i="7"/>
  <c r="BO3" i="7"/>
  <c r="BN3" i="7"/>
  <c r="BM3" i="7"/>
  <c r="BL3" i="7"/>
  <c r="BK3" i="7"/>
  <c r="BJ3" i="7"/>
  <c r="BI3" i="7"/>
  <c r="BH3" i="7"/>
  <c r="BG3" i="7"/>
  <c r="BF3" i="7"/>
  <c r="BE3" i="7"/>
  <c r="BD3" i="7"/>
  <c r="BC3" i="7"/>
  <c r="BB3" i="7"/>
  <c r="BA3" i="7"/>
  <c r="AZ3" i="7"/>
  <c r="AY3" i="7"/>
  <c r="AX3" i="7"/>
  <c r="AW3" i="7"/>
  <c r="AV3" i="7"/>
  <c r="AU3" i="7"/>
  <c r="AT3" i="7"/>
  <c r="AS3" i="7"/>
  <c r="AR3" i="7"/>
  <c r="AQ3" i="7"/>
  <c r="AP3" i="7"/>
  <c r="AO3" i="7"/>
  <c r="AN3" i="7"/>
  <c r="AM3" i="7"/>
  <c r="AL3" i="7"/>
  <c r="AK3" i="7"/>
  <c r="AJ3" i="7"/>
  <c r="AI3" i="7"/>
  <c r="AH3" i="7"/>
  <c r="AG3" i="7"/>
  <c r="AF3" i="7"/>
  <c r="AE3" i="7"/>
  <c r="AD3" i="7"/>
  <c r="AC3" i="7"/>
  <c r="AB3" i="7"/>
  <c r="AA3" i="7"/>
  <c r="Z3" i="7"/>
  <c r="Y3" i="7"/>
  <c r="X3" i="7"/>
  <c r="W3" i="7"/>
  <c r="V3" i="7"/>
  <c r="U3" i="7"/>
  <c r="T3" i="7"/>
  <c r="S3" i="7"/>
  <c r="R3" i="7"/>
  <c r="Q3" i="7"/>
  <c r="P3" i="7"/>
  <c r="O3" i="7"/>
  <c r="N3" i="7"/>
  <c r="M3" i="7"/>
  <c r="L3" i="7"/>
  <c r="K3" i="7"/>
  <c r="J3" i="7"/>
  <c r="I3" i="7"/>
  <c r="H3" i="7"/>
  <c r="G3" i="7"/>
  <c r="F3" i="7"/>
  <c r="E3" i="7"/>
  <c r="D3" i="7"/>
  <c r="C3" i="7"/>
  <c r="B3" i="7"/>
  <c r="AR2" i="7"/>
  <c r="B2" i="7"/>
  <c r="A2" i="7"/>
  <c r="A1" i="7"/>
  <c r="J129" i="6"/>
  <c r="I129" i="6"/>
  <c r="H129" i="6"/>
  <c r="G129" i="6"/>
  <c r="F129" i="6"/>
  <c r="E129" i="6"/>
  <c r="D129" i="6"/>
  <c r="C129" i="6"/>
  <c r="B129" i="6"/>
  <c r="A129" i="6"/>
  <c r="J128" i="6"/>
  <c r="I128" i="6"/>
  <c r="H128" i="6"/>
  <c r="G128" i="6"/>
  <c r="F128" i="6"/>
  <c r="E128" i="6"/>
  <c r="D128" i="6"/>
  <c r="C128" i="6"/>
  <c r="B128" i="6"/>
  <c r="A128" i="6"/>
  <c r="J127" i="6"/>
  <c r="I127" i="6"/>
  <c r="H127" i="6"/>
  <c r="G127" i="6"/>
  <c r="F127" i="6"/>
  <c r="D127" i="6"/>
  <c r="C127" i="6"/>
  <c r="B127" i="6"/>
  <c r="A127" i="6"/>
  <c r="J126" i="6"/>
  <c r="I126" i="6"/>
  <c r="H126" i="6"/>
  <c r="G126" i="6"/>
  <c r="F126" i="6"/>
  <c r="E126" i="6"/>
  <c r="D126" i="6"/>
  <c r="C126" i="6"/>
  <c r="B126" i="6"/>
  <c r="A126" i="6"/>
  <c r="J125" i="6"/>
  <c r="I125" i="6"/>
  <c r="H125" i="6"/>
  <c r="G125" i="6"/>
  <c r="F125" i="6"/>
  <c r="D125" i="6"/>
  <c r="C125" i="6"/>
  <c r="B125" i="6"/>
  <c r="A125" i="6"/>
  <c r="J124" i="6"/>
  <c r="I124" i="6"/>
  <c r="H124" i="6"/>
  <c r="G124" i="6"/>
  <c r="F124" i="6"/>
  <c r="D124" i="6"/>
  <c r="C124" i="6"/>
  <c r="B124" i="6"/>
  <c r="A124" i="6"/>
  <c r="J123" i="6"/>
  <c r="I123" i="6"/>
  <c r="H123" i="6"/>
  <c r="G123" i="6"/>
  <c r="F123" i="6"/>
  <c r="D123" i="6"/>
  <c r="C123" i="6"/>
  <c r="B123" i="6"/>
  <c r="A123" i="6"/>
  <c r="J122" i="6"/>
  <c r="I122" i="6"/>
  <c r="H122" i="6"/>
  <c r="G122" i="6"/>
  <c r="F122" i="6"/>
  <c r="E122" i="6"/>
  <c r="D122" i="6"/>
  <c r="C122" i="6"/>
  <c r="B122" i="6"/>
  <c r="A122" i="6"/>
  <c r="J121" i="6"/>
  <c r="I121" i="6"/>
  <c r="H121" i="6"/>
  <c r="G121" i="6"/>
  <c r="F121" i="6"/>
  <c r="E121" i="6"/>
  <c r="D121" i="6"/>
  <c r="C121" i="6"/>
  <c r="B121" i="6"/>
  <c r="A121" i="6"/>
  <c r="J120" i="6"/>
  <c r="I120" i="6"/>
  <c r="H120" i="6"/>
  <c r="G120" i="6"/>
  <c r="F120" i="6"/>
  <c r="E120" i="6"/>
  <c r="D120" i="6"/>
  <c r="C120" i="6"/>
  <c r="B120" i="6"/>
  <c r="A120" i="6"/>
  <c r="J119" i="6"/>
  <c r="I119" i="6"/>
  <c r="H119" i="6"/>
  <c r="G119" i="6"/>
  <c r="F119" i="6"/>
  <c r="E119" i="6"/>
  <c r="D119" i="6"/>
  <c r="C119" i="6"/>
  <c r="B119" i="6"/>
  <c r="A119" i="6"/>
  <c r="J118" i="6"/>
  <c r="I118" i="6"/>
  <c r="H118" i="6"/>
  <c r="G118" i="6"/>
  <c r="F118" i="6"/>
  <c r="E118" i="6"/>
  <c r="D118" i="6"/>
  <c r="C118" i="6"/>
  <c r="B118" i="6"/>
  <c r="A118" i="6"/>
  <c r="J117" i="6"/>
  <c r="I117" i="6"/>
  <c r="H117" i="6"/>
  <c r="G117" i="6"/>
  <c r="F117" i="6"/>
  <c r="E117" i="6"/>
  <c r="D117" i="6"/>
  <c r="C117" i="6"/>
  <c r="B117" i="6"/>
  <c r="A117" i="6"/>
  <c r="J116" i="6"/>
  <c r="I116" i="6"/>
  <c r="H116" i="6"/>
  <c r="G116" i="6"/>
  <c r="F116" i="6"/>
  <c r="D116" i="6"/>
  <c r="C116" i="6"/>
  <c r="B116" i="6"/>
  <c r="A116" i="6"/>
  <c r="J115" i="6"/>
  <c r="I115" i="6"/>
  <c r="H115" i="6"/>
  <c r="G115" i="6"/>
  <c r="F115" i="6"/>
  <c r="D115" i="6"/>
  <c r="C115" i="6"/>
  <c r="B115" i="6"/>
  <c r="A115" i="6"/>
  <c r="J114" i="6"/>
  <c r="I114" i="6"/>
  <c r="H114" i="6"/>
  <c r="G114" i="6"/>
  <c r="F114" i="6"/>
  <c r="D114" i="6"/>
  <c r="C114" i="6"/>
  <c r="B114" i="6"/>
  <c r="A114" i="6"/>
  <c r="J113" i="6"/>
  <c r="I113" i="6"/>
  <c r="H113" i="6"/>
  <c r="G113" i="6"/>
  <c r="F113" i="6"/>
  <c r="D113" i="6"/>
  <c r="C113" i="6"/>
  <c r="B113" i="6"/>
  <c r="A113" i="6"/>
  <c r="J112" i="6"/>
  <c r="I112" i="6"/>
  <c r="H112" i="6"/>
  <c r="G112" i="6"/>
  <c r="F112" i="6"/>
  <c r="D112" i="6"/>
  <c r="C112" i="6"/>
  <c r="B112" i="6"/>
  <c r="A112" i="6"/>
  <c r="J111" i="6"/>
  <c r="I111" i="6"/>
  <c r="H111" i="6"/>
  <c r="G111" i="6"/>
  <c r="F111" i="6"/>
  <c r="E111" i="6"/>
  <c r="D111" i="6"/>
  <c r="C111" i="6"/>
  <c r="B111" i="6"/>
  <c r="A111" i="6"/>
  <c r="J110" i="6"/>
  <c r="I110" i="6"/>
  <c r="H110" i="6"/>
  <c r="G110" i="6"/>
  <c r="F110" i="6"/>
  <c r="D110" i="6"/>
  <c r="C110" i="6"/>
  <c r="B110" i="6"/>
  <c r="A110" i="6"/>
  <c r="J109" i="6"/>
  <c r="I109" i="6"/>
  <c r="H109" i="6"/>
  <c r="G109" i="6"/>
  <c r="F109" i="6"/>
  <c r="E109" i="6"/>
  <c r="D109" i="6"/>
  <c r="C109" i="6"/>
  <c r="B109" i="6"/>
  <c r="A109" i="6"/>
  <c r="J108" i="6"/>
  <c r="I108" i="6"/>
  <c r="H108" i="6"/>
  <c r="G108" i="6"/>
  <c r="F108" i="6"/>
  <c r="E108" i="6"/>
  <c r="D108" i="6"/>
  <c r="C108" i="6"/>
  <c r="B108" i="6"/>
  <c r="A108" i="6"/>
  <c r="J107" i="6"/>
  <c r="I107" i="6"/>
  <c r="H107" i="6"/>
  <c r="G107" i="6"/>
  <c r="D107" i="6"/>
  <c r="C107" i="6"/>
  <c r="B107" i="6"/>
  <c r="A107" i="6"/>
  <c r="J106" i="6"/>
  <c r="I106" i="6"/>
  <c r="H106" i="6"/>
  <c r="G106" i="6"/>
  <c r="F106" i="6"/>
  <c r="D106" i="6"/>
  <c r="C106" i="6"/>
  <c r="B106" i="6"/>
  <c r="A106" i="6"/>
  <c r="J105" i="6"/>
  <c r="I105" i="6"/>
  <c r="H105" i="6"/>
  <c r="G105" i="6"/>
  <c r="F105" i="6"/>
  <c r="D105" i="6"/>
  <c r="C105" i="6"/>
  <c r="B105" i="6"/>
  <c r="A105" i="6"/>
  <c r="J104" i="6"/>
  <c r="I104" i="6"/>
  <c r="H104" i="6"/>
  <c r="G104" i="6"/>
  <c r="F104" i="6"/>
  <c r="D104" i="6"/>
  <c r="C104" i="6"/>
  <c r="B104" i="6"/>
  <c r="A104" i="6"/>
  <c r="J103" i="6"/>
  <c r="I103" i="6"/>
  <c r="H103" i="6"/>
  <c r="G103" i="6"/>
  <c r="F103" i="6"/>
  <c r="D103" i="6"/>
  <c r="C103" i="6"/>
  <c r="B103" i="6"/>
  <c r="A103" i="6"/>
  <c r="J102" i="6"/>
  <c r="I102" i="6"/>
  <c r="H102" i="6"/>
  <c r="G102" i="6"/>
  <c r="F102" i="6"/>
  <c r="D102" i="6"/>
  <c r="C102" i="6"/>
  <c r="B102" i="6"/>
  <c r="A102" i="6"/>
  <c r="J101" i="6"/>
  <c r="I101" i="6"/>
  <c r="H101" i="6"/>
  <c r="G101" i="6"/>
  <c r="F101" i="6"/>
  <c r="D101" i="6"/>
  <c r="C101" i="6"/>
  <c r="B101" i="6"/>
  <c r="A101" i="6"/>
  <c r="J100" i="6"/>
  <c r="I100" i="6"/>
  <c r="H100" i="6"/>
  <c r="G100" i="6"/>
  <c r="F100" i="6"/>
  <c r="D100" i="6"/>
  <c r="C100" i="6"/>
  <c r="B100" i="6"/>
  <c r="A100" i="6"/>
  <c r="J99" i="6"/>
  <c r="I99" i="6"/>
  <c r="H99" i="6"/>
  <c r="G99" i="6"/>
  <c r="F99" i="6"/>
  <c r="D99" i="6"/>
  <c r="C99" i="6"/>
  <c r="B99" i="6"/>
  <c r="A99" i="6"/>
  <c r="J98" i="6"/>
  <c r="I98" i="6"/>
  <c r="H98" i="6"/>
  <c r="G98" i="6"/>
  <c r="F98" i="6"/>
  <c r="D98" i="6"/>
  <c r="C98" i="6"/>
  <c r="B98" i="6"/>
  <c r="A98" i="6"/>
  <c r="J97" i="6"/>
  <c r="I97" i="6"/>
  <c r="H97" i="6"/>
  <c r="G97" i="6"/>
  <c r="F97" i="6"/>
  <c r="D97" i="6"/>
  <c r="C97" i="6"/>
  <c r="B97" i="6"/>
  <c r="A97" i="6"/>
  <c r="J96" i="6"/>
  <c r="I96" i="6"/>
  <c r="H96" i="6"/>
  <c r="G96" i="6"/>
  <c r="F96" i="6"/>
  <c r="D96" i="6"/>
  <c r="C96" i="6"/>
  <c r="B96" i="6"/>
  <c r="A96" i="6"/>
  <c r="J95" i="6"/>
  <c r="I95" i="6"/>
  <c r="H95" i="6"/>
  <c r="G95" i="6"/>
  <c r="F95" i="6"/>
  <c r="D95" i="6"/>
  <c r="C95" i="6"/>
  <c r="B95" i="6"/>
  <c r="A95" i="6"/>
  <c r="J94" i="6"/>
  <c r="I94" i="6"/>
  <c r="H94" i="6"/>
  <c r="G94" i="6"/>
  <c r="F94" i="6"/>
  <c r="D94" i="6"/>
  <c r="C94" i="6"/>
  <c r="B94" i="6"/>
  <c r="A94" i="6"/>
  <c r="J93" i="6"/>
  <c r="I93" i="6"/>
  <c r="H93" i="6"/>
  <c r="G93" i="6"/>
  <c r="F93" i="6"/>
  <c r="D93" i="6"/>
  <c r="C93" i="6"/>
  <c r="B93" i="6"/>
  <c r="A93" i="6"/>
  <c r="J92" i="6"/>
  <c r="I92" i="6"/>
  <c r="H92" i="6"/>
  <c r="G92" i="6"/>
  <c r="F92" i="6"/>
  <c r="D92" i="6"/>
  <c r="C92" i="6"/>
  <c r="B92" i="6"/>
  <c r="A92" i="6"/>
  <c r="J91" i="6"/>
  <c r="I91" i="6"/>
  <c r="H91" i="6"/>
  <c r="G91" i="6"/>
  <c r="F91" i="6"/>
  <c r="D91" i="6"/>
  <c r="C91" i="6"/>
  <c r="B91" i="6"/>
  <c r="A91" i="6"/>
  <c r="J90" i="6"/>
  <c r="I90" i="6"/>
  <c r="H90" i="6"/>
  <c r="G90" i="6"/>
  <c r="F90" i="6"/>
  <c r="D90" i="6"/>
  <c r="C90" i="6"/>
  <c r="B90" i="6"/>
  <c r="A90" i="6"/>
  <c r="J89" i="6"/>
  <c r="I89" i="6"/>
  <c r="H89" i="6"/>
  <c r="G89" i="6"/>
  <c r="F89" i="6"/>
  <c r="D89" i="6"/>
  <c r="C89" i="6"/>
  <c r="B89" i="6"/>
  <c r="A89" i="6"/>
  <c r="L88" i="6"/>
  <c r="J88" i="6"/>
  <c r="I88" i="6"/>
  <c r="H88" i="6"/>
  <c r="G88" i="6"/>
  <c r="F88" i="6"/>
  <c r="D88" i="6"/>
  <c r="C88" i="6"/>
  <c r="B88" i="6"/>
  <c r="A88" i="6"/>
  <c r="L87" i="6"/>
  <c r="J87" i="6"/>
  <c r="I87" i="6"/>
  <c r="H87" i="6"/>
  <c r="G87" i="6"/>
  <c r="F87" i="6"/>
  <c r="E87" i="6"/>
  <c r="D87" i="6"/>
  <c r="C87" i="6"/>
  <c r="B87" i="6"/>
  <c r="A87" i="6"/>
  <c r="L86" i="6"/>
  <c r="J86" i="6"/>
  <c r="I86" i="6"/>
  <c r="H86" i="6"/>
  <c r="G86" i="6"/>
  <c r="F86" i="6"/>
  <c r="E86" i="6"/>
  <c r="D86" i="6"/>
  <c r="C86" i="6"/>
  <c r="B86" i="6"/>
  <c r="A86" i="6"/>
  <c r="L85" i="6"/>
  <c r="J85" i="6"/>
  <c r="I85" i="6"/>
  <c r="H85" i="6"/>
  <c r="G85" i="6"/>
  <c r="F85" i="6"/>
  <c r="E85" i="6"/>
  <c r="D85" i="6"/>
  <c r="C85" i="6"/>
  <c r="B85" i="6"/>
  <c r="A85" i="6"/>
  <c r="L84" i="6"/>
  <c r="J84" i="6"/>
  <c r="I84" i="6"/>
  <c r="H84" i="6"/>
  <c r="G84" i="6"/>
  <c r="F84" i="6"/>
  <c r="E84" i="6"/>
  <c r="D84" i="6"/>
  <c r="C84" i="6"/>
  <c r="B84" i="6"/>
  <c r="A84" i="6"/>
  <c r="L83" i="6"/>
  <c r="J83" i="6"/>
  <c r="I83" i="6"/>
  <c r="H83" i="6"/>
  <c r="G83" i="6"/>
  <c r="F83" i="6"/>
  <c r="E83" i="6"/>
  <c r="D83" i="6"/>
  <c r="C83" i="6"/>
  <c r="B83" i="6"/>
  <c r="A83" i="6"/>
  <c r="L82" i="6"/>
  <c r="J82" i="6"/>
  <c r="I82" i="6"/>
  <c r="H82" i="6"/>
  <c r="G82" i="6"/>
  <c r="F82" i="6"/>
  <c r="E82" i="6"/>
  <c r="D82" i="6"/>
  <c r="C82" i="6"/>
  <c r="B82" i="6"/>
  <c r="A82" i="6"/>
  <c r="L81" i="6"/>
  <c r="J81" i="6"/>
  <c r="I81" i="6"/>
  <c r="H81" i="6"/>
  <c r="G81" i="6"/>
  <c r="F81" i="6"/>
  <c r="D81" i="6"/>
  <c r="C81" i="6"/>
  <c r="B81" i="6"/>
  <c r="A81" i="6"/>
  <c r="L80" i="6"/>
  <c r="J80" i="6"/>
  <c r="I80" i="6"/>
  <c r="H80" i="6"/>
  <c r="G80" i="6"/>
  <c r="F80" i="6"/>
  <c r="D80" i="6"/>
  <c r="C80" i="6"/>
  <c r="B80" i="6"/>
  <c r="A80" i="6"/>
  <c r="L79" i="6"/>
  <c r="J79" i="6"/>
  <c r="I79" i="6"/>
  <c r="H79" i="6"/>
  <c r="G79" i="6"/>
  <c r="F79" i="6"/>
  <c r="D79" i="6"/>
  <c r="C79" i="6"/>
  <c r="B79" i="6"/>
  <c r="A79" i="6"/>
  <c r="L78" i="6"/>
  <c r="J78" i="6"/>
  <c r="I78" i="6"/>
  <c r="H78" i="6"/>
  <c r="G78" i="6"/>
  <c r="F78" i="6"/>
  <c r="D78" i="6"/>
  <c r="C78" i="6"/>
  <c r="B78" i="6"/>
  <c r="A78" i="6"/>
  <c r="L77" i="6"/>
  <c r="J77" i="6"/>
  <c r="I77" i="6"/>
  <c r="H77" i="6"/>
  <c r="G77" i="6"/>
  <c r="F77" i="6"/>
  <c r="E77" i="6"/>
  <c r="D77" i="6"/>
  <c r="C77" i="6"/>
  <c r="B77" i="6"/>
  <c r="A77" i="6"/>
  <c r="L76" i="6"/>
  <c r="J76" i="6"/>
  <c r="I76" i="6"/>
  <c r="H76" i="6"/>
  <c r="G76" i="6"/>
  <c r="F76" i="6"/>
  <c r="E76" i="6"/>
  <c r="D76" i="6"/>
  <c r="C76" i="6"/>
  <c r="B76" i="6"/>
  <c r="A76" i="6"/>
  <c r="L75" i="6"/>
  <c r="J75" i="6"/>
  <c r="I75" i="6"/>
  <c r="H75" i="6"/>
  <c r="G75" i="6"/>
  <c r="F75" i="6"/>
  <c r="E75" i="6"/>
  <c r="D75" i="6"/>
  <c r="C75" i="6"/>
  <c r="B75" i="6"/>
  <c r="A75" i="6"/>
  <c r="L74" i="6"/>
  <c r="J74" i="6"/>
  <c r="I74" i="6"/>
  <c r="H74" i="6"/>
  <c r="G74" i="6"/>
  <c r="F74" i="6"/>
  <c r="D74" i="6"/>
  <c r="C74" i="6"/>
  <c r="B74" i="6"/>
  <c r="A74" i="6"/>
  <c r="L73" i="6"/>
  <c r="J73" i="6"/>
  <c r="I73" i="6"/>
  <c r="H73" i="6"/>
  <c r="G73" i="6"/>
  <c r="F73" i="6"/>
  <c r="E73" i="6"/>
  <c r="D73" i="6"/>
  <c r="C73" i="6"/>
  <c r="B73" i="6"/>
  <c r="A73" i="6"/>
  <c r="L72" i="6"/>
  <c r="J72" i="6"/>
  <c r="I72" i="6"/>
  <c r="H72" i="6"/>
  <c r="G72" i="6"/>
  <c r="F72" i="6"/>
  <c r="E72" i="6"/>
  <c r="D72" i="6"/>
  <c r="C72" i="6"/>
  <c r="B72" i="6"/>
  <c r="A72" i="6"/>
  <c r="L71" i="6"/>
  <c r="J71" i="6"/>
  <c r="I71" i="6"/>
  <c r="H71" i="6"/>
  <c r="G71" i="6"/>
  <c r="F71" i="6"/>
  <c r="D71" i="6"/>
  <c r="C71" i="6"/>
  <c r="B71" i="6"/>
  <c r="A71" i="6"/>
  <c r="L70" i="6"/>
  <c r="J70" i="6"/>
  <c r="I70" i="6"/>
  <c r="H70" i="6"/>
  <c r="G70" i="6"/>
  <c r="F70" i="6"/>
  <c r="E70" i="6"/>
  <c r="D70" i="6"/>
  <c r="C70" i="6"/>
  <c r="B70" i="6"/>
  <c r="A70" i="6"/>
  <c r="L69" i="6"/>
  <c r="J69" i="6"/>
  <c r="I69" i="6"/>
  <c r="H69" i="6"/>
  <c r="G69" i="6"/>
  <c r="F69" i="6"/>
  <c r="E69" i="6"/>
  <c r="D69" i="6"/>
  <c r="C69" i="6"/>
  <c r="B69" i="6"/>
  <c r="A69" i="6"/>
  <c r="L68" i="6"/>
  <c r="J68" i="6"/>
  <c r="I68" i="6"/>
  <c r="H68" i="6"/>
  <c r="G68" i="6"/>
  <c r="F68" i="6"/>
  <c r="D68" i="6"/>
  <c r="C68" i="6"/>
  <c r="B68" i="6"/>
  <c r="A68" i="6"/>
  <c r="L67" i="6"/>
  <c r="J67" i="6"/>
  <c r="I67" i="6"/>
  <c r="H67" i="6"/>
  <c r="G67" i="6"/>
  <c r="F67" i="6"/>
  <c r="D67" i="6"/>
  <c r="C67" i="6"/>
  <c r="B67" i="6"/>
  <c r="A67" i="6"/>
  <c r="L66" i="6"/>
  <c r="J66" i="6"/>
  <c r="I66" i="6"/>
  <c r="H66" i="6"/>
  <c r="G66" i="6"/>
  <c r="F66" i="6"/>
  <c r="E66" i="6"/>
  <c r="D66" i="6"/>
  <c r="C66" i="6"/>
  <c r="B66" i="6"/>
  <c r="A66" i="6"/>
  <c r="L65" i="6"/>
  <c r="J65" i="6"/>
  <c r="I65" i="6"/>
  <c r="H65" i="6"/>
  <c r="G65" i="6"/>
  <c r="F65" i="6"/>
  <c r="E65" i="6"/>
  <c r="D65" i="6"/>
  <c r="C65" i="6"/>
  <c r="B65" i="6"/>
  <c r="A65" i="6"/>
  <c r="L64" i="6"/>
  <c r="J64" i="6"/>
  <c r="I64" i="6"/>
  <c r="H64" i="6"/>
  <c r="G64" i="6"/>
  <c r="F64" i="6"/>
  <c r="E64" i="6"/>
  <c r="D64" i="6"/>
  <c r="C64" i="6"/>
  <c r="B64" i="6"/>
  <c r="A64" i="6"/>
  <c r="L63" i="6"/>
  <c r="J63" i="6"/>
  <c r="I63" i="6"/>
  <c r="H63" i="6"/>
  <c r="G63" i="6"/>
  <c r="F63" i="6"/>
  <c r="E63" i="6"/>
  <c r="D63" i="6"/>
  <c r="C63" i="6"/>
  <c r="B63" i="6"/>
  <c r="A63" i="6"/>
  <c r="L62" i="6"/>
  <c r="J62" i="6"/>
  <c r="I62" i="6"/>
  <c r="H62" i="6"/>
  <c r="G62" i="6"/>
  <c r="F62" i="6"/>
  <c r="E62" i="6"/>
  <c r="D62" i="6"/>
  <c r="C62" i="6"/>
  <c r="B62" i="6"/>
  <c r="A62" i="6"/>
  <c r="L61" i="6"/>
  <c r="J61" i="6"/>
  <c r="I61" i="6"/>
  <c r="H61" i="6"/>
  <c r="G61" i="6"/>
  <c r="F61" i="6"/>
  <c r="E61" i="6"/>
  <c r="D61" i="6"/>
  <c r="C61" i="6"/>
  <c r="B61" i="6"/>
  <c r="A61" i="6"/>
  <c r="L60" i="6"/>
  <c r="J60" i="6"/>
  <c r="I60" i="6"/>
  <c r="H60" i="6"/>
  <c r="G60" i="6"/>
  <c r="F60" i="6"/>
  <c r="E60" i="6"/>
  <c r="D60" i="6"/>
  <c r="C60" i="6"/>
  <c r="B60" i="6"/>
  <c r="A60" i="6"/>
  <c r="L59" i="6"/>
  <c r="J59" i="6"/>
  <c r="I59" i="6"/>
  <c r="H59" i="6"/>
  <c r="G59" i="6"/>
  <c r="F59" i="6"/>
  <c r="E59" i="6"/>
  <c r="D59" i="6"/>
  <c r="C59" i="6"/>
  <c r="B59" i="6"/>
  <c r="A59" i="6"/>
  <c r="L58" i="6"/>
  <c r="J58" i="6"/>
  <c r="I58" i="6"/>
  <c r="H58" i="6"/>
  <c r="G58" i="6"/>
  <c r="D58" i="6"/>
  <c r="C58" i="6"/>
  <c r="B58" i="6"/>
  <c r="A58" i="6"/>
  <c r="L57" i="6"/>
  <c r="J57" i="6"/>
  <c r="I57" i="6"/>
  <c r="H57" i="6"/>
  <c r="G57" i="6"/>
  <c r="F57" i="6"/>
  <c r="D57" i="6"/>
  <c r="C57" i="6"/>
  <c r="B57" i="6"/>
  <c r="A57" i="6"/>
  <c r="L56" i="6"/>
  <c r="J56" i="6"/>
  <c r="I56" i="6"/>
  <c r="H56" i="6"/>
  <c r="G56" i="6"/>
  <c r="F56" i="6"/>
  <c r="E56" i="6"/>
  <c r="D56" i="6"/>
  <c r="C56" i="6"/>
  <c r="B56" i="6"/>
  <c r="A56" i="6"/>
  <c r="L55" i="6"/>
  <c r="J55" i="6"/>
  <c r="I55" i="6"/>
  <c r="H55" i="6"/>
  <c r="G55" i="6"/>
  <c r="F55" i="6"/>
  <c r="E55" i="6"/>
  <c r="D55" i="6"/>
  <c r="C55" i="6"/>
  <c r="B55" i="6"/>
  <c r="A55" i="6"/>
  <c r="L54" i="6"/>
  <c r="J54" i="6"/>
  <c r="I54" i="6"/>
  <c r="H54" i="6"/>
  <c r="G54" i="6"/>
  <c r="F54" i="6"/>
  <c r="E54" i="6"/>
  <c r="D54" i="6"/>
  <c r="C54" i="6"/>
  <c r="B54" i="6"/>
  <c r="A54" i="6"/>
  <c r="L53" i="6"/>
  <c r="J53" i="6"/>
  <c r="I53" i="6"/>
  <c r="H53" i="6"/>
  <c r="G53" i="6"/>
  <c r="F53" i="6"/>
  <c r="E53" i="6"/>
  <c r="D53" i="6"/>
  <c r="C53" i="6"/>
  <c r="B53" i="6"/>
  <c r="A53" i="6"/>
  <c r="L52" i="6"/>
  <c r="J52" i="6"/>
  <c r="I52" i="6"/>
  <c r="H52" i="6"/>
  <c r="G52" i="6"/>
  <c r="F52" i="6"/>
  <c r="E52" i="6"/>
  <c r="D52" i="6"/>
  <c r="C52" i="6"/>
  <c r="B52" i="6"/>
  <c r="A52" i="6"/>
  <c r="L51" i="6"/>
  <c r="J51" i="6"/>
  <c r="I51" i="6"/>
  <c r="H51" i="6"/>
  <c r="G51" i="6"/>
  <c r="F51" i="6"/>
  <c r="D51" i="6"/>
  <c r="C51" i="6"/>
  <c r="B51" i="6"/>
  <c r="A51" i="6"/>
  <c r="L50" i="6"/>
  <c r="J50" i="6"/>
  <c r="I50" i="6"/>
  <c r="H50" i="6"/>
  <c r="G50" i="6"/>
  <c r="D50" i="6"/>
  <c r="C50" i="6"/>
  <c r="B50" i="6"/>
  <c r="A50" i="6"/>
  <c r="L49" i="6"/>
  <c r="J49" i="6"/>
  <c r="I49" i="6"/>
  <c r="H49" i="6"/>
  <c r="G49" i="6"/>
  <c r="F49" i="6"/>
  <c r="E49" i="6"/>
  <c r="D49" i="6"/>
  <c r="C49" i="6"/>
  <c r="B49" i="6"/>
  <c r="A49" i="6"/>
  <c r="L48" i="6"/>
  <c r="J48" i="6"/>
  <c r="I48" i="6"/>
  <c r="H48" i="6"/>
  <c r="G48" i="6"/>
  <c r="F48" i="6"/>
  <c r="E48" i="6"/>
  <c r="D48" i="6"/>
  <c r="C48" i="6"/>
  <c r="B48" i="6"/>
  <c r="A48" i="6"/>
  <c r="L47" i="6"/>
  <c r="J47" i="6"/>
  <c r="I47" i="6"/>
  <c r="H47" i="6"/>
  <c r="G47" i="6"/>
  <c r="F47" i="6"/>
  <c r="E47" i="6"/>
  <c r="D47" i="6"/>
  <c r="C47" i="6"/>
  <c r="B47" i="6"/>
  <c r="A47" i="6"/>
  <c r="L46" i="6"/>
  <c r="J46" i="6"/>
  <c r="I46" i="6"/>
  <c r="H46" i="6"/>
  <c r="G46" i="6"/>
  <c r="F46" i="6"/>
  <c r="E46" i="6"/>
  <c r="D46" i="6"/>
  <c r="C46" i="6"/>
  <c r="B46" i="6"/>
  <c r="A46" i="6"/>
  <c r="L45" i="6"/>
  <c r="J45" i="6"/>
  <c r="I45" i="6"/>
  <c r="H45" i="6"/>
  <c r="G45" i="6"/>
  <c r="F45" i="6"/>
  <c r="E45" i="6"/>
  <c r="D45" i="6"/>
  <c r="C45" i="6"/>
  <c r="B45" i="6"/>
  <c r="A45" i="6"/>
  <c r="L44" i="6"/>
  <c r="J44" i="6"/>
  <c r="I44" i="6"/>
  <c r="H44" i="6"/>
  <c r="G44" i="6"/>
  <c r="F44" i="6"/>
  <c r="E44" i="6"/>
  <c r="D44" i="6"/>
  <c r="C44" i="6"/>
  <c r="B44" i="6"/>
  <c r="A44" i="6"/>
  <c r="L43" i="6"/>
  <c r="J43" i="6"/>
  <c r="I43" i="6"/>
  <c r="H43" i="6"/>
  <c r="G43" i="6"/>
  <c r="F43" i="6"/>
  <c r="E43" i="6"/>
  <c r="D43" i="6"/>
  <c r="C43" i="6"/>
  <c r="B43" i="6"/>
  <c r="A43" i="6"/>
  <c r="L42" i="6"/>
  <c r="J42" i="6"/>
  <c r="I42" i="6"/>
  <c r="H42" i="6"/>
  <c r="G42" i="6"/>
  <c r="F42" i="6"/>
  <c r="E42" i="6"/>
  <c r="D42" i="6"/>
  <c r="C42" i="6"/>
  <c r="B42" i="6"/>
  <c r="A42" i="6"/>
  <c r="L41" i="6"/>
  <c r="J41" i="6"/>
  <c r="I41" i="6"/>
  <c r="H41" i="6"/>
  <c r="G41" i="6"/>
  <c r="F41" i="6"/>
  <c r="E41" i="6"/>
  <c r="D41" i="6"/>
  <c r="C41" i="6"/>
  <c r="B41" i="6"/>
  <c r="A41" i="6"/>
  <c r="L40" i="6"/>
  <c r="J40" i="6"/>
  <c r="I40" i="6"/>
  <c r="H40" i="6"/>
  <c r="G40" i="6"/>
  <c r="F40" i="6"/>
  <c r="D40" i="6"/>
  <c r="C40" i="6"/>
  <c r="B40" i="6"/>
  <c r="A40" i="6"/>
  <c r="L39" i="6"/>
  <c r="J39" i="6"/>
  <c r="I39" i="6"/>
  <c r="H39" i="6"/>
  <c r="G39" i="6"/>
  <c r="F39" i="6"/>
  <c r="E39" i="6"/>
  <c r="D39" i="6"/>
  <c r="C39" i="6"/>
  <c r="B39" i="6"/>
  <c r="A39" i="6"/>
  <c r="L38" i="6"/>
  <c r="J38" i="6"/>
  <c r="I38" i="6"/>
  <c r="H38" i="6"/>
  <c r="G38" i="6"/>
  <c r="F38" i="6"/>
  <c r="D38" i="6"/>
  <c r="C38" i="6"/>
  <c r="B38" i="6"/>
  <c r="A38" i="6"/>
  <c r="L37" i="6"/>
  <c r="J37" i="6"/>
  <c r="I37" i="6"/>
  <c r="H37" i="6"/>
  <c r="G37" i="6"/>
  <c r="F37" i="6"/>
  <c r="E37" i="6"/>
  <c r="D37" i="6"/>
  <c r="C37" i="6"/>
  <c r="B37" i="6"/>
  <c r="A37" i="6"/>
  <c r="L36" i="6"/>
  <c r="J36" i="6"/>
  <c r="I36" i="6"/>
  <c r="H36" i="6"/>
  <c r="G36" i="6"/>
  <c r="F36" i="6"/>
  <c r="E36" i="6"/>
  <c r="D36" i="6"/>
  <c r="C36" i="6"/>
  <c r="B36" i="6"/>
  <c r="A36" i="6"/>
  <c r="L35" i="6"/>
  <c r="J35" i="6"/>
  <c r="I35" i="6"/>
  <c r="H35" i="6"/>
  <c r="G35" i="6"/>
  <c r="F35" i="6"/>
  <c r="D35" i="6"/>
  <c r="C35" i="6"/>
  <c r="B35" i="6"/>
  <c r="A35" i="6"/>
  <c r="L34" i="6"/>
  <c r="J34" i="6"/>
  <c r="I34" i="6"/>
  <c r="H34" i="6"/>
  <c r="G34" i="6"/>
  <c r="F34" i="6"/>
  <c r="E34" i="6"/>
  <c r="D34" i="6"/>
  <c r="C34" i="6"/>
  <c r="B34" i="6"/>
  <c r="A34" i="6"/>
  <c r="L33" i="6"/>
  <c r="J33" i="6"/>
  <c r="I33" i="6"/>
  <c r="H33" i="6"/>
  <c r="G33" i="6"/>
  <c r="F33" i="6"/>
  <c r="D33" i="6"/>
  <c r="C33" i="6"/>
  <c r="B33" i="6"/>
  <c r="A33" i="6"/>
  <c r="L32" i="6"/>
  <c r="J32" i="6"/>
  <c r="I32" i="6"/>
  <c r="H32" i="6"/>
  <c r="G32" i="6"/>
  <c r="F32" i="6"/>
  <c r="D32" i="6"/>
  <c r="C32" i="6"/>
  <c r="B32" i="6"/>
  <c r="A32" i="6"/>
  <c r="L31" i="6"/>
  <c r="J31" i="6"/>
  <c r="I31" i="6"/>
  <c r="H31" i="6"/>
  <c r="G31" i="6"/>
  <c r="F31" i="6"/>
  <c r="E31" i="6"/>
  <c r="D31" i="6"/>
  <c r="C31" i="6"/>
  <c r="B31" i="6"/>
  <c r="A31" i="6"/>
  <c r="L30" i="6"/>
  <c r="J30" i="6"/>
  <c r="I30" i="6"/>
  <c r="H30" i="6"/>
  <c r="G30" i="6"/>
  <c r="F30" i="6"/>
  <c r="D30" i="6"/>
  <c r="C30" i="6"/>
  <c r="B30" i="6"/>
  <c r="A30" i="6"/>
  <c r="L29" i="6"/>
  <c r="J29" i="6"/>
  <c r="I29" i="6"/>
  <c r="H29" i="6"/>
  <c r="G29" i="6"/>
  <c r="F29" i="6"/>
  <c r="D29" i="6"/>
  <c r="C29" i="6"/>
  <c r="B29" i="6"/>
  <c r="A29" i="6"/>
  <c r="L28" i="6"/>
  <c r="J28" i="6"/>
  <c r="I28" i="6"/>
  <c r="H28" i="6"/>
  <c r="G28" i="6"/>
  <c r="F28" i="6"/>
  <c r="D28" i="6"/>
  <c r="C28" i="6"/>
  <c r="B28" i="6"/>
  <c r="A28" i="6"/>
  <c r="L27" i="6"/>
  <c r="J27" i="6"/>
  <c r="I27" i="6"/>
  <c r="H27" i="6"/>
  <c r="G27" i="6"/>
  <c r="F27" i="6"/>
  <c r="E27" i="6"/>
  <c r="D27" i="6"/>
  <c r="C27" i="6"/>
  <c r="B27" i="6"/>
  <c r="A27" i="6"/>
  <c r="L26" i="6"/>
  <c r="J26" i="6"/>
  <c r="I26" i="6"/>
  <c r="H26" i="6"/>
  <c r="G26" i="6"/>
  <c r="F26" i="6"/>
  <c r="E26" i="6"/>
  <c r="D26" i="6"/>
  <c r="C26" i="6"/>
  <c r="B26" i="6"/>
  <c r="A26" i="6"/>
  <c r="L25" i="6"/>
  <c r="J25" i="6"/>
  <c r="I25" i="6"/>
  <c r="H25" i="6"/>
  <c r="G25" i="6"/>
  <c r="F25" i="6"/>
  <c r="E25" i="6"/>
  <c r="D25" i="6"/>
  <c r="C25" i="6"/>
  <c r="B25" i="6"/>
  <c r="A25" i="6"/>
  <c r="L24" i="6"/>
  <c r="J24" i="6"/>
  <c r="I24" i="6"/>
  <c r="H24" i="6"/>
  <c r="G24" i="6"/>
  <c r="F24" i="6"/>
  <c r="D24" i="6"/>
  <c r="C24" i="6"/>
  <c r="B24" i="6"/>
  <c r="A24" i="6"/>
  <c r="L23" i="6"/>
  <c r="J23" i="6"/>
  <c r="I23" i="6"/>
  <c r="H23" i="6"/>
  <c r="G23" i="6"/>
  <c r="F23" i="6"/>
  <c r="D23" i="6"/>
  <c r="C23" i="6"/>
  <c r="B23" i="6"/>
  <c r="A23" i="6"/>
  <c r="L22" i="6"/>
  <c r="J22" i="6"/>
  <c r="I22" i="6"/>
  <c r="H22" i="6"/>
  <c r="G22" i="6"/>
  <c r="F22" i="6"/>
  <c r="E22" i="6"/>
  <c r="D22" i="6"/>
  <c r="C22" i="6"/>
  <c r="B22" i="6"/>
  <c r="A22" i="6"/>
  <c r="L21" i="6"/>
  <c r="J21" i="6"/>
  <c r="I21" i="6"/>
  <c r="H21" i="6"/>
  <c r="G21" i="6"/>
  <c r="F21" i="6"/>
  <c r="E21" i="6"/>
  <c r="D21" i="6"/>
  <c r="C21" i="6"/>
  <c r="B21" i="6"/>
  <c r="A21" i="6"/>
  <c r="L20" i="6"/>
  <c r="J20" i="6"/>
  <c r="I20" i="6"/>
  <c r="H20" i="6"/>
  <c r="G20" i="6"/>
  <c r="F20" i="6"/>
  <c r="E20" i="6"/>
  <c r="D20" i="6"/>
  <c r="C20" i="6"/>
  <c r="B20" i="6"/>
  <c r="A20" i="6"/>
  <c r="L19" i="6"/>
  <c r="J19" i="6"/>
  <c r="I19" i="6"/>
  <c r="H19" i="6"/>
  <c r="G19" i="6"/>
  <c r="F19" i="6"/>
  <c r="E19" i="6"/>
  <c r="D19" i="6"/>
  <c r="C19" i="6"/>
  <c r="B19" i="6"/>
  <c r="A19" i="6"/>
  <c r="L18" i="6"/>
  <c r="J18" i="6"/>
  <c r="I18" i="6"/>
  <c r="H18" i="6"/>
  <c r="G18" i="6"/>
  <c r="F18" i="6"/>
  <c r="E18" i="6"/>
  <c r="D18" i="6"/>
  <c r="C18" i="6"/>
  <c r="B18" i="6"/>
  <c r="A18" i="6"/>
  <c r="L17" i="6"/>
  <c r="J17" i="6"/>
  <c r="I17" i="6"/>
  <c r="H17" i="6"/>
  <c r="G17" i="6"/>
  <c r="F17" i="6"/>
  <c r="D17" i="6"/>
  <c r="C17" i="6"/>
  <c r="B17" i="6"/>
  <c r="A17" i="6"/>
  <c r="L16" i="6"/>
  <c r="J16" i="6"/>
  <c r="I16" i="6"/>
  <c r="H16" i="6"/>
  <c r="G16" i="6"/>
  <c r="F16" i="6"/>
  <c r="E16" i="6"/>
  <c r="D16" i="6"/>
  <c r="C16" i="6"/>
  <c r="B16" i="6"/>
  <c r="A16" i="6"/>
  <c r="L15" i="6"/>
  <c r="J15" i="6"/>
  <c r="I15" i="6"/>
  <c r="H15" i="6"/>
  <c r="G15" i="6"/>
  <c r="F15" i="6"/>
  <c r="E15" i="6"/>
  <c r="D15" i="6"/>
  <c r="C15" i="6"/>
  <c r="B15" i="6"/>
  <c r="A15" i="6"/>
  <c r="L14" i="6"/>
  <c r="J14" i="6"/>
  <c r="I14" i="6"/>
  <c r="H14" i="6"/>
  <c r="G14" i="6"/>
  <c r="F14" i="6"/>
  <c r="E14" i="6"/>
  <c r="D14" i="6"/>
  <c r="C14" i="6"/>
  <c r="B14" i="6"/>
  <c r="A14" i="6"/>
  <c r="L13" i="6"/>
  <c r="J13" i="6"/>
  <c r="I13" i="6"/>
  <c r="H13" i="6"/>
  <c r="G13" i="6"/>
  <c r="F13" i="6"/>
  <c r="E13" i="6"/>
  <c r="D13" i="6"/>
  <c r="C13" i="6"/>
  <c r="B13" i="6"/>
  <c r="A13" i="6"/>
  <c r="L12" i="6"/>
  <c r="J12" i="6"/>
  <c r="I12" i="6"/>
  <c r="H12" i="6"/>
  <c r="G12" i="6"/>
  <c r="F12" i="6"/>
  <c r="E12" i="6"/>
  <c r="D12" i="6"/>
  <c r="C12" i="6"/>
  <c r="B12" i="6"/>
  <c r="A12" i="6"/>
  <c r="L11" i="6"/>
  <c r="J11" i="6"/>
  <c r="I11" i="6"/>
  <c r="H11" i="6"/>
  <c r="G11" i="6"/>
  <c r="F11" i="6"/>
  <c r="D11" i="6"/>
  <c r="C11" i="6"/>
  <c r="B11" i="6"/>
  <c r="A11" i="6"/>
  <c r="L10" i="6"/>
  <c r="J10" i="6"/>
  <c r="I10" i="6"/>
  <c r="H10" i="6"/>
  <c r="G10" i="6"/>
  <c r="F10" i="6"/>
  <c r="E10" i="6"/>
  <c r="D10" i="6"/>
  <c r="C10" i="6"/>
  <c r="B10" i="6"/>
  <c r="A10" i="6"/>
  <c r="L9" i="6"/>
  <c r="J9" i="6"/>
  <c r="I9" i="6"/>
  <c r="H9" i="6"/>
  <c r="G9" i="6"/>
  <c r="F9" i="6"/>
  <c r="E9" i="6"/>
  <c r="D9" i="6"/>
  <c r="C9" i="6"/>
  <c r="B9" i="6"/>
  <c r="A9" i="6"/>
  <c r="L8" i="6"/>
  <c r="J8" i="6"/>
  <c r="I8" i="6"/>
  <c r="H8" i="6"/>
  <c r="G8" i="6"/>
  <c r="F8" i="6"/>
  <c r="E8" i="6"/>
  <c r="D8" i="6"/>
  <c r="C8" i="6"/>
  <c r="B8" i="6"/>
  <c r="A8" i="6"/>
  <c r="L7" i="6"/>
  <c r="J7" i="6"/>
  <c r="I7" i="6"/>
  <c r="H7" i="6"/>
  <c r="G7" i="6"/>
  <c r="F7" i="6"/>
  <c r="E7" i="6"/>
  <c r="D7" i="6"/>
  <c r="C7" i="6"/>
  <c r="B7" i="6"/>
  <c r="A7" i="6"/>
  <c r="L6" i="6"/>
  <c r="J6" i="6"/>
  <c r="I6" i="6"/>
  <c r="H6" i="6"/>
  <c r="G6" i="6"/>
  <c r="F6" i="6"/>
  <c r="D6" i="6"/>
  <c r="C6" i="6"/>
  <c r="B6" i="6"/>
  <c r="A6" i="6"/>
  <c r="L5" i="6"/>
  <c r="J5" i="6"/>
  <c r="I5" i="6"/>
  <c r="H5" i="6"/>
  <c r="G5" i="6"/>
  <c r="F5" i="6"/>
  <c r="D5" i="6"/>
  <c r="C5" i="6"/>
  <c r="B5" i="6"/>
  <c r="A5" i="6"/>
  <c r="L4" i="6"/>
  <c r="J4" i="6"/>
  <c r="I4" i="6"/>
  <c r="H4" i="6"/>
  <c r="G4" i="6"/>
  <c r="F4" i="6"/>
  <c r="E4" i="6"/>
  <c r="D4" i="6"/>
  <c r="C4" i="6"/>
  <c r="B4" i="6"/>
  <c r="A4" i="6"/>
  <c r="N1" i="6"/>
  <c r="A1" i="6"/>
  <c r="H160" i="5"/>
  <c r="F160" i="5"/>
  <c r="E160" i="5"/>
  <c r="D160" i="5"/>
  <c r="C160" i="5"/>
  <c r="B160" i="5"/>
  <c r="H159" i="5"/>
  <c r="F159" i="5"/>
  <c r="E159" i="5"/>
  <c r="D159" i="5"/>
  <c r="C159" i="5"/>
  <c r="B159" i="5"/>
  <c r="H158" i="5"/>
  <c r="F158" i="5"/>
  <c r="E158" i="5"/>
  <c r="D158" i="5"/>
  <c r="C158" i="5"/>
  <c r="B158" i="5"/>
  <c r="H157" i="5"/>
  <c r="F157" i="5"/>
  <c r="E157" i="5"/>
  <c r="D157" i="5"/>
  <c r="C157" i="5"/>
  <c r="B157" i="5"/>
  <c r="H156" i="5"/>
  <c r="F156" i="5"/>
  <c r="E156" i="5"/>
  <c r="D156" i="5"/>
  <c r="C156" i="5"/>
  <c r="B156" i="5"/>
  <c r="H155" i="5"/>
  <c r="F155" i="5"/>
  <c r="E155" i="5"/>
  <c r="D155" i="5"/>
  <c r="C155" i="5"/>
  <c r="B155" i="5"/>
  <c r="H154" i="5"/>
  <c r="G154" i="5"/>
  <c r="F154" i="5"/>
  <c r="E154" i="5"/>
  <c r="D154" i="5"/>
  <c r="C154" i="5"/>
  <c r="B154" i="5"/>
  <c r="H153" i="5"/>
  <c r="G153" i="5"/>
  <c r="F153" i="5"/>
  <c r="E153" i="5"/>
  <c r="D153" i="5"/>
  <c r="C153" i="5"/>
  <c r="B153" i="5"/>
  <c r="H152" i="5"/>
  <c r="F152" i="5"/>
  <c r="E152" i="5"/>
  <c r="D152" i="5"/>
  <c r="C152" i="5"/>
  <c r="B152" i="5"/>
  <c r="H151" i="5"/>
  <c r="F151" i="5"/>
  <c r="E151" i="5"/>
  <c r="D151" i="5"/>
  <c r="C151" i="5"/>
  <c r="B151" i="5"/>
  <c r="H150" i="5"/>
  <c r="F150" i="5"/>
  <c r="E150" i="5"/>
  <c r="D150" i="5"/>
  <c r="C150" i="5"/>
  <c r="B150" i="5"/>
  <c r="H149" i="5"/>
  <c r="F149" i="5"/>
  <c r="E149" i="5"/>
  <c r="D149" i="5"/>
  <c r="C149" i="5"/>
  <c r="B149" i="5"/>
  <c r="H148" i="5"/>
  <c r="F148" i="5"/>
  <c r="E148" i="5"/>
  <c r="D148" i="5"/>
  <c r="C148" i="5"/>
  <c r="B148" i="5"/>
  <c r="H147" i="5"/>
  <c r="F147" i="5"/>
  <c r="E147" i="5"/>
  <c r="D147" i="5"/>
  <c r="C147" i="5"/>
  <c r="B147" i="5"/>
  <c r="H146" i="5"/>
  <c r="F146" i="5"/>
  <c r="E146" i="5"/>
  <c r="D146" i="5"/>
  <c r="C146" i="5"/>
  <c r="B146" i="5"/>
  <c r="H145" i="5"/>
  <c r="G145" i="5"/>
  <c r="F145" i="5"/>
  <c r="E145" i="5"/>
  <c r="D145" i="5"/>
  <c r="C145" i="5"/>
  <c r="B145" i="5"/>
  <c r="H144" i="5"/>
  <c r="G144" i="5"/>
  <c r="F144" i="5"/>
  <c r="E144" i="5"/>
  <c r="D144" i="5"/>
  <c r="C144" i="5"/>
  <c r="B144" i="5"/>
  <c r="F143" i="5"/>
  <c r="E143" i="5"/>
  <c r="D143" i="5"/>
  <c r="C143" i="5"/>
  <c r="B143" i="5"/>
  <c r="G142" i="5"/>
  <c r="F142" i="5"/>
  <c r="E142" i="5"/>
  <c r="D142" i="5"/>
  <c r="C142" i="5"/>
  <c r="B142" i="5"/>
  <c r="H141" i="5"/>
  <c r="G141" i="5"/>
  <c r="F141" i="5"/>
  <c r="E141" i="5"/>
  <c r="D141" i="5"/>
  <c r="C141" i="5"/>
  <c r="B141" i="5"/>
  <c r="H140" i="5"/>
  <c r="G140" i="5"/>
  <c r="F140" i="5"/>
  <c r="E140" i="5"/>
  <c r="D140" i="5"/>
  <c r="C140" i="5"/>
  <c r="B140" i="5"/>
  <c r="H139" i="5"/>
  <c r="F139" i="5"/>
  <c r="E139" i="5"/>
  <c r="D139" i="5"/>
  <c r="C139" i="5"/>
  <c r="B139" i="5"/>
  <c r="H138" i="5"/>
  <c r="G138" i="5"/>
  <c r="F138" i="5"/>
  <c r="E138" i="5"/>
  <c r="D138" i="5"/>
  <c r="C138" i="5"/>
  <c r="B138" i="5"/>
  <c r="H137" i="5"/>
  <c r="G137" i="5"/>
  <c r="F137" i="5"/>
  <c r="E137" i="5"/>
  <c r="D137" i="5"/>
  <c r="C137" i="5"/>
  <c r="B137" i="5"/>
  <c r="H136" i="5"/>
  <c r="G136" i="5"/>
  <c r="F136" i="5"/>
  <c r="E136" i="5"/>
  <c r="D136" i="5"/>
  <c r="C136" i="5"/>
  <c r="B136" i="5"/>
  <c r="H135" i="5"/>
  <c r="G135" i="5"/>
  <c r="F135" i="5"/>
  <c r="E135" i="5"/>
  <c r="D135" i="5"/>
  <c r="C135" i="5"/>
  <c r="B135" i="5"/>
  <c r="H134" i="5"/>
  <c r="F134" i="5"/>
  <c r="E134" i="5"/>
  <c r="D134" i="5"/>
  <c r="C134" i="5"/>
  <c r="B134" i="5"/>
  <c r="H133" i="5"/>
  <c r="F133" i="5"/>
  <c r="E133" i="5"/>
  <c r="D133" i="5"/>
  <c r="C133" i="5"/>
  <c r="B133" i="5"/>
  <c r="H132" i="5"/>
  <c r="G132" i="5"/>
  <c r="F132" i="5"/>
  <c r="E132" i="5"/>
  <c r="D132" i="5"/>
  <c r="C132" i="5"/>
  <c r="B132" i="5"/>
  <c r="H131" i="5"/>
  <c r="G131" i="5"/>
  <c r="F131" i="5"/>
  <c r="E131" i="5"/>
  <c r="D131" i="5"/>
  <c r="C131" i="5"/>
  <c r="B131" i="5"/>
  <c r="H130" i="5"/>
  <c r="G130" i="5"/>
  <c r="F130" i="5"/>
  <c r="E130" i="5"/>
  <c r="D130" i="5"/>
  <c r="C130" i="5"/>
  <c r="B130" i="5"/>
  <c r="H129" i="5"/>
  <c r="F129" i="5"/>
  <c r="E129" i="5"/>
  <c r="D129" i="5"/>
  <c r="C129" i="5"/>
  <c r="B129" i="5"/>
  <c r="G128" i="5"/>
  <c r="F128" i="5"/>
  <c r="E128" i="5"/>
  <c r="D128" i="5"/>
  <c r="C128" i="5"/>
  <c r="B128" i="5"/>
  <c r="H127" i="5"/>
  <c r="F127" i="5"/>
  <c r="E127" i="5"/>
  <c r="D127" i="5"/>
  <c r="C127" i="5"/>
  <c r="B127" i="5"/>
  <c r="H126" i="5"/>
  <c r="G126" i="5"/>
  <c r="F126" i="5"/>
  <c r="E126" i="5"/>
  <c r="D126" i="5"/>
  <c r="C126" i="5"/>
  <c r="B126" i="5"/>
  <c r="H125" i="5"/>
  <c r="F125" i="5"/>
  <c r="E125" i="5"/>
  <c r="D125" i="5"/>
  <c r="C125" i="5"/>
  <c r="B125" i="5"/>
  <c r="G124" i="5"/>
  <c r="F124" i="5"/>
  <c r="E124" i="5"/>
  <c r="D124" i="5"/>
  <c r="C124" i="5"/>
  <c r="B124" i="5"/>
  <c r="H123" i="5"/>
  <c r="F123" i="5"/>
  <c r="E123" i="5"/>
  <c r="D123" i="5"/>
  <c r="C123" i="5"/>
  <c r="B123" i="5"/>
  <c r="H122" i="5"/>
  <c r="F122" i="5"/>
  <c r="E122" i="5"/>
  <c r="D122" i="5"/>
  <c r="C122" i="5"/>
  <c r="B122" i="5"/>
  <c r="H121" i="5"/>
  <c r="G121" i="5"/>
  <c r="F121" i="5"/>
  <c r="E121" i="5"/>
  <c r="D121" i="5"/>
  <c r="C121" i="5"/>
  <c r="B121" i="5"/>
  <c r="H120" i="5"/>
  <c r="G120" i="5"/>
  <c r="F120" i="5"/>
  <c r="E120" i="5"/>
  <c r="D120" i="5"/>
  <c r="C120" i="5"/>
  <c r="B120" i="5"/>
  <c r="H119" i="5"/>
  <c r="G119" i="5"/>
  <c r="F119" i="5"/>
  <c r="E119" i="5"/>
  <c r="D119" i="5"/>
  <c r="C119" i="5"/>
  <c r="B119" i="5"/>
  <c r="H118" i="5"/>
  <c r="G118" i="5"/>
  <c r="F118" i="5"/>
  <c r="E118" i="5"/>
  <c r="D118" i="5"/>
  <c r="C118" i="5"/>
  <c r="B118" i="5"/>
  <c r="H117" i="5"/>
  <c r="G117" i="5"/>
  <c r="F117" i="5"/>
  <c r="E117" i="5"/>
  <c r="D117" i="5"/>
  <c r="C117" i="5"/>
  <c r="B117" i="5"/>
  <c r="H116" i="5"/>
  <c r="G116" i="5"/>
  <c r="F116" i="5"/>
  <c r="E116" i="5"/>
  <c r="D116" i="5"/>
  <c r="C116" i="5"/>
  <c r="B116" i="5"/>
  <c r="H115" i="5"/>
  <c r="G115" i="5"/>
  <c r="F115" i="5"/>
  <c r="E115" i="5"/>
  <c r="D115" i="5"/>
  <c r="C115" i="5"/>
  <c r="B115" i="5"/>
  <c r="H114" i="5"/>
  <c r="G114" i="5"/>
  <c r="F114" i="5"/>
  <c r="E114" i="5"/>
  <c r="D114" i="5"/>
  <c r="C114" i="5"/>
  <c r="B114" i="5"/>
  <c r="H113" i="5"/>
  <c r="G113" i="5"/>
  <c r="F113" i="5"/>
  <c r="E113" i="5"/>
  <c r="D113" i="5"/>
  <c r="C113" i="5"/>
  <c r="B113" i="5"/>
  <c r="H112" i="5"/>
  <c r="G112" i="5"/>
  <c r="F112" i="5"/>
  <c r="E112" i="5"/>
  <c r="D112" i="5"/>
  <c r="C112" i="5"/>
  <c r="B112" i="5"/>
  <c r="H111" i="5"/>
  <c r="F111" i="5"/>
  <c r="E111" i="5"/>
  <c r="D111" i="5"/>
  <c r="C111" i="5"/>
  <c r="B111" i="5"/>
  <c r="H110" i="5"/>
  <c r="F110" i="5"/>
  <c r="E110" i="5"/>
  <c r="D110" i="5"/>
  <c r="C110" i="5"/>
  <c r="B110" i="5"/>
  <c r="H109" i="5"/>
  <c r="F109" i="5"/>
  <c r="E109" i="5"/>
  <c r="D109" i="5"/>
  <c r="C109" i="5"/>
  <c r="B109" i="5"/>
  <c r="H108" i="5"/>
  <c r="G108" i="5"/>
  <c r="F108" i="5"/>
  <c r="E108" i="5"/>
  <c r="D108" i="5"/>
  <c r="C108" i="5"/>
  <c r="B108" i="5"/>
  <c r="H107" i="5"/>
  <c r="G107" i="5"/>
  <c r="F107" i="5"/>
  <c r="E107" i="5"/>
  <c r="D107" i="5"/>
  <c r="C107" i="5"/>
  <c r="B107" i="5"/>
  <c r="H106" i="5"/>
  <c r="F106" i="5"/>
  <c r="E106" i="5"/>
  <c r="D106" i="5"/>
  <c r="C106" i="5"/>
  <c r="B106" i="5"/>
  <c r="H105" i="5"/>
  <c r="G105" i="5"/>
  <c r="F105" i="5"/>
  <c r="E105" i="5"/>
  <c r="D105" i="5"/>
  <c r="C105" i="5"/>
  <c r="B105" i="5"/>
  <c r="H104" i="5"/>
  <c r="G104" i="5"/>
  <c r="F104" i="5"/>
  <c r="E104" i="5"/>
  <c r="D104" i="5"/>
  <c r="C104" i="5"/>
  <c r="B104" i="5"/>
  <c r="H103" i="5"/>
  <c r="G103" i="5"/>
  <c r="F103" i="5"/>
  <c r="E103" i="5"/>
  <c r="D103" i="5"/>
  <c r="C103" i="5"/>
  <c r="B103" i="5"/>
  <c r="H102" i="5"/>
  <c r="F102" i="5"/>
  <c r="E102" i="5"/>
  <c r="D102" i="5"/>
  <c r="C102" i="5"/>
  <c r="B102" i="5"/>
  <c r="H101" i="5"/>
  <c r="G101" i="5"/>
  <c r="F101" i="5"/>
  <c r="E101" i="5"/>
  <c r="D101" i="5"/>
  <c r="C101" i="5"/>
  <c r="B101" i="5"/>
  <c r="H100" i="5"/>
  <c r="G100" i="5"/>
  <c r="F100" i="5"/>
  <c r="E100" i="5"/>
  <c r="D100" i="5"/>
  <c r="C100" i="5"/>
  <c r="B100" i="5"/>
  <c r="H99" i="5"/>
  <c r="G99" i="5"/>
  <c r="F99" i="5"/>
  <c r="E99" i="5"/>
  <c r="D99" i="5"/>
  <c r="C99" i="5"/>
  <c r="B99" i="5"/>
  <c r="H98" i="5"/>
  <c r="F98" i="5"/>
  <c r="E98" i="5"/>
  <c r="D98" i="5"/>
  <c r="C98" i="5"/>
  <c r="B98" i="5"/>
  <c r="H97" i="5"/>
  <c r="F97" i="5"/>
  <c r="E97" i="5"/>
  <c r="D97" i="5"/>
  <c r="C97" i="5"/>
  <c r="B97" i="5"/>
  <c r="H96" i="5"/>
  <c r="F96" i="5"/>
  <c r="E96" i="5"/>
  <c r="D96" i="5"/>
  <c r="C96" i="5"/>
  <c r="B96" i="5"/>
  <c r="H95" i="5"/>
  <c r="F95" i="5"/>
  <c r="E95" i="5"/>
  <c r="D95" i="5"/>
  <c r="C95" i="5"/>
  <c r="B95" i="5"/>
  <c r="H94" i="5"/>
  <c r="F94" i="5"/>
  <c r="E94" i="5"/>
  <c r="D94" i="5"/>
  <c r="C94" i="5"/>
  <c r="B94" i="5"/>
  <c r="H93" i="5"/>
  <c r="F93" i="5"/>
  <c r="E93" i="5"/>
  <c r="D93" i="5"/>
  <c r="C93" i="5"/>
  <c r="B93" i="5"/>
  <c r="H92" i="5"/>
  <c r="F92" i="5"/>
  <c r="E92" i="5"/>
  <c r="D92" i="5"/>
  <c r="C92" i="5"/>
  <c r="B92" i="5"/>
  <c r="H91" i="5"/>
  <c r="F91" i="5"/>
  <c r="E91" i="5"/>
  <c r="D91" i="5"/>
  <c r="C91" i="5"/>
  <c r="B91" i="5"/>
  <c r="H90" i="5"/>
  <c r="F90" i="5"/>
  <c r="E90" i="5"/>
  <c r="D90" i="5"/>
  <c r="C90" i="5"/>
  <c r="B90" i="5"/>
  <c r="H89" i="5"/>
  <c r="F89" i="5"/>
  <c r="E89" i="5"/>
  <c r="D89" i="5"/>
  <c r="C89" i="5"/>
  <c r="B89" i="5"/>
  <c r="H88" i="5"/>
  <c r="G88" i="5"/>
  <c r="F88" i="5"/>
  <c r="E88" i="5"/>
  <c r="D88" i="5"/>
  <c r="C88" i="5"/>
  <c r="B88" i="5"/>
  <c r="H87" i="5"/>
  <c r="G87" i="5"/>
  <c r="F87" i="5"/>
  <c r="E87" i="5"/>
  <c r="D87" i="5"/>
  <c r="C87" i="5"/>
  <c r="B87" i="5"/>
  <c r="H86" i="5"/>
  <c r="G86" i="5"/>
  <c r="F86" i="5"/>
  <c r="E86" i="5"/>
  <c r="D86" i="5"/>
  <c r="C86" i="5"/>
  <c r="B86" i="5"/>
  <c r="H85" i="5"/>
  <c r="F85" i="5"/>
  <c r="E85" i="5"/>
  <c r="D85" i="5"/>
  <c r="C85" i="5"/>
  <c r="B85" i="5"/>
  <c r="H84" i="5"/>
  <c r="F84" i="5"/>
  <c r="E84" i="5"/>
  <c r="D84" i="5"/>
  <c r="C84" i="5"/>
  <c r="B84" i="5"/>
  <c r="H83" i="5"/>
  <c r="G83" i="5"/>
  <c r="F83" i="5"/>
  <c r="E83" i="5"/>
  <c r="D83" i="5"/>
  <c r="C83" i="5"/>
  <c r="B83" i="5"/>
  <c r="H82" i="5"/>
  <c r="G82" i="5"/>
  <c r="F82" i="5"/>
  <c r="E82" i="5"/>
  <c r="D82" i="5"/>
  <c r="C82" i="5"/>
  <c r="B82" i="5"/>
  <c r="H81" i="5"/>
  <c r="G81" i="5"/>
  <c r="F81" i="5"/>
  <c r="E81" i="5"/>
  <c r="D81" i="5"/>
  <c r="C81" i="5"/>
  <c r="B81" i="5"/>
  <c r="H80" i="5"/>
  <c r="G80" i="5"/>
  <c r="F80" i="5"/>
  <c r="E80" i="5"/>
  <c r="D80" i="5"/>
  <c r="C80" i="5"/>
  <c r="B80" i="5"/>
  <c r="H79" i="5"/>
  <c r="G79" i="5"/>
  <c r="F79" i="5"/>
  <c r="E79" i="5"/>
  <c r="D79" i="5"/>
  <c r="C79" i="5"/>
  <c r="B79" i="5"/>
  <c r="H78" i="5"/>
  <c r="G78" i="5"/>
  <c r="F78" i="5"/>
  <c r="E78" i="5"/>
  <c r="D78" i="5"/>
  <c r="C78" i="5"/>
  <c r="B78" i="5"/>
  <c r="H77" i="5"/>
  <c r="G77" i="5"/>
  <c r="F77" i="5"/>
  <c r="E77" i="5"/>
  <c r="D77" i="5"/>
  <c r="C77" i="5"/>
  <c r="B77" i="5"/>
  <c r="H76" i="5"/>
  <c r="G76" i="5"/>
  <c r="F76" i="5"/>
  <c r="E76" i="5"/>
  <c r="D76" i="5"/>
  <c r="C76" i="5"/>
  <c r="B76" i="5"/>
  <c r="H75" i="5"/>
  <c r="F75" i="5"/>
  <c r="E75" i="5"/>
  <c r="D75" i="5"/>
  <c r="C75" i="5"/>
  <c r="B75" i="5"/>
  <c r="H74" i="5"/>
  <c r="F74" i="5"/>
  <c r="E74" i="5"/>
  <c r="D74" i="5"/>
  <c r="C74" i="5"/>
  <c r="B74" i="5"/>
  <c r="H73" i="5"/>
  <c r="F73" i="5"/>
  <c r="E73" i="5"/>
  <c r="D73" i="5"/>
  <c r="C73" i="5"/>
  <c r="B73" i="5"/>
  <c r="H72" i="5"/>
  <c r="G72" i="5"/>
  <c r="F72" i="5"/>
  <c r="E72" i="5"/>
  <c r="D72" i="5"/>
  <c r="C72" i="5"/>
  <c r="B72" i="5"/>
  <c r="H71" i="5"/>
  <c r="G71" i="5"/>
  <c r="F71" i="5"/>
  <c r="E71" i="5"/>
  <c r="D71" i="5"/>
  <c r="C71" i="5"/>
  <c r="B71" i="5"/>
  <c r="H70" i="5"/>
  <c r="G70" i="5"/>
  <c r="F70" i="5"/>
  <c r="E70" i="5"/>
  <c r="D70" i="5"/>
  <c r="C70" i="5"/>
  <c r="B70" i="5"/>
  <c r="H69" i="5"/>
  <c r="G69" i="5"/>
  <c r="F69" i="5"/>
  <c r="E69" i="5"/>
  <c r="D69" i="5"/>
  <c r="C69" i="5"/>
  <c r="B69" i="5"/>
  <c r="H68" i="5"/>
  <c r="F68" i="5"/>
  <c r="E68" i="5"/>
  <c r="D68" i="5"/>
  <c r="C68" i="5"/>
  <c r="B68" i="5"/>
  <c r="H67" i="5"/>
  <c r="F67" i="5"/>
  <c r="E67" i="5"/>
  <c r="D67" i="5"/>
  <c r="C67" i="5"/>
  <c r="B67" i="5"/>
  <c r="H66" i="5"/>
  <c r="F66" i="5"/>
  <c r="E66" i="5"/>
  <c r="D66" i="5"/>
  <c r="B66" i="5"/>
  <c r="H65" i="5"/>
  <c r="F65" i="5"/>
  <c r="E65" i="5"/>
  <c r="D65" i="5"/>
  <c r="C65" i="5"/>
  <c r="B65" i="5"/>
  <c r="H64" i="5"/>
  <c r="F64" i="5"/>
  <c r="E64" i="5"/>
  <c r="D64" i="5"/>
  <c r="C64" i="5"/>
  <c r="B64" i="5"/>
  <c r="H63" i="5"/>
  <c r="F63" i="5"/>
  <c r="E63" i="5"/>
  <c r="D63" i="5"/>
  <c r="C63" i="5"/>
  <c r="B63" i="5"/>
  <c r="H62" i="5"/>
  <c r="G62" i="5"/>
  <c r="F62" i="5"/>
  <c r="E62" i="5"/>
  <c r="D62" i="5"/>
  <c r="C62" i="5"/>
  <c r="B62" i="5"/>
  <c r="H61" i="5"/>
  <c r="G61" i="5"/>
  <c r="F61" i="5"/>
  <c r="E61" i="5"/>
  <c r="D61" i="5"/>
  <c r="C61" i="5"/>
  <c r="B61" i="5"/>
  <c r="H60" i="5"/>
  <c r="F60" i="5"/>
  <c r="E60" i="5"/>
  <c r="D60" i="5"/>
  <c r="C60" i="5"/>
  <c r="B60" i="5"/>
  <c r="H59" i="5"/>
  <c r="F59" i="5"/>
  <c r="E59" i="5"/>
  <c r="D59" i="5"/>
  <c r="C59" i="5"/>
  <c r="B59" i="5"/>
  <c r="H58" i="5"/>
  <c r="G58" i="5"/>
  <c r="F58" i="5"/>
  <c r="E58" i="5"/>
  <c r="D58" i="5"/>
  <c r="C58" i="5"/>
  <c r="B58" i="5"/>
  <c r="H57" i="5"/>
  <c r="G57" i="5"/>
  <c r="F57" i="5"/>
  <c r="E57" i="5"/>
  <c r="D57" i="5"/>
  <c r="C57" i="5"/>
  <c r="B57" i="5"/>
  <c r="H56" i="5"/>
  <c r="G56" i="5"/>
  <c r="F56" i="5"/>
  <c r="E56" i="5"/>
  <c r="D56" i="5"/>
  <c r="C56" i="5"/>
  <c r="B56" i="5"/>
  <c r="H55" i="5"/>
  <c r="F55" i="5"/>
  <c r="E55" i="5"/>
  <c r="D55" i="5"/>
  <c r="C55" i="5"/>
  <c r="B55" i="5"/>
  <c r="H54" i="5"/>
  <c r="F54" i="5"/>
  <c r="E54" i="5"/>
  <c r="D54" i="5"/>
  <c r="C54" i="5"/>
  <c r="B54" i="5"/>
  <c r="H53" i="5"/>
  <c r="F53" i="5"/>
  <c r="E53" i="5"/>
  <c r="D53" i="5"/>
  <c r="C53" i="5"/>
  <c r="B53" i="5"/>
  <c r="H52" i="5"/>
  <c r="F52" i="5"/>
  <c r="E52" i="5"/>
  <c r="D52" i="5"/>
  <c r="C52" i="5"/>
  <c r="B52" i="5"/>
  <c r="H51" i="5"/>
  <c r="F51" i="5"/>
  <c r="E51" i="5"/>
  <c r="D51" i="5"/>
  <c r="C51" i="5"/>
  <c r="B51" i="5"/>
  <c r="H50" i="5"/>
  <c r="G50" i="5"/>
  <c r="F50" i="5"/>
  <c r="E50" i="5"/>
  <c r="D50" i="5"/>
  <c r="C50" i="5"/>
  <c r="B50" i="5"/>
  <c r="H49" i="5"/>
  <c r="F49" i="5"/>
  <c r="E49" i="5"/>
  <c r="D49" i="5"/>
  <c r="C49" i="5"/>
  <c r="B49" i="5"/>
  <c r="H48" i="5"/>
  <c r="F48" i="5"/>
  <c r="E48" i="5"/>
  <c r="D48" i="5"/>
  <c r="C48" i="5"/>
  <c r="B48" i="5"/>
  <c r="H47" i="5"/>
  <c r="G47" i="5"/>
  <c r="F47" i="5"/>
  <c r="E47" i="5"/>
  <c r="D47" i="5"/>
  <c r="C47" i="5"/>
  <c r="B47" i="5"/>
  <c r="H46" i="5"/>
  <c r="G46" i="5"/>
  <c r="F46" i="5"/>
  <c r="E46" i="5"/>
  <c r="D46" i="5"/>
  <c r="C46" i="5"/>
  <c r="B46" i="5"/>
  <c r="H45" i="5"/>
  <c r="F45" i="5"/>
  <c r="E45" i="5"/>
  <c r="D45" i="5"/>
  <c r="C45" i="5"/>
  <c r="B45" i="5"/>
  <c r="H44" i="5"/>
  <c r="F44" i="5"/>
  <c r="E44" i="5"/>
  <c r="D44" i="5"/>
  <c r="C44" i="5"/>
  <c r="B44" i="5"/>
  <c r="H43" i="5"/>
  <c r="F43" i="5"/>
  <c r="E43" i="5"/>
  <c r="D43" i="5"/>
  <c r="C43" i="5"/>
  <c r="B43" i="5"/>
  <c r="H42" i="5"/>
  <c r="F42" i="5"/>
  <c r="E42" i="5"/>
  <c r="D42" i="5"/>
  <c r="C42" i="5"/>
  <c r="B42" i="5"/>
  <c r="H41" i="5"/>
  <c r="F41" i="5"/>
  <c r="E41" i="5"/>
  <c r="D41" i="5"/>
  <c r="C41" i="5"/>
  <c r="B41" i="5"/>
  <c r="H40" i="5"/>
  <c r="F40" i="5"/>
  <c r="E40" i="5"/>
  <c r="D40" i="5"/>
  <c r="C40" i="5"/>
  <c r="B40" i="5"/>
  <c r="H39" i="5"/>
  <c r="F39" i="5"/>
  <c r="E39" i="5"/>
  <c r="D39" i="5"/>
  <c r="C39" i="5"/>
  <c r="B39" i="5"/>
  <c r="H38" i="5"/>
  <c r="G38" i="5"/>
  <c r="F38" i="5"/>
  <c r="E38" i="5"/>
  <c r="D38" i="5"/>
  <c r="C38" i="5"/>
  <c r="B38" i="5"/>
  <c r="H37" i="5"/>
  <c r="G37" i="5"/>
  <c r="F37" i="5"/>
  <c r="E37" i="5"/>
  <c r="D37" i="5"/>
  <c r="C37" i="5"/>
  <c r="B37" i="5"/>
  <c r="H36" i="5"/>
  <c r="F36" i="5"/>
  <c r="E36" i="5"/>
  <c r="D36" i="5"/>
  <c r="C36" i="5"/>
  <c r="B36" i="5"/>
  <c r="H35" i="5"/>
  <c r="G35" i="5"/>
  <c r="F35" i="5"/>
  <c r="E35" i="5"/>
  <c r="D35" i="5"/>
  <c r="C35" i="5"/>
  <c r="B35" i="5"/>
  <c r="H34" i="5"/>
  <c r="G34" i="5"/>
  <c r="F34" i="5"/>
  <c r="E34" i="5"/>
  <c r="D34" i="5"/>
  <c r="C34" i="5"/>
  <c r="B34" i="5"/>
  <c r="H33" i="5"/>
  <c r="F33" i="5"/>
  <c r="E33" i="5"/>
  <c r="D33" i="5"/>
  <c r="C33" i="5"/>
  <c r="B33" i="5"/>
  <c r="H32" i="5"/>
  <c r="G32" i="5"/>
  <c r="F32" i="5"/>
  <c r="E32" i="5"/>
  <c r="D32" i="5"/>
  <c r="C32" i="5"/>
  <c r="B32" i="5"/>
  <c r="H31" i="5"/>
  <c r="F31" i="5"/>
  <c r="E31" i="5"/>
  <c r="D31" i="5"/>
  <c r="C31" i="5"/>
  <c r="B31" i="5"/>
  <c r="H30" i="5"/>
  <c r="F30" i="5"/>
  <c r="E30" i="5"/>
  <c r="D30" i="5"/>
  <c r="C30" i="5"/>
  <c r="B30" i="5"/>
  <c r="H29" i="5"/>
  <c r="F29" i="5"/>
  <c r="E29" i="5"/>
  <c r="D29" i="5"/>
  <c r="C29" i="5"/>
  <c r="B29" i="5"/>
  <c r="H28" i="5"/>
  <c r="F28" i="5"/>
  <c r="E28" i="5"/>
  <c r="D28" i="5"/>
  <c r="C28" i="5"/>
  <c r="B28" i="5"/>
  <c r="H27" i="5"/>
  <c r="G27" i="5"/>
  <c r="F27" i="5"/>
  <c r="E27" i="5"/>
  <c r="D27" i="5"/>
  <c r="C27" i="5"/>
  <c r="B27" i="5"/>
  <c r="H26" i="5"/>
  <c r="F26" i="5"/>
  <c r="E26" i="5"/>
  <c r="D26" i="5"/>
  <c r="C26" i="5"/>
  <c r="B26" i="5"/>
  <c r="H25" i="5"/>
  <c r="G25" i="5"/>
  <c r="F25" i="5"/>
  <c r="E25" i="5"/>
  <c r="D25" i="5"/>
  <c r="C25" i="5"/>
  <c r="B25" i="5"/>
  <c r="H24" i="5"/>
  <c r="G24" i="5"/>
  <c r="F24" i="5"/>
  <c r="E24" i="5"/>
  <c r="D24" i="5"/>
  <c r="C24" i="5"/>
  <c r="B24" i="5"/>
  <c r="H23" i="5"/>
  <c r="G23" i="5"/>
  <c r="F23" i="5"/>
  <c r="E23" i="5"/>
  <c r="D23" i="5"/>
  <c r="C23" i="5"/>
  <c r="B23" i="5"/>
  <c r="H22" i="5"/>
  <c r="G22" i="5"/>
  <c r="F22" i="5"/>
  <c r="E22" i="5"/>
  <c r="D22" i="5"/>
  <c r="C22" i="5"/>
  <c r="B22" i="5"/>
  <c r="H21" i="5"/>
  <c r="G21" i="5"/>
  <c r="F21" i="5"/>
  <c r="E21" i="5"/>
  <c r="D21" i="5"/>
  <c r="C21" i="5"/>
  <c r="B21" i="5"/>
  <c r="H20" i="5"/>
  <c r="G20" i="5"/>
  <c r="F20" i="5"/>
  <c r="E20" i="5"/>
  <c r="D20" i="5"/>
  <c r="C20" i="5"/>
  <c r="B20" i="5"/>
  <c r="H19" i="5"/>
  <c r="G19" i="5"/>
  <c r="F19" i="5"/>
  <c r="E19" i="5"/>
  <c r="D19" i="5"/>
  <c r="C19" i="5"/>
  <c r="B19" i="5"/>
  <c r="H18" i="5"/>
  <c r="G18" i="5"/>
  <c r="F18" i="5"/>
  <c r="E18" i="5"/>
  <c r="D18" i="5"/>
  <c r="C18" i="5"/>
  <c r="B18" i="5"/>
  <c r="H17" i="5"/>
  <c r="G17" i="5"/>
  <c r="F17" i="5"/>
  <c r="E17" i="5"/>
  <c r="D17" i="5"/>
  <c r="C17" i="5"/>
  <c r="B17" i="5"/>
  <c r="H16" i="5"/>
  <c r="G16" i="5"/>
  <c r="F16" i="5"/>
  <c r="E16" i="5"/>
  <c r="D16" i="5"/>
  <c r="C16" i="5"/>
  <c r="B16" i="5"/>
  <c r="H15" i="5"/>
  <c r="F15" i="5"/>
  <c r="E15" i="5"/>
  <c r="D15" i="5"/>
  <c r="C15" i="5"/>
  <c r="B15" i="5"/>
  <c r="H14" i="5"/>
  <c r="G14" i="5"/>
  <c r="F14" i="5"/>
  <c r="E14" i="5"/>
  <c r="D14" i="5"/>
  <c r="C14" i="5"/>
  <c r="B14" i="5"/>
  <c r="H13" i="5"/>
  <c r="F13" i="5"/>
  <c r="E13" i="5"/>
  <c r="D13" i="5"/>
  <c r="C13" i="5"/>
  <c r="B13" i="5"/>
  <c r="H12" i="5"/>
  <c r="G12" i="5"/>
  <c r="F12" i="5"/>
  <c r="E12" i="5"/>
  <c r="D12" i="5"/>
  <c r="C12" i="5"/>
  <c r="B12" i="5"/>
  <c r="H11" i="5"/>
  <c r="G11" i="5"/>
  <c r="F11" i="5"/>
  <c r="E11" i="5"/>
  <c r="D11" i="5"/>
  <c r="C11" i="5"/>
  <c r="B11" i="5"/>
  <c r="H10" i="5"/>
  <c r="G10" i="5"/>
  <c r="F10" i="5"/>
  <c r="E10" i="5"/>
  <c r="D10" i="5"/>
  <c r="C10" i="5"/>
  <c r="B10" i="5"/>
  <c r="H9" i="5"/>
  <c r="G9" i="5"/>
  <c r="F9" i="5"/>
  <c r="E9" i="5"/>
  <c r="D9" i="5"/>
  <c r="C9" i="5"/>
  <c r="B9" i="5"/>
  <c r="H8" i="5"/>
  <c r="G8" i="5"/>
  <c r="F8" i="5"/>
  <c r="E8" i="5"/>
  <c r="D8" i="5"/>
  <c r="C8" i="5"/>
  <c r="B8" i="5"/>
  <c r="H7" i="5"/>
  <c r="G7" i="5"/>
  <c r="F7" i="5"/>
  <c r="E7" i="5"/>
  <c r="D7" i="5"/>
  <c r="C7" i="5"/>
  <c r="B7" i="5"/>
  <c r="H6" i="5"/>
  <c r="F6" i="5"/>
  <c r="E6" i="5"/>
  <c r="D6" i="5"/>
  <c r="C6" i="5"/>
  <c r="B6" i="5"/>
  <c r="H5" i="5"/>
  <c r="G5" i="5"/>
  <c r="F5" i="5"/>
  <c r="E5" i="5"/>
  <c r="D5" i="5"/>
  <c r="C5" i="5"/>
  <c r="B5" i="5"/>
  <c r="K1" i="5"/>
  <c r="B1" i="5"/>
  <c r="A1" i="5"/>
  <c r="G752" i="4"/>
  <c r="E752" i="4"/>
  <c r="B752" i="4"/>
  <c r="G751" i="4"/>
  <c r="E751" i="4"/>
  <c r="B751" i="4"/>
  <c r="G750" i="4"/>
  <c r="E750" i="4"/>
  <c r="B750" i="4"/>
  <c r="G749" i="4"/>
  <c r="E749" i="4"/>
  <c r="B749" i="4"/>
  <c r="G748" i="4"/>
  <c r="E748" i="4"/>
  <c r="B748" i="4"/>
  <c r="G747" i="4"/>
  <c r="E747" i="4"/>
  <c r="B747" i="4"/>
  <c r="G746" i="4"/>
  <c r="E746" i="4"/>
  <c r="B746" i="4"/>
  <c r="G745" i="4"/>
  <c r="E745" i="4"/>
  <c r="B745" i="4"/>
  <c r="G744" i="4"/>
  <c r="E744" i="4"/>
  <c r="B744" i="4"/>
  <c r="G743" i="4"/>
  <c r="E743" i="4"/>
  <c r="B743" i="4"/>
  <c r="G742" i="4"/>
  <c r="E742" i="4"/>
  <c r="B742" i="4"/>
  <c r="G741" i="4"/>
  <c r="E741" i="4"/>
  <c r="B741" i="4"/>
  <c r="G740" i="4"/>
  <c r="E740" i="4"/>
  <c r="B740" i="4"/>
  <c r="G739" i="4"/>
  <c r="E739" i="4"/>
  <c r="B739" i="4"/>
  <c r="G738" i="4"/>
  <c r="E738" i="4"/>
  <c r="B738" i="4"/>
  <c r="G737" i="4"/>
  <c r="E737" i="4"/>
  <c r="B737" i="4"/>
  <c r="G736" i="4"/>
  <c r="E736" i="4"/>
  <c r="B736" i="4"/>
  <c r="G735" i="4"/>
  <c r="E735" i="4"/>
  <c r="B735" i="4"/>
  <c r="H734" i="4"/>
  <c r="G734" i="4"/>
  <c r="F734" i="4"/>
  <c r="E734" i="4"/>
  <c r="D734" i="4"/>
  <c r="C734" i="4"/>
  <c r="B734" i="4"/>
  <c r="H733" i="4"/>
  <c r="G733" i="4"/>
  <c r="F733" i="4"/>
  <c r="E733" i="4"/>
  <c r="D733" i="4"/>
  <c r="C733" i="4"/>
  <c r="B733" i="4"/>
  <c r="H732" i="4"/>
  <c r="G732" i="4"/>
  <c r="F732" i="4"/>
  <c r="E732" i="4"/>
  <c r="D732" i="4"/>
  <c r="C732" i="4"/>
  <c r="B732" i="4"/>
  <c r="H731" i="4"/>
  <c r="G731" i="4"/>
  <c r="F731" i="4"/>
  <c r="E731" i="4"/>
  <c r="D731" i="4"/>
  <c r="C731" i="4"/>
  <c r="B731" i="4"/>
  <c r="H730" i="4"/>
  <c r="G730" i="4"/>
  <c r="F730" i="4"/>
  <c r="E730" i="4"/>
  <c r="D730" i="4"/>
  <c r="C730" i="4"/>
  <c r="B730" i="4"/>
  <c r="I729" i="4"/>
  <c r="H729" i="4"/>
  <c r="G729" i="4"/>
  <c r="F729" i="4"/>
  <c r="E729" i="4"/>
  <c r="D729" i="4"/>
  <c r="C729" i="4"/>
  <c r="B729" i="4"/>
  <c r="H728" i="4"/>
  <c r="G728" i="4"/>
  <c r="F728" i="4"/>
  <c r="E728" i="4"/>
  <c r="D728" i="4"/>
  <c r="C728" i="4"/>
  <c r="B728" i="4"/>
  <c r="H727" i="4"/>
  <c r="G727" i="4"/>
  <c r="F727" i="4"/>
  <c r="E727" i="4"/>
  <c r="D727" i="4"/>
  <c r="C727" i="4"/>
  <c r="B727" i="4"/>
  <c r="H726" i="4"/>
  <c r="G726" i="4"/>
  <c r="F726" i="4"/>
  <c r="E726" i="4"/>
  <c r="D726" i="4"/>
  <c r="C726" i="4"/>
  <c r="B726" i="4"/>
  <c r="H725" i="4"/>
  <c r="G725" i="4"/>
  <c r="F725" i="4"/>
  <c r="E725" i="4"/>
  <c r="D725" i="4"/>
  <c r="C725" i="4"/>
  <c r="B725" i="4"/>
  <c r="H724" i="4"/>
  <c r="G724" i="4"/>
  <c r="F724" i="4"/>
  <c r="E724" i="4"/>
  <c r="D724" i="4"/>
  <c r="C724" i="4"/>
  <c r="B724" i="4"/>
  <c r="H723" i="4"/>
  <c r="G723" i="4"/>
  <c r="F723" i="4"/>
  <c r="E723" i="4"/>
  <c r="D723" i="4"/>
  <c r="C723" i="4"/>
  <c r="B723" i="4"/>
  <c r="I722" i="4"/>
  <c r="H722" i="4"/>
  <c r="G722" i="4"/>
  <c r="F722" i="4"/>
  <c r="E722" i="4"/>
  <c r="D722" i="4"/>
  <c r="C722" i="4"/>
  <c r="B722" i="4"/>
  <c r="I721" i="4"/>
  <c r="H721" i="4"/>
  <c r="G721" i="4"/>
  <c r="F721" i="4"/>
  <c r="E721" i="4"/>
  <c r="D721" i="4"/>
  <c r="C721" i="4"/>
  <c r="B721" i="4"/>
  <c r="H720" i="4"/>
  <c r="G720" i="4"/>
  <c r="F720" i="4"/>
  <c r="E720" i="4"/>
  <c r="D720" i="4"/>
  <c r="C720" i="4"/>
  <c r="B720" i="4"/>
  <c r="I719" i="4"/>
  <c r="H719" i="4"/>
  <c r="G719" i="4"/>
  <c r="F719" i="4"/>
  <c r="E719" i="4"/>
  <c r="D719" i="4"/>
  <c r="C719" i="4"/>
  <c r="B719" i="4"/>
  <c r="I718" i="4"/>
  <c r="H718" i="4"/>
  <c r="G718" i="4"/>
  <c r="F718" i="4"/>
  <c r="E718" i="4"/>
  <c r="D718" i="4"/>
  <c r="C718" i="4"/>
  <c r="B718" i="4"/>
  <c r="I717" i="4"/>
  <c r="H717" i="4"/>
  <c r="G717" i="4"/>
  <c r="F717" i="4"/>
  <c r="E717" i="4"/>
  <c r="D717" i="4"/>
  <c r="C717" i="4"/>
  <c r="B717" i="4"/>
  <c r="I716" i="4"/>
  <c r="H716" i="4"/>
  <c r="G716" i="4"/>
  <c r="F716" i="4"/>
  <c r="E716" i="4"/>
  <c r="D716" i="4"/>
  <c r="C716" i="4"/>
  <c r="B716" i="4"/>
  <c r="I715" i="4"/>
  <c r="H715" i="4"/>
  <c r="G715" i="4"/>
  <c r="F715" i="4"/>
  <c r="E715" i="4"/>
  <c r="D715" i="4"/>
  <c r="C715" i="4"/>
  <c r="B715" i="4"/>
  <c r="H714" i="4"/>
  <c r="G714" i="4"/>
  <c r="F714" i="4"/>
  <c r="E714" i="4"/>
  <c r="D714" i="4"/>
  <c r="C714" i="4"/>
  <c r="B714" i="4"/>
  <c r="H713" i="4"/>
  <c r="G713" i="4"/>
  <c r="F713" i="4"/>
  <c r="E713" i="4"/>
  <c r="D713" i="4"/>
  <c r="C713" i="4"/>
  <c r="B713" i="4"/>
  <c r="H712" i="4"/>
  <c r="G712" i="4"/>
  <c r="F712" i="4"/>
  <c r="E712" i="4"/>
  <c r="D712" i="4"/>
  <c r="C712" i="4"/>
  <c r="B712" i="4"/>
  <c r="I711" i="4"/>
  <c r="H711" i="4"/>
  <c r="G711" i="4"/>
  <c r="F711" i="4"/>
  <c r="E711" i="4"/>
  <c r="D711" i="4"/>
  <c r="C711" i="4"/>
  <c r="B711" i="4"/>
  <c r="H710" i="4"/>
  <c r="G710" i="4"/>
  <c r="F710" i="4"/>
  <c r="E710" i="4"/>
  <c r="D710" i="4"/>
  <c r="C710" i="4"/>
  <c r="B710" i="4"/>
  <c r="I709" i="4"/>
  <c r="H709" i="4"/>
  <c r="G709" i="4"/>
  <c r="F709" i="4"/>
  <c r="E709" i="4"/>
  <c r="D709" i="4"/>
  <c r="C709" i="4"/>
  <c r="B709" i="4"/>
  <c r="I708" i="4"/>
  <c r="H708" i="4"/>
  <c r="G708" i="4"/>
  <c r="F708" i="4"/>
  <c r="E708" i="4"/>
  <c r="D708" i="4"/>
  <c r="C708" i="4"/>
  <c r="B708" i="4"/>
  <c r="I707" i="4"/>
  <c r="H707" i="4"/>
  <c r="G707" i="4"/>
  <c r="F707" i="4"/>
  <c r="E707" i="4"/>
  <c r="D707" i="4"/>
  <c r="C707" i="4"/>
  <c r="B707" i="4"/>
  <c r="H706" i="4"/>
  <c r="G706" i="4"/>
  <c r="F706" i="4"/>
  <c r="E706" i="4"/>
  <c r="D706" i="4"/>
  <c r="C706" i="4"/>
  <c r="B706" i="4"/>
  <c r="I705" i="4"/>
  <c r="H705" i="4"/>
  <c r="G705" i="4"/>
  <c r="F705" i="4"/>
  <c r="E705" i="4"/>
  <c r="D705" i="4"/>
  <c r="C705" i="4"/>
  <c r="B705" i="4"/>
  <c r="I704" i="4"/>
  <c r="H704" i="4"/>
  <c r="G704" i="4"/>
  <c r="F704" i="4"/>
  <c r="E704" i="4"/>
  <c r="D704" i="4"/>
  <c r="C704" i="4"/>
  <c r="B704" i="4"/>
  <c r="I703" i="4"/>
  <c r="H703" i="4"/>
  <c r="G703" i="4"/>
  <c r="F703" i="4"/>
  <c r="E703" i="4"/>
  <c r="D703" i="4"/>
  <c r="C703" i="4"/>
  <c r="B703" i="4"/>
  <c r="H702" i="4"/>
  <c r="G702" i="4"/>
  <c r="F702" i="4"/>
  <c r="E702" i="4"/>
  <c r="D702" i="4"/>
  <c r="C702" i="4"/>
  <c r="B702" i="4"/>
  <c r="H701" i="4"/>
  <c r="G701" i="4"/>
  <c r="F701" i="4"/>
  <c r="E701" i="4"/>
  <c r="D701" i="4"/>
  <c r="C701" i="4"/>
  <c r="B701" i="4"/>
  <c r="I700" i="4"/>
  <c r="H700" i="4"/>
  <c r="G700" i="4"/>
  <c r="F700" i="4"/>
  <c r="E700" i="4"/>
  <c r="D700" i="4"/>
  <c r="C700" i="4"/>
  <c r="B700" i="4"/>
  <c r="I699" i="4"/>
  <c r="H699" i="4"/>
  <c r="G699" i="4"/>
  <c r="F699" i="4"/>
  <c r="E699" i="4"/>
  <c r="D699" i="4"/>
  <c r="C699" i="4"/>
  <c r="B699" i="4"/>
  <c r="H698" i="4"/>
  <c r="G698" i="4"/>
  <c r="F698" i="4"/>
  <c r="E698" i="4"/>
  <c r="D698" i="4"/>
  <c r="C698" i="4"/>
  <c r="B698" i="4"/>
  <c r="H697" i="4"/>
  <c r="G697" i="4"/>
  <c r="F697" i="4"/>
  <c r="E697" i="4"/>
  <c r="D697" i="4"/>
  <c r="C697" i="4"/>
  <c r="B697" i="4"/>
  <c r="H696" i="4"/>
  <c r="G696" i="4"/>
  <c r="F696" i="4"/>
  <c r="E696" i="4"/>
  <c r="D696" i="4"/>
  <c r="C696" i="4"/>
  <c r="B696" i="4"/>
  <c r="H695" i="4"/>
  <c r="G695" i="4"/>
  <c r="F695" i="4"/>
  <c r="E695" i="4"/>
  <c r="D695" i="4"/>
  <c r="C695" i="4"/>
  <c r="B695" i="4"/>
  <c r="H694" i="4"/>
  <c r="G694" i="4"/>
  <c r="F694" i="4"/>
  <c r="E694" i="4"/>
  <c r="D694" i="4"/>
  <c r="C694" i="4"/>
  <c r="B694" i="4"/>
  <c r="H693" i="4"/>
  <c r="G693" i="4"/>
  <c r="F693" i="4"/>
  <c r="E693" i="4"/>
  <c r="D693" i="4"/>
  <c r="C693" i="4"/>
  <c r="B693" i="4"/>
  <c r="H692" i="4"/>
  <c r="G692" i="4"/>
  <c r="F692" i="4"/>
  <c r="E692" i="4"/>
  <c r="D692" i="4"/>
  <c r="C692" i="4"/>
  <c r="B692" i="4"/>
  <c r="H691" i="4"/>
  <c r="G691" i="4"/>
  <c r="F691" i="4"/>
  <c r="E691" i="4"/>
  <c r="D691" i="4"/>
  <c r="C691" i="4"/>
  <c r="B691" i="4"/>
  <c r="I690" i="4"/>
  <c r="H690" i="4"/>
  <c r="G690" i="4"/>
  <c r="F690" i="4"/>
  <c r="E690" i="4"/>
  <c r="D690" i="4"/>
  <c r="C690" i="4"/>
  <c r="B690" i="4"/>
  <c r="H689" i="4"/>
  <c r="G689" i="4"/>
  <c r="F689" i="4"/>
  <c r="E689" i="4"/>
  <c r="D689" i="4"/>
  <c r="C689" i="4"/>
  <c r="B689" i="4"/>
  <c r="H688" i="4"/>
  <c r="G688" i="4"/>
  <c r="F688" i="4"/>
  <c r="E688" i="4"/>
  <c r="D688" i="4"/>
  <c r="C688" i="4"/>
  <c r="B688" i="4"/>
  <c r="I687" i="4"/>
  <c r="H687" i="4"/>
  <c r="G687" i="4"/>
  <c r="F687" i="4"/>
  <c r="E687" i="4"/>
  <c r="D687" i="4"/>
  <c r="C687" i="4"/>
  <c r="B687" i="4"/>
  <c r="H686" i="4"/>
  <c r="G686" i="4"/>
  <c r="F686" i="4"/>
  <c r="E686" i="4"/>
  <c r="D686" i="4"/>
  <c r="C686" i="4"/>
  <c r="B686" i="4"/>
  <c r="H685" i="4"/>
  <c r="G685" i="4"/>
  <c r="F685" i="4"/>
  <c r="E685" i="4"/>
  <c r="D685" i="4"/>
  <c r="C685" i="4"/>
  <c r="B685" i="4"/>
  <c r="I684" i="4"/>
  <c r="H684" i="4"/>
  <c r="G684" i="4"/>
  <c r="F684" i="4"/>
  <c r="E684" i="4"/>
  <c r="D684" i="4"/>
  <c r="C684" i="4"/>
  <c r="B684" i="4"/>
  <c r="H683" i="4"/>
  <c r="G683" i="4"/>
  <c r="F683" i="4"/>
  <c r="E683" i="4"/>
  <c r="D683" i="4"/>
  <c r="C683" i="4"/>
  <c r="B683" i="4"/>
  <c r="H682" i="4"/>
  <c r="G682" i="4"/>
  <c r="F682" i="4"/>
  <c r="E682" i="4"/>
  <c r="D682" i="4"/>
  <c r="C682" i="4"/>
  <c r="B682" i="4"/>
  <c r="H681" i="4"/>
  <c r="G681" i="4"/>
  <c r="F681" i="4"/>
  <c r="E681" i="4"/>
  <c r="D681" i="4"/>
  <c r="C681" i="4"/>
  <c r="B681" i="4"/>
  <c r="H680" i="4"/>
  <c r="G680" i="4"/>
  <c r="F680" i="4"/>
  <c r="E680" i="4"/>
  <c r="D680" i="4"/>
  <c r="C680" i="4"/>
  <c r="B680" i="4"/>
  <c r="I679" i="4"/>
  <c r="H679" i="4"/>
  <c r="G679" i="4"/>
  <c r="F679" i="4"/>
  <c r="E679" i="4"/>
  <c r="D679" i="4"/>
  <c r="C679" i="4"/>
  <c r="B679" i="4"/>
  <c r="I678" i="4"/>
  <c r="H678" i="4"/>
  <c r="G678" i="4"/>
  <c r="F678" i="4"/>
  <c r="E678" i="4"/>
  <c r="D678" i="4"/>
  <c r="C678" i="4"/>
  <c r="B678" i="4"/>
  <c r="I677" i="4"/>
  <c r="H677" i="4"/>
  <c r="G677" i="4"/>
  <c r="F677" i="4"/>
  <c r="E677" i="4"/>
  <c r="D677" i="4"/>
  <c r="C677" i="4"/>
  <c r="B677" i="4"/>
  <c r="H676" i="4"/>
  <c r="G676" i="4"/>
  <c r="F676" i="4"/>
  <c r="E676" i="4"/>
  <c r="D676" i="4"/>
  <c r="C676" i="4"/>
  <c r="B676" i="4"/>
  <c r="H675" i="4"/>
  <c r="G675" i="4"/>
  <c r="F675" i="4"/>
  <c r="E675" i="4"/>
  <c r="D675" i="4"/>
  <c r="C675" i="4"/>
  <c r="B675" i="4"/>
  <c r="I674" i="4"/>
  <c r="H674" i="4"/>
  <c r="G674" i="4"/>
  <c r="F674" i="4"/>
  <c r="E674" i="4"/>
  <c r="D674" i="4"/>
  <c r="C674" i="4"/>
  <c r="B674" i="4"/>
  <c r="H673" i="4"/>
  <c r="G673" i="4"/>
  <c r="F673" i="4"/>
  <c r="E673" i="4"/>
  <c r="D673" i="4"/>
  <c r="C673" i="4"/>
  <c r="B673" i="4"/>
  <c r="I672" i="4"/>
  <c r="H672" i="4"/>
  <c r="G672" i="4"/>
  <c r="F672" i="4"/>
  <c r="E672" i="4"/>
  <c r="D672" i="4"/>
  <c r="C672" i="4"/>
  <c r="B672" i="4"/>
  <c r="H671" i="4"/>
  <c r="G671" i="4"/>
  <c r="F671" i="4"/>
  <c r="E671" i="4"/>
  <c r="D671" i="4"/>
  <c r="C671" i="4"/>
  <c r="B671" i="4"/>
  <c r="H670" i="4"/>
  <c r="G670" i="4"/>
  <c r="F670" i="4"/>
  <c r="E670" i="4"/>
  <c r="D670" i="4"/>
  <c r="C670" i="4"/>
  <c r="B670" i="4"/>
  <c r="H669" i="4"/>
  <c r="G669" i="4"/>
  <c r="F669" i="4"/>
  <c r="E669" i="4"/>
  <c r="D669" i="4"/>
  <c r="C669" i="4"/>
  <c r="B669" i="4"/>
  <c r="H668" i="4"/>
  <c r="G668" i="4"/>
  <c r="F668" i="4"/>
  <c r="E668" i="4"/>
  <c r="D668" i="4"/>
  <c r="C668" i="4"/>
  <c r="B668" i="4"/>
  <c r="H667" i="4"/>
  <c r="G667" i="4"/>
  <c r="F667" i="4"/>
  <c r="E667" i="4"/>
  <c r="D667" i="4"/>
  <c r="C667" i="4"/>
  <c r="B667" i="4"/>
  <c r="H666" i="4"/>
  <c r="G666" i="4"/>
  <c r="F666" i="4"/>
  <c r="E666" i="4"/>
  <c r="D666" i="4"/>
  <c r="C666" i="4"/>
  <c r="B666" i="4"/>
  <c r="H665" i="4"/>
  <c r="G665" i="4"/>
  <c r="F665" i="4"/>
  <c r="E665" i="4"/>
  <c r="D665" i="4"/>
  <c r="C665" i="4"/>
  <c r="B665" i="4"/>
  <c r="H664" i="4"/>
  <c r="G664" i="4"/>
  <c r="F664" i="4"/>
  <c r="E664" i="4"/>
  <c r="D664" i="4"/>
  <c r="C664" i="4"/>
  <c r="B664" i="4"/>
  <c r="H663" i="4"/>
  <c r="G663" i="4"/>
  <c r="F663" i="4"/>
  <c r="E663" i="4"/>
  <c r="D663" i="4"/>
  <c r="C663" i="4"/>
  <c r="B663" i="4"/>
  <c r="H662" i="4"/>
  <c r="G662" i="4"/>
  <c r="F662" i="4"/>
  <c r="E662" i="4"/>
  <c r="D662" i="4"/>
  <c r="C662" i="4"/>
  <c r="B662" i="4"/>
  <c r="H661" i="4"/>
  <c r="G661" i="4"/>
  <c r="F661" i="4"/>
  <c r="E661" i="4"/>
  <c r="D661" i="4"/>
  <c r="C661" i="4"/>
  <c r="B661" i="4"/>
  <c r="H660" i="4"/>
  <c r="G660" i="4"/>
  <c r="F660" i="4"/>
  <c r="E660" i="4"/>
  <c r="D660" i="4"/>
  <c r="C660" i="4"/>
  <c r="B660" i="4"/>
  <c r="H659" i="4"/>
  <c r="G659" i="4"/>
  <c r="F659" i="4"/>
  <c r="E659" i="4"/>
  <c r="D659" i="4"/>
  <c r="C659" i="4"/>
  <c r="B659" i="4"/>
  <c r="H658" i="4"/>
  <c r="G658" i="4"/>
  <c r="F658" i="4"/>
  <c r="E658" i="4"/>
  <c r="D658" i="4"/>
  <c r="C658" i="4"/>
  <c r="B658" i="4"/>
  <c r="H657" i="4"/>
  <c r="G657" i="4"/>
  <c r="F657" i="4"/>
  <c r="E657" i="4"/>
  <c r="D657" i="4"/>
  <c r="C657" i="4"/>
  <c r="B657" i="4"/>
  <c r="H656" i="4"/>
  <c r="G656" i="4"/>
  <c r="F656" i="4"/>
  <c r="E656" i="4"/>
  <c r="D656" i="4"/>
  <c r="C656" i="4"/>
  <c r="B656" i="4"/>
  <c r="H655" i="4"/>
  <c r="G655" i="4"/>
  <c r="F655" i="4"/>
  <c r="E655" i="4"/>
  <c r="D655" i="4"/>
  <c r="C655" i="4"/>
  <c r="B655" i="4"/>
  <c r="H654" i="4"/>
  <c r="G654" i="4"/>
  <c r="F654" i="4"/>
  <c r="E654" i="4"/>
  <c r="D654" i="4"/>
  <c r="C654" i="4"/>
  <c r="B654" i="4"/>
  <c r="H653" i="4"/>
  <c r="G653" i="4"/>
  <c r="F653" i="4"/>
  <c r="E653" i="4"/>
  <c r="D653" i="4"/>
  <c r="C653" i="4"/>
  <c r="B653" i="4"/>
  <c r="H652" i="4"/>
  <c r="G652" i="4"/>
  <c r="F652" i="4"/>
  <c r="E652" i="4"/>
  <c r="D652" i="4"/>
  <c r="C652" i="4"/>
  <c r="B652" i="4"/>
  <c r="H651" i="4"/>
  <c r="G651" i="4"/>
  <c r="F651" i="4"/>
  <c r="E651" i="4"/>
  <c r="D651" i="4"/>
  <c r="C651" i="4"/>
  <c r="B651" i="4"/>
  <c r="H650" i="4"/>
  <c r="G650" i="4"/>
  <c r="F650" i="4"/>
  <c r="E650" i="4"/>
  <c r="D650" i="4"/>
  <c r="C650" i="4"/>
  <c r="B650" i="4"/>
  <c r="H649" i="4"/>
  <c r="G649" i="4"/>
  <c r="F649" i="4"/>
  <c r="E649" i="4"/>
  <c r="D649" i="4"/>
  <c r="C649" i="4"/>
  <c r="B649" i="4"/>
  <c r="I648" i="4"/>
  <c r="H648" i="4"/>
  <c r="G648" i="4"/>
  <c r="F648" i="4"/>
  <c r="E648" i="4"/>
  <c r="D648" i="4"/>
  <c r="C648" i="4"/>
  <c r="B648" i="4"/>
  <c r="H647" i="4"/>
  <c r="G647" i="4"/>
  <c r="F647" i="4"/>
  <c r="E647" i="4"/>
  <c r="D647" i="4"/>
  <c r="C647" i="4"/>
  <c r="B647" i="4"/>
  <c r="H646" i="4"/>
  <c r="G646" i="4"/>
  <c r="F646" i="4"/>
  <c r="E646" i="4"/>
  <c r="D646" i="4"/>
  <c r="C646" i="4"/>
  <c r="B646" i="4"/>
  <c r="H645" i="4"/>
  <c r="G645" i="4"/>
  <c r="F645" i="4"/>
  <c r="E645" i="4"/>
  <c r="D645" i="4"/>
  <c r="C645" i="4"/>
  <c r="B645" i="4"/>
  <c r="H644" i="4"/>
  <c r="G644" i="4"/>
  <c r="F644" i="4"/>
  <c r="E644" i="4"/>
  <c r="D644" i="4"/>
  <c r="C644" i="4"/>
  <c r="B644" i="4"/>
  <c r="H643" i="4"/>
  <c r="G643" i="4"/>
  <c r="F643" i="4"/>
  <c r="E643" i="4"/>
  <c r="D643" i="4"/>
  <c r="C643" i="4"/>
  <c r="B643" i="4"/>
  <c r="H642" i="4"/>
  <c r="G642" i="4"/>
  <c r="F642" i="4"/>
  <c r="E642" i="4"/>
  <c r="D642" i="4"/>
  <c r="C642" i="4"/>
  <c r="B642" i="4"/>
  <c r="H641" i="4"/>
  <c r="G641" i="4"/>
  <c r="F641" i="4"/>
  <c r="E641" i="4"/>
  <c r="D641" i="4"/>
  <c r="C641" i="4"/>
  <c r="B641" i="4"/>
  <c r="H640" i="4"/>
  <c r="G640" i="4"/>
  <c r="F640" i="4"/>
  <c r="E640" i="4"/>
  <c r="D640" i="4"/>
  <c r="C640" i="4"/>
  <c r="B640" i="4"/>
  <c r="I639" i="4"/>
  <c r="H639" i="4"/>
  <c r="G639" i="4"/>
  <c r="F639" i="4"/>
  <c r="E639" i="4"/>
  <c r="D639" i="4"/>
  <c r="C639" i="4"/>
  <c r="B639" i="4"/>
  <c r="H638" i="4"/>
  <c r="G638" i="4"/>
  <c r="F638" i="4"/>
  <c r="E638" i="4"/>
  <c r="D638" i="4"/>
  <c r="C638" i="4"/>
  <c r="B638" i="4"/>
  <c r="H637" i="4"/>
  <c r="G637" i="4"/>
  <c r="F637" i="4"/>
  <c r="E637" i="4"/>
  <c r="D637" i="4"/>
  <c r="C637" i="4"/>
  <c r="B637" i="4"/>
  <c r="H636" i="4"/>
  <c r="G636" i="4"/>
  <c r="F636" i="4"/>
  <c r="E636" i="4"/>
  <c r="D636" i="4"/>
  <c r="C636" i="4"/>
  <c r="B636" i="4"/>
  <c r="H635" i="4"/>
  <c r="G635" i="4"/>
  <c r="F635" i="4"/>
  <c r="E635" i="4"/>
  <c r="D635" i="4"/>
  <c r="C635" i="4"/>
  <c r="B635" i="4"/>
  <c r="H634" i="4"/>
  <c r="G634" i="4"/>
  <c r="F634" i="4"/>
  <c r="E634" i="4"/>
  <c r="D634" i="4"/>
  <c r="C634" i="4"/>
  <c r="B634" i="4"/>
  <c r="H633" i="4"/>
  <c r="G633" i="4"/>
  <c r="F633" i="4"/>
  <c r="E633" i="4"/>
  <c r="D633" i="4"/>
  <c r="C633" i="4"/>
  <c r="B633" i="4"/>
  <c r="H632" i="4"/>
  <c r="G632" i="4"/>
  <c r="F632" i="4"/>
  <c r="E632" i="4"/>
  <c r="D632" i="4"/>
  <c r="C632" i="4"/>
  <c r="B632" i="4"/>
  <c r="H631" i="4"/>
  <c r="G631" i="4"/>
  <c r="F631" i="4"/>
  <c r="E631" i="4"/>
  <c r="D631" i="4"/>
  <c r="C631" i="4"/>
  <c r="B631" i="4"/>
  <c r="H630" i="4"/>
  <c r="G630" i="4"/>
  <c r="F630" i="4"/>
  <c r="E630" i="4"/>
  <c r="D630" i="4"/>
  <c r="C630" i="4"/>
  <c r="B630" i="4"/>
  <c r="H629" i="4"/>
  <c r="G629" i="4"/>
  <c r="F629" i="4"/>
  <c r="E629" i="4"/>
  <c r="D629" i="4"/>
  <c r="C629" i="4"/>
  <c r="B629" i="4"/>
  <c r="H628" i="4"/>
  <c r="G628" i="4"/>
  <c r="F628" i="4"/>
  <c r="E628" i="4"/>
  <c r="D628" i="4"/>
  <c r="C628" i="4"/>
  <c r="B628" i="4"/>
  <c r="H627" i="4"/>
  <c r="G627" i="4"/>
  <c r="F627" i="4"/>
  <c r="E627" i="4"/>
  <c r="D627" i="4"/>
  <c r="C627" i="4"/>
  <c r="B627" i="4"/>
  <c r="H626" i="4"/>
  <c r="G626" i="4"/>
  <c r="F626" i="4"/>
  <c r="E626" i="4"/>
  <c r="D626" i="4"/>
  <c r="C626" i="4"/>
  <c r="B626" i="4"/>
  <c r="I625" i="4"/>
  <c r="H625" i="4"/>
  <c r="G625" i="4"/>
  <c r="F625" i="4"/>
  <c r="E625" i="4"/>
  <c r="D625" i="4"/>
  <c r="C625" i="4"/>
  <c r="B625" i="4"/>
  <c r="I624" i="4"/>
  <c r="H624" i="4"/>
  <c r="G624" i="4"/>
  <c r="F624" i="4"/>
  <c r="E624" i="4"/>
  <c r="D624" i="4"/>
  <c r="C624" i="4"/>
  <c r="B624" i="4"/>
  <c r="I623" i="4"/>
  <c r="H623" i="4"/>
  <c r="G623" i="4"/>
  <c r="F623" i="4"/>
  <c r="E623" i="4"/>
  <c r="D623" i="4"/>
  <c r="C623" i="4"/>
  <c r="B623" i="4"/>
  <c r="H622" i="4"/>
  <c r="G622" i="4"/>
  <c r="F622" i="4"/>
  <c r="E622" i="4"/>
  <c r="D622" i="4"/>
  <c r="C622" i="4"/>
  <c r="B622" i="4"/>
  <c r="H621" i="4"/>
  <c r="G621" i="4"/>
  <c r="F621" i="4"/>
  <c r="E621" i="4"/>
  <c r="D621" i="4"/>
  <c r="C621" i="4"/>
  <c r="B621" i="4"/>
  <c r="H620" i="4"/>
  <c r="G620" i="4"/>
  <c r="F620" i="4"/>
  <c r="E620" i="4"/>
  <c r="D620" i="4"/>
  <c r="C620" i="4"/>
  <c r="B620" i="4"/>
  <c r="I619" i="4"/>
  <c r="H619" i="4"/>
  <c r="G619" i="4"/>
  <c r="F619" i="4"/>
  <c r="E619" i="4"/>
  <c r="D619" i="4"/>
  <c r="C619" i="4"/>
  <c r="B619" i="4"/>
  <c r="H618" i="4"/>
  <c r="G618" i="4"/>
  <c r="F618" i="4"/>
  <c r="E618" i="4"/>
  <c r="D618" i="4"/>
  <c r="C618" i="4"/>
  <c r="B618" i="4"/>
  <c r="H617" i="4"/>
  <c r="G617" i="4"/>
  <c r="F617" i="4"/>
  <c r="E617" i="4"/>
  <c r="D617" i="4"/>
  <c r="C617" i="4"/>
  <c r="B617" i="4"/>
  <c r="H616" i="4"/>
  <c r="G616" i="4"/>
  <c r="F616" i="4"/>
  <c r="E616" i="4"/>
  <c r="D616" i="4"/>
  <c r="C616" i="4"/>
  <c r="B616" i="4"/>
  <c r="I615" i="4"/>
  <c r="H615" i="4"/>
  <c r="G615" i="4"/>
  <c r="F615" i="4"/>
  <c r="E615" i="4"/>
  <c r="D615" i="4"/>
  <c r="C615" i="4"/>
  <c r="B615" i="4"/>
  <c r="H614" i="4"/>
  <c r="G614" i="4"/>
  <c r="F614" i="4"/>
  <c r="E614" i="4"/>
  <c r="D614" i="4"/>
  <c r="C614" i="4"/>
  <c r="B614" i="4"/>
  <c r="H613" i="4"/>
  <c r="G613" i="4"/>
  <c r="F613" i="4"/>
  <c r="E613" i="4"/>
  <c r="D613" i="4"/>
  <c r="C613" i="4"/>
  <c r="B613" i="4"/>
  <c r="H612" i="4"/>
  <c r="G612" i="4"/>
  <c r="F612" i="4"/>
  <c r="E612" i="4"/>
  <c r="D612" i="4"/>
  <c r="C612" i="4"/>
  <c r="B612" i="4"/>
  <c r="H611" i="4"/>
  <c r="G611" i="4"/>
  <c r="F611" i="4"/>
  <c r="E611" i="4"/>
  <c r="D611" i="4"/>
  <c r="C611" i="4"/>
  <c r="B611" i="4"/>
  <c r="I610" i="4"/>
  <c r="H610" i="4"/>
  <c r="G610" i="4"/>
  <c r="F610" i="4"/>
  <c r="E610" i="4"/>
  <c r="D610" i="4"/>
  <c r="C610" i="4"/>
  <c r="B610" i="4"/>
  <c r="I609" i="4"/>
  <c r="H609" i="4"/>
  <c r="G609" i="4"/>
  <c r="F609" i="4"/>
  <c r="E609" i="4"/>
  <c r="D609" i="4"/>
  <c r="C609" i="4"/>
  <c r="B609" i="4"/>
  <c r="H608" i="4"/>
  <c r="G608" i="4"/>
  <c r="F608" i="4"/>
  <c r="E608" i="4"/>
  <c r="D608" i="4"/>
  <c r="C608" i="4"/>
  <c r="B608" i="4"/>
  <c r="H607" i="4"/>
  <c r="G607" i="4"/>
  <c r="F607" i="4"/>
  <c r="E607" i="4"/>
  <c r="D607" i="4"/>
  <c r="C607" i="4"/>
  <c r="B607" i="4"/>
  <c r="H606" i="4"/>
  <c r="G606" i="4"/>
  <c r="F606" i="4"/>
  <c r="E606" i="4"/>
  <c r="D606" i="4"/>
  <c r="C606" i="4"/>
  <c r="B606" i="4"/>
  <c r="H605" i="4"/>
  <c r="G605" i="4"/>
  <c r="F605" i="4"/>
  <c r="E605" i="4"/>
  <c r="D605" i="4"/>
  <c r="C605" i="4"/>
  <c r="B605" i="4"/>
  <c r="H604" i="4"/>
  <c r="G604" i="4"/>
  <c r="F604" i="4"/>
  <c r="E604" i="4"/>
  <c r="D604" i="4"/>
  <c r="C604" i="4"/>
  <c r="B604" i="4"/>
  <c r="H603" i="4"/>
  <c r="G603" i="4"/>
  <c r="F603" i="4"/>
  <c r="E603" i="4"/>
  <c r="D603" i="4"/>
  <c r="C603" i="4"/>
  <c r="B603" i="4"/>
  <c r="H602" i="4"/>
  <c r="G602" i="4"/>
  <c r="F602" i="4"/>
  <c r="E602" i="4"/>
  <c r="D602" i="4"/>
  <c r="C602" i="4"/>
  <c r="B602" i="4"/>
  <c r="H601" i="4"/>
  <c r="G601" i="4"/>
  <c r="F601" i="4"/>
  <c r="E601" i="4"/>
  <c r="D601" i="4"/>
  <c r="C601" i="4"/>
  <c r="B601" i="4"/>
  <c r="H600" i="4"/>
  <c r="G600" i="4"/>
  <c r="F600" i="4"/>
  <c r="E600" i="4"/>
  <c r="D600" i="4"/>
  <c r="C600" i="4"/>
  <c r="B600" i="4"/>
  <c r="H599" i="4"/>
  <c r="G599" i="4"/>
  <c r="F599" i="4"/>
  <c r="E599" i="4"/>
  <c r="D599" i="4"/>
  <c r="C599" i="4"/>
  <c r="B599" i="4"/>
  <c r="H598" i="4"/>
  <c r="G598" i="4"/>
  <c r="F598" i="4"/>
  <c r="E598" i="4"/>
  <c r="D598" i="4"/>
  <c r="C598" i="4"/>
  <c r="B598" i="4"/>
  <c r="H597" i="4"/>
  <c r="G597" i="4"/>
  <c r="F597" i="4"/>
  <c r="E597" i="4"/>
  <c r="D597" i="4"/>
  <c r="C597" i="4"/>
  <c r="B597" i="4"/>
  <c r="H596" i="4"/>
  <c r="G596" i="4"/>
  <c r="F596" i="4"/>
  <c r="E596" i="4"/>
  <c r="D596" i="4"/>
  <c r="C596" i="4"/>
  <c r="B596" i="4"/>
  <c r="H595" i="4"/>
  <c r="G595" i="4"/>
  <c r="F595" i="4"/>
  <c r="E595" i="4"/>
  <c r="D595" i="4"/>
  <c r="C595" i="4"/>
  <c r="B595" i="4"/>
  <c r="H594" i="4"/>
  <c r="G594" i="4"/>
  <c r="F594" i="4"/>
  <c r="E594" i="4"/>
  <c r="D594" i="4"/>
  <c r="C594" i="4"/>
  <c r="B594" i="4"/>
  <c r="H593" i="4"/>
  <c r="G593" i="4"/>
  <c r="F593" i="4"/>
  <c r="E593" i="4"/>
  <c r="D593" i="4"/>
  <c r="C593" i="4"/>
  <c r="B593" i="4"/>
  <c r="H592" i="4"/>
  <c r="G592" i="4"/>
  <c r="F592" i="4"/>
  <c r="E592" i="4"/>
  <c r="D592" i="4"/>
  <c r="C592" i="4"/>
  <c r="B592" i="4"/>
  <c r="H591" i="4"/>
  <c r="G591" i="4"/>
  <c r="F591" i="4"/>
  <c r="E591" i="4"/>
  <c r="D591" i="4"/>
  <c r="C591" i="4"/>
  <c r="B591" i="4"/>
  <c r="H590" i="4"/>
  <c r="G590" i="4"/>
  <c r="F590" i="4"/>
  <c r="E590" i="4"/>
  <c r="D590" i="4"/>
  <c r="C590" i="4"/>
  <c r="B590" i="4"/>
  <c r="I589" i="4"/>
  <c r="H589" i="4"/>
  <c r="G589" i="4"/>
  <c r="F589" i="4"/>
  <c r="E589" i="4"/>
  <c r="D589" i="4"/>
  <c r="C589" i="4"/>
  <c r="B589" i="4"/>
  <c r="H588" i="4"/>
  <c r="G588" i="4"/>
  <c r="F588" i="4"/>
  <c r="E588" i="4"/>
  <c r="D588" i="4"/>
  <c r="C588" i="4"/>
  <c r="B588" i="4"/>
  <c r="H587" i="4"/>
  <c r="G587" i="4"/>
  <c r="F587" i="4"/>
  <c r="E587" i="4"/>
  <c r="D587" i="4"/>
  <c r="C587" i="4"/>
  <c r="B587" i="4"/>
  <c r="I586" i="4"/>
  <c r="H586" i="4"/>
  <c r="G586" i="4"/>
  <c r="F586" i="4"/>
  <c r="E586" i="4"/>
  <c r="D586" i="4"/>
  <c r="C586" i="4"/>
  <c r="B586" i="4"/>
  <c r="H585" i="4"/>
  <c r="G585" i="4"/>
  <c r="F585" i="4"/>
  <c r="E585" i="4"/>
  <c r="D585" i="4"/>
  <c r="C585" i="4"/>
  <c r="B585" i="4"/>
  <c r="H584" i="4"/>
  <c r="G584" i="4"/>
  <c r="F584" i="4"/>
  <c r="E584" i="4"/>
  <c r="D584" i="4"/>
  <c r="C584" i="4"/>
  <c r="B584" i="4"/>
  <c r="H583" i="4"/>
  <c r="G583" i="4"/>
  <c r="F583" i="4"/>
  <c r="E583" i="4"/>
  <c r="D583" i="4"/>
  <c r="C583" i="4"/>
  <c r="B583" i="4"/>
  <c r="H582" i="4"/>
  <c r="G582" i="4"/>
  <c r="F582" i="4"/>
  <c r="E582" i="4"/>
  <c r="D582" i="4"/>
  <c r="C582" i="4"/>
  <c r="B582" i="4"/>
  <c r="H581" i="4"/>
  <c r="G581" i="4"/>
  <c r="F581" i="4"/>
  <c r="E581" i="4"/>
  <c r="D581" i="4"/>
  <c r="C581" i="4"/>
  <c r="B581" i="4"/>
  <c r="H580" i="4"/>
  <c r="G580" i="4"/>
  <c r="F580" i="4"/>
  <c r="E580" i="4"/>
  <c r="D580" i="4"/>
  <c r="C580" i="4"/>
  <c r="B580" i="4"/>
  <c r="H579" i="4"/>
  <c r="G579" i="4"/>
  <c r="F579" i="4"/>
  <c r="E579" i="4"/>
  <c r="D579" i="4"/>
  <c r="C579" i="4"/>
  <c r="B579" i="4"/>
  <c r="H578" i="4"/>
  <c r="G578" i="4"/>
  <c r="F578" i="4"/>
  <c r="E578" i="4"/>
  <c r="D578" i="4"/>
  <c r="C578" i="4"/>
  <c r="B578" i="4"/>
  <c r="H577" i="4"/>
  <c r="G577" i="4"/>
  <c r="F577" i="4"/>
  <c r="E577" i="4"/>
  <c r="D577" i="4"/>
  <c r="C577" i="4"/>
  <c r="B577" i="4"/>
  <c r="H576" i="4"/>
  <c r="G576" i="4"/>
  <c r="F576" i="4"/>
  <c r="E576" i="4"/>
  <c r="D576" i="4"/>
  <c r="C576" i="4"/>
  <c r="B576" i="4"/>
  <c r="H575" i="4"/>
  <c r="G575" i="4"/>
  <c r="F575" i="4"/>
  <c r="E575" i="4"/>
  <c r="D575" i="4"/>
  <c r="C575" i="4"/>
  <c r="B575" i="4"/>
  <c r="H574" i="4"/>
  <c r="G574" i="4"/>
  <c r="F574" i="4"/>
  <c r="E574" i="4"/>
  <c r="D574" i="4"/>
  <c r="C574" i="4"/>
  <c r="B574" i="4"/>
  <c r="H573" i="4"/>
  <c r="G573" i="4"/>
  <c r="F573" i="4"/>
  <c r="E573" i="4"/>
  <c r="D573" i="4"/>
  <c r="C573" i="4"/>
  <c r="B573" i="4"/>
  <c r="H572" i="4"/>
  <c r="G572" i="4"/>
  <c r="F572" i="4"/>
  <c r="E572" i="4"/>
  <c r="D572" i="4"/>
  <c r="C572" i="4"/>
  <c r="B572" i="4"/>
  <c r="H571" i="4"/>
  <c r="G571" i="4"/>
  <c r="F571" i="4"/>
  <c r="E571" i="4"/>
  <c r="D571" i="4"/>
  <c r="C571" i="4"/>
  <c r="B571" i="4"/>
  <c r="H570" i="4"/>
  <c r="G570" i="4"/>
  <c r="F570" i="4"/>
  <c r="E570" i="4"/>
  <c r="D570" i="4"/>
  <c r="C570" i="4"/>
  <c r="B570" i="4"/>
  <c r="I569" i="4"/>
  <c r="H569" i="4"/>
  <c r="G569" i="4"/>
  <c r="F569" i="4"/>
  <c r="E569" i="4"/>
  <c r="D569" i="4"/>
  <c r="C569" i="4"/>
  <c r="B569" i="4"/>
  <c r="I568" i="4"/>
  <c r="H568" i="4"/>
  <c r="G568" i="4"/>
  <c r="F568" i="4"/>
  <c r="E568" i="4"/>
  <c r="D568" i="4"/>
  <c r="C568" i="4"/>
  <c r="B568" i="4"/>
  <c r="I567" i="4"/>
  <c r="H567" i="4"/>
  <c r="G567" i="4"/>
  <c r="F567" i="4"/>
  <c r="E567" i="4"/>
  <c r="D567" i="4"/>
  <c r="C567" i="4"/>
  <c r="B567" i="4"/>
  <c r="H566" i="4"/>
  <c r="G566" i="4"/>
  <c r="F566" i="4"/>
  <c r="E566" i="4"/>
  <c r="D566" i="4"/>
  <c r="C566" i="4"/>
  <c r="B566" i="4"/>
  <c r="H565" i="4"/>
  <c r="G565" i="4"/>
  <c r="F565" i="4"/>
  <c r="E565" i="4"/>
  <c r="D565" i="4"/>
  <c r="C565" i="4"/>
  <c r="B565" i="4"/>
  <c r="H564" i="4"/>
  <c r="G564" i="4"/>
  <c r="F564" i="4"/>
  <c r="E564" i="4"/>
  <c r="D564" i="4"/>
  <c r="C564" i="4"/>
  <c r="B564" i="4"/>
  <c r="H563" i="4"/>
  <c r="G563" i="4"/>
  <c r="F563" i="4"/>
  <c r="E563" i="4"/>
  <c r="D563" i="4"/>
  <c r="C563" i="4"/>
  <c r="B563" i="4"/>
  <c r="H562" i="4"/>
  <c r="G562" i="4"/>
  <c r="F562" i="4"/>
  <c r="E562" i="4"/>
  <c r="D562" i="4"/>
  <c r="C562" i="4"/>
  <c r="B562" i="4"/>
  <c r="H561" i="4"/>
  <c r="G561" i="4"/>
  <c r="F561" i="4"/>
  <c r="E561" i="4"/>
  <c r="D561" i="4"/>
  <c r="C561" i="4"/>
  <c r="B561" i="4"/>
  <c r="H560" i="4"/>
  <c r="G560" i="4"/>
  <c r="F560" i="4"/>
  <c r="E560" i="4"/>
  <c r="D560" i="4"/>
  <c r="C560" i="4"/>
  <c r="B560" i="4"/>
  <c r="H559" i="4"/>
  <c r="G559" i="4"/>
  <c r="F559" i="4"/>
  <c r="E559" i="4"/>
  <c r="D559" i="4"/>
  <c r="C559" i="4"/>
  <c r="B559" i="4"/>
  <c r="H558" i="4"/>
  <c r="G558" i="4"/>
  <c r="F558" i="4"/>
  <c r="E558" i="4"/>
  <c r="D558" i="4"/>
  <c r="C558" i="4"/>
  <c r="B558" i="4"/>
  <c r="H557" i="4"/>
  <c r="G557" i="4"/>
  <c r="F557" i="4"/>
  <c r="E557" i="4"/>
  <c r="D557" i="4"/>
  <c r="C557" i="4"/>
  <c r="B557" i="4"/>
  <c r="H556" i="4"/>
  <c r="G556" i="4"/>
  <c r="F556" i="4"/>
  <c r="E556" i="4"/>
  <c r="D556" i="4"/>
  <c r="C556" i="4"/>
  <c r="B556" i="4"/>
  <c r="H555" i="4"/>
  <c r="G555" i="4"/>
  <c r="F555" i="4"/>
  <c r="E555" i="4"/>
  <c r="D555" i="4"/>
  <c r="C555" i="4"/>
  <c r="B555" i="4"/>
  <c r="H554" i="4"/>
  <c r="G554" i="4"/>
  <c r="F554" i="4"/>
  <c r="E554" i="4"/>
  <c r="D554" i="4"/>
  <c r="C554" i="4"/>
  <c r="B554" i="4"/>
  <c r="I553" i="4"/>
  <c r="H553" i="4"/>
  <c r="G553" i="4"/>
  <c r="F553" i="4"/>
  <c r="E553" i="4"/>
  <c r="D553" i="4"/>
  <c r="C553" i="4"/>
  <c r="B553" i="4"/>
  <c r="H552" i="4"/>
  <c r="G552" i="4"/>
  <c r="F552" i="4"/>
  <c r="E552" i="4"/>
  <c r="D552" i="4"/>
  <c r="C552" i="4"/>
  <c r="B552" i="4"/>
  <c r="H551" i="4"/>
  <c r="G551" i="4"/>
  <c r="F551" i="4"/>
  <c r="E551" i="4"/>
  <c r="D551" i="4"/>
  <c r="C551" i="4"/>
  <c r="B551" i="4"/>
  <c r="H550" i="4"/>
  <c r="G550" i="4"/>
  <c r="F550" i="4"/>
  <c r="E550" i="4"/>
  <c r="D550" i="4"/>
  <c r="C550" i="4"/>
  <c r="B550" i="4"/>
  <c r="H549" i="4"/>
  <c r="G549" i="4"/>
  <c r="F549" i="4"/>
  <c r="E549" i="4"/>
  <c r="D549" i="4"/>
  <c r="C549" i="4"/>
  <c r="B549" i="4"/>
  <c r="H548" i="4"/>
  <c r="G548" i="4"/>
  <c r="F548" i="4"/>
  <c r="E548" i="4"/>
  <c r="D548" i="4"/>
  <c r="C548" i="4"/>
  <c r="B548" i="4"/>
  <c r="I547" i="4"/>
  <c r="H547" i="4"/>
  <c r="G547" i="4"/>
  <c r="F547" i="4"/>
  <c r="E547" i="4"/>
  <c r="D547" i="4"/>
  <c r="C547" i="4"/>
  <c r="B547" i="4"/>
  <c r="I546" i="4"/>
  <c r="H546" i="4"/>
  <c r="G546" i="4"/>
  <c r="F546" i="4"/>
  <c r="E546" i="4"/>
  <c r="D546" i="4"/>
  <c r="C546" i="4"/>
  <c r="B546" i="4"/>
  <c r="I545" i="4"/>
  <c r="H545" i="4"/>
  <c r="G545" i="4"/>
  <c r="F545" i="4"/>
  <c r="E545" i="4"/>
  <c r="D545" i="4"/>
  <c r="C545" i="4"/>
  <c r="B545" i="4"/>
  <c r="H544" i="4"/>
  <c r="G544" i="4"/>
  <c r="F544" i="4"/>
  <c r="E544" i="4"/>
  <c r="D544" i="4"/>
  <c r="C544" i="4"/>
  <c r="B544" i="4"/>
  <c r="H543" i="4"/>
  <c r="G543" i="4"/>
  <c r="F543" i="4"/>
  <c r="E543" i="4"/>
  <c r="D543" i="4"/>
  <c r="C543" i="4"/>
  <c r="B543" i="4"/>
  <c r="I542" i="4"/>
  <c r="H542" i="4"/>
  <c r="G542" i="4"/>
  <c r="F542" i="4"/>
  <c r="E542" i="4"/>
  <c r="D542" i="4"/>
  <c r="C542" i="4"/>
  <c r="B542" i="4"/>
  <c r="I541" i="4"/>
  <c r="H541" i="4"/>
  <c r="G541" i="4"/>
  <c r="F541" i="4"/>
  <c r="E541" i="4"/>
  <c r="D541" i="4"/>
  <c r="C541" i="4"/>
  <c r="B541" i="4"/>
  <c r="I540" i="4"/>
  <c r="H540" i="4"/>
  <c r="G540" i="4"/>
  <c r="F540" i="4"/>
  <c r="E540" i="4"/>
  <c r="D540" i="4"/>
  <c r="C540" i="4"/>
  <c r="B540" i="4"/>
  <c r="I539" i="4"/>
  <c r="H539" i="4"/>
  <c r="G539" i="4"/>
  <c r="F539" i="4"/>
  <c r="E539" i="4"/>
  <c r="D539" i="4"/>
  <c r="C539" i="4"/>
  <c r="B539" i="4"/>
  <c r="H538" i="4"/>
  <c r="G538" i="4"/>
  <c r="F538" i="4"/>
  <c r="E538" i="4"/>
  <c r="D538" i="4"/>
  <c r="C538" i="4"/>
  <c r="B538" i="4"/>
  <c r="H537" i="4"/>
  <c r="G537" i="4"/>
  <c r="F537" i="4"/>
  <c r="E537" i="4"/>
  <c r="D537" i="4"/>
  <c r="C537" i="4"/>
  <c r="B537" i="4"/>
  <c r="H536" i="4"/>
  <c r="G536" i="4"/>
  <c r="F536" i="4"/>
  <c r="E536" i="4"/>
  <c r="D536" i="4"/>
  <c r="C536" i="4"/>
  <c r="B536" i="4"/>
  <c r="H535" i="4"/>
  <c r="G535" i="4"/>
  <c r="F535" i="4"/>
  <c r="E535" i="4"/>
  <c r="D535" i="4"/>
  <c r="C535" i="4"/>
  <c r="B535" i="4"/>
  <c r="I534" i="4"/>
  <c r="H534" i="4"/>
  <c r="G534" i="4"/>
  <c r="F534" i="4"/>
  <c r="E534" i="4"/>
  <c r="D534" i="4"/>
  <c r="C534" i="4"/>
  <c r="B534" i="4"/>
  <c r="H533" i="4"/>
  <c r="G533" i="4"/>
  <c r="F533" i="4"/>
  <c r="E533" i="4"/>
  <c r="D533" i="4"/>
  <c r="C533" i="4"/>
  <c r="B533" i="4"/>
  <c r="H532" i="4"/>
  <c r="G532" i="4"/>
  <c r="F532" i="4"/>
  <c r="E532" i="4"/>
  <c r="D532" i="4"/>
  <c r="C532" i="4"/>
  <c r="B532" i="4"/>
  <c r="H531" i="4"/>
  <c r="G531" i="4"/>
  <c r="F531" i="4"/>
  <c r="E531" i="4"/>
  <c r="D531" i="4"/>
  <c r="C531" i="4"/>
  <c r="B531" i="4"/>
  <c r="H530" i="4"/>
  <c r="G530" i="4"/>
  <c r="F530" i="4"/>
  <c r="E530" i="4"/>
  <c r="D530" i="4"/>
  <c r="C530" i="4"/>
  <c r="B530" i="4"/>
  <c r="H529" i="4"/>
  <c r="G529" i="4"/>
  <c r="F529" i="4"/>
  <c r="E529" i="4"/>
  <c r="D529" i="4"/>
  <c r="C529" i="4"/>
  <c r="B529" i="4"/>
  <c r="H528" i="4"/>
  <c r="G528" i="4"/>
  <c r="F528" i="4"/>
  <c r="E528" i="4"/>
  <c r="D528" i="4"/>
  <c r="C528" i="4"/>
  <c r="B528" i="4"/>
  <c r="H527" i="4"/>
  <c r="G527" i="4"/>
  <c r="F527" i="4"/>
  <c r="E527" i="4"/>
  <c r="D527" i="4"/>
  <c r="C527" i="4"/>
  <c r="B527" i="4"/>
  <c r="H526" i="4"/>
  <c r="G526" i="4"/>
  <c r="F526" i="4"/>
  <c r="E526" i="4"/>
  <c r="D526" i="4"/>
  <c r="C526" i="4"/>
  <c r="B526" i="4"/>
  <c r="H525" i="4"/>
  <c r="G525" i="4"/>
  <c r="F525" i="4"/>
  <c r="E525" i="4"/>
  <c r="D525" i="4"/>
  <c r="C525" i="4"/>
  <c r="B525" i="4"/>
  <c r="H524" i="4"/>
  <c r="G524" i="4"/>
  <c r="F524" i="4"/>
  <c r="E524" i="4"/>
  <c r="D524" i="4"/>
  <c r="C524" i="4"/>
  <c r="B524" i="4"/>
  <c r="H523" i="4"/>
  <c r="G523" i="4"/>
  <c r="F523" i="4"/>
  <c r="E523" i="4"/>
  <c r="D523" i="4"/>
  <c r="C523" i="4"/>
  <c r="B523" i="4"/>
  <c r="H522" i="4"/>
  <c r="G522" i="4"/>
  <c r="F522" i="4"/>
  <c r="E522" i="4"/>
  <c r="D522" i="4"/>
  <c r="C522" i="4"/>
  <c r="B522" i="4"/>
  <c r="H521" i="4"/>
  <c r="G521" i="4"/>
  <c r="F521" i="4"/>
  <c r="E521" i="4"/>
  <c r="D521" i="4"/>
  <c r="C521" i="4"/>
  <c r="B521" i="4"/>
  <c r="I520" i="4"/>
  <c r="H520" i="4"/>
  <c r="G520" i="4"/>
  <c r="F520" i="4"/>
  <c r="E520" i="4"/>
  <c r="D520" i="4"/>
  <c r="C520" i="4"/>
  <c r="B520" i="4"/>
  <c r="H519" i="4"/>
  <c r="G519" i="4"/>
  <c r="F519" i="4"/>
  <c r="E519" i="4"/>
  <c r="D519" i="4"/>
  <c r="C519" i="4"/>
  <c r="B519" i="4"/>
  <c r="H518" i="4"/>
  <c r="G518" i="4"/>
  <c r="F518" i="4"/>
  <c r="E518" i="4"/>
  <c r="D518" i="4"/>
  <c r="C518" i="4"/>
  <c r="B518" i="4"/>
  <c r="H517" i="4"/>
  <c r="G517" i="4"/>
  <c r="F517" i="4"/>
  <c r="E517" i="4"/>
  <c r="D517" i="4"/>
  <c r="C517" i="4"/>
  <c r="B517" i="4"/>
  <c r="H516" i="4"/>
  <c r="G516" i="4"/>
  <c r="F516" i="4"/>
  <c r="E516" i="4"/>
  <c r="D516" i="4"/>
  <c r="C516" i="4"/>
  <c r="B516" i="4"/>
  <c r="H515" i="4"/>
  <c r="G515" i="4"/>
  <c r="F515" i="4"/>
  <c r="E515" i="4"/>
  <c r="D515" i="4"/>
  <c r="C515" i="4"/>
  <c r="B515" i="4"/>
  <c r="I514" i="4"/>
  <c r="H514" i="4"/>
  <c r="G514" i="4"/>
  <c r="F514" i="4"/>
  <c r="E514" i="4"/>
  <c r="D514" i="4"/>
  <c r="C514" i="4"/>
  <c r="B514" i="4"/>
  <c r="H513" i="4"/>
  <c r="G513" i="4"/>
  <c r="F513" i="4"/>
  <c r="E513" i="4"/>
  <c r="D513" i="4"/>
  <c r="C513" i="4"/>
  <c r="B513" i="4"/>
  <c r="H512" i="4"/>
  <c r="G512" i="4"/>
  <c r="F512" i="4"/>
  <c r="E512" i="4"/>
  <c r="D512" i="4"/>
  <c r="C512" i="4"/>
  <c r="B512" i="4"/>
  <c r="H511" i="4"/>
  <c r="G511" i="4"/>
  <c r="F511" i="4"/>
  <c r="E511" i="4"/>
  <c r="D511" i="4"/>
  <c r="C511" i="4"/>
  <c r="B511" i="4"/>
  <c r="H510" i="4"/>
  <c r="G510" i="4"/>
  <c r="F510" i="4"/>
  <c r="E510" i="4"/>
  <c r="D510" i="4"/>
  <c r="C510" i="4"/>
  <c r="B510" i="4"/>
  <c r="H509" i="4"/>
  <c r="G509" i="4"/>
  <c r="F509" i="4"/>
  <c r="E509" i="4"/>
  <c r="D509" i="4"/>
  <c r="C509" i="4"/>
  <c r="B509" i="4"/>
  <c r="H508" i="4"/>
  <c r="G508" i="4"/>
  <c r="F508" i="4"/>
  <c r="E508" i="4"/>
  <c r="D508" i="4"/>
  <c r="C508" i="4"/>
  <c r="B508" i="4"/>
  <c r="H507" i="4"/>
  <c r="G507" i="4"/>
  <c r="F507" i="4"/>
  <c r="E507" i="4"/>
  <c r="D507" i="4"/>
  <c r="C507" i="4"/>
  <c r="B507" i="4"/>
  <c r="H506" i="4"/>
  <c r="G506" i="4"/>
  <c r="F506" i="4"/>
  <c r="E506" i="4"/>
  <c r="D506" i="4"/>
  <c r="C506" i="4"/>
  <c r="B506" i="4"/>
  <c r="H505" i="4"/>
  <c r="G505" i="4"/>
  <c r="F505" i="4"/>
  <c r="E505" i="4"/>
  <c r="D505" i="4"/>
  <c r="C505" i="4"/>
  <c r="B505" i="4"/>
  <c r="H504" i="4"/>
  <c r="G504" i="4"/>
  <c r="F504" i="4"/>
  <c r="E504" i="4"/>
  <c r="D504" i="4"/>
  <c r="C504" i="4"/>
  <c r="B504" i="4"/>
  <c r="H503" i="4"/>
  <c r="G503" i="4"/>
  <c r="F503" i="4"/>
  <c r="E503" i="4"/>
  <c r="D503" i="4"/>
  <c r="C503" i="4"/>
  <c r="B503" i="4"/>
  <c r="H502" i="4"/>
  <c r="G502" i="4"/>
  <c r="F502" i="4"/>
  <c r="E502" i="4"/>
  <c r="D502" i="4"/>
  <c r="C502" i="4"/>
  <c r="B502" i="4"/>
  <c r="H501" i="4"/>
  <c r="G501" i="4"/>
  <c r="F501" i="4"/>
  <c r="E501" i="4"/>
  <c r="D501" i="4"/>
  <c r="C501" i="4"/>
  <c r="B501" i="4"/>
  <c r="H500" i="4"/>
  <c r="G500" i="4"/>
  <c r="F500" i="4"/>
  <c r="E500" i="4"/>
  <c r="D500" i="4"/>
  <c r="C500" i="4"/>
  <c r="B500" i="4"/>
  <c r="H499" i="4"/>
  <c r="G499" i="4"/>
  <c r="F499" i="4"/>
  <c r="E499" i="4"/>
  <c r="D499" i="4"/>
  <c r="C499" i="4"/>
  <c r="B499" i="4"/>
  <c r="H498" i="4"/>
  <c r="G498" i="4"/>
  <c r="F498" i="4"/>
  <c r="E498" i="4"/>
  <c r="D498" i="4"/>
  <c r="C498" i="4"/>
  <c r="B498" i="4"/>
  <c r="H497" i="4"/>
  <c r="G497" i="4"/>
  <c r="F497" i="4"/>
  <c r="E497" i="4"/>
  <c r="D497" i="4"/>
  <c r="C497" i="4"/>
  <c r="B497" i="4"/>
  <c r="H496" i="4"/>
  <c r="G496" i="4"/>
  <c r="F496" i="4"/>
  <c r="E496" i="4"/>
  <c r="D496" i="4"/>
  <c r="C496" i="4"/>
  <c r="B496" i="4"/>
  <c r="I495" i="4"/>
  <c r="H495" i="4"/>
  <c r="G495" i="4"/>
  <c r="F495" i="4"/>
  <c r="E495" i="4"/>
  <c r="D495" i="4"/>
  <c r="C495" i="4"/>
  <c r="B495" i="4"/>
  <c r="I494" i="4"/>
  <c r="H494" i="4"/>
  <c r="G494" i="4"/>
  <c r="F494" i="4"/>
  <c r="E494" i="4"/>
  <c r="D494" i="4"/>
  <c r="C494" i="4"/>
  <c r="B494" i="4"/>
  <c r="H493" i="4"/>
  <c r="G493" i="4"/>
  <c r="F493" i="4"/>
  <c r="E493" i="4"/>
  <c r="D493" i="4"/>
  <c r="C493" i="4"/>
  <c r="B493" i="4"/>
  <c r="H492" i="4"/>
  <c r="G492" i="4"/>
  <c r="F492" i="4"/>
  <c r="E492" i="4"/>
  <c r="D492" i="4"/>
  <c r="C492" i="4"/>
  <c r="B492" i="4"/>
  <c r="H491" i="4"/>
  <c r="G491" i="4"/>
  <c r="F491" i="4"/>
  <c r="E491" i="4"/>
  <c r="D491" i="4"/>
  <c r="C491" i="4"/>
  <c r="B491" i="4"/>
  <c r="H490" i="4"/>
  <c r="G490" i="4"/>
  <c r="F490" i="4"/>
  <c r="E490" i="4"/>
  <c r="D490" i="4"/>
  <c r="C490" i="4"/>
  <c r="B490" i="4"/>
  <c r="H489" i="4"/>
  <c r="G489" i="4"/>
  <c r="F489" i="4"/>
  <c r="E489" i="4"/>
  <c r="D489" i="4"/>
  <c r="C489" i="4"/>
  <c r="B489" i="4"/>
  <c r="H488" i="4"/>
  <c r="G488" i="4"/>
  <c r="F488" i="4"/>
  <c r="E488" i="4"/>
  <c r="D488" i="4"/>
  <c r="C488" i="4"/>
  <c r="B488" i="4"/>
  <c r="H487" i="4"/>
  <c r="G487" i="4"/>
  <c r="F487" i="4"/>
  <c r="E487" i="4"/>
  <c r="D487" i="4"/>
  <c r="C487" i="4"/>
  <c r="B487" i="4"/>
  <c r="H486" i="4"/>
  <c r="G486" i="4"/>
  <c r="F486" i="4"/>
  <c r="E486" i="4"/>
  <c r="D486" i="4"/>
  <c r="C486" i="4"/>
  <c r="B486" i="4"/>
  <c r="H485" i="4"/>
  <c r="G485" i="4"/>
  <c r="F485" i="4"/>
  <c r="E485" i="4"/>
  <c r="D485" i="4"/>
  <c r="C485" i="4"/>
  <c r="B485" i="4"/>
  <c r="I484" i="4"/>
  <c r="H484" i="4"/>
  <c r="G484" i="4"/>
  <c r="F484" i="4"/>
  <c r="E484" i="4"/>
  <c r="D484" i="4"/>
  <c r="C484" i="4"/>
  <c r="B484" i="4"/>
  <c r="I483" i="4"/>
  <c r="H483" i="4"/>
  <c r="G483" i="4"/>
  <c r="F483" i="4"/>
  <c r="E483" i="4"/>
  <c r="D483" i="4"/>
  <c r="C483" i="4"/>
  <c r="B483" i="4"/>
  <c r="I482" i="4"/>
  <c r="H482" i="4"/>
  <c r="G482" i="4"/>
  <c r="F482" i="4"/>
  <c r="E482" i="4"/>
  <c r="D482" i="4"/>
  <c r="C482" i="4"/>
  <c r="B482" i="4"/>
  <c r="I481" i="4"/>
  <c r="H481" i="4"/>
  <c r="G481" i="4"/>
  <c r="F481" i="4"/>
  <c r="E481" i="4"/>
  <c r="D481" i="4"/>
  <c r="C481" i="4"/>
  <c r="B481" i="4"/>
  <c r="H480" i="4"/>
  <c r="G480" i="4"/>
  <c r="F480" i="4"/>
  <c r="E480" i="4"/>
  <c r="D480" i="4"/>
  <c r="C480" i="4"/>
  <c r="B480" i="4"/>
  <c r="H479" i="4"/>
  <c r="G479" i="4"/>
  <c r="F479" i="4"/>
  <c r="E479" i="4"/>
  <c r="D479" i="4"/>
  <c r="C479" i="4"/>
  <c r="B479" i="4"/>
  <c r="I478" i="4"/>
  <c r="H478" i="4"/>
  <c r="G478" i="4"/>
  <c r="F478" i="4"/>
  <c r="E478" i="4"/>
  <c r="D478" i="4"/>
  <c r="C478" i="4"/>
  <c r="B478" i="4"/>
  <c r="I477" i="4"/>
  <c r="H477" i="4"/>
  <c r="G477" i="4"/>
  <c r="F477" i="4"/>
  <c r="E477" i="4"/>
  <c r="D477" i="4"/>
  <c r="C477" i="4"/>
  <c r="B477" i="4"/>
  <c r="H476" i="4"/>
  <c r="G476" i="4"/>
  <c r="F476" i="4"/>
  <c r="E476" i="4"/>
  <c r="D476" i="4"/>
  <c r="C476" i="4"/>
  <c r="B476" i="4"/>
  <c r="H475" i="4"/>
  <c r="G475" i="4"/>
  <c r="F475" i="4"/>
  <c r="E475" i="4"/>
  <c r="D475" i="4"/>
  <c r="C475" i="4"/>
  <c r="B475" i="4"/>
  <c r="H474" i="4"/>
  <c r="G474" i="4"/>
  <c r="F474" i="4"/>
  <c r="E474" i="4"/>
  <c r="D474" i="4"/>
  <c r="C474" i="4"/>
  <c r="B474" i="4"/>
  <c r="H473" i="4"/>
  <c r="G473" i="4"/>
  <c r="F473" i="4"/>
  <c r="E473" i="4"/>
  <c r="D473" i="4"/>
  <c r="C473" i="4"/>
  <c r="B473" i="4"/>
  <c r="H472" i="4"/>
  <c r="G472" i="4"/>
  <c r="F472" i="4"/>
  <c r="E472" i="4"/>
  <c r="D472" i="4"/>
  <c r="C472" i="4"/>
  <c r="B472" i="4"/>
  <c r="H471" i="4"/>
  <c r="G471" i="4"/>
  <c r="F471" i="4"/>
  <c r="E471" i="4"/>
  <c r="D471" i="4"/>
  <c r="C471" i="4"/>
  <c r="B471" i="4"/>
  <c r="H470" i="4"/>
  <c r="G470" i="4"/>
  <c r="F470" i="4"/>
  <c r="E470" i="4"/>
  <c r="D470" i="4"/>
  <c r="C470" i="4"/>
  <c r="B470" i="4"/>
  <c r="H469" i="4"/>
  <c r="G469" i="4"/>
  <c r="F469" i="4"/>
  <c r="E469" i="4"/>
  <c r="D469" i="4"/>
  <c r="C469" i="4"/>
  <c r="B469" i="4"/>
  <c r="H468" i="4"/>
  <c r="G468" i="4"/>
  <c r="F468" i="4"/>
  <c r="E468" i="4"/>
  <c r="D468" i="4"/>
  <c r="C468" i="4"/>
  <c r="B468" i="4"/>
  <c r="H467" i="4"/>
  <c r="G467" i="4"/>
  <c r="F467" i="4"/>
  <c r="E467" i="4"/>
  <c r="D467" i="4"/>
  <c r="C467" i="4"/>
  <c r="B467" i="4"/>
  <c r="H466" i="4"/>
  <c r="G466" i="4"/>
  <c r="F466" i="4"/>
  <c r="E466" i="4"/>
  <c r="D466" i="4"/>
  <c r="C466" i="4"/>
  <c r="B466" i="4"/>
  <c r="H465" i="4"/>
  <c r="G465" i="4"/>
  <c r="F465" i="4"/>
  <c r="E465" i="4"/>
  <c r="D465" i="4"/>
  <c r="C465" i="4"/>
  <c r="B465" i="4"/>
  <c r="H464" i="4"/>
  <c r="G464" i="4"/>
  <c r="F464" i="4"/>
  <c r="E464" i="4"/>
  <c r="D464" i="4"/>
  <c r="C464" i="4"/>
  <c r="B464" i="4"/>
  <c r="H463" i="4"/>
  <c r="G463" i="4"/>
  <c r="F463" i="4"/>
  <c r="E463" i="4"/>
  <c r="D463" i="4"/>
  <c r="C463" i="4"/>
  <c r="B463" i="4"/>
  <c r="H462" i="4"/>
  <c r="G462" i="4"/>
  <c r="F462" i="4"/>
  <c r="E462" i="4"/>
  <c r="D462" i="4"/>
  <c r="C462" i="4"/>
  <c r="B462" i="4"/>
  <c r="H461" i="4"/>
  <c r="G461" i="4"/>
  <c r="F461" i="4"/>
  <c r="E461" i="4"/>
  <c r="D461" i="4"/>
  <c r="C461" i="4"/>
  <c r="B461" i="4"/>
  <c r="H460" i="4"/>
  <c r="G460" i="4"/>
  <c r="F460" i="4"/>
  <c r="E460" i="4"/>
  <c r="D460" i="4"/>
  <c r="C460" i="4"/>
  <c r="B460" i="4"/>
  <c r="H459" i="4"/>
  <c r="G459" i="4"/>
  <c r="F459" i="4"/>
  <c r="E459" i="4"/>
  <c r="D459" i="4"/>
  <c r="C459" i="4"/>
  <c r="B459" i="4"/>
  <c r="H458" i="4"/>
  <c r="G458" i="4"/>
  <c r="F458" i="4"/>
  <c r="E458" i="4"/>
  <c r="D458" i="4"/>
  <c r="C458" i="4"/>
  <c r="B458" i="4"/>
  <c r="I457" i="4"/>
  <c r="H457" i="4"/>
  <c r="G457" i="4"/>
  <c r="F457" i="4"/>
  <c r="E457" i="4"/>
  <c r="D457" i="4"/>
  <c r="C457" i="4"/>
  <c r="B457" i="4"/>
  <c r="I456" i="4"/>
  <c r="H456" i="4"/>
  <c r="G456" i="4"/>
  <c r="F456" i="4"/>
  <c r="E456" i="4"/>
  <c r="D456" i="4"/>
  <c r="C456" i="4"/>
  <c r="B456" i="4"/>
  <c r="H455" i="4"/>
  <c r="G455" i="4"/>
  <c r="F455" i="4"/>
  <c r="E455" i="4"/>
  <c r="D455" i="4"/>
  <c r="C455" i="4"/>
  <c r="B455" i="4"/>
  <c r="H454" i="4"/>
  <c r="G454" i="4"/>
  <c r="F454" i="4"/>
  <c r="E454" i="4"/>
  <c r="D454" i="4"/>
  <c r="C454" i="4"/>
  <c r="B454" i="4"/>
  <c r="H453" i="4"/>
  <c r="G453" i="4"/>
  <c r="F453" i="4"/>
  <c r="E453" i="4"/>
  <c r="D453" i="4"/>
  <c r="C453" i="4"/>
  <c r="B453" i="4"/>
  <c r="H452" i="4"/>
  <c r="G452" i="4"/>
  <c r="F452" i="4"/>
  <c r="E452" i="4"/>
  <c r="D452" i="4"/>
  <c r="C452" i="4"/>
  <c r="B452" i="4"/>
  <c r="H451" i="4"/>
  <c r="G451" i="4"/>
  <c r="F451" i="4"/>
  <c r="E451" i="4"/>
  <c r="D451" i="4"/>
  <c r="C451" i="4"/>
  <c r="B451" i="4"/>
  <c r="H450" i="4"/>
  <c r="G450" i="4"/>
  <c r="F450" i="4"/>
  <c r="E450" i="4"/>
  <c r="D450" i="4"/>
  <c r="C450" i="4"/>
  <c r="B450" i="4"/>
  <c r="H449" i="4"/>
  <c r="G449" i="4"/>
  <c r="F449" i="4"/>
  <c r="E449" i="4"/>
  <c r="D449" i="4"/>
  <c r="C449" i="4"/>
  <c r="B449" i="4"/>
  <c r="I448" i="4"/>
  <c r="H448" i="4"/>
  <c r="G448" i="4"/>
  <c r="F448" i="4"/>
  <c r="E448" i="4"/>
  <c r="D448" i="4"/>
  <c r="C448" i="4"/>
  <c r="B448" i="4"/>
  <c r="H447" i="4"/>
  <c r="G447" i="4"/>
  <c r="F447" i="4"/>
  <c r="E447" i="4"/>
  <c r="D447" i="4"/>
  <c r="C447" i="4"/>
  <c r="B447" i="4"/>
  <c r="I446" i="4"/>
  <c r="H446" i="4"/>
  <c r="G446" i="4"/>
  <c r="F446" i="4"/>
  <c r="E446" i="4"/>
  <c r="D446" i="4"/>
  <c r="C446" i="4"/>
  <c r="B446" i="4"/>
  <c r="I445" i="4"/>
  <c r="H445" i="4"/>
  <c r="G445" i="4"/>
  <c r="F445" i="4"/>
  <c r="E445" i="4"/>
  <c r="D445" i="4"/>
  <c r="C445" i="4"/>
  <c r="B445" i="4"/>
  <c r="I444" i="4"/>
  <c r="H444" i="4"/>
  <c r="G444" i="4"/>
  <c r="F444" i="4"/>
  <c r="E444" i="4"/>
  <c r="D444" i="4"/>
  <c r="C444" i="4"/>
  <c r="B444" i="4"/>
  <c r="I443" i="4"/>
  <c r="H443" i="4"/>
  <c r="G443" i="4"/>
  <c r="F443" i="4"/>
  <c r="E443" i="4"/>
  <c r="D443" i="4"/>
  <c r="C443" i="4"/>
  <c r="B443" i="4"/>
  <c r="I442" i="4"/>
  <c r="H442" i="4"/>
  <c r="G442" i="4"/>
  <c r="F442" i="4"/>
  <c r="E442" i="4"/>
  <c r="D442" i="4"/>
  <c r="C442" i="4"/>
  <c r="B442" i="4"/>
  <c r="I441" i="4"/>
  <c r="H441" i="4"/>
  <c r="G441" i="4"/>
  <c r="F441" i="4"/>
  <c r="E441" i="4"/>
  <c r="D441" i="4"/>
  <c r="C441" i="4"/>
  <c r="B441" i="4"/>
  <c r="I440" i="4"/>
  <c r="H440" i="4"/>
  <c r="G440" i="4"/>
  <c r="F440" i="4"/>
  <c r="E440" i="4"/>
  <c r="D440" i="4"/>
  <c r="C440" i="4"/>
  <c r="B440" i="4"/>
  <c r="H439" i="4"/>
  <c r="G439" i="4"/>
  <c r="F439" i="4"/>
  <c r="E439" i="4"/>
  <c r="D439" i="4"/>
  <c r="C439" i="4"/>
  <c r="B439" i="4"/>
  <c r="H438" i="4"/>
  <c r="G438" i="4"/>
  <c r="F438" i="4"/>
  <c r="E438" i="4"/>
  <c r="D438" i="4"/>
  <c r="C438" i="4"/>
  <c r="B438" i="4"/>
  <c r="I437" i="4"/>
  <c r="H437" i="4"/>
  <c r="G437" i="4"/>
  <c r="F437" i="4"/>
  <c r="E437" i="4"/>
  <c r="D437" i="4"/>
  <c r="C437" i="4"/>
  <c r="B437" i="4"/>
  <c r="H436" i="4"/>
  <c r="G436" i="4"/>
  <c r="F436" i="4"/>
  <c r="E436" i="4"/>
  <c r="D436" i="4"/>
  <c r="C436" i="4"/>
  <c r="B436" i="4"/>
  <c r="I435" i="4"/>
  <c r="H435" i="4"/>
  <c r="G435" i="4"/>
  <c r="F435" i="4"/>
  <c r="E435" i="4"/>
  <c r="D435" i="4"/>
  <c r="C435" i="4"/>
  <c r="B435" i="4"/>
  <c r="I434" i="4"/>
  <c r="H434" i="4"/>
  <c r="G434" i="4"/>
  <c r="F434" i="4"/>
  <c r="E434" i="4"/>
  <c r="D434" i="4"/>
  <c r="C434" i="4"/>
  <c r="B434" i="4"/>
  <c r="I433" i="4"/>
  <c r="H433" i="4"/>
  <c r="G433" i="4"/>
  <c r="F433" i="4"/>
  <c r="E433" i="4"/>
  <c r="D433" i="4"/>
  <c r="C433" i="4"/>
  <c r="B433" i="4"/>
  <c r="H432" i="4"/>
  <c r="G432" i="4"/>
  <c r="F432" i="4"/>
  <c r="E432" i="4"/>
  <c r="D432" i="4"/>
  <c r="C432" i="4"/>
  <c r="B432" i="4"/>
  <c r="H431" i="4"/>
  <c r="G431" i="4"/>
  <c r="F431" i="4"/>
  <c r="E431" i="4"/>
  <c r="D431" i="4"/>
  <c r="C431" i="4"/>
  <c r="B431" i="4"/>
  <c r="I430" i="4"/>
  <c r="H430" i="4"/>
  <c r="G430" i="4"/>
  <c r="F430" i="4"/>
  <c r="E430" i="4"/>
  <c r="D430" i="4"/>
  <c r="C430" i="4"/>
  <c r="B430" i="4"/>
  <c r="H429" i="4"/>
  <c r="G429" i="4"/>
  <c r="F429" i="4"/>
  <c r="E429" i="4"/>
  <c r="D429" i="4"/>
  <c r="C429" i="4"/>
  <c r="B429" i="4"/>
  <c r="H428" i="4"/>
  <c r="G428" i="4"/>
  <c r="F428" i="4"/>
  <c r="E428" i="4"/>
  <c r="D428" i="4"/>
  <c r="C428" i="4"/>
  <c r="B428" i="4"/>
  <c r="H427" i="4"/>
  <c r="G427" i="4"/>
  <c r="F427" i="4"/>
  <c r="E427" i="4"/>
  <c r="D427" i="4"/>
  <c r="C427" i="4"/>
  <c r="B427" i="4"/>
  <c r="I426" i="4"/>
  <c r="H426" i="4"/>
  <c r="G426" i="4"/>
  <c r="F426" i="4"/>
  <c r="E426" i="4"/>
  <c r="D426" i="4"/>
  <c r="C426" i="4"/>
  <c r="B426" i="4"/>
  <c r="H425" i="4"/>
  <c r="G425" i="4"/>
  <c r="F425" i="4"/>
  <c r="E425" i="4"/>
  <c r="D425" i="4"/>
  <c r="C425" i="4"/>
  <c r="B425" i="4"/>
  <c r="H424" i="4"/>
  <c r="G424" i="4"/>
  <c r="F424" i="4"/>
  <c r="E424" i="4"/>
  <c r="D424" i="4"/>
  <c r="C424" i="4"/>
  <c r="B424" i="4"/>
  <c r="H423" i="4"/>
  <c r="G423" i="4"/>
  <c r="F423" i="4"/>
  <c r="E423" i="4"/>
  <c r="D423" i="4"/>
  <c r="C423" i="4"/>
  <c r="B423" i="4"/>
  <c r="H422" i="4"/>
  <c r="G422" i="4"/>
  <c r="F422" i="4"/>
  <c r="E422" i="4"/>
  <c r="D422" i="4"/>
  <c r="C422" i="4"/>
  <c r="B422" i="4"/>
  <c r="H421" i="4"/>
  <c r="G421" i="4"/>
  <c r="F421" i="4"/>
  <c r="E421" i="4"/>
  <c r="D421" i="4"/>
  <c r="C421" i="4"/>
  <c r="B421" i="4"/>
  <c r="H420" i="4"/>
  <c r="G420" i="4"/>
  <c r="F420" i="4"/>
  <c r="E420" i="4"/>
  <c r="D420" i="4"/>
  <c r="C420" i="4"/>
  <c r="B420" i="4"/>
  <c r="H419" i="4"/>
  <c r="G419" i="4"/>
  <c r="F419" i="4"/>
  <c r="E419" i="4"/>
  <c r="D419" i="4"/>
  <c r="C419" i="4"/>
  <c r="B419" i="4"/>
  <c r="H418" i="4"/>
  <c r="G418" i="4"/>
  <c r="F418" i="4"/>
  <c r="E418" i="4"/>
  <c r="D418" i="4"/>
  <c r="C418" i="4"/>
  <c r="B418" i="4"/>
  <c r="H417" i="4"/>
  <c r="G417" i="4"/>
  <c r="F417" i="4"/>
  <c r="E417" i="4"/>
  <c r="D417" i="4"/>
  <c r="C417" i="4"/>
  <c r="B417" i="4"/>
  <c r="H416" i="4"/>
  <c r="G416" i="4"/>
  <c r="F416" i="4"/>
  <c r="E416" i="4"/>
  <c r="D416" i="4"/>
  <c r="C416" i="4"/>
  <c r="B416" i="4"/>
  <c r="H415" i="4"/>
  <c r="G415" i="4"/>
  <c r="F415" i="4"/>
  <c r="E415" i="4"/>
  <c r="D415" i="4"/>
  <c r="C415" i="4"/>
  <c r="B415" i="4"/>
  <c r="H414" i="4"/>
  <c r="G414" i="4"/>
  <c r="F414" i="4"/>
  <c r="E414" i="4"/>
  <c r="D414" i="4"/>
  <c r="C414" i="4"/>
  <c r="B414" i="4"/>
  <c r="H413" i="4"/>
  <c r="G413" i="4"/>
  <c r="F413" i="4"/>
  <c r="E413" i="4"/>
  <c r="D413" i="4"/>
  <c r="C413" i="4"/>
  <c r="B413" i="4"/>
  <c r="H412" i="4"/>
  <c r="G412" i="4"/>
  <c r="F412" i="4"/>
  <c r="E412" i="4"/>
  <c r="D412" i="4"/>
  <c r="C412" i="4"/>
  <c r="B412" i="4"/>
  <c r="H411" i="4"/>
  <c r="G411" i="4"/>
  <c r="F411" i="4"/>
  <c r="E411" i="4"/>
  <c r="D411" i="4"/>
  <c r="C411" i="4"/>
  <c r="B411" i="4"/>
  <c r="H410" i="4"/>
  <c r="G410" i="4"/>
  <c r="F410" i="4"/>
  <c r="E410" i="4"/>
  <c r="D410" i="4"/>
  <c r="C410" i="4"/>
  <c r="B410" i="4"/>
  <c r="H409" i="4"/>
  <c r="G409" i="4"/>
  <c r="F409" i="4"/>
  <c r="E409" i="4"/>
  <c r="D409" i="4"/>
  <c r="C409" i="4"/>
  <c r="B409" i="4"/>
  <c r="H408" i="4"/>
  <c r="G408" i="4"/>
  <c r="F408" i="4"/>
  <c r="E408" i="4"/>
  <c r="D408" i="4"/>
  <c r="C408" i="4"/>
  <c r="B408" i="4"/>
  <c r="H407" i="4"/>
  <c r="G407" i="4"/>
  <c r="F407" i="4"/>
  <c r="E407" i="4"/>
  <c r="D407" i="4"/>
  <c r="C407" i="4"/>
  <c r="B407" i="4"/>
  <c r="H406" i="4"/>
  <c r="G406" i="4"/>
  <c r="F406" i="4"/>
  <c r="E406" i="4"/>
  <c r="D406" i="4"/>
  <c r="C406" i="4"/>
  <c r="B406" i="4"/>
  <c r="H405" i="4"/>
  <c r="G405" i="4"/>
  <c r="F405" i="4"/>
  <c r="E405" i="4"/>
  <c r="D405" i="4"/>
  <c r="C405" i="4"/>
  <c r="B405" i="4"/>
  <c r="I404" i="4"/>
  <c r="H404" i="4"/>
  <c r="G404" i="4"/>
  <c r="F404" i="4"/>
  <c r="E404" i="4"/>
  <c r="D404" i="4"/>
  <c r="C404" i="4"/>
  <c r="B404" i="4"/>
  <c r="H403" i="4"/>
  <c r="G403" i="4"/>
  <c r="F403" i="4"/>
  <c r="E403" i="4"/>
  <c r="D403" i="4"/>
  <c r="C403" i="4"/>
  <c r="B403" i="4"/>
  <c r="I402" i="4"/>
  <c r="H402" i="4"/>
  <c r="G402" i="4"/>
  <c r="F402" i="4"/>
  <c r="E402" i="4"/>
  <c r="D402" i="4"/>
  <c r="C402" i="4"/>
  <c r="B402" i="4"/>
  <c r="I401" i="4"/>
  <c r="H401" i="4"/>
  <c r="G401" i="4"/>
  <c r="F401" i="4"/>
  <c r="E401" i="4"/>
  <c r="D401" i="4"/>
  <c r="C401" i="4"/>
  <c r="B401" i="4"/>
  <c r="H400" i="4"/>
  <c r="G400" i="4"/>
  <c r="F400" i="4"/>
  <c r="E400" i="4"/>
  <c r="D400" i="4"/>
  <c r="C400" i="4"/>
  <c r="B400" i="4"/>
  <c r="I399" i="4"/>
  <c r="H399" i="4"/>
  <c r="G399" i="4"/>
  <c r="F399" i="4"/>
  <c r="E399" i="4"/>
  <c r="D399" i="4"/>
  <c r="C399" i="4"/>
  <c r="B399" i="4"/>
  <c r="I398" i="4"/>
  <c r="H398" i="4"/>
  <c r="G398" i="4"/>
  <c r="F398" i="4"/>
  <c r="E398" i="4"/>
  <c r="D398" i="4"/>
  <c r="C398" i="4"/>
  <c r="B398" i="4"/>
  <c r="I397" i="4"/>
  <c r="H397" i="4"/>
  <c r="G397" i="4"/>
  <c r="F397" i="4"/>
  <c r="E397" i="4"/>
  <c r="D397" i="4"/>
  <c r="C397" i="4"/>
  <c r="B397" i="4"/>
  <c r="I396" i="4"/>
  <c r="H396" i="4"/>
  <c r="G396" i="4"/>
  <c r="F396" i="4"/>
  <c r="E396" i="4"/>
  <c r="D396" i="4"/>
  <c r="C396" i="4"/>
  <c r="B396" i="4"/>
  <c r="H395" i="4"/>
  <c r="G395" i="4"/>
  <c r="F395" i="4"/>
  <c r="E395" i="4"/>
  <c r="D395" i="4"/>
  <c r="C395" i="4"/>
  <c r="B395" i="4"/>
  <c r="H394" i="4"/>
  <c r="G394" i="4"/>
  <c r="F394" i="4"/>
  <c r="E394" i="4"/>
  <c r="D394" i="4"/>
  <c r="C394" i="4"/>
  <c r="B394" i="4"/>
  <c r="H393" i="4"/>
  <c r="G393" i="4"/>
  <c r="F393" i="4"/>
  <c r="E393" i="4"/>
  <c r="D393" i="4"/>
  <c r="C393" i="4"/>
  <c r="B393" i="4"/>
  <c r="H392" i="4"/>
  <c r="G392" i="4"/>
  <c r="F392" i="4"/>
  <c r="E392" i="4"/>
  <c r="D392" i="4"/>
  <c r="C392" i="4"/>
  <c r="B392" i="4"/>
  <c r="H391" i="4"/>
  <c r="G391" i="4"/>
  <c r="F391" i="4"/>
  <c r="E391" i="4"/>
  <c r="D391" i="4"/>
  <c r="C391" i="4"/>
  <c r="B391" i="4"/>
  <c r="H390" i="4"/>
  <c r="G390" i="4"/>
  <c r="F390" i="4"/>
  <c r="E390" i="4"/>
  <c r="D390" i="4"/>
  <c r="C390" i="4"/>
  <c r="B390" i="4"/>
  <c r="H389" i="4"/>
  <c r="G389" i="4"/>
  <c r="F389" i="4"/>
  <c r="E389" i="4"/>
  <c r="D389" i="4"/>
  <c r="C389" i="4"/>
  <c r="B389" i="4"/>
  <c r="H388" i="4"/>
  <c r="G388" i="4"/>
  <c r="F388" i="4"/>
  <c r="E388" i="4"/>
  <c r="D388" i="4"/>
  <c r="C388" i="4"/>
  <c r="B388" i="4"/>
  <c r="H387" i="4"/>
  <c r="G387" i="4"/>
  <c r="F387" i="4"/>
  <c r="E387" i="4"/>
  <c r="D387" i="4"/>
  <c r="C387" i="4"/>
  <c r="B387" i="4"/>
  <c r="H386" i="4"/>
  <c r="G386" i="4"/>
  <c r="F386" i="4"/>
  <c r="E386" i="4"/>
  <c r="D386" i="4"/>
  <c r="C386" i="4"/>
  <c r="B386" i="4"/>
  <c r="H385" i="4"/>
  <c r="G385" i="4"/>
  <c r="F385" i="4"/>
  <c r="E385" i="4"/>
  <c r="D385" i="4"/>
  <c r="C385" i="4"/>
  <c r="B385" i="4"/>
  <c r="H384" i="4"/>
  <c r="G384" i="4"/>
  <c r="F384" i="4"/>
  <c r="E384" i="4"/>
  <c r="D384" i="4"/>
  <c r="C384" i="4"/>
  <c r="B384" i="4"/>
  <c r="H383" i="4"/>
  <c r="G383" i="4"/>
  <c r="F383" i="4"/>
  <c r="E383" i="4"/>
  <c r="D383" i="4"/>
  <c r="C383" i="4"/>
  <c r="B383" i="4"/>
  <c r="H382" i="4"/>
  <c r="G382" i="4"/>
  <c r="F382" i="4"/>
  <c r="E382" i="4"/>
  <c r="D382" i="4"/>
  <c r="C382" i="4"/>
  <c r="B382" i="4"/>
  <c r="H381" i="4"/>
  <c r="G381" i="4"/>
  <c r="F381" i="4"/>
  <c r="E381" i="4"/>
  <c r="D381" i="4"/>
  <c r="C381" i="4"/>
  <c r="B381" i="4"/>
  <c r="H380" i="4"/>
  <c r="G380" i="4"/>
  <c r="F380" i="4"/>
  <c r="E380" i="4"/>
  <c r="D380" i="4"/>
  <c r="C380" i="4"/>
  <c r="B380" i="4"/>
  <c r="H379" i="4"/>
  <c r="G379" i="4"/>
  <c r="F379" i="4"/>
  <c r="E379" i="4"/>
  <c r="D379" i="4"/>
  <c r="C379" i="4"/>
  <c r="B379" i="4"/>
  <c r="H378" i="4"/>
  <c r="G378" i="4"/>
  <c r="F378" i="4"/>
  <c r="E378" i="4"/>
  <c r="D378" i="4"/>
  <c r="C378" i="4"/>
  <c r="B378" i="4"/>
  <c r="H377" i="4"/>
  <c r="G377" i="4"/>
  <c r="F377" i="4"/>
  <c r="E377" i="4"/>
  <c r="D377" i="4"/>
  <c r="C377" i="4"/>
  <c r="B377" i="4"/>
  <c r="I376" i="4"/>
  <c r="H376" i="4"/>
  <c r="G376" i="4"/>
  <c r="F376" i="4"/>
  <c r="E376" i="4"/>
  <c r="D376" i="4"/>
  <c r="C376" i="4"/>
  <c r="B376" i="4"/>
  <c r="H375" i="4"/>
  <c r="G375" i="4"/>
  <c r="F375" i="4"/>
  <c r="E375" i="4"/>
  <c r="D375" i="4"/>
  <c r="C375" i="4"/>
  <c r="B375" i="4"/>
  <c r="H374" i="4"/>
  <c r="G374" i="4"/>
  <c r="F374" i="4"/>
  <c r="E374" i="4"/>
  <c r="D374" i="4"/>
  <c r="C374" i="4"/>
  <c r="B374" i="4"/>
  <c r="I373" i="4"/>
  <c r="H373" i="4"/>
  <c r="G373" i="4"/>
  <c r="F373" i="4"/>
  <c r="E373" i="4"/>
  <c r="D373" i="4"/>
  <c r="C373" i="4"/>
  <c r="B373" i="4"/>
  <c r="H372" i="4"/>
  <c r="G372" i="4"/>
  <c r="F372" i="4"/>
  <c r="E372" i="4"/>
  <c r="D372" i="4"/>
  <c r="C372" i="4"/>
  <c r="B372" i="4"/>
  <c r="H371" i="4"/>
  <c r="G371" i="4"/>
  <c r="F371" i="4"/>
  <c r="E371" i="4"/>
  <c r="D371" i="4"/>
  <c r="C371" i="4"/>
  <c r="B371" i="4"/>
  <c r="H370" i="4"/>
  <c r="G370" i="4"/>
  <c r="F370" i="4"/>
  <c r="E370" i="4"/>
  <c r="D370" i="4"/>
  <c r="C370" i="4"/>
  <c r="B370" i="4"/>
  <c r="I369" i="4"/>
  <c r="H369" i="4"/>
  <c r="G369" i="4"/>
  <c r="F369" i="4"/>
  <c r="E369" i="4"/>
  <c r="D369" i="4"/>
  <c r="C369" i="4"/>
  <c r="B369" i="4"/>
  <c r="I368" i="4"/>
  <c r="H368" i="4"/>
  <c r="G368" i="4"/>
  <c r="F368" i="4"/>
  <c r="E368" i="4"/>
  <c r="D368" i="4"/>
  <c r="C368" i="4"/>
  <c r="B368" i="4"/>
  <c r="I367" i="4"/>
  <c r="H367" i="4"/>
  <c r="G367" i="4"/>
  <c r="F367" i="4"/>
  <c r="E367" i="4"/>
  <c r="D367" i="4"/>
  <c r="C367" i="4"/>
  <c r="B367" i="4"/>
  <c r="I366" i="4"/>
  <c r="H366" i="4"/>
  <c r="G366" i="4"/>
  <c r="F366" i="4"/>
  <c r="E366" i="4"/>
  <c r="D366" i="4"/>
  <c r="C366" i="4"/>
  <c r="B366" i="4"/>
  <c r="H365" i="4"/>
  <c r="G365" i="4"/>
  <c r="F365" i="4"/>
  <c r="E365" i="4"/>
  <c r="D365" i="4"/>
  <c r="C365" i="4"/>
  <c r="B365" i="4"/>
  <c r="H364" i="4"/>
  <c r="G364" i="4"/>
  <c r="F364" i="4"/>
  <c r="E364" i="4"/>
  <c r="D364" i="4"/>
  <c r="C364" i="4"/>
  <c r="B364" i="4"/>
  <c r="I363" i="4"/>
  <c r="H363" i="4"/>
  <c r="G363" i="4"/>
  <c r="F363" i="4"/>
  <c r="E363" i="4"/>
  <c r="D363" i="4"/>
  <c r="C363" i="4"/>
  <c r="B363" i="4"/>
  <c r="H362" i="4"/>
  <c r="G362" i="4"/>
  <c r="F362" i="4"/>
  <c r="E362" i="4"/>
  <c r="D362" i="4"/>
  <c r="C362" i="4"/>
  <c r="B362" i="4"/>
  <c r="H361" i="4"/>
  <c r="G361" i="4"/>
  <c r="F361" i="4"/>
  <c r="E361" i="4"/>
  <c r="D361" i="4"/>
  <c r="C361" i="4"/>
  <c r="B361" i="4"/>
  <c r="H360" i="4"/>
  <c r="G360" i="4"/>
  <c r="F360" i="4"/>
  <c r="E360" i="4"/>
  <c r="D360" i="4"/>
  <c r="C360" i="4"/>
  <c r="B360" i="4"/>
  <c r="H359" i="4"/>
  <c r="G359" i="4"/>
  <c r="F359" i="4"/>
  <c r="E359" i="4"/>
  <c r="D359" i="4"/>
  <c r="C359" i="4"/>
  <c r="B359" i="4"/>
  <c r="H358" i="4"/>
  <c r="G358" i="4"/>
  <c r="F358" i="4"/>
  <c r="E358" i="4"/>
  <c r="D358" i="4"/>
  <c r="C358" i="4"/>
  <c r="B358" i="4"/>
  <c r="H357" i="4"/>
  <c r="G357" i="4"/>
  <c r="F357" i="4"/>
  <c r="E357" i="4"/>
  <c r="D357" i="4"/>
  <c r="C357" i="4"/>
  <c r="B357" i="4"/>
  <c r="H356" i="4"/>
  <c r="G356" i="4"/>
  <c r="F356" i="4"/>
  <c r="E356" i="4"/>
  <c r="D356" i="4"/>
  <c r="C356" i="4"/>
  <c r="B356" i="4"/>
  <c r="H355" i="4"/>
  <c r="G355" i="4"/>
  <c r="F355" i="4"/>
  <c r="E355" i="4"/>
  <c r="D355" i="4"/>
  <c r="C355" i="4"/>
  <c r="B355" i="4"/>
  <c r="H354" i="4"/>
  <c r="G354" i="4"/>
  <c r="F354" i="4"/>
  <c r="E354" i="4"/>
  <c r="D354" i="4"/>
  <c r="C354" i="4"/>
  <c r="B354" i="4"/>
  <c r="H353" i="4"/>
  <c r="G353" i="4"/>
  <c r="F353" i="4"/>
  <c r="E353" i="4"/>
  <c r="D353" i="4"/>
  <c r="C353" i="4"/>
  <c r="B353" i="4"/>
  <c r="H352" i="4"/>
  <c r="G352" i="4"/>
  <c r="F352" i="4"/>
  <c r="E352" i="4"/>
  <c r="D352" i="4"/>
  <c r="C352" i="4"/>
  <c r="B352" i="4"/>
  <c r="I351" i="4"/>
  <c r="H351" i="4"/>
  <c r="G351" i="4"/>
  <c r="F351" i="4"/>
  <c r="E351" i="4"/>
  <c r="D351" i="4"/>
  <c r="C351" i="4"/>
  <c r="B351" i="4"/>
  <c r="I350" i="4"/>
  <c r="H350" i="4"/>
  <c r="G350" i="4"/>
  <c r="F350" i="4"/>
  <c r="E350" i="4"/>
  <c r="D350" i="4"/>
  <c r="C350" i="4"/>
  <c r="B350" i="4"/>
  <c r="I349" i="4"/>
  <c r="H349" i="4"/>
  <c r="G349" i="4"/>
  <c r="F349" i="4"/>
  <c r="E349" i="4"/>
  <c r="D349" i="4"/>
  <c r="C349" i="4"/>
  <c r="B349" i="4"/>
  <c r="H348" i="4"/>
  <c r="G348" i="4"/>
  <c r="F348" i="4"/>
  <c r="E348" i="4"/>
  <c r="D348" i="4"/>
  <c r="C348" i="4"/>
  <c r="B348" i="4"/>
  <c r="H347" i="4"/>
  <c r="G347" i="4"/>
  <c r="F347" i="4"/>
  <c r="E347" i="4"/>
  <c r="D347" i="4"/>
  <c r="C347" i="4"/>
  <c r="B347" i="4"/>
  <c r="H346" i="4"/>
  <c r="G346" i="4"/>
  <c r="F346" i="4"/>
  <c r="E346" i="4"/>
  <c r="D346" i="4"/>
  <c r="C346" i="4"/>
  <c r="B346" i="4"/>
  <c r="H345" i="4"/>
  <c r="G345" i="4"/>
  <c r="F345" i="4"/>
  <c r="E345" i="4"/>
  <c r="D345" i="4"/>
  <c r="C345" i="4"/>
  <c r="B345" i="4"/>
  <c r="H344" i="4"/>
  <c r="G344" i="4"/>
  <c r="F344" i="4"/>
  <c r="E344" i="4"/>
  <c r="D344" i="4"/>
  <c r="C344" i="4"/>
  <c r="B344" i="4"/>
  <c r="H343" i="4"/>
  <c r="G343" i="4"/>
  <c r="F343" i="4"/>
  <c r="E343" i="4"/>
  <c r="D343" i="4"/>
  <c r="C343" i="4"/>
  <c r="B343" i="4"/>
  <c r="H342" i="4"/>
  <c r="G342" i="4"/>
  <c r="F342" i="4"/>
  <c r="E342" i="4"/>
  <c r="D342" i="4"/>
  <c r="C342" i="4"/>
  <c r="B342" i="4"/>
  <c r="H341" i="4"/>
  <c r="G341" i="4"/>
  <c r="F341" i="4"/>
  <c r="E341" i="4"/>
  <c r="D341" i="4"/>
  <c r="C341" i="4"/>
  <c r="B341" i="4"/>
  <c r="I340" i="4"/>
  <c r="H340" i="4"/>
  <c r="G340" i="4"/>
  <c r="F340" i="4"/>
  <c r="E340" i="4"/>
  <c r="D340" i="4"/>
  <c r="C340" i="4"/>
  <c r="B340" i="4"/>
  <c r="H339" i="4"/>
  <c r="G339" i="4"/>
  <c r="F339" i="4"/>
  <c r="E339" i="4"/>
  <c r="D339" i="4"/>
  <c r="C339" i="4"/>
  <c r="B339" i="4"/>
  <c r="H338" i="4"/>
  <c r="G338" i="4"/>
  <c r="F338" i="4"/>
  <c r="E338" i="4"/>
  <c r="D338" i="4"/>
  <c r="C338" i="4"/>
  <c r="B338" i="4"/>
  <c r="H337" i="4"/>
  <c r="G337" i="4"/>
  <c r="F337" i="4"/>
  <c r="E337" i="4"/>
  <c r="D337" i="4"/>
  <c r="C337" i="4"/>
  <c r="B337" i="4"/>
  <c r="H336" i="4"/>
  <c r="G336" i="4"/>
  <c r="F336" i="4"/>
  <c r="E336" i="4"/>
  <c r="D336" i="4"/>
  <c r="C336" i="4"/>
  <c r="B336" i="4"/>
  <c r="I335" i="4"/>
  <c r="H335" i="4"/>
  <c r="G335" i="4"/>
  <c r="F335" i="4"/>
  <c r="E335" i="4"/>
  <c r="D335" i="4"/>
  <c r="C335" i="4"/>
  <c r="B335" i="4"/>
  <c r="I334" i="4"/>
  <c r="H334" i="4"/>
  <c r="G334" i="4"/>
  <c r="F334" i="4"/>
  <c r="E334" i="4"/>
  <c r="D334" i="4"/>
  <c r="C334" i="4"/>
  <c r="B334" i="4"/>
  <c r="H333" i="4"/>
  <c r="G333" i="4"/>
  <c r="F333" i="4"/>
  <c r="E333" i="4"/>
  <c r="D333" i="4"/>
  <c r="C333" i="4"/>
  <c r="B333" i="4"/>
  <c r="H332" i="4"/>
  <c r="G332" i="4"/>
  <c r="F332" i="4"/>
  <c r="E332" i="4"/>
  <c r="D332" i="4"/>
  <c r="C332" i="4"/>
  <c r="B332" i="4"/>
  <c r="H331" i="4"/>
  <c r="G331" i="4"/>
  <c r="F331" i="4"/>
  <c r="E331" i="4"/>
  <c r="D331" i="4"/>
  <c r="C331" i="4"/>
  <c r="B331" i="4"/>
  <c r="H330" i="4"/>
  <c r="G330" i="4"/>
  <c r="F330" i="4"/>
  <c r="E330" i="4"/>
  <c r="D330" i="4"/>
  <c r="C330" i="4"/>
  <c r="B330" i="4"/>
  <c r="I329" i="4"/>
  <c r="G329" i="4"/>
  <c r="F329" i="4"/>
  <c r="E329" i="4"/>
  <c r="B329" i="4"/>
  <c r="H328" i="4"/>
  <c r="G328" i="4"/>
  <c r="F328" i="4"/>
  <c r="E328" i="4"/>
  <c r="D328" i="4"/>
  <c r="C328" i="4"/>
  <c r="B328" i="4"/>
  <c r="H327" i="4"/>
  <c r="G327" i="4"/>
  <c r="F327" i="4"/>
  <c r="E327" i="4"/>
  <c r="D327" i="4"/>
  <c r="C327" i="4"/>
  <c r="B327" i="4"/>
  <c r="H326" i="4"/>
  <c r="G326" i="4"/>
  <c r="F326" i="4"/>
  <c r="E326" i="4"/>
  <c r="D326" i="4"/>
  <c r="C326" i="4"/>
  <c r="B326" i="4"/>
  <c r="H325" i="4"/>
  <c r="G325" i="4"/>
  <c r="F325" i="4"/>
  <c r="E325" i="4"/>
  <c r="D325" i="4"/>
  <c r="C325" i="4"/>
  <c r="B325" i="4"/>
  <c r="H324" i="4"/>
  <c r="G324" i="4"/>
  <c r="F324" i="4"/>
  <c r="E324" i="4"/>
  <c r="D324" i="4"/>
  <c r="C324" i="4"/>
  <c r="B324" i="4"/>
  <c r="H323" i="4"/>
  <c r="G323" i="4"/>
  <c r="F323" i="4"/>
  <c r="E323" i="4"/>
  <c r="D323" i="4"/>
  <c r="C323" i="4"/>
  <c r="B323" i="4"/>
  <c r="H322" i="4"/>
  <c r="G322" i="4"/>
  <c r="F322" i="4"/>
  <c r="E322" i="4"/>
  <c r="D322" i="4"/>
  <c r="C322" i="4"/>
  <c r="B322" i="4"/>
  <c r="H321" i="4"/>
  <c r="G321" i="4"/>
  <c r="F321" i="4"/>
  <c r="E321" i="4"/>
  <c r="D321" i="4"/>
  <c r="C321" i="4"/>
  <c r="B321" i="4"/>
  <c r="H320" i="4"/>
  <c r="G320" i="4"/>
  <c r="F320" i="4"/>
  <c r="E320" i="4"/>
  <c r="D320" i="4"/>
  <c r="C320" i="4"/>
  <c r="B320" i="4"/>
  <c r="H319" i="4"/>
  <c r="G319" i="4"/>
  <c r="F319" i="4"/>
  <c r="E319" i="4"/>
  <c r="D319" i="4"/>
  <c r="C319" i="4"/>
  <c r="B319" i="4"/>
  <c r="I318" i="4"/>
  <c r="H318" i="4"/>
  <c r="G318" i="4"/>
  <c r="F318" i="4"/>
  <c r="E318" i="4"/>
  <c r="D318" i="4"/>
  <c r="C318" i="4"/>
  <c r="B318" i="4"/>
  <c r="I317" i="4"/>
  <c r="H317" i="4"/>
  <c r="G317" i="4"/>
  <c r="F317" i="4"/>
  <c r="E317" i="4"/>
  <c r="D317" i="4"/>
  <c r="C317" i="4"/>
  <c r="B317" i="4"/>
  <c r="I316" i="4"/>
  <c r="G316" i="4"/>
  <c r="F316" i="4"/>
  <c r="E316" i="4"/>
  <c r="D316" i="4"/>
  <c r="C316" i="4"/>
  <c r="B316" i="4"/>
  <c r="H315" i="4"/>
  <c r="G315" i="4"/>
  <c r="F315" i="4"/>
  <c r="E315" i="4"/>
  <c r="D315" i="4"/>
  <c r="C315" i="4"/>
  <c r="B315" i="4"/>
  <c r="H314" i="4"/>
  <c r="G314" i="4"/>
  <c r="F314" i="4"/>
  <c r="E314" i="4"/>
  <c r="D314" i="4"/>
  <c r="C314" i="4"/>
  <c r="B314" i="4"/>
  <c r="H313" i="4"/>
  <c r="G313" i="4"/>
  <c r="F313" i="4"/>
  <c r="E313" i="4"/>
  <c r="D313" i="4"/>
  <c r="C313" i="4"/>
  <c r="B313" i="4"/>
  <c r="H312" i="4"/>
  <c r="G312" i="4"/>
  <c r="F312" i="4"/>
  <c r="E312" i="4"/>
  <c r="D312" i="4"/>
  <c r="C312" i="4"/>
  <c r="B312" i="4"/>
  <c r="H311" i="4"/>
  <c r="G311" i="4"/>
  <c r="F311" i="4"/>
  <c r="E311" i="4"/>
  <c r="D311" i="4"/>
  <c r="C311" i="4"/>
  <c r="B311" i="4"/>
  <c r="H310" i="4"/>
  <c r="G310" i="4"/>
  <c r="F310" i="4"/>
  <c r="E310" i="4"/>
  <c r="D310" i="4"/>
  <c r="C310" i="4"/>
  <c r="B310" i="4"/>
  <c r="H309" i="4"/>
  <c r="G309" i="4"/>
  <c r="F309" i="4"/>
  <c r="E309" i="4"/>
  <c r="D309" i="4"/>
  <c r="C309" i="4"/>
  <c r="B309" i="4"/>
  <c r="H308" i="4"/>
  <c r="G308" i="4"/>
  <c r="F308" i="4"/>
  <c r="E308" i="4"/>
  <c r="D308" i="4"/>
  <c r="C308" i="4"/>
  <c r="B308" i="4"/>
  <c r="H307" i="4"/>
  <c r="G307" i="4"/>
  <c r="F307" i="4"/>
  <c r="E307" i="4"/>
  <c r="D307" i="4"/>
  <c r="C307" i="4"/>
  <c r="B307" i="4"/>
  <c r="H306" i="4"/>
  <c r="G306" i="4"/>
  <c r="F306" i="4"/>
  <c r="E306" i="4"/>
  <c r="D306" i="4"/>
  <c r="C306" i="4"/>
  <c r="B306" i="4"/>
  <c r="H305" i="4"/>
  <c r="G305" i="4"/>
  <c r="F305" i="4"/>
  <c r="E305" i="4"/>
  <c r="D305" i="4"/>
  <c r="C305" i="4"/>
  <c r="B305" i="4"/>
  <c r="H304" i="4"/>
  <c r="G304" i="4"/>
  <c r="F304" i="4"/>
  <c r="E304" i="4"/>
  <c r="D304" i="4"/>
  <c r="C304" i="4"/>
  <c r="B304" i="4"/>
  <c r="H303" i="4"/>
  <c r="G303" i="4"/>
  <c r="F303" i="4"/>
  <c r="E303" i="4"/>
  <c r="D303" i="4"/>
  <c r="C303" i="4"/>
  <c r="B303" i="4"/>
  <c r="H302" i="4"/>
  <c r="G302" i="4"/>
  <c r="F302" i="4"/>
  <c r="E302" i="4"/>
  <c r="D302" i="4"/>
  <c r="C302" i="4"/>
  <c r="B302" i="4"/>
  <c r="H301" i="4"/>
  <c r="G301" i="4"/>
  <c r="F301" i="4"/>
  <c r="E301" i="4"/>
  <c r="D301" i="4"/>
  <c r="C301" i="4"/>
  <c r="B301" i="4"/>
  <c r="I300" i="4"/>
  <c r="H300" i="4"/>
  <c r="G300" i="4"/>
  <c r="F300" i="4"/>
  <c r="E300" i="4"/>
  <c r="D300" i="4"/>
  <c r="C300" i="4"/>
  <c r="B300" i="4"/>
  <c r="H299" i="4"/>
  <c r="G299" i="4"/>
  <c r="F299" i="4"/>
  <c r="E299" i="4"/>
  <c r="D299" i="4"/>
  <c r="C299" i="4"/>
  <c r="B299" i="4"/>
  <c r="H298" i="4"/>
  <c r="G298" i="4"/>
  <c r="F298" i="4"/>
  <c r="E298" i="4"/>
  <c r="D298" i="4"/>
  <c r="C298" i="4"/>
  <c r="B298" i="4"/>
  <c r="I297" i="4"/>
  <c r="H297" i="4"/>
  <c r="G297" i="4"/>
  <c r="F297" i="4"/>
  <c r="E297" i="4"/>
  <c r="D297" i="4"/>
  <c r="C297" i="4"/>
  <c r="B297" i="4"/>
  <c r="H296" i="4"/>
  <c r="G296" i="4"/>
  <c r="F296" i="4"/>
  <c r="E296" i="4"/>
  <c r="D296" i="4"/>
  <c r="C296" i="4"/>
  <c r="B296" i="4"/>
  <c r="H295" i="4"/>
  <c r="G295" i="4"/>
  <c r="F295" i="4"/>
  <c r="E295" i="4"/>
  <c r="D295" i="4"/>
  <c r="C295" i="4"/>
  <c r="B295" i="4"/>
  <c r="H294" i="4"/>
  <c r="G294" i="4"/>
  <c r="F294" i="4"/>
  <c r="E294" i="4"/>
  <c r="D294" i="4"/>
  <c r="C294" i="4"/>
  <c r="B294" i="4"/>
  <c r="H293" i="4"/>
  <c r="G293" i="4"/>
  <c r="F293" i="4"/>
  <c r="E293" i="4"/>
  <c r="D293" i="4"/>
  <c r="C293" i="4"/>
  <c r="B293" i="4"/>
  <c r="H292" i="4"/>
  <c r="G292" i="4"/>
  <c r="F292" i="4"/>
  <c r="E292" i="4"/>
  <c r="D292" i="4"/>
  <c r="C292" i="4"/>
  <c r="B292" i="4"/>
  <c r="H291" i="4"/>
  <c r="G291" i="4"/>
  <c r="F291" i="4"/>
  <c r="E291" i="4"/>
  <c r="D291" i="4"/>
  <c r="C291" i="4"/>
  <c r="B291" i="4"/>
  <c r="H290" i="4"/>
  <c r="G290" i="4"/>
  <c r="F290" i="4"/>
  <c r="E290" i="4"/>
  <c r="D290" i="4"/>
  <c r="C290" i="4"/>
  <c r="B290" i="4"/>
  <c r="I289" i="4"/>
  <c r="H289" i="4"/>
  <c r="G289" i="4"/>
  <c r="F289" i="4"/>
  <c r="E289" i="4"/>
  <c r="D289" i="4"/>
  <c r="C289" i="4"/>
  <c r="B289" i="4"/>
  <c r="I288" i="4"/>
  <c r="H288" i="4"/>
  <c r="G288" i="4"/>
  <c r="F288" i="4"/>
  <c r="E288" i="4"/>
  <c r="D288" i="4"/>
  <c r="C288" i="4"/>
  <c r="B288" i="4"/>
  <c r="H287" i="4"/>
  <c r="G287" i="4"/>
  <c r="F287" i="4"/>
  <c r="E287" i="4"/>
  <c r="D287" i="4"/>
  <c r="C287" i="4"/>
  <c r="B287" i="4"/>
  <c r="H286" i="4"/>
  <c r="G286" i="4"/>
  <c r="F286" i="4"/>
  <c r="E286" i="4"/>
  <c r="D286" i="4"/>
  <c r="C286" i="4"/>
  <c r="B286" i="4"/>
  <c r="H285" i="4"/>
  <c r="G285" i="4"/>
  <c r="F285" i="4"/>
  <c r="E285" i="4"/>
  <c r="D285" i="4"/>
  <c r="C285" i="4"/>
  <c r="B285" i="4"/>
  <c r="H284" i="4"/>
  <c r="G284" i="4"/>
  <c r="F284" i="4"/>
  <c r="E284" i="4"/>
  <c r="D284" i="4"/>
  <c r="C284" i="4"/>
  <c r="B284" i="4"/>
  <c r="H283" i="4"/>
  <c r="G283" i="4"/>
  <c r="F283" i="4"/>
  <c r="E283" i="4"/>
  <c r="D283" i="4"/>
  <c r="C283" i="4"/>
  <c r="B283" i="4"/>
  <c r="H282" i="4"/>
  <c r="G282" i="4"/>
  <c r="F282" i="4"/>
  <c r="E282" i="4"/>
  <c r="D282" i="4"/>
  <c r="C282" i="4"/>
  <c r="B282" i="4"/>
  <c r="H281" i="4"/>
  <c r="G281" i="4"/>
  <c r="F281" i="4"/>
  <c r="E281" i="4"/>
  <c r="D281" i="4"/>
  <c r="C281" i="4"/>
  <c r="B281" i="4"/>
  <c r="H280" i="4"/>
  <c r="G280" i="4"/>
  <c r="F280" i="4"/>
  <c r="E280" i="4"/>
  <c r="D280" i="4"/>
  <c r="C280" i="4"/>
  <c r="B280" i="4"/>
  <c r="I279" i="4"/>
  <c r="H279" i="4"/>
  <c r="G279" i="4"/>
  <c r="F279" i="4"/>
  <c r="E279" i="4"/>
  <c r="D279" i="4"/>
  <c r="C279" i="4"/>
  <c r="B279" i="4"/>
  <c r="H278" i="4"/>
  <c r="G278" i="4"/>
  <c r="F278" i="4"/>
  <c r="E278" i="4"/>
  <c r="D278" i="4"/>
  <c r="C278" i="4"/>
  <c r="B278" i="4"/>
  <c r="H277" i="4"/>
  <c r="G277" i="4"/>
  <c r="F277" i="4"/>
  <c r="E277" i="4"/>
  <c r="D277" i="4"/>
  <c r="C277" i="4"/>
  <c r="B277" i="4"/>
  <c r="H276" i="4"/>
  <c r="G276" i="4"/>
  <c r="F276" i="4"/>
  <c r="E276" i="4"/>
  <c r="D276" i="4"/>
  <c r="C276" i="4"/>
  <c r="B276" i="4"/>
  <c r="H275" i="4"/>
  <c r="G275" i="4"/>
  <c r="F275" i="4"/>
  <c r="E275" i="4"/>
  <c r="D275" i="4"/>
  <c r="C275" i="4"/>
  <c r="B275" i="4"/>
  <c r="H274" i="4"/>
  <c r="G274" i="4"/>
  <c r="F274" i="4"/>
  <c r="E274" i="4"/>
  <c r="D274" i="4"/>
  <c r="C274" i="4"/>
  <c r="B274" i="4"/>
  <c r="H273" i="4"/>
  <c r="G273" i="4"/>
  <c r="F273" i="4"/>
  <c r="E273" i="4"/>
  <c r="D273" i="4"/>
  <c r="C273" i="4"/>
  <c r="B273" i="4"/>
  <c r="H272" i="4"/>
  <c r="G272" i="4"/>
  <c r="F272" i="4"/>
  <c r="E272" i="4"/>
  <c r="D272" i="4"/>
  <c r="C272" i="4"/>
  <c r="B272" i="4"/>
  <c r="H271" i="4"/>
  <c r="G271" i="4"/>
  <c r="F271" i="4"/>
  <c r="E271" i="4"/>
  <c r="D271" i="4"/>
  <c r="C271" i="4"/>
  <c r="B271" i="4"/>
  <c r="H270" i="4"/>
  <c r="G270" i="4"/>
  <c r="F270" i="4"/>
  <c r="E270" i="4"/>
  <c r="D270" i="4"/>
  <c r="C270" i="4"/>
  <c r="B270" i="4"/>
  <c r="I269" i="4"/>
  <c r="H269" i="4"/>
  <c r="G269" i="4"/>
  <c r="F269" i="4"/>
  <c r="E269" i="4"/>
  <c r="D269" i="4"/>
  <c r="C269" i="4"/>
  <c r="B269" i="4"/>
  <c r="I268" i="4"/>
  <c r="H268" i="4"/>
  <c r="G268" i="4"/>
  <c r="F268" i="4"/>
  <c r="E268" i="4"/>
  <c r="D268" i="4"/>
  <c r="C268" i="4"/>
  <c r="B268" i="4"/>
  <c r="H267" i="4"/>
  <c r="G267" i="4"/>
  <c r="F267" i="4"/>
  <c r="E267" i="4"/>
  <c r="D267" i="4"/>
  <c r="C267" i="4"/>
  <c r="B267" i="4"/>
  <c r="I266" i="4"/>
  <c r="H266" i="4"/>
  <c r="G266" i="4"/>
  <c r="F266" i="4"/>
  <c r="E266" i="4"/>
  <c r="D266" i="4"/>
  <c r="C266" i="4"/>
  <c r="B266" i="4"/>
  <c r="H265" i="4"/>
  <c r="G265" i="4"/>
  <c r="F265" i="4"/>
  <c r="E265" i="4"/>
  <c r="D265" i="4"/>
  <c r="C265" i="4"/>
  <c r="B265" i="4"/>
  <c r="I264" i="4"/>
  <c r="H264" i="4"/>
  <c r="G264" i="4"/>
  <c r="F264" i="4"/>
  <c r="E264" i="4"/>
  <c r="D264" i="4"/>
  <c r="C264" i="4"/>
  <c r="B264" i="4"/>
  <c r="I263" i="4"/>
  <c r="H263" i="4"/>
  <c r="G263" i="4"/>
  <c r="F263" i="4"/>
  <c r="E263" i="4"/>
  <c r="D263" i="4"/>
  <c r="C263" i="4"/>
  <c r="B263" i="4"/>
  <c r="H262" i="4"/>
  <c r="G262" i="4"/>
  <c r="F262" i="4"/>
  <c r="E262" i="4"/>
  <c r="D262" i="4"/>
  <c r="C262" i="4"/>
  <c r="B262" i="4"/>
  <c r="H261" i="4"/>
  <c r="G261" i="4"/>
  <c r="F261" i="4"/>
  <c r="E261" i="4"/>
  <c r="D261" i="4"/>
  <c r="C261" i="4"/>
  <c r="B261" i="4"/>
  <c r="H260" i="4"/>
  <c r="G260" i="4"/>
  <c r="F260" i="4"/>
  <c r="E260" i="4"/>
  <c r="D260" i="4"/>
  <c r="C260" i="4"/>
  <c r="B260" i="4"/>
  <c r="H259" i="4"/>
  <c r="G259" i="4"/>
  <c r="F259" i="4"/>
  <c r="E259" i="4"/>
  <c r="D259" i="4"/>
  <c r="C259" i="4"/>
  <c r="B259" i="4"/>
  <c r="I258" i="4"/>
  <c r="H258" i="4"/>
  <c r="G258" i="4"/>
  <c r="F258" i="4"/>
  <c r="E258" i="4"/>
  <c r="D258" i="4"/>
  <c r="C258" i="4"/>
  <c r="B258" i="4"/>
  <c r="H257" i="4"/>
  <c r="G257" i="4"/>
  <c r="F257" i="4"/>
  <c r="E257" i="4"/>
  <c r="D257" i="4"/>
  <c r="C257" i="4"/>
  <c r="B257" i="4"/>
  <c r="I256" i="4"/>
  <c r="H256" i="4"/>
  <c r="G256" i="4"/>
  <c r="F256" i="4"/>
  <c r="E256" i="4"/>
  <c r="D256" i="4"/>
  <c r="C256" i="4"/>
  <c r="B256" i="4"/>
  <c r="I255" i="4"/>
  <c r="H255" i="4"/>
  <c r="G255" i="4"/>
  <c r="F255" i="4"/>
  <c r="E255" i="4"/>
  <c r="D255" i="4"/>
  <c r="C255" i="4"/>
  <c r="B255" i="4"/>
  <c r="H254" i="4"/>
  <c r="G254" i="4"/>
  <c r="F254" i="4"/>
  <c r="E254" i="4"/>
  <c r="D254" i="4"/>
  <c r="C254" i="4"/>
  <c r="B254" i="4"/>
  <c r="H253" i="4"/>
  <c r="G253" i="4"/>
  <c r="F253" i="4"/>
  <c r="E253" i="4"/>
  <c r="D253" i="4"/>
  <c r="C253" i="4"/>
  <c r="B253" i="4"/>
  <c r="H252" i="4"/>
  <c r="G252" i="4"/>
  <c r="F252" i="4"/>
  <c r="E252" i="4"/>
  <c r="D252" i="4"/>
  <c r="C252" i="4"/>
  <c r="B252" i="4"/>
  <c r="H251" i="4"/>
  <c r="G251" i="4"/>
  <c r="F251" i="4"/>
  <c r="E251" i="4"/>
  <c r="D251" i="4"/>
  <c r="C251" i="4"/>
  <c r="B251" i="4"/>
  <c r="I250" i="4"/>
  <c r="H250" i="4"/>
  <c r="G250" i="4"/>
  <c r="F250" i="4"/>
  <c r="E250" i="4"/>
  <c r="D250" i="4"/>
  <c r="C250" i="4"/>
  <c r="B250" i="4"/>
  <c r="I249" i="4"/>
  <c r="H249" i="4"/>
  <c r="G249" i="4"/>
  <c r="F249" i="4"/>
  <c r="E249" i="4"/>
  <c r="D249" i="4"/>
  <c r="C249" i="4"/>
  <c r="B249" i="4"/>
  <c r="H248" i="4"/>
  <c r="G248" i="4"/>
  <c r="F248" i="4"/>
  <c r="E248" i="4"/>
  <c r="D248" i="4"/>
  <c r="C248" i="4"/>
  <c r="B248" i="4"/>
  <c r="H247" i="4"/>
  <c r="G247" i="4"/>
  <c r="F247" i="4"/>
  <c r="E247" i="4"/>
  <c r="D247" i="4"/>
  <c r="C247" i="4"/>
  <c r="B247" i="4"/>
  <c r="H246" i="4"/>
  <c r="G246" i="4"/>
  <c r="F246" i="4"/>
  <c r="E246" i="4"/>
  <c r="D246" i="4"/>
  <c r="C246" i="4"/>
  <c r="B246" i="4"/>
  <c r="I245" i="4"/>
  <c r="H245" i="4"/>
  <c r="G245" i="4"/>
  <c r="F245" i="4"/>
  <c r="E245" i="4"/>
  <c r="D245" i="4"/>
  <c r="C245" i="4"/>
  <c r="B245" i="4"/>
  <c r="H244" i="4"/>
  <c r="G244" i="4"/>
  <c r="F244" i="4"/>
  <c r="E244" i="4"/>
  <c r="D244" i="4"/>
  <c r="C244" i="4"/>
  <c r="B244" i="4"/>
  <c r="H243" i="4"/>
  <c r="G243" i="4"/>
  <c r="F243" i="4"/>
  <c r="E243" i="4"/>
  <c r="D243" i="4"/>
  <c r="C243" i="4"/>
  <c r="B243" i="4"/>
  <c r="H242" i="4"/>
  <c r="G242" i="4"/>
  <c r="F242" i="4"/>
  <c r="E242" i="4"/>
  <c r="D242" i="4"/>
  <c r="C242" i="4"/>
  <c r="B242" i="4"/>
  <c r="H241" i="4"/>
  <c r="G241" i="4"/>
  <c r="F241" i="4"/>
  <c r="E241" i="4"/>
  <c r="D241" i="4"/>
  <c r="C241" i="4"/>
  <c r="B241" i="4"/>
  <c r="I240" i="4"/>
  <c r="H240" i="4"/>
  <c r="G240" i="4"/>
  <c r="F240" i="4"/>
  <c r="E240" i="4"/>
  <c r="D240" i="4"/>
  <c r="C240" i="4"/>
  <c r="B240" i="4"/>
  <c r="H239" i="4"/>
  <c r="G239" i="4"/>
  <c r="F239" i="4"/>
  <c r="E239" i="4"/>
  <c r="D239" i="4"/>
  <c r="C239" i="4"/>
  <c r="B239" i="4"/>
  <c r="I238" i="4"/>
  <c r="H238" i="4"/>
  <c r="G238" i="4"/>
  <c r="F238" i="4"/>
  <c r="E238" i="4"/>
  <c r="D238" i="4"/>
  <c r="C238" i="4"/>
  <c r="B238" i="4"/>
  <c r="I237" i="4"/>
  <c r="H237" i="4"/>
  <c r="G237" i="4"/>
  <c r="F237" i="4"/>
  <c r="E237" i="4"/>
  <c r="D237" i="4"/>
  <c r="C237" i="4"/>
  <c r="B237" i="4"/>
  <c r="H236" i="4"/>
  <c r="G236" i="4"/>
  <c r="F236" i="4"/>
  <c r="E236" i="4"/>
  <c r="D236" i="4"/>
  <c r="C236" i="4"/>
  <c r="B236" i="4"/>
  <c r="H235" i="4"/>
  <c r="G235" i="4"/>
  <c r="F235" i="4"/>
  <c r="E235" i="4"/>
  <c r="D235" i="4"/>
  <c r="C235" i="4"/>
  <c r="B235" i="4"/>
  <c r="H234" i="4"/>
  <c r="G234" i="4"/>
  <c r="F234" i="4"/>
  <c r="E234" i="4"/>
  <c r="D234" i="4"/>
  <c r="C234" i="4"/>
  <c r="B234" i="4"/>
  <c r="H233" i="4"/>
  <c r="G233" i="4"/>
  <c r="F233" i="4"/>
  <c r="E233" i="4"/>
  <c r="D233" i="4"/>
  <c r="C233" i="4"/>
  <c r="B233" i="4"/>
  <c r="H232" i="4"/>
  <c r="G232" i="4"/>
  <c r="F232" i="4"/>
  <c r="E232" i="4"/>
  <c r="D232" i="4"/>
  <c r="C232" i="4"/>
  <c r="B232" i="4"/>
  <c r="H231" i="4"/>
  <c r="G231" i="4"/>
  <c r="F231" i="4"/>
  <c r="E231" i="4"/>
  <c r="D231" i="4"/>
  <c r="C231" i="4"/>
  <c r="B231" i="4"/>
  <c r="H230" i="4"/>
  <c r="G230" i="4"/>
  <c r="F230" i="4"/>
  <c r="E230" i="4"/>
  <c r="D230" i="4"/>
  <c r="C230" i="4"/>
  <c r="B230" i="4"/>
  <c r="I229" i="4"/>
  <c r="H229" i="4"/>
  <c r="G229" i="4"/>
  <c r="F229" i="4"/>
  <c r="E229" i="4"/>
  <c r="D229" i="4"/>
  <c r="C229" i="4"/>
  <c r="B229" i="4"/>
  <c r="H228" i="4"/>
  <c r="G228" i="4"/>
  <c r="F228" i="4"/>
  <c r="E228" i="4"/>
  <c r="D228" i="4"/>
  <c r="C228" i="4"/>
  <c r="B228" i="4"/>
  <c r="H227" i="4"/>
  <c r="G227" i="4"/>
  <c r="F227" i="4"/>
  <c r="E227" i="4"/>
  <c r="D227" i="4"/>
  <c r="C227" i="4"/>
  <c r="B227" i="4"/>
  <c r="H226" i="4"/>
  <c r="G226" i="4"/>
  <c r="F226" i="4"/>
  <c r="E226" i="4"/>
  <c r="D226" i="4"/>
  <c r="C226" i="4"/>
  <c r="B226" i="4"/>
  <c r="H225" i="4"/>
  <c r="G225" i="4"/>
  <c r="F225" i="4"/>
  <c r="E225" i="4"/>
  <c r="D225" i="4"/>
  <c r="C225" i="4"/>
  <c r="B225" i="4"/>
  <c r="H224" i="4"/>
  <c r="G224" i="4"/>
  <c r="F224" i="4"/>
  <c r="E224" i="4"/>
  <c r="D224" i="4"/>
  <c r="C224" i="4"/>
  <c r="B224" i="4"/>
  <c r="H223" i="4"/>
  <c r="G223" i="4"/>
  <c r="F223" i="4"/>
  <c r="E223" i="4"/>
  <c r="D223" i="4"/>
  <c r="C223" i="4"/>
  <c r="B223" i="4"/>
  <c r="H222" i="4"/>
  <c r="G222" i="4"/>
  <c r="F222" i="4"/>
  <c r="E222" i="4"/>
  <c r="D222" i="4"/>
  <c r="C222" i="4"/>
  <c r="B222" i="4"/>
  <c r="H221" i="4"/>
  <c r="G221" i="4"/>
  <c r="F221" i="4"/>
  <c r="E221" i="4"/>
  <c r="D221" i="4"/>
  <c r="C221" i="4"/>
  <c r="B221" i="4"/>
  <c r="H220" i="4"/>
  <c r="G220" i="4"/>
  <c r="F220" i="4"/>
  <c r="E220" i="4"/>
  <c r="D220" i="4"/>
  <c r="C220" i="4"/>
  <c r="B220" i="4"/>
  <c r="H219" i="4"/>
  <c r="G219" i="4"/>
  <c r="F219" i="4"/>
  <c r="E219" i="4"/>
  <c r="D219" i="4"/>
  <c r="C219" i="4"/>
  <c r="B219" i="4"/>
  <c r="H218" i="4"/>
  <c r="G218" i="4"/>
  <c r="F218" i="4"/>
  <c r="E218" i="4"/>
  <c r="D218" i="4"/>
  <c r="C218" i="4"/>
  <c r="B218" i="4"/>
  <c r="H217" i="4"/>
  <c r="G217" i="4"/>
  <c r="F217" i="4"/>
  <c r="E217" i="4"/>
  <c r="D217" i="4"/>
  <c r="C217" i="4"/>
  <c r="B217" i="4"/>
  <c r="H216" i="4"/>
  <c r="G216" i="4"/>
  <c r="F216" i="4"/>
  <c r="E216" i="4"/>
  <c r="D216" i="4"/>
  <c r="C216" i="4"/>
  <c r="B216" i="4"/>
  <c r="H215" i="4"/>
  <c r="G215" i="4"/>
  <c r="F215" i="4"/>
  <c r="E215" i="4"/>
  <c r="D215" i="4"/>
  <c r="C215" i="4"/>
  <c r="B215" i="4"/>
  <c r="H214" i="4"/>
  <c r="G214" i="4"/>
  <c r="F214" i="4"/>
  <c r="E214" i="4"/>
  <c r="D214" i="4"/>
  <c r="C214" i="4"/>
  <c r="B214" i="4"/>
  <c r="H213" i="4"/>
  <c r="G213" i="4"/>
  <c r="F213" i="4"/>
  <c r="E213" i="4"/>
  <c r="D213" i="4"/>
  <c r="C213" i="4"/>
  <c r="B213" i="4"/>
  <c r="H212" i="4"/>
  <c r="G212" i="4"/>
  <c r="F212" i="4"/>
  <c r="E212" i="4"/>
  <c r="D212" i="4"/>
  <c r="C212" i="4"/>
  <c r="B212" i="4"/>
  <c r="I211" i="4"/>
  <c r="H211" i="4"/>
  <c r="G211" i="4"/>
  <c r="F211" i="4"/>
  <c r="E211" i="4"/>
  <c r="D211" i="4"/>
  <c r="C211" i="4"/>
  <c r="B211" i="4"/>
  <c r="I210" i="4"/>
  <c r="H210" i="4"/>
  <c r="G210" i="4"/>
  <c r="F210" i="4"/>
  <c r="E210" i="4"/>
  <c r="D210" i="4"/>
  <c r="C210" i="4"/>
  <c r="B210" i="4"/>
  <c r="H209" i="4"/>
  <c r="G209" i="4"/>
  <c r="F209" i="4"/>
  <c r="E209" i="4"/>
  <c r="D209" i="4"/>
  <c r="C209" i="4"/>
  <c r="B209" i="4"/>
  <c r="H208" i="4"/>
  <c r="G208" i="4"/>
  <c r="F208" i="4"/>
  <c r="E208" i="4"/>
  <c r="D208" i="4"/>
  <c r="C208" i="4"/>
  <c r="B208" i="4"/>
  <c r="H207" i="4"/>
  <c r="G207" i="4"/>
  <c r="F207" i="4"/>
  <c r="E207" i="4"/>
  <c r="D207" i="4"/>
  <c r="C207" i="4"/>
  <c r="B207" i="4"/>
  <c r="H206" i="4"/>
  <c r="G206" i="4"/>
  <c r="F206" i="4"/>
  <c r="E206" i="4"/>
  <c r="D206" i="4"/>
  <c r="C206" i="4"/>
  <c r="B206" i="4"/>
  <c r="H205" i="4"/>
  <c r="G205" i="4"/>
  <c r="F205" i="4"/>
  <c r="E205" i="4"/>
  <c r="D205" i="4"/>
  <c r="C205" i="4"/>
  <c r="B205" i="4"/>
  <c r="H204" i="4"/>
  <c r="G204" i="4"/>
  <c r="F204" i="4"/>
  <c r="E204" i="4"/>
  <c r="D204" i="4"/>
  <c r="C204" i="4"/>
  <c r="B204" i="4"/>
  <c r="H203" i="4"/>
  <c r="G203" i="4"/>
  <c r="F203" i="4"/>
  <c r="E203" i="4"/>
  <c r="D203" i="4"/>
  <c r="C203" i="4"/>
  <c r="B203" i="4"/>
  <c r="I202" i="4"/>
  <c r="H202" i="4"/>
  <c r="G202" i="4"/>
  <c r="F202" i="4"/>
  <c r="E202" i="4"/>
  <c r="D202" i="4"/>
  <c r="C202" i="4"/>
  <c r="B202" i="4"/>
  <c r="H201" i="4"/>
  <c r="G201" i="4"/>
  <c r="F201" i="4"/>
  <c r="E201" i="4"/>
  <c r="D201" i="4"/>
  <c r="C201" i="4"/>
  <c r="B201" i="4"/>
  <c r="H200" i="4"/>
  <c r="G200" i="4"/>
  <c r="F200" i="4"/>
  <c r="E200" i="4"/>
  <c r="D200" i="4"/>
  <c r="C200" i="4"/>
  <c r="B200" i="4"/>
  <c r="H199" i="4"/>
  <c r="G199" i="4"/>
  <c r="F199" i="4"/>
  <c r="E199" i="4"/>
  <c r="D199" i="4"/>
  <c r="C199" i="4"/>
  <c r="B199" i="4"/>
  <c r="H198" i="4"/>
  <c r="G198" i="4"/>
  <c r="F198" i="4"/>
  <c r="E198" i="4"/>
  <c r="D198" i="4"/>
  <c r="C198" i="4"/>
  <c r="B198" i="4"/>
  <c r="I197" i="4"/>
  <c r="H197" i="4"/>
  <c r="G197" i="4"/>
  <c r="F197" i="4"/>
  <c r="E197" i="4"/>
  <c r="D197" i="4"/>
  <c r="C197" i="4"/>
  <c r="B197" i="4"/>
  <c r="I196" i="4"/>
  <c r="H196" i="4"/>
  <c r="G196" i="4"/>
  <c r="F196" i="4"/>
  <c r="E196" i="4"/>
  <c r="D196" i="4"/>
  <c r="C196" i="4"/>
  <c r="B196" i="4"/>
  <c r="I195" i="4"/>
  <c r="H195" i="4"/>
  <c r="G195" i="4"/>
  <c r="F195" i="4"/>
  <c r="E195" i="4"/>
  <c r="D195" i="4"/>
  <c r="C195" i="4"/>
  <c r="B195" i="4"/>
  <c r="I194" i="4"/>
  <c r="H194" i="4"/>
  <c r="G194" i="4"/>
  <c r="F194" i="4"/>
  <c r="E194" i="4"/>
  <c r="D194" i="4"/>
  <c r="C194" i="4"/>
  <c r="B194" i="4"/>
  <c r="I193" i="4"/>
  <c r="H193" i="4"/>
  <c r="G193" i="4"/>
  <c r="F193" i="4"/>
  <c r="E193" i="4"/>
  <c r="D193" i="4"/>
  <c r="C193" i="4"/>
  <c r="B193" i="4"/>
  <c r="I192" i="4"/>
  <c r="H192" i="4"/>
  <c r="G192" i="4"/>
  <c r="F192" i="4"/>
  <c r="E192" i="4"/>
  <c r="D192" i="4"/>
  <c r="C192" i="4"/>
  <c r="B192" i="4"/>
  <c r="I191" i="4"/>
  <c r="H191" i="4"/>
  <c r="G191" i="4"/>
  <c r="F191" i="4"/>
  <c r="E191" i="4"/>
  <c r="D191" i="4"/>
  <c r="C191" i="4"/>
  <c r="B191" i="4"/>
  <c r="H190" i="4"/>
  <c r="G190" i="4"/>
  <c r="F190" i="4"/>
  <c r="E190" i="4"/>
  <c r="D190" i="4"/>
  <c r="C190" i="4"/>
  <c r="B190" i="4"/>
  <c r="H189" i="4"/>
  <c r="G189" i="4"/>
  <c r="F189" i="4"/>
  <c r="E189" i="4"/>
  <c r="D189" i="4"/>
  <c r="C189" i="4"/>
  <c r="B189" i="4"/>
  <c r="H188" i="4"/>
  <c r="G188" i="4"/>
  <c r="F188" i="4"/>
  <c r="E188" i="4"/>
  <c r="D188" i="4"/>
  <c r="C188" i="4"/>
  <c r="B188" i="4"/>
  <c r="H187" i="4"/>
  <c r="G187" i="4"/>
  <c r="F187" i="4"/>
  <c r="E187" i="4"/>
  <c r="D187" i="4"/>
  <c r="C187" i="4"/>
  <c r="B187" i="4"/>
  <c r="H186" i="4"/>
  <c r="G186" i="4"/>
  <c r="F186" i="4"/>
  <c r="E186" i="4"/>
  <c r="D186" i="4"/>
  <c r="C186" i="4"/>
  <c r="B186" i="4"/>
  <c r="H185" i="4"/>
  <c r="G185" i="4"/>
  <c r="F185" i="4"/>
  <c r="E185" i="4"/>
  <c r="D185" i="4"/>
  <c r="C185" i="4"/>
  <c r="B185" i="4"/>
  <c r="H184" i="4"/>
  <c r="G184" i="4"/>
  <c r="F184" i="4"/>
  <c r="E184" i="4"/>
  <c r="D184" i="4"/>
  <c r="C184" i="4"/>
  <c r="B184" i="4"/>
  <c r="H183" i="4"/>
  <c r="G183" i="4"/>
  <c r="F183" i="4"/>
  <c r="E183" i="4"/>
  <c r="D183" i="4"/>
  <c r="C183" i="4"/>
  <c r="B183" i="4"/>
  <c r="H182" i="4"/>
  <c r="G182" i="4"/>
  <c r="F182" i="4"/>
  <c r="E182" i="4"/>
  <c r="D182" i="4"/>
  <c r="C182" i="4"/>
  <c r="B182" i="4"/>
  <c r="H181" i="4"/>
  <c r="G181" i="4"/>
  <c r="F181" i="4"/>
  <c r="E181" i="4"/>
  <c r="D181" i="4"/>
  <c r="C181" i="4"/>
  <c r="B181" i="4"/>
  <c r="I180" i="4"/>
  <c r="H180" i="4"/>
  <c r="G180" i="4"/>
  <c r="F180" i="4"/>
  <c r="E180" i="4"/>
  <c r="D180" i="4"/>
  <c r="C180" i="4"/>
  <c r="B180" i="4"/>
  <c r="H179" i="4"/>
  <c r="G179" i="4"/>
  <c r="F179" i="4"/>
  <c r="E179" i="4"/>
  <c r="D179" i="4"/>
  <c r="C179" i="4"/>
  <c r="B179" i="4"/>
  <c r="H178" i="4"/>
  <c r="G178" i="4"/>
  <c r="F178" i="4"/>
  <c r="E178" i="4"/>
  <c r="D178" i="4"/>
  <c r="C178" i="4"/>
  <c r="B178" i="4"/>
  <c r="H177" i="4"/>
  <c r="G177" i="4"/>
  <c r="F177" i="4"/>
  <c r="E177" i="4"/>
  <c r="D177" i="4"/>
  <c r="C177" i="4"/>
  <c r="B177" i="4"/>
  <c r="H176" i="4"/>
  <c r="G176" i="4"/>
  <c r="F176" i="4"/>
  <c r="E176" i="4"/>
  <c r="D176" i="4"/>
  <c r="C176" i="4"/>
  <c r="B176" i="4"/>
  <c r="H175" i="4"/>
  <c r="G175" i="4"/>
  <c r="F175" i="4"/>
  <c r="E175" i="4"/>
  <c r="D175" i="4"/>
  <c r="C175" i="4"/>
  <c r="B175" i="4"/>
  <c r="H174" i="4"/>
  <c r="G174" i="4"/>
  <c r="F174" i="4"/>
  <c r="E174" i="4"/>
  <c r="D174" i="4"/>
  <c r="C174" i="4"/>
  <c r="B174" i="4"/>
  <c r="H173" i="4"/>
  <c r="G173" i="4"/>
  <c r="F173" i="4"/>
  <c r="E173" i="4"/>
  <c r="D173" i="4"/>
  <c r="C173" i="4"/>
  <c r="B173" i="4"/>
  <c r="I172" i="4"/>
  <c r="H172" i="4"/>
  <c r="G172" i="4"/>
  <c r="F172" i="4"/>
  <c r="E172" i="4"/>
  <c r="D172" i="4"/>
  <c r="C172" i="4"/>
  <c r="B172" i="4"/>
  <c r="H171" i="4"/>
  <c r="G171" i="4"/>
  <c r="F171" i="4"/>
  <c r="E171" i="4"/>
  <c r="D171" i="4"/>
  <c r="C171" i="4"/>
  <c r="B171" i="4"/>
  <c r="H170" i="4"/>
  <c r="G170" i="4"/>
  <c r="F170" i="4"/>
  <c r="E170" i="4"/>
  <c r="D170" i="4"/>
  <c r="C170" i="4"/>
  <c r="B170" i="4"/>
  <c r="I169" i="4"/>
  <c r="H169" i="4"/>
  <c r="G169" i="4"/>
  <c r="F169" i="4"/>
  <c r="E169" i="4"/>
  <c r="D169" i="4"/>
  <c r="B169" i="4"/>
  <c r="H168" i="4"/>
  <c r="G168" i="4"/>
  <c r="F168" i="4"/>
  <c r="E168" i="4"/>
  <c r="D168" i="4"/>
  <c r="C168" i="4"/>
  <c r="B168" i="4"/>
  <c r="H167" i="4"/>
  <c r="G167" i="4"/>
  <c r="F167" i="4"/>
  <c r="E167" i="4"/>
  <c r="D167" i="4"/>
  <c r="C167" i="4"/>
  <c r="B167" i="4"/>
  <c r="H166" i="4"/>
  <c r="G166" i="4"/>
  <c r="F166" i="4"/>
  <c r="E166" i="4"/>
  <c r="D166" i="4"/>
  <c r="C166" i="4"/>
  <c r="B166" i="4"/>
  <c r="H165" i="4"/>
  <c r="G165" i="4"/>
  <c r="F165" i="4"/>
  <c r="E165" i="4"/>
  <c r="D165" i="4"/>
  <c r="C165" i="4"/>
  <c r="B165" i="4"/>
  <c r="I164" i="4"/>
  <c r="H164" i="4"/>
  <c r="G164" i="4"/>
  <c r="F164" i="4"/>
  <c r="E164" i="4"/>
  <c r="D164" i="4"/>
  <c r="C164" i="4"/>
  <c r="B164" i="4"/>
  <c r="H163" i="4"/>
  <c r="G163" i="4"/>
  <c r="F163" i="4"/>
  <c r="E163" i="4"/>
  <c r="D163" i="4"/>
  <c r="C163" i="4"/>
  <c r="B163" i="4"/>
  <c r="H162" i="4"/>
  <c r="G162" i="4"/>
  <c r="F162" i="4"/>
  <c r="E162" i="4"/>
  <c r="D162" i="4"/>
  <c r="C162" i="4"/>
  <c r="B162" i="4"/>
  <c r="H161" i="4"/>
  <c r="G161" i="4"/>
  <c r="F161" i="4"/>
  <c r="E161" i="4"/>
  <c r="D161" i="4"/>
  <c r="C161" i="4"/>
  <c r="B161" i="4"/>
  <c r="H160" i="4"/>
  <c r="G160" i="4"/>
  <c r="F160" i="4"/>
  <c r="E160" i="4"/>
  <c r="D160" i="4"/>
  <c r="C160" i="4"/>
  <c r="B160" i="4"/>
  <c r="H159" i="4"/>
  <c r="G159" i="4"/>
  <c r="F159" i="4"/>
  <c r="E159" i="4"/>
  <c r="D159" i="4"/>
  <c r="C159" i="4"/>
  <c r="B159" i="4"/>
  <c r="H158" i="4"/>
  <c r="G158" i="4"/>
  <c r="F158" i="4"/>
  <c r="E158" i="4"/>
  <c r="D158" i="4"/>
  <c r="C158" i="4"/>
  <c r="B158" i="4"/>
  <c r="H157" i="4"/>
  <c r="G157" i="4"/>
  <c r="F157" i="4"/>
  <c r="E157" i="4"/>
  <c r="D157" i="4"/>
  <c r="C157" i="4"/>
  <c r="B157" i="4"/>
  <c r="H156" i="4"/>
  <c r="G156" i="4"/>
  <c r="F156" i="4"/>
  <c r="E156" i="4"/>
  <c r="D156" i="4"/>
  <c r="C156" i="4"/>
  <c r="B156" i="4"/>
  <c r="I155" i="4"/>
  <c r="H155" i="4"/>
  <c r="G155" i="4"/>
  <c r="F155" i="4"/>
  <c r="E155" i="4"/>
  <c r="D155" i="4"/>
  <c r="C155" i="4"/>
  <c r="B155" i="4"/>
  <c r="H154" i="4"/>
  <c r="G154" i="4"/>
  <c r="F154" i="4"/>
  <c r="E154" i="4"/>
  <c r="D154" i="4"/>
  <c r="C154" i="4"/>
  <c r="B154" i="4"/>
  <c r="I153" i="4"/>
  <c r="H153" i="4"/>
  <c r="G153" i="4"/>
  <c r="F153" i="4"/>
  <c r="E153" i="4"/>
  <c r="D153" i="4"/>
  <c r="C153" i="4"/>
  <c r="B153" i="4"/>
  <c r="H152" i="4"/>
  <c r="G152" i="4"/>
  <c r="F152" i="4"/>
  <c r="E152" i="4"/>
  <c r="D152" i="4"/>
  <c r="C152" i="4"/>
  <c r="B152" i="4"/>
  <c r="H151" i="4"/>
  <c r="G151" i="4"/>
  <c r="F151" i="4"/>
  <c r="E151" i="4"/>
  <c r="D151" i="4"/>
  <c r="C151" i="4"/>
  <c r="B151" i="4"/>
  <c r="H150" i="4"/>
  <c r="G150" i="4"/>
  <c r="F150" i="4"/>
  <c r="E150" i="4"/>
  <c r="D150" i="4"/>
  <c r="C150" i="4"/>
  <c r="B150" i="4"/>
  <c r="H149" i="4"/>
  <c r="G149" i="4"/>
  <c r="F149" i="4"/>
  <c r="E149" i="4"/>
  <c r="D149" i="4"/>
  <c r="C149" i="4"/>
  <c r="B149" i="4"/>
  <c r="I148" i="4"/>
  <c r="H148" i="4"/>
  <c r="G148" i="4"/>
  <c r="F148" i="4"/>
  <c r="E148" i="4"/>
  <c r="D148" i="4"/>
  <c r="C148" i="4"/>
  <c r="B148" i="4"/>
  <c r="H147" i="4"/>
  <c r="G147" i="4"/>
  <c r="F147" i="4"/>
  <c r="E147" i="4"/>
  <c r="D147" i="4"/>
  <c r="C147" i="4"/>
  <c r="B147" i="4"/>
  <c r="H146" i="4"/>
  <c r="G146" i="4"/>
  <c r="F146" i="4"/>
  <c r="E146" i="4"/>
  <c r="D146" i="4"/>
  <c r="C146" i="4"/>
  <c r="B146" i="4"/>
  <c r="H145" i="4"/>
  <c r="G145" i="4"/>
  <c r="F145" i="4"/>
  <c r="E145" i="4"/>
  <c r="D145" i="4"/>
  <c r="C145" i="4"/>
  <c r="B145" i="4"/>
  <c r="H144" i="4"/>
  <c r="G144" i="4"/>
  <c r="F144" i="4"/>
  <c r="E144" i="4"/>
  <c r="D144" i="4"/>
  <c r="C144" i="4"/>
  <c r="B144" i="4"/>
  <c r="H143" i="4"/>
  <c r="G143" i="4"/>
  <c r="F143" i="4"/>
  <c r="E143" i="4"/>
  <c r="D143" i="4"/>
  <c r="C143" i="4"/>
  <c r="B143" i="4"/>
  <c r="H142" i="4"/>
  <c r="G142" i="4"/>
  <c r="F142" i="4"/>
  <c r="E142" i="4"/>
  <c r="D142" i="4"/>
  <c r="C142" i="4"/>
  <c r="B142" i="4"/>
  <c r="H141" i="4"/>
  <c r="G141" i="4"/>
  <c r="F141" i="4"/>
  <c r="E141" i="4"/>
  <c r="D141" i="4"/>
  <c r="C141" i="4"/>
  <c r="B141" i="4"/>
  <c r="H140" i="4"/>
  <c r="G140" i="4"/>
  <c r="F140" i="4"/>
  <c r="E140" i="4"/>
  <c r="D140" i="4"/>
  <c r="C140" i="4"/>
  <c r="B140" i="4"/>
  <c r="H139" i="4"/>
  <c r="G139" i="4"/>
  <c r="F139" i="4"/>
  <c r="E139" i="4"/>
  <c r="D139" i="4"/>
  <c r="C139" i="4"/>
  <c r="B139" i="4"/>
  <c r="H138" i="4"/>
  <c r="G138" i="4"/>
  <c r="F138" i="4"/>
  <c r="E138" i="4"/>
  <c r="D138" i="4"/>
  <c r="C138" i="4"/>
  <c r="B138" i="4"/>
  <c r="I137" i="4"/>
  <c r="H137" i="4"/>
  <c r="G137" i="4"/>
  <c r="F137" i="4"/>
  <c r="E137" i="4"/>
  <c r="D137" i="4"/>
  <c r="C137" i="4"/>
  <c r="B137" i="4"/>
  <c r="H136" i="4"/>
  <c r="G136" i="4"/>
  <c r="F136" i="4"/>
  <c r="E136" i="4"/>
  <c r="D136" i="4"/>
  <c r="C136" i="4"/>
  <c r="B136" i="4"/>
  <c r="H135" i="4"/>
  <c r="G135" i="4"/>
  <c r="F135" i="4"/>
  <c r="E135" i="4"/>
  <c r="D135" i="4"/>
  <c r="C135" i="4"/>
  <c r="B135" i="4"/>
  <c r="H134" i="4"/>
  <c r="G134" i="4"/>
  <c r="F134" i="4"/>
  <c r="E134" i="4"/>
  <c r="D134" i="4"/>
  <c r="C134" i="4"/>
  <c r="B134" i="4"/>
  <c r="H133" i="4"/>
  <c r="G133" i="4"/>
  <c r="F133" i="4"/>
  <c r="E133" i="4"/>
  <c r="D133" i="4"/>
  <c r="C133" i="4"/>
  <c r="B133" i="4"/>
  <c r="H132" i="4"/>
  <c r="G132" i="4"/>
  <c r="F132" i="4"/>
  <c r="E132" i="4"/>
  <c r="D132" i="4"/>
  <c r="C132" i="4"/>
  <c r="B132" i="4"/>
  <c r="H131" i="4"/>
  <c r="G131" i="4"/>
  <c r="F131" i="4"/>
  <c r="E131" i="4"/>
  <c r="D131" i="4"/>
  <c r="C131" i="4"/>
  <c r="B131" i="4"/>
  <c r="H130" i="4"/>
  <c r="G130" i="4"/>
  <c r="F130" i="4"/>
  <c r="E130" i="4"/>
  <c r="D130" i="4"/>
  <c r="C130" i="4"/>
  <c r="B130" i="4"/>
  <c r="H129" i="4"/>
  <c r="G129" i="4"/>
  <c r="F129" i="4"/>
  <c r="E129" i="4"/>
  <c r="D129" i="4"/>
  <c r="C129" i="4"/>
  <c r="B129" i="4"/>
  <c r="H128" i="4"/>
  <c r="G128" i="4"/>
  <c r="F128" i="4"/>
  <c r="E128" i="4"/>
  <c r="D128" i="4"/>
  <c r="C128" i="4"/>
  <c r="B128" i="4"/>
  <c r="H127" i="4"/>
  <c r="G127" i="4"/>
  <c r="F127" i="4"/>
  <c r="E127" i="4"/>
  <c r="D127" i="4"/>
  <c r="C127" i="4"/>
  <c r="B127" i="4"/>
  <c r="H126" i="4"/>
  <c r="G126" i="4"/>
  <c r="F126" i="4"/>
  <c r="E126" i="4"/>
  <c r="D126" i="4"/>
  <c r="C126" i="4"/>
  <c r="B126" i="4"/>
  <c r="I125" i="4"/>
  <c r="H125" i="4"/>
  <c r="G125" i="4"/>
  <c r="F125" i="4"/>
  <c r="E125" i="4"/>
  <c r="D125" i="4"/>
  <c r="C125" i="4"/>
  <c r="B125" i="4"/>
  <c r="I124" i="4"/>
  <c r="H124" i="4"/>
  <c r="G124" i="4"/>
  <c r="F124" i="4"/>
  <c r="E124" i="4"/>
  <c r="D124" i="4"/>
  <c r="C124" i="4"/>
  <c r="B124" i="4"/>
  <c r="H123" i="4"/>
  <c r="G123" i="4"/>
  <c r="F123" i="4"/>
  <c r="E123" i="4"/>
  <c r="D123" i="4"/>
  <c r="C123" i="4"/>
  <c r="B123" i="4"/>
  <c r="H122" i="4"/>
  <c r="G122" i="4"/>
  <c r="F122" i="4"/>
  <c r="E122" i="4"/>
  <c r="D122" i="4"/>
  <c r="C122" i="4"/>
  <c r="B122" i="4"/>
  <c r="H121" i="4"/>
  <c r="G121" i="4"/>
  <c r="F121" i="4"/>
  <c r="E121" i="4"/>
  <c r="D121" i="4"/>
  <c r="C121" i="4"/>
  <c r="B121" i="4"/>
  <c r="H120" i="4"/>
  <c r="G120" i="4"/>
  <c r="F120" i="4"/>
  <c r="E120" i="4"/>
  <c r="D120" i="4"/>
  <c r="C120" i="4"/>
  <c r="B120" i="4"/>
  <c r="H119" i="4"/>
  <c r="G119" i="4"/>
  <c r="F119" i="4"/>
  <c r="E119" i="4"/>
  <c r="D119" i="4"/>
  <c r="C119" i="4"/>
  <c r="B119" i="4"/>
  <c r="I118" i="4"/>
  <c r="H118" i="4"/>
  <c r="G118" i="4"/>
  <c r="F118" i="4"/>
  <c r="E118" i="4"/>
  <c r="D118" i="4"/>
  <c r="C118" i="4"/>
  <c r="B118" i="4"/>
  <c r="H117" i="4"/>
  <c r="G117" i="4"/>
  <c r="F117" i="4"/>
  <c r="E117" i="4"/>
  <c r="D117" i="4"/>
  <c r="C117" i="4"/>
  <c r="B117" i="4"/>
  <c r="H116" i="4"/>
  <c r="G116" i="4"/>
  <c r="F116" i="4"/>
  <c r="E116" i="4"/>
  <c r="D116" i="4"/>
  <c r="C116" i="4"/>
  <c r="B116" i="4"/>
  <c r="H115" i="4"/>
  <c r="G115" i="4"/>
  <c r="F115" i="4"/>
  <c r="E115" i="4"/>
  <c r="D115" i="4"/>
  <c r="C115" i="4"/>
  <c r="B115" i="4"/>
  <c r="H114" i="4"/>
  <c r="G114" i="4"/>
  <c r="F114" i="4"/>
  <c r="E114" i="4"/>
  <c r="D114" i="4"/>
  <c r="C114" i="4"/>
  <c r="B114" i="4"/>
  <c r="H113" i="4"/>
  <c r="G113" i="4"/>
  <c r="F113" i="4"/>
  <c r="E113" i="4"/>
  <c r="D113" i="4"/>
  <c r="C113" i="4"/>
  <c r="B113" i="4"/>
  <c r="H112" i="4"/>
  <c r="G112" i="4"/>
  <c r="F112" i="4"/>
  <c r="E112" i="4"/>
  <c r="D112" i="4"/>
  <c r="C112" i="4"/>
  <c r="B112" i="4"/>
  <c r="H111" i="4"/>
  <c r="G111" i="4"/>
  <c r="F111" i="4"/>
  <c r="E111" i="4"/>
  <c r="D111" i="4"/>
  <c r="C111" i="4"/>
  <c r="B111" i="4"/>
  <c r="I110" i="4"/>
  <c r="H110" i="4"/>
  <c r="G110" i="4"/>
  <c r="F110" i="4"/>
  <c r="E110" i="4"/>
  <c r="D110" i="4"/>
  <c r="C110" i="4"/>
  <c r="B110" i="4"/>
  <c r="H109" i="4"/>
  <c r="G109" i="4"/>
  <c r="F109" i="4"/>
  <c r="E109" i="4"/>
  <c r="D109" i="4"/>
  <c r="C109" i="4"/>
  <c r="B109" i="4"/>
  <c r="I108" i="4"/>
  <c r="H108" i="4"/>
  <c r="G108" i="4"/>
  <c r="F108" i="4"/>
  <c r="E108" i="4"/>
  <c r="D108" i="4"/>
  <c r="C108" i="4"/>
  <c r="B108" i="4"/>
  <c r="H107" i="4"/>
  <c r="G107" i="4"/>
  <c r="F107" i="4"/>
  <c r="E107" i="4"/>
  <c r="D107" i="4"/>
  <c r="C107" i="4"/>
  <c r="B107" i="4"/>
  <c r="H106" i="4"/>
  <c r="G106" i="4"/>
  <c r="F106" i="4"/>
  <c r="E106" i="4"/>
  <c r="D106" i="4"/>
  <c r="C106" i="4"/>
  <c r="B106" i="4"/>
  <c r="H105" i="4"/>
  <c r="G105" i="4"/>
  <c r="F105" i="4"/>
  <c r="E105" i="4"/>
  <c r="D105" i="4"/>
  <c r="C105" i="4"/>
  <c r="B105" i="4"/>
  <c r="H104" i="4"/>
  <c r="G104" i="4"/>
  <c r="F104" i="4"/>
  <c r="E104" i="4"/>
  <c r="D104" i="4"/>
  <c r="C104" i="4"/>
  <c r="B104" i="4"/>
  <c r="H103" i="4"/>
  <c r="G103" i="4"/>
  <c r="F103" i="4"/>
  <c r="E103" i="4"/>
  <c r="D103" i="4"/>
  <c r="C103" i="4"/>
  <c r="B103" i="4"/>
  <c r="I102" i="4"/>
  <c r="H102" i="4"/>
  <c r="G102" i="4"/>
  <c r="F102" i="4"/>
  <c r="E102" i="4"/>
  <c r="D102" i="4"/>
  <c r="C102" i="4"/>
  <c r="B102" i="4"/>
  <c r="H101" i="4"/>
  <c r="G101" i="4"/>
  <c r="F101" i="4"/>
  <c r="E101" i="4"/>
  <c r="D101" i="4"/>
  <c r="C101" i="4"/>
  <c r="B101" i="4"/>
  <c r="H100" i="4"/>
  <c r="G100" i="4"/>
  <c r="F100" i="4"/>
  <c r="E100" i="4"/>
  <c r="D100" i="4"/>
  <c r="C100" i="4"/>
  <c r="B100" i="4"/>
  <c r="I99" i="4"/>
  <c r="H99" i="4"/>
  <c r="G99" i="4"/>
  <c r="F99" i="4"/>
  <c r="E99" i="4"/>
  <c r="D99" i="4"/>
  <c r="C99" i="4"/>
  <c r="B99" i="4"/>
  <c r="H98" i="4"/>
  <c r="G98" i="4"/>
  <c r="F98" i="4"/>
  <c r="E98" i="4"/>
  <c r="D98" i="4"/>
  <c r="C98" i="4"/>
  <c r="B98" i="4"/>
  <c r="H97" i="4"/>
  <c r="G97" i="4"/>
  <c r="F97" i="4"/>
  <c r="E97" i="4"/>
  <c r="D97" i="4"/>
  <c r="C97" i="4"/>
  <c r="B97" i="4"/>
  <c r="H96" i="4"/>
  <c r="G96" i="4"/>
  <c r="F96" i="4"/>
  <c r="E96" i="4"/>
  <c r="D96" i="4"/>
  <c r="C96" i="4"/>
  <c r="B96" i="4"/>
  <c r="H95" i="4"/>
  <c r="G95" i="4"/>
  <c r="F95" i="4"/>
  <c r="E95" i="4"/>
  <c r="D95" i="4"/>
  <c r="C95" i="4"/>
  <c r="B95" i="4"/>
  <c r="H94" i="4"/>
  <c r="G94" i="4"/>
  <c r="F94" i="4"/>
  <c r="E94" i="4"/>
  <c r="D94" i="4"/>
  <c r="C94" i="4"/>
  <c r="B94" i="4"/>
  <c r="H93" i="4"/>
  <c r="G93" i="4"/>
  <c r="F93" i="4"/>
  <c r="E93" i="4"/>
  <c r="D93" i="4"/>
  <c r="C93" i="4"/>
  <c r="B93" i="4"/>
  <c r="I92" i="4"/>
  <c r="H92" i="4"/>
  <c r="G92" i="4"/>
  <c r="F92" i="4"/>
  <c r="E92" i="4"/>
  <c r="D92" i="4"/>
  <c r="C92" i="4"/>
  <c r="B92" i="4"/>
  <c r="H91" i="4"/>
  <c r="G91" i="4"/>
  <c r="F91" i="4"/>
  <c r="E91" i="4"/>
  <c r="D91" i="4"/>
  <c r="C91" i="4"/>
  <c r="B91" i="4"/>
  <c r="I90" i="4"/>
  <c r="H90" i="4"/>
  <c r="G90" i="4"/>
  <c r="F90" i="4"/>
  <c r="E90" i="4"/>
  <c r="D90" i="4"/>
  <c r="C90" i="4"/>
  <c r="B90" i="4"/>
  <c r="H89" i="4"/>
  <c r="G89" i="4"/>
  <c r="F89" i="4"/>
  <c r="E89" i="4"/>
  <c r="D89" i="4"/>
  <c r="C89" i="4"/>
  <c r="B89" i="4"/>
  <c r="H88" i="4"/>
  <c r="G88" i="4"/>
  <c r="F88" i="4"/>
  <c r="E88" i="4"/>
  <c r="D88" i="4"/>
  <c r="C88" i="4"/>
  <c r="B88" i="4"/>
  <c r="H87" i="4"/>
  <c r="G87" i="4"/>
  <c r="F87" i="4"/>
  <c r="E87" i="4"/>
  <c r="D87" i="4"/>
  <c r="C87" i="4"/>
  <c r="B87" i="4"/>
  <c r="I86" i="4"/>
  <c r="H86" i="4"/>
  <c r="G86" i="4"/>
  <c r="F86" i="4"/>
  <c r="E86" i="4"/>
  <c r="D86" i="4"/>
  <c r="C86" i="4"/>
  <c r="B86" i="4"/>
  <c r="H85" i="4"/>
  <c r="G85" i="4"/>
  <c r="F85" i="4"/>
  <c r="E85" i="4"/>
  <c r="D85" i="4"/>
  <c r="C85" i="4"/>
  <c r="B85" i="4"/>
  <c r="H84" i="4"/>
  <c r="G84" i="4"/>
  <c r="F84" i="4"/>
  <c r="E84" i="4"/>
  <c r="D84" i="4"/>
  <c r="C84" i="4"/>
  <c r="B84" i="4"/>
  <c r="H83" i="4"/>
  <c r="G83" i="4"/>
  <c r="F83" i="4"/>
  <c r="E83" i="4"/>
  <c r="D83" i="4"/>
  <c r="C83" i="4"/>
  <c r="B83" i="4"/>
  <c r="H82" i="4"/>
  <c r="G82" i="4"/>
  <c r="F82" i="4"/>
  <c r="E82" i="4"/>
  <c r="D82" i="4"/>
  <c r="C82" i="4"/>
  <c r="B82" i="4"/>
  <c r="H81" i="4"/>
  <c r="G81" i="4"/>
  <c r="F81" i="4"/>
  <c r="E81" i="4"/>
  <c r="D81" i="4"/>
  <c r="C81" i="4"/>
  <c r="B81" i="4"/>
  <c r="H80" i="4"/>
  <c r="G80" i="4"/>
  <c r="F80" i="4"/>
  <c r="E80" i="4"/>
  <c r="D80" i="4"/>
  <c r="C80" i="4"/>
  <c r="B80" i="4"/>
  <c r="H79" i="4"/>
  <c r="G79" i="4"/>
  <c r="F79" i="4"/>
  <c r="E79" i="4"/>
  <c r="D79" i="4"/>
  <c r="C79" i="4"/>
  <c r="B79" i="4"/>
  <c r="H78" i="4"/>
  <c r="G78" i="4"/>
  <c r="F78" i="4"/>
  <c r="E78" i="4"/>
  <c r="D78" i="4"/>
  <c r="C78" i="4"/>
  <c r="B78" i="4"/>
  <c r="H77" i="4"/>
  <c r="G77" i="4"/>
  <c r="F77" i="4"/>
  <c r="E77" i="4"/>
  <c r="D77" i="4"/>
  <c r="C77" i="4"/>
  <c r="B77" i="4"/>
  <c r="I76" i="4"/>
  <c r="H76" i="4"/>
  <c r="G76" i="4"/>
  <c r="F76" i="4"/>
  <c r="E76" i="4"/>
  <c r="D76" i="4"/>
  <c r="C76" i="4"/>
  <c r="B76" i="4"/>
  <c r="I75" i="4"/>
  <c r="H75" i="4"/>
  <c r="G75" i="4"/>
  <c r="F75" i="4"/>
  <c r="E75" i="4"/>
  <c r="D75" i="4"/>
  <c r="C75" i="4"/>
  <c r="B75" i="4"/>
  <c r="I74" i="4"/>
  <c r="H74" i="4"/>
  <c r="G74" i="4"/>
  <c r="F74" i="4"/>
  <c r="E74" i="4"/>
  <c r="D74" i="4"/>
  <c r="C74" i="4"/>
  <c r="B74" i="4"/>
  <c r="I73" i="4"/>
  <c r="H73" i="4"/>
  <c r="G73" i="4"/>
  <c r="F73" i="4"/>
  <c r="E73" i="4"/>
  <c r="D73" i="4"/>
  <c r="C73" i="4"/>
  <c r="B73" i="4"/>
  <c r="I72" i="4"/>
  <c r="H72" i="4"/>
  <c r="G72" i="4"/>
  <c r="F72" i="4"/>
  <c r="E72" i="4"/>
  <c r="D72" i="4"/>
  <c r="C72" i="4"/>
  <c r="B72" i="4"/>
  <c r="I71" i="4"/>
  <c r="H71" i="4"/>
  <c r="G71" i="4"/>
  <c r="F71" i="4"/>
  <c r="E71" i="4"/>
  <c r="D71" i="4"/>
  <c r="C71" i="4"/>
  <c r="B71" i="4"/>
  <c r="H70" i="4"/>
  <c r="G70" i="4"/>
  <c r="F70" i="4"/>
  <c r="E70" i="4"/>
  <c r="D70" i="4"/>
  <c r="C70" i="4"/>
  <c r="B70" i="4"/>
  <c r="H69" i="4"/>
  <c r="G69" i="4"/>
  <c r="F69" i="4"/>
  <c r="E69" i="4"/>
  <c r="D69" i="4"/>
  <c r="C69" i="4"/>
  <c r="B69" i="4"/>
  <c r="I68" i="4"/>
  <c r="H68" i="4"/>
  <c r="G68" i="4"/>
  <c r="F68" i="4"/>
  <c r="E68" i="4"/>
  <c r="D68" i="4"/>
  <c r="C68" i="4"/>
  <c r="B68" i="4"/>
  <c r="I67" i="4"/>
  <c r="H67" i="4"/>
  <c r="G67" i="4"/>
  <c r="F67" i="4"/>
  <c r="E67" i="4"/>
  <c r="D67" i="4"/>
  <c r="C67" i="4"/>
  <c r="B67" i="4"/>
  <c r="H66" i="4"/>
  <c r="G66" i="4"/>
  <c r="F66" i="4"/>
  <c r="E66" i="4"/>
  <c r="D66" i="4"/>
  <c r="C66" i="4"/>
  <c r="B66" i="4"/>
  <c r="I65" i="4"/>
  <c r="H65" i="4"/>
  <c r="G65" i="4"/>
  <c r="F65" i="4"/>
  <c r="E65" i="4"/>
  <c r="D65" i="4"/>
  <c r="C65" i="4"/>
  <c r="B65" i="4"/>
  <c r="H64" i="4"/>
  <c r="G64" i="4"/>
  <c r="F64" i="4"/>
  <c r="E64" i="4"/>
  <c r="D64" i="4"/>
  <c r="C64" i="4"/>
  <c r="B64" i="4"/>
  <c r="H63" i="4"/>
  <c r="G63" i="4"/>
  <c r="F63" i="4"/>
  <c r="E63" i="4"/>
  <c r="D63" i="4"/>
  <c r="C63" i="4"/>
  <c r="B63" i="4"/>
  <c r="H62" i="4"/>
  <c r="G62" i="4"/>
  <c r="F62" i="4"/>
  <c r="E62" i="4"/>
  <c r="D62" i="4"/>
  <c r="C62" i="4"/>
  <c r="B62" i="4"/>
  <c r="I61" i="4"/>
  <c r="H61" i="4"/>
  <c r="G61" i="4"/>
  <c r="F61" i="4"/>
  <c r="E61" i="4"/>
  <c r="D61" i="4"/>
  <c r="C61" i="4"/>
  <c r="B61" i="4"/>
  <c r="I60" i="4"/>
  <c r="H60" i="4"/>
  <c r="G60" i="4"/>
  <c r="F60" i="4"/>
  <c r="E60" i="4"/>
  <c r="D60" i="4"/>
  <c r="C60" i="4"/>
  <c r="B60" i="4"/>
  <c r="I59" i="4"/>
  <c r="H59" i="4"/>
  <c r="G59" i="4"/>
  <c r="F59" i="4"/>
  <c r="E59" i="4"/>
  <c r="D59" i="4"/>
  <c r="C59" i="4"/>
  <c r="B59" i="4"/>
  <c r="H58" i="4"/>
  <c r="G58" i="4"/>
  <c r="F58" i="4"/>
  <c r="E58" i="4"/>
  <c r="D58" i="4"/>
  <c r="C58" i="4"/>
  <c r="B58" i="4"/>
  <c r="H57" i="4"/>
  <c r="G57" i="4"/>
  <c r="F57" i="4"/>
  <c r="E57" i="4"/>
  <c r="D57" i="4"/>
  <c r="C57" i="4"/>
  <c r="B57" i="4"/>
  <c r="I56" i="4"/>
  <c r="H56" i="4"/>
  <c r="G56" i="4"/>
  <c r="F56" i="4"/>
  <c r="E56" i="4"/>
  <c r="D56" i="4"/>
  <c r="C56" i="4"/>
  <c r="B56" i="4"/>
  <c r="H55" i="4"/>
  <c r="G55" i="4"/>
  <c r="F55" i="4"/>
  <c r="E55" i="4"/>
  <c r="D55" i="4"/>
  <c r="C55" i="4"/>
  <c r="B55" i="4"/>
  <c r="H54" i="4"/>
  <c r="G54" i="4"/>
  <c r="F54" i="4"/>
  <c r="E54" i="4"/>
  <c r="D54" i="4"/>
  <c r="C54" i="4"/>
  <c r="B54" i="4"/>
  <c r="H53" i="4"/>
  <c r="G53" i="4"/>
  <c r="F53" i="4"/>
  <c r="E53" i="4"/>
  <c r="D53" i="4"/>
  <c r="C53" i="4"/>
  <c r="B53" i="4"/>
  <c r="H52" i="4"/>
  <c r="G52" i="4"/>
  <c r="F52" i="4"/>
  <c r="E52" i="4"/>
  <c r="D52" i="4"/>
  <c r="C52" i="4"/>
  <c r="B52" i="4"/>
  <c r="H51" i="4"/>
  <c r="G51" i="4"/>
  <c r="F51" i="4"/>
  <c r="E51" i="4"/>
  <c r="D51" i="4"/>
  <c r="C51" i="4"/>
  <c r="B51" i="4"/>
  <c r="I50" i="4"/>
  <c r="H50" i="4"/>
  <c r="G50" i="4"/>
  <c r="F50" i="4"/>
  <c r="E50" i="4"/>
  <c r="D50" i="4"/>
  <c r="C50" i="4"/>
  <c r="B50" i="4"/>
  <c r="I49" i="4"/>
  <c r="H49" i="4"/>
  <c r="G49" i="4"/>
  <c r="F49" i="4"/>
  <c r="E49" i="4"/>
  <c r="D49" i="4"/>
  <c r="C49" i="4"/>
  <c r="B49" i="4"/>
  <c r="H48" i="4"/>
  <c r="G48" i="4"/>
  <c r="F48" i="4"/>
  <c r="E48" i="4"/>
  <c r="D48" i="4"/>
  <c r="C48" i="4"/>
  <c r="B48" i="4"/>
  <c r="H47" i="4"/>
  <c r="G47" i="4"/>
  <c r="F47" i="4"/>
  <c r="E47" i="4"/>
  <c r="D47" i="4"/>
  <c r="C47" i="4"/>
  <c r="B47" i="4"/>
  <c r="H46" i="4"/>
  <c r="G46" i="4"/>
  <c r="F46" i="4"/>
  <c r="E46" i="4"/>
  <c r="D46" i="4"/>
  <c r="C46" i="4"/>
  <c r="B46" i="4"/>
  <c r="I45" i="4"/>
  <c r="H45" i="4"/>
  <c r="G45" i="4"/>
  <c r="F45" i="4"/>
  <c r="E45" i="4"/>
  <c r="D45" i="4"/>
  <c r="C45" i="4"/>
  <c r="B45" i="4"/>
  <c r="H44" i="4"/>
  <c r="G44" i="4"/>
  <c r="F44" i="4"/>
  <c r="E44" i="4"/>
  <c r="D44" i="4"/>
  <c r="C44" i="4"/>
  <c r="B44" i="4"/>
  <c r="H43" i="4"/>
  <c r="G43" i="4"/>
  <c r="F43" i="4"/>
  <c r="E43" i="4"/>
  <c r="D43" i="4"/>
  <c r="C43" i="4"/>
  <c r="B43" i="4"/>
  <c r="H42" i="4"/>
  <c r="G42" i="4"/>
  <c r="F42" i="4"/>
  <c r="E42" i="4"/>
  <c r="D42" i="4"/>
  <c r="C42" i="4"/>
  <c r="B42" i="4"/>
  <c r="H41" i="4"/>
  <c r="G41" i="4"/>
  <c r="F41" i="4"/>
  <c r="E41" i="4"/>
  <c r="D41" i="4"/>
  <c r="C41" i="4"/>
  <c r="B41" i="4"/>
  <c r="H40" i="4"/>
  <c r="G40" i="4"/>
  <c r="F40" i="4"/>
  <c r="E40" i="4"/>
  <c r="D40" i="4"/>
  <c r="C40" i="4"/>
  <c r="B40" i="4"/>
  <c r="H39" i="4"/>
  <c r="G39" i="4"/>
  <c r="F39" i="4"/>
  <c r="E39" i="4"/>
  <c r="D39" i="4"/>
  <c r="C39" i="4"/>
  <c r="B39" i="4"/>
  <c r="H38" i="4"/>
  <c r="G38" i="4"/>
  <c r="F38" i="4"/>
  <c r="E38" i="4"/>
  <c r="D38" i="4"/>
  <c r="C38" i="4"/>
  <c r="B38" i="4"/>
  <c r="H37" i="4"/>
  <c r="G37" i="4"/>
  <c r="F37" i="4"/>
  <c r="E37" i="4"/>
  <c r="D37" i="4"/>
  <c r="C37" i="4"/>
  <c r="B37" i="4"/>
  <c r="H36" i="4"/>
  <c r="G36" i="4"/>
  <c r="F36" i="4"/>
  <c r="E36" i="4"/>
  <c r="D36" i="4"/>
  <c r="C36" i="4"/>
  <c r="B36" i="4"/>
  <c r="I35" i="4"/>
  <c r="H35" i="4"/>
  <c r="G35" i="4"/>
  <c r="F35" i="4"/>
  <c r="E35" i="4"/>
  <c r="D35" i="4"/>
  <c r="C35" i="4"/>
  <c r="B35" i="4"/>
  <c r="H34" i="4"/>
  <c r="G34" i="4"/>
  <c r="F34" i="4"/>
  <c r="E34" i="4"/>
  <c r="D34" i="4"/>
  <c r="C34" i="4"/>
  <c r="B34" i="4"/>
  <c r="H33" i="4"/>
  <c r="G33" i="4"/>
  <c r="F33" i="4"/>
  <c r="E33" i="4"/>
  <c r="D33" i="4"/>
  <c r="C33" i="4"/>
  <c r="B33" i="4"/>
  <c r="H32" i="4"/>
  <c r="G32" i="4"/>
  <c r="F32" i="4"/>
  <c r="E32" i="4"/>
  <c r="D32" i="4"/>
  <c r="C32" i="4"/>
  <c r="B32" i="4"/>
  <c r="H31" i="4"/>
  <c r="G31" i="4"/>
  <c r="F31" i="4"/>
  <c r="E31" i="4"/>
  <c r="D31" i="4"/>
  <c r="C31" i="4"/>
  <c r="B31" i="4"/>
  <c r="I30" i="4"/>
  <c r="H30" i="4"/>
  <c r="G30" i="4"/>
  <c r="F30" i="4"/>
  <c r="E30" i="4"/>
  <c r="D30" i="4"/>
  <c r="C30" i="4"/>
  <c r="B30" i="4"/>
  <c r="I29" i="4"/>
  <c r="H29" i="4"/>
  <c r="G29" i="4"/>
  <c r="F29" i="4"/>
  <c r="E29" i="4"/>
  <c r="D29" i="4"/>
  <c r="C29" i="4"/>
  <c r="B29" i="4"/>
  <c r="H28" i="4"/>
  <c r="G28" i="4"/>
  <c r="F28" i="4"/>
  <c r="E28" i="4"/>
  <c r="D28" i="4"/>
  <c r="C28" i="4"/>
  <c r="B28" i="4"/>
  <c r="H27" i="4"/>
  <c r="G27" i="4"/>
  <c r="F27" i="4"/>
  <c r="E27" i="4"/>
  <c r="D27" i="4"/>
  <c r="C27" i="4"/>
  <c r="B27" i="4"/>
  <c r="I26" i="4"/>
  <c r="H26" i="4"/>
  <c r="G26" i="4"/>
  <c r="F26" i="4"/>
  <c r="E26" i="4"/>
  <c r="D26" i="4"/>
  <c r="C26" i="4"/>
  <c r="B26" i="4"/>
  <c r="H25" i="4"/>
  <c r="G25" i="4"/>
  <c r="F25" i="4"/>
  <c r="E25" i="4"/>
  <c r="D25" i="4"/>
  <c r="C25" i="4"/>
  <c r="B25" i="4"/>
  <c r="H24" i="4"/>
  <c r="G24" i="4"/>
  <c r="F24" i="4"/>
  <c r="E24" i="4"/>
  <c r="D24" i="4"/>
  <c r="C24" i="4"/>
  <c r="B24" i="4"/>
  <c r="H23" i="4"/>
  <c r="G23" i="4"/>
  <c r="F23" i="4"/>
  <c r="E23" i="4"/>
  <c r="D23" i="4"/>
  <c r="C23" i="4"/>
  <c r="B23" i="4"/>
  <c r="H22" i="4"/>
  <c r="G22" i="4"/>
  <c r="F22" i="4"/>
  <c r="E22" i="4"/>
  <c r="D22" i="4"/>
  <c r="C22" i="4"/>
  <c r="B22" i="4"/>
  <c r="H21" i="4"/>
  <c r="G21" i="4"/>
  <c r="F21" i="4"/>
  <c r="E21" i="4"/>
  <c r="D21" i="4"/>
  <c r="C21" i="4"/>
  <c r="B21" i="4"/>
  <c r="H20" i="4"/>
  <c r="G20" i="4"/>
  <c r="F20" i="4"/>
  <c r="E20" i="4"/>
  <c r="D20" i="4"/>
  <c r="C20" i="4"/>
  <c r="B20" i="4"/>
  <c r="H19" i="4"/>
  <c r="G19" i="4"/>
  <c r="F19" i="4"/>
  <c r="E19" i="4"/>
  <c r="D19" i="4"/>
  <c r="C19" i="4"/>
  <c r="B19" i="4"/>
  <c r="H18" i="4"/>
  <c r="G18" i="4"/>
  <c r="F18" i="4"/>
  <c r="E18" i="4"/>
  <c r="D18" i="4"/>
  <c r="C18" i="4"/>
  <c r="B18" i="4"/>
  <c r="H17" i="4"/>
  <c r="G17" i="4"/>
  <c r="F17" i="4"/>
  <c r="E17" i="4"/>
  <c r="D17" i="4"/>
  <c r="C17" i="4"/>
  <c r="B17" i="4"/>
  <c r="I16" i="4"/>
  <c r="H16" i="4"/>
  <c r="G16" i="4"/>
  <c r="F16" i="4"/>
  <c r="E16" i="4"/>
  <c r="D16" i="4"/>
  <c r="C16" i="4"/>
  <c r="B16" i="4"/>
  <c r="H15" i="4"/>
  <c r="G15" i="4"/>
  <c r="F15" i="4"/>
  <c r="E15" i="4"/>
  <c r="D15" i="4"/>
  <c r="C15" i="4"/>
  <c r="B15" i="4"/>
  <c r="H14" i="4"/>
  <c r="G14" i="4"/>
  <c r="F14" i="4"/>
  <c r="E14" i="4"/>
  <c r="D14" i="4"/>
  <c r="C14" i="4"/>
  <c r="B14" i="4"/>
  <c r="I13" i="4"/>
  <c r="H13" i="4"/>
  <c r="G13" i="4"/>
  <c r="F13" i="4"/>
  <c r="E13" i="4"/>
  <c r="D13" i="4"/>
  <c r="C13" i="4"/>
  <c r="B13" i="4"/>
  <c r="I12" i="4"/>
  <c r="H12" i="4"/>
  <c r="G12" i="4"/>
  <c r="F12" i="4"/>
  <c r="E12" i="4"/>
  <c r="D12" i="4"/>
  <c r="C12" i="4"/>
  <c r="B12" i="4"/>
  <c r="G11" i="4"/>
  <c r="F11" i="4"/>
  <c r="E11" i="4"/>
  <c r="D11" i="4"/>
  <c r="C11" i="4"/>
  <c r="B11" i="4"/>
  <c r="G10" i="4"/>
  <c r="F10" i="4"/>
  <c r="E10" i="4"/>
  <c r="D10" i="4"/>
  <c r="B10" i="4"/>
  <c r="G9" i="4"/>
  <c r="F9" i="4"/>
  <c r="E9" i="4"/>
  <c r="D9" i="4"/>
  <c r="B9" i="4"/>
  <c r="H8" i="4"/>
  <c r="F8" i="4"/>
  <c r="D8" i="4"/>
  <c r="C8" i="4"/>
  <c r="D7" i="4"/>
  <c r="I5" i="4"/>
  <c r="H5" i="4"/>
  <c r="G5" i="4"/>
  <c r="F5" i="4"/>
  <c r="E5" i="4"/>
  <c r="D5" i="4"/>
  <c r="C5" i="4"/>
  <c r="B5" i="4"/>
  <c r="L1" i="4"/>
  <c r="B1" i="4"/>
  <c r="A1" i="4"/>
  <c r="H765" i="3"/>
  <c r="G765" i="3"/>
  <c r="A765" i="3"/>
  <c r="H764" i="3"/>
  <c r="G764" i="3"/>
  <c r="F764" i="3"/>
  <c r="E764" i="3"/>
  <c r="D764" i="3"/>
  <c r="C764" i="3"/>
  <c r="B764" i="3"/>
  <c r="A764" i="3"/>
  <c r="H763" i="3"/>
  <c r="G763" i="3"/>
  <c r="A763" i="3"/>
  <c r="H762" i="3"/>
  <c r="G762" i="3"/>
  <c r="F762" i="3"/>
  <c r="E762" i="3"/>
  <c r="D762" i="3"/>
  <c r="C762" i="3"/>
  <c r="B762" i="3"/>
  <c r="A762" i="3"/>
  <c r="H761" i="3"/>
  <c r="G761" i="3"/>
  <c r="F761" i="3"/>
  <c r="E761" i="3"/>
  <c r="D761" i="3"/>
  <c r="C761" i="3"/>
  <c r="B761" i="3"/>
  <c r="A761" i="3"/>
  <c r="H760" i="3"/>
  <c r="G760" i="3"/>
  <c r="F760" i="3"/>
  <c r="E760" i="3"/>
  <c r="D760" i="3"/>
  <c r="C760" i="3"/>
  <c r="B760" i="3"/>
  <c r="A760" i="3"/>
  <c r="H759" i="3"/>
  <c r="G759" i="3"/>
  <c r="F759" i="3"/>
  <c r="E759" i="3"/>
  <c r="D759" i="3"/>
  <c r="C759" i="3"/>
  <c r="B759" i="3"/>
  <c r="A759" i="3"/>
  <c r="H758" i="3"/>
  <c r="G758" i="3"/>
  <c r="F758" i="3"/>
  <c r="E758" i="3"/>
  <c r="D758" i="3"/>
  <c r="C758" i="3"/>
  <c r="B758" i="3"/>
  <c r="A758" i="3"/>
  <c r="H757" i="3"/>
  <c r="G757" i="3"/>
  <c r="F757" i="3"/>
  <c r="E757" i="3"/>
  <c r="D757" i="3"/>
  <c r="C757" i="3"/>
  <c r="B757" i="3"/>
  <c r="A757" i="3"/>
  <c r="H756" i="3"/>
  <c r="G756" i="3"/>
  <c r="F756" i="3"/>
  <c r="E756" i="3"/>
  <c r="D756" i="3"/>
  <c r="C756" i="3"/>
  <c r="B756" i="3"/>
  <c r="A756" i="3"/>
  <c r="H755" i="3"/>
  <c r="G755" i="3"/>
  <c r="A755" i="3"/>
  <c r="H754" i="3"/>
  <c r="G754" i="3"/>
  <c r="F754" i="3"/>
  <c r="E754" i="3"/>
  <c r="D754" i="3"/>
  <c r="C754" i="3"/>
  <c r="B754" i="3"/>
  <c r="A754" i="3"/>
  <c r="H753" i="3"/>
  <c r="G753" i="3"/>
  <c r="F753" i="3"/>
  <c r="E753" i="3"/>
  <c r="D753" i="3"/>
  <c r="C753" i="3"/>
  <c r="B753" i="3"/>
  <c r="A753" i="3"/>
  <c r="H752" i="3"/>
  <c r="G752" i="3"/>
  <c r="A752" i="3"/>
  <c r="H751" i="3"/>
  <c r="G751" i="3"/>
  <c r="F751" i="3"/>
  <c r="E751" i="3"/>
  <c r="D751" i="3"/>
  <c r="C751" i="3"/>
  <c r="B751" i="3"/>
  <c r="A751" i="3"/>
  <c r="H750" i="3"/>
  <c r="G750" i="3"/>
  <c r="F750" i="3"/>
  <c r="E750" i="3"/>
  <c r="D750" i="3"/>
  <c r="C750" i="3"/>
  <c r="B750" i="3"/>
  <c r="A750" i="3"/>
  <c r="H749" i="3"/>
  <c r="G749" i="3"/>
  <c r="F749" i="3"/>
  <c r="E749" i="3"/>
  <c r="D749" i="3"/>
  <c r="C749" i="3"/>
  <c r="B749" i="3"/>
  <c r="A749" i="3"/>
  <c r="J748" i="3"/>
  <c r="I748" i="3"/>
  <c r="H748" i="3"/>
  <c r="G748" i="3"/>
  <c r="F748" i="3"/>
  <c r="E748" i="3"/>
  <c r="D748" i="3"/>
  <c r="C748" i="3"/>
  <c r="B748" i="3"/>
  <c r="A748" i="3"/>
  <c r="J747" i="3"/>
  <c r="I747" i="3"/>
  <c r="H747" i="3"/>
  <c r="G747" i="3"/>
  <c r="F747" i="3"/>
  <c r="E747" i="3"/>
  <c r="D747" i="3"/>
  <c r="C747" i="3"/>
  <c r="B747" i="3"/>
  <c r="A747" i="3"/>
  <c r="J746" i="3"/>
  <c r="I746" i="3"/>
  <c r="H746" i="3"/>
  <c r="G746" i="3"/>
  <c r="F746" i="3"/>
  <c r="E746" i="3"/>
  <c r="D746" i="3"/>
  <c r="C746" i="3"/>
  <c r="B746" i="3"/>
  <c r="A746" i="3"/>
  <c r="J745" i="3"/>
  <c r="I745" i="3"/>
  <c r="H745" i="3"/>
  <c r="G745" i="3"/>
  <c r="F745" i="3"/>
  <c r="E745" i="3"/>
  <c r="D745" i="3"/>
  <c r="C745" i="3"/>
  <c r="B745" i="3"/>
  <c r="A745" i="3"/>
  <c r="J744" i="3"/>
  <c r="I744" i="3"/>
  <c r="H744" i="3"/>
  <c r="G744" i="3"/>
  <c r="F744" i="3"/>
  <c r="E744" i="3"/>
  <c r="D744" i="3"/>
  <c r="C744" i="3"/>
  <c r="B744" i="3"/>
  <c r="A744" i="3"/>
  <c r="J743" i="3"/>
  <c r="I743" i="3"/>
  <c r="H743" i="3"/>
  <c r="G743" i="3"/>
  <c r="F743" i="3"/>
  <c r="E743" i="3"/>
  <c r="D743" i="3"/>
  <c r="C743" i="3"/>
  <c r="B743" i="3"/>
  <c r="A743" i="3"/>
  <c r="J742" i="3"/>
  <c r="I742" i="3"/>
  <c r="H742" i="3"/>
  <c r="G742" i="3"/>
  <c r="F742" i="3"/>
  <c r="E742" i="3"/>
  <c r="D742" i="3"/>
  <c r="C742" i="3"/>
  <c r="B742" i="3"/>
  <c r="A742" i="3"/>
  <c r="J741" i="3"/>
  <c r="I741" i="3"/>
  <c r="H741" i="3"/>
  <c r="G741" i="3"/>
  <c r="F741" i="3"/>
  <c r="E741" i="3"/>
  <c r="D741" i="3"/>
  <c r="C741" i="3"/>
  <c r="B741" i="3"/>
  <c r="A741" i="3"/>
  <c r="J740" i="3"/>
  <c r="I740" i="3"/>
  <c r="H740" i="3"/>
  <c r="G740" i="3"/>
  <c r="F740" i="3"/>
  <c r="E740" i="3"/>
  <c r="D740" i="3"/>
  <c r="C740" i="3"/>
  <c r="B740" i="3"/>
  <c r="A740" i="3"/>
  <c r="J739" i="3"/>
  <c r="I739" i="3"/>
  <c r="H739" i="3"/>
  <c r="G739" i="3"/>
  <c r="A739" i="3"/>
  <c r="J738" i="3"/>
  <c r="I738" i="3"/>
  <c r="H738" i="3"/>
  <c r="G738" i="3"/>
  <c r="F738" i="3"/>
  <c r="E738" i="3"/>
  <c r="D738" i="3"/>
  <c r="C738" i="3"/>
  <c r="B738" i="3"/>
  <c r="A738" i="3"/>
  <c r="J737" i="3"/>
  <c r="I737" i="3"/>
  <c r="H737" i="3"/>
  <c r="G737" i="3"/>
  <c r="A737" i="3"/>
  <c r="J736" i="3"/>
  <c r="I736" i="3"/>
  <c r="H736" i="3"/>
  <c r="G736" i="3"/>
  <c r="F736" i="3"/>
  <c r="E736" i="3"/>
  <c r="D736" i="3"/>
  <c r="C736" i="3"/>
  <c r="B736" i="3"/>
  <c r="A736" i="3"/>
  <c r="J735" i="3"/>
  <c r="I735" i="3"/>
  <c r="H735" i="3"/>
  <c r="G735" i="3"/>
  <c r="F735" i="3"/>
  <c r="E735" i="3"/>
  <c r="D735" i="3"/>
  <c r="C735" i="3"/>
  <c r="B735" i="3"/>
  <c r="A735" i="3"/>
  <c r="J734" i="3"/>
  <c r="I734" i="3"/>
  <c r="H734" i="3"/>
  <c r="G734" i="3"/>
  <c r="F734" i="3"/>
  <c r="E734" i="3"/>
  <c r="D734" i="3"/>
  <c r="C734" i="3"/>
  <c r="B734" i="3"/>
  <c r="A734" i="3"/>
  <c r="J733" i="3"/>
  <c r="I733" i="3"/>
  <c r="H733" i="3"/>
  <c r="G733" i="3"/>
  <c r="F733" i="3"/>
  <c r="E733" i="3"/>
  <c r="D733" i="3"/>
  <c r="C733" i="3"/>
  <c r="B733" i="3"/>
  <c r="A733" i="3"/>
  <c r="J732" i="3"/>
  <c r="I732" i="3"/>
  <c r="H732" i="3"/>
  <c r="G732" i="3"/>
  <c r="F732" i="3"/>
  <c r="E732" i="3"/>
  <c r="D732" i="3"/>
  <c r="C732" i="3"/>
  <c r="B732" i="3"/>
  <c r="A732" i="3"/>
  <c r="J731" i="3"/>
  <c r="I731" i="3"/>
  <c r="H731" i="3"/>
  <c r="G731" i="3"/>
  <c r="F731" i="3"/>
  <c r="E731" i="3"/>
  <c r="D731" i="3"/>
  <c r="C731" i="3"/>
  <c r="B731" i="3"/>
  <c r="A731" i="3"/>
  <c r="J730" i="3"/>
  <c r="I730" i="3"/>
  <c r="H730" i="3"/>
  <c r="G730" i="3"/>
  <c r="F730" i="3"/>
  <c r="E730" i="3"/>
  <c r="D730" i="3"/>
  <c r="C730" i="3"/>
  <c r="B730" i="3"/>
  <c r="A730" i="3"/>
  <c r="J729" i="3"/>
  <c r="I729" i="3"/>
  <c r="H729" i="3"/>
  <c r="G729" i="3"/>
  <c r="A729" i="3"/>
  <c r="J728" i="3"/>
  <c r="I728" i="3"/>
  <c r="H728" i="3"/>
  <c r="G728" i="3"/>
  <c r="F728" i="3"/>
  <c r="E728" i="3"/>
  <c r="D728" i="3"/>
  <c r="C728" i="3"/>
  <c r="B728" i="3"/>
  <c r="A728" i="3"/>
  <c r="J727" i="3"/>
  <c r="I727" i="3"/>
  <c r="H727" i="3"/>
  <c r="G727" i="3"/>
  <c r="F727" i="3"/>
  <c r="E727" i="3"/>
  <c r="D727" i="3"/>
  <c r="C727" i="3"/>
  <c r="B727" i="3"/>
  <c r="A727" i="3"/>
  <c r="J726" i="3"/>
  <c r="I726" i="3"/>
  <c r="H726" i="3"/>
  <c r="G726" i="3"/>
  <c r="F726" i="3"/>
  <c r="E726" i="3"/>
  <c r="D726" i="3"/>
  <c r="C726" i="3"/>
  <c r="B726" i="3"/>
  <c r="A726" i="3"/>
  <c r="J725" i="3"/>
  <c r="I725" i="3"/>
  <c r="H725" i="3"/>
  <c r="G725" i="3"/>
  <c r="A725" i="3"/>
  <c r="J724" i="3"/>
  <c r="I724" i="3"/>
  <c r="H724" i="3"/>
  <c r="G724" i="3"/>
  <c r="F724" i="3"/>
  <c r="E724" i="3"/>
  <c r="D724" i="3"/>
  <c r="C724" i="3"/>
  <c r="B724" i="3"/>
  <c r="A724" i="3"/>
  <c r="J723" i="3"/>
  <c r="I723" i="3"/>
  <c r="H723" i="3"/>
  <c r="G723" i="3"/>
  <c r="A723" i="3"/>
  <c r="J722" i="3"/>
  <c r="I722" i="3"/>
  <c r="H722" i="3"/>
  <c r="G722" i="3"/>
  <c r="F722" i="3"/>
  <c r="E722" i="3"/>
  <c r="D722" i="3"/>
  <c r="C722" i="3"/>
  <c r="B722" i="3"/>
  <c r="A722" i="3"/>
  <c r="J721" i="3"/>
  <c r="I721" i="3"/>
  <c r="H721" i="3"/>
  <c r="G721" i="3"/>
  <c r="F721" i="3"/>
  <c r="E721" i="3"/>
  <c r="D721" i="3"/>
  <c r="C721" i="3"/>
  <c r="B721" i="3"/>
  <c r="A721" i="3"/>
  <c r="J720" i="3"/>
  <c r="I720" i="3"/>
  <c r="H720" i="3"/>
  <c r="G720" i="3"/>
  <c r="F720" i="3"/>
  <c r="E720" i="3"/>
  <c r="D720" i="3"/>
  <c r="C720" i="3"/>
  <c r="B720" i="3"/>
  <c r="A720" i="3"/>
  <c r="J719" i="3"/>
  <c r="I719" i="3"/>
  <c r="H719" i="3"/>
  <c r="G719" i="3"/>
  <c r="F719" i="3"/>
  <c r="E719" i="3"/>
  <c r="D719" i="3"/>
  <c r="C719" i="3"/>
  <c r="B719" i="3"/>
  <c r="A719" i="3"/>
  <c r="J718" i="3"/>
  <c r="I718" i="3"/>
  <c r="H718" i="3"/>
  <c r="G718" i="3"/>
  <c r="F718" i="3"/>
  <c r="E718" i="3"/>
  <c r="D718" i="3"/>
  <c r="C718" i="3"/>
  <c r="B718" i="3"/>
  <c r="A718" i="3"/>
  <c r="J717" i="3"/>
  <c r="I717" i="3"/>
  <c r="H717" i="3"/>
  <c r="G717" i="3"/>
  <c r="F717" i="3"/>
  <c r="E717" i="3"/>
  <c r="D717" i="3"/>
  <c r="C717" i="3"/>
  <c r="B717" i="3"/>
  <c r="A717" i="3"/>
  <c r="J716" i="3"/>
  <c r="I716" i="3"/>
  <c r="H716" i="3"/>
  <c r="G716" i="3"/>
  <c r="F716" i="3"/>
  <c r="E716" i="3"/>
  <c r="D716" i="3"/>
  <c r="C716" i="3"/>
  <c r="B716" i="3"/>
  <c r="A716" i="3"/>
  <c r="J715" i="3"/>
  <c r="I715" i="3"/>
  <c r="H715" i="3"/>
  <c r="G715" i="3"/>
  <c r="F715" i="3"/>
  <c r="E715" i="3"/>
  <c r="D715" i="3"/>
  <c r="C715" i="3"/>
  <c r="B715" i="3"/>
  <c r="A715" i="3"/>
  <c r="J714" i="3"/>
  <c r="I714" i="3"/>
  <c r="H714" i="3"/>
  <c r="G714" i="3"/>
  <c r="F714" i="3"/>
  <c r="E714" i="3"/>
  <c r="D714" i="3"/>
  <c r="C714" i="3"/>
  <c r="B714" i="3"/>
  <c r="A714" i="3"/>
  <c r="J713" i="3"/>
  <c r="I713" i="3"/>
  <c r="H713" i="3"/>
  <c r="G713" i="3"/>
  <c r="F713" i="3"/>
  <c r="E713" i="3"/>
  <c r="D713" i="3"/>
  <c r="C713" i="3"/>
  <c r="B713" i="3"/>
  <c r="A713" i="3"/>
  <c r="J712" i="3"/>
  <c r="I712" i="3"/>
  <c r="H712" i="3"/>
  <c r="G712" i="3"/>
  <c r="F712" i="3"/>
  <c r="E712" i="3"/>
  <c r="D712" i="3"/>
  <c r="C712" i="3"/>
  <c r="B712" i="3"/>
  <c r="A712" i="3"/>
  <c r="J711" i="3"/>
  <c r="I711" i="3"/>
  <c r="H711" i="3"/>
  <c r="G711" i="3"/>
  <c r="F711" i="3"/>
  <c r="E711" i="3"/>
  <c r="D711" i="3"/>
  <c r="C711" i="3"/>
  <c r="B711" i="3"/>
  <c r="A711" i="3"/>
  <c r="J710" i="3"/>
  <c r="I710" i="3"/>
  <c r="H710" i="3"/>
  <c r="G710" i="3"/>
  <c r="F710" i="3"/>
  <c r="E710" i="3"/>
  <c r="D710" i="3"/>
  <c r="C710" i="3"/>
  <c r="B710" i="3"/>
  <c r="A710" i="3"/>
  <c r="J709" i="3"/>
  <c r="I709" i="3"/>
  <c r="H709" i="3"/>
  <c r="G709" i="3"/>
  <c r="F709" i="3"/>
  <c r="E709" i="3"/>
  <c r="D709" i="3"/>
  <c r="C709" i="3"/>
  <c r="B709" i="3"/>
  <c r="A709" i="3"/>
  <c r="J708" i="3"/>
  <c r="I708" i="3"/>
  <c r="H708" i="3"/>
  <c r="G708" i="3"/>
  <c r="F708" i="3"/>
  <c r="E708" i="3"/>
  <c r="D708" i="3"/>
  <c r="C708" i="3"/>
  <c r="B708" i="3"/>
  <c r="A708" i="3"/>
  <c r="J707" i="3"/>
  <c r="I707" i="3"/>
  <c r="H707" i="3"/>
  <c r="G707" i="3"/>
  <c r="F707" i="3"/>
  <c r="E707" i="3"/>
  <c r="D707" i="3"/>
  <c r="C707" i="3"/>
  <c r="B707" i="3"/>
  <c r="A707" i="3"/>
  <c r="J706" i="3"/>
  <c r="I706" i="3"/>
  <c r="H706" i="3"/>
  <c r="G706" i="3"/>
  <c r="F706" i="3"/>
  <c r="E706" i="3"/>
  <c r="D706" i="3"/>
  <c r="C706" i="3"/>
  <c r="B706" i="3"/>
  <c r="A706" i="3"/>
  <c r="J705" i="3"/>
  <c r="I705" i="3"/>
  <c r="H705" i="3"/>
  <c r="G705" i="3"/>
  <c r="F705" i="3"/>
  <c r="E705" i="3"/>
  <c r="D705" i="3"/>
  <c r="C705" i="3"/>
  <c r="B705" i="3"/>
  <c r="A705" i="3"/>
  <c r="J704" i="3"/>
  <c r="I704" i="3"/>
  <c r="H704" i="3"/>
  <c r="G704" i="3"/>
  <c r="F704" i="3"/>
  <c r="E704" i="3"/>
  <c r="D704" i="3"/>
  <c r="C704" i="3"/>
  <c r="B704" i="3"/>
  <c r="A704" i="3"/>
  <c r="J703" i="3"/>
  <c r="I703" i="3"/>
  <c r="H703" i="3"/>
  <c r="G703" i="3"/>
  <c r="F703" i="3"/>
  <c r="E703" i="3"/>
  <c r="D703" i="3"/>
  <c r="C703" i="3"/>
  <c r="B703" i="3"/>
  <c r="A703" i="3"/>
  <c r="J702" i="3"/>
  <c r="I702" i="3"/>
  <c r="H702" i="3"/>
  <c r="G702" i="3"/>
  <c r="F702" i="3"/>
  <c r="E702" i="3"/>
  <c r="D702" i="3"/>
  <c r="C702" i="3"/>
  <c r="B702" i="3"/>
  <c r="A702" i="3"/>
  <c r="J701" i="3"/>
  <c r="I701" i="3"/>
  <c r="H701" i="3"/>
  <c r="G701" i="3"/>
  <c r="F701" i="3"/>
  <c r="E701" i="3"/>
  <c r="D701" i="3"/>
  <c r="C701" i="3"/>
  <c r="B701" i="3"/>
  <c r="A701" i="3"/>
  <c r="J700" i="3"/>
  <c r="I700" i="3"/>
  <c r="H700" i="3"/>
  <c r="G700" i="3"/>
  <c r="F700" i="3"/>
  <c r="E700" i="3"/>
  <c r="D700" i="3"/>
  <c r="C700" i="3"/>
  <c r="B700" i="3"/>
  <c r="A700" i="3"/>
  <c r="J699" i="3"/>
  <c r="I699" i="3"/>
  <c r="H699" i="3"/>
  <c r="G699" i="3"/>
  <c r="F699" i="3"/>
  <c r="E699" i="3"/>
  <c r="D699" i="3"/>
  <c r="C699" i="3"/>
  <c r="B699" i="3"/>
  <c r="A699" i="3"/>
  <c r="J698" i="3"/>
  <c r="I698" i="3"/>
  <c r="H698" i="3"/>
  <c r="G698" i="3"/>
  <c r="F698" i="3"/>
  <c r="E698" i="3"/>
  <c r="D698" i="3"/>
  <c r="C698" i="3"/>
  <c r="B698" i="3"/>
  <c r="A698" i="3"/>
  <c r="J697" i="3"/>
  <c r="I697" i="3"/>
  <c r="H697" i="3"/>
  <c r="G697" i="3"/>
  <c r="F697" i="3"/>
  <c r="E697" i="3"/>
  <c r="D697" i="3"/>
  <c r="C697" i="3"/>
  <c r="B697" i="3"/>
  <c r="A697" i="3"/>
  <c r="J696" i="3"/>
  <c r="I696" i="3"/>
  <c r="H696" i="3"/>
  <c r="G696" i="3"/>
  <c r="F696" i="3"/>
  <c r="E696" i="3"/>
  <c r="D696" i="3"/>
  <c r="C696" i="3"/>
  <c r="B696" i="3"/>
  <c r="A696" i="3"/>
  <c r="J695" i="3"/>
  <c r="I695" i="3"/>
  <c r="H695" i="3"/>
  <c r="G695" i="3"/>
  <c r="F695" i="3"/>
  <c r="E695" i="3"/>
  <c r="D695" i="3"/>
  <c r="C695" i="3"/>
  <c r="B695" i="3"/>
  <c r="A695" i="3"/>
  <c r="J694" i="3"/>
  <c r="I694" i="3"/>
  <c r="H694" i="3"/>
  <c r="G694" i="3"/>
  <c r="F694" i="3"/>
  <c r="E694" i="3"/>
  <c r="D694" i="3"/>
  <c r="C694" i="3"/>
  <c r="B694" i="3"/>
  <c r="A694" i="3"/>
  <c r="J693" i="3"/>
  <c r="I693" i="3"/>
  <c r="H693" i="3"/>
  <c r="G693" i="3"/>
  <c r="F693" i="3"/>
  <c r="E693" i="3"/>
  <c r="D693" i="3"/>
  <c r="C693" i="3"/>
  <c r="B693" i="3"/>
  <c r="A693" i="3"/>
  <c r="J692" i="3"/>
  <c r="I692" i="3"/>
  <c r="H692" i="3"/>
  <c r="G692" i="3"/>
  <c r="F692" i="3"/>
  <c r="E692" i="3"/>
  <c r="D692" i="3"/>
  <c r="C692" i="3"/>
  <c r="B692" i="3"/>
  <c r="A692" i="3"/>
  <c r="J691" i="3"/>
  <c r="I691" i="3"/>
  <c r="H691" i="3"/>
  <c r="G691" i="3"/>
  <c r="F691" i="3"/>
  <c r="E691" i="3"/>
  <c r="D691" i="3"/>
  <c r="C691" i="3"/>
  <c r="B691" i="3"/>
  <c r="A691" i="3"/>
  <c r="J690" i="3"/>
  <c r="I690" i="3"/>
  <c r="H690" i="3"/>
  <c r="G690" i="3"/>
  <c r="F690" i="3"/>
  <c r="E690" i="3"/>
  <c r="D690" i="3"/>
  <c r="C690" i="3"/>
  <c r="B690" i="3"/>
  <c r="A690" i="3"/>
  <c r="J689" i="3"/>
  <c r="I689" i="3"/>
  <c r="H689" i="3"/>
  <c r="G689" i="3"/>
  <c r="F689" i="3"/>
  <c r="E689" i="3"/>
  <c r="D689" i="3"/>
  <c r="C689" i="3"/>
  <c r="B689" i="3"/>
  <c r="A689" i="3"/>
  <c r="J688" i="3"/>
  <c r="I688" i="3"/>
  <c r="H688" i="3"/>
  <c r="G688" i="3"/>
  <c r="F688" i="3"/>
  <c r="E688" i="3"/>
  <c r="D688" i="3"/>
  <c r="C688" i="3"/>
  <c r="B688" i="3"/>
  <c r="A688" i="3"/>
  <c r="J687" i="3"/>
  <c r="I687" i="3"/>
  <c r="H687" i="3"/>
  <c r="G687" i="3"/>
  <c r="F687" i="3"/>
  <c r="E687" i="3"/>
  <c r="D687" i="3"/>
  <c r="C687" i="3"/>
  <c r="B687" i="3"/>
  <c r="A687" i="3"/>
  <c r="J686" i="3"/>
  <c r="I686" i="3"/>
  <c r="H686" i="3"/>
  <c r="G686" i="3"/>
  <c r="F686" i="3"/>
  <c r="E686" i="3"/>
  <c r="D686" i="3"/>
  <c r="C686" i="3"/>
  <c r="B686" i="3"/>
  <c r="A686" i="3"/>
  <c r="J685" i="3"/>
  <c r="I685" i="3"/>
  <c r="H685" i="3"/>
  <c r="G685" i="3"/>
  <c r="F685" i="3"/>
  <c r="E685" i="3"/>
  <c r="D685" i="3"/>
  <c r="C685" i="3"/>
  <c r="B685" i="3"/>
  <c r="A685" i="3"/>
  <c r="J684" i="3"/>
  <c r="I684" i="3"/>
  <c r="H684" i="3"/>
  <c r="G684" i="3"/>
  <c r="F684" i="3"/>
  <c r="E684" i="3"/>
  <c r="D684" i="3"/>
  <c r="C684" i="3"/>
  <c r="B684" i="3"/>
  <c r="A684" i="3"/>
  <c r="J683" i="3"/>
  <c r="I683" i="3"/>
  <c r="H683" i="3"/>
  <c r="G683" i="3"/>
  <c r="F683" i="3"/>
  <c r="E683" i="3"/>
  <c r="D683" i="3"/>
  <c r="C683" i="3"/>
  <c r="B683" i="3"/>
  <c r="A683" i="3"/>
  <c r="J682" i="3"/>
  <c r="I682" i="3"/>
  <c r="H682" i="3"/>
  <c r="G682" i="3"/>
  <c r="F682" i="3"/>
  <c r="E682" i="3"/>
  <c r="D682" i="3"/>
  <c r="C682" i="3"/>
  <c r="B682" i="3"/>
  <c r="A682" i="3"/>
  <c r="J681" i="3"/>
  <c r="I681" i="3"/>
  <c r="H681" i="3"/>
  <c r="G681" i="3"/>
  <c r="F681" i="3"/>
  <c r="E681" i="3"/>
  <c r="D681" i="3"/>
  <c r="C681" i="3"/>
  <c r="B681" i="3"/>
  <c r="A681" i="3"/>
  <c r="J680" i="3"/>
  <c r="I680" i="3"/>
  <c r="H680" i="3"/>
  <c r="G680" i="3"/>
  <c r="F680" i="3"/>
  <c r="E680" i="3"/>
  <c r="D680" i="3"/>
  <c r="C680" i="3"/>
  <c r="B680" i="3"/>
  <c r="A680" i="3"/>
  <c r="J679" i="3"/>
  <c r="I679" i="3"/>
  <c r="H679" i="3"/>
  <c r="G679" i="3"/>
  <c r="F679" i="3"/>
  <c r="E679" i="3"/>
  <c r="D679" i="3"/>
  <c r="C679" i="3"/>
  <c r="B679" i="3"/>
  <c r="A679" i="3"/>
  <c r="J678" i="3"/>
  <c r="I678" i="3"/>
  <c r="H678" i="3"/>
  <c r="G678" i="3"/>
  <c r="F678" i="3"/>
  <c r="E678" i="3"/>
  <c r="D678" i="3"/>
  <c r="C678" i="3"/>
  <c r="B678" i="3"/>
  <c r="A678" i="3"/>
  <c r="J677" i="3"/>
  <c r="I677" i="3"/>
  <c r="H677" i="3"/>
  <c r="G677" i="3"/>
  <c r="F677" i="3"/>
  <c r="E677" i="3"/>
  <c r="D677" i="3"/>
  <c r="C677" i="3"/>
  <c r="B677" i="3"/>
  <c r="A677" i="3"/>
  <c r="J676" i="3"/>
  <c r="I676" i="3"/>
  <c r="H676" i="3"/>
  <c r="G676" i="3"/>
  <c r="F676" i="3"/>
  <c r="E676" i="3"/>
  <c r="D676" i="3"/>
  <c r="C676" i="3"/>
  <c r="B676" i="3"/>
  <c r="A676" i="3"/>
  <c r="J675" i="3"/>
  <c r="I675" i="3"/>
  <c r="H675" i="3"/>
  <c r="G675" i="3"/>
  <c r="F675" i="3"/>
  <c r="E675" i="3"/>
  <c r="D675" i="3"/>
  <c r="C675" i="3"/>
  <c r="B675" i="3"/>
  <c r="A675" i="3"/>
  <c r="J674" i="3"/>
  <c r="I674" i="3"/>
  <c r="H674" i="3"/>
  <c r="G674" i="3"/>
  <c r="F674" i="3"/>
  <c r="E674" i="3"/>
  <c r="D674" i="3"/>
  <c r="C674" i="3"/>
  <c r="B674" i="3"/>
  <c r="A674" i="3"/>
  <c r="J673" i="3"/>
  <c r="I673" i="3"/>
  <c r="H673" i="3"/>
  <c r="G673" i="3"/>
  <c r="F673" i="3"/>
  <c r="E673" i="3"/>
  <c r="D673" i="3"/>
  <c r="C673" i="3"/>
  <c r="B673" i="3"/>
  <c r="A673" i="3"/>
  <c r="J672" i="3"/>
  <c r="I672" i="3"/>
  <c r="H672" i="3"/>
  <c r="G672" i="3"/>
  <c r="F672" i="3"/>
  <c r="E672" i="3"/>
  <c r="D672" i="3"/>
  <c r="C672" i="3"/>
  <c r="B672" i="3"/>
  <c r="A672" i="3"/>
  <c r="J671" i="3"/>
  <c r="I671" i="3"/>
  <c r="H671" i="3"/>
  <c r="G671" i="3"/>
  <c r="F671" i="3"/>
  <c r="E671" i="3"/>
  <c r="D671" i="3"/>
  <c r="C671" i="3"/>
  <c r="B671" i="3"/>
  <c r="A671" i="3"/>
  <c r="J670" i="3"/>
  <c r="I670" i="3"/>
  <c r="H670" i="3"/>
  <c r="G670" i="3"/>
  <c r="F670" i="3"/>
  <c r="E670" i="3"/>
  <c r="D670" i="3"/>
  <c r="C670" i="3"/>
  <c r="B670" i="3"/>
  <c r="A670" i="3"/>
  <c r="J669" i="3"/>
  <c r="I669" i="3"/>
  <c r="H669" i="3"/>
  <c r="G669" i="3"/>
  <c r="F669" i="3"/>
  <c r="E669" i="3"/>
  <c r="D669" i="3"/>
  <c r="C669" i="3"/>
  <c r="B669" i="3"/>
  <c r="A669" i="3"/>
  <c r="J668" i="3"/>
  <c r="I668" i="3"/>
  <c r="H668" i="3"/>
  <c r="G668" i="3"/>
  <c r="F668" i="3"/>
  <c r="E668" i="3"/>
  <c r="D668" i="3"/>
  <c r="C668" i="3"/>
  <c r="B668" i="3"/>
  <c r="A668" i="3"/>
  <c r="J667" i="3"/>
  <c r="I667" i="3"/>
  <c r="H667" i="3"/>
  <c r="G667" i="3"/>
  <c r="F667" i="3"/>
  <c r="E667" i="3"/>
  <c r="D667" i="3"/>
  <c r="C667" i="3"/>
  <c r="B667" i="3"/>
  <c r="A667" i="3"/>
  <c r="J666" i="3"/>
  <c r="I666" i="3"/>
  <c r="H666" i="3"/>
  <c r="G666" i="3"/>
  <c r="F666" i="3"/>
  <c r="E666" i="3"/>
  <c r="D666" i="3"/>
  <c r="C666" i="3"/>
  <c r="B666" i="3"/>
  <c r="A666" i="3"/>
  <c r="J665" i="3"/>
  <c r="I665" i="3"/>
  <c r="H665" i="3"/>
  <c r="G665" i="3"/>
  <c r="F665" i="3"/>
  <c r="E665" i="3"/>
  <c r="D665" i="3"/>
  <c r="C665" i="3"/>
  <c r="B665" i="3"/>
  <c r="A665" i="3"/>
  <c r="J664" i="3"/>
  <c r="I664" i="3"/>
  <c r="H664" i="3"/>
  <c r="G664" i="3"/>
  <c r="F664" i="3"/>
  <c r="E664" i="3"/>
  <c r="D664" i="3"/>
  <c r="C664" i="3"/>
  <c r="B664" i="3"/>
  <c r="A664" i="3"/>
  <c r="J663" i="3"/>
  <c r="I663" i="3"/>
  <c r="H663" i="3"/>
  <c r="G663" i="3"/>
  <c r="F663" i="3"/>
  <c r="E663" i="3"/>
  <c r="D663" i="3"/>
  <c r="C663" i="3"/>
  <c r="B663" i="3"/>
  <c r="A663" i="3"/>
  <c r="J662" i="3"/>
  <c r="I662" i="3"/>
  <c r="H662" i="3"/>
  <c r="G662" i="3"/>
  <c r="F662" i="3"/>
  <c r="E662" i="3"/>
  <c r="D662" i="3"/>
  <c r="C662" i="3"/>
  <c r="B662" i="3"/>
  <c r="A662" i="3"/>
  <c r="J661" i="3"/>
  <c r="I661" i="3"/>
  <c r="H661" i="3"/>
  <c r="G661" i="3"/>
  <c r="F661" i="3"/>
  <c r="E661" i="3"/>
  <c r="D661" i="3"/>
  <c r="C661" i="3"/>
  <c r="B661" i="3"/>
  <c r="A661" i="3"/>
  <c r="J660" i="3"/>
  <c r="I660" i="3"/>
  <c r="H660" i="3"/>
  <c r="G660" i="3"/>
  <c r="F660" i="3"/>
  <c r="E660" i="3"/>
  <c r="D660" i="3"/>
  <c r="C660" i="3"/>
  <c r="B660" i="3"/>
  <c r="A660" i="3"/>
  <c r="J659" i="3"/>
  <c r="I659" i="3"/>
  <c r="H659" i="3"/>
  <c r="G659" i="3"/>
  <c r="F659" i="3"/>
  <c r="E659" i="3"/>
  <c r="D659" i="3"/>
  <c r="C659" i="3"/>
  <c r="B659" i="3"/>
  <c r="A659" i="3"/>
  <c r="J658" i="3"/>
  <c r="I658" i="3"/>
  <c r="H658" i="3"/>
  <c r="G658" i="3"/>
  <c r="A658" i="3"/>
  <c r="J657" i="3"/>
  <c r="I657" i="3"/>
  <c r="H657" i="3"/>
  <c r="G657" i="3"/>
  <c r="F657" i="3"/>
  <c r="E657" i="3"/>
  <c r="D657" i="3"/>
  <c r="C657" i="3"/>
  <c r="B657" i="3"/>
  <c r="A657" i="3"/>
  <c r="J656" i="3"/>
  <c r="I656" i="3"/>
  <c r="H656" i="3"/>
  <c r="G656" i="3"/>
  <c r="A656" i="3"/>
  <c r="J655" i="3"/>
  <c r="I655" i="3"/>
  <c r="H655" i="3"/>
  <c r="G655" i="3"/>
  <c r="F655" i="3"/>
  <c r="E655" i="3"/>
  <c r="D655" i="3"/>
  <c r="C655" i="3"/>
  <c r="B655" i="3"/>
  <c r="A655" i="3"/>
  <c r="J654" i="3"/>
  <c r="I654" i="3"/>
  <c r="H654" i="3"/>
  <c r="G654" i="3"/>
  <c r="A654" i="3"/>
  <c r="J653" i="3"/>
  <c r="I653" i="3"/>
  <c r="H653" i="3"/>
  <c r="G653" i="3"/>
  <c r="F653" i="3"/>
  <c r="E653" i="3"/>
  <c r="D653" i="3"/>
  <c r="C653" i="3"/>
  <c r="B653" i="3"/>
  <c r="A653" i="3"/>
  <c r="J652" i="3"/>
  <c r="I652" i="3"/>
  <c r="H652" i="3"/>
  <c r="G652" i="3"/>
  <c r="A652" i="3"/>
  <c r="J651" i="3"/>
  <c r="I651" i="3"/>
  <c r="H651" i="3"/>
  <c r="G651" i="3"/>
  <c r="F651" i="3"/>
  <c r="E651" i="3"/>
  <c r="D651" i="3"/>
  <c r="C651" i="3"/>
  <c r="B651" i="3"/>
  <c r="A651" i="3"/>
  <c r="J650" i="3"/>
  <c r="I650" i="3"/>
  <c r="H650" i="3"/>
  <c r="G650" i="3"/>
  <c r="A650" i="3"/>
  <c r="J649" i="3"/>
  <c r="I649" i="3"/>
  <c r="H649" i="3"/>
  <c r="G649" i="3"/>
  <c r="F649" i="3"/>
  <c r="E649" i="3"/>
  <c r="D649" i="3"/>
  <c r="C649" i="3"/>
  <c r="B649" i="3"/>
  <c r="A649" i="3"/>
  <c r="J648" i="3"/>
  <c r="I648" i="3"/>
  <c r="H648" i="3"/>
  <c r="G648" i="3"/>
  <c r="F648" i="3"/>
  <c r="E648" i="3"/>
  <c r="D648" i="3"/>
  <c r="C648" i="3"/>
  <c r="B648" i="3"/>
  <c r="A648" i="3"/>
  <c r="J647" i="3"/>
  <c r="I647" i="3"/>
  <c r="H647" i="3"/>
  <c r="G647" i="3"/>
  <c r="F647" i="3"/>
  <c r="E647" i="3"/>
  <c r="D647" i="3"/>
  <c r="C647" i="3"/>
  <c r="B647" i="3"/>
  <c r="A647" i="3"/>
  <c r="J646" i="3"/>
  <c r="I646" i="3"/>
  <c r="H646" i="3"/>
  <c r="G646" i="3"/>
  <c r="F646" i="3"/>
  <c r="E646" i="3"/>
  <c r="D646" i="3"/>
  <c r="C646" i="3"/>
  <c r="B646" i="3"/>
  <c r="A646" i="3"/>
  <c r="J645" i="3"/>
  <c r="I645" i="3"/>
  <c r="H645" i="3"/>
  <c r="G645" i="3"/>
  <c r="A645" i="3"/>
  <c r="J644" i="3"/>
  <c r="I644" i="3"/>
  <c r="H644" i="3"/>
  <c r="G644" i="3"/>
  <c r="F644" i="3"/>
  <c r="E644" i="3"/>
  <c r="D644" i="3"/>
  <c r="C644" i="3"/>
  <c r="B644" i="3"/>
  <c r="A644" i="3"/>
  <c r="J643" i="3"/>
  <c r="I643" i="3"/>
  <c r="H643" i="3"/>
  <c r="G643" i="3"/>
  <c r="A643" i="3"/>
  <c r="J642" i="3"/>
  <c r="I642" i="3"/>
  <c r="H642" i="3"/>
  <c r="G642" i="3"/>
  <c r="F642" i="3"/>
  <c r="E642" i="3"/>
  <c r="D642" i="3"/>
  <c r="C642" i="3"/>
  <c r="B642" i="3"/>
  <c r="A642" i="3"/>
  <c r="J641" i="3"/>
  <c r="I641" i="3"/>
  <c r="H641" i="3"/>
  <c r="G641" i="3"/>
  <c r="F641" i="3"/>
  <c r="E641" i="3"/>
  <c r="D641" i="3"/>
  <c r="C641" i="3"/>
  <c r="B641" i="3"/>
  <c r="A641" i="3"/>
  <c r="J640" i="3"/>
  <c r="I640" i="3"/>
  <c r="H640" i="3"/>
  <c r="G640" i="3"/>
  <c r="F640" i="3"/>
  <c r="E640" i="3"/>
  <c r="D640" i="3"/>
  <c r="C640" i="3"/>
  <c r="B640" i="3"/>
  <c r="A640" i="3"/>
  <c r="J639" i="3"/>
  <c r="I639" i="3"/>
  <c r="H639" i="3"/>
  <c r="G639" i="3"/>
  <c r="F639" i="3"/>
  <c r="E639" i="3"/>
  <c r="D639" i="3"/>
  <c r="C639" i="3"/>
  <c r="B639" i="3"/>
  <c r="A639" i="3"/>
  <c r="J638" i="3"/>
  <c r="I638" i="3"/>
  <c r="H638" i="3"/>
  <c r="G638" i="3"/>
  <c r="F638" i="3"/>
  <c r="E638" i="3"/>
  <c r="D638" i="3"/>
  <c r="C638" i="3"/>
  <c r="B638" i="3"/>
  <c r="A638" i="3"/>
  <c r="J637" i="3"/>
  <c r="I637" i="3"/>
  <c r="H637" i="3"/>
  <c r="G637" i="3"/>
  <c r="F637" i="3"/>
  <c r="E637" i="3"/>
  <c r="D637" i="3"/>
  <c r="C637" i="3"/>
  <c r="B637" i="3"/>
  <c r="A637" i="3"/>
  <c r="J636" i="3"/>
  <c r="I636" i="3"/>
  <c r="H636" i="3"/>
  <c r="G636" i="3"/>
  <c r="F636" i="3"/>
  <c r="E636" i="3"/>
  <c r="D636" i="3"/>
  <c r="C636" i="3"/>
  <c r="B636" i="3"/>
  <c r="A636" i="3"/>
  <c r="J635" i="3"/>
  <c r="I635" i="3"/>
  <c r="H635" i="3"/>
  <c r="G635" i="3"/>
  <c r="F635" i="3"/>
  <c r="E635" i="3"/>
  <c r="D635" i="3"/>
  <c r="C635" i="3"/>
  <c r="B635" i="3"/>
  <c r="A635" i="3"/>
  <c r="J634" i="3"/>
  <c r="I634" i="3"/>
  <c r="H634" i="3"/>
  <c r="G634" i="3"/>
  <c r="F634" i="3"/>
  <c r="E634" i="3"/>
  <c r="D634" i="3"/>
  <c r="C634" i="3"/>
  <c r="B634" i="3"/>
  <c r="A634" i="3"/>
  <c r="J633" i="3"/>
  <c r="I633" i="3"/>
  <c r="H633" i="3"/>
  <c r="G633" i="3"/>
  <c r="F633" i="3"/>
  <c r="E633" i="3"/>
  <c r="D633" i="3"/>
  <c r="C633" i="3"/>
  <c r="B633" i="3"/>
  <c r="A633" i="3"/>
  <c r="J632" i="3"/>
  <c r="I632" i="3"/>
  <c r="H632" i="3"/>
  <c r="G632" i="3"/>
  <c r="F632" i="3"/>
  <c r="E632" i="3"/>
  <c r="D632" i="3"/>
  <c r="C632" i="3"/>
  <c r="B632" i="3"/>
  <c r="A632" i="3"/>
  <c r="J631" i="3"/>
  <c r="I631" i="3"/>
  <c r="H631" i="3"/>
  <c r="G631" i="3"/>
  <c r="F631" i="3"/>
  <c r="E631" i="3"/>
  <c r="D631" i="3"/>
  <c r="C631" i="3"/>
  <c r="B631" i="3"/>
  <c r="A631" i="3"/>
  <c r="J630" i="3"/>
  <c r="I630" i="3"/>
  <c r="H630" i="3"/>
  <c r="G630" i="3"/>
  <c r="A630" i="3"/>
  <c r="J629" i="3"/>
  <c r="I629" i="3"/>
  <c r="H629" i="3"/>
  <c r="G629" i="3"/>
  <c r="F629" i="3"/>
  <c r="E629" i="3"/>
  <c r="D629" i="3"/>
  <c r="C629" i="3"/>
  <c r="B629" i="3"/>
  <c r="A629" i="3"/>
  <c r="J628" i="3"/>
  <c r="I628" i="3"/>
  <c r="H628" i="3"/>
  <c r="G628" i="3"/>
  <c r="F628" i="3"/>
  <c r="E628" i="3"/>
  <c r="D628" i="3"/>
  <c r="C628" i="3"/>
  <c r="B628" i="3"/>
  <c r="A628" i="3"/>
  <c r="J627" i="3"/>
  <c r="I627" i="3"/>
  <c r="H627" i="3"/>
  <c r="G627" i="3"/>
  <c r="F627" i="3"/>
  <c r="E627" i="3"/>
  <c r="D627" i="3"/>
  <c r="C627" i="3"/>
  <c r="B627" i="3"/>
  <c r="A627" i="3"/>
  <c r="J626" i="3"/>
  <c r="I626" i="3"/>
  <c r="H626" i="3"/>
  <c r="G626" i="3"/>
  <c r="F626" i="3"/>
  <c r="E626" i="3"/>
  <c r="D626" i="3"/>
  <c r="C626" i="3"/>
  <c r="B626" i="3"/>
  <c r="A626" i="3"/>
  <c r="J625" i="3"/>
  <c r="I625" i="3"/>
  <c r="H625" i="3"/>
  <c r="G625" i="3"/>
  <c r="F625" i="3"/>
  <c r="E625" i="3"/>
  <c r="D625" i="3"/>
  <c r="C625" i="3"/>
  <c r="B625" i="3"/>
  <c r="A625" i="3"/>
  <c r="J624" i="3"/>
  <c r="I624" i="3"/>
  <c r="H624" i="3"/>
  <c r="G624" i="3"/>
  <c r="F624" i="3"/>
  <c r="E624" i="3"/>
  <c r="D624" i="3"/>
  <c r="C624" i="3"/>
  <c r="B624" i="3"/>
  <c r="A624" i="3"/>
  <c r="J623" i="3"/>
  <c r="I623" i="3"/>
  <c r="H623" i="3"/>
  <c r="G623" i="3"/>
  <c r="F623" i="3"/>
  <c r="E623" i="3"/>
  <c r="D623" i="3"/>
  <c r="C623" i="3"/>
  <c r="B623" i="3"/>
  <c r="A623" i="3"/>
  <c r="J622" i="3"/>
  <c r="I622" i="3"/>
  <c r="H622" i="3"/>
  <c r="G622" i="3"/>
  <c r="F622" i="3"/>
  <c r="E622" i="3"/>
  <c r="D622" i="3"/>
  <c r="C622" i="3"/>
  <c r="B622" i="3"/>
  <c r="A622" i="3"/>
  <c r="J621" i="3"/>
  <c r="I621" i="3"/>
  <c r="H621" i="3"/>
  <c r="G621" i="3"/>
  <c r="F621" i="3"/>
  <c r="E621" i="3"/>
  <c r="D621" i="3"/>
  <c r="C621" i="3"/>
  <c r="B621" i="3"/>
  <c r="A621" i="3"/>
  <c r="J620" i="3"/>
  <c r="I620" i="3"/>
  <c r="H620" i="3"/>
  <c r="G620" i="3"/>
  <c r="F620" i="3"/>
  <c r="E620" i="3"/>
  <c r="D620" i="3"/>
  <c r="C620" i="3"/>
  <c r="B620" i="3"/>
  <c r="A620" i="3"/>
  <c r="J619" i="3"/>
  <c r="I619" i="3"/>
  <c r="H619" i="3"/>
  <c r="G619" i="3"/>
  <c r="A619" i="3"/>
  <c r="J618" i="3"/>
  <c r="I618" i="3"/>
  <c r="H618" i="3"/>
  <c r="G618" i="3"/>
  <c r="F618" i="3"/>
  <c r="E618" i="3"/>
  <c r="D618" i="3"/>
  <c r="C618" i="3"/>
  <c r="B618" i="3"/>
  <c r="A618" i="3"/>
  <c r="J617" i="3"/>
  <c r="I617" i="3"/>
  <c r="H617" i="3"/>
  <c r="G617" i="3"/>
  <c r="F617" i="3"/>
  <c r="E617" i="3"/>
  <c r="D617" i="3"/>
  <c r="C617" i="3"/>
  <c r="B617" i="3"/>
  <c r="A617" i="3"/>
  <c r="J616" i="3"/>
  <c r="I616" i="3"/>
  <c r="H616" i="3"/>
  <c r="G616" i="3"/>
  <c r="F616" i="3"/>
  <c r="E616" i="3"/>
  <c r="D616" i="3"/>
  <c r="C616" i="3"/>
  <c r="B616" i="3"/>
  <c r="A616" i="3"/>
  <c r="J615" i="3"/>
  <c r="I615" i="3"/>
  <c r="H615" i="3"/>
  <c r="G615" i="3"/>
  <c r="F615" i="3"/>
  <c r="E615" i="3"/>
  <c r="D615" i="3"/>
  <c r="C615" i="3"/>
  <c r="B615" i="3"/>
  <c r="A615" i="3"/>
  <c r="J614" i="3"/>
  <c r="I614" i="3"/>
  <c r="H614" i="3"/>
  <c r="G614" i="3"/>
  <c r="F614" i="3"/>
  <c r="E614" i="3"/>
  <c r="D614" i="3"/>
  <c r="C614" i="3"/>
  <c r="B614" i="3"/>
  <c r="A614" i="3"/>
  <c r="J613" i="3"/>
  <c r="I613" i="3"/>
  <c r="H613" i="3"/>
  <c r="G613" i="3"/>
  <c r="A613" i="3"/>
  <c r="J612" i="3"/>
  <c r="I612" i="3"/>
  <c r="H612" i="3"/>
  <c r="G612" i="3"/>
  <c r="F612" i="3"/>
  <c r="E612" i="3"/>
  <c r="D612" i="3"/>
  <c r="C612" i="3"/>
  <c r="B612" i="3"/>
  <c r="A612" i="3"/>
  <c r="J611" i="3"/>
  <c r="I611" i="3"/>
  <c r="H611" i="3"/>
  <c r="G611" i="3"/>
  <c r="F611" i="3"/>
  <c r="E611" i="3"/>
  <c r="D611" i="3"/>
  <c r="C611" i="3"/>
  <c r="B611" i="3"/>
  <c r="A611" i="3"/>
  <c r="J610" i="3"/>
  <c r="I610" i="3"/>
  <c r="H610" i="3"/>
  <c r="G610" i="3"/>
  <c r="F610" i="3"/>
  <c r="E610" i="3"/>
  <c r="D610" i="3"/>
  <c r="C610" i="3"/>
  <c r="B610" i="3"/>
  <c r="A610" i="3"/>
  <c r="J609" i="3"/>
  <c r="I609" i="3"/>
  <c r="H609" i="3"/>
  <c r="G609" i="3"/>
  <c r="F609" i="3"/>
  <c r="E609" i="3"/>
  <c r="D609" i="3"/>
  <c r="C609" i="3"/>
  <c r="B609" i="3"/>
  <c r="A609" i="3"/>
  <c r="J608" i="3"/>
  <c r="I608" i="3"/>
  <c r="H608" i="3"/>
  <c r="G608" i="3"/>
  <c r="F608" i="3"/>
  <c r="E608" i="3"/>
  <c r="D608" i="3"/>
  <c r="C608" i="3"/>
  <c r="B608" i="3"/>
  <c r="A608" i="3"/>
  <c r="J607" i="3"/>
  <c r="I607" i="3"/>
  <c r="H607" i="3"/>
  <c r="G607" i="3"/>
  <c r="A607" i="3"/>
  <c r="J606" i="3"/>
  <c r="I606" i="3"/>
  <c r="H606" i="3"/>
  <c r="G606" i="3"/>
  <c r="F606" i="3"/>
  <c r="E606" i="3"/>
  <c r="D606" i="3"/>
  <c r="C606" i="3"/>
  <c r="B606" i="3"/>
  <c r="A606" i="3"/>
  <c r="J605" i="3"/>
  <c r="I605" i="3"/>
  <c r="H605" i="3"/>
  <c r="G605" i="3"/>
  <c r="A605" i="3"/>
  <c r="J604" i="3"/>
  <c r="I604" i="3"/>
  <c r="H604" i="3"/>
  <c r="G604" i="3"/>
  <c r="F604" i="3"/>
  <c r="E604" i="3"/>
  <c r="D604" i="3"/>
  <c r="C604" i="3"/>
  <c r="B604" i="3"/>
  <c r="A604" i="3"/>
  <c r="J603" i="3"/>
  <c r="I603" i="3"/>
  <c r="H603" i="3"/>
  <c r="G603" i="3"/>
  <c r="F603" i="3"/>
  <c r="E603" i="3"/>
  <c r="D603" i="3"/>
  <c r="C603" i="3"/>
  <c r="B603" i="3"/>
  <c r="A603" i="3"/>
  <c r="J602" i="3"/>
  <c r="I602" i="3"/>
  <c r="H602" i="3"/>
  <c r="G602" i="3"/>
  <c r="A602" i="3"/>
  <c r="J601" i="3"/>
  <c r="I601" i="3"/>
  <c r="H601" i="3"/>
  <c r="G601" i="3"/>
  <c r="F601" i="3"/>
  <c r="E601" i="3"/>
  <c r="D601" i="3"/>
  <c r="C601" i="3"/>
  <c r="B601" i="3"/>
  <c r="A601" i="3"/>
  <c r="J600" i="3"/>
  <c r="I600" i="3"/>
  <c r="H600" i="3"/>
  <c r="G600" i="3"/>
  <c r="F600" i="3"/>
  <c r="E600" i="3"/>
  <c r="D600" i="3"/>
  <c r="C600" i="3"/>
  <c r="B600" i="3"/>
  <c r="A600" i="3"/>
  <c r="J599" i="3"/>
  <c r="I599" i="3"/>
  <c r="H599" i="3"/>
  <c r="G599" i="3"/>
  <c r="A599" i="3"/>
  <c r="J598" i="3"/>
  <c r="I598" i="3"/>
  <c r="H598" i="3"/>
  <c r="G598" i="3"/>
  <c r="F598" i="3"/>
  <c r="E598" i="3"/>
  <c r="D598" i="3"/>
  <c r="C598" i="3"/>
  <c r="B598" i="3"/>
  <c r="A598" i="3"/>
  <c r="J597" i="3"/>
  <c r="I597" i="3"/>
  <c r="H597" i="3"/>
  <c r="G597" i="3"/>
  <c r="A597" i="3"/>
  <c r="J596" i="3"/>
  <c r="I596" i="3"/>
  <c r="H596" i="3"/>
  <c r="G596" i="3"/>
  <c r="F596" i="3"/>
  <c r="E596" i="3"/>
  <c r="D596" i="3"/>
  <c r="C596" i="3"/>
  <c r="B596" i="3"/>
  <c r="A596" i="3"/>
  <c r="J595" i="3"/>
  <c r="I595" i="3"/>
  <c r="H595" i="3"/>
  <c r="G595" i="3"/>
  <c r="A595" i="3"/>
  <c r="J594" i="3"/>
  <c r="I594" i="3"/>
  <c r="H594" i="3"/>
  <c r="G594" i="3"/>
  <c r="F594" i="3"/>
  <c r="E594" i="3"/>
  <c r="D594" i="3"/>
  <c r="C594" i="3"/>
  <c r="B594" i="3"/>
  <c r="A594" i="3"/>
  <c r="J593" i="3"/>
  <c r="I593" i="3"/>
  <c r="H593" i="3"/>
  <c r="G593" i="3"/>
  <c r="F593" i="3"/>
  <c r="E593" i="3"/>
  <c r="D593" i="3"/>
  <c r="C593" i="3"/>
  <c r="B593" i="3"/>
  <c r="A593" i="3"/>
  <c r="J592" i="3"/>
  <c r="I592" i="3"/>
  <c r="H592" i="3"/>
  <c r="G592" i="3"/>
  <c r="F592" i="3"/>
  <c r="E592" i="3"/>
  <c r="D592" i="3"/>
  <c r="C592" i="3"/>
  <c r="B592" i="3"/>
  <c r="A592" i="3"/>
  <c r="J591" i="3"/>
  <c r="I591" i="3"/>
  <c r="H591" i="3"/>
  <c r="G591" i="3"/>
  <c r="F591" i="3"/>
  <c r="E591" i="3"/>
  <c r="D591" i="3"/>
  <c r="C591" i="3"/>
  <c r="B591" i="3"/>
  <c r="A591" i="3"/>
  <c r="J590" i="3"/>
  <c r="I590" i="3"/>
  <c r="H590" i="3"/>
  <c r="G590" i="3"/>
  <c r="F590" i="3"/>
  <c r="E590" i="3"/>
  <c r="D590" i="3"/>
  <c r="C590" i="3"/>
  <c r="B590" i="3"/>
  <c r="A590" i="3"/>
  <c r="J589" i="3"/>
  <c r="I589" i="3"/>
  <c r="H589" i="3"/>
  <c r="G589" i="3"/>
  <c r="F589" i="3"/>
  <c r="E589" i="3"/>
  <c r="D589" i="3"/>
  <c r="C589" i="3"/>
  <c r="B589" i="3"/>
  <c r="A589" i="3"/>
  <c r="J588" i="3"/>
  <c r="I588" i="3"/>
  <c r="H588" i="3"/>
  <c r="G588" i="3"/>
  <c r="F588" i="3"/>
  <c r="E588" i="3"/>
  <c r="D588" i="3"/>
  <c r="C588" i="3"/>
  <c r="B588" i="3"/>
  <c r="A588" i="3"/>
  <c r="J587" i="3"/>
  <c r="I587" i="3"/>
  <c r="H587" i="3"/>
  <c r="G587" i="3"/>
  <c r="A587" i="3"/>
  <c r="J586" i="3"/>
  <c r="I586" i="3"/>
  <c r="H586" i="3"/>
  <c r="G586" i="3"/>
  <c r="F586" i="3"/>
  <c r="E586" i="3"/>
  <c r="D586" i="3"/>
  <c r="C586" i="3"/>
  <c r="B586" i="3"/>
  <c r="A586" i="3"/>
  <c r="J585" i="3"/>
  <c r="I585" i="3"/>
  <c r="H585" i="3"/>
  <c r="G585" i="3"/>
  <c r="A585" i="3"/>
  <c r="J584" i="3"/>
  <c r="I584" i="3"/>
  <c r="H584" i="3"/>
  <c r="G584" i="3"/>
  <c r="F584" i="3"/>
  <c r="E584" i="3"/>
  <c r="D584" i="3"/>
  <c r="C584" i="3"/>
  <c r="B584" i="3"/>
  <c r="A584" i="3"/>
  <c r="J583" i="3"/>
  <c r="I583" i="3"/>
  <c r="H583" i="3"/>
  <c r="G583" i="3"/>
  <c r="A583" i="3"/>
  <c r="J582" i="3"/>
  <c r="I582" i="3"/>
  <c r="H582" i="3"/>
  <c r="G582" i="3"/>
  <c r="F582" i="3"/>
  <c r="E582" i="3"/>
  <c r="D582" i="3"/>
  <c r="C582" i="3"/>
  <c r="B582" i="3"/>
  <c r="A582" i="3"/>
  <c r="J581" i="3"/>
  <c r="I581" i="3"/>
  <c r="H581" i="3"/>
  <c r="G581" i="3"/>
  <c r="F581" i="3"/>
  <c r="E581" i="3"/>
  <c r="D581" i="3"/>
  <c r="C581" i="3"/>
  <c r="B581" i="3"/>
  <c r="A581" i="3"/>
  <c r="J580" i="3"/>
  <c r="I580" i="3"/>
  <c r="H580" i="3"/>
  <c r="G580" i="3"/>
  <c r="F580" i="3"/>
  <c r="E580" i="3"/>
  <c r="D580" i="3"/>
  <c r="C580" i="3"/>
  <c r="B580" i="3"/>
  <c r="A580" i="3"/>
  <c r="J579" i="3"/>
  <c r="I579" i="3"/>
  <c r="H579" i="3"/>
  <c r="G579" i="3"/>
  <c r="F579" i="3"/>
  <c r="E579" i="3"/>
  <c r="D579" i="3"/>
  <c r="C579" i="3"/>
  <c r="B579" i="3"/>
  <c r="A579" i="3"/>
  <c r="J578" i="3"/>
  <c r="I578" i="3"/>
  <c r="H578" i="3"/>
  <c r="G578" i="3"/>
  <c r="F578" i="3"/>
  <c r="E578" i="3"/>
  <c r="D578" i="3"/>
  <c r="C578" i="3"/>
  <c r="B578" i="3"/>
  <c r="A578" i="3"/>
  <c r="J577" i="3"/>
  <c r="I577" i="3"/>
  <c r="H577" i="3"/>
  <c r="G577" i="3"/>
  <c r="F577" i="3"/>
  <c r="E577" i="3"/>
  <c r="D577" i="3"/>
  <c r="C577" i="3"/>
  <c r="B577" i="3"/>
  <c r="A577" i="3"/>
  <c r="J576" i="3"/>
  <c r="I576" i="3"/>
  <c r="H576" i="3"/>
  <c r="G576" i="3"/>
  <c r="F576" i="3"/>
  <c r="E576" i="3"/>
  <c r="D576" i="3"/>
  <c r="C576" i="3"/>
  <c r="B576" i="3"/>
  <c r="A576" i="3"/>
  <c r="J575" i="3"/>
  <c r="I575" i="3"/>
  <c r="H575" i="3"/>
  <c r="G575" i="3"/>
  <c r="F575" i="3"/>
  <c r="E575" i="3"/>
  <c r="D575" i="3"/>
  <c r="C575" i="3"/>
  <c r="B575" i="3"/>
  <c r="A575" i="3"/>
  <c r="J574" i="3"/>
  <c r="I574" i="3"/>
  <c r="H574" i="3"/>
  <c r="G574" i="3"/>
  <c r="F574" i="3"/>
  <c r="E574" i="3"/>
  <c r="D574" i="3"/>
  <c r="C574" i="3"/>
  <c r="B574" i="3"/>
  <c r="A574" i="3"/>
  <c r="J573" i="3"/>
  <c r="I573" i="3"/>
  <c r="H573" i="3"/>
  <c r="G573" i="3"/>
  <c r="F573" i="3"/>
  <c r="E573" i="3"/>
  <c r="D573" i="3"/>
  <c r="C573" i="3"/>
  <c r="B573" i="3"/>
  <c r="A573" i="3"/>
  <c r="J572" i="3"/>
  <c r="I572" i="3"/>
  <c r="H572" i="3"/>
  <c r="G572" i="3"/>
  <c r="F572" i="3"/>
  <c r="E572" i="3"/>
  <c r="D572" i="3"/>
  <c r="C572" i="3"/>
  <c r="B572" i="3"/>
  <c r="A572" i="3"/>
  <c r="J571" i="3"/>
  <c r="I571" i="3"/>
  <c r="H571" i="3"/>
  <c r="G571" i="3"/>
  <c r="F571" i="3"/>
  <c r="E571" i="3"/>
  <c r="D571" i="3"/>
  <c r="C571" i="3"/>
  <c r="B571" i="3"/>
  <c r="A571" i="3"/>
  <c r="J570" i="3"/>
  <c r="I570" i="3"/>
  <c r="H570" i="3"/>
  <c r="G570" i="3"/>
  <c r="F570" i="3"/>
  <c r="E570" i="3"/>
  <c r="D570" i="3"/>
  <c r="C570" i="3"/>
  <c r="B570" i="3"/>
  <c r="A570" i="3"/>
  <c r="J569" i="3"/>
  <c r="I569" i="3"/>
  <c r="H569" i="3"/>
  <c r="G569" i="3"/>
  <c r="F569" i="3"/>
  <c r="E569" i="3"/>
  <c r="D569" i="3"/>
  <c r="C569" i="3"/>
  <c r="B569" i="3"/>
  <c r="A569" i="3"/>
  <c r="J568" i="3"/>
  <c r="I568" i="3"/>
  <c r="H568" i="3"/>
  <c r="G568" i="3"/>
  <c r="F568" i="3"/>
  <c r="E568" i="3"/>
  <c r="D568" i="3"/>
  <c r="C568" i="3"/>
  <c r="B568" i="3"/>
  <c r="A568" i="3"/>
  <c r="J567" i="3"/>
  <c r="I567" i="3"/>
  <c r="H567" i="3"/>
  <c r="G567" i="3"/>
  <c r="F567" i="3"/>
  <c r="E567" i="3"/>
  <c r="D567" i="3"/>
  <c r="C567" i="3"/>
  <c r="B567" i="3"/>
  <c r="A567" i="3"/>
  <c r="J566" i="3"/>
  <c r="I566" i="3"/>
  <c r="H566" i="3"/>
  <c r="G566" i="3"/>
  <c r="F566" i="3"/>
  <c r="E566" i="3"/>
  <c r="D566" i="3"/>
  <c r="C566" i="3"/>
  <c r="B566" i="3"/>
  <c r="A566" i="3"/>
  <c r="J565" i="3"/>
  <c r="I565" i="3"/>
  <c r="H565" i="3"/>
  <c r="G565" i="3"/>
  <c r="F565" i="3"/>
  <c r="E565" i="3"/>
  <c r="D565" i="3"/>
  <c r="C565" i="3"/>
  <c r="B565" i="3"/>
  <c r="A565" i="3"/>
  <c r="J564" i="3"/>
  <c r="I564" i="3"/>
  <c r="H564" i="3"/>
  <c r="G564" i="3"/>
  <c r="A564" i="3"/>
  <c r="J563" i="3"/>
  <c r="I563" i="3"/>
  <c r="H563" i="3"/>
  <c r="G563" i="3"/>
  <c r="F563" i="3"/>
  <c r="E563" i="3"/>
  <c r="D563" i="3"/>
  <c r="C563" i="3"/>
  <c r="B563" i="3"/>
  <c r="A563" i="3"/>
  <c r="J562" i="3"/>
  <c r="I562" i="3"/>
  <c r="H562" i="3"/>
  <c r="G562" i="3"/>
  <c r="F562" i="3"/>
  <c r="E562" i="3"/>
  <c r="D562" i="3"/>
  <c r="C562" i="3"/>
  <c r="B562" i="3"/>
  <c r="A562" i="3"/>
  <c r="J561" i="3"/>
  <c r="I561" i="3"/>
  <c r="H561" i="3"/>
  <c r="G561" i="3"/>
  <c r="F561" i="3"/>
  <c r="E561" i="3"/>
  <c r="D561" i="3"/>
  <c r="C561" i="3"/>
  <c r="B561" i="3"/>
  <c r="A561" i="3"/>
  <c r="J560" i="3"/>
  <c r="I560" i="3"/>
  <c r="H560" i="3"/>
  <c r="G560" i="3"/>
  <c r="F560" i="3"/>
  <c r="E560" i="3"/>
  <c r="D560" i="3"/>
  <c r="C560" i="3"/>
  <c r="B560" i="3"/>
  <c r="A560" i="3"/>
  <c r="J559" i="3"/>
  <c r="I559" i="3"/>
  <c r="H559" i="3"/>
  <c r="G559" i="3"/>
  <c r="F559" i="3"/>
  <c r="E559" i="3"/>
  <c r="D559" i="3"/>
  <c r="C559" i="3"/>
  <c r="B559" i="3"/>
  <c r="A559" i="3"/>
  <c r="J558" i="3"/>
  <c r="I558" i="3"/>
  <c r="H558" i="3"/>
  <c r="G558" i="3"/>
  <c r="F558" i="3"/>
  <c r="E558" i="3"/>
  <c r="D558" i="3"/>
  <c r="C558" i="3"/>
  <c r="B558" i="3"/>
  <c r="A558" i="3"/>
  <c r="J557" i="3"/>
  <c r="I557" i="3"/>
  <c r="H557" i="3"/>
  <c r="G557" i="3"/>
  <c r="F557" i="3"/>
  <c r="E557" i="3"/>
  <c r="D557" i="3"/>
  <c r="C557" i="3"/>
  <c r="B557" i="3"/>
  <c r="A557" i="3"/>
  <c r="J556" i="3"/>
  <c r="I556" i="3"/>
  <c r="H556" i="3"/>
  <c r="G556" i="3"/>
  <c r="A556" i="3"/>
  <c r="J555" i="3"/>
  <c r="I555" i="3"/>
  <c r="H555" i="3"/>
  <c r="G555" i="3"/>
  <c r="F555" i="3"/>
  <c r="E555" i="3"/>
  <c r="D555" i="3"/>
  <c r="C555" i="3"/>
  <c r="B555" i="3"/>
  <c r="A555" i="3"/>
  <c r="J554" i="3"/>
  <c r="I554" i="3"/>
  <c r="H554" i="3"/>
  <c r="G554" i="3"/>
  <c r="F554" i="3"/>
  <c r="E554" i="3"/>
  <c r="D554" i="3"/>
  <c r="C554" i="3"/>
  <c r="B554" i="3"/>
  <c r="A554" i="3"/>
  <c r="J553" i="3"/>
  <c r="I553" i="3"/>
  <c r="H553" i="3"/>
  <c r="G553" i="3"/>
  <c r="F553" i="3"/>
  <c r="E553" i="3"/>
  <c r="D553" i="3"/>
  <c r="C553" i="3"/>
  <c r="B553" i="3"/>
  <c r="A553" i="3"/>
  <c r="J552" i="3"/>
  <c r="I552" i="3"/>
  <c r="H552" i="3"/>
  <c r="G552" i="3"/>
  <c r="F552" i="3"/>
  <c r="E552" i="3"/>
  <c r="D552" i="3"/>
  <c r="C552" i="3"/>
  <c r="B552" i="3"/>
  <c r="A552" i="3"/>
  <c r="J551" i="3"/>
  <c r="I551" i="3"/>
  <c r="H551" i="3"/>
  <c r="G551" i="3"/>
  <c r="F551" i="3"/>
  <c r="E551" i="3"/>
  <c r="D551" i="3"/>
  <c r="C551" i="3"/>
  <c r="B551" i="3"/>
  <c r="A551" i="3"/>
  <c r="J550" i="3"/>
  <c r="I550" i="3"/>
  <c r="H550" i="3"/>
  <c r="G550" i="3"/>
  <c r="F550" i="3"/>
  <c r="E550" i="3"/>
  <c r="D550" i="3"/>
  <c r="C550" i="3"/>
  <c r="B550" i="3"/>
  <c r="A550" i="3"/>
  <c r="J549" i="3"/>
  <c r="I549" i="3"/>
  <c r="H549" i="3"/>
  <c r="G549" i="3"/>
  <c r="F549" i="3"/>
  <c r="E549" i="3"/>
  <c r="D549" i="3"/>
  <c r="C549" i="3"/>
  <c r="B549" i="3"/>
  <c r="A549" i="3"/>
  <c r="J548" i="3"/>
  <c r="I548" i="3"/>
  <c r="H548" i="3"/>
  <c r="G548" i="3"/>
  <c r="F548" i="3"/>
  <c r="E548" i="3"/>
  <c r="D548" i="3"/>
  <c r="C548" i="3"/>
  <c r="B548" i="3"/>
  <c r="A548" i="3"/>
  <c r="J547" i="3"/>
  <c r="I547" i="3"/>
  <c r="H547" i="3"/>
  <c r="G547" i="3"/>
  <c r="F547" i="3"/>
  <c r="E547" i="3"/>
  <c r="D547" i="3"/>
  <c r="C547" i="3"/>
  <c r="B547" i="3"/>
  <c r="A547" i="3"/>
  <c r="J546" i="3"/>
  <c r="I546" i="3"/>
  <c r="H546" i="3"/>
  <c r="G546" i="3"/>
  <c r="F546" i="3"/>
  <c r="E546" i="3"/>
  <c r="D546" i="3"/>
  <c r="C546" i="3"/>
  <c r="B546" i="3"/>
  <c r="A546" i="3"/>
  <c r="J545" i="3"/>
  <c r="I545" i="3"/>
  <c r="H545" i="3"/>
  <c r="G545" i="3"/>
  <c r="F545" i="3"/>
  <c r="E545" i="3"/>
  <c r="D545" i="3"/>
  <c r="C545" i="3"/>
  <c r="B545" i="3"/>
  <c r="A545" i="3"/>
  <c r="J544" i="3"/>
  <c r="I544" i="3"/>
  <c r="H544" i="3"/>
  <c r="G544" i="3"/>
  <c r="F544" i="3"/>
  <c r="E544" i="3"/>
  <c r="D544" i="3"/>
  <c r="C544" i="3"/>
  <c r="B544" i="3"/>
  <c r="A544" i="3"/>
  <c r="J543" i="3"/>
  <c r="I543" i="3"/>
  <c r="H543" i="3"/>
  <c r="G543" i="3"/>
  <c r="F543" i="3"/>
  <c r="E543" i="3"/>
  <c r="D543" i="3"/>
  <c r="C543" i="3"/>
  <c r="B543" i="3"/>
  <c r="A543" i="3"/>
  <c r="J542" i="3"/>
  <c r="I542" i="3"/>
  <c r="H542" i="3"/>
  <c r="G542" i="3"/>
  <c r="F542" i="3"/>
  <c r="E542" i="3"/>
  <c r="D542" i="3"/>
  <c r="C542" i="3"/>
  <c r="B542" i="3"/>
  <c r="A542" i="3"/>
  <c r="J541" i="3"/>
  <c r="I541" i="3"/>
  <c r="H541" i="3"/>
  <c r="G541" i="3"/>
  <c r="F541" i="3"/>
  <c r="E541" i="3"/>
  <c r="D541" i="3"/>
  <c r="C541" i="3"/>
  <c r="B541" i="3"/>
  <c r="A541" i="3"/>
  <c r="J540" i="3"/>
  <c r="I540" i="3"/>
  <c r="H540" i="3"/>
  <c r="G540" i="3"/>
  <c r="F540" i="3"/>
  <c r="E540" i="3"/>
  <c r="D540" i="3"/>
  <c r="C540" i="3"/>
  <c r="B540" i="3"/>
  <c r="A540" i="3"/>
  <c r="J539" i="3"/>
  <c r="I539" i="3"/>
  <c r="H539" i="3"/>
  <c r="G539" i="3"/>
  <c r="F539" i="3"/>
  <c r="E539" i="3"/>
  <c r="D539" i="3"/>
  <c r="C539" i="3"/>
  <c r="B539" i="3"/>
  <c r="A539" i="3"/>
  <c r="J538" i="3"/>
  <c r="I538" i="3"/>
  <c r="H538" i="3"/>
  <c r="G538" i="3"/>
  <c r="F538" i="3"/>
  <c r="E538" i="3"/>
  <c r="D538" i="3"/>
  <c r="C538" i="3"/>
  <c r="B538" i="3"/>
  <c r="A538" i="3"/>
  <c r="J537" i="3"/>
  <c r="I537" i="3"/>
  <c r="H537" i="3"/>
  <c r="G537" i="3"/>
  <c r="F537" i="3"/>
  <c r="E537" i="3"/>
  <c r="D537" i="3"/>
  <c r="C537" i="3"/>
  <c r="B537" i="3"/>
  <c r="A537" i="3"/>
  <c r="J536" i="3"/>
  <c r="I536" i="3"/>
  <c r="H536" i="3"/>
  <c r="G536" i="3"/>
  <c r="F536" i="3"/>
  <c r="E536" i="3"/>
  <c r="D536" i="3"/>
  <c r="C536" i="3"/>
  <c r="B536" i="3"/>
  <c r="A536" i="3"/>
  <c r="J535" i="3"/>
  <c r="I535" i="3"/>
  <c r="H535" i="3"/>
  <c r="G535" i="3"/>
  <c r="F535" i="3"/>
  <c r="E535" i="3"/>
  <c r="D535" i="3"/>
  <c r="C535" i="3"/>
  <c r="B535" i="3"/>
  <c r="A535" i="3"/>
  <c r="J534" i="3"/>
  <c r="I534" i="3"/>
  <c r="H534" i="3"/>
  <c r="G534" i="3"/>
  <c r="F534" i="3"/>
  <c r="E534" i="3"/>
  <c r="D534" i="3"/>
  <c r="C534" i="3"/>
  <c r="B534" i="3"/>
  <c r="A534" i="3"/>
  <c r="J533" i="3"/>
  <c r="I533" i="3"/>
  <c r="H533" i="3"/>
  <c r="G533" i="3"/>
  <c r="F533" i="3"/>
  <c r="E533" i="3"/>
  <c r="D533" i="3"/>
  <c r="C533" i="3"/>
  <c r="B533" i="3"/>
  <c r="A533" i="3"/>
  <c r="J532" i="3"/>
  <c r="I532" i="3"/>
  <c r="H532" i="3"/>
  <c r="G532" i="3"/>
  <c r="F532" i="3"/>
  <c r="E532" i="3"/>
  <c r="D532" i="3"/>
  <c r="C532" i="3"/>
  <c r="B532" i="3"/>
  <c r="A532" i="3"/>
  <c r="J531" i="3"/>
  <c r="I531" i="3"/>
  <c r="H531" i="3"/>
  <c r="G531" i="3"/>
  <c r="F531" i="3"/>
  <c r="E531" i="3"/>
  <c r="D531" i="3"/>
  <c r="C531" i="3"/>
  <c r="B531" i="3"/>
  <c r="A531" i="3"/>
  <c r="J530" i="3"/>
  <c r="I530" i="3"/>
  <c r="H530" i="3"/>
  <c r="G530" i="3"/>
  <c r="F530" i="3"/>
  <c r="E530" i="3"/>
  <c r="D530" i="3"/>
  <c r="C530" i="3"/>
  <c r="B530" i="3"/>
  <c r="A530" i="3"/>
  <c r="J529" i="3"/>
  <c r="I529" i="3"/>
  <c r="H529" i="3"/>
  <c r="G529" i="3"/>
  <c r="F529" i="3"/>
  <c r="E529" i="3"/>
  <c r="D529" i="3"/>
  <c r="C529" i="3"/>
  <c r="B529" i="3"/>
  <c r="A529" i="3"/>
  <c r="J528" i="3"/>
  <c r="I528" i="3"/>
  <c r="H528" i="3"/>
  <c r="G528" i="3"/>
  <c r="F528" i="3"/>
  <c r="E528" i="3"/>
  <c r="D528" i="3"/>
  <c r="C528" i="3"/>
  <c r="B528" i="3"/>
  <c r="A528" i="3"/>
  <c r="J527" i="3"/>
  <c r="I527" i="3"/>
  <c r="H527" i="3"/>
  <c r="G527" i="3"/>
  <c r="F527" i="3"/>
  <c r="E527" i="3"/>
  <c r="D527" i="3"/>
  <c r="C527" i="3"/>
  <c r="B527" i="3"/>
  <c r="A527" i="3"/>
  <c r="J526" i="3"/>
  <c r="I526" i="3"/>
  <c r="H526" i="3"/>
  <c r="G526" i="3"/>
  <c r="F526" i="3"/>
  <c r="E526" i="3"/>
  <c r="D526" i="3"/>
  <c r="C526" i="3"/>
  <c r="B526" i="3"/>
  <c r="A526" i="3"/>
  <c r="J525" i="3"/>
  <c r="I525" i="3"/>
  <c r="H525" i="3"/>
  <c r="G525" i="3"/>
  <c r="A525" i="3"/>
  <c r="J524" i="3"/>
  <c r="I524" i="3"/>
  <c r="H524" i="3"/>
  <c r="G524" i="3"/>
  <c r="F524" i="3"/>
  <c r="E524" i="3"/>
  <c r="D524" i="3"/>
  <c r="C524" i="3"/>
  <c r="B524" i="3"/>
  <c r="A524" i="3"/>
  <c r="J523" i="3"/>
  <c r="I523" i="3"/>
  <c r="H523" i="3"/>
  <c r="G523" i="3"/>
  <c r="A523" i="3"/>
  <c r="J522" i="3"/>
  <c r="I522" i="3"/>
  <c r="H522" i="3"/>
  <c r="G522" i="3"/>
  <c r="F522" i="3"/>
  <c r="E522" i="3"/>
  <c r="D522" i="3"/>
  <c r="C522" i="3"/>
  <c r="B522" i="3"/>
  <c r="A522" i="3"/>
  <c r="J521" i="3"/>
  <c r="I521" i="3"/>
  <c r="H521" i="3"/>
  <c r="G521" i="3"/>
  <c r="F521" i="3"/>
  <c r="E521" i="3"/>
  <c r="D521" i="3"/>
  <c r="C521" i="3"/>
  <c r="B521" i="3"/>
  <c r="A521" i="3"/>
  <c r="J520" i="3"/>
  <c r="I520" i="3"/>
  <c r="H520" i="3"/>
  <c r="G520" i="3"/>
  <c r="F520" i="3"/>
  <c r="E520" i="3"/>
  <c r="D520" i="3"/>
  <c r="C520" i="3"/>
  <c r="B520" i="3"/>
  <c r="A520" i="3"/>
  <c r="J519" i="3"/>
  <c r="I519" i="3"/>
  <c r="H519" i="3"/>
  <c r="G519" i="3"/>
  <c r="F519" i="3"/>
  <c r="E519" i="3"/>
  <c r="D519" i="3"/>
  <c r="C519" i="3"/>
  <c r="B519" i="3"/>
  <c r="A519" i="3"/>
  <c r="J518" i="3"/>
  <c r="I518" i="3"/>
  <c r="H518" i="3"/>
  <c r="G518" i="3"/>
  <c r="A518" i="3"/>
  <c r="J517" i="3"/>
  <c r="I517" i="3"/>
  <c r="H517" i="3"/>
  <c r="G517" i="3"/>
  <c r="F517" i="3"/>
  <c r="E517" i="3"/>
  <c r="D517" i="3"/>
  <c r="C517" i="3"/>
  <c r="B517" i="3"/>
  <c r="A517" i="3"/>
  <c r="J516" i="3"/>
  <c r="I516" i="3"/>
  <c r="H516" i="3"/>
  <c r="G516" i="3"/>
  <c r="F516" i="3"/>
  <c r="E516" i="3"/>
  <c r="D516" i="3"/>
  <c r="C516" i="3"/>
  <c r="B516" i="3"/>
  <c r="A516" i="3"/>
  <c r="J515" i="3"/>
  <c r="I515" i="3"/>
  <c r="H515" i="3"/>
  <c r="G515" i="3"/>
  <c r="A515" i="3"/>
  <c r="J514" i="3"/>
  <c r="I514" i="3"/>
  <c r="H514" i="3"/>
  <c r="G514" i="3"/>
  <c r="F514" i="3"/>
  <c r="E514" i="3"/>
  <c r="D514" i="3"/>
  <c r="C514" i="3"/>
  <c r="B514" i="3"/>
  <c r="A514" i="3"/>
  <c r="J513" i="3"/>
  <c r="I513" i="3"/>
  <c r="H513" i="3"/>
  <c r="G513" i="3"/>
  <c r="F513" i="3"/>
  <c r="E513" i="3"/>
  <c r="D513" i="3"/>
  <c r="C513" i="3"/>
  <c r="B513" i="3"/>
  <c r="A513" i="3"/>
  <c r="J512" i="3"/>
  <c r="I512" i="3"/>
  <c r="H512" i="3"/>
  <c r="G512" i="3"/>
  <c r="F512" i="3"/>
  <c r="E512" i="3"/>
  <c r="D512" i="3"/>
  <c r="C512" i="3"/>
  <c r="B512" i="3"/>
  <c r="A512" i="3"/>
  <c r="J511" i="3"/>
  <c r="I511" i="3"/>
  <c r="H511" i="3"/>
  <c r="G511" i="3"/>
  <c r="F511" i="3"/>
  <c r="E511" i="3"/>
  <c r="D511" i="3"/>
  <c r="C511" i="3"/>
  <c r="B511" i="3"/>
  <c r="A511" i="3"/>
  <c r="J510" i="3"/>
  <c r="I510" i="3"/>
  <c r="H510" i="3"/>
  <c r="G510" i="3"/>
  <c r="F510" i="3"/>
  <c r="E510" i="3"/>
  <c r="D510" i="3"/>
  <c r="C510" i="3"/>
  <c r="B510" i="3"/>
  <c r="A510" i="3"/>
  <c r="J509" i="3"/>
  <c r="I509" i="3"/>
  <c r="H509" i="3"/>
  <c r="G509" i="3"/>
  <c r="F509" i="3"/>
  <c r="E509" i="3"/>
  <c r="D509" i="3"/>
  <c r="C509" i="3"/>
  <c r="B509" i="3"/>
  <c r="A509" i="3"/>
  <c r="J508" i="3"/>
  <c r="I508" i="3"/>
  <c r="H508" i="3"/>
  <c r="G508" i="3"/>
  <c r="F508" i="3"/>
  <c r="E508" i="3"/>
  <c r="D508" i="3"/>
  <c r="C508" i="3"/>
  <c r="B508" i="3"/>
  <c r="A508" i="3"/>
  <c r="J507" i="3"/>
  <c r="I507" i="3"/>
  <c r="H507" i="3"/>
  <c r="G507" i="3"/>
  <c r="F507" i="3"/>
  <c r="E507" i="3"/>
  <c r="D507" i="3"/>
  <c r="C507" i="3"/>
  <c r="B507" i="3"/>
  <c r="A507" i="3"/>
  <c r="J506" i="3"/>
  <c r="I506" i="3"/>
  <c r="H506" i="3"/>
  <c r="G506" i="3"/>
  <c r="F506" i="3"/>
  <c r="E506" i="3"/>
  <c r="D506" i="3"/>
  <c r="C506" i="3"/>
  <c r="B506" i="3"/>
  <c r="A506" i="3"/>
  <c r="J505" i="3"/>
  <c r="I505" i="3"/>
  <c r="H505" i="3"/>
  <c r="G505" i="3"/>
  <c r="F505" i="3"/>
  <c r="E505" i="3"/>
  <c r="D505" i="3"/>
  <c r="C505" i="3"/>
  <c r="B505" i="3"/>
  <c r="A505" i="3"/>
  <c r="J504" i="3"/>
  <c r="I504" i="3"/>
  <c r="H504" i="3"/>
  <c r="G504" i="3"/>
  <c r="A504" i="3"/>
  <c r="J503" i="3"/>
  <c r="I503" i="3"/>
  <c r="H503" i="3"/>
  <c r="G503" i="3"/>
  <c r="F503" i="3"/>
  <c r="E503" i="3"/>
  <c r="D503" i="3"/>
  <c r="C503" i="3"/>
  <c r="B503" i="3"/>
  <c r="A503" i="3"/>
  <c r="J502" i="3"/>
  <c r="I502" i="3"/>
  <c r="H502" i="3"/>
  <c r="G502" i="3"/>
  <c r="F502" i="3"/>
  <c r="E502" i="3"/>
  <c r="D502" i="3"/>
  <c r="C502" i="3"/>
  <c r="B502" i="3"/>
  <c r="A502" i="3"/>
  <c r="J501" i="3"/>
  <c r="I501" i="3"/>
  <c r="H501" i="3"/>
  <c r="G501" i="3"/>
  <c r="A501" i="3"/>
  <c r="J500" i="3"/>
  <c r="I500" i="3"/>
  <c r="H500" i="3"/>
  <c r="G500" i="3"/>
  <c r="F500" i="3"/>
  <c r="E500" i="3"/>
  <c r="D500" i="3"/>
  <c r="C500" i="3"/>
  <c r="B500" i="3"/>
  <c r="A500" i="3"/>
  <c r="J499" i="3"/>
  <c r="I499" i="3"/>
  <c r="H499" i="3"/>
  <c r="G499" i="3"/>
  <c r="F499" i="3"/>
  <c r="E499" i="3"/>
  <c r="D499" i="3"/>
  <c r="C499" i="3"/>
  <c r="B499" i="3"/>
  <c r="A499" i="3"/>
  <c r="J498" i="3"/>
  <c r="I498" i="3"/>
  <c r="H498" i="3"/>
  <c r="G498" i="3"/>
  <c r="F498" i="3"/>
  <c r="E498" i="3"/>
  <c r="D498" i="3"/>
  <c r="C498" i="3"/>
  <c r="B498" i="3"/>
  <c r="A498" i="3"/>
  <c r="J497" i="3"/>
  <c r="I497" i="3"/>
  <c r="H497" i="3"/>
  <c r="G497" i="3"/>
  <c r="F497" i="3"/>
  <c r="E497" i="3"/>
  <c r="D497" i="3"/>
  <c r="C497" i="3"/>
  <c r="B497" i="3"/>
  <c r="A497" i="3"/>
  <c r="J496" i="3"/>
  <c r="I496" i="3"/>
  <c r="H496" i="3"/>
  <c r="G496" i="3"/>
  <c r="F496" i="3"/>
  <c r="E496" i="3"/>
  <c r="D496" i="3"/>
  <c r="C496" i="3"/>
  <c r="B496" i="3"/>
  <c r="A496" i="3"/>
  <c r="J495" i="3"/>
  <c r="I495" i="3"/>
  <c r="H495" i="3"/>
  <c r="G495" i="3"/>
  <c r="F495" i="3"/>
  <c r="E495" i="3"/>
  <c r="D495" i="3"/>
  <c r="C495" i="3"/>
  <c r="B495" i="3"/>
  <c r="A495" i="3"/>
  <c r="J494" i="3"/>
  <c r="I494" i="3"/>
  <c r="H494" i="3"/>
  <c r="G494" i="3"/>
  <c r="A494" i="3"/>
  <c r="J493" i="3"/>
  <c r="I493" i="3"/>
  <c r="H493" i="3"/>
  <c r="G493" i="3"/>
  <c r="F493" i="3"/>
  <c r="E493" i="3"/>
  <c r="D493" i="3"/>
  <c r="C493" i="3"/>
  <c r="B493" i="3"/>
  <c r="A493" i="3"/>
  <c r="J492" i="3"/>
  <c r="I492" i="3"/>
  <c r="H492" i="3"/>
  <c r="G492" i="3"/>
  <c r="F492" i="3"/>
  <c r="E492" i="3"/>
  <c r="D492" i="3"/>
  <c r="C492" i="3"/>
  <c r="B492" i="3"/>
  <c r="A492" i="3"/>
  <c r="J491" i="3"/>
  <c r="I491" i="3"/>
  <c r="H491" i="3"/>
  <c r="G491" i="3"/>
  <c r="A491" i="3"/>
  <c r="J490" i="3"/>
  <c r="I490" i="3"/>
  <c r="H490" i="3"/>
  <c r="G490" i="3"/>
  <c r="F490" i="3"/>
  <c r="E490" i="3"/>
  <c r="D490" i="3"/>
  <c r="C490" i="3"/>
  <c r="B490" i="3"/>
  <c r="A490" i="3"/>
  <c r="J489" i="3"/>
  <c r="I489" i="3"/>
  <c r="H489" i="3"/>
  <c r="G489" i="3"/>
  <c r="A489" i="3"/>
  <c r="J488" i="3"/>
  <c r="I488" i="3"/>
  <c r="H488" i="3"/>
  <c r="G488" i="3"/>
  <c r="F488" i="3"/>
  <c r="E488" i="3"/>
  <c r="D488" i="3"/>
  <c r="C488" i="3"/>
  <c r="B488" i="3"/>
  <c r="A488" i="3"/>
  <c r="J487" i="3"/>
  <c r="I487" i="3"/>
  <c r="H487" i="3"/>
  <c r="G487" i="3"/>
  <c r="A487" i="3"/>
  <c r="J486" i="3"/>
  <c r="I486" i="3"/>
  <c r="H486" i="3"/>
  <c r="G486" i="3"/>
  <c r="F486" i="3"/>
  <c r="E486" i="3"/>
  <c r="D486" i="3"/>
  <c r="C486" i="3"/>
  <c r="B486" i="3"/>
  <c r="A486" i="3"/>
  <c r="J485" i="3"/>
  <c r="I485" i="3"/>
  <c r="H485" i="3"/>
  <c r="G485" i="3"/>
  <c r="F485" i="3"/>
  <c r="E485" i="3"/>
  <c r="D485" i="3"/>
  <c r="C485" i="3"/>
  <c r="B485" i="3"/>
  <c r="A485" i="3"/>
  <c r="J484" i="3"/>
  <c r="I484" i="3"/>
  <c r="H484" i="3"/>
  <c r="G484" i="3"/>
  <c r="F484" i="3"/>
  <c r="E484" i="3"/>
  <c r="D484" i="3"/>
  <c r="C484" i="3"/>
  <c r="B484" i="3"/>
  <c r="A484" i="3"/>
  <c r="J483" i="3"/>
  <c r="I483" i="3"/>
  <c r="H483" i="3"/>
  <c r="G483" i="3"/>
  <c r="F483" i="3"/>
  <c r="E483" i="3"/>
  <c r="D483" i="3"/>
  <c r="C483" i="3"/>
  <c r="B483" i="3"/>
  <c r="A483" i="3"/>
  <c r="J482" i="3"/>
  <c r="I482" i="3"/>
  <c r="H482" i="3"/>
  <c r="G482" i="3"/>
  <c r="F482" i="3"/>
  <c r="E482" i="3"/>
  <c r="D482" i="3"/>
  <c r="C482" i="3"/>
  <c r="B482" i="3"/>
  <c r="A482" i="3"/>
  <c r="J481" i="3"/>
  <c r="I481" i="3"/>
  <c r="H481" i="3"/>
  <c r="G481" i="3"/>
  <c r="A481" i="3"/>
  <c r="J480" i="3"/>
  <c r="I480" i="3"/>
  <c r="H480" i="3"/>
  <c r="G480" i="3"/>
  <c r="F480" i="3"/>
  <c r="E480" i="3"/>
  <c r="D480" i="3"/>
  <c r="C480" i="3"/>
  <c r="B480" i="3"/>
  <c r="A480" i="3"/>
  <c r="J479" i="3"/>
  <c r="I479" i="3"/>
  <c r="H479" i="3"/>
  <c r="G479" i="3"/>
  <c r="F479" i="3"/>
  <c r="E479" i="3"/>
  <c r="D479" i="3"/>
  <c r="C479" i="3"/>
  <c r="B479" i="3"/>
  <c r="A479" i="3"/>
  <c r="J478" i="3"/>
  <c r="I478" i="3"/>
  <c r="H478" i="3"/>
  <c r="G478" i="3"/>
  <c r="F478" i="3"/>
  <c r="E478" i="3"/>
  <c r="D478" i="3"/>
  <c r="C478" i="3"/>
  <c r="B478" i="3"/>
  <c r="A478" i="3"/>
  <c r="J477" i="3"/>
  <c r="I477" i="3"/>
  <c r="H477" i="3"/>
  <c r="G477" i="3"/>
  <c r="F477" i="3"/>
  <c r="E477" i="3"/>
  <c r="D477" i="3"/>
  <c r="C477" i="3"/>
  <c r="B477" i="3"/>
  <c r="A477" i="3"/>
  <c r="J476" i="3"/>
  <c r="I476" i="3"/>
  <c r="H476" i="3"/>
  <c r="G476" i="3"/>
  <c r="F476" i="3"/>
  <c r="E476" i="3"/>
  <c r="D476" i="3"/>
  <c r="C476" i="3"/>
  <c r="B476" i="3"/>
  <c r="A476" i="3"/>
  <c r="J475" i="3"/>
  <c r="I475" i="3"/>
  <c r="H475" i="3"/>
  <c r="G475" i="3"/>
  <c r="F475" i="3"/>
  <c r="E475" i="3"/>
  <c r="D475" i="3"/>
  <c r="C475" i="3"/>
  <c r="B475" i="3"/>
  <c r="A475" i="3"/>
  <c r="J474" i="3"/>
  <c r="I474" i="3"/>
  <c r="H474" i="3"/>
  <c r="G474" i="3"/>
  <c r="F474" i="3"/>
  <c r="E474" i="3"/>
  <c r="D474" i="3"/>
  <c r="C474" i="3"/>
  <c r="B474" i="3"/>
  <c r="A474" i="3"/>
  <c r="J473" i="3"/>
  <c r="I473" i="3"/>
  <c r="H473" i="3"/>
  <c r="G473" i="3"/>
  <c r="F473" i="3"/>
  <c r="E473" i="3"/>
  <c r="D473" i="3"/>
  <c r="C473" i="3"/>
  <c r="B473" i="3"/>
  <c r="A473" i="3"/>
  <c r="J472" i="3"/>
  <c r="I472" i="3"/>
  <c r="H472" i="3"/>
  <c r="G472" i="3"/>
  <c r="F472" i="3"/>
  <c r="E472" i="3"/>
  <c r="D472" i="3"/>
  <c r="C472" i="3"/>
  <c r="B472" i="3"/>
  <c r="A472" i="3"/>
  <c r="J471" i="3"/>
  <c r="I471" i="3"/>
  <c r="H471" i="3"/>
  <c r="G471" i="3"/>
  <c r="F471" i="3"/>
  <c r="E471" i="3"/>
  <c r="D471" i="3"/>
  <c r="C471" i="3"/>
  <c r="B471" i="3"/>
  <c r="A471" i="3"/>
  <c r="J470" i="3"/>
  <c r="I470" i="3"/>
  <c r="H470" i="3"/>
  <c r="G470" i="3"/>
  <c r="F470" i="3"/>
  <c r="E470" i="3"/>
  <c r="D470" i="3"/>
  <c r="C470" i="3"/>
  <c r="B470" i="3"/>
  <c r="A470" i="3"/>
  <c r="J469" i="3"/>
  <c r="I469" i="3"/>
  <c r="H469" i="3"/>
  <c r="G469" i="3"/>
  <c r="F469" i="3"/>
  <c r="E469" i="3"/>
  <c r="D469" i="3"/>
  <c r="C469" i="3"/>
  <c r="B469" i="3"/>
  <c r="A469" i="3"/>
  <c r="J468" i="3"/>
  <c r="I468" i="3"/>
  <c r="H468" i="3"/>
  <c r="G468" i="3"/>
  <c r="F468" i="3"/>
  <c r="E468" i="3"/>
  <c r="D468" i="3"/>
  <c r="C468" i="3"/>
  <c r="B468" i="3"/>
  <c r="A468" i="3"/>
  <c r="J467" i="3"/>
  <c r="I467" i="3"/>
  <c r="H467" i="3"/>
  <c r="G467" i="3"/>
  <c r="F467" i="3"/>
  <c r="E467" i="3"/>
  <c r="D467" i="3"/>
  <c r="C467" i="3"/>
  <c r="B467" i="3"/>
  <c r="A467" i="3"/>
  <c r="J466" i="3"/>
  <c r="I466" i="3"/>
  <c r="H466" i="3"/>
  <c r="G466" i="3"/>
  <c r="F466" i="3"/>
  <c r="E466" i="3"/>
  <c r="D466" i="3"/>
  <c r="C466" i="3"/>
  <c r="B466" i="3"/>
  <c r="A466" i="3"/>
  <c r="J465" i="3"/>
  <c r="I465" i="3"/>
  <c r="H465" i="3"/>
  <c r="G465" i="3"/>
  <c r="F465" i="3"/>
  <c r="E465" i="3"/>
  <c r="D465" i="3"/>
  <c r="C465" i="3"/>
  <c r="B465" i="3"/>
  <c r="A465" i="3"/>
  <c r="J464" i="3"/>
  <c r="I464" i="3"/>
  <c r="H464" i="3"/>
  <c r="G464" i="3"/>
  <c r="F464" i="3"/>
  <c r="E464" i="3"/>
  <c r="D464" i="3"/>
  <c r="C464" i="3"/>
  <c r="B464" i="3"/>
  <c r="A464" i="3"/>
  <c r="J463" i="3"/>
  <c r="I463" i="3"/>
  <c r="H463" i="3"/>
  <c r="G463" i="3"/>
  <c r="F463" i="3"/>
  <c r="E463" i="3"/>
  <c r="D463" i="3"/>
  <c r="C463" i="3"/>
  <c r="B463" i="3"/>
  <c r="A463" i="3"/>
  <c r="J462" i="3"/>
  <c r="I462" i="3"/>
  <c r="H462" i="3"/>
  <c r="G462" i="3"/>
  <c r="F462" i="3"/>
  <c r="E462" i="3"/>
  <c r="D462" i="3"/>
  <c r="C462" i="3"/>
  <c r="B462" i="3"/>
  <c r="A462" i="3"/>
  <c r="J461" i="3"/>
  <c r="I461" i="3"/>
  <c r="H461" i="3"/>
  <c r="G461" i="3"/>
  <c r="F461" i="3"/>
  <c r="E461" i="3"/>
  <c r="D461" i="3"/>
  <c r="C461" i="3"/>
  <c r="B461" i="3"/>
  <c r="A461" i="3"/>
  <c r="J460" i="3"/>
  <c r="I460" i="3"/>
  <c r="H460" i="3"/>
  <c r="G460" i="3"/>
  <c r="F460" i="3"/>
  <c r="E460" i="3"/>
  <c r="D460" i="3"/>
  <c r="C460" i="3"/>
  <c r="B460" i="3"/>
  <c r="A460" i="3"/>
  <c r="J459" i="3"/>
  <c r="I459" i="3"/>
  <c r="H459" i="3"/>
  <c r="G459" i="3"/>
  <c r="F459" i="3"/>
  <c r="E459" i="3"/>
  <c r="D459" i="3"/>
  <c r="C459" i="3"/>
  <c r="B459" i="3"/>
  <c r="A459" i="3"/>
  <c r="J458" i="3"/>
  <c r="I458" i="3"/>
  <c r="H458" i="3"/>
  <c r="G458" i="3"/>
  <c r="A458" i="3"/>
  <c r="J457" i="3"/>
  <c r="I457" i="3"/>
  <c r="H457" i="3"/>
  <c r="G457" i="3"/>
  <c r="F457" i="3"/>
  <c r="E457" i="3"/>
  <c r="D457" i="3"/>
  <c r="C457" i="3"/>
  <c r="B457" i="3"/>
  <c r="A457" i="3"/>
  <c r="J456" i="3"/>
  <c r="I456" i="3"/>
  <c r="H456" i="3"/>
  <c r="G456" i="3"/>
  <c r="F456" i="3"/>
  <c r="E456" i="3"/>
  <c r="D456" i="3"/>
  <c r="C456" i="3"/>
  <c r="B456" i="3"/>
  <c r="A456" i="3"/>
  <c r="J455" i="3"/>
  <c r="I455" i="3"/>
  <c r="H455" i="3"/>
  <c r="G455" i="3"/>
  <c r="F455" i="3"/>
  <c r="E455" i="3"/>
  <c r="D455" i="3"/>
  <c r="C455" i="3"/>
  <c r="B455" i="3"/>
  <c r="A455" i="3"/>
  <c r="J454" i="3"/>
  <c r="I454" i="3"/>
  <c r="H454" i="3"/>
  <c r="G454" i="3"/>
  <c r="A454" i="3"/>
  <c r="J453" i="3"/>
  <c r="I453" i="3"/>
  <c r="H453" i="3"/>
  <c r="G453" i="3"/>
  <c r="F453" i="3"/>
  <c r="E453" i="3"/>
  <c r="D453" i="3"/>
  <c r="C453" i="3"/>
  <c r="B453" i="3"/>
  <c r="A453" i="3"/>
  <c r="J452" i="3"/>
  <c r="I452" i="3"/>
  <c r="H452" i="3"/>
  <c r="G452" i="3"/>
  <c r="A452" i="3"/>
  <c r="J451" i="3"/>
  <c r="I451" i="3"/>
  <c r="H451" i="3"/>
  <c r="G451" i="3"/>
  <c r="F451" i="3"/>
  <c r="E451" i="3"/>
  <c r="D451" i="3"/>
  <c r="C451" i="3"/>
  <c r="B451" i="3"/>
  <c r="A451" i="3"/>
  <c r="J450" i="3"/>
  <c r="I450" i="3"/>
  <c r="H450" i="3"/>
  <c r="G450" i="3"/>
  <c r="A450" i="3"/>
  <c r="J449" i="3"/>
  <c r="I449" i="3"/>
  <c r="H449" i="3"/>
  <c r="G449" i="3"/>
  <c r="F449" i="3"/>
  <c r="E449" i="3"/>
  <c r="D449" i="3"/>
  <c r="C449" i="3"/>
  <c r="B449" i="3"/>
  <c r="A449" i="3"/>
  <c r="J448" i="3"/>
  <c r="I448" i="3"/>
  <c r="H448" i="3"/>
  <c r="G448" i="3"/>
  <c r="A448" i="3"/>
  <c r="J447" i="3"/>
  <c r="I447" i="3"/>
  <c r="H447" i="3"/>
  <c r="G447" i="3"/>
  <c r="F447" i="3"/>
  <c r="E447" i="3"/>
  <c r="D447" i="3"/>
  <c r="C447" i="3"/>
  <c r="B447" i="3"/>
  <c r="A447" i="3"/>
  <c r="J446" i="3"/>
  <c r="I446" i="3"/>
  <c r="H446" i="3"/>
  <c r="G446" i="3"/>
  <c r="F446" i="3"/>
  <c r="E446" i="3"/>
  <c r="D446" i="3"/>
  <c r="C446" i="3"/>
  <c r="B446" i="3"/>
  <c r="A446" i="3"/>
  <c r="J445" i="3"/>
  <c r="I445" i="3"/>
  <c r="H445" i="3"/>
  <c r="G445" i="3"/>
  <c r="F445" i="3"/>
  <c r="E445" i="3"/>
  <c r="D445" i="3"/>
  <c r="C445" i="3"/>
  <c r="B445" i="3"/>
  <c r="A445" i="3"/>
  <c r="J444" i="3"/>
  <c r="I444" i="3"/>
  <c r="H444" i="3"/>
  <c r="G444" i="3"/>
  <c r="F444" i="3"/>
  <c r="E444" i="3"/>
  <c r="D444" i="3"/>
  <c r="C444" i="3"/>
  <c r="B444" i="3"/>
  <c r="A444" i="3"/>
  <c r="J443" i="3"/>
  <c r="I443" i="3"/>
  <c r="H443" i="3"/>
  <c r="G443" i="3"/>
  <c r="F443" i="3"/>
  <c r="E443" i="3"/>
  <c r="D443" i="3"/>
  <c r="C443" i="3"/>
  <c r="B443" i="3"/>
  <c r="A443" i="3"/>
  <c r="J442" i="3"/>
  <c r="I442" i="3"/>
  <c r="H442" i="3"/>
  <c r="G442" i="3"/>
  <c r="F442" i="3"/>
  <c r="E442" i="3"/>
  <c r="D442" i="3"/>
  <c r="C442" i="3"/>
  <c r="B442" i="3"/>
  <c r="A442" i="3"/>
  <c r="J441" i="3"/>
  <c r="I441" i="3"/>
  <c r="H441" i="3"/>
  <c r="G441" i="3"/>
  <c r="F441" i="3"/>
  <c r="E441" i="3"/>
  <c r="D441" i="3"/>
  <c r="C441" i="3"/>
  <c r="B441" i="3"/>
  <c r="A441" i="3"/>
  <c r="J440" i="3"/>
  <c r="I440" i="3"/>
  <c r="H440" i="3"/>
  <c r="G440" i="3"/>
  <c r="F440" i="3"/>
  <c r="E440" i="3"/>
  <c r="D440" i="3"/>
  <c r="C440" i="3"/>
  <c r="B440" i="3"/>
  <c r="A440" i="3"/>
  <c r="J439" i="3"/>
  <c r="I439" i="3"/>
  <c r="H439" i="3"/>
  <c r="G439" i="3"/>
  <c r="F439" i="3"/>
  <c r="E439" i="3"/>
  <c r="D439" i="3"/>
  <c r="C439" i="3"/>
  <c r="B439" i="3"/>
  <c r="A439" i="3"/>
  <c r="J438" i="3"/>
  <c r="I438" i="3"/>
  <c r="H438" i="3"/>
  <c r="G438" i="3"/>
  <c r="F438" i="3"/>
  <c r="E438" i="3"/>
  <c r="D438" i="3"/>
  <c r="C438" i="3"/>
  <c r="B438" i="3"/>
  <c r="A438" i="3"/>
  <c r="J437" i="3"/>
  <c r="I437" i="3"/>
  <c r="H437" i="3"/>
  <c r="G437" i="3"/>
  <c r="F437" i="3"/>
  <c r="E437" i="3"/>
  <c r="D437" i="3"/>
  <c r="C437" i="3"/>
  <c r="B437" i="3"/>
  <c r="A437" i="3"/>
  <c r="J436" i="3"/>
  <c r="I436" i="3"/>
  <c r="H436" i="3"/>
  <c r="G436" i="3"/>
  <c r="A436" i="3"/>
  <c r="J435" i="3"/>
  <c r="I435" i="3"/>
  <c r="H435" i="3"/>
  <c r="G435" i="3"/>
  <c r="F435" i="3"/>
  <c r="E435" i="3"/>
  <c r="D435" i="3"/>
  <c r="C435" i="3"/>
  <c r="B435" i="3"/>
  <c r="A435" i="3"/>
  <c r="J434" i="3"/>
  <c r="I434" i="3"/>
  <c r="H434" i="3"/>
  <c r="G434" i="3"/>
  <c r="A434" i="3"/>
  <c r="J433" i="3"/>
  <c r="I433" i="3"/>
  <c r="H433" i="3"/>
  <c r="G433" i="3"/>
  <c r="F433" i="3"/>
  <c r="E433" i="3"/>
  <c r="D433" i="3"/>
  <c r="C433" i="3"/>
  <c r="B433" i="3"/>
  <c r="A433" i="3"/>
  <c r="J432" i="3"/>
  <c r="I432" i="3"/>
  <c r="H432" i="3"/>
  <c r="G432" i="3"/>
  <c r="A432" i="3"/>
  <c r="J431" i="3"/>
  <c r="I431" i="3"/>
  <c r="H431" i="3"/>
  <c r="G431" i="3"/>
  <c r="F431" i="3"/>
  <c r="E431" i="3"/>
  <c r="D431" i="3"/>
  <c r="C431" i="3"/>
  <c r="B431" i="3"/>
  <c r="A431" i="3"/>
  <c r="J430" i="3"/>
  <c r="I430" i="3"/>
  <c r="H430" i="3"/>
  <c r="G430" i="3"/>
  <c r="F430" i="3"/>
  <c r="E430" i="3"/>
  <c r="D430" i="3"/>
  <c r="C430" i="3"/>
  <c r="B430" i="3"/>
  <c r="A430" i="3"/>
  <c r="J429" i="3"/>
  <c r="I429" i="3"/>
  <c r="H429" i="3"/>
  <c r="G429" i="3"/>
  <c r="F429" i="3"/>
  <c r="E429" i="3"/>
  <c r="D429" i="3"/>
  <c r="C429" i="3"/>
  <c r="B429" i="3"/>
  <c r="A429" i="3"/>
  <c r="J428" i="3"/>
  <c r="I428" i="3"/>
  <c r="H428" i="3"/>
  <c r="G428" i="3"/>
  <c r="A428" i="3"/>
  <c r="J427" i="3"/>
  <c r="I427" i="3"/>
  <c r="H427" i="3"/>
  <c r="G427" i="3"/>
  <c r="F427" i="3"/>
  <c r="E427" i="3"/>
  <c r="D427" i="3"/>
  <c r="C427" i="3"/>
  <c r="B427" i="3"/>
  <c r="A427" i="3"/>
  <c r="J426" i="3"/>
  <c r="I426" i="3"/>
  <c r="H426" i="3"/>
  <c r="G426" i="3"/>
  <c r="F426" i="3"/>
  <c r="E426" i="3"/>
  <c r="D426" i="3"/>
  <c r="C426" i="3"/>
  <c r="B426" i="3"/>
  <c r="A426" i="3"/>
  <c r="J425" i="3"/>
  <c r="I425" i="3"/>
  <c r="H425" i="3"/>
  <c r="G425" i="3"/>
  <c r="F425" i="3"/>
  <c r="E425" i="3"/>
  <c r="D425" i="3"/>
  <c r="C425" i="3"/>
  <c r="B425" i="3"/>
  <c r="A425" i="3"/>
  <c r="J424" i="3"/>
  <c r="I424" i="3"/>
  <c r="H424" i="3"/>
  <c r="G424" i="3"/>
  <c r="F424" i="3"/>
  <c r="E424" i="3"/>
  <c r="D424" i="3"/>
  <c r="C424" i="3"/>
  <c r="B424" i="3"/>
  <c r="A424" i="3"/>
  <c r="J423" i="3"/>
  <c r="I423" i="3"/>
  <c r="H423" i="3"/>
  <c r="G423" i="3"/>
  <c r="F423" i="3"/>
  <c r="E423" i="3"/>
  <c r="D423" i="3"/>
  <c r="C423" i="3"/>
  <c r="B423" i="3"/>
  <c r="A423" i="3"/>
  <c r="J422" i="3"/>
  <c r="I422" i="3"/>
  <c r="H422" i="3"/>
  <c r="G422" i="3"/>
  <c r="F422" i="3"/>
  <c r="E422" i="3"/>
  <c r="D422" i="3"/>
  <c r="C422" i="3"/>
  <c r="B422" i="3"/>
  <c r="A422" i="3"/>
  <c r="J421" i="3"/>
  <c r="I421" i="3"/>
  <c r="H421" i="3"/>
  <c r="G421" i="3"/>
  <c r="F421" i="3"/>
  <c r="E421" i="3"/>
  <c r="D421" i="3"/>
  <c r="C421" i="3"/>
  <c r="B421" i="3"/>
  <c r="A421" i="3"/>
  <c r="J420" i="3"/>
  <c r="I420" i="3"/>
  <c r="H420" i="3"/>
  <c r="G420" i="3"/>
  <c r="F420" i="3"/>
  <c r="E420" i="3"/>
  <c r="D420" i="3"/>
  <c r="C420" i="3"/>
  <c r="B420" i="3"/>
  <c r="A420" i="3"/>
  <c r="J419" i="3"/>
  <c r="I419" i="3"/>
  <c r="H419" i="3"/>
  <c r="G419" i="3"/>
  <c r="F419" i="3"/>
  <c r="E419" i="3"/>
  <c r="D419" i="3"/>
  <c r="C419" i="3"/>
  <c r="B419" i="3"/>
  <c r="A419" i="3"/>
  <c r="J418" i="3"/>
  <c r="I418" i="3"/>
  <c r="H418" i="3"/>
  <c r="G418" i="3"/>
  <c r="A418" i="3"/>
  <c r="J417" i="3"/>
  <c r="I417" i="3"/>
  <c r="H417" i="3"/>
  <c r="G417" i="3"/>
  <c r="F417" i="3"/>
  <c r="E417" i="3"/>
  <c r="D417" i="3"/>
  <c r="C417" i="3"/>
  <c r="B417" i="3"/>
  <c r="A417" i="3"/>
  <c r="J416" i="3"/>
  <c r="I416" i="3"/>
  <c r="H416" i="3"/>
  <c r="G416" i="3"/>
  <c r="A416" i="3"/>
  <c r="J415" i="3"/>
  <c r="I415" i="3"/>
  <c r="H415" i="3"/>
  <c r="G415" i="3"/>
  <c r="F415" i="3"/>
  <c r="E415" i="3"/>
  <c r="D415" i="3"/>
  <c r="C415" i="3"/>
  <c r="B415" i="3"/>
  <c r="A415" i="3"/>
  <c r="J414" i="3"/>
  <c r="I414" i="3"/>
  <c r="H414" i="3"/>
  <c r="G414" i="3"/>
  <c r="F414" i="3"/>
  <c r="E414" i="3"/>
  <c r="D414" i="3"/>
  <c r="C414" i="3"/>
  <c r="B414" i="3"/>
  <c r="A414" i="3"/>
  <c r="J413" i="3"/>
  <c r="I413" i="3"/>
  <c r="H413" i="3"/>
  <c r="G413" i="3"/>
  <c r="F413" i="3"/>
  <c r="E413" i="3"/>
  <c r="D413" i="3"/>
  <c r="C413" i="3"/>
  <c r="B413" i="3"/>
  <c r="A413" i="3"/>
  <c r="J412" i="3"/>
  <c r="I412" i="3"/>
  <c r="H412" i="3"/>
  <c r="G412" i="3"/>
  <c r="F412" i="3"/>
  <c r="E412" i="3"/>
  <c r="D412" i="3"/>
  <c r="C412" i="3"/>
  <c r="B412" i="3"/>
  <c r="A412" i="3"/>
  <c r="J411" i="3"/>
  <c r="I411" i="3"/>
  <c r="H411" i="3"/>
  <c r="G411" i="3"/>
  <c r="F411" i="3"/>
  <c r="E411" i="3"/>
  <c r="D411" i="3"/>
  <c r="C411" i="3"/>
  <c r="B411" i="3"/>
  <c r="A411" i="3"/>
  <c r="J410" i="3"/>
  <c r="I410" i="3"/>
  <c r="H410" i="3"/>
  <c r="G410" i="3"/>
  <c r="F410" i="3"/>
  <c r="E410" i="3"/>
  <c r="D410" i="3"/>
  <c r="C410" i="3"/>
  <c r="B410" i="3"/>
  <c r="A410" i="3"/>
  <c r="J409" i="3"/>
  <c r="I409" i="3"/>
  <c r="H409" i="3"/>
  <c r="G409" i="3"/>
  <c r="A409" i="3"/>
  <c r="J408" i="3"/>
  <c r="I408" i="3"/>
  <c r="H408" i="3"/>
  <c r="G408" i="3"/>
  <c r="F408" i="3"/>
  <c r="E408" i="3"/>
  <c r="D408" i="3"/>
  <c r="C408" i="3"/>
  <c r="B408" i="3"/>
  <c r="A408" i="3"/>
  <c r="J407" i="3"/>
  <c r="I407" i="3"/>
  <c r="H407" i="3"/>
  <c r="G407" i="3"/>
  <c r="F407" i="3"/>
  <c r="E407" i="3"/>
  <c r="D407" i="3"/>
  <c r="C407" i="3"/>
  <c r="B407" i="3"/>
  <c r="A407" i="3"/>
  <c r="J406" i="3"/>
  <c r="I406" i="3"/>
  <c r="H406" i="3"/>
  <c r="G406" i="3"/>
  <c r="F406" i="3"/>
  <c r="E406" i="3"/>
  <c r="D406" i="3"/>
  <c r="C406" i="3"/>
  <c r="B406" i="3"/>
  <c r="A406" i="3"/>
  <c r="J405" i="3"/>
  <c r="I405" i="3"/>
  <c r="H405" i="3"/>
  <c r="G405" i="3"/>
  <c r="F405" i="3"/>
  <c r="E405" i="3"/>
  <c r="D405" i="3"/>
  <c r="C405" i="3"/>
  <c r="B405" i="3"/>
  <c r="A405" i="3"/>
  <c r="J404" i="3"/>
  <c r="I404" i="3"/>
  <c r="H404" i="3"/>
  <c r="G404" i="3"/>
  <c r="A404" i="3"/>
  <c r="J403" i="3"/>
  <c r="I403" i="3"/>
  <c r="H403" i="3"/>
  <c r="G403" i="3"/>
  <c r="F403" i="3"/>
  <c r="E403" i="3"/>
  <c r="D403" i="3"/>
  <c r="C403" i="3"/>
  <c r="B403" i="3"/>
  <c r="A403" i="3"/>
  <c r="J402" i="3"/>
  <c r="I402" i="3"/>
  <c r="H402" i="3"/>
  <c r="G402" i="3"/>
  <c r="F402" i="3"/>
  <c r="E402" i="3"/>
  <c r="D402" i="3"/>
  <c r="C402" i="3"/>
  <c r="B402" i="3"/>
  <c r="A402" i="3"/>
  <c r="J401" i="3"/>
  <c r="I401" i="3"/>
  <c r="H401" i="3"/>
  <c r="G401" i="3"/>
  <c r="F401" i="3"/>
  <c r="E401" i="3"/>
  <c r="D401" i="3"/>
  <c r="C401" i="3"/>
  <c r="B401" i="3"/>
  <c r="A401" i="3"/>
  <c r="J400" i="3"/>
  <c r="I400" i="3"/>
  <c r="H400" i="3"/>
  <c r="G400" i="3"/>
  <c r="F400" i="3"/>
  <c r="E400" i="3"/>
  <c r="D400" i="3"/>
  <c r="C400" i="3"/>
  <c r="B400" i="3"/>
  <c r="A400" i="3"/>
  <c r="J399" i="3"/>
  <c r="I399" i="3"/>
  <c r="H399" i="3"/>
  <c r="G399" i="3"/>
  <c r="F399" i="3"/>
  <c r="E399" i="3"/>
  <c r="D399" i="3"/>
  <c r="C399" i="3"/>
  <c r="B399" i="3"/>
  <c r="A399" i="3"/>
  <c r="J398" i="3"/>
  <c r="I398" i="3"/>
  <c r="H398" i="3"/>
  <c r="G398" i="3"/>
  <c r="A398" i="3"/>
  <c r="J397" i="3"/>
  <c r="I397" i="3"/>
  <c r="H397" i="3"/>
  <c r="G397" i="3"/>
  <c r="F397" i="3"/>
  <c r="E397" i="3"/>
  <c r="D397" i="3"/>
  <c r="C397" i="3"/>
  <c r="B397" i="3"/>
  <c r="A397" i="3"/>
  <c r="J396" i="3"/>
  <c r="I396" i="3"/>
  <c r="H396" i="3"/>
  <c r="G396" i="3"/>
  <c r="F396" i="3"/>
  <c r="E396" i="3"/>
  <c r="D396" i="3"/>
  <c r="C396" i="3"/>
  <c r="B396" i="3"/>
  <c r="A396" i="3"/>
  <c r="J395" i="3"/>
  <c r="I395" i="3"/>
  <c r="H395" i="3"/>
  <c r="G395" i="3"/>
  <c r="F395" i="3"/>
  <c r="E395" i="3"/>
  <c r="D395" i="3"/>
  <c r="C395" i="3"/>
  <c r="B395" i="3"/>
  <c r="A395" i="3"/>
  <c r="J394" i="3"/>
  <c r="I394" i="3"/>
  <c r="H394" i="3"/>
  <c r="G394" i="3"/>
  <c r="A394" i="3"/>
  <c r="J393" i="3"/>
  <c r="I393" i="3"/>
  <c r="H393" i="3"/>
  <c r="G393" i="3"/>
  <c r="F393" i="3"/>
  <c r="E393" i="3"/>
  <c r="D393" i="3"/>
  <c r="C393" i="3"/>
  <c r="B393" i="3"/>
  <c r="A393" i="3"/>
  <c r="J392" i="3"/>
  <c r="I392" i="3"/>
  <c r="H392" i="3"/>
  <c r="G392" i="3"/>
  <c r="F392" i="3"/>
  <c r="E392" i="3"/>
  <c r="D392" i="3"/>
  <c r="C392" i="3"/>
  <c r="B392" i="3"/>
  <c r="A392" i="3"/>
  <c r="J391" i="3"/>
  <c r="I391" i="3"/>
  <c r="H391" i="3"/>
  <c r="G391" i="3"/>
  <c r="F391" i="3"/>
  <c r="E391" i="3"/>
  <c r="D391" i="3"/>
  <c r="C391" i="3"/>
  <c r="B391" i="3"/>
  <c r="A391" i="3"/>
  <c r="J390" i="3"/>
  <c r="I390" i="3"/>
  <c r="H390" i="3"/>
  <c r="G390" i="3"/>
  <c r="F390" i="3"/>
  <c r="E390" i="3"/>
  <c r="D390" i="3"/>
  <c r="C390" i="3"/>
  <c r="B390" i="3"/>
  <c r="A390" i="3"/>
  <c r="J389" i="3"/>
  <c r="I389" i="3"/>
  <c r="H389" i="3"/>
  <c r="G389" i="3"/>
  <c r="F389" i="3"/>
  <c r="E389" i="3"/>
  <c r="D389" i="3"/>
  <c r="C389" i="3"/>
  <c r="B389" i="3"/>
  <c r="A389" i="3"/>
  <c r="J388" i="3"/>
  <c r="I388" i="3"/>
  <c r="H388" i="3"/>
  <c r="G388" i="3"/>
  <c r="F388" i="3"/>
  <c r="E388" i="3"/>
  <c r="D388" i="3"/>
  <c r="C388" i="3"/>
  <c r="B388" i="3"/>
  <c r="A388" i="3"/>
  <c r="J387" i="3"/>
  <c r="I387" i="3"/>
  <c r="H387" i="3"/>
  <c r="G387" i="3"/>
  <c r="A387" i="3"/>
  <c r="J386" i="3"/>
  <c r="I386" i="3"/>
  <c r="H386" i="3"/>
  <c r="G386" i="3"/>
  <c r="F386" i="3"/>
  <c r="E386" i="3"/>
  <c r="D386" i="3"/>
  <c r="C386" i="3"/>
  <c r="B386" i="3"/>
  <c r="A386" i="3"/>
  <c r="J385" i="3"/>
  <c r="I385" i="3"/>
  <c r="H385" i="3"/>
  <c r="G385" i="3"/>
  <c r="A385" i="3"/>
  <c r="J384" i="3"/>
  <c r="I384" i="3"/>
  <c r="H384" i="3"/>
  <c r="G384" i="3"/>
  <c r="F384" i="3"/>
  <c r="E384" i="3"/>
  <c r="D384" i="3"/>
  <c r="C384" i="3"/>
  <c r="B384" i="3"/>
  <c r="A384" i="3"/>
  <c r="J383" i="3"/>
  <c r="I383" i="3"/>
  <c r="H383" i="3"/>
  <c r="G383" i="3"/>
  <c r="F383" i="3"/>
  <c r="E383" i="3"/>
  <c r="D383" i="3"/>
  <c r="C383" i="3"/>
  <c r="B383" i="3"/>
  <c r="A383" i="3"/>
  <c r="J382" i="3"/>
  <c r="I382" i="3"/>
  <c r="H382" i="3"/>
  <c r="G382" i="3"/>
  <c r="F382" i="3"/>
  <c r="E382" i="3"/>
  <c r="D382" i="3"/>
  <c r="C382" i="3"/>
  <c r="B382" i="3"/>
  <c r="A382" i="3"/>
  <c r="J381" i="3"/>
  <c r="I381" i="3"/>
  <c r="H381" i="3"/>
  <c r="G381" i="3"/>
  <c r="F381" i="3"/>
  <c r="E381" i="3"/>
  <c r="D381" i="3"/>
  <c r="C381" i="3"/>
  <c r="B381" i="3"/>
  <c r="A381" i="3"/>
  <c r="J380" i="3"/>
  <c r="I380" i="3"/>
  <c r="H380" i="3"/>
  <c r="G380" i="3"/>
  <c r="F380" i="3"/>
  <c r="E380" i="3"/>
  <c r="D380" i="3"/>
  <c r="C380" i="3"/>
  <c r="B380" i="3"/>
  <c r="A380" i="3"/>
  <c r="J379" i="3"/>
  <c r="I379" i="3"/>
  <c r="H379" i="3"/>
  <c r="G379" i="3"/>
  <c r="F379" i="3"/>
  <c r="E379" i="3"/>
  <c r="D379" i="3"/>
  <c r="C379" i="3"/>
  <c r="B379" i="3"/>
  <c r="A379" i="3"/>
  <c r="J378" i="3"/>
  <c r="I378" i="3"/>
  <c r="H378" i="3"/>
  <c r="G378" i="3"/>
  <c r="F378" i="3"/>
  <c r="E378" i="3"/>
  <c r="D378" i="3"/>
  <c r="C378" i="3"/>
  <c r="B378" i="3"/>
  <c r="A378" i="3"/>
  <c r="J377" i="3"/>
  <c r="I377" i="3"/>
  <c r="H377" i="3"/>
  <c r="G377" i="3"/>
  <c r="F377" i="3"/>
  <c r="E377" i="3"/>
  <c r="D377" i="3"/>
  <c r="C377" i="3"/>
  <c r="B377" i="3"/>
  <c r="A377" i="3"/>
  <c r="J376" i="3"/>
  <c r="I376" i="3"/>
  <c r="H376" i="3"/>
  <c r="G376" i="3"/>
  <c r="F376" i="3"/>
  <c r="E376" i="3"/>
  <c r="D376" i="3"/>
  <c r="C376" i="3"/>
  <c r="B376" i="3"/>
  <c r="A376" i="3"/>
  <c r="J375" i="3"/>
  <c r="I375" i="3"/>
  <c r="H375" i="3"/>
  <c r="G375" i="3"/>
  <c r="F375" i="3"/>
  <c r="E375" i="3"/>
  <c r="D375" i="3"/>
  <c r="C375" i="3"/>
  <c r="B375" i="3"/>
  <c r="A375" i="3"/>
  <c r="J374" i="3"/>
  <c r="I374" i="3"/>
  <c r="H374" i="3"/>
  <c r="G374" i="3"/>
  <c r="F374" i="3"/>
  <c r="E374" i="3"/>
  <c r="D374" i="3"/>
  <c r="C374" i="3"/>
  <c r="B374" i="3"/>
  <c r="A374" i="3"/>
  <c r="J373" i="3"/>
  <c r="I373" i="3"/>
  <c r="H373" i="3"/>
  <c r="G373" i="3"/>
  <c r="F373" i="3"/>
  <c r="E373" i="3"/>
  <c r="D373" i="3"/>
  <c r="C373" i="3"/>
  <c r="B373" i="3"/>
  <c r="A373" i="3"/>
  <c r="J372" i="3"/>
  <c r="I372" i="3"/>
  <c r="H372" i="3"/>
  <c r="G372" i="3"/>
  <c r="F372" i="3"/>
  <c r="E372" i="3"/>
  <c r="D372" i="3"/>
  <c r="C372" i="3"/>
  <c r="B372" i="3"/>
  <c r="A372" i="3"/>
  <c r="J371" i="3"/>
  <c r="I371" i="3"/>
  <c r="H371" i="3"/>
  <c r="G371" i="3"/>
  <c r="F371" i="3"/>
  <c r="E371" i="3"/>
  <c r="D371" i="3"/>
  <c r="C371" i="3"/>
  <c r="B371" i="3"/>
  <c r="A371" i="3"/>
  <c r="J370" i="3"/>
  <c r="I370" i="3"/>
  <c r="H370" i="3"/>
  <c r="G370" i="3"/>
  <c r="F370" i="3"/>
  <c r="E370" i="3"/>
  <c r="D370" i="3"/>
  <c r="C370" i="3"/>
  <c r="B370" i="3"/>
  <c r="A370" i="3"/>
  <c r="J369" i="3"/>
  <c r="I369" i="3"/>
  <c r="H369" i="3"/>
  <c r="G369" i="3"/>
  <c r="A369" i="3"/>
  <c r="J368" i="3"/>
  <c r="I368" i="3"/>
  <c r="H368" i="3"/>
  <c r="G368" i="3"/>
  <c r="F368" i="3"/>
  <c r="E368" i="3"/>
  <c r="D368" i="3"/>
  <c r="C368" i="3"/>
  <c r="B368" i="3"/>
  <c r="A368" i="3"/>
  <c r="J367" i="3"/>
  <c r="I367" i="3"/>
  <c r="H367" i="3"/>
  <c r="G367" i="3"/>
  <c r="F367" i="3"/>
  <c r="E367" i="3"/>
  <c r="D367" i="3"/>
  <c r="C367" i="3"/>
  <c r="B367" i="3"/>
  <c r="A367" i="3"/>
  <c r="J366" i="3"/>
  <c r="I366" i="3"/>
  <c r="H366" i="3"/>
  <c r="G366" i="3"/>
  <c r="F366" i="3"/>
  <c r="E366" i="3"/>
  <c r="D366" i="3"/>
  <c r="C366" i="3"/>
  <c r="B366" i="3"/>
  <c r="A366" i="3"/>
  <c r="J365" i="3"/>
  <c r="I365" i="3"/>
  <c r="H365" i="3"/>
  <c r="G365" i="3"/>
  <c r="F365" i="3"/>
  <c r="E365" i="3"/>
  <c r="D365" i="3"/>
  <c r="C365" i="3"/>
  <c r="B365" i="3"/>
  <c r="A365" i="3"/>
  <c r="J364" i="3"/>
  <c r="I364" i="3"/>
  <c r="H364" i="3"/>
  <c r="G364" i="3"/>
  <c r="A364" i="3"/>
  <c r="J363" i="3"/>
  <c r="I363" i="3"/>
  <c r="H363" i="3"/>
  <c r="G363" i="3"/>
  <c r="F363" i="3"/>
  <c r="E363" i="3"/>
  <c r="D363" i="3"/>
  <c r="C363" i="3"/>
  <c r="B363" i="3"/>
  <c r="A363" i="3"/>
  <c r="J362" i="3"/>
  <c r="I362" i="3"/>
  <c r="H362" i="3"/>
  <c r="G362" i="3"/>
  <c r="A362" i="3"/>
  <c r="J361" i="3"/>
  <c r="I361" i="3"/>
  <c r="H361" i="3"/>
  <c r="G361" i="3"/>
  <c r="F361" i="3"/>
  <c r="E361" i="3"/>
  <c r="D361" i="3"/>
  <c r="C361" i="3"/>
  <c r="B361" i="3"/>
  <c r="A361" i="3"/>
  <c r="J360" i="3"/>
  <c r="I360" i="3"/>
  <c r="H360" i="3"/>
  <c r="G360" i="3"/>
  <c r="F360" i="3"/>
  <c r="E360" i="3"/>
  <c r="D360" i="3"/>
  <c r="C360" i="3"/>
  <c r="B360" i="3"/>
  <c r="A360" i="3"/>
  <c r="J359" i="3"/>
  <c r="I359" i="3"/>
  <c r="H359" i="3"/>
  <c r="G359" i="3"/>
  <c r="F359" i="3"/>
  <c r="E359" i="3"/>
  <c r="D359" i="3"/>
  <c r="C359" i="3"/>
  <c r="B359" i="3"/>
  <c r="A359" i="3"/>
  <c r="J358" i="3"/>
  <c r="I358" i="3"/>
  <c r="H358" i="3"/>
  <c r="G358" i="3"/>
  <c r="F358" i="3"/>
  <c r="E358" i="3"/>
  <c r="D358" i="3"/>
  <c r="C358" i="3"/>
  <c r="B358" i="3"/>
  <c r="A358" i="3"/>
  <c r="J357" i="3"/>
  <c r="I357" i="3"/>
  <c r="H357" i="3"/>
  <c r="G357" i="3"/>
  <c r="F357" i="3"/>
  <c r="E357" i="3"/>
  <c r="D357" i="3"/>
  <c r="C357" i="3"/>
  <c r="B357" i="3"/>
  <c r="A357" i="3"/>
  <c r="J356" i="3"/>
  <c r="I356" i="3"/>
  <c r="H356" i="3"/>
  <c r="G356" i="3"/>
  <c r="F356" i="3"/>
  <c r="E356" i="3"/>
  <c r="D356" i="3"/>
  <c r="C356" i="3"/>
  <c r="B356" i="3"/>
  <c r="A356" i="3"/>
  <c r="J355" i="3"/>
  <c r="I355" i="3"/>
  <c r="H355" i="3"/>
  <c r="G355" i="3"/>
  <c r="F355" i="3"/>
  <c r="E355" i="3"/>
  <c r="D355" i="3"/>
  <c r="C355" i="3"/>
  <c r="B355" i="3"/>
  <c r="A355" i="3"/>
  <c r="J354" i="3"/>
  <c r="I354" i="3"/>
  <c r="H354" i="3"/>
  <c r="G354" i="3"/>
  <c r="F354" i="3"/>
  <c r="E354" i="3"/>
  <c r="D354" i="3"/>
  <c r="C354" i="3"/>
  <c r="B354" i="3"/>
  <c r="A354" i="3"/>
  <c r="J353" i="3"/>
  <c r="I353" i="3"/>
  <c r="H353" i="3"/>
  <c r="G353" i="3"/>
  <c r="F353" i="3"/>
  <c r="E353" i="3"/>
  <c r="D353" i="3"/>
  <c r="C353" i="3"/>
  <c r="B353" i="3"/>
  <c r="A353" i="3"/>
  <c r="J352" i="3"/>
  <c r="I352" i="3"/>
  <c r="H352" i="3"/>
  <c r="G352" i="3"/>
  <c r="F352" i="3"/>
  <c r="E352" i="3"/>
  <c r="D352" i="3"/>
  <c r="C352" i="3"/>
  <c r="B352" i="3"/>
  <c r="A352" i="3"/>
  <c r="J351" i="3"/>
  <c r="I351" i="3"/>
  <c r="H351" i="3"/>
  <c r="G351" i="3"/>
  <c r="F351" i="3"/>
  <c r="E351" i="3"/>
  <c r="D351" i="3"/>
  <c r="C351" i="3"/>
  <c r="B351" i="3"/>
  <c r="A351" i="3"/>
  <c r="J350" i="3"/>
  <c r="I350" i="3"/>
  <c r="H350" i="3"/>
  <c r="G350" i="3"/>
  <c r="F350" i="3"/>
  <c r="E350" i="3"/>
  <c r="D350" i="3"/>
  <c r="C350" i="3"/>
  <c r="B350" i="3"/>
  <c r="A350" i="3"/>
  <c r="J349" i="3"/>
  <c r="I349" i="3"/>
  <c r="H349" i="3"/>
  <c r="G349" i="3"/>
  <c r="F349" i="3"/>
  <c r="E349" i="3"/>
  <c r="D349" i="3"/>
  <c r="C349" i="3"/>
  <c r="B349" i="3"/>
  <c r="A349" i="3"/>
  <c r="J348" i="3"/>
  <c r="I348" i="3"/>
  <c r="H348" i="3"/>
  <c r="G348" i="3"/>
  <c r="F348" i="3"/>
  <c r="E348" i="3"/>
  <c r="D348" i="3"/>
  <c r="C348" i="3"/>
  <c r="B348" i="3"/>
  <c r="A348" i="3"/>
  <c r="J347" i="3"/>
  <c r="I347" i="3"/>
  <c r="H347" i="3"/>
  <c r="G347" i="3"/>
  <c r="F347" i="3"/>
  <c r="E347" i="3"/>
  <c r="D347" i="3"/>
  <c r="C347" i="3"/>
  <c r="B347" i="3"/>
  <c r="A347" i="3"/>
  <c r="J346" i="3"/>
  <c r="I346" i="3"/>
  <c r="H346" i="3"/>
  <c r="G346" i="3"/>
  <c r="F346" i="3"/>
  <c r="E346" i="3"/>
  <c r="D346" i="3"/>
  <c r="C346" i="3"/>
  <c r="B346" i="3"/>
  <c r="A346" i="3"/>
  <c r="J345" i="3"/>
  <c r="I345" i="3"/>
  <c r="H345" i="3"/>
  <c r="G345" i="3"/>
  <c r="F345" i="3"/>
  <c r="E345" i="3"/>
  <c r="D345" i="3"/>
  <c r="C345" i="3"/>
  <c r="B345" i="3"/>
  <c r="A345" i="3"/>
  <c r="J344" i="3"/>
  <c r="I344" i="3"/>
  <c r="H344" i="3"/>
  <c r="G344" i="3"/>
  <c r="F344" i="3"/>
  <c r="E344" i="3"/>
  <c r="D344" i="3"/>
  <c r="C344" i="3"/>
  <c r="B344" i="3"/>
  <c r="A344" i="3"/>
  <c r="J343" i="3"/>
  <c r="I343" i="3"/>
  <c r="H343" i="3"/>
  <c r="G343" i="3"/>
  <c r="F343" i="3"/>
  <c r="E343" i="3"/>
  <c r="D343" i="3"/>
  <c r="C343" i="3"/>
  <c r="B343" i="3"/>
  <c r="A343" i="3"/>
  <c r="J342" i="3"/>
  <c r="I342" i="3"/>
  <c r="H342" i="3"/>
  <c r="G342" i="3"/>
  <c r="F342" i="3"/>
  <c r="E342" i="3"/>
  <c r="D342" i="3"/>
  <c r="C342" i="3"/>
  <c r="B342" i="3"/>
  <c r="A342" i="3"/>
  <c r="J341" i="3"/>
  <c r="I341" i="3"/>
  <c r="H341" i="3"/>
  <c r="G341" i="3"/>
  <c r="A341" i="3"/>
  <c r="J340" i="3"/>
  <c r="I340" i="3"/>
  <c r="H340" i="3"/>
  <c r="G340" i="3"/>
  <c r="F340" i="3"/>
  <c r="E340" i="3"/>
  <c r="D340" i="3"/>
  <c r="C340" i="3"/>
  <c r="B340" i="3"/>
  <c r="A340" i="3"/>
  <c r="J339" i="3"/>
  <c r="I339" i="3"/>
  <c r="H339" i="3"/>
  <c r="G339" i="3"/>
  <c r="A339" i="3"/>
  <c r="J338" i="3"/>
  <c r="I338" i="3"/>
  <c r="H338" i="3"/>
  <c r="G338" i="3"/>
  <c r="F338" i="3"/>
  <c r="E338" i="3"/>
  <c r="D338" i="3"/>
  <c r="C338" i="3"/>
  <c r="B338" i="3"/>
  <c r="A338" i="3"/>
  <c r="J337" i="3"/>
  <c r="I337" i="3"/>
  <c r="H337" i="3"/>
  <c r="G337" i="3"/>
  <c r="F337" i="3"/>
  <c r="E337" i="3"/>
  <c r="D337" i="3"/>
  <c r="C337" i="3"/>
  <c r="B337" i="3"/>
  <c r="A337" i="3"/>
  <c r="J336" i="3"/>
  <c r="I336" i="3"/>
  <c r="H336" i="3"/>
  <c r="G336" i="3"/>
  <c r="F336" i="3"/>
  <c r="E336" i="3"/>
  <c r="D336" i="3"/>
  <c r="C336" i="3"/>
  <c r="B336" i="3"/>
  <c r="A336" i="3"/>
  <c r="J335" i="3"/>
  <c r="I335" i="3"/>
  <c r="H335" i="3"/>
  <c r="G335" i="3"/>
  <c r="F335" i="3"/>
  <c r="E335" i="3"/>
  <c r="D335" i="3"/>
  <c r="C335" i="3"/>
  <c r="B335" i="3"/>
  <c r="A335" i="3"/>
  <c r="J334" i="3"/>
  <c r="I334" i="3"/>
  <c r="H334" i="3"/>
  <c r="G334" i="3"/>
  <c r="F334" i="3"/>
  <c r="E334" i="3"/>
  <c r="D334" i="3"/>
  <c r="C334" i="3"/>
  <c r="B334" i="3"/>
  <c r="A334" i="3"/>
  <c r="J333" i="3"/>
  <c r="I333" i="3"/>
  <c r="H333" i="3"/>
  <c r="G333" i="3"/>
  <c r="F333" i="3"/>
  <c r="E333" i="3"/>
  <c r="D333" i="3"/>
  <c r="C333" i="3"/>
  <c r="B333" i="3"/>
  <c r="A333" i="3"/>
  <c r="J332" i="3"/>
  <c r="I332" i="3"/>
  <c r="H332" i="3"/>
  <c r="G332" i="3"/>
  <c r="F332" i="3"/>
  <c r="E332" i="3"/>
  <c r="D332" i="3"/>
  <c r="C332" i="3"/>
  <c r="B332" i="3"/>
  <c r="A332" i="3"/>
  <c r="J331" i="3"/>
  <c r="I331" i="3"/>
  <c r="H331" i="3"/>
  <c r="G331" i="3"/>
  <c r="A331" i="3"/>
  <c r="J330" i="3"/>
  <c r="I330" i="3"/>
  <c r="H330" i="3"/>
  <c r="G330" i="3"/>
  <c r="F330" i="3"/>
  <c r="E330" i="3"/>
  <c r="D330" i="3"/>
  <c r="C330" i="3"/>
  <c r="B330" i="3"/>
  <c r="A330" i="3"/>
  <c r="J329" i="3"/>
  <c r="I329" i="3"/>
  <c r="H329" i="3"/>
  <c r="G329" i="3"/>
  <c r="F329" i="3"/>
  <c r="E329" i="3"/>
  <c r="D329" i="3"/>
  <c r="C329" i="3"/>
  <c r="B329" i="3"/>
  <c r="A329" i="3"/>
  <c r="J328" i="3"/>
  <c r="I328" i="3"/>
  <c r="H328" i="3"/>
  <c r="G328" i="3"/>
  <c r="F328" i="3"/>
  <c r="E328" i="3"/>
  <c r="D328" i="3"/>
  <c r="C328" i="3"/>
  <c r="B328" i="3"/>
  <c r="A328" i="3"/>
  <c r="J327" i="3"/>
  <c r="I327" i="3"/>
  <c r="H327" i="3"/>
  <c r="G327" i="3"/>
  <c r="A327" i="3"/>
  <c r="J326" i="3"/>
  <c r="I326" i="3"/>
  <c r="H326" i="3"/>
  <c r="G326" i="3"/>
  <c r="F326" i="3"/>
  <c r="E326" i="3"/>
  <c r="D326" i="3"/>
  <c r="C326" i="3"/>
  <c r="B326" i="3"/>
  <c r="A326" i="3"/>
  <c r="J325" i="3"/>
  <c r="I325" i="3"/>
  <c r="H325" i="3"/>
  <c r="G325" i="3"/>
  <c r="A325" i="3"/>
  <c r="J324" i="3"/>
  <c r="I324" i="3"/>
  <c r="H324" i="3"/>
  <c r="G324" i="3"/>
  <c r="F324" i="3"/>
  <c r="E324" i="3"/>
  <c r="D324" i="3"/>
  <c r="C324" i="3"/>
  <c r="B324" i="3"/>
  <c r="A324" i="3"/>
  <c r="J323" i="3"/>
  <c r="I323" i="3"/>
  <c r="H323" i="3"/>
  <c r="G323" i="3"/>
  <c r="A323" i="3"/>
  <c r="J322" i="3"/>
  <c r="I322" i="3"/>
  <c r="H322" i="3"/>
  <c r="G322" i="3"/>
  <c r="F322" i="3"/>
  <c r="E322" i="3"/>
  <c r="D322" i="3"/>
  <c r="C322" i="3"/>
  <c r="B322" i="3"/>
  <c r="A322" i="3"/>
  <c r="J321" i="3"/>
  <c r="I321" i="3"/>
  <c r="H321" i="3"/>
  <c r="G321" i="3"/>
  <c r="F321" i="3"/>
  <c r="E321" i="3"/>
  <c r="D321" i="3"/>
  <c r="C321" i="3"/>
  <c r="B321" i="3"/>
  <c r="A321" i="3"/>
  <c r="J320" i="3"/>
  <c r="I320" i="3"/>
  <c r="H320" i="3"/>
  <c r="G320" i="3"/>
  <c r="F320" i="3"/>
  <c r="E320" i="3"/>
  <c r="D320" i="3"/>
  <c r="C320" i="3"/>
  <c r="B320" i="3"/>
  <c r="A320" i="3"/>
  <c r="J319" i="3"/>
  <c r="I319" i="3"/>
  <c r="H319" i="3"/>
  <c r="G319" i="3"/>
  <c r="F319" i="3"/>
  <c r="E319" i="3"/>
  <c r="D319" i="3"/>
  <c r="C319" i="3"/>
  <c r="B319" i="3"/>
  <c r="A319" i="3"/>
  <c r="J318" i="3"/>
  <c r="I318" i="3"/>
  <c r="H318" i="3"/>
  <c r="G318" i="3"/>
  <c r="F318" i="3"/>
  <c r="E318" i="3"/>
  <c r="D318" i="3"/>
  <c r="C318" i="3"/>
  <c r="B318" i="3"/>
  <c r="A318" i="3"/>
  <c r="J317" i="3"/>
  <c r="I317" i="3"/>
  <c r="H317" i="3"/>
  <c r="G317" i="3"/>
  <c r="F317" i="3"/>
  <c r="E317" i="3"/>
  <c r="D317" i="3"/>
  <c r="C317" i="3"/>
  <c r="B317" i="3"/>
  <c r="A317" i="3"/>
  <c r="J316" i="3"/>
  <c r="I316" i="3"/>
  <c r="H316" i="3"/>
  <c r="G316" i="3"/>
  <c r="F316" i="3"/>
  <c r="E316" i="3"/>
  <c r="D316" i="3"/>
  <c r="C316" i="3"/>
  <c r="B316" i="3"/>
  <c r="A316" i="3"/>
  <c r="J315" i="3"/>
  <c r="I315" i="3"/>
  <c r="H315" i="3"/>
  <c r="G315" i="3"/>
  <c r="F315" i="3"/>
  <c r="E315" i="3"/>
  <c r="D315" i="3"/>
  <c r="C315" i="3"/>
  <c r="B315" i="3"/>
  <c r="A315" i="3"/>
  <c r="J314" i="3"/>
  <c r="I314" i="3"/>
  <c r="H314" i="3"/>
  <c r="G314" i="3"/>
  <c r="A314" i="3"/>
  <c r="J313" i="3"/>
  <c r="I313" i="3"/>
  <c r="H313" i="3"/>
  <c r="G313" i="3"/>
  <c r="F313" i="3"/>
  <c r="E313" i="3"/>
  <c r="D313" i="3"/>
  <c r="C313" i="3"/>
  <c r="B313" i="3"/>
  <c r="A313" i="3"/>
  <c r="J312" i="3"/>
  <c r="I312" i="3"/>
  <c r="H312" i="3"/>
  <c r="G312" i="3"/>
  <c r="F312" i="3"/>
  <c r="E312" i="3"/>
  <c r="D312" i="3"/>
  <c r="C312" i="3"/>
  <c r="B312" i="3"/>
  <c r="A312" i="3"/>
  <c r="J311" i="3"/>
  <c r="I311" i="3"/>
  <c r="H311" i="3"/>
  <c r="G311" i="3"/>
  <c r="F311" i="3"/>
  <c r="E311" i="3"/>
  <c r="D311" i="3"/>
  <c r="C311" i="3"/>
  <c r="B311" i="3"/>
  <c r="A311" i="3"/>
  <c r="J310" i="3"/>
  <c r="I310" i="3"/>
  <c r="H310" i="3"/>
  <c r="G310" i="3"/>
  <c r="F310" i="3"/>
  <c r="E310" i="3"/>
  <c r="D310" i="3"/>
  <c r="C310" i="3"/>
  <c r="B310" i="3"/>
  <c r="A310" i="3"/>
  <c r="J309" i="3"/>
  <c r="I309" i="3"/>
  <c r="H309" i="3"/>
  <c r="G309" i="3"/>
  <c r="F309" i="3"/>
  <c r="E309" i="3"/>
  <c r="D309" i="3"/>
  <c r="C309" i="3"/>
  <c r="B309" i="3"/>
  <c r="A309" i="3"/>
  <c r="J308" i="3"/>
  <c r="I308" i="3"/>
  <c r="H308" i="3"/>
  <c r="G308" i="3"/>
  <c r="F308" i="3"/>
  <c r="E308" i="3"/>
  <c r="D308" i="3"/>
  <c r="C308" i="3"/>
  <c r="B308" i="3"/>
  <c r="A308" i="3"/>
  <c r="J307" i="3"/>
  <c r="I307" i="3"/>
  <c r="H307" i="3"/>
  <c r="G307" i="3"/>
  <c r="A307" i="3"/>
  <c r="J306" i="3"/>
  <c r="I306" i="3"/>
  <c r="H306" i="3"/>
  <c r="G306" i="3"/>
  <c r="F306" i="3"/>
  <c r="E306" i="3"/>
  <c r="D306" i="3"/>
  <c r="C306" i="3"/>
  <c r="B306" i="3"/>
  <c r="A306" i="3"/>
  <c r="J305" i="3"/>
  <c r="I305" i="3"/>
  <c r="H305" i="3"/>
  <c r="G305" i="3"/>
  <c r="F305" i="3"/>
  <c r="E305" i="3"/>
  <c r="D305" i="3"/>
  <c r="C305" i="3"/>
  <c r="B305" i="3"/>
  <c r="A305" i="3"/>
  <c r="J304" i="3"/>
  <c r="I304" i="3"/>
  <c r="H304" i="3"/>
  <c r="G304" i="3"/>
  <c r="F304" i="3"/>
  <c r="E304" i="3"/>
  <c r="D304" i="3"/>
  <c r="C304" i="3"/>
  <c r="B304" i="3"/>
  <c r="A304" i="3"/>
  <c r="J303" i="3"/>
  <c r="I303" i="3"/>
  <c r="H303" i="3"/>
  <c r="G303" i="3"/>
  <c r="F303" i="3"/>
  <c r="E303" i="3"/>
  <c r="D303" i="3"/>
  <c r="C303" i="3"/>
  <c r="B303" i="3"/>
  <c r="A303" i="3"/>
  <c r="J302" i="3"/>
  <c r="I302" i="3"/>
  <c r="H302" i="3"/>
  <c r="G302" i="3"/>
  <c r="A302" i="3"/>
  <c r="J301" i="3"/>
  <c r="I301" i="3"/>
  <c r="H301" i="3"/>
  <c r="G301" i="3"/>
  <c r="F301" i="3"/>
  <c r="E301" i="3"/>
  <c r="D301" i="3"/>
  <c r="C301" i="3"/>
  <c r="B301" i="3"/>
  <c r="A301" i="3"/>
  <c r="J300" i="3"/>
  <c r="I300" i="3"/>
  <c r="H300" i="3"/>
  <c r="G300" i="3"/>
  <c r="F300" i="3"/>
  <c r="E300" i="3"/>
  <c r="D300" i="3"/>
  <c r="C300" i="3"/>
  <c r="B300" i="3"/>
  <c r="A300" i="3"/>
  <c r="J299" i="3"/>
  <c r="I299" i="3"/>
  <c r="H299" i="3"/>
  <c r="G299" i="3"/>
  <c r="F299" i="3"/>
  <c r="E299" i="3"/>
  <c r="D299" i="3"/>
  <c r="C299" i="3"/>
  <c r="B299" i="3"/>
  <c r="A299" i="3"/>
  <c r="J298" i="3"/>
  <c r="I298" i="3"/>
  <c r="H298" i="3"/>
  <c r="G298" i="3"/>
  <c r="F298" i="3"/>
  <c r="E298" i="3"/>
  <c r="D298" i="3"/>
  <c r="C298" i="3"/>
  <c r="B298" i="3"/>
  <c r="A298" i="3"/>
  <c r="J297" i="3"/>
  <c r="I297" i="3"/>
  <c r="H297" i="3"/>
  <c r="G297" i="3"/>
  <c r="F297" i="3"/>
  <c r="E297" i="3"/>
  <c r="D297" i="3"/>
  <c r="C297" i="3"/>
  <c r="B297" i="3"/>
  <c r="A297" i="3"/>
  <c r="J296" i="3"/>
  <c r="I296" i="3"/>
  <c r="H296" i="3"/>
  <c r="G296" i="3"/>
  <c r="A296" i="3"/>
  <c r="J295" i="3"/>
  <c r="I295" i="3"/>
  <c r="H295" i="3"/>
  <c r="G295" i="3"/>
  <c r="F295" i="3"/>
  <c r="E295" i="3"/>
  <c r="D295" i="3"/>
  <c r="C295" i="3"/>
  <c r="B295" i="3"/>
  <c r="A295" i="3"/>
  <c r="J294" i="3"/>
  <c r="I294" i="3"/>
  <c r="H294" i="3"/>
  <c r="G294" i="3"/>
  <c r="F294" i="3"/>
  <c r="E294" i="3"/>
  <c r="D294" i="3"/>
  <c r="C294" i="3"/>
  <c r="B294" i="3"/>
  <c r="A294" i="3"/>
  <c r="J293" i="3"/>
  <c r="I293" i="3"/>
  <c r="H293" i="3"/>
  <c r="G293" i="3"/>
  <c r="F293" i="3"/>
  <c r="E293" i="3"/>
  <c r="D293" i="3"/>
  <c r="C293" i="3"/>
  <c r="B293" i="3"/>
  <c r="A293" i="3"/>
  <c r="J292" i="3"/>
  <c r="I292" i="3"/>
  <c r="H292" i="3"/>
  <c r="G292" i="3"/>
  <c r="F292" i="3"/>
  <c r="E292" i="3"/>
  <c r="D292" i="3"/>
  <c r="C292" i="3"/>
  <c r="B292" i="3"/>
  <c r="A292" i="3"/>
  <c r="J291" i="3"/>
  <c r="I291" i="3"/>
  <c r="H291" i="3"/>
  <c r="G291" i="3"/>
  <c r="F291" i="3"/>
  <c r="E291" i="3"/>
  <c r="D291" i="3"/>
  <c r="C291" i="3"/>
  <c r="B291" i="3"/>
  <c r="A291" i="3"/>
  <c r="J290" i="3"/>
  <c r="I290" i="3"/>
  <c r="H290" i="3"/>
  <c r="G290" i="3"/>
  <c r="F290" i="3"/>
  <c r="E290" i="3"/>
  <c r="D290" i="3"/>
  <c r="C290" i="3"/>
  <c r="B290" i="3"/>
  <c r="A290" i="3"/>
  <c r="J289" i="3"/>
  <c r="I289" i="3"/>
  <c r="H289" i="3"/>
  <c r="G289" i="3"/>
  <c r="F289" i="3"/>
  <c r="E289" i="3"/>
  <c r="D289" i="3"/>
  <c r="C289" i="3"/>
  <c r="B289" i="3"/>
  <c r="A289" i="3"/>
  <c r="J288" i="3"/>
  <c r="I288" i="3"/>
  <c r="H288" i="3"/>
  <c r="G288" i="3"/>
  <c r="F288" i="3"/>
  <c r="E288" i="3"/>
  <c r="D288" i="3"/>
  <c r="C288" i="3"/>
  <c r="B288" i="3"/>
  <c r="A288" i="3"/>
  <c r="J287" i="3"/>
  <c r="I287" i="3"/>
  <c r="H287" i="3"/>
  <c r="G287" i="3"/>
  <c r="F287" i="3"/>
  <c r="E287" i="3"/>
  <c r="D287" i="3"/>
  <c r="C287" i="3"/>
  <c r="B287" i="3"/>
  <c r="A287" i="3"/>
  <c r="J286" i="3"/>
  <c r="I286" i="3"/>
  <c r="H286" i="3"/>
  <c r="G286" i="3"/>
  <c r="F286" i="3"/>
  <c r="E286" i="3"/>
  <c r="D286" i="3"/>
  <c r="C286" i="3"/>
  <c r="B286" i="3"/>
  <c r="A286" i="3"/>
  <c r="J285" i="3"/>
  <c r="I285" i="3"/>
  <c r="H285" i="3"/>
  <c r="G285" i="3"/>
  <c r="A285" i="3"/>
  <c r="J284" i="3"/>
  <c r="I284" i="3"/>
  <c r="H284" i="3"/>
  <c r="G284" i="3"/>
  <c r="F284" i="3"/>
  <c r="E284" i="3"/>
  <c r="D284" i="3"/>
  <c r="C284" i="3"/>
  <c r="B284" i="3"/>
  <c r="A284" i="3"/>
  <c r="J283" i="3"/>
  <c r="I283" i="3"/>
  <c r="H283" i="3"/>
  <c r="G283" i="3"/>
  <c r="A283" i="3"/>
  <c r="J282" i="3"/>
  <c r="I282" i="3"/>
  <c r="H282" i="3"/>
  <c r="G282" i="3"/>
  <c r="F282" i="3"/>
  <c r="E282" i="3"/>
  <c r="D282" i="3"/>
  <c r="C282" i="3"/>
  <c r="B282" i="3"/>
  <c r="A282" i="3"/>
  <c r="J281" i="3"/>
  <c r="I281" i="3"/>
  <c r="H281" i="3"/>
  <c r="G281" i="3"/>
  <c r="F281" i="3"/>
  <c r="E281" i="3"/>
  <c r="D281" i="3"/>
  <c r="C281" i="3"/>
  <c r="B281" i="3"/>
  <c r="A281" i="3"/>
  <c r="J280" i="3"/>
  <c r="I280" i="3"/>
  <c r="H280" i="3"/>
  <c r="G280" i="3"/>
  <c r="F280" i="3"/>
  <c r="E280" i="3"/>
  <c r="D280" i="3"/>
  <c r="C280" i="3"/>
  <c r="B280" i="3"/>
  <c r="A280" i="3"/>
  <c r="J279" i="3"/>
  <c r="I279" i="3"/>
  <c r="H279" i="3"/>
  <c r="G279" i="3"/>
  <c r="F279" i="3"/>
  <c r="E279" i="3"/>
  <c r="D279" i="3"/>
  <c r="C279" i="3"/>
  <c r="B279" i="3"/>
  <c r="A279" i="3"/>
  <c r="J278" i="3"/>
  <c r="I278" i="3"/>
  <c r="H278" i="3"/>
  <c r="G278" i="3"/>
  <c r="F278" i="3"/>
  <c r="E278" i="3"/>
  <c r="D278" i="3"/>
  <c r="C278" i="3"/>
  <c r="B278" i="3"/>
  <c r="A278" i="3"/>
  <c r="J277" i="3"/>
  <c r="I277" i="3"/>
  <c r="H277" i="3"/>
  <c r="G277" i="3"/>
  <c r="A277" i="3"/>
  <c r="J276" i="3"/>
  <c r="I276" i="3"/>
  <c r="H276" i="3"/>
  <c r="G276" i="3"/>
  <c r="F276" i="3"/>
  <c r="E276" i="3"/>
  <c r="D276" i="3"/>
  <c r="C276" i="3"/>
  <c r="B276" i="3"/>
  <c r="A276" i="3"/>
  <c r="J275" i="3"/>
  <c r="I275" i="3"/>
  <c r="H275" i="3"/>
  <c r="G275" i="3"/>
  <c r="F275" i="3"/>
  <c r="E275" i="3"/>
  <c r="D275" i="3"/>
  <c r="C275" i="3"/>
  <c r="B275" i="3"/>
  <c r="A275" i="3"/>
  <c r="J274" i="3"/>
  <c r="I274" i="3"/>
  <c r="H274" i="3"/>
  <c r="G274" i="3"/>
  <c r="A274" i="3"/>
  <c r="J273" i="3"/>
  <c r="I273" i="3"/>
  <c r="H273" i="3"/>
  <c r="G273" i="3"/>
  <c r="F273" i="3"/>
  <c r="E273" i="3"/>
  <c r="D273" i="3"/>
  <c r="C273" i="3"/>
  <c r="B273" i="3"/>
  <c r="A273" i="3"/>
  <c r="J272" i="3"/>
  <c r="I272" i="3"/>
  <c r="H272" i="3"/>
  <c r="G272" i="3"/>
  <c r="A272" i="3"/>
  <c r="J271" i="3"/>
  <c r="I271" i="3"/>
  <c r="H271" i="3"/>
  <c r="G271" i="3"/>
  <c r="F271" i="3"/>
  <c r="E271" i="3"/>
  <c r="D271" i="3"/>
  <c r="C271" i="3"/>
  <c r="B271" i="3"/>
  <c r="A271" i="3"/>
  <c r="J270" i="3"/>
  <c r="I270" i="3"/>
  <c r="H270" i="3"/>
  <c r="G270" i="3"/>
  <c r="F270" i="3"/>
  <c r="E270" i="3"/>
  <c r="D270" i="3"/>
  <c r="C270" i="3"/>
  <c r="B270" i="3"/>
  <c r="A270" i="3"/>
  <c r="J269" i="3"/>
  <c r="I269" i="3"/>
  <c r="H269" i="3"/>
  <c r="G269" i="3"/>
  <c r="F269" i="3"/>
  <c r="E269" i="3"/>
  <c r="D269" i="3"/>
  <c r="C269" i="3"/>
  <c r="B269" i="3"/>
  <c r="A269" i="3"/>
  <c r="J268" i="3"/>
  <c r="I268" i="3"/>
  <c r="H268" i="3"/>
  <c r="G268" i="3"/>
  <c r="F268" i="3"/>
  <c r="E268" i="3"/>
  <c r="D268" i="3"/>
  <c r="C268" i="3"/>
  <c r="B268" i="3"/>
  <c r="A268" i="3"/>
  <c r="J267" i="3"/>
  <c r="I267" i="3"/>
  <c r="H267" i="3"/>
  <c r="G267" i="3"/>
  <c r="F267" i="3"/>
  <c r="E267" i="3"/>
  <c r="D267" i="3"/>
  <c r="C267" i="3"/>
  <c r="B267" i="3"/>
  <c r="A267" i="3"/>
  <c r="J266" i="3"/>
  <c r="I266" i="3"/>
  <c r="H266" i="3"/>
  <c r="G266" i="3"/>
  <c r="F266" i="3"/>
  <c r="E266" i="3"/>
  <c r="D266" i="3"/>
  <c r="C266" i="3"/>
  <c r="B266" i="3"/>
  <c r="A266" i="3"/>
  <c r="J265" i="3"/>
  <c r="I265" i="3"/>
  <c r="H265" i="3"/>
  <c r="G265" i="3"/>
  <c r="F265" i="3"/>
  <c r="E265" i="3"/>
  <c r="D265" i="3"/>
  <c r="C265" i="3"/>
  <c r="B265" i="3"/>
  <c r="A265" i="3"/>
  <c r="J264" i="3"/>
  <c r="I264" i="3"/>
  <c r="H264" i="3"/>
  <c r="G264" i="3"/>
  <c r="F264" i="3"/>
  <c r="E264" i="3"/>
  <c r="D264" i="3"/>
  <c r="C264" i="3"/>
  <c r="B264" i="3"/>
  <c r="A264" i="3"/>
  <c r="J263" i="3"/>
  <c r="I263" i="3"/>
  <c r="H263" i="3"/>
  <c r="G263" i="3"/>
  <c r="F263" i="3"/>
  <c r="E263" i="3"/>
  <c r="D263" i="3"/>
  <c r="C263" i="3"/>
  <c r="B263" i="3"/>
  <c r="A263" i="3"/>
  <c r="J262" i="3"/>
  <c r="I262" i="3"/>
  <c r="H262" i="3"/>
  <c r="G262" i="3"/>
  <c r="A262" i="3"/>
  <c r="J261" i="3"/>
  <c r="I261" i="3"/>
  <c r="H261" i="3"/>
  <c r="G261" i="3"/>
  <c r="F261" i="3"/>
  <c r="E261" i="3"/>
  <c r="D261" i="3"/>
  <c r="C261" i="3"/>
  <c r="B261" i="3"/>
  <c r="A261" i="3"/>
  <c r="J260" i="3"/>
  <c r="I260" i="3"/>
  <c r="H260" i="3"/>
  <c r="G260" i="3"/>
  <c r="A260" i="3"/>
  <c r="J259" i="3"/>
  <c r="I259" i="3"/>
  <c r="H259" i="3"/>
  <c r="G259" i="3"/>
  <c r="F259" i="3"/>
  <c r="E259" i="3"/>
  <c r="D259" i="3"/>
  <c r="C259" i="3"/>
  <c r="B259" i="3"/>
  <c r="A259" i="3"/>
  <c r="J258" i="3"/>
  <c r="I258" i="3"/>
  <c r="H258" i="3"/>
  <c r="G258" i="3"/>
  <c r="F258" i="3"/>
  <c r="E258" i="3"/>
  <c r="D258" i="3"/>
  <c r="C258" i="3"/>
  <c r="B258" i="3"/>
  <c r="A258" i="3"/>
  <c r="J257" i="3"/>
  <c r="I257" i="3"/>
  <c r="H257" i="3"/>
  <c r="G257" i="3"/>
  <c r="F257" i="3"/>
  <c r="E257" i="3"/>
  <c r="D257" i="3"/>
  <c r="C257" i="3"/>
  <c r="B257" i="3"/>
  <c r="A257" i="3"/>
  <c r="J256" i="3"/>
  <c r="I256" i="3"/>
  <c r="H256" i="3"/>
  <c r="G256" i="3"/>
  <c r="F256" i="3"/>
  <c r="E256" i="3"/>
  <c r="D256" i="3"/>
  <c r="C256" i="3"/>
  <c r="B256" i="3"/>
  <c r="A256" i="3"/>
  <c r="J255" i="3"/>
  <c r="I255" i="3"/>
  <c r="H255" i="3"/>
  <c r="G255" i="3"/>
  <c r="F255" i="3"/>
  <c r="E255" i="3"/>
  <c r="D255" i="3"/>
  <c r="C255" i="3"/>
  <c r="B255" i="3"/>
  <c r="A255" i="3"/>
  <c r="J254" i="3"/>
  <c r="I254" i="3"/>
  <c r="H254" i="3"/>
  <c r="G254" i="3"/>
  <c r="F254" i="3"/>
  <c r="E254" i="3"/>
  <c r="D254" i="3"/>
  <c r="C254" i="3"/>
  <c r="B254" i="3"/>
  <c r="A254" i="3"/>
  <c r="J253" i="3"/>
  <c r="I253" i="3"/>
  <c r="H253" i="3"/>
  <c r="G253" i="3"/>
  <c r="A253" i="3"/>
  <c r="J252" i="3"/>
  <c r="I252" i="3"/>
  <c r="H252" i="3"/>
  <c r="G252" i="3"/>
  <c r="F252" i="3"/>
  <c r="E252" i="3"/>
  <c r="D252" i="3"/>
  <c r="C252" i="3"/>
  <c r="B252" i="3"/>
  <c r="A252" i="3"/>
  <c r="J251" i="3"/>
  <c r="I251" i="3"/>
  <c r="H251" i="3"/>
  <c r="G251" i="3"/>
  <c r="F251" i="3"/>
  <c r="E251" i="3"/>
  <c r="D251" i="3"/>
  <c r="C251" i="3"/>
  <c r="B251" i="3"/>
  <c r="A251" i="3"/>
  <c r="J250" i="3"/>
  <c r="I250" i="3"/>
  <c r="H250" i="3"/>
  <c r="G250" i="3"/>
  <c r="F250" i="3"/>
  <c r="E250" i="3"/>
  <c r="D250" i="3"/>
  <c r="C250" i="3"/>
  <c r="B250" i="3"/>
  <c r="A250" i="3"/>
  <c r="J249" i="3"/>
  <c r="I249" i="3"/>
  <c r="H249" i="3"/>
  <c r="G249" i="3"/>
  <c r="F249" i="3"/>
  <c r="E249" i="3"/>
  <c r="D249" i="3"/>
  <c r="C249" i="3"/>
  <c r="B249" i="3"/>
  <c r="A249" i="3"/>
  <c r="J248" i="3"/>
  <c r="I248" i="3"/>
  <c r="H248" i="3"/>
  <c r="G248" i="3"/>
  <c r="F248" i="3"/>
  <c r="E248" i="3"/>
  <c r="D248" i="3"/>
  <c r="C248" i="3"/>
  <c r="B248" i="3"/>
  <c r="A248" i="3"/>
  <c r="J247" i="3"/>
  <c r="I247" i="3"/>
  <c r="H247" i="3"/>
  <c r="G247" i="3"/>
  <c r="F247" i="3"/>
  <c r="E247" i="3"/>
  <c r="D247" i="3"/>
  <c r="C247" i="3"/>
  <c r="B247" i="3"/>
  <c r="A247" i="3"/>
  <c r="J246" i="3"/>
  <c r="I246" i="3"/>
  <c r="H246" i="3"/>
  <c r="G246" i="3"/>
  <c r="F246" i="3"/>
  <c r="E246" i="3"/>
  <c r="D246" i="3"/>
  <c r="C246" i="3"/>
  <c r="B246" i="3"/>
  <c r="A246" i="3"/>
  <c r="J245" i="3"/>
  <c r="I245" i="3"/>
  <c r="H245" i="3"/>
  <c r="G245" i="3"/>
  <c r="F245" i="3"/>
  <c r="E245" i="3"/>
  <c r="D245" i="3"/>
  <c r="C245" i="3"/>
  <c r="B245" i="3"/>
  <c r="A245" i="3"/>
  <c r="J244" i="3"/>
  <c r="I244" i="3"/>
  <c r="H244" i="3"/>
  <c r="G244" i="3"/>
  <c r="F244" i="3"/>
  <c r="E244" i="3"/>
  <c r="D244" i="3"/>
  <c r="C244" i="3"/>
  <c r="B244" i="3"/>
  <c r="A244" i="3"/>
  <c r="J243" i="3"/>
  <c r="I243" i="3"/>
  <c r="H243" i="3"/>
  <c r="G243" i="3"/>
  <c r="F243" i="3"/>
  <c r="E243" i="3"/>
  <c r="D243" i="3"/>
  <c r="C243" i="3"/>
  <c r="B243" i="3"/>
  <c r="A243" i="3"/>
  <c r="J242" i="3"/>
  <c r="I242" i="3"/>
  <c r="H242" i="3"/>
  <c r="G242" i="3"/>
  <c r="F242" i="3"/>
  <c r="E242" i="3"/>
  <c r="D242" i="3"/>
  <c r="C242" i="3"/>
  <c r="B242" i="3"/>
  <c r="A242" i="3"/>
  <c r="J241" i="3"/>
  <c r="I241" i="3"/>
  <c r="H241" i="3"/>
  <c r="G241" i="3"/>
  <c r="F241" i="3"/>
  <c r="E241" i="3"/>
  <c r="D241" i="3"/>
  <c r="C241" i="3"/>
  <c r="B241" i="3"/>
  <c r="A241" i="3"/>
  <c r="J240" i="3"/>
  <c r="I240" i="3"/>
  <c r="H240" i="3"/>
  <c r="G240" i="3"/>
  <c r="F240" i="3"/>
  <c r="E240" i="3"/>
  <c r="D240" i="3"/>
  <c r="C240" i="3"/>
  <c r="B240" i="3"/>
  <c r="A240" i="3"/>
  <c r="J239" i="3"/>
  <c r="I239" i="3"/>
  <c r="H239" i="3"/>
  <c r="G239" i="3"/>
  <c r="F239" i="3"/>
  <c r="E239" i="3"/>
  <c r="D239" i="3"/>
  <c r="C239" i="3"/>
  <c r="B239" i="3"/>
  <c r="A239" i="3"/>
  <c r="J238" i="3"/>
  <c r="I238" i="3"/>
  <c r="H238" i="3"/>
  <c r="G238" i="3"/>
  <c r="F238" i="3"/>
  <c r="E238" i="3"/>
  <c r="D238" i="3"/>
  <c r="C238" i="3"/>
  <c r="B238" i="3"/>
  <c r="A238" i="3"/>
  <c r="J237" i="3"/>
  <c r="I237" i="3"/>
  <c r="H237" i="3"/>
  <c r="G237" i="3"/>
  <c r="F237" i="3"/>
  <c r="E237" i="3"/>
  <c r="D237" i="3"/>
  <c r="C237" i="3"/>
  <c r="B237" i="3"/>
  <c r="A237" i="3"/>
  <c r="J236" i="3"/>
  <c r="I236" i="3"/>
  <c r="H236" i="3"/>
  <c r="G236" i="3"/>
  <c r="F236" i="3"/>
  <c r="E236" i="3"/>
  <c r="D236" i="3"/>
  <c r="C236" i="3"/>
  <c r="B236" i="3"/>
  <c r="A236" i="3"/>
  <c r="J235" i="3"/>
  <c r="I235" i="3"/>
  <c r="H235" i="3"/>
  <c r="G235" i="3"/>
  <c r="F235" i="3"/>
  <c r="E235" i="3"/>
  <c r="D235" i="3"/>
  <c r="C235" i="3"/>
  <c r="B235" i="3"/>
  <c r="A235" i="3"/>
  <c r="J234" i="3"/>
  <c r="I234" i="3"/>
  <c r="H234" i="3"/>
  <c r="G234" i="3"/>
  <c r="F234" i="3"/>
  <c r="E234" i="3"/>
  <c r="D234" i="3"/>
  <c r="C234" i="3"/>
  <c r="B234" i="3"/>
  <c r="A234" i="3"/>
  <c r="J233" i="3"/>
  <c r="I233" i="3"/>
  <c r="H233" i="3"/>
  <c r="G233" i="3"/>
  <c r="F233" i="3"/>
  <c r="E233" i="3"/>
  <c r="D233" i="3"/>
  <c r="C233" i="3"/>
  <c r="B233" i="3"/>
  <c r="A233" i="3"/>
  <c r="J232" i="3"/>
  <c r="I232" i="3"/>
  <c r="H232" i="3"/>
  <c r="G232" i="3"/>
  <c r="F232" i="3"/>
  <c r="E232" i="3"/>
  <c r="D232" i="3"/>
  <c r="C232" i="3"/>
  <c r="B232" i="3"/>
  <c r="A232" i="3"/>
  <c r="J231" i="3"/>
  <c r="I231" i="3"/>
  <c r="H231" i="3"/>
  <c r="G231" i="3"/>
  <c r="F231" i="3"/>
  <c r="E231" i="3"/>
  <c r="D231" i="3"/>
  <c r="C231" i="3"/>
  <c r="B231" i="3"/>
  <c r="A231" i="3"/>
  <c r="J230" i="3"/>
  <c r="I230" i="3"/>
  <c r="H230" i="3"/>
  <c r="G230" i="3"/>
  <c r="A230" i="3"/>
  <c r="J229" i="3"/>
  <c r="I229" i="3"/>
  <c r="H229" i="3"/>
  <c r="G229" i="3"/>
  <c r="F229" i="3"/>
  <c r="E229" i="3"/>
  <c r="D229" i="3"/>
  <c r="C229" i="3"/>
  <c r="B229" i="3"/>
  <c r="A229" i="3"/>
  <c r="J228" i="3"/>
  <c r="I228" i="3"/>
  <c r="H228" i="3"/>
  <c r="G228" i="3"/>
  <c r="A228" i="3"/>
  <c r="J227" i="3"/>
  <c r="I227" i="3"/>
  <c r="H227" i="3"/>
  <c r="G227" i="3"/>
  <c r="F227" i="3"/>
  <c r="E227" i="3"/>
  <c r="D227" i="3"/>
  <c r="C227" i="3"/>
  <c r="B227" i="3"/>
  <c r="A227" i="3"/>
  <c r="J226" i="3"/>
  <c r="I226" i="3"/>
  <c r="H226" i="3"/>
  <c r="G226" i="3"/>
  <c r="F226" i="3"/>
  <c r="E226" i="3"/>
  <c r="D226" i="3"/>
  <c r="C226" i="3"/>
  <c r="B226" i="3"/>
  <c r="A226" i="3"/>
  <c r="J225" i="3"/>
  <c r="I225" i="3"/>
  <c r="H225" i="3"/>
  <c r="G225" i="3"/>
  <c r="A225" i="3"/>
  <c r="J224" i="3"/>
  <c r="I224" i="3"/>
  <c r="H224" i="3"/>
  <c r="G224" i="3"/>
  <c r="F224" i="3"/>
  <c r="E224" i="3"/>
  <c r="D224" i="3"/>
  <c r="C224" i="3"/>
  <c r="B224" i="3"/>
  <c r="A224" i="3"/>
  <c r="J223" i="3"/>
  <c r="I223" i="3"/>
  <c r="H223" i="3"/>
  <c r="G223" i="3"/>
  <c r="A223" i="3"/>
  <c r="J222" i="3"/>
  <c r="I222" i="3"/>
  <c r="H222" i="3"/>
  <c r="G222" i="3"/>
  <c r="F222" i="3"/>
  <c r="E222" i="3"/>
  <c r="D222" i="3"/>
  <c r="C222" i="3"/>
  <c r="B222" i="3"/>
  <c r="A222" i="3"/>
  <c r="J221" i="3"/>
  <c r="I221" i="3"/>
  <c r="H221" i="3"/>
  <c r="G221" i="3"/>
  <c r="F221" i="3"/>
  <c r="E221" i="3"/>
  <c r="D221" i="3"/>
  <c r="C221" i="3"/>
  <c r="B221" i="3"/>
  <c r="A221" i="3"/>
  <c r="J220" i="3"/>
  <c r="I220" i="3"/>
  <c r="H220" i="3"/>
  <c r="G220" i="3"/>
  <c r="F220" i="3"/>
  <c r="E220" i="3"/>
  <c r="D220" i="3"/>
  <c r="C220" i="3"/>
  <c r="B220" i="3"/>
  <c r="A220" i="3"/>
  <c r="J219" i="3"/>
  <c r="I219" i="3"/>
  <c r="H219" i="3"/>
  <c r="G219" i="3"/>
  <c r="A219" i="3"/>
  <c r="J218" i="3"/>
  <c r="I218" i="3"/>
  <c r="H218" i="3"/>
  <c r="G218" i="3"/>
  <c r="F218" i="3"/>
  <c r="E218" i="3"/>
  <c r="D218" i="3"/>
  <c r="C218" i="3"/>
  <c r="B218" i="3"/>
  <c r="A218" i="3"/>
  <c r="J217" i="3"/>
  <c r="I217" i="3"/>
  <c r="H217" i="3"/>
  <c r="G217" i="3"/>
  <c r="F217" i="3"/>
  <c r="E217" i="3"/>
  <c r="D217" i="3"/>
  <c r="C217" i="3"/>
  <c r="B217" i="3"/>
  <c r="A217" i="3"/>
  <c r="J216" i="3"/>
  <c r="I216" i="3"/>
  <c r="H216" i="3"/>
  <c r="G216" i="3"/>
  <c r="F216" i="3"/>
  <c r="E216" i="3"/>
  <c r="D216" i="3"/>
  <c r="C216" i="3"/>
  <c r="B216" i="3"/>
  <c r="A216" i="3"/>
  <c r="J215" i="3"/>
  <c r="I215" i="3"/>
  <c r="H215" i="3"/>
  <c r="G215" i="3"/>
  <c r="F215" i="3"/>
  <c r="E215" i="3"/>
  <c r="D215" i="3"/>
  <c r="C215" i="3"/>
  <c r="B215" i="3"/>
  <c r="A215" i="3"/>
  <c r="J214" i="3"/>
  <c r="I214" i="3"/>
  <c r="H214" i="3"/>
  <c r="G214" i="3"/>
  <c r="A214" i="3"/>
  <c r="J213" i="3"/>
  <c r="I213" i="3"/>
  <c r="H213" i="3"/>
  <c r="G213" i="3"/>
  <c r="F213" i="3"/>
  <c r="E213" i="3"/>
  <c r="D213" i="3"/>
  <c r="C213" i="3"/>
  <c r="B213" i="3"/>
  <c r="A213" i="3"/>
  <c r="J212" i="3"/>
  <c r="I212" i="3"/>
  <c r="H212" i="3"/>
  <c r="G212" i="3"/>
  <c r="F212" i="3"/>
  <c r="E212" i="3"/>
  <c r="D212" i="3"/>
  <c r="C212" i="3"/>
  <c r="B212" i="3"/>
  <c r="A212" i="3"/>
  <c r="J211" i="3"/>
  <c r="I211" i="3"/>
  <c r="H211" i="3"/>
  <c r="G211" i="3"/>
  <c r="F211" i="3"/>
  <c r="E211" i="3"/>
  <c r="D211" i="3"/>
  <c r="C211" i="3"/>
  <c r="B211" i="3"/>
  <c r="A211" i="3"/>
  <c r="J210" i="3"/>
  <c r="I210" i="3"/>
  <c r="H210" i="3"/>
  <c r="G210" i="3"/>
  <c r="F210" i="3"/>
  <c r="E210" i="3"/>
  <c r="D210" i="3"/>
  <c r="C210" i="3"/>
  <c r="B210" i="3"/>
  <c r="A210" i="3"/>
  <c r="J209" i="3"/>
  <c r="I209" i="3"/>
  <c r="H209" i="3"/>
  <c r="G209" i="3"/>
  <c r="F209" i="3"/>
  <c r="E209" i="3"/>
  <c r="D209" i="3"/>
  <c r="C209" i="3"/>
  <c r="B209" i="3"/>
  <c r="A209" i="3"/>
  <c r="J208" i="3"/>
  <c r="I208" i="3"/>
  <c r="H208" i="3"/>
  <c r="G208" i="3"/>
  <c r="A208" i="3"/>
  <c r="J207" i="3"/>
  <c r="I207" i="3"/>
  <c r="H207" i="3"/>
  <c r="G207" i="3"/>
  <c r="F207" i="3"/>
  <c r="E207" i="3"/>
  <c r="D207" i="3"/>
  <c r="C207" i="3"/>
  <c r="B207" i="3"/>
  <c r="A207" i="3"/>
  <c r="J206" i="3"/>
  <c r="I206" i="3"/>
  <c r="H206" i="3"/>
  <c r="G206" i="3"/>
  <c r="A206" i="3"/>
  <c r="J205" i="3"/>
  <c r="I205" i="3"/>
  <c r="H205" i="3"/>
  <c r="G205" i="3"/>
  <c r="F205" i="3"/>
  <c r="E205" i="3"/>
  <c r="D205" i="3"/>
  <c r="C205" i="3"/>
  <c r="B205" i="3"/>
  <c r="A205" i="3"/>
  <c r="J204" i="3"/>
  <c r="I204" i="3"/>
  <c r="H204" i="3"/>
  <c r="G204" i="3"/>
  <c r="F204" i="3"/>
  <c r="E204" i="3"/>
  <c r="D204" i="3"/>
  <c r="C204" i="3"/>
  <c r="B204" i="3"/>
  <c r="A204" i="3"/>
  <c r="J203" i="3"/>
  <c r="I203" i="3"/>
  <c r="H203" i="3"/>
  <c r="G203" i="3"/>
  <c r="F203" i="3"/>
  <c r="E203" i="3"/>
  <c r="D203" i="3"/>
  <c r="C203" i="3"/>
  <c r="B203" i="3"/>
  <c r="A203" i="3"/>
  <c r="J202" i="3"/>
  <c r="I202" i="3"/>
  <c r="H202" i="3"/>
  <c r="G202" i="3"/>
  <c r="F202" i="3"/>
  <c r="E202" i="3"/>
  <c r="D202" i="3"/>
  <c r="C202" i="3"/>
  <c r="B202" i="3"/>
  <c r="A202" i="3"/>
  <c r="J201" i="3"/>
  <c r="I201" i="3"/>
  <c r="H201" i="3"/>
  <c r="G201" i="3"/>
  <c r="F201" i="3"/>
  <c r="E201" i="3"/>
  <c r="D201" i="3"/>
  <c r="C201" i="3"/>
  <c r="B201" i="3"/>
  <c r="A201" i="3"/>
  <c r="J200" i="3"/>
  <c r="I200" i="3"/>
  <c r="H200" i="3"/>
  <c r="G200" i="3"/>
  <c r="A200" i="3"/>
  <c r="J199" i="3"/>
  <c r="I199" i="3"/>
  <c r="H199" i="3"/>
  <c r="G199" i="3"/>
  <c r="F199" i="3"/>
  <c r="E199" i="3"/>
  <c r="D199" i="3"/>
  <c r="C199" i="3"/>
  <c r="B199" i="3"/>
  <c r="A199" i="3"/>
  <c r="J198" i="3"/>
  <c r="I198" i="3"/>
  <c r="H198" i="3"/>
  <c r="G198" i="3"/>
  <c r="A198" i="3"/>
  <c r="J197" i="3"/>
  <c r="I197" i="3"/>
  <c r="H197" i="3"/>
  <c r="G197" i="3"/>
  <c r="F197" i="3"/>
  <c r="E197" i="3"/>
  <c r="D197" i="3"/>
  <c r="C197" i="3"/>
  <c r="B197" i="3"/>
  <c r="A197" i="3"/>
  <c r="J196" i="3"/>
  <c r="I196" i="3"/>
  <c r="H196" i="3"/>
  <c r="G196" i="3"/>
  <c r="F196" i="3"/>
  <c r="E196" i="3"/>
  <c r="D196" i="3"/>
  <c r="C196" i="3"/>
  <c r="B196" i="3"/>
  <c r="A196" i="3"/>
  <c r="J195" i="3"/>
  <c r="I195" i="3"/>
  <c r="H195" i="3"/>
  <c r="G195" i="3"/>
  <c r="F195" i="3"/>
  <c r="E195" i="3"/>
  <c r="D195" i="3"/>
  <c r="C195" i="3"/>
  <c r="B195" i="3"/>
  <c r="A195" i="3"/>
  <c r="J194" i="3"/>
  <c r="I194" i="3"/>
  <c r="H194" i="3"/>
  <c r="G194" i="3"/>
  <c r="F194" i="3"/>
  <c r="E194" i="3"/>
  <c r="D194" i="3"/>
  <c r="C194" i="3"/>
  <c r="B194" i="3"/>
  <c r="A194" i="3"/>
  <c r="J193" i="3"/>
  <c r="I193" i="3"/>
  <c r="H193" i="3"/>
  <c r="G193" i="3"/>
  <c r="F193" i="3"/>
  <c r="E193" i="3"/>
  <c r="D193" i="3"/>
  <c r="C193" i="3"/>
  <c r="B193" i="3"/>
  <c r="A193" i="3"/>
  <c r="J192" i="3"/>
  <c r="I192" i="3"/>
  <c r="H192" i="3"/>
  <c r="G192" i="3"/>
  <c r="F192" i="3"/>
  <c r="E192" i="3"/>
  <c r="D192" i="3"/>
  <c r="C192" i="3"/>
  <c r="B192" i="3"/>
  <c r="A192" i="3"/>
  <c r="J191" i="3"/>
  <c r="I191" i="3"/>
  <c r="H191" i="3"/>
  <c r="G191" i="3"/>
  <c r="F191" i="3"/>
  <c r="E191" i="3"/>
  <c r="D191" i="3"/>
  <c r="C191" i="3"/>
  <c r="B191" i="3"/>
  <c r="A191" i="3"/>
  <c r="J190" i="3"/>
  <c r="I190" i="3"/>
  <c r="H190" i="3"/>
  <c r="G190" i="3"/>
  <c r="F190" i="3"/>
  <c r="E190" i="3"/>
  <c r="D190" i="3"/>
  <c r="C190" i="3"/>
  <c r="B190" i="3"/>
  <c r="A190" i="3"/>
  <c r="J189" i="3"/>
  <c r="I189" i="3"/>
  <c r="H189" i="3"/>
  <c r="G189" i="3"/>
  <c r="F189" i="3"/>
  <c r="E189" i="3"/>
  <c r="D189" i="3"/>
  <c r="C189" i="3"/>
  <c r="B189" i="3"/>
  <c r="A189" i="3"/>
  <c r="J188" i="3"/>
  <c r="I188" i="3"/>
  <c r="H188" i="3"/>
  <c r="G188" i="3"/>
  <c r="F188" i="3"/>
  <c r="E188" i="3"/>
  <c r="D188" i="3"/>
  <c r="C188" i="3"/>
  <c r="B188" i="3"/>
  <c r="A188" i="3"/>
  <c r="J187" i="3"/>
  <c r="I187" i="3"/>
  <c r="H187" i="3"/>
  <c r="G187" i="3"/>
  <c r="F187" i="3"/>
  <c r="E187" i="3"/>
  <c r="D187" i="3"/>
  <c r="C187" i="3"/>
  <c r="B187" i="3"/>
  <c r="A187" i="3"/>
  <c r="J186" i="3"/>
  <c r="I186" i="3"/>
  <c r="H186" i="3"/>
  <c r="G186" i="3"/>
  <c r="F186" i="3"/>
  <c r="E186" i="3"/>
  <c r="D186" i="3"/>
  <c r="C186" i="3"/>
  <c r="B186" i="3"/>
  <c r="A186" i="3"/>
  <c r="J185" i="3"/>
  <c r="I185" i="3"/>
  <c r="H185" i="3"/>
  <c r="G185" i="3"/>
  <c r="F185" i="3"/>
  <c r="E185" i="3"/>
  <c r="D185" i="3"/>
  <c r="C185" i="3"/>
  <c r="B185" i="3"/>
  <c r="A185" i="3"/>
  <c r="J184" i="3"/>
  <c r="I184" i="3"/>
  <c r="H184" i="3"/>
  <c r="G184" i="3"/>
  <c r="F184" i="3"/>
  <c r="E184" i="3"/>
  <c r="D184" i="3"/>
  <c r="C184" i="3"/>
  <c r="B184" i="3"/>
  <c r="A184" i="3"/>
  <c r="J183" i="3"/>
  <c r="I183" i="3"/>
  <c r="H183" i="3"/>
  <c r="G183" i="3"/>
  <c r="F183" i="3"/>
  <c r="E183" i="3"/>
  <c r="D183" i="3"/>
  <c r="C183" i="3"/>
  <c r="B183" i="3"/>
  <c r="A183" i="3"/>
  <c r="J182" i="3"/>
  <c r="I182" i="3"/>
  <c r="H182" i="3"/>
  <c r="G182" i="3"/>
  <c r="F182" i="3"/>
  <c r="E182" i="3"/>
  <c r="D182" i="3"/>
  <c r="C182" i="3"/>
  <c r="B182" i="3"/>
  <c r="A182" i="3"/>
  <c r="J181" i="3"/>
  <c r="I181" i="3"/>
  <c r="H181" i="3"/>
  <c r="G181" i="3"/>
  <c r="F181" i="3"/>
  <c r="E181" i="3"/>
  <c r="D181" i="3"/>
  <c r="C181" i="3"/>
  <c r="B181" i="3"/>
  <c r="A181" i="3"/>
  <c r="J180" i="3"/>
  <c r="I180" i="3"/>
  <c r="H180" i="3"/>
  <c r="G180" i="3"/>
  <c r="F180" i="3"/>
  <c r="E180" i="3"/>
  <c r="D180" i="3"/>
  <c r="C180" i="3"/>
  <c r="B180" i="3"/>
  <c r="A180" i="3"/>
  <c r="J179" i="3"/>
  <c r="I179" i="3"/>
  <c r="H179" i="3"/>
  <c r="G179" i="3"/>
  <c r="F179" i="3"/>
  <c r="E179" i="3"/>
  <c r="D179" i="3"/>
  <c r="C179" i="3"/>
  <c r="B179" i="3"/>
  <c r="A179" i="3"/>
  <c r="J178" i="3"/>
  <c r="I178" i="3"/>
  <c r="H178" i="3"/>
  <c r="G178" i="3"/>
  <c r="F178" i="3"/>
  <c r="E178" i="3"/>
  <c r="D178" i="3"/>
  <c r="C178" i="3"/>
  <c r="B178" i="3"/>
  <c r="A178" i="3"/>
  <c r="J177" i="3"/>
  <c r="I177" i="3"/>
  <c r="H177" i="3"/>
  <c r="G177" i="3"/>
  <c r="F177" i="3"/>
  <c r="E177" i="3"/>
  <c r="D177" i="3"/>
  <c r="C177" i="3"/>
  <c r="B177" i="3"/>
  <c r="A177" i="3"/>
  <c r="J176" i="3"/>
  <c r="I176" i="3"/>
  <c r="H176" i="3"/>
  <c r="G176" i="3"/>
  <c r="F176" i="3"/>
  <c r="E176" i="3"/>
  <c r="D176" i="3"/>
  <c r="C176" i="3"/>
  <c r="B176" i="3"/>
  <c r="A176" i="3"/>
  <c r="J175" i="3"/>
  <c r="I175" i="3"/>
  <c r="H175" i="3"/>
  <c r="G175" i="3"/>
  <c r="F175" i="3"/>
  <c r="E175" i="3"/>
  <c r="D175" i="3"/>
  <c r="C175" i="3"/>
  <c r="B175" i="3"/>
  <c r="A175" i="3"/>
  <c r="J174" i="3"/>
  <c r="I174" i="3"/>
  <c r="H174" i="3"/>
  <c r="G174" i="3"/>
  <c r="F174" i="3"/>
  <c r="E174" i="3"/>
  <c r="D174" i="3"/>
  <c r="C174" i="3"/>
  <c r="B174" i="3"/>
  <c r="A174" i="3"/>
  <c r="J173" i="3"/>
  <c r="I173" i="3"/>
  <c r="H173" i="3"/>
  <c r="G173" i="3"/>
  <c r="F173" i="3"/>
  <c r="E173" i="3"/>
  <c r="D173" i="3"/>
  <c r="C173" i="3"/>
  <c r="B173" i="3"/>
  <c r="A173" i="3"/>
  <c r="J172" i="3"/>
  <c r="I172" i="3"/>
  <c r="H172" i="3"/>
  <c r="G172" i="3"/>
  <c r="F172" i="3"/>
  <c r="E172" i="3"/>
  <c r="D172" i="3"/>
  <c r="C172" i="3"/>
  <c r="B172" i="3"/>
  <c r="A172" i="3"/>
  <c r="J171" i="3"/>
  <c r="I171" i="3"/>
  <c r="H171" i="3"/>
  <c r="G171" i="3"/>
  <c r="A171" i="3"/>
  <c r="J170" i="3"/>
  <c r="I170" i="3"/>
  <c r="H170" i="3"/>
  <c r="G170" i="3"/>
  <c r="F170" i="3"/>
  <c r="E170" i="3"/>
  <c r="D170" i="3"/>
  <c r="C170" i="3"/>
  <c r="B170" i="3"/>
  <c r="A170" i="3"/>
  <c r="J169" i="3"/>
  <c r="I169" i="3"/>
  <c r="H169" i="3"/>
  <c r="G169" i="3"/>
  <c r="A169" i="3"/>
  <c r="J168" i="3"/>
  <c r="I168" i="3"/>
  <c r="H168" i="3"/>
  <c r="G168" i="3"/>
  <c r="F168" i="3"/>
  <c r="E168" i="3"/>
  <c r="D168" i="3"/>
  <c r="C168" i="3"/>
  <c r="B168" i="3"/>
  <c r="A168" i="3"/>
  <c r="J167" i="3"/>
  <c r="I167" i="3"/>
  <c r="H167" i="3"/>
  <c r="G167" i="3"/>
  <c r="A167" i="3"/>
  <c r="J166" i="3"/>
  <c r="I166" i="3"/>
  <c r="H166" i="3"/>
  <c r="G166" i="3"/>
  <c r="F166" i="3"/>
  <c r="E166" i="3"/>
  <c r="D166" i="3"/>
  <c r="C166" i="3"/>
  <c r="B166" i="3"/>
  <c r="A166" i="3"/>
  <c r="J165" i="3"/>
  <c r="I165" i="3"/>
  <c r="H165" i="3"/>
  <c r="G165" i="3"/>
  <c r="A165" i="3"/>
  <c r="J164" i="3"/>
  <c r="I164" i="3"/>
  <c r="H164" i="3"/>
  <c r="G164" i="3"/>
  <c r="F164" i="3"/>
  <c r="E164" i="3"/>
  <c r="D164" i="3"/>
  <c r="C164" i="3"/>
  <c r="B164" i="3"/>
  <c r="A164" i="3"/>
  <c r="J163" i="3"/>
  <c r="I163" i="3"/>
  <c r="H163" i="3"/>
  <c r="G163" i="3"/>
  <c r="A163" i="3"/>
  <c r="J162" i="3"/>
  <c r="I162" i="3"/>
  <c r="H162" i="3"/>
  <c r="G162" i="3"/>
  <c r="F162" i="3"/>
  <c r="E162" i="3"/>
  <c r="D162" i="3"/>
  <c r="C162" i="3"/>
  <c r="B162" i="3"/>
  <c r="A162" i="3"/>
  <c r="J161" i="3"/>
  <c r="I161" i="3"/>
  <c r="H161" i="3"/>
  <c r="G161" i="3"/>
  <c r="F161" i="3"/>
  <c r="E161" i="3"/>
  <c r="D161" i="3"/>
  <c r="C161" i="3"/>
  <c r="B161" i="3"/>
  <c r="A161" i="3"/>
  <c r="J160" i="3"/>
  <c r="I160" i="3"/>
  <c r="H160" i="3"/>
  <c r="G160" i="3"/>
  <c r="F160" i="3"/>
  <c r="E160" i="3"/>
  <c r="D160" i="3"/>
  <c r="C160" i="3"/>
  <c r="B160" i="3"/>
  <c r="A160" i="3"/>
  <c r="J159" i="3"/>
  <c r="I159" i="3"/>
  <c r="H159" i="3"/>
  <c r="G159" i="3"/>
  <c r="F159" i="3"/>
  <c r="E159" i="3"/>
  <c r="D159" i="3"/>
  <c r="C159" i="3"/>
  <c r="B159" i="3"/>
  <c r="A159" i="3"/>
  <c r="J158" i="3"/>
  <c r="I158" i="3"/>
  <c r="H158" i="3"/>
  <c r="G158" i="3"/>
  <c r="F158" i="3"/>
  <c r="E158" i="3"/>
  <c r="D158" i="3"/>
  <c r="C158" i="3"/>
  <c r="B158" i="3"/>
  <c r="A158" i="3"/>
  <c r="J157" i="3"/>
  <c r="I157" i="3"/>
  <c r="H157" i="3"/>
  <c r="G157" i="3"/>
  <c r="F157" i="3"/>
  <c r="E157" i="3"/>
  <c r="D157" i="3"/>
  <c r="C157" i="3"/>
  <c r="B157" i="3"/>
  <c r="A157" i="3"/>
  <c r="J156" i="3"/>
  <c r="I156" i="3"/>
  <c r="H156" i="3"/>
  <c r="G156" i="3"/>
  <c r="F156" i="3"/>
  <c r="E156" i="3"/>
  <c r="D156" i="3"/>
  <c r="C156" i="3"/>
  <c r="B156" i="3"/>
  <c r="A156" i="3"/>
  <c r="J155" i="3"/>
  <c r="I155" i="3"/>
  <c r="H155" i="3"/>
  <c r="G155" i="3"/>
  <c r="F155" i="3"/>
  <c r="E155" i="3"/>
  <c r="D155" i="3"/>
  <c r="C155" i="3"/>
  <c r="B155" i="3"/>
  <c r="A155" i="3"/>
  <c r="J154" i="3"/>
  <c r="I154" i="3"/>
  <c r="H154" i="3"/>
  <c r="G154" i="3"/>
  <c r="F154" i="3"/>
  <c r="E154" i="3"/>
  <c r="D154" i="3"/>
  <c r="C154" i="3"/>
  <c r="B154" i="3"/>
  <c r="A154" i="3"/>
  <c r="J153" i="3"/>
  <c r="I153" i="3"/>
  <c r="H153" i="3"/>
  <c r="G153" i="3"/>
  <c r="A153" i="3"/>
  <c r="J152" i="3"/>
  <c r="I152" i="3"/>
  <c r="H152" i="3"/>
  <c r="G152" i="3"/>
  <c r="F152" i="3"/>
  <c r="E152" i="3"/>
  <c r="D152" i="3"/>
  <c r="C152" i="3"/>
  <c r="B152" i="3"/>
  <c r="A152" i="3"/>
  <c r="J151" i="3"/>
  <c r="I151" i="3"/>
  <c r="H151" i="3"/>
  <c r="G151" i="3"/>
  <c r="F151" i="3"/>
  <c r="E151" i="3"/>
  <c r="D151" i="3"/>
  <c r="C151" i="3"/>
  <c r="B151" i="3"/>
  <c r="A151" i="3"/>
  <c r="J150" i="3"/>
  <c r="I150" i="3"/>
  <c r="H150" i="3"/>
  <c r="G150" i="3"/>
  <c r="A150" i="3"/>
  <c r="J149" i="3"/>
  <c r="I149" i="3"/>
  <c r="H149" i="3"/>
  <c r="G149" i="3"/>
  <c r="F149" i="3"/>
  <c r="E149" i="3"/>
  <c r="D149" i="3"/>
  <c r="C149" i="3"/>
  <c r="B149" i="3"/>
  <c r="A149" i="3"/>
  <c r="J148" i="3"/>
  <c r="I148" i="3"/>
  <c r="H148" i="3"/>
  <c r="G148" i="3"/>
  <c r="F148" i="3"/>
  <c r="E148" i="3"/>
  <c r="D148" i="3"/>
  <c r="C148" i="3"/>
  <c r="B148" i="3"/>
  <c r="A148" i="3"/>
  <c r="J147" i="3"/>
  <c r="I147" i="3"/>
  <c r="H147" i="3"/>
  <c r="G147" i="3"/>
  <c r="F147" i="3"/>
  <c r="E147" i="3"/>
  <c r="D147" i="3"/>
  <c r="C147" i="3"/>
  <c r="B147" i="3"/>
  <c r="A147" i="3"/>
  <c r="J146" i="3"/>
  <c r="I146" i="3"/>
  <c r="H146" i="3"/>
  <c r="G146" i="3"/>
  <c r="A146" i="3"/>
  <c r="J145" i="3"/>
  <c r="I145" i="3"/>
  <c r="H145" i="3"/>
  <c r="G145" i="3"/>
  <c r="F145" i="3"/>
  <c r="E145" i="3"/>
  <c r="D145" i="3"/>
  <c r="C145" i="3"/>
  <c r="B145" i="3"/>
  <c r="A145" i="3"/>
  <c r="J144" i="3"/>
  <c r="I144" i="3"/>
  <c r="H144" i="3"/>
  <c r="G144" i="3"/>
  <c r="A144" i="3"/>
  <c r="J143" i="3"/>
  <c r="I143" i="3"/>
  <c r="H143" i="3"/>
  <c r="G143" i="3"/>
  <c r="F143" i="3"/>
  <c r="E143" i="3"/>
  <c r="D143" i="3"/>
  <c r="C143" i="3"/>
  <c r="B143" i="3"/>
  <c r="A143" i="3"/>
  <c r="J142" i="3"/>
  <c r="I142" i="3"/>
  <c r="H142" i="3"/>
  <c r="G142" i="3"/>
  <c r="F142" i="3"/>
  <c r="E142" i="3"/>
  <c r="D142" i="3"/>
  <c r="C142" i="3"/>
  <c r="B142" i="3"/>
  <c r="A142" i="3"/>
  <c r="J141" i="3"/>
  <c r="I141" i="3"/>
  <c r="H141" i="3"/>
  <c r="G141" i="3"/>
  <c r="F141" i="3"/>
  <c r="E141" i="3"/>
  <c r="D141" i="3"/>
  <c r="C141" i="3"/>
  <c r="B141" i="3"/>
  <c r="A141" i="3"/>
  <c r="J140" i="3"/>
  <c r="I140" i="3"/>
  <c r="H140" i="3"/>
  <c r="G140" i="3"/>
  <c r="F140" i="3"/>
  <c r="E140" i="3"/>
  <c r="D140" i="3"/>
  <c r="C140" i="3"/>
  <c r="B140" i="3"/>
  <c r="A140" i="3"/>
  <c r="J139" i="3"/>
  <c r="I139" i="3"/>
  <c r="H139" i="3"/>
  <c r="G139" i="3"/>
  <c r="F139" i="3"/>
  <c r="E139" i="3"/>
  <c r="D139" i="3"/>
  <c r="C139" i="3"/>
  <c r="B139" i="3"/>
  <c r="A139" i="3"/>
  <c r="J138" i="3"/>
  <c r="I138" i="3"/>
  <c r="H138" i="3"/>
  <c r="G138" i="3"/>
  <c r="F138" i="3"/>
  <c r="E138" i="3"/>
  <c r="D138" i="3"/>
  <c r="C138" i="3"/>
  <c r="B138" i="3"/>
  <c r="A138" i="3"/>
  <c r="J137" i="3"/>
  <c r="I137" i="3"/>
  <c r="H137" i="3"/>
  <c r="G137" i="3"/>
  <c r="F137" i="3"/>
  <c r="E137" i="3"/>
  <c r="D137" i="3"/>
  <c r="C137" i="3"/>
  <c r="B137" i="3"/>
  <c r="A137" i="3"/>
  <c r="J136" i="3"/>
  <c r="I136" i="3"/>
  <c r="H136" i="3"/>
  <c r="G136" i="3"/>
  <c r="F136" i="3"/>
  <c r="E136" i="3"/>
  <c r="D136" i="3"/>
  <c r="C136" i="3"/>
  <c r="B136" i="3"/>
  <c r="A136" i="3"/>
  <c r="J135" i="3"/>
  <c r="I135" i="3"/>
  <c r="H135" i="3"/>
  <c r="G135" i="3"/>
  <c r="F135" i="3"/>
  <c r="E135" i="3"/>
  <c r="D135" i="3"/>
  <c r="C135" i="3"/>
  <c r="B135" i="3"/>
  <c r="A135" i="3"/>
  <c r="J134" i="3"/>
  <c r="I134" i="3"/>
  <c r="H134" i="3"/>
  <c r="G134" i="3"/>
  <c r="A134" i="3"/>
  <c r="J133" i="3"/>
  <c r="I133" i="3"/>
  <c r="H133" i="3"/>
  <c r="G133" i="3"/>
  <c r="F133" i="3"/>
  <c r="E133" i="3"/>
  <c r="D133" i="3"/>
  <c r="C133" i="3"/>
  <c r="B133" i="3"/>
  <c r="A133" i="3"/>
  <c r="J132" i="3"/>
  <c r="I132" i="3"/>
  <c r="H132" i="3"/>
  <c r="G132" i="3"/>
  <c r="F132" i="3"/>
  <c r="E132" i="3"/>
  <c r="D132" i="3"/>
  <c r="C132" i="3"/>
  <c r="B132" i="3"/>
  <c r="A132" i="3"/>
  <c r="J131" i="3"/>
  <c r="I131" i="3"/>
  <c r="H131" i="3"/>
  <c r="G131" i="3"/>
  <c r="F131" i="3"/>
  <c r="E131" i="3"/>
  <c r="D131" i="3"/>
  <c r="C131" i="3"/>
  <c r="B131" i="3"/>
  <c r="A131" i="3"/>
  <c r="J130" i="3"/>
  <c r="I130" i="3"/>
  <c r="H130" i="3"/>
  <c r="G130" i="3"/>
  <c r="F130" i="3"/>
  <c r="E130" i="3"/>
  <c r="D130" i="3"/>
  <c r="C130" i="3"/>
  <c r="B130" i="3"/>
  <c r="A130" i="3"/>
  <c r="J129" i="3"/>
  <c r="I129" i="3"/>
  <c r="H129" i="3"/>
  <c r="G129" i="3"/>
  <c r="F129" i="3"/>
  <c r="E129" i="3"/>
  <c r="D129" i="3"/>
  <c r="C129" i="3"/>
  <c r="B129" i="3"/>
  <c r="A129" i="3"/>
  <c r="J128" i="3"/>
  <c r="I128" i="3"/>
  <c r="H128" i="3"/>
  <c r="G128" i="3"/>
  <c r="F128" i="3"/>
  <c r="E128" i="3"/>
  <c r="D128" i="3"/>
  <c r="C128" i="3"/>
  <c r="B128" i="3"/>
  <c r="A128" i="3"/>
  <c r="J127" i="3"/>
  <c r="I127" i="3"/>
  <c r="H127" i="3"/>
  <c r="G127" i="3"/>
  <c r="A127" i="3"/>
  <c r="J126" i="3"/>
  <c r="I126" i="3"/>
  <c r="H126" i="3"/>
  <c r="G126" i="3"/>
  <c r="F126" i="3"/>
  <c r="E126" i="3"/>
  <c r="D126" i="3"/>
  <c r="C126" i="3"/>
  <c r="B126" i="3"/>
  <c r="A126" i="3"/>
  <c r="J125" i="3"/>
  <c r="I125" i="3"/>
  <c r="H125" i="3"/>
  <c r="G125" i="3"/>
  <c r="F125" i="3"/>
  <c r="E125" i="3"/>
  <c r="D125" i="3"/>
  <c r="C125" i="3"/>
  <c r="B125" i="3"/>
  <c r="A125" i="3"/>
  <c r="J124" i="3"/>
  <c r="I124" i="3"/>
  <c r="H124" i="3"/>
  <c r="G124" i="3"/>
  <c r="F124" i="3"/>
  <c r="E124" i="3"/>
  <c r="D124" i="3"/>
  <c r="C124" i="3"/>
  <c r="B124" i="3"/>
  <c r="A124" i="3"/>
  <c r="J123" i="3"/>
  <c r="I123" i="3"/>
  <c r="H123" i="3"/>
  <c r="G123" i="3"/>
  <c r="F123" i="3"/>
  <c r="E123" i="3"/>
  <c r="D123" i="3"/>
  <c r="C123" i="3"/>
  <c r="B123" i="3"/>
  <c r="A123" i="3"/>
  <c r="J122" i="3"/>
  <c r="I122" i="3"/>
  <c r="H122" i="3"/>
  <c r="G122" i="3"/>
  <c r="F122" i="3"/>
  <c r="E122" i="3"/>
  <c r="D122" i="3"/>
  <c r="C122" i="3"/>
  <c r="B122" i="3"/>
  <c r="A122" i="3"/>
  <c r="J121" i="3"/>
  <c r="I121" i="3"/>
  <c r="H121" i="3"/>
  <c r="G121" i="3"/>
  <c r="F121" i="3"/>
  <c r="E121" i="3"/>
  <c r="D121" i="3"/>
  <c r="C121" i="3"/>
  <c r="B121" i="3"/>
  <c r="A121" i="3"/>
  <c r="J120" i="3"/>
  <c r="I120" i="3"/>
  <c r="H120" i="3"/>
  <c r="G120" i="3"/>
  <c r="A120" i="3"/>
  <c r="J119" i="3"/>
  <c r="I119" i="3"/>
  <c r="H119" i="3"/>
  <c r="G119" i="3"/>
  <c r="F119" i="3"/>
  <c r="E119" i="3"/>
  <c r="D119" i="3"/>
  <c r="C119" i="3"/>
  <c r="B119" i="3"/>
  <c r="A119" i="3"/>
  <c r="J118" i="3"/>
  <c r="I118" i="3"/>
  <c r="H118" i="3"/>
  <c r="G118" i="3"/>
  <c r="A118" i="3"/>
  <c r="J117" i="3"/>
  <c r="I117" i="3"/>
  <c r="H117" i="3"/>
  <c r="G117" i="3"/>
  <c r="F117" i="3"/>
  <c r="E117" i="3"/>
  <c r="D117" i="3"/>
  <c r="C117" i="3"/>
  <c r="B117" i="3"/>
  <c r="A117" i="3"/>
  <c r="J116" i="3"/>
  <c r="I116" i="3"/>
  <c r="H116" i="3"/>
  <c r="G116" i="3"/>
  <c r="F116" i="3"/>
  <c r="E116" i="3"/>
  <c r="D116" i="3"/>
  <c r="C116" i="3"/>
  <c r="B116" i="3"/>
  <c r="A116" i="3"/>
  <c r="J115" i="3"/>
  <c r="I115" i="3"/>
  <c r="H115" i="3"/>
  <c r="G115" i="3"/>
  <c r="F115" i="3"/>
  <c r="E115" i="3"/>
  <c r="D115" i="3"/>
  <c r="C115" i="3"/>
  <c r="B115" i="3"/>
  <c r="A115" i="3"/>
  <c r="J114" i="3"/>
  <c r="I114" i="3"/>
  <c r="H114" i="3"/>
  <c r="G114" i="3"/>
  <c r="F114" i="3"/>
  <c r="E114" i="3"/>
  <c r="D114" i="3"/>
  <c r="C114" i="3"/>
  <c r="B114" i="3"/>
  <c r="A114" i="3"/>
  <c r="J113" i="3"/>
  <c r="I113" i="3"/>
  <c r="H113" i="3"/>
  <c r="G113" i="3"/>
  <c r="F113" i="3"/>
  <c r="E113" i="3"/>
  <c r="D113" i="3"/>
  <c r="C113" i="3"/>
  <c r="B113" i="3"/>
  <c r="A113" i="3"/>
  <c r="J112" i="3"/>
  <c r="I112" i="3"/>
  <c r="H112" i="3"/>
  <c r="G112" i="3"/>
  <c r="A112" i="3"/>
  <c r="J111" i="3"/>
  <c r="I111" i="3"/>
  <c r="H111" i="3"/>
  <c r="G111" i="3"/>
  <c r="F111" i="3"/>
  <c r="E111" i="3"/>
  <c r="D111" i="3"/>
  <c r="C111" i="3"/>
  <c r="B111" i="3"/>
  <c r="A111" i="3"/>
  <c r="J110" i="3"/>
  <c r="I110" i="3"/>
  <c r="H110" i="3"/>
  <c r="G110" i="3"/>
  <c r="F110" i="3"/>
  <c r="E110" i="3"/>
  <c r="D110" i="3"/>
  <c r="C110" i="3"/>
  <c r="B110" i="3"/>
  <c r="A110" i="3"/>
  <c r="J109" i="3"/>
  <c r="I109" i="3"/>
  <c r="H109" i="3"/>
  <c r="G109" i="3"/>
  <c r="F109" i="3"/>
  <c r="E109" i="3"/>
  <c r="D109" i="3"/>
  <c r="C109" i="3"/>
  <c r="B109" i="3"/>
  <c r="A109" i="3"/>
  <c r="J108" i="3"/>
  <c r="I108" i="3"/>
  <c r="H108" i="3"/>
  <c r="G108" i="3"/>
  <c r="F108" i="3"/>
  <c r="E108" i="3"/>
  <c r="D108" i="3"/>
  <c r="C108" i="3"/>
  <c r="B108" i="3"/>
  <c r="A108" i="3"/>
  <c r="J107" i="3"/>
  <c r="I107" i="3"/>
  <c r="H107" i="3"/>
  <c r="G107" i="3"/>
  <c r="A107" i="3"/>
  <c r="J106" i="3"/>
  <c r="I106" i="3"/>
  <c r="H106" i="3"/>
  <c r="G106" i="3"/>
  <c r="F106" i="3"/>
  <c r="E106" i="3"/>
  <c r="D106" i="3"/>
  <c r="C106" i="3"/>
  <c r="B106" i="3"/>
  <c r="A106" i="3"/>
  <c r="J105" i="3"/>
  <c r="I105" i="3"/>
  <c r="H105" i="3"/>
  <c r="G105" i="3"/>
  <c r="A105" i="3"/>
  <c r="J104" i="3"/>
  <c r="I104" i="3"/>
  <c r="H104" i="3"/>
  <c r="G104" i="3"/>
  <c r="F104" i="3"/>
  <c r="E104" i="3"/>
  <c r="D104" i="3"/>
  <c r="C104" i="3"/>
  <c r="B104" i="3"/>
  <c r="A104" i="3"/>
  <c r="J103" i="3"/>
  <c r="I103" i="3"/>
  <c r="H103" i="3"/>
  <c r="G103" i="3"/>
  <c r="F103" i="3"/>
  <c r="E103" i="3"/>
  <c r="D103" i="3"/>
  <c r="C103" i="3"/>
  <c r="B103" i="3"/>
  <c r="A103" i="3"/>
  <c r="J102" i="3"/>
  <c r="I102" i="3"/>
  <c r="H102" i="3"/>
  <c r="G102" i="3"/>
  <c r="F102" i="3"/>
  <c r="E102" i="3"/>
  <c r="D102" i="3"/>
  <c r="C102" i="3"/>
  <c r="B102" i="3"/>
  <c r="A102" i="3"/>
  <c r="J101" i="3"/>
  <c r="I101" i="3"/>
  <c r="H101" i="3"/>
  <c r="G101" i="3"/>
  <c r="F101" i="3"/>
  <c r="E101" i="3"/>
  <c r="D101" i="3"/>
  <c r="C101" i="3"/>
  <c r="B101" i="3"/>
  <c r="A101" i="3"/>
  <c r="J100" i="3"/>
  <c r="I100" i="3"/>
  <c r="H100" i="3"/>
  <c r="G100" i="3"/>
  <c r="F100" i="3"/>
  <c r="E100" i="3"/>
  <c r="D100" i="3"/>
  <c r="C100" i="3"/>
  <c r="B100" i="3"/>
  <c r="A100" i="3"/>
  <c r="J99" i="3"/>
  <c r="I99" i="3"/>
  <c r="H99" i="3"/>
  <c r="G99" i="3"/>
  <c r="A99" i="3"/>
  <c r="J98" i="3"/>
  <c r="I98" i="3"/>
  <c r="H98" i="3"/>
  <c r="G98" i="3"/>
  <c r="F98" i="3"/>
  <c r="E98" i="3"/>
  <c r="D98" i="3"/>
  <c r="C98" i="3"/>
  <c r="B98" i="3"/>
  <c r="A98" i="3"/>
  <c r="J97" i="3"/>
  <c r="I97" i="3"/>
  <c r="H97" i="3"/>
  <c r="G97" i="3"/>
  <c r="A97" i="3"/>
  <c r="J96" i="3"/>
  <c r="I96" i="3"/>
  <c r="H96" i="3"/>
  <c r="G96" i="3"/>
  <c r="F96" i="3"/>
  <c r="E96" i="3"/>
  <c r="D96" i="3"/>
  <c r="C96" i="3"/>
  <c r="B96" i="3"/>
  <c r="A96" i="3"/>
  <c r="J95" i="3"/>
  <c r="I95" i="3"/>
  <c r="H95" i="3"/>
  <c r="G95" i="3"/>
  <c r="A95" i="3"/>
  <c r="J94" i="3"/>
  <c r="I94" i="3"/>
  <c r="H94" i="3"/>
  <c r="G94" i="3"/>
  <c r="F94" i="3"/>
  <c r="E94" i="3"/>
  <c r="D94" i="3"/>
  <c r="C94" i="3"/>
  <c r="B94" i="3"/>
  <c r="A94" i="3"/>
  <c r="J93" i="3"/>
  <c r="I93" i="3"/>
  <c r="H93" i="3"/>
  <c r="G93" i="3"/>
  <c r="A93" i="3"/>
  <c r="J92" i="3"/>
  <c r="I92" i="3"/>
  <c r="H92" i="3"/>
  <c r="G92" i="3"/>
  <c r="F92" i="3"/>
  <c r="E92" i="3"/>
  <c r="D92" i="3"/>
  <c r="C92" i="3"/>
  <c r="B92" i="3"/>
  <c r="A92" i="3"/>
  <c r="J91" i="3"/>
  <c r="I91" i="3"/>
  <c r="H91" i="3"/>
  <c r="G91" i="3"/>
  <c r="F91" i="3"/>
  <c r="E91" i="3"/>
  <c r="D91" i="3"/>
  <c r="C91" i="3"/>
  <c r="B91" i="3"/>
  <c r="A91" i="3"/>
  <c r="J90" i="3"/>
  <c r="I90" i="3"/>
  <c r="H90" i="3"/>
  <c r="G90" i="3"/>
  <c r="F90" i="3"/>
  <c r="E90" i="3"/>
  <c r="D90" i="3"/>
  <c r="C90" i="3"/>
  <c r="B90" i="3"/>
  <c r="A90" i="3"/>
  <c r="J89" i="3"/>
  <c r="I89" i="3"/>
  <c r="H89" i="3"/>
  <c r="G89" i="3"/>
  <c r="F89" i="3"/>
  <c r="E89" i="3"/>
  <c r="D89" i="3"/>
  <c r="C89" i="3"/>
  <c r="B89" i="3"/>
  <c r="A89" i="3"/>
  <c r="J88" i="3"/>
  <c r="I88" i="3"/>
  <c r="H88" i="3"/>
  <c r="G88" i="3"/>
  <c r="F88" i="3"/>
  <c r="E88" i="3"/>
  <c r="D88" i="3"/>
  <c r="C88" i="3"/>
  <c r="B88" i="3"/>
  <c r="A88" i="3"/>
  <c r="J87" i="3"/>
  <c r="I87" i="3"/>
  <c r="H87" i="3"/>
  <c r="G87" i="3"/>
  <c r="F87" i="3"/>
  <c r="E87" i="3"/>
  <c r="D87" i="3"/>
  <c r="C87" i="3"/>
  <c r="B87" i="3"/>
  <c r="A87" i="3"/>
  <c r="J86" i="3"/>
  <c r="I86" i="3"/>
  <c r="H86" i="3"/>
  <c r="G86" i="3"/>
  <c r="F86" i="3"/>
  <c r="E86" i="3"/>
  <c r="D86" i="3"/>
  <c r="C86" i="3"/>
  <c r="B86" i="3"/>
  <c r="A86" i="3"/>
  <c r="J85" i="3"/>
  <c r="I85" i="3"/>
  <c r="H85" i="3"/>
  <c r="G85" i="3"/>
  <c r="F85" i="3"/>
  <c r="E85" i="3"/>
  <c r="D85" i="3"/>
  <c r="C85" i="3"/>
  <c r="B85" i="3"/>
  <c r="A85" i="3"/>
  <c r="J84" i="3"/>
  <c r="I84" i="3"/>
  <c r="H84" i="3"/>
  <c r="G84" i="3"/>
  <c r="A84" i="3"/>
  <c r="J83" i="3"/>
  <c r="I83" i="3"/>
  <c r="H83" i="3"/>
  <c r="G83" i="3"/>
  <c r="F83" i="3"/>
  <c r="E83" i="3"/>
  <c r="D83" i="3"/>
  <c r="C83" i="3"/>
  <c r="B83" i="3"/>
  <c r="A83" i="3"/>
  <c r="J82" i="3"/>
  <c r="I82" i="3"/>
  <c r="H82" i="3"/>
  <c r="G82" i="3"/>
  <c r="A82" i="3"/>
  <c r="J81" i="3"/>
  <c r="I81" i="3"/>
  <c r="H81" i="3"/>
  <c r="G81" i="3"/>
  <c r="F81" i="3"/>
  <c r="E81" i="3"/>
  <c r="D81" i="3"/>
  <c r="C81" i="3"/>
  <c r="B81" i="3"/>
  <c r="A81" i="3"/>
  <c r="J80" i="3"/>
  <c r="I80" i="3"/>
  <c r="H80" i="3"/>
  <c r="G80" i="3"/>
  <c r="A80" i="3"/>
  <c r="J79" i="3"/>
  <c r="I79" i="3"/>
  <c r="H79" i="3"/>
  <c r="G79" i="3"/>
  <c r="F79" i="3"/>
  <c r="E79" i="3"/>
  <c r="D79" i="3"/>
  <c r="C79" i="3"/>
  <c r="B79" i="3"/>
  <c r="A79" i="3"/>
  <c r="J78" i="3"/>
  <c r="I78" i="3"/>
  <c r="H78" i="3"/>
  <c r="G78" i="3"/>
  <c r="A78" i="3"/>
  <c r="J77" i="3"/>
  <c r="I77" i="3"/>
  <c r="H77" i="3"/>
  <c r="G77" i="3"/>
  <c r="F77" i="3"/>
  <c r="E77" i="3"/>
  <c r="D77" i="3"/>
  <c r="C77" i="3"/>
  <c r="B77" i="3"/>
  <c r="A77" i="3"/>
  <c r="J76" i="3"/>
  <c r="I76" i="3"/>
  <c r="H76" i="3"/>
  <c r="G76" i="3"/>
  <c r="F76" i="3"/>
  <c r="E76" i="3"/>
  <c r="D76" i="3"/>
  <c r="C76" i="3"/>
  <c r="B76" i="3"/>
  <c r="A76" i="3"/>
  <c r="J75" i="3"/>
  <c r="I75" i="3"/>
  <c r="H75" i="3"/>
  <c r="G75" i="3"/>
  <c r="F75" i="3"/>
  <c r="E75" i="3"/>
  <c r="D75" i="3"/>
  <c r="C75" i="3"/>
  <c r="B75" i="3"/>
  <c r="A75" i="3"/>
  <c r="J74" i="3"/>
  <c r="I74" i="3"/>
  <c r="H74" i="3"/>
  <c r="G74" i="3"/>
  <c r="F74" i="3"/>
  <c r="E74" i="3"/>
  <c r="D74" i="3"/>
  <c r="C74" i="3"/>
  <c r="B74" i="3"/>
  <c r="A74" i="3"/>
  <c r="J73" i="3"/>
  <c r="I73" i="3"/>
  <c r="H73" i="3"/>
  <c r="G73" i="3"/>
  <c r="F73" i="3"/>
  <c r="E73" i="3"/>
  <c r="D73" i="3"/>
  <c r="C73" i="3"/>
  <c r="B73" i="3"/>
  <c r="A73" i="3"/>
  <c r="J72" i="3"/>
  <c r="I72" i="3"/>
  <c r="H72" i="3"/>
  <c r="G72" i="3"/>
  <c r="F72" i="3"/>
  <c r="E72" i="3"/>
  <c r="D72" i="3"/>
  <c r="C72" i="3"/>
  <c r="B72" i="3"/>
  <c r="A72" i="3"/>
  <c r="J71" i="3"/>
  <c r="I71" i="3"/>
  <c r="H71" i="3"/>
  <c r="G71" i="3"/>
  <c r="F71" i="3"/>
  <c r="E71" i="3"/>
  <c r="D71" i="3"/>
  <c r="C71" i="3"/>
  <c r="B71" i="3"/>
  <c r="A71" i="3"/>
  <c r="J70" i="3"/>
  <c r="I70" i="3"/>
  <c r="H70" i="3"/>
  <c r="G70" i="3"/>
  <c r="F70" i="3"/>
  <c r="E70" i="3"/>
  <c r="D70" i="3"/>
  <c r="C70" i="3"/>
  <c r="B70" i="3"/>
  <c r="A70" i="3"/>
  <c r="J69" i="3"/>
  <c r="I69" i="3"/>
  <c r="H69" i="3"/>
  <c r="G69" i="3"/>
  <c r="F69" i="3"/>
  <c r="E69" i="3"/>
  <c r="D69" i="3"/>
  <c r="C69" i="3"/>
  <c r="B69" i="3"/>
  <c r="A69" i="3"/>
  <c r="J68" i="3"/>
  <c r="I68" i="3"/>
  <c r="H68" i="3"/>
  <c r="G68" i="3"/>
  <c r="A68" i="3"/>
  <c r="J67" i="3"/>
  <c r="I67" i="3"/>
  <c r="H67" i="3"/>
  <c r="G67" i="3"/>
  <c r="F67" i="3"/>
  <c r="E67" i="3"/>
  <c r="D67" i="3"/>
  <c r="C67" i="3"/>
  <c r="B67" i="3"/>
  <c r="A67" i="3"/>
  <c r="J66" i="3"/>
  <c r="I66" i="3"/>
  <c r="H66" i="3"/>
  <c r="G66" i="3"/>
  <c r="F66" i="3"/>
  <c r="E66" i="3"/>
  <c r="D66" i="3"/>
  <c r="C66" i="3"/>
  <c r="B66" i="3"/>
  <c r="A66" i="3"/>
  <c r="J65" i="3"/>
  <c r="I65" i="3"/>
  <c r="H65" i="3"/>
  <c r="G65" i="3"/>
  <c r="F65" i="3"/>
  <c r="E65" i="3"/>
  <c r="D65" i="3"/>
  <c r="C65" i="3"/>
  <c r="B65" i="3"/>
  <c r="A65" i="3"/>
  <c r="J64" i="3"/>
  <c r="I64" i="3"/>
  <c r="H64" i="3"/>
  <c r="G64" i="3"/>
  <c r="F64" i="3"/>
  <c r="E64" i="3"/>
  <c r="D64" i="3"/>
  <c r="C64" i="3"/>
  <c r="B64" i="3"/>
  <c r="A64" i="3"/>
  <c r="J63" i="3"/>
  <c r="I63" i="3"/>
  <c r="H63" i="3"/>
  <c r="G63" i="3"/>
  <c r="F63" i="3"/>
  <c r="E63" i="3"/>
  <c r="D63" i="3"/>
  <c r="C63" i="3"/>
  <c r="B63" i="3"/>
  <c r="A63" i="3"/>
  <c r="J62" i="3"/>
  <c r="I62" i="3"/>
  <c r="H62" i="3"/>
  <c r="G62" i="3"/>
  <c r="F62" i="3"/>
  <c r="E62" i="3"/>
  <c r="D62" i="3"/>
  <c r="C62" i="3"/>
  <c r="B62" i="3"/>
  <c r="A62" i="3"/>
  <c r="J61" i="3"/>
  <c r="I61" i="3"/>
  <c r="H61" i="3"/>
  <c r="G61" i="3"/>
  <c r="F61" i="3"/>
  <c r="E61" i="3"/>
  <c r="D61" i="3"/>
  <c r="C61" i="3"/>
  <c r="B61" i="3"/>
  <c r="A61" i="3"/>
  <c r="J60" i="3"/>
  <c r="I60" i="3"/>
  <c r="H60" i="3"/>
  <c r="G60" i="3"/>
  <c r="F60" i="3"/>
  <c r="E60" i="3"/>
  <c r="D60" i="3"/>
  <c r="C60" i="3"/>
  <c r="B60" i="3"/>
  <c r="A60" i="3"/>
  <c r="J59" i="3"/>
  <c r="I59" i="3"/>
  <c r="H59" i="3"/>
  <c r="G59" i="3"/>
  <c r="F59" i="3"/>
  <c r="E59" i="3"/>
  <c r="D59" i="3"/>
  <c r="C59" i="3"/>
  <c r="B59" i="3"/>
  <c r="A59" i="3"/>
  <c r="J58" i="3"/>
  <c r="I58" i="3"/>
  <c r="H58" i="3"/>
  <c r="G58" i="3"/>
  <c r="F58" i="3"/>
  <c r="E58" i="3"/>
  <c r="D58" i="3"/>
  <c r="C58" i="3"/>
  <c r="B58" i="3"/>
  <c r="A58" i="3"/>
  <c r="J57" i="3"/>
  <c r="I57" i="3"/>
  <c r="H57" i="3"/>
  <c r="G57" i="3"/>
  <c r="F57" i="3"/>
  <c r="E57" i="3"/>
  <c r="D57" i="3"/>
  <c r="C57" i="3"/>
  <c r="B57" i="3"/>
  <c r="A57" i="3"/>
  <c r="J56" i="3"/>
  <c r="I56" i="3"/>
  <c r="H56" i="3"/>
  <c r="G56" i="3"/>
  <c r="F56" i="3"/>
  <c r="E56" i="3"/>
  <c r="D56" i="3"/>
  <c r="C56" i="3"/>
  <c r="B56" i="3"/>
  <c r="A56" i="3"/>
  <c r="J55" i="3"/>
  <c r="I55" i="3"/>
  <c r="H55" i="3"/>
  <c r="G55" i="3"/>
  <c r="F55" i="3"/>
  <c r="E55" i="3"/>
  <c r="D55" i="3"/>
  <c r="C55" i="3"/>
  <c r="B55" i="3"/>
  <c r="A55" i="3"/>
  <c r="J54" i="3"/>
  <c r="I54" i="3"/>
  <c r="H54" i="3"/>
  <c r="G54" i="3"/>
  <c r="F54" i="3"/>
  <c r="E54" i="3"/>
  <c r="D54" i="3"/>
  <c r="C54" i="3"/>
  <c r="B54" i="3"/>
  <c r="A54" i="3"/>
  <c r="J53" i="3"/>
  <c r="I53" i="3"/>
  <c r="H53" i="3"/>
  <c r="G53" i="3"/>
  <c r="F53" i="3"/>
  <c r="E53" i="3"/>
  <c r="D53" i="3"/>
  <c r="C53" i="3"/>
  <c r="B53" i="3"/>
  <c r="A53" i="3"/>
  <c r="J52" i="3"/>
  <c r="I52" i="3"/>
  <c r="H52" i="3"/>
  <c r="G52" i="3"/>
  <c r="A52" i="3"/>
  <c r="J51" i="3"/>
  <c r="I51" i="3"/>
  <c r="H51" i="3"/>
  <c r="G51" i="3"/>
  <c r="F51" i="3"/>
  <c r="E51" i="3"/>
  <c r="D51" i="3"/>
  <c r="C51" i="3"/>
  <c r="B51" i="3"/>
  <c r="A51" i="3"/>
  <c r="J50" i="3"/>
  <c r="I50" i="3"/>
  <c r="H50" i="3"/>
  <c r="G50" i="3"/>
  <c r="A50" i="3"/>
  <c r="J49" i="3"/>
  <c r="I49" i="3"/>
  <c r="H49" i="3"/>
  <c r="G49" i="3"/>
  <c r="F49" i="3"/>
  <c r="E49" i="3"/>
  <c r="D49" i="3"/>
  <c r="C49" i="3"/>
  <c r="B49" i="3"/>
  <c r="A49" i="3"/>
  <c r="J48" i="3"/>
  <c r="I48" i="3"/>
  <c r="H48" i="3"/>
  <c r="G48" i="3"/>
  <c r="A48" i="3"/>
  <c r="J47" i="3"/>
  <c r="I47" i="3"/>
  <c r="H47" i="3"/>
  <c r="G47" i="3"/>
  <c r="F47" i="3"/>
  <c r="E47" i="3"/>
  <c r="D47" i="3"/>
  <c r="C47" i="3"/>
  <c r="B47" i="3"/>
  <c r="A47" i="3"/>
  <c r="J46" i="3"/>
  <c r="I46" i="3"/>
  <c r="H46" i="3"/>
  <c r="G46" i="3"/>
  <c r="A46" i="3"/>
  <c r="J45" i="3"/>
  <c r="I45" i="3"/>
  <c r="H45" i="3"/>
  <c r="G45" i="3"/>
  <c r="F45" i="3"/>
  <c r="E45" i="3"/>
  <c r="D45" i="3"/>
  <c r="C45" i="3"/>
  <c r="B45" i="3"/>
  <c r="A45" i="3"/>
  <c r="J44" i="3"/>
  <c r="I44" i="3"/>
  <c r="H44" i="3"/>
  <c r="G44" i="3"/>
  <c r="F44" i="3"/>
  <c r="E44" i="3"/>
  <c r="D44" i="3"/>
  <c r="C44" i="3"/>
  <c r="B44" i="3"/>
  <c r="A44" i="3"/>
  <c r="J43" i="3"/>
  <c r="I43" i="3"/>
  <c r="H43" i="3"/>
  <c r="G43" i="3"/>
  <c r="F43" i="3"/>
  <c r="E43" i="3"/>
  <c r="D43" i="3"/>
  <c r="C43" i="3"/>
  <c r="B43" i="3"/>
  <c r="A43" i="3"/>
  <c r="J42" i="3"/>
  <c r="I42" i="3"/>
  <c r="H42" i="3"/>
  <c r="G42" i="3"/>
  <c r="F42" i="3"/>
  <c r="E42" i="3"/>
  <c r="D42" i="3"/>
  <c r="C42" i="3"/>
  <c r="B42" i="3"/>
  <c r="A42" i="3"/>
  <c r="J41" i="3"/>
  <c r="I41" i="3"/>
  <c r="H41" i="3"/>
  <c r="G41" i="3"/>
  <c r="F41" i="3"/>
  <c r="E41" i="3"/>
  <c r="D41" i="3"/>
  <c r="C41" i="3"/>
  <c r="B41" i="3"/>
  <c r="A41" i="3"/>
  <c r="J40" i="3"/>
  <c r="I40" i="3"/>
  <c r="H40" i="3"/>
  <c r="G40" i="3"/>
  <c r="F40" i="3"/>
  <c r="E40" i="3"/>
  <c r="D40" i="3"/>
  <c r="C40" i="3"/>
  <c r="B40" i="3"/>
  <c r="A40" i="3"/>
  <c r="J39" i="3"/>
  <c r="I39" i="3"/>
  <c r="H39" i="3"/>
  <c r="G39" i="3"/>
  <c r="F39" i="3"/>
  <c r="E39" i="3"/>
  <c r="D39" i="3"/>
  <c r="C39" i="3"/>
  <c r="B39" i="3"/>
  <c r="A39" i="3"/>
  <c r="J38" i="3"/>
  <c r="I38" i="3"/>
  <c r="H38" i="3"/>
  <c r="G38" i="3"/>
  <c r="F38" i="3"/>
  <c r="E38" i="3"/>
  <c r="D38" i="3"/>
  <c r="C38" i="3"/>
  <c r="B38" i="3"/>
  <c r="A38" i="3"/>
  <c r="J37" i="3"/>
  <c r="I37" i="3"/>
  <c r="H37" i="3"/>
  <c r="G37" i="3"/>
  <c r="F37" i="3"/>
  <c r="E37" i="3"/>
  <c r="D37" i="3"/>
  <c r="C37" i="3"/>
  <c r="B37" i="3"/>
  <c r="A37" i="3"/>
  <c r="J36" i="3"/>
  <c r="I36" i="3"/>
  <c r="H36" i="3"/>
  <c r="G36" i="3"/>
  <c r="F36" i="3"/>
  <c r="E36" i="3"/>
  <c r="D36" i="3"/>
  <c r="C36" i="3"/>
  <c r="B36" i="3"/>
  <c r="A36" i="3"/>
  <c r="J35" i="3"/>
  <c r="I35" i="3"/>
  <c r="H35" i="3"/>
  <c r="G35" i="3"/>
  <c r="F35" i="3"/>
  <c r="E35" i="3"/>
  <c r="D35" i="3"/>
  <c r="C35" i="3"/>
  <c r="B35" i="3"/>
  <c r="A35" i="3"/>
  <c r="J34" i="3"/>
  <c r="I34" i="3"/>
  <c r="H34" i="3"/>
  <c r="G34" i="3"/>
  <c r="F34" i="3"/>
  <c r="E34" i="3"/>
  <c r="D34" i="3"/>
  <c r="C34" i="3"/>
  <c r="B34" i="3"/>
  <c r="A34" i="3"/>
  <c r="J33" i="3"/>
  <c r="I33" i="3"/>
  <c r="H33" i="3"/>
  <c r="G33" i="3"/>
  <c r="F33" i="3"/>
  <c r="E33" i="3"/>
  <c r="D33" i="3"/>
  <c r="C33" i="3"/>
  <c r="B33" i="3"/>
  <c r="A33" i="3"/>
  <c r="J32" i="3"/>
  <c r="I32" i="3"/>
  <c r="H32" i="3"/>
  <c r="G32" i="3"/>
  <c r="F32" i="3"/>
  <c r="E32" i="3"/>
  <c r="D32" i="3"/>
  <c r="C32" i="3"/>
  <c r="B32" i="3"/>
  <c r="A32" i="3"/>
  <c r="J31" i="3"/>
  <c r="I31" i="3"/>
  <c r="H31" i="3"/>
  <c r="G31" i="3"/>
  <c r="F31" i="3"/>
  <c r="E31" i="3"/>
  <c r="D31" i="3"/>
  <c r="C31" i="3"/>
  <c r="B31" i="3"/>
  <c r="A31" i="3"/>
  <c r="J30" i="3"/>
  <c r="I30" i="3"/>
  <c r="H30" i="3"/>
  <c r="G30" i="3"/>
  <c r="F30" i="3"/>
  <c r="E30" i="3"/>
  <c r="D30" i="3"/>
  <c r="C30" i="3"/>
  <c r="B30" i="3"/>
  <c r="A30" i="3"/>
  <c r="J29" i="3"/>
  <c r="I29" i="3"/>
  <c r="H29" i="3"/>
  <c r="G29" i="3"/>
  <c r="F29" i="3"/>
  <c r="E29" i="3"/>
  <c r="D29" i="3"/>
  <c r="C29" i="3"/>
  <c r="B29" i="3"/>
  <c r="A29" i="3"/>
  <c r="J28" i="3"/>
  <c r="I28" i="3"/>
  <c r="H28" i="3"/>
  <c r="G28" i="3"/>
  <c r="F28" i="3"/>
  <c r="E28" i="3"/>
  <c r="D28" i="3"/>
  <c r="C28" i="3"/>
  <c r="B28" i="3"/>
  <c r="A28" i="3"/>
  <c r="J27" i="3"/>
  <c r="I27" i="3"/>
  <c r="H27" i="3"/>
  <c r="G27" i="3"/>
  <c r="F27" i="3"/>
  <c r="E27" i="3"/>
  <c r="D27" i="3"/>
  <c r="C27" i="3"/>
  <c r="B27" i="3"/>
  <c r="A27" i="3"/>
  <c r="J26" i="3"/>
  <c r="I26" i="3"/>
  <c r="H26" i="3"/>
  <c r="G26" i="3"/>
  <c r="F26" i="3"/>
  <c r="E26" i="3"/>
  <c r="D26" i="3"/>
  <c r="C26" i="3"/>
  <c r="B26" i="3"/>
  <c r="A26" i="3"/>
  <c r="J25" i="3"/>
  <c r="I25" i="3"/>
  <c r="H25" i="3"/>
  <c r="G25" i="3"/>
  <c r="F25" i="3"/>
  <c r="E25" i="3"/>
  <c r="D25" i="3"/>
  <c r="C25" i="3"/>
  <c r="B25" i="3"/>
  <c r="A25" i="3"/>
  <c r="J24" i="3"/>
  <c r="I24" i="3"/>
  <c r="H24" i="3"/>
  <c r="G24" i="3"/>
  <c r="F24" i="3"/>
  <c r="E24" i="3"/>
  <c r="D24" i="3"/>
  <c r="C24" i="3"/>
  <c r="B24" i="3"/>
  <c r="A24" i="3"/>
  <c r="J23" i="3"/>
  <c r="I23" i="3"/>
  <c r="H23" i="3"/>
  <c r="G23" i="3"/>
  <c r="F23" i="3"/>
  <c r="E23" i="3"/>
  <c r="D23" i="3"/>
  <c r="C23" i="3"/>
  <c r="B23" i="3"/>
  <c r="A23" i="3"/>
  <c r="J22" i="3"/>
  <c r="I22" i="3"/>
  <c r="H22" i="3"/>
  <c r="G22" i="3"/>
  <c r="F22" i="3"/>
  <c r="E22" i="3"/>
  <c r="D22" i="3"/>
  <c r="C22" i="3"/>
  <c r="B22" i="3"/>
  <c r="A22" i="3"/>
  <c r="J21" i="3"/>
  <c r="I21" i="3"/>
  <c r="H21" i="3"/>
  <c r="G21" i="3"/>
  <c r="F21" i="3"/>
  <c r="E21" i="3"/>
  <c r="D21" i="3"/>
  <c r="C21" i="3"/>
  <c r="B21" i="3"/>
  <c r="A21" i="3"/>
  <c r="J20" i="3"/>
  <c r="I20" i="3"/>
  <c r="H20" i="3"/>
  <c r="G20" i="3"/>
  <c r="F20" i="3"/>
  <c r="E20" i="3"/>
  <c r="D20" i="3"/>
  <c r="C20" i="3"/>
  <c r="B20" i="3"/>
  <c r="A20" i="3"/>
  <c r="J19" i="3"/>
  <c r="I19" i="3"/>
  <c r="H19" i="3"/>
  <c r="G19" i="3"/>
  <c r="F19" i="3"/>
  <c r="E19" i="3"/>
  <c r="D19" i="3"/>
  <c r="C19" i="3"/>
  <c r="B19" i="3"/>
  <c r="A19" i="3"/>
  <c r="J18" i="3"/>
  <c r="I18" i="3"/>
  <c r="H18" i="3"/>
  <c r="G18" i="3"/>
  <c r="F18" i="3"/>
  <c r="E18" i="3"/>
  <c r="D18" i="3"/>
  <c r="C18" i="3"/>
  <c r="B18" i="3"/>
  <c r="A18" i="3"/>
  <c r="J17" i="3"/>
  <c r="I17" i="3"/>
  <c r="H17" i="3"/>
  <c r="G17" i="3"/>
  <c r="F17" i="3"/>
  <c r="E17" i="3"/>
  <c r="D17" i="3"/>
  <c r="C17" i="3"/>
  <c r="B17" i="3"/>
  <c r="A17" i="3"/>
  <c r="J16" i="3"/>
  <c r="I16" i="3"/>
  <c r="H16" i="3"/>
  <c r="G16" i="3"/>
  <c r="F16" i="3"/>
  <c r="E16" i="3"/>
  <c r="D16" i="3"/>
  <c r="C16" i="3"/>
  <c r="B16" i="3"/>
  <c r="A16" i="3"/>
  <c r="J15" i="3"/>
  <c r="I15" i="3"/>
  <c r="H15" i="3"/>
  <c r="G15" i="3"/>
  <c r="F15" i="3"/>
  <c r="E15" i="3"/>
  <c r="D15" i="3"/>
  <c r="C15" i="3"/>
  <c r="B15" i="3"/>
  <c r="A15" i="3"/>
  <c r="J14" i="3"/>
  <c r="I14" i="3"/>
  <c r="H14" i="3"/>
  <c r="G14" i="3"/>
  <c r="F14" i="3"/>
  <c r="E14" i="3"/>
  <c r="D14" i="3"/>
  <c r="C14" i="3"/>
  <c r="B14" i="3"/>
  <c r="A14" i="3"/>
  <c r="J13" i="3"/>
  <c r="I13" i="3"/>
  <c r="H13" i="3"/>
  <c r="G13" i="3"/>
  <c r="F13" i="3"/>
  <c r="E13" i="3"/>
  <c r="D13" i="3"/>
  <c r="C13" i="3"/>
  <c r="B13" i="3"/>
  <c r="A13" i="3"/>
  <c r="J12" i="3"/>
  <c r="I12" i="3"/>
  <c r="H12" i="3"/>
  <c r="G12" i="3"/>
  <c r="F12" i="3"/>
  <c r="E12" i="3"/>
  <c r="D12" i="3"/>
  <c r="C12" i="3"/>
  <c r="B12" i="3"/>
  <c r="A12" i="3"/>
  <c r="J11" i="3"/>
  <c r="I11" i="3"/>
  <c r="H11" i="3"/>
  <c r="G11" i="3"/>
  <c r="F11" i="3"/>
  <c r="E11" i="3"/>
  <c r="D11" i="3"/>
  <c r="C11" i="3"/>
  <c r="B11" i="3"/>
  <c r="A11" i="3"/>
  <c r="J10" i="3"/>
  <c r="I10" i="3"/>
  <c r="H10" i="3"/>
  <c r="G10" i="3"/>
  <c r="F10" i="3"/>
  <c r="E10" i="3"/>
  <c r="D10" i="3"/>
  <c r="C10" i="3"/>
  <c r="B10" i="3"/>
  <c r="A10" i="3"/>
  <c r="J9" i="3"/>
  <c r="I9" i="3"/>
  <c r="H9" i="3"/>
  <c r="G9" i="3"/>
  <c r="F9" i="3"/>
  <c r="E9" i="3"/>
  <c r="D9" i="3"/>
  <c r="C9" i="3"/>
  <c r="B9" i="3"/>
  <c r="A9" i="3"/>
  <c r="J8" i="3"/>
  <c r="I8" i="3"/>
  <c r="H8" i="3"/>
  <c r="G8" i="3"/>
  <c r="F8" i="3"/>
  <c r="E8" i="3"/>
  <c r="D8" i="3"/>
  <c r="C8" i="3"/>
  <c r="B8" i="3"/>
  <c r="A8" i="3"/>
  <c r="J7" i="3"/>
  <c r="I7" i="3"/>
  <c r="H7" i="3"/>
  <c r="G7" i="3"/>
  <c r="F7" i="3"/>
  <c r="E7" i="3"/>
  <c r="D7" i="3"/>
  <c r="C7" i="3"/>
  <c r="B7" i="3"/>
  <c r="A7" i="3"/>
  <c r="J6" i="3"/>
  <c r="I6" i="3"/>
  <c r="H6" i="3"/>
  <c r="G6" i="3"/>
  <c r="F6" i="3"/>
  <c r="E6" i="3"/>
  <c r="D6" i="3"/>
  <c r="C6" i="3"/>
  <c r="B6" i="3"/>
  <c r="A6" i="3"/>
  <c r="J5" i="3"/>
  <c r="I5" i="3"/>
  <c r="H5" i="3"/>
  <c r="G5" i="3"/>
  <c r="A5" i="3"/>
  <c r="J4" i="3"/>
  <c r="I4" i="3"/>
  <c r="H4" i="3"/>
  <c r="G4" i="3"/>
  <c r="H3" i="3"/>
  <c r="G3" i="3"/>
  <c r="F3" i="3"/>
  <c r="E3" i="3"/>
  <c r="D3" i="3"/>
  <c r="C3" i="3"/>
  <c r="B3" i="3"/>
  <c r="A3" i="3"/>
  <c r="J2" i="3"/>
  <c r="I2" i="3"/>
  <c r="H2" i="3"/>
  <c r="G2" i="3"/>
  <c r="F2" i="3"/>
  <c r="E2" i="3"/>
  <c r="D2" i="3"/>
  <c r="C2" i="3"/>
  <c r="B2" i="3"/>
  <c r="A2" i="3"/>
  <c r="N1" i="3"/>
  <c r="E1" i="3"/>
  <c r="A1" i="3"/>
  <c r="H5406" i="2"/>
  <c r="G5406" i="2"/>
  <c r="F5406" i="2"/>
  <c r="E5406" i="2"/>
  <c r="D5406" i="2"/>
  <c r="C5406" i="2"/>
  <c r="B5406" i="2"/>
  <c r="A5406" i="2"/>
  <c r="H5405" i="2"/>
  <c r="G5405" i="2"/>
  <c r="F5405" i="2"/>
  <c r="E5405" i="2"/>
  <c r="D5405" i="2"/>
  <c r="C5405" i="2"/>
  <c r="B5405" i="2"/>
  <c r="A5405" i="2"/>
  <c r="H5404" i="2"/>
  <c r="G5404" i="2"/>
  <c r="F5404" i="2"/>
  <c r="E5404" i="2"/>
  <c r="D5404" i="2"/>
  <c r="C5404" i="2"/>
  <c r="B5404" i="2"/>
  <c r="A5404" i="2"/>
  <c r="H5403" i="2"/>
  <c r="G5403" i="2"/>
  <c r="F5403" i="2"/>
  <c r="E5403" i="2"/>
  <c r="D5403" i="2"/>
  <c r="C5403" i="2"/>
  <c r="B5403" i="2"/>
  <c r="A5403" i="2"/>
  <c r="H5402" i="2"/>
  <c r="G5402" i="2"/>
  <c r="F5402" i="2"/>
  <c r="E5402" i="2"/>
  <c r="D5402" i="2"/>
  <c r="C5402" i="2"/>
  <c r="B5402" i="2"/>
  <c r="A5402" i="2"/>
  <c r="H5401" i="2"/>
  <c r="G5401" i="2"/>
  <c r="F5401" i="2"/>
  <c r="E5401" i="2"/>
  <c r="D5401" i="2"/>
  <c r="C5401" i="2"/>
  <c r="B5401" i="2"/>
  <c r="A5401" i="2"/>
  <c r="H5400" i="2"/>
  <c r="G5400" i="2"/>
  <c r="F5400" i="2"/>
  <c r="E5400" i="2"/>
  <c r="D5400" i="2"/>
  <c r="C5400" i="2"/>
  <c r="B5400" i="2"/>
  <c r="A5400" i="2"/>
  <c r="H5399" i="2"/>
  <c r="G5399" i="2"/>
  <c r="F5399" i="2"/>
  <c r="E5399" i="2"/>
  <c r="D5399" i="2"/>
  <c r="C5399" i="2"/>
  <c r="B5399" i="2"/>
  <c r="A5399" i="2"/>
  <c r="H5398" i="2"/>
  <c r="G5398" i="2"/>
  <c r="F5398" i="2"/>
  <c r="E5398" i="2"/>
  <c r="D5398" i="2"/>
  <c r="C5398" i="2"/>
  <c r="B5398" i="2"/>
  <c r="A5398" i="2"/>
  <c r="H5397" i="2"/>
  <c r="G5397" i="2"/>
  <c r="F5397" i="2"/>
  <c r="E5397" i="2"/>
  <c r="D5397" i="2"/>
  <c r="C5397" i="2"/>
  <c r="B5397" i="2"/>
  <c r="A5397" i="2"/>
  <c r="H5396" i="2"/>
  <c r="G5396" i="2"/>
  <c r="F5396" i="2"/>
  <c r="E5396" i="2"/>
  <c r="D5396" i="2"/>
  <c r="C5396" i="2"/>
  <c r="B5396" i="2"/>
  <c r="A5396" i="2"/>
  <c r="H5395" i="2"/>
  <c r="G5395" i="2"/>
  <c r="F5395" i="2"/>
  <c r="E5395" i="2"/>
  <c r="D5395" i="2"/>
  <c r="C5395" i="2"/>
  <c r="B5395" i="2"/>
  <c r="A5395" i="2"/>
  <c r="H5394" i="2"/>
  <c r="G5394" i="2"/>
  <c r="F5394" i="2"/>
  <c r="E5394" i="2"/>
  <c r="D5394" i="2"/>
  <c r="C5394" i="2"/>
  <c r="B5394" i="2"/>
  <c r="A5394" i="2"/>
  <c r="H5393" i="2"/>
  <c r="G5393" i="2"/>
  <c r="F5393" i="2"/>
  <c r="E5393" i="2"/>
  <c r="D5393" i="2"/>
  <c r="C5393" i="2"/>
  <c r="B5393" i="2"/>
  <c r="A5393" i="2"/>
  <c r="H5392" i="2"/>
  <c r="G5392" i="2"/>
  <c r="F5392" i="2"/>
  <c r="E5392" i="2"/>
  <c r="D5392" i="2"/>
  <c r="C5392" i="2"/>
  <c r="B5392" i="2"/>
  <c r="A5392" i="2"/>
  <c r="H5391" i="2"/>
  <c r="G5391" i="2"/>
  <c r="F5391" i="2"/>
  <c r="E5391" i="2"/>
  <c r="D5391" i="2"/>
  <c r="C5391" i="2"/>
  <c r="B5391" i="2"/>
  <c r="A5391" i="2"/>
  <c r="H5390" i="2"/>
  <c r="G5390" i="2"/>
  <c r="F5390" i="2"/>
  <c r="E5390" i="2"/>
  <c r="D5390" i="2"/>
  <c r="C5390" i="2"/>
  <c r="B5390" i="2"/>
  <c r="A5390" i="2"/>
  <c r="H5389" i="2"/>
  <c r="G5389" i="2"/>
  <c r="F5389" i="2"/>
  <c r="E5389" i="2"/>
  <c r="D5389" i="2"/>
  <c r="C5389" i="2"/>
  <c r="B5389" i="2"/>
  <c r="A5389" i="2"/>
  <c r="H5388" i="2"/>
  <c r="G5388" i="2"/>
  <c r="F5388" i="2"/>
  <c r="E5388" i="2"/>
  <c r="D5388" i="2"/>
  <c r="C5388" i="2"/>
  <c r="B5388" i="2"/>
  <c r="A5388" i="2"/>
  <c r="H5387" i="2"/>
  <c r="G5387" i="2"/>
  <c r="F5387" i="2"/>
  <c r="E5387" i="2"/>
  <c r="D5387" i="2"/>
  <c r="C5387" i="2"/>
  <c r="B5387" i="2"/>
  <c r="A5387" i="2"/>
  <c r="H5386" i="2"/>
  <c r="G5386" i="2"/>
  <c r="F5386" i="2"/>
  <c r="E5386" i="2"/>
  <c r="D5386" i="2"/>
  <c r="C5386" i="2"/>
  <c r="B5386" i="2"/>
  <c r="A5386" i="2"/>
  <c r="H5385" i="2"/>
  <c r="G5385" i="2"/>
  <c r="F5385" i="2"/>
  <c r="E5385" i="2"/>
  <c r="D5385" i="2"/>
  <c r="C5385" i="2"/>
  <c r="B5385" i="2"/>
  <c r="A5385" i="2"/>
  <c r="H5384" i="2"/>
  <c r="G5384" i="2"/>
  <c r="F5384" i="2"/>
  <c r="E5384" i="2"/>
  <c r="D5384" i="2"/>
  <c r="C5384" i="2"/>
  <c r="B5384" i="2"/>
  <c r="A5384" i="2"/>
  <c r="H5383" i="2"/>
  <c r="G5383" i="2"/>
  <c r="F5383" i="2"/>
  <c r="E5383" i="2"/>
  <c r="D5383" i="2"/>
  <c r="C5383" i="2"/>
  <c r="B5383" i="2"/>
  <c r="A5383" i="2"/>
  <c r="H5382" i="2"/>
  <c r="G5382" i="2"/>
  <c r="F5382" i="2"/>
  <c r="E5382" i="2"/>
  <c r="D5382" i="2"/>
  <c r="C5382" i="2"/>
  <c r="B5382" i="2"/>
  <c r="A5382" i="2"/>
  <c r="H5381" i="2"/>
  <c r="G5381" i="2"/>
  <c r="F5381" i="2"/>
  <c r="E5381" i="2"/>
  <c r="D5381" i="2"/>
  <c r="C5381" i="2"/>
  <c r="B5381" i="2"/>
  <c r="A5381" i="2"/>
  <c r="H5380" i="2"/>
  <c r="G5380" i="2"/>
  <c r="F5380" i="2"/>
  <c r="E5380" i="2"/>
  <c r="D5380" i="2"/>
  <c r="C5380" i="2"/>
  <c r="B5380" i="2"/>
  <c r="A5380" i="2"/>
  <c r="H5379" i="2"/>
  <c r="G5379" i="2"/>
  <c r="F5379" i="2"/>
  <c r="E5379" i="2"/>
  <c r="D5379" i="2"/>
  <c r="C5379" i="2"/>
  <c r="B5379" i="2"/>
  <c r="A5379" i="2"/>
  <c r="H5378" i="2"/>
  <c r="G5378" i="2"/>
  <c r="F5378" i="2"/>
  <c r="E5378" i="2"/>
  <c r="D5378" i="2"/>
  <c r="C5378" i="2"/>
  <c r="B5378" i="2"/>
  <c r="A5378" i="2"/>
  <c r="H5377" i="2"/>
  <c r="G5377" i="2"/>
  <c r="F5377" i="2"/>
  <c r="E5377" i="2"/>
  <c r="D5377" i="2"/>
  <c r="C5377" i="2"/>
  <c r="B5377" i="2"/>
  <c r="A5377" i="2"/>
  <c r="H5376" i="2"/>
  <c r="G5376" i="2"/>
  <c r="F5376" i="2"/>
  <c r="E5376" i="2"/>
  <c r="D5376" i="2"/>
  <c r="C5376" i="2"/>
  <c r="B5376" i="2"/>
  <c r="A5376" i="2"/>
  <c r="H5375" i="2"/>
  <c r="G5375" i="2"/>
  <c r="F5375" i="2"/>
  <c r="E5375" i="2"/>
  <c r="D5375" i="2"/>
  <c r="C5375" i="2"/>
  <c r="B5375" i="2"/>
  <c r="A5375" i="2"/>
  <c r="H5374" i="2"/>
  <c r="G5374" i="2"/>
  <c r="F5374" i="2"/>
  <c r="E5374" i="2"/>
  <c r="D5374" i="2"/>
  <c r="C5374" i="2"/>
  <c r="B5374" i="2"/>
  <c r="A5374" i="2"/>
  <c r="H5373" i="2"/>
  <c r="G5373" i="2"/>
  <c r="F5373" i="2"/>
  <c r="E5373" i="2"/>
  <c r="D5373" i="2"/>
  <c r="C5373" i="2"/>
  <c r="B5373" i="2"/>
  <c r="A5373" i="2"/>
  <c r="H5372" i="2"/>
  <c r="G5372" i="2"/>
  <c r="F5372" i="2"/>
  <c r="E5372" i="2"/>
  <c r="D5372" i="2"/>
  <c r="C5372" i="2"/>
  <c r="B5372" i="2"/>
  <c r="A5372" i="2"/>
  <c r="H5371" i="2"/>
  <c r="G5371" i="2"/>
  <c r="F5371" i="2"/>
  <c r="E5371" i="2"/>
  <c r="D5371" i="2"/>
  <c r="C5371" i="2"/>
  <c r="B5371" i="2"/>
  <c r="A5371" i="2"/>
  <c r="H5370" i="2"/>
  <c r="G5370" i="2"/>
  <c r="F5370" i="2"/>
  <c r="E5370" i="2"/>
  <c r="D5370" i="2"/>
  <c r="C5370" i="2"/>
  <c r="B5370" i="2"/>
  <c r="A5370" i="2"/>
  <c r="H5369" i="2"/>
  <c r="G5369" i="2"/>
  <c r="F5369" i="2"/>
  <c r="E5369" i="2"/>
  <c r="D5369" i="2"/>
  <c r="C5369" i="2"/>
  <c r="B5369" i="2"/>
  <c r="A5369" i="2"/>
  <c r="H5368" i="2"/>
  <c r="G5368" i="2"/>
  <c r="F5368" i="2"/>
  <c r="E5368" i="2"/>
  <c r="D5368" i="2"/>
  <c r="C5368" i="2"/>
  <c r="B5368" i="2"/>
  <c r="A5368" i="2"/>
  <c r="H5367" i="2"/>
  <c r="G5367" i="2"/>
  <c r="F5367" i="2"/>
  <c r="E5367" i="2"/>
  <c r="D5367" i="2"/>
  <c r="C5367" i="2"/>
  <c r="B5367" i="2"/>
  <c r="A5367" i="2"/>
  <c r="H5366" i="2"/>
  <c r="G5366" i="2"/>
  <c r="F5366" i="2"/>
  <c r="E5366" i="2"/>
  <c r="D5366" i="2"/>
  <c r="C5366" i="2"/>
  <c r="B5366" i="2"/>
  <c r="A5366" i="2"/>
  <c r="H5365" i="2"/>
  <c r="G5365" i="2"/>
  <c r="F5365" i="2"/>
  <c r="E5365" i="2"/>
  <c r="D5365" i="2"/>
  <c r="C5365" i="2"/>
  <c r="B5365" i="2"/>
  <c r="A5365" i="2"/>
  <c r="H5364" i="2"/>
  <c r="G5364" i="2"/>
  <c r="F5364" i="2"/>
  <c r="E5364" i="2"/>
  <c r="D5364" i="2"/>
  <c r="C5364" i="2"/>
  <c r="B5364" i="2"/>
  <c r="A5364" i="2"/>
  <c r="H5363" i="2"/>
  <c r="G5363" i="2"/>
  <c r="F5363" i="2"/>
  <c r="E5363" i="2"/>
  <c r="D5363" i="2"/>
  <c r="C5363" i="2"/>
  <c r="B5363" i="2"/>
  <c r="A5363" i="2"/>
  <c r="H5362" i="2"/>
  <c r="G5362" i="2"/>
  <c r="F5362" i="2"/>
  <c r="E5362" i="2"/>
  <c r="D5362" i="2"/>
  <c r="C5362" i="2"/>
  <c r="B5362" i="2"/>
  <c r="A5362" i="2"/>
  <c r="H5361" i="2"/>
  <c r="G5361" i="2"/>
  <c r="F5361" i="2"/>
  <c r="E5361" i="2"/>
  <c r="D5361" i="2"/>
  <c r="C5361" i="2"/>
  <c r="B5361" i="2"/>
  <c r="A5361" i="2"/>
  <c r="H5360" i="2"/>
  <c r="G5360" i="2"/>
  <c r="F5360" i="2"/>
  <c r="E5360" i="2"/>
  <c r="D5360" i="2"/>
  <c r="C5360" i="2"/>
  <c r="B5360" i="2"/>
  <c r="A5360" i="2"/>
  <c r="H5359" i="2"/>
  <c r="G5359" i="2"/>
  <c r="F5359" i="2"/>
  <c r="E5359" i="2"/>
  <c r="D5359" i="2"/>
  <c r="C5359" i="2"/>
  <c r="B5359" i="2"/>
  <c r="A5359" i="2"/>
  <c r="H5358" i="2"/>
  <c r="G5358" i="2"/>
  <c r="F5358" i="2"/>
  <c r="E5358" i="2"/>
  <c r="D5358" i="2"/>
  <c r="C5358" i="2"/>
  <c r="B5358" i="2"/>
  <c r="A5358" i="2"/>
  <c r="H5357" i="2"/>
  <c r="G5357" i="2"/>
  <c r="F5357" i="2"/>
  <c r="E5357" i="2"/>
  <c r="D5357" i="2"/>
  <c r="C5357" i="2"/>
  <c r="B5357" i="2"/>
  <c r="A5357" i="2"/>
  <c r="H5356" i="2"/>
  <c r="G5356" i="2"/>
  <c r="F5356" i="2"/>
  <c r="E5356" i="2"/>
  <c r="D5356" i="2"/>
  <c r="C5356" i="2"/>
  <c r="B5356" i="2"/>
  <c r="A5356" i="2"/>
  <c r="H5355" i="2"/>
  <c r="G5355" i="2"/>
  <c r="F5355" i="2"/>
  <c r="E5355" i="2"/>
  <c r="D5355" i="2"/>
  <c r="C5355" i="2"/>
  <c r="B5355" i="2"/>
  <c r="A5355" i="2"/>
  <c r="H5354" i="2"/>
  <c r="G5354" i="2"/>
  <c r="F5354" i="2"/>
  <c r="E5354" i="2"/>
  <c r="D5354" i="2"/>
  <c r="C5354" i="2"/>
  <c r="B5354" i="2"/>
  <c r="A5354" i="2"/>
  <c r="H5353" i="2"/>
  <c r="G5353" i="2"/>
  <c r="F5353" i="2"/>
  <c r="E5353" i="2"/>
  <c r="D5353" i="2"/>
  <c r="C5353" i="2"/>
  <c r="B5353" i="2"/>
  <c r="A5353" i="2"/>
  <c r="H5352" i="2"/>
  <c r="G5352" i="2"/>
  <c r="F5352" i="2"/>
  <c r="E5352" i="2"/>
  <c r="D5352" i="2"/>
  <c r="C5352" i="2"/>
  <c r="B5352" i="2"/>
  <c r="A5352" i="2"/>
  <c r="H5351" i="2"/>
  <c r="G5351" i="2"/>
  <c r="F5351" i="2"/>
  <c r="E5351" i="2"/>
  <c r="D5351" i="2"/>
  <c r="C5351" i="2"/>
  <c r="B5351" i="2"/>
  <c r="A5351" i="2"/>
  <c r="H5350" i="2"/>
  <c r="G5350" i="2"/>
  <c r="F5350" i="2"/>
  <c r="E5350" i="2"/>
  <c r="D5350" i="2"/>
  <c r="C5350" i="2"/>
  <c r="B5350" i="2"/>
  <c r="A5350" i="2"/>
  <c r="H5349" i="2"/>
  <c r="G5349" i="2"/>
  <c r="F5349" i="2"/>
  <c r="E5349" i="2"/>
  <c r="D5349" i="2"/>
  <c r="C5349" i="2"/>
  <c r="B5349" i="2"/>
  <c r="A5349" i="2"/>
  <c r="H5348" i="2"/>
  <c r="G5348" i="2"/>
  <c r="F5348" i="2"/>
  <c r="E5348" i="2"/>
  <c r="D5348" i="2"/>
  <c r="C5348" i="2"/>
  <c r="B5348" i="2"/>
  <c r="A5348" i="2"/>
  <c r="H5347" i="2"/>
  <c r="G5347" i="2"/>
  <c r="F5347" i="2"/>
  <c r="E5347" i="2"/>
  <c r="D5347" i="2"/>
  <c r="C5347" i="2"/>
  <c r="B5347" i="2"/>
  <c r="A5347" i="2"/>
  <c r="H5346" i="2"/>
  <c r="G5346" i="2"/>
  <c r="F5346" i="2"/>
  <c r="E5346" i="2"/>
  <c r="D5346" i="2"/>
  <c r="C5346" i="2"/>
  <c r="B5346" i="2"/>
  <c r="A5346" i="2"/>
  <c r="H5345" i="2"/>
  <c r="G5345" i="2"/>
  <c r="F5345" i="2"/>
  <c r="E5345" i="2"/>
  <c r="D5345" i="2"/>
  <c r="C5345" i="2"/>
  <c r="B5345" i="2"/>
  <c r="A5345" i="2"/>
  <c r="H5344" i="2"/>
  <c r="G5344" i="2"/>
  <c r="F5344" i="2"/>
  <c r="E5344" i="2"/>
  <c r="D5344" i="2"/>
  <c r="C5344" i="2"/>
  <c r="B5344" i="2"/>
  <c r="A5344" i="2"/>
  <c r="H5343" i="2"/>
  <c r="G5343" i="2"/>
  <c r="F5343" i="2"/>
  <c r="E5343" i="2"/>
  <c r="D5343" i="2"/>
  <c r="C5343" i="2"/>
  <c r="B5343" i="2"/>
  <c r="A5343" i="2"/>
  <c r="H5342" i="2"/>
  <c r="G5342" i="2"/>
  <c r="F5342" i="2"/>
  <c r="E5342" i="2"/>
  <c r="D5342" i="2"/>
  <c r="C5342" i="2"/>
  <c r="B5342" i="2"/>
  <c r="A5342" i="2"/>
  <c r="H5341" i="2"/>
  <c r="G5341" i="2"/>
  <c r="F5341" i="2"/>
  <c r="E5341" i="2"/>
  <c r="D5341" i="2"/>
  <c r="C5341" i="2"/>
  <c r="B5341" i="2"/>
  <c r="A5341" i="2"/>
  <c r="H5340" i="2"/>
  <c r="G5340" i="2"/>
  <c r="F5340" i="2"/>
  <c r="E5340" i="2"/>
  <c r="D5340" i="2"/>
  <c r="C5340" i="2"/>
  <c r="B5340" i="2"/>
  <c r="A5340" i="2"/>
  <c r="H5339" i="2"/>
  <c r="G5339" i="2"/>
  <c r="F5339" i="2"/>
  <c r="E5339" i="2"/>
  <c r="D5339" i="2"/>
  <c r="C5339" i="2"/>
  <c r="B5339" i="2"/>
  <c r="A5339" i="2"/>
  <c r="H5338" i="2"/>
  <c r="G5338" i="2"/>
  <c r="F5338" i="2"/>
  <c r="E5338" i="2"/>
  <c r="D5338" i="2"/>
  <c r="C5338" i="2"/>
  <c r="B5338" i="2"/>
  <c r="A5338" i="2"/>
  <c r="H5337" i="2"/>
  <c r="G5337" i="2"/>
  <c r="F5337" i="2"/>
  <c r="E5337" i="2"/>
  <c r="D5337" i="2"/>
  <c r="C5337" i="2"/>
  <c r="B5337" i="2"/>
  <c r="A5337" i="2"/>
  <c r="H5336" i="2"/>
  <c r="G5336" i="2"/>
  <c r="F5336" i="2"/>
  <c r="E5336" i="2"/>
  <c r="D5336" i="2"/>
  <c r="C5336" i="2"/>
  <c r="B5336" i="2"/>
  <c r="A5336" i="2"/>
  <c r="H5335" i="2"/>
  <c r="G5335" i="2"/>
  <c r="F5335" i="2"/>
  <c r="E5335" i="2"/>
  <c r="D5335" i="2"/>
  <c r="C5335" i="2"/>
  <c r="B5335" i="2"/>
  <c r="A5335" i="2"/>
  <c r="H5334" i="2"/>
  <c r="G5334" i="2"/>
  <c r="F5334" i="2"/>
  <c r="E5334" i="2"/>
  <c r="D5334" i="2"/>
  <c r="C5334" i="2"/>
  <c r="B5334" i="2"/>
  <c r="A5334" i="2"/>
  <c r="H5333" i="2"/>
  <c r="G5333" i="2"/>
  <c r="F5333" i="2"/>
  <c r="E5333" i="2"/>
  <c r="D5333" i="2"/>
  <c r="C5333" i="2"/>
  <c r="B5333" i="2"/>
  <c r="A5333" i="2"/>
  <c r="H5332" i="2"/>
  <c r="G5332" i="2"/>
  <c r="F5332" i="2"/>
  <c r="E5332" i="2"/>
  <c r="D5332" i="2"/>
  <c r="C5332" i="2"/>
  <c r="B5332" i="2"/>
  <c r="A5332" i="2"/>
  <c r="H5331" i="2"/>
  <c r="G5331" i="2"/>
  <c r="F5331" i="2"/>
  <c r="E5331" i="2"/>
  <c r="D5331" i="2"/>
  <c r="C5331" i="2"/>
  <c r="B5331" i="2"/>
  <c r="A5331" i="2"/>
  <c r="H5330" i="2"/>
  <c r="G5330" i="2"/>
  <c r="F5330" i="2"/>
  <c r="E5330" i="2"/>
  <c r="D5330" i="2"/>
  <c r="C5330" i="2"/>
  <c r="B5330" i="2"/>
  <c r="A5330" i="2"/>
  <c r="H5329" i="2"/>
  <c r="G5329" i="2"/>
  <c r="F5329" i="2"/>
  <c r="E5329" i="2"/>
  <c r="D5329" i="2"/>
  <c r="C5329" i="2"/>
  <c r="B5329" i="2"/>
  <c r="A5329" i="2"/>
  <c r="H5328" i="2"/>
  <c r="G5328" i="2"/>
  <c r="F5328" i="2"/>
  <c r="E5328" i="2"/>
  <c r="D5328" i="2"/>
  <c r="C5328" i="2"/>
  <c r="B5328" i="2"/>
  <c r="A5328" i="2"/>
  <c r="H5327" i="2"/>
  <c r="G5327" i="2"/>
  <c r="F5327" i="2"/>
  <c r="E5327" i="2"/>
  <c r="D5327" i="2"/>
  <c r="C5327" i="2"/>
  <c r="B5327" i="2"/>
  <c r="A5327" i="2"/>
  <c r="H5326" i="2"/>
  <c r="G5326" i="2"/>
  <c r="F5326" i="2"/>
  <c r="E5326" i="2"/>
  <c r="D5326" i="2"/>
  <c r="C5326" i="2"/>
  <c r="B5326" i="2"/>
  <c r="A5326" i="2"/>
  <c r="H5325" i="2"/>
  <c r="G5325" i="2"/>
  <c r="F5325" i="2"/>
  <c r="E5325" i="2"/>
  <c r="D5325" i="2"/>
  <c r="C5325" i="2"/>
  <c r="B5325" i="2"/>
  <c r="A5325" i="2"/>
  <c r="H5324" i="2"/>
  <c r="G5324" i="2"/>
  <c r="F5324" i="2"/>
  <c r="E5324" i="2"/>
  <c r="D5324" i="2"/>
  <c r="C5324" i="2"/>
  <c r="B5324" i="2"/>
  <c r="A5324" i="2"/>
  <c r="H5323" i="2"/>
  <c r="G5323" i="2"/>
  <c r="F5323" i="2"/>
  <c r="E5323" i="2"/>
  <c r="D5323" i="2"/>
  <c r="C5323" i="2"/>
  <c r="B5323" i="2"/>
  <c r="A5323" i="2"/>
  <c r="H5322" i="2"/>
  <c r="G5322" i="2"/>
  <c r="F5322" i="2"/>
  <c r="E5322" i="2"/>
  <c r="D5322" i="2"/>
  <c r="C5322" i="2"/>
  <c r="B5322" i="2"/>
  <c r="A5322" i="2"/>
  <c r="H5321" i="2"/>
  <c r="G5321" i="2"/>
  <c r="F5321" i="2"/>
  <c r="E5321" i="2"/>
  <c r="D5321" i="2"/>
  <c r="C5321" i="2"/>
  <c r="B5321" i="2"/>
  <c r="A5321" i="2"/>
  <c r="H5320" i="2"/>
  <c r="G5320" i="2"/>
  <c r="F5320" i="2"/>
  <c r="E5320" i="2"/>
  <c r="D5320" i="2"/>
  <c r="C5320" i="2"/>
  <c r="B5320" i="2"/>
  <c r="A5320" i="2"/>
  <c r="H5319" i="2"/>
  <c r="G5319" i="2"/>
  <c r="F5319" i="2"/>
  <c r="E5319" i="2"/>
  <c r="D5319" i="2"/>
  <c r="C5319" i="2"/>
  <c r="B5319" i="2"/>
  <c r="A5319" i="2"/>
  <c r="H5318" i="2"/>
  <c r="G5318" i="2"/>
  <c r="F5318" i="2"/>
  <c r="E5318" i="2"/>
  <c r="D5318" i="2"/>
  <c r="C5318" i="2"/>
  <c r="B5318" i="2"/>
  <c r="A5318" i="2"/>
  <c r="H5317" i="2"/>
  <c r="G5317" i="2"/>
  <c r="F5317" i="2"/>
  <c r="E5317" i="2"/>
  <c r="D5317" i="2"/>
  <c r="C5317" i="2"/>
  <c r="B5317" i="2"/>
  <c r="A5317" i="2"/>
  <c r="H5316" i="2"/>
  <c r="G5316" i="2"/>
  <c r="F5316" i="2"/>
  <c r="E5316" i="2"/>
  <c r="D5316" i="2"/>
  <c r="C5316" i="2"/>
  <c r="B5316" i="2"/>
  <c r="A5316" i="2"/>
  <c r="H5315" i="2"/>
  <c r="G5315" i="2"/>
  <c r="F5315" i="2"/>
  <c r="E5315" i="2"/>
  <c r="D5315" i="2"/>
  <c r="C5315" i="2"/>
  <c r="B5315" i="2"/>
  <c r="A5315" i="2"/>
  <c r="H5314" i="2"/>
  <c r="G5314" i="2"/>
  <c r="F5314" i="2"/>
  <c r="E5314" i="2"/>
  <c r="D5314" i="2"/>
  <c r="C5314" i="2"/>
  <c r="B5314" i="2"/>
  <c r="A5314" i="2"/>
  <c r="H5313" i="2"/>
  <c r="G5313" i="2"/>
  <c r="F5313" i="2"/>
  <c r="E5313" i="2"/>
  <c r="D5313" i="2"/>
  <c r="C5313" i="2"/>
  <c r="B5313" i="2"/>
  <c r="A5313" i="2"/>
  <c r="H5312" i="2"/>
  <c r="G5312" i="2"/>
  <c r="F5312" i="2"/>
  <c r="E5312" i="2"/>
  <c r="D5312" i="2"/>
  <c r="C5312" i="2"/>
  <c r="B5312" i="2"/>
  <c r="A5312" i="2"/>
  <c r="H5311" i="2"/>
  <c r="G5311" i="2"/>
  <c r="F5311" i="2"/>
  <c r="E5311" i="2"/>
  <c r="D5311" i="2"/>
  <c r="C5311" i="2"/>
  <c r="B5311" i="2"/>
  <c r="A5311" i="2"/>
  <c r="H5310" i="2"/>
  <c r="G5310" i="2"/>
  <c r="F5310" i="2"/>
  <c r="E5310" i="2"/>
  <c r="D5310" i="2"/>
  <c r="C5310" i="2"/>
  <c r="B5310" i="2"/>
  <c r="A5310" i="2"/>
  <c r="H5309" i="2"/>
  <c r="G5309" i="2"/>
  <c r="F5309" i="2"/>
  <c r="E5309" i="2"/>
  <c r="D5309" i="2"/>
  <c r="C5309" i="2"/>
  <c r="B5309" i="2"/>
  <c r="A5309" i="2"/>
  <c r="H5308" i="2"/>
  <c r="G5308" i="2"/>
  <c r="F5308" i="2"/>
  <c r="E5308" i="2"/>
  <c r="D5308" i="2"/>
  <c r="C5308" i="2"/>
  <c r="B5308" i="2"/>
  <c r="A5308" i="2"/>
  <c r="H5307" i="2"/>
  <c r="G5307" i="2"/>
  <c r="F5307" i="2"/>
  <c r="E5307" i="2"/>
  <c r="D5307" i="2"/>
  <c r="C5307" i="2"/>
  <c r="B5307" i="2"/>
  <c r="A5307" i="2"/>
  <c r="H5306" i="2"/>
  <c r="G5306" i="2"/>
  <c r="F5306" i="2"/>
  <c r="E5306" i="2"/>
  <c r="D5306" i="2"/>
  <c r="C5306" i="2"/>
  <c r="B5306" i="2"/>
  <c r="A5306" i="2"/>
  <c r="H5305" i="2"/>
  <c r="G5305" i="2"/>
  <c r="F5305" i="2"/>
  <c r="E5305" i="2"/>
  <c r="D5305" i="2"/>
  <c r="C5305" i="2"/>
  <c r="B5305" i="2"/>
  <c r="A5305" i="2"/>
  <c r="H5304" i="2"/>
  <c r="G5304" i="2"/>
  <c r="F5304" i="2"/>
  <c r="E5304" i="2"/>
  <c r="D5304" i="2"/>
  <c r="C5304" i="2"/>
  <c r="B5304" i="2"/>
  <c r="A5304" i="2"/>
  <c r="H5303" i="2"/>
  <c r="G5303" i="2"/>
  <c r="F5303" i="2"/>
  <c r="E5303" i="2"/>
  <c r="D5303" i="2"/>
  <c r="C5303" i="2"/>
  <c r="B5303" i="2"/>
  <c r="A5303" i="2"/>
  <c r="H5302" i="2"/>
  <c r="G5302" i="2"/>
  <c r="F5302" i="2"/>
  <c r="E5302" i="2"/>
  <c r="D5302" i="2"/>
  <c r="C5302" i="2"/>
  <c r="B5302" i="2"/>
  <c r="A5302" i="2"/>
  <c r="H5301" i="2"/>
  <c r="G5301" i="2"/>
  <c r="F5301" i="2"/>
  <c r="E5301" i="2"/>
  <c r="D5301" i="2"/>
  <c r="C5301" i="2"/>
  <c r="B5301" i="2"/>
  <c r="A5301" i="2"/>
  <c r="H5300" i="2"/>
  <c r="G5300" i="2"/>
  <c r="F5300" i="2"/>
  <c r="E5300" i="2"/>
  <c r="D5300" i="2"/>
  <c r="C5300" i="2"/>
  <c r="B5300" i="2"/>
  <c r="A5300" i="2"/>
  <c r="H5299" i="2"/>
  <c r="G5299" i="2"/>
  <c r="F5299" i="2"/>
  <c r="E5299" i="2"/>
  <c r="D5299" i="2"/>
  <c r="C5299" i="2"/>
  <c r="B5299" i="2"/>
  <c r="A5299" i="2"/>
  <c r="H5298" i="2"/>
  <c r="G5298" i="2"/>
  <c r="F5298" i="2"/>
  <c r="E5298" i="2"/>
  <c r="D5298" i="2"/>
  <c r="C5298" i="2"/>
  <c r="B5298" i="2"/>
  <c r="A5298" i="2"/>
  <c r="H5297" i="2"/>
  <c r="G5297" i="2"/>
  <c r="F5297" i="2"/>
  <c r="E5297" i="2"/>
  <c r="D5297" i="2"/>
  <c r="C5297" i="2"/>
  <c r="B5297" i="2"/>
  <c r="A5297" i="2"/>
  <c r="H5296" i="2"/>
  <c r="G5296" i="2"/>
  <c r="F5296" i="2"/>
  <c r="E5296" i="2"/>
  <c r="D5296" i="2"/>
  <c r="C5296" i="2"/>
  <c r="B5296" i="2"/>
  <c r="A5296" i="2"/>
  <c r="H5295" i="2"/>
  <c r="G5295" i="2"/>
  <c r="F5295" i="2"/>
  <c r="E5295" i="2"/>
  <c r="D5295" i="2"/>
  <c r="C5295" i="2"/>
  <c r="B5295" i="2"/>
  <c r="A5295" i="2"/>
  <c r="H5294" i="2"/>
  <c r="G5294" i="2"/>
  <c r="F5294" i="2"/>
  <c r="E5294" i="2"/>
  <c r="D5294" i="2"/>
  <c r="C5294" i="2"/>
  <c r="B5294" i="2"/>
  <c r="A5294" i="2"/>
  <c r="H5293" i="2"/>
  <c r="G5293" i="2"/>
  <c r="F5293" i="2"/>
  <c r="E5293" i="2"/>
  <c r="D5293" i="2"/>
  <c r="C5293" i="2"/>
  <c r="B5293" i="2"/>
  <c r="A5293" i="2"/>
  <c r="H5292" i="2"/>
  <c r="G5292" i="2"/>
  <c r="F5292" i="2"/>
  <c r="E5292" i="2"/>
  <c r="D5292" i="2"/>
  <c r="C5292" i="2"/>
  <c r="B5292" i="2"/>
  <c r="A5292" i="2"/>
  <c r="H5291" i="2"/>
  <c r="G5291" i="2"/>
  <c r="F5291" i="2"/>
  <c r="E5291" i="2"/>
  <c r="D5291" i="2"/>
  <c r="C5291" i="2"/>
  <c r="B5291" i="2"/>
  <c r="A5291" i="2"/>
  <c r="H5290" i="2"/>
  <c r="G5290" i="2"/>
  <c r="F5290" i="2"/>
  <c r="E5290" i="2"/>
  <c r="D5290" i="2"/>
  <c r="C5290" i="2"/>
  <c r="B5290" i="2"/>
  <c r="A5290" i="2"/>
  <c r="H5289" i="2"/>
  <c r="G5289" i="2"/>
  <c r="F5289" i="2"/>
  <c r="E5289" i="2"/>
  <c r="D5289" i="2"/>
  <c r="C5289" i="2"/>
  <c r="B5289" i="2"/>
  <c r="A5289" i="2"/>
  <c r="H5288" i="2"/>
  <c r="G5288" i="2"/>
  <c r="F5288" i="2"/>
  <c r="E5288" i="2"/>
  <c r="D5288" i="2"/>
  <c r="C5288" i="2"/>
  <c r="B5288" i="2"/>
  <c r="A5288" i="2"/>
  <c r="H5287" i="2"/>
  <c r="G5287" i="2"/>
  <c r="F5287" i="2"/>
  <c r="E5287" i="2"/>
  <c r="D5287" i="2"/>
  <c r="C5287" i="2"/>
  <c r="B5287" i="2"/>
  <c r="A5287" i="2"/>
  <c r="H5286" i="2"/>
  <c r="G5286" i="2"/>
  <c r="F5286" i="2"/>
  <c r="E5286" i="2"/>
  <c r="D5286" i="2"/>
  <c r="C5286" i="2"/>
  <c r="B5286" i="2"/>
  <c r="A5286" i="2"/>
  <c r="H5285" i="2"/>
  <c r="G5285" i="2"/>
  <c r="F5285" i="2"/>
  <c r="E5285" i="2"/>
  <c r="D5285" i="2"/>
  <c r="C5285" i="2"/>
  <c r="B5285" i="2"/>
  <c r="A5285" i="2"/>
  <c r="H5284" i="2"/>
  <c r="G5284" i="2"/>
  <c r="F5284" i="2"/>
  <c r="E5284" i="2"/>
  <c r="D5284" i="2"/>
  <c r="C5284" i="2"/>
  <c r="B5284" i="2"/>
  <c r="A5284" i="2"/>
  <c r="H5283" i="2"/>
  <c r="G5283" i="2"/>
  <c r="F5283" i="2"/>
  <c r="E5283" i="2"/>
  <c r="D5283" i="2"/>
  <c r="C5283" i="2"/>
  <c r="B5283" i="2"/>
  <c r="A5283" i="2"/>
  <c r="H5282" i="2"/>
  <c r="G5282" i="2"/>
  <c r="F5282" i="2"/>
  <c r="E5282" i="2"/>
  <c r="D5282" i="2"/>
  <c r="C5282" i="2"/>
  <c r="B5282" i="2"/>
  <c r="A5282" i="2"/>
  <c r="H5281" i="2"/>
  <c r="G5281" i="2"/>
  <c r="F5281" i="2"/>
  <c r="E5281" i="2"/>
  <c r="D5281" i="2"/>
  <c r="C5281" i="2"/>
  <c r="B5281" i="2"/>
  <c r="A5281" i="2"/>
  <c r="H5280" i="2"/>
  <c r="G5280" i="2"/>
  <c r="F5280" i="2"/>
  <c r="E5280" i="2"/>
  <c r="D5280" i="2"/>
  <c r="C5280" i="2"/>
  <c r="B5280" i="2"/>
  <c r="A5280" i="2"/>
  <c r="H5279" i="2"/>
  <c r="G5279" i="2"/>
  <c r="F5279" i="2"/>
  <c r="E5279" i="2"/>
  <c r="D5279" i="2"/>
  <c r="C5279" i="2"/>
  <c r="B5279" i="2"/>
  <c r="A5279" i="2"/>
  <c r="H5278" i="2"/>
  <c r="G5278" i="2"/>
  <c r="F5278" i="2"/>
  <c r="E5278" i="2"/>
  <c r="D5278" i="2"/>
  <c r="C5278" i="2"/>
  <c r="B5278" i="2"/>
  <c r="A5278" i="2"/>
  <c r="H5277" i="2"/>
  <c r="G5277" i="2"/>
  <c r="F5277" i="2"/>
  <c r="E5277" i="2"/>
  <c r="D5277" i="2"/>
  <c r="C5277" i="2"/>
  <c r="B5277" i="2"/>
  <c r="A5277" i="2"/>
  <c r="H5276" i="2"/>
  <c r="G5276" i="2"/>
  <c r="F5276" i="2"/>
  <c r="E5276" i="2"/>
  <c r="D5276" i="2"/>
  <c r="C5276" i="2"/>
  <c r="B5276" i="2"/>
  <c r="A5276" i="2"/>
  <c r="H5275" i="2"/>
  <c r="G5275" i="2"/>
  <c r="F5275" i="2"/>
  <c r="E5275" i="2"/>
  <c r="D5275" i="2"/>
  <c r="C5275" i="2"/>
  <c r="B5275" i="2"/>
  <c r="A5275" i="2"/>
  <c r="H5274" i="2"/>
  <c r="G5274" i="2"/>
  <c r="F5274" i="2"/>
  <c r="E5274" i="2"/>
  <c r="D5274" i="2"/>
  <c r="C5274" i="2"/>
  <c r="B5274" i="2"/>
  <c r="A5274" i="2"/>
  <c r="H5273" i="2"/>
  <c r="G5273" i="2"/>
  <c r="F5273" i="2"/>
  <c r="E5273" i="2"/>
  <c r="D5273" i="2"/>
  <c r="C5273" i="2"/>
  <c r="B5273" i="2"/>
  <c r="A5273" i="2"/>
  <c r="H5272" i="2"/>
  <c r="G5272" i="2"/>
  <c r="F5272" i="2"/>
  <c r="E5272" i="2"/>
  <c r="D5272" i="2"/>
  <c r="C5272" i="2"/>
  <c r="B5272" i="2"/>
  <c r="A5272" i="2"/>
  <c r="H5271" i="2"/>
  <c r="G5271" i="2"/>
  <c r="F5271" i="2"/>
  <c r="E5271" i="2"/>
  <c r="D5271" i="2"/>
  <c r="C5271" i="2"/>
  <c r="B5271" i="2"/>
  <c r="A5271" i="2"/>
  <c r="H5270" i="2"/>
  <c r="G5270" i="2"/>
  <c r="F5270" i="2"/>
  <c r="E5270" i="2"/>
  <c r="D5270" i="2"/>
  <c r="C5270" i="2"/>
  <c r="B5270" i="2"/>
  <c r="A5270" i="2"/>
  <c r="H5269" i="2"/>
  <c r="G5269" i="2"/>
  <c r="F5269" i="2"/>
  <c r="E5269" i="2"/>
  <c r="D5269" i="2"/>
  <c r="C5269" i="2"/>
  <c r="B5269" i="2"/>
  <c r="A5269" i="2"/>
  <c r="H5268" i="2"/>
  <c r="G5268" i="2"/>
  <c r="F5268" i="2"/>
  <c r="E5268" i="2"/>
  <c r="D5268" i="2"/>
  <c r="C5268" i="2"/>
  <c r="B5268" i="2"/>
  <c r="A5268" i="2"/>
  <c r="H5267" i="2"/>
  <c r="G5267" i="2"/>
  <c r="F5267" i="2"/>
  <c r="E5267" i="2"/>
  <c r="D5267" i="2"/>
  <c r="C5267" i="2"/>
  <c r="B5267" i="2"/>
  <c r="A5267" i="2"/>
  <c r="H5266" i="2"/>
  <c r="G5266" i="2"/>
  <c r="F5266" i="2"/>
  <c r="E5266" i="2"/>
  <c r="D5266" i="2"/>
  <c r="C5266" i="2"/>
  <c r="B5266" i="2"/>
  <c r="A5266" i="2"/>
  <c r="H5265" i="2"/>
  <c r="G5265" i="2"/>
  <c r="F5265" i="2"/>
  <c r="E5265" i="2"/>
  <c r="D5265" i="2"/>
  <c r="C5265" i="2"/>
  <c r="B5265" i="2"/>
  <c r="A5265" i="2"/>
  <c r="H5264" i="2"/>
  <c r="G5264" i="2"/>
  <c r="F5264" i="2"/>
  <c r="E5264" i="2"/>
  <c r="D5264" i="2"/>
  <c r="C5264" i="2"/>
  <c r="B5264" i="2"/>
  <c r="A5264" i="2"/>
  <c r="H5263" i="2"/>
  <c r="G5263" i="2"/>
  <c r="F5263" i="2"/>
  <c r="E5263" i="2"/>
  <c r="D5263" i="2"/>
  <c r="C5263" i="2"/>
  <c r="B5263" i="2"/>
  <c r="A5263" i="2"/>
  <c r="H5262" i="2"/>
  <c r="G5262" i="2"/>
  <c r="F5262" i="2"/>
  <c r="E5262" i="2"/>
  <c r="D5262" i="2"/>
  <c r="C5262" i="2"/>
  <c r="B5262" i="2"/>
  <c r="A5262" i="2"/>
  <c r="H5261" i="2"/>
  <c r="G5261" i="2"/>
  <c r="F5261" i="2"/>
  <c r="E5261" i="2"/>
  <c r="D5261" i="2"/>
  <c r="C5261" i="2"/>
  <c r="B5261" i="2"/>
  <c r="A5261" i="2"/>
  <c r="H5260" i="2"/>
  <c r="G5260" i="2"/>
  <c r="F5260" i="2"/>
  <c r="E5260" i="2"/>
  <c r="D5260" i="2"/>
  <c r="C5260" i="2"/>
  <c r="B5260" i="2"/>
  <c r="A5260" i="2"/>
  <c r="H5259" i="2"/>
  <c r="G5259" i="2"/>
  <c r="F5259" i="2"/>
  <c r="E5259" i="2"/>
  <c r="D5259" i="2"/>
  <c r="C5259" i="2"/>
  <c r="B5259" i="2"/>
  <c r="A5259" i="2"/>
  <c r="H5258" i="2"/>
  <c r="G5258" i="2"/>
  <c r="F5258" i="2"/>
  <c r="E5258" i="2"/>
  <c r="D5258" i="2"/>
  <c r="C5258" i="2"/>
  <c r="B5258" i="2"/>
  <c r="A5258" i="2"/>
  <c r="H5257" i="2"/>
  <c r="G5257" i="2"/>
  <c r="F5257" i="2"/>
  <c r="E5257" i="2"/>
  <c r="D5257" i="2"/>
  <c r="C5257" i="2"/>
  <c r="B5257" i="2"/>
  <c r="A5257" i="2"/>
  <c r="H5256" i="2"/>
  <c r="G5256" i="2"/>
  <c r="F5256" i="2"/>
  <c r="E5256" i="2"/>
  <c r="D5256" i="2"/>
  <c r="C5256" i="2"/>
  <c r="B5256" i="2"/>
  <c r="A5256" i="2"/>
  <c r="H5255" i="2"/>
  <c r="G5255" i="2"/>
  <c r="F5255" i="2"/>
  <c r="E5255" i="2"/>
  <c r="D5255" i="2"/>
  <c r="C5255" i="2"/>
  <c r="B5255" i="2"/>
  <c r="A5255" i="2"/>
  <c r="H5254" i="2"/>
  <c r="G5254" i="2"/>
  <c r="F5254" i="2"/>
  <c r="E5254" i="2"/>
  <c r="D5254" i="2"/>
  <c r="C5254" i="2"/>
  <c r="B5254" i="2"/>
  <c r="A5254" i="2"/>
  <c r="H5253" i="2"/>
  <c r="G5253" i="2"/>
  <c r="F5253" i="2"/>
  <c r="E5253" i="2"/>
  <c r="D5253" i="2"/>
  <c r="C5253" i="2"/>
  <c r="B5253" i="2"/>
  <c r="A5253" i="2"/>
  <c r="H5252" i="2"/>
  <c r="G5252" i="2"/>
  <c r="F5252" i="2"/>
  <c r="E5252" i="2"/>
  <c r="D5252" i="2"/>
  <c r="C5252" i="2"/>
  <c r="B5252" i="2"/>
  <c r="A5252" i="2"/>
  <c r="H5251" i="2"/>
  <c r="G5251" i="2"/>
  <c r="F5251" i="2"/>
  <c r="E5251" i="2"/>
  <c r="D5251" i="2"/>
  <c r="C5251" i="2"/>
  <c r="B5251" i="2"/>
  <c r="A5251" i="2"/>
  <c r="H5250" i="2"/>
  <c r="G5250" i="2"/>
  <c r="F5250" i="2"/>
  <c r="E5250" i="2"/>
  <c r="D5250" i="2"/>
  <c r="C5250" i="2"/>
  <c r="B5250" i="2"/>
  <c r="A5250" i="2"/>
  <c r="H5249" i="2"/>
  <c r="G5249" i="2"/>
  <c r="F5249" i="2"/>
  <c r="E5249" i="2"/>
  <c r="D5249" i="2"/>
  <c r="C5249" i="2"/>
  <c r="B5249" i="2"/>
  <c r="A5249" i="2"/>
  <c r="H5248" i="2"/>
  <c r="G5248" i="2"/>
  <c r="F5248" i="2"/>
  <c r="E5248" i="2"/>
  <c r="D5248" i="2"/>
  <c r="C5248" i="2"/>
  <c r="B5248" i="2"/>
  <c r="A5248" i="2"/>
  <c r="H5247" i="2"/>
  <c r="G5247" i="2"/>
  <c r="F5247" i="2"/>
  <c r="E5247" i="2"/>
  <c r="D5247" i="2"/>
  <c r="C5247" i="2"/>
  <c r="B5247" i="2"/>
  <c r="A5247" i="2"/>
  <c r="H5246" i="2"/>
  <c r="G5246" i="2"/>
  <c r="F5246" i="2"/>
  <c r="E5246" i="2"/>
  <c r="D5246" i="2"/>
  <c r="C5246" i="2"/>
  <c r="B5246" i="2"/>
  <c r="A5246" i="2"/>
  <c r="H5245" i="2"/>
  <c r="G5245" i="2"/>
  <c r="F5245" i="2"/>
  <c r="E5245" i="2"/>
  <c r="D5245" i="2"/>
  <c r="C5245" i="2"/>
  <c r="B5245" i="2"/>
  <c r="A5245" i="2"/>
  <c r="H5244" i="2"/>
  <c r="G5244" i="2"/>
  <c r="F5244" i="2"/>
  <c r="E5244" i="2"/>
  <c r="D5244" i="2"/>
  <c r="C5244" i="2"/>
  <c r="B5244" i="2"/>
  <c r="A5244" i="2"/>
  <c r="H5243" i="2"/>
  <c r="G5243" i="2"/>
  <c r="F5243" i="2"/>
  <c r="E5243" i="2"/>
  <c r="D5243" i="2"/>
  <c r="C5243" i="2"/>
  <c r="B5243" i="2"/>
  <c r="A5243" i="2"/>
  <c r="H5242" i="2"/>
  <c r="G5242" i="2"/>
  <c r="F5242" i="2"/>
  <c r="E5242" i="2"/>
  <c r="D5242" i="2"/>
  <c r="C5242" i="2"/>
  <c r="B5242" i="2"/>
  <c r="A5242" i="2"/>
  <c r="H5241" i="2"/>
  <c r="G5241" i="2"/>
  <c r="F5241" i="2"/>
  <c r="E5241" i="2"/>
  <c r="D5241" i="2"/>
  <c r="C5241" i="2"/>
  <c r="B5241" i="2"/>
  <c r="A5241" i="2"/>
  <c r="H5240" i="2"/>
  <c r="G5240" i="2"/>
  <c r="F5240" i="2"/>
  <c r="E5240" i="2"/>
  <c r="D5240" i="2"/>
  <c r="C5240" i="2"/>
  <c r="B5240" i="2"/>
  <c r="A5240" i="2"/>
  <c r="H5239" i="2"/>
  <c r="G5239" i="2"/>
  <c r="F5239" i="2"/>
  <c r="E5239" i="2"/>
  <c r="D5239" i="2"/>
  <c r="C5239" i="2"/>
  <c r="B5239" i="2"/>
  <c r="A5239" i="2"/>
  <c r="H5238" i="2"/>
  <c r="G5238" i="2"/>
  <c r="F5238" i="2"/>
  <c r="E5238" i="2"/>
  <c r="D5238" i="2"/>
  <c r="C5238" i="2"/>
  <c r="B5238" i="2"/>
  <c r="A5238" i="2"/>
  <c r="H5237" i="2"/>
  <c r="G5237" i="2"/>
  <c r="F5237" i="2"/>
  <c r="E5237" i="2"/>
  <c r="D5237" i="2"/>
  <c r="C5237" i="2"/>
  <c r="B5237" i="2"/>
  <c r="A5237" i="2"/>
  <c r="H5236" i="2"/>
  <c r="G5236" i="2"/>
  <c r="F5236" i="2"/>
  <c r="E5236" i="2"/>
  <c r="D5236" i="2"/>
  <c r="C5236" i="2"/>
  <c r="B5236" i="2"/>
  <c r="A5236" i="2"/>
  <c r="H5235" i="2"/>
  <c r="G5235" i="2"/>
  <c r="F5235" i="2"/>
  <c r="E5235" i="2"/>
  <c r="D5235" i="2"/>
  <c r="C5235" i="2"/>
  <c r="B5235" i="2"/>
  <c r="A5235" i="2"/>
  <c r="H5234" i="2"/>
  <c r="G5234" i="2"/>
  <c r="F5234" i="2"/>
  <c r="E5234" i="2"/>
  <c r="D5234" i="2"/>
  <c r="C5234" i="2"/>
  <c r="B5234" i="2"/>
  <c r="A5234" i="2"/>
  <c r="H5233" i="2"/>
  <c r="G5233" i="2"/>
  <c r="F5233" i="2"/>
  <c r="E5233" i="2"/>
  <c r="D5233" i="2"/>
  <c r="C5233" i="2"/>
  <c r="B5233" i="2"/>
  <c r="A5233" i="2"/>
  <c r="H5232" i="2"/>
  <c r="G5232" i="2"/>
  <c r="F5232" i="2"/>
  <c r="E5232" i="2"/>
  <c r="D5232" i="2"/>
  <c r="C5232" i="2"/>
  <c r="B5232" i="2"/>
  <c r="A5232" i="2"/>
  <c r="H5231" i="2"/>
  <c r="G5231" i="2"/>
  <c r="F5231" i="2"/>
  <c r="E5231" i="2"/>
  <c r="D5231" i="2"/>
  <c r="C5231" i="2"/>
  <c r="B5231" i="2"/>
  <c r="A5231" i="2"/>
  <c r="H5230" i="2"/>
  <c r="G5230" i="2"/>
  <c r="F5230" i="2"/>
  <c r="E5230" i="2"/>
  <c r="D5230" i="2"/>
  <c r="C5230" i="2"/>
  <c r="B5230" i="2"/>
  <c r="A5230" i="2"/>
  <c r="H5229" i="2"/>
  <c r="G5229" i="2"/>
  <c r="F5229" i="2"/>
  <c r="E5229" i="2"/>
  <c r="D5229" i="2"/>
  <c r="C5229" i="2"/>
  <c r="B5229" i="2"/>
  <c r="A5229" i="2"/>
  <c r="H5228" i="2"/>
  <c r="G5228" i="2"/>
  <c r="F5228" i="2"/>
  <c r="E5228" i="2"/>
  <c r="D5228" i="2"/>
  <c r="C5228" i="2"/>
  <c r="B5228" i="2"/>
  <c r="A5228" i="2"/>
  <c r="H5227" i="2"/>
  <c r="G5227" i="2"/>
  <c r="F5227" i="2"/>
  <c r="E5227" i="2"/>
  <c r="D5227" i="2"/>
  <c r="C5227" i="2"/>
  <c r="B5227" i="2"/>
  <c r="A5227" i="2"/>
  <c r="H5226" i="2"/>
  <c r="G5226" i="2"/>
  <c r="F5226" i="2"/>
  <c r="E5226" i="2"/>
  <c r="D5226" i="2"/>
  <c r="C5226" i="2"/>
  <c r="B5226" i="2"/>
  <c r="A5226" i="2"/>
  <c r="H5225" i="2"/>
  <c r="G5225" i="2"/>
  <c r="F5225" i="2"/>
  <c r="E5225" i="2"/>
  <c r="D5225" i="2"/>
  <c r="C5225" i="2"/>
  <c r="B5225" i="2"/>
  <c r="A5225" i="2"/>
  <c r="H5224" i="2"/>
  <c r="G5224" i="2"/>
  <c r="F5224" i="2"/>
  <c r="E5224" i="2"/>
  <c r="D5224" i="2"/>
  <c r="C5224" i="2"/>
  <c r="B5224" i="2"/>
  <c r="A5224" i="2"/>
  <c r="H5223" i="2"/>
  <c r="G5223" i="2"/>
  <c r="F5223" i="2"/>
  <c r="E5223" i="2"/>
  <c r="D5223" i="2"/>
  <c r="C5223" i="2"/>
  <c r="B5223" i="2"/>
  <c r="A5223" i="2"/>
  <c r="H5222" i="2"/>
  <c r="G5222" i="2"/>
  <c r="F5222" i="2"/>
  <c r="E5222" i="2"/>
  <c r="D5222" i="2"/>
  <c r="C5222" i="2"/>
  <c r="B5222" i="2"/>
  <c r="A5222" i="2"/>
  <c r="H5221" i="2"/>
  <c r="G5221" i="2"/>
  <c r="F5221" i="2"/>
  <c r="E5221" i="2"/>
  <c r="D5221" i="2"/>
  <c r="C5221" i="2"/>
  <c r="B5221" i="2"/>
  <c r="A5221" i="2"/>
  <c r="H5220" i="2"/>
  <c r="G5220" i="2"/>
  <c r="F5220" i="2"/>
  <c r="E5220" i="2"/>
  <c r="D5220" i="2"/>
  <c r="C5220" i="2"/>
  <c r="B5220" i="2"/>
  <c r="A5220" i="2"/>
  <c r="H5219" i="2"/>
  <c r="G5219" i="2"/>
  <c r="F5219" i="2"/>
  <c r="E5219" i="2"/>
  <c r="D5219" i="2"/>
  <c r="C5219" i="2"/>
  <c r="B5219" i="2"/>
  <c r="A5219" i="2"/>
  <c r="H5218" i="2"/>
  <c r="G5218" i="2"/>
  <c r="F5218" i="2"/>
  <c r="E5218" i="2"/>
  <c r="D5218" i="2"/>
  <c r="C5218" i="2"/>
  <c r="B5218" i="2"/>
  <c r="A5218" i="2"/>
  <c r="H5217" i="2"/>
  <c r="G5217" i="2"/>
  <c r="F5217" i="2"/>
  <c r="E5217" i="2"/>
  <c r="D5217" i="2"/>
  <c r="C5217" i="2"/>
  <c r="B5217" i="2"/>
  <c r="A5217" i="2"/>
  <c r="H5216" i="2"/>
  <c r="G5216" i="2"/>
  <c r="F5216" i="2"/>
  <c r="E5216" i="2"/>
  <c r="D5216" i="2"/>
  <c r="C5216" i="2"/>
  <c r="B5216" i="2"/>
  <c r="A5216" i="2"/>
  <c r="H5215" i="2"/>
  <c r="G5215" i="2"/>
  <c r="F5215" i="2"/>
  <c r="E5215" i="2"/>
  <c r="D5215" i="2"/>
  <c r="C5215" i="2"/>
  <c r="B5215" i="2"/>
  <c r="A5215" i="2"/>
  <c r="H5214" i="2"/>
  <c r="G5214" i="2"/>
  <c r="F5214" i="2"/>
  <c r="E5214" i="2"/>
  <c r="D5214" i="2"/>
  <c r="C5214" i="2"/>
  <c r="B5214" i="2"/>
  <c r="A5214" i="2"/>
  <c r="H5213" i="2"/>
  <c r="G5213" i="2"/>
  <c r="F5213" i="2"/>
  <c r="E5213" i="2"/>
  <c r="D5213" i="2"/>
  <c r="C5213" i="2"/>
  <c r="B5213" i="2"/>
  <c r="A5213" i="2"/>
  <c r="H5212" i="2"/>
  <c r="G5212" i="2"/>
  <c r="F5212" i="2"/>
  <c r="E5212" i="2"/>
  <c r="D5212" i="2"/>
  <c r="C5212" i="2"/>
  <c r="B5212" i="2"/>
  <c r="A5212" i="2"/>
  <c r="H5211" i="2"/>
  <c r="G5211" i="2"/>
  <c r="F5211" i="2"/>
  <c r="E5211" i="2"/>
  <c r="D5211" i="2"/>
  <c r="C5211" i="2"/>
  <c r="B5211" i="2"/>
  <c r="A5211" i="2"/>
  <c r="H5210" i="2"/>
  <c r="G5210" i="2"/>
  <c r="F5210" i="2"/>
  <c r="E5210" i="2"/>
  <c r="D5210" i="2"/>
  <c r="C5210" i="2"/>
  <c r="B5210" i="2"/>
  <c r="A5210" i="2"/>
  <c r="H5209" i="2"/>
  <c r="G5209" i="2"/>
  <c r="F5209" i="2"/>
  <c r="E5209" i="2"/>
  <c r="D5209" i="2"/>
  <c r="C5209" i="2"/>
  <c r="B5209" i="2"/>
  <c r="A5209" i="2"/>
  <c r="H5208" i="2"/>
  <c r="G5208" i="2"/>
  <c r="F5208" i="2"/>
  <c r="E5208" i="2"/>
  <c r="D5208" i="2"/>
  <c r="C5208" i="2"/>
  <c r="B5208" i="2"/>
  <c r="A5208" i="2"/>
  <c r="H5207" i="2"/>
  <c r="G5207" i="2"/>
  <c r="F5207" i="2"/>
  <c r="E5207" i="2"/>
  <c r="D5207" i="2"/>
  <c r="C5207" i="2"/>
  <c r="B5207" i="2"/>
  <c r="A5207" i="2"/>
  <c r="H5206" i="2"/>
  <c r="G5206" i="2"/>
  <c r="F5206" i="2"/>
  <c r="E5206" i="2"/>
  <c r="D5206" i="2"/>
  <c r="C5206" i="2"/>
  <c r="B5206" i="2"/>
  <c r="A5206" i="2"/>
  <c r="H5205" i="2"/>
  <c r="G5205" i="2"/>
  <c r="F5205" i="2"/>
  <c r="E5205" i="2"/>
  <c r="D5205" i="2"/>
  <c r="C5205" i="2"/>
  <c r="B5205" i="2"/>
  <c r="A5205" i="2"/>
  <c r="H5204" i="2"/>
  <c r="G5204" i="2"/>
  <c r="F5204" i="2"/>
  <c r="E5204" i="2"/>
  <c r="D5204" i="2"/>
  <c r="C5204" i="2"/>
  <c r="B5204" i="2"/>
  <c r="A5204" i="2"/>
  <c r="H5203" i="2"/>
  <c r="G5203" i="2"/>
  <c r="F5203" i="2"/>
  <c r="E5203" i="2"/>
  <c r="D5203" i="2"/>
  <c r="C5203" i="2"/>
  <c r="B5203" i="2"/>
  <c r="A5203" i="2"/>
  <c r="H5202" i="2"/>
  <c r="G5202" i="2"/>
  <c r="F5202" i="2"/>
  <c r="E5202" i="2"/>
  <c r="D5202" i="2"/>
  <c r="C5202" i="2"/>
  <c r="B5202" i="2"/>
  <c r="A5202" i="2"/>
  <c r="H5201" i="2"/>
  <c r="G5201" i="2"/>
  <c r="F5201" i="2"/>
  <c r="E5201" i="2"/>
  <c r="D5201" i="2"/>
  <c r="C5201" i="2"/>
  <c r="B5201" i="2"/>
  <c r="A5201" i="2"/>
  <c r="H5200" i="2"/>
  <c r="G5200" i="2"/>
  <c r="F5200" i="2"/>
  <c r="E5200" i="2"/>
  <c r="D5200" i="2"/>
  <c r="C5200" i="2"/>
  <c r="B5200" i="2"/>
  <c r="A5200" i="2"/>
  <c r="H5199" i="2"/>
  <c r="G5199" i="2"/>
  <c r="F5199" i="2"/>
  <c r="E5199" i="2"/>
  <c r="D5199" i="2"/>
  <c r="C5199" i="2"/>
  <c r="B5199" i="2"/>
  <c r="A5199" i="2"/>
  <c r="H5198" i="2"/>
  <c r="G5198" i="2"/>
  <c r="F5198" i="2"/>
  <c r="E5198" i="2"/>
  <c r="D5198" i="2"/>
  <c r="C5198" i="2"/>
  <c r="B5198" i="2"/>
  <c r="A5198" i="2"/>
  <c r="H5197" i="2"/>
  <c r="G5197" i="2"/>
  <c r="F5197" i="2"/>
  <c r="E5197" i="2"/>
  <c r="D5197" i="2"/>
  <c r="C5197" i="2"/>
  <c r="B5197" i="2"/>
  <c r="A5197" i="2"/>
  <c r="H5196" i="2"/>
  <c r="G5196" i="2"/>
  <c r="F5196" i="2"/>
  <c r="E5196" i="2"/>
  <c r="D5196" i="2"/>
  <c r="C5196" i="2"/>
  <c r="B5196" i="2"/>
  <c r="A5196" i="2"/>
  <c r="H5195" i="2"/>
  <c r="G5195" i="2"/>
  <c r="F5195" i="2"/>
  <c r="E5195" i="2"/>
  <c r="D5195" i="2"/>
  <c r="C5195" i="2"/>
  <c r="B5195" i="2"/>
  <c r="A5195" i="2"/>
  <c r="H5194" i="2"/>
  <c r="G5194" i="2"/>
  <c r="F5194" i="2"/>
  <c r="E5194" i="2"/>
  <c r="D5194" i="2"/>
  <c r="C5194" i="2"/>
  <c r="B5194" i="2"/>
  <c r="A5194" i="2"/>
  <c r="H5193" i="2"/>
  <c r="G5193" i="2"/>
  <c r="F5193" i="2"/>
  <c r="E5193" i="2"/>
  <c r="D5193" i="2"/>
  <c r="C5193" i="2"/>
  <c r="B5193" i="2"/>
  <c r="A5193" i="2"/>
  <c r="H5192" i="2"/>
  <c r="G5192" i="2"/>
  <c r="F5192" i="2"/>
  <c r="E5192" i="2"/>
  <c r="D5192" i="2"/>
  <c r="C5192" i="2"/>
  <c r="B5192" i="2"/>
  <c r="A5192" i="2"/>
  <c r="H5191" i="2"/>
  <c r="G5191" i="2"/>
  <c r="F5191" i="2"/>
  <c r="E5191" i="2"/>
  <c r="D5191" i="2"/>
  <c r="C5191" i="2"/>
  <c r="B5191" i="2"/>
  <c r="A5191" i="2"/>
  <c r="H5190" i="2"/>
  <c r="G5190" i="2"/>
  <c r="F5190" i="2"/>
  <c r="E5190" i="2"/>
  <c r="D5190" i="2"/>
  <c r="C5190" i="2"/>
  <c r="B5190" i="2"/>
  <c r="A5190" i="2"/>
  <c r="H5189" i="2"/>
  <c r="G5189" i="2"/>
  <c r="F5189" i="2"/>
  <c r="E5189" i="2"/>
  <c r="D5189" i="2"/>
  <c r="C5189" i="2"/>
  <c r="B5189" i="2"/>
  <c r="A5189" i="2"/>
  <c r="H5188" i="2"/>
  <c r="G5188" i="2"/>
  <c r="F5188" i="2"/>
  <c r="E5188" i="2"/>
  <c r="D5188" i="2"/>
  <c r="C5188" i="2"/>
  <c r="B5188" i="2"/>
  <c r="A5188" i="2"/>
  <c r="H5187" i="2"/>
  <c r="G5187" i="2"/>
  <c r="F5187" i="2"/>
  <c r="E5187" i="2"/>
  <c r="D5187" i="2"/>
  <c r="C5187" i="2"/>
  <c r="B5187" i="2"/>
  <c r="A5187" i="2"/>
  <c r="H5186" i="2"/>
  <c r="G5186" i="2"/>
  <c r="F5186" i="2"/>
  <c r="E5186" i="2"/>
  <c r="D5186" i="2"/>
  <c r="C5186" i="2"/>
  <c r="B5186" i="2"/>
  <c r="A5186" i="2"/>
  <c r="H5185" i="2"/>
  <c r="G5185" i="2"/>
  <c r="F5185" i="2"/>
  <c r="E5185" i="2"/>
  <c r="D5185" i="2"/>
  <c r="C5185" i="2"/>
  <c r="B5185" i="2"/>
  <c r="A5185" i="2"/>
  <c r="H5184" i="2"/>
  <c r="G5184" i="2"/>
  <c r="F5184" i="2"/>
  <c r="E5184" i="2"/>
  <c r="D5184" i="2"/>
  <c r="C5184" i="2"/>
  <c r="B5184" i="2"/>
  <c r="A5184" i="2"/>
  <c r="H5183" i="2"/>
  <c r="G5183" i="2"/>
  <c r="F5183" i="2"/>
  <c r="E5183" i="2"/>
  <c r="D5183" i="2"/>
  <c r="C5183" i="2"/>
  <c r="B5183" i="2"/>
  <c r="A5183" i="2"/>
  <c r="H5182" i="2"/>
  <c r="G5182" i="2"/>
  <c r="F5182" i="2"/>
  <c r="E5182" i="2"/>
  <c r="D5182" i="2"/>
  <c r="C5182" i="2"/>
  <c r="B5182" i="2"/>
  <c r="A5182" i="2"/>
  <c r="H5181" i="2"/>
  <c r="G5181" i="2"/>
  <c r="F5181" i="2"/>
  <c r="E5181" i="2"/>
  <c r="D5181" i="2"/>
  <c r="C5181" i="2"/>
  <c r="B5181" i="2"/>
  <c r="A5181" i="2"/>
  <c r="H5180" i="2"/>
  <c r="G5180" i="2"/>
  <c r="F5180" i="2"/>
  <c r="E5180" i="2"/>
  <c r="D5180" i="2"/>
  <c r="C5180" i="2"/>
  <c r="B5180" i="2"/>
  <c r="A5180" i="2"/>
  <c r="H5179" i="2"/>
  <c r="G5179" i="2"/>
  <c r="F5179" i="2"/>
  <c r="E5179" i="2"/>
  <c r="D5179" i="2"/>
  <c r="C5179" i="2"/>
  <c r="B5179" i="2"/>
  <c r="A5179" i="2"/>
  <c r="H5178" i="2"/>
  <c r="G5178" i="2"/>
  <c r="F5178" i="2"/>
  <c r="E5178" i="2"/>
  <c r="D5178" i="2"/>
  <c r="C5178" i="2"/>
  <c r="B5178" i="2"/>
  <c r="A5178" i="2"/>
  <c r="H5177" i="2"/>
  <c r="G5177" i="2"/>
  <c r="F5177" i="2"/>
  <c r="E5177" i="2"/>
  <c r="D5177" i="2"/>
  <c r="C5177" i="2"/>
  <c r="B5177" i="2"/>
  <c r="A5177" i="2"/>
  <c r="H5176" i="2"/>
  <c r="G5176" i="2"/>
  <c r="F5176" i="2"/>
  <c r="E5176" i="2"/>
  <c r="D5176" i="2"/>
  <c r="C5176" i="2"/>
  <c r="B5176" i="2"/>
  <c r="A5176" i="2"/>
  <c r="H5175" i="2"/>
  <c r="G5175" i="2"/>
  <c r="F5175" i="2"/>
  <c r="E5175" i="2"/>
  <c r="D5175" i="2"/>
  <c r="C5175" i="2"/>
  <c r="B5175" i="2"/>
  <c r="A5175" i="2"/>
  <c r="H5174" i="2"/>
  <c r="G5174" i="2"/>
  <c r="F5174" i="2"/>
  <c r="E5174" i="2"/>
  <c r="D5174" i="2"/>
  <c r="C5174" i="2"/>
  <c r="B5174" i="2"/>
  <c r="A5174" i="2"/>
  <c r="H5173" i="2"/>
  <c r="G5173" i="2"/>
  <c r="F5173" i="2"/>
  <c r="E5173" i="2"/>
  <c r="D5173" i="2"/>
  <c r="C5173" i="2"/>
  <c r="B5173" i="2"/>
  <c r="A5173" i="2"/>
  <c r="H5172" i="2"/>
  <c r="G5172" i="2"/>
  <c r="F5172" i="2"/>
  <c r="E5172" i="2"/>
  <c r="D5172" i="2"/>
  <c r="C5172" i="2"/>
  <c r="B5172" i="2"/>
  <c r="A5172" i="2"/>
  <c r="H5171" i="2"/>
  <c r="G5171" i="2"/>
  <c r="F5171" i="2"/>
  <c r="E5171" i="2"/>
  <c r="D5171" i="2"/>
  <c r="C5171" i="2"/>
  <c r="B5171" i="2"/>
  <c r="A5171" i="2"/>
  <c r="H5170" i="2"/>
  <c r="G5170" i="2"/>
  <c r="F5170" i="2"/>
  <c r="E5170" i="2"/>
  <c r="D5170" i="2"/>
  <c r="C5170" i="2"/>
  <c r="B5170" i="2"/>
  <c r="A5170" i="2"/>
  <c r="H5169" i="2"/>
  <c r="G5169" i="2"/>
  <c r="F5169" i="2"/>
  <c r="E5169" i="2"/>
  <c r="D5169" i="2"/>
  <c r="C5169" i="2"/>
  <c r="B5169" i="2"/>
  <c r="A5169" i="2"/>
  <c r="H5168" i="2"/>
  <c r="G5168" i="2"/>
  <c r="F5168" i="2"/>
  <c r="E5168" i="2"/>
  <c r="D5168" i="2"/>
  <c r="C5168" i="2"/>
  <c r="B5168" i="2"/>
  <c r="A5168" i="2"/>
  <c r="H5167" i="2"/>
  <c r="G5167" i="2"/>
  <c r="F5167" i="2"/>
  <c r="E5167" i="2"/>
  <c r="D5167" i="2"/>
  <c r="C5167" i="2"/>
  <c r="B5167" i="2"/>
  <c r="A5167" i="2"/>
  <c r="H5166" i="2"/>
  <c r="G5166" i="2"/>
  <c r="F5166" i="2"/>
  <c r="E5166" i="2"/>
  <c r="D5166" i="2"/>
  <c r="C5166" i="2"/>
  <c r="B5166" i="2"/>
  <c r="A5166" i="2"/>
  <c r="H5165" i="2"/>
  <c r="G5165" i="2"/>
  <c r="F5165" i="2"/>
  <c r="E5165" i="2"/>
  <c r="D5165" i="2"/>
  <c r="C5165" i="2"/>
  <c r="B5165" i="2"/>
  <c r="A5165" i="2"/>
  <c r="H5164" i="2"/>
  <c r="G5164" i="2"/>
  <c r="F5164" i="2"/>
  <c r="E5164" i="2"/>
  <c r="D5164" i="2"/>
  <c r="C5164" i="2"/>
  <c r="B5164" i="2"/>
  <c r="A5164" i="2"/>
  <c r="H5163" i="2"/>
  <c r="G5163" i="2"/>
  <c r="F5163" i="2"/>
  <c r="E5163" i="2"/>
  <c r="D5163" i="2"/>
  <c r="C5163" i="2"/>
  <c r="B5163" i="2"/>
  <c r="A5163" i="2"/>
  <c r="H5162" i="2"/>
  <c r="G5162" i="2"/>
  <c r="F5162" i="2"/>
  <c r="E5162" i="2"/>
  <c r="D5162" i="2"/>
  <c r="C5162" i="2"/>
  <c r="B5162" i="2"/>
  <c r="A5162" i="2"/>
  <c r="H5161" i="2"/>
  <c r="G5161" i="2"/>
  <c r="F5161" i="2"/>
  <c r="E5161" i="2"/>
  <c r="D5161" i="2"/>
  <c r="C5161" i="2"/>
  <c r="B5161" i="2"/>
  <c r="A5161" i="2"/>
  <c r="H5160" i="2"/>
  <c r="G5160" i="2"/>
  <c r="F5160" i="2"/>
  <c r="E5160" i="2"/>
  <c r="D5160" i="2"/>
  <c r="C5160" i="2"/>
  <c r="B5160" i="2"/>
  <c r="A5160" i="2"/>
  <c r="H5159" i="2"/>
  <c r="G5159" i="2"/>
  <c r="F5159" i="2"/>
  <c r="E5159" i="2"/>
  <c r="D5159" i="2"/>
  <c r="C5159" i="2"/>
  <c r="B5159" i="2"/>
  <c r="A5159" i="2"/>
  <c r="H5158" i="2"/>
  <c r="G5158" i="2"/>
  <c r="F5158" i="2"/>
  <c r="E5158" i="2"/>
  <c r="D5158" i="2"/>
  <c r="C5158" i="2"/>
  <c r="B5158" i="2"/>
  <c r="A5158" i="2"/>
  <c r="H5157" i="2"/>
  <c r="G5157" i="2"/>
  <c r="F5157" i="2"/>
  <c r="E5157" i="2"/>
  <c r="D5157" i="2"/>
  <c r="C5157" i="2"/>
  <c r="B5157" i="2"/>
  <c r="A5157" i="2"/>
  <c r="H5156" i="2"/>
  <c r="G5156" i="2"/>
  <c r="F5156" i="2"/>
  <c r="E5156" i="2"/>
  <c r="D5156" i="2"/>
  <c r="C5156" i="2"/>
  <c r="B5156" i="2"/>
  <c r="A5156" i="2"/>
  <c r="H5155" i="2"/>
  <c r="G5155" i="2"/>
  <c r="F5155" i="2"/>
  <c r="E5155" i="2"/>
  <c r="D5155" i="2"/>
  <c r="C5155" i="2"/>
  <c r="B5155" i="2"/>
  <c r="A5155" i="2"/>
  <c r="H5154" i="2"/>
  <c r="G5154" i="2"/>
  <c r="F5154" i="2"/>
  <c r="E5154" i="2"/>
  <c r="D5154" i="2"/>
  <c r="C5154" i="2"/>
  <c r="B5154" i="2"/>
  <c r="A5154" i="2"/>
  <c r="H5153" i="2"/>
  <c r="G5153" i="2"/>
  <c r="F5153" i="2"/>
  <c r="E5153" i="2"/>
  <c r="D5153" i="2"/>
  <c r="C5153" i="2"/>
  <c r="B5153" i="2"/>
  <c r="A5153" i="2"/>
  <c r="H5152" i="2"/>
  <c r="G5152" i="2"/>
  <c r="F5152" i="2"/>
  <c r="E5152" i="2"/>
  <c r="D5152" i="2"/>
  <c r="C5152" i="2"/>
  <c r="B5152" i="2"/>
  <c r="A5152" i="2"/>
  <c r="H5151" i="2"/>
  <c r="G5151" i="2"/>
  <c r="F5151" i="2"/>
  <c r="E5151" i="2"/>
  <c r="D5151" i="2"/>
  <c r="C5151" i="2"/>
  <c r="B5151" i="2"/>
  <c r="A5151" i="2"/>
  <c r="H5150" i="2"/>
  <c r="G5150" i="2"/>
  <c r="F5150" i="2"/>
  <c r="E5150" i="2"/>
  <c r="D5150" i="2"/>
  <c r="C5150" i="2"/>
  <c r="B5150" i="2"/>
  <c r="A5150" i="2"/>
  <c r="H5149" i="2"/>
  <c r="G5149" i="2"/>
  <c r="F5149" i="2"/>
  <c r="E5149" i="2"/>
  <c r="D5149" i="2"/>
  <c r="C5149" i="2"/>
  <c r="B5149" i="2"/>
  <c r="A5149" i="2"/>
  <c r="H5148" i="2"/>
  <c r="G5148" i="2"/>
  <c r="F5148" i="2"/>
  <c r="E5148" i="2"/>
  <c r="D5148" i="2"/>
  <c r="C5148" i="2"/>
  <c r="B5148" i="2"/>
  <c r="A5148" i="2"/>
  <c r="H5147" i="2"/>
  <c r="G5147" i="2"/>
  <c r="F5147" i="2"/>
  <c r="E5147" i="2"/>
  <c r="D5147" i="2"/>
  <c r="C5147" i="2"/>
  <c r="B5147" i="2"/>
  <c r="A5147" i="2"/>
  <c r="H5146" i="2"/>
  <c r="G5146" i="2"/>
  <c r="F5146" i="2"/>
  <c r="E5146" i="2"/>
  <c r="D5146" i="2"/>
  <c r="C5146" i="2"/>
  <c r="B5146" i="2"/>
  <c r="A5146" i="2"/>
  <c r="H5145" i="2"/>
  <c r="G5145" i="2"/>
  <c r="F5145" i="2"/>
  <c r="E5145" i="2"/>
  <c r="D5145" i="2"/>
  <c r="C5145" i="2"/>
  <c r="B5145" i="2"/>
  <c r="A5145" i="2"/>
  <c r="H5144" i="2"/>
  <c r="G5144" i="2"/>
  <c r="F5144" i="2"/>
  <c r="E5144" i="2"/>
  <c r="D5144" i="2"/>
  <c r="C5144" i="2"/>
  <c r="B5144" i="2"/>
  <c r="A5144" i="2"/>
  <c r="H5143" i="2"/>
  <c r="G5143" i="2"/>
  <c r="F5143" i="2"/>
  <c r="E5143" i="2"/>
  <c r="D5143" i="2"/>
  <c r="C5143" i="2"/>
  <c r="B5143" i="2"/>
  <c r="A5143" i="2"/>
  <c r="H5142" i="2"/>
  <c r="G5142" i="2"/>
  <c r="F5142" i="2"/>
  <c r="E5142" i="2"/>
  <c r="D5142" i="2"/>
  <c r="C5142" i="2"/>
  <c r="B5142" i="2"/>
  <c r="A5142" i="2"/>
  <c r="H5141" i="2"/>
  <c r="G5141" i="2"/>
  <c r="F5141" i="2"/>
  <c r="E5141" i="2"/>
  <c r="D5141" i="2"/>
  <c r="C5141" i="2"/>
  <c r="B5141" i="2"/>
  <c r="A5141" i="2"/>
  <c r="H5140" i="2"/>
  <c r="G5140" i="2"/>
  <c r="F5140" i="2"/>
  <c r="E5140" i="2"/>
  <c r="D5140" i="2"/>
  <c r="C5140" i="2"/>
  <c r="B5140" i="2"/>
  <c r="A5140" i="2"/>
  <c r="H5139" i="2"/>
  <c r="G5139" i="2"/>
  <c r="F5139" i="2"/>
  <c r="E5139" i="2"/>
  <c r="D5139" i="2"/>
  <c r="C5139" i="2"/>
  <c r="B5139" i="2"/>
  <c r="A5139" i="2"/>
  <c r="H5138" i="2"/>
  <c r="G5138" i="2"/>
  <c r="F5138" i="2"/>
  <c r="E5138" i="2"/>
  <c r="D5138" i="2"/>
  <c r="C5138" i="2"/>
  <c r="B5138" i="2"/>
  <c r="A5138" i="2"/>
  <c r="H5137" i="2"/>
  <c r="G5137" i="2"/>
  <c r="F5137" i="2"/>
  <c r="E5137" i="2"/>
  <c r="D5137" i="2"/>
  <c r="C5137" i="2"/>
  <c r="B5137" i="2"/>
  <c r="A5137" i="2"/>
  <c r="H5136" i="2"/>
  <c r="G5136" i="2"/>
  <c r="F5136" i="2"/>
  <c r="E5136" i="2"/>
  <c r="D5136" i="2"/>
  <c r="C5136" i="2"/>
  <c r="B5136" i="2"/>
  <c r="A5136" i="2"/>
  <c r="H5135" i="2"/>
  <c r="G5135" i="2"/>
  <c r="F5135" i="2"/>
  <c r="E5135" i="2"/>
  <c r="D5135" i="2"/>
  <c r="C5135" i="2"/>
  <c r="B5135" i="2"/>
  <c r="A5135" i="2"/>
  <c r="H5134" i="2"/>
  <c r="G5134" i="2"/>
  <c r="F5134" i="2"/>
  <c r="E5134" i="2"/>
  <c r="D5134" i="2"/>
  <c r="C5134" i="2"/>
  <c r="B5134" i="2"/>
  <c r="A5134" i="2"/>
  <c r="H5133" i="2"/>
  <c r="G5133" i="2"/>
  <c r="F5133" i="2"/>
  <c r="E5133" i="2"/>
  <c r="D5133" i="2"/>
  <c r="C5133" i="2"/>
  <c r="B5133" i="2"/>
  <c r="A5133" i="2"/>
  <c r="H5132" i="2"/>
  <c r="G5132" i="2"/>
  <c r="F5132" i="2"/>
  <c r="E5132" i="2"/>
  <c r="D5132" i="2"/>
  <c r="C5132" i="2"/>
  <c r="B5132" i="2"/>
  <c r="A5132" i="2"/>
  <c r="H5131" i="2"/>
  <c r="G5131" i="2"/>
  <c r="F5131" i="2"/>
  <c r="E5131" i="2"/>
  <c r="D5131" i="2"/>
  <c r="C5131" i="2"/>
  <c r="B5131" i="2"/>
  <c r="A5131" i="2"/>
  <c r="H5130" i="2"/>
  <c r="G5130" i="2"/>
  <c r="F5130" i="2"/>
  <c r="E5130" i="2"/>
  <c r="D5130" i="2"/>
  <c r="C5130" i="2"/>
  <c r="B5130" i="2"/>
  <c r="A5130" i="2"/>
  <c r="H5129" i="2"/>
  <c r="G5129" i="2"/>
  <c r="F5129" i="2"/>
  <c r="E5129" i="2"/>
  <c r="D5129" i="2"/>
  <c r="C5129" i="2"/>
  <c r="B5129" i="2"/>
  <c r="A5129" i="2"/>
  <c r="H5128" i="2"/>
  <c r="G5128" i="2"/>
  <c r="F5128" i="2"/>
  <c r="E5128" i="2"/>
  <c r="D5128" i="2"/>
  <c r="C5128" i="2"/>
  <c r="B5128" i="2"/>
  <c r="A5128" i="2"/>
  <c r="H5127" i="2"/>
  <c r="G5127" i="2"/>
  <c r="F5127" i="2"/>
  <c r="E5127" i="2"/>
  <c r="D5127" i="2"/>
  <c r="C5127" i="2"/>
  <c r="B5127" i="2"/>
  <c r="A5127" i="2"/>
  <c r="H5126" i="2"/>
  <c r="G5126" i="2"/>
  <c r="F5126" i="2"/>
  <c r="E5126" i="2"/>
  <c r="D5126" i="2"/>
  <c r="C5126" i="2"/>
  <c r="B5126" i="2"/>
  <c r="A5126" i="2"/>
  <c r="H5125" i="2"/>
  <c r="G5125" i="2"/>
  <c r="F5125" i="2"/>
  <c r="E5125" i="2"/>
  <c r="D5125" i="2"/>
  <c r="C5125" i="2"/>
  <c r="B5125" i="2"/>
  <c r="A5125" i="2"/>
  <c r="H5124" i="2"/>
  <c r="G5124" i="2"/>
  <c r="F5124" i="2"/>
  <c r="E5124" i="2"/>
  <c r="D5124" i="2"/>
  <c r="C5124" i="2"/>
  <c r="B5124" i="2"/>
  <c r="A5124" i="2"/>
  <c r="H5123" i="2"/>
  <c r="G5123" i="2"/>
  <c r="F5123" i="2"/>
  <c r="E5123" i="2"/>
  <c r="D5123" i="2"/>
  <c r="C5123" i="2"/>
  <c r="B5123" i="2"/>
  <c r="A5123" i="2"/>
  <c r="H5122" i="2"/>
  <c r="G5122" i="2"/>
  <c r="F5122" i="2"/>
  <c r="E5122" i="2"/>
  <c r="D5122" i="2"/>
  <c r="C5122" i="2"/>
  <c r="B5122" i="2"/>
  <c r="A5122" i="2"/>
  <c r="H5121" i="2"/>
  <c r="G5121" i="2"/>
  <c r="F5121" i="2"/>
  <c r="E5121" i="2"/>
  <c r="D5121" i="2"/>
  <c r="C5121" i="2"/>
  <c r="B5121" i="2"/>
  <c r="A5121" i="2"/>
  <c r="H5120" i="2"/>
  <c r="G5120" i="2"/>
  <c r="F5120" i="2"/>
  <c r="E5120" i="2"/>
  <c r="D5120" i="2"/>
  <c r="C5120" i="2"/>
  <c r="B5120" i="2"/>
  <c r="A5120" i="2"/>
  <c r="H5119" i="2"/>
  <c r="G5119" i="2"/>
  <c r="F5119" i="2"/>
  <c r="E5119" i="2"/>
  <c r="D5119" i="2"/>
  <c r="C5119" i="2"/>
  <c r="B5119" i="2"/>
  <c r="A5119" i="2"/>
  <c r="H5118" i="2"/>
  <c r="G5118" i="2"/>
  <c r="F5118" i="2"/>
  <c r="E5118" i="2"/>
  <c r="D5118" i="2"/>
  <c r="C5118" i="2"/>
  <c r="B5118" i="2"/>
  <c r="A5118" i="2"/>
  <c r="H5117" i="2"/>
  <c r="G5117" i="2"/>
  <c r="F5117" i="2"/>
  <c r="E5117" i="2"/>
  <c r="D5117" i="2"/>
  <c r="C5117" i="2"/>
  <c r="B5117" i="2"/>
  <c r="A5117" i="2"/>
  <c r="H5116" i="2"/>
  <c r="G5116" i="2"/>
  <c r="F5116" i="2"/>
  <c r="E5116" i="2"/>
  <c r="D5116" i="2"/>
  <c r="C5116" i="2"/>
  <c r="B5116" i="2"/>
  <c r="A5116" i="2"/>
  <c r="H5115" i="2"/>
  <c r="G5115" i="2"/>
  <c r="F5115" i="2"/>
  <c r="E5115" i="2"/>
  <c r="D5115" i="2"/>
  <c r="C5115" i="2"/>
  <c r="B5115" i="2"/>
  <c r="A5115" i="2"/>
  <c r="H5114" i="2"/>
  <c r="G5114" i="2"/>
  <c r="F5114" i="2"/>
  <c r="E5114" i="2"/>
  <c r="D5114" i="2"/>
  <c r="C5114" i="2"/>
  <c r="B5114" i="2"/>
  <c r="A5114" i="2"/>
  <c r="H5113" i="2"/>
  <c r="G5113" i="2"/>
  <c r="F5113" i="2"/>
  <c r="E5113" i="2"/>
  <c r="D5113" i="2"/>
  <c r="C5113" i="2"/>
  <c r="B5113" i="2"/>
  <c r="A5113" i="2"/>
  <c r="H5112" i="2"/>
  <c r="G5112" i="2"/>
  <c r="F5112" i="2"/>
  <c r="E5112" i="2"/>
  <c r="D5112" i="2"/>
  <c r="C5112" i="2"/>
  <c r="B5112" i="2"/>
  <c r="A5112" i="2"/>
  <c r="H5111" i="2"/>
  <c r="G5111" i="2"/>
  <c r="F5111" i="2"/>
  <c r="E5111" i="2"/>
  <c r="D5111" i="2"/>
  <c r="C5111" i="2"/>
  <c r="B5111" i="2"/>
  <c r="A5111" i="2"/>
  <c r="H5110" i="2"/>
  <c r="G5110" i="2"/>
  <c r="F5110" i="2"/>
  <c r="E5110" i="2"/>
  <c r="D5110" i="2"/>
  <c r="C5110" i="2"/>
  <c r="B5110" i="2"/>
  <c r="A5110" i="2"/>
  <c r="H5109" i="2"/>
  <c r="G5109" i="2"/>
  <c r="F5109" i="2"/>
  <c r="E5109" i="2"/>
  <c r="D5109" i="2"/>
  <c r="C5109" i="2"/>
  <c r="B5109" i="2"/>
  <c r="A5109" i="2"/>
  <c r="H5108" i="2"/>
  <c r="G5108" i="2"/>
  <c r="F5108" i="2"/>
  <c r="E5108" i="2"/>
  <c r="D5108" i="2"/>
  <c r="C5108" i="2"/>
  <c r="B5108" i="2"/>
  <c r="A5108" i="2"/>
  <c r="H5107" i="2"/>
  <c r="G5107" i="2"/>
  <c r="F5107" i="2"/>
  <c r="E5107" i="2"/>
  <c r="D5107" i="2"/>
  <c r="C5107" i="2"/>
  <c r="B5107" i="2"/>
  <c r="A5107" i="2"/>
  <c r="H5106" i="2"/>
  <c r="G5106" i="2"/>
  <c r="F5106" i="2"/>
  <c r="E5106" i="2"/>
  <c r="D5106" i="2"/>
  <c r="C5106" i="2"/>
  <c r="B5106" i="2"/>
  <c r="A5106" i="2"/>
  <c r="H5105" i="2"/>
  <c r="G5105" i="2"/>
  <c r="F5105" i="2"/>
  <c r="E5105" i="2"/>
  <c r="D5105" i="2"/>
  <c r="C5105" i="2"/>
  <c r="B5105" i="2"/>
  <c r="A5105" i="2"/>
  <c r="H5104" i="2"/>
  <c r="G5104" i="2"/>
  <c r="F5104" i="2"/>
  <c r="E5104" i="2"/>
  <c r="D5104" i="2"/>
  <c r="C5104" i="2"/>
  <c r="B5104" i="2"/>
  <c r="A5104" i="2"/>
  <c r="H5103" i="2"/>
  <c r="G5103" i="2"/>
  <c r="F5103" i="2"/>
  <c r="E5103" i="2"/>
  <c r="D5103" i="2"/>
  <c r="C5103" i="2"/>
  <c r="B5103" i="2"/>
  <c r="A5103" i="2"/>
  <c r="H5102" i="2"/>
  <c r="G5102" i="2"/>
  <c r="F5102" i="2"/>
  <c r="E5102" i="2"/>
  <c r="D5102" i="2"/>
  <c r="C5102" i="2"/>
  <c r="B5102" i="2"/>
  <c r="A5102" i="2"/>
  <c r="H5101" i="2"/>
  <c r="G5101" i="2"/>
  <c r="F5101" i="2"/>
  <c r="E5101" i="2"/>
  <c r="D5101" i="2"/>
  <c r="C5101" i="2"/>
  <c r="B5101" i="2"/>
  <c r="A5101" i="2"/>
  <c r="H5100" i="2"/>
  <c r="G5100" i="2"/>
  <c r="F5100" i="2"/>
  <c r="E5100" i="2"/>
  <c r="D5100" i="2"/>
  <c r="C5100" i="2"/>
  <c r="B5100" i="2"/>
  <c r="A5100" i="2"/>
  <c r="H5099" i="2"/>
  <c r="G5099" i="2"/>
  <c r="F5099" i="2"/>
  <c r="E5099" i="2"/>
  <c r="D5099" i="2"/>
  <c r="C5099" i="2"/>
  <c r="B5099" i="2"/>
  <c r="A5099" i="2"/>
  <c r="H5098" i="2"/>
  <c r="G5098" i="2"/>
  <c r="F5098" i="2"/>
  <c r="E5098" i="2"/>
  <c r="D5098" i="2"/>
  <c r="C5098" i="2"/>
  <c r="B5098" i="2"/>
  <c r="A5098" i="2"/>
  <c r="H5097" i="2"/>
  <c r="G5097" i="2"/>
  <c r="F5097" i="2"/>
  <c r="E5097" i="2"/>
  <c r="D5097" i="2"/>
  <c r="C5097" i="2"/>
  <c r="B5097" i="2"/>
  <c r="A5097" i="2"/>
  <c r="H5096" i="2"/>
  <c r="G5096" i="2"/>
  <c r="F5096" i="2"/>
  <c r="E5096" i="2"/>
  <c r="D5096" i="2"/>
  <c r="C5096" i="2"/>
  <c r="B5096" i="2"/>
  <c r="A5096" i="2"/>
  <c r="H5095" i="2"/>
  <c r="G5095" i="2"/>
  <c r="F5095" i="2"/>
  <c r="E5095" i="2"/>
  <c r="D5095" i="2"/>
  <c r="C5095" i="2"/>
  <c r="B5095" i="2"/>
  <c r="A5095" i="2"/>
  <c r="H5094" i="2"/>
  <c r="G5094" i="2"/>
  <c r="F5094" i="2"/>
  <c r="E5094" i="2"/>
  <c r="D5094" i="2"/>
  <c r="C5094" i="2"/>
  <c r="B5094" i="2"/>
  <c r="A5094" i="2"/>
  <c r="H5093" i="2"/>
  <c r="G5093" i="2"/>
  <c r="F5093" i="2"/>
  <c r="E5093" i="2"/>
  <c r="D5093" i="2"/>
  <c r="C5093" i="2"/>
  <c r="B5093" i="2"/>
  <c r="A5093" i="2"/>
  <c r="H5092" i="2"/>
  <c r="G5092" i="2"/>
  <c r="F5092" i="2"/>
  <c r="E5092" i="2"/>
  <c r="D5092" i="2"/>
  <c r="C5092" i="2"/>
  <c r="B5092" i="2"/>
  <c r="A5092" i="2"/>
  <c r="H5091" i="2"/>
  <c r="G5091" i="2"/>
  <c r="F5091" i="2"/>
  <c r="E5091" i="2"/>
  <c r="D5091" i="2"/>
  <c r="C5091" i="2"/>
  <c r="B5091" i="2"/>
  <c r="A5091" i="2"/>
  <c r="H5090" i="2"/>
  <c r="G5090" i="2"/>
  <c r="F5090" i="2"/>
  <c r="E5090" i="2"/>
  <c r="D5090" i="2"/>
  <c r="C5090" i="2"/>
  <c r="B5090" i="2"/>
  <c r="A5090" i="2"/>
  <c r="H5089" i="2"/>
  <c r="G5089" i="2"/>
  <c r="F5089" i="2"/>
  <c r="E5089" i="2"/>
  <c r="D5089" i="2"/>
  <c r="C5089" i="2"/>
  <c r="B5089" i="2"/>
  <c r="A5089" i="2"/>
  <c r="H5088" i="2"/>
  <c r="G5088" i="2"/>
  <c r="F5088" i="2"/>
  <c r="E5088" i="2"/>
  <c r="D5088" i="2"/>
  <c r="C5088" i="2"/>
  <c r="B5088" i="2"/>
  <c r="A5088" i="2"/>
  <c r="H5087" i="2"/>
  <c r="G5087" i="2"/>
  <c r="F5087" i="2"/>
  <c r="E5087" i="2"/>
  <c r="D5087" i="2"/>
  <c r="C5087" i="2"/>
  <c r="B5087" i="2"/>
  <c r="A5087" i="2"/>
  <c r="H5086" i="2"/>
  <c r="G5086" i="2"/>
  <c r="F5086" i="2"/>
  <c r="E5086" i="2"/>
  <c r="D5086" i="2"/>
  <c r="C5086" i="2"/>
  <c r="B5086" i="2"/>
  <c r="A5086" i="2"/>
  <c r="H5085" i="2"/>
  <c r="G5085" i="2"/>
  <c r="F5085" i="2"/>
  <c r="E5085" i="2"/>
  <c r="D5085" i="2"/>
  <c r="C5085" i="2"/>
  <c r="B5085" i="2"/>
  <c r="A5085" i="2"/>
  <c r="H5084" i="2"/>
  <c r="G5084" i="2"/>
  <c r="F5084" i="2"/>
  <c r="E5084" i="2"/>
  <c r="D5084" i="2"/>
  <c r="C5084" i="2"/>
  <c r="B5084" i="2"/>
  <c r="A5084" i="2"/>
  <c r="H5083" i="2"/>
  <c r="G5083" i="2"/>
  <c r="F5083" i="2"/>
  <c r="E5083" i="2"/>
  <c r="D5083" i="2"/>
  <c r="C5083" i="2"/>
  <c r="B5083" i="2"/>
  <c r="A5083" i="2"/>
  <c r="H5082" i="2"/>
  <c r="G5082" i="2"/>
  <c r="F5082" i="2"/>
  <c r="E5082" i="2"/>
  <c r="D5082" i="2"/>
  <c r="C5082" i="2"/>
  <c r="B5082" i="2"/>
  <c r="A5082" i="2"/>
  <c r="H5081" i="2"/>
  <c r="G5081" i="2"/>
  <c r="F5081" i="2"/>
  <c r="E5081" i="2"/>
  <c r="D5081" i="2"/>
  <c r="C5081" i="2"/>
  <c r="B5081" i="2"/>
  <c r="A5081" i="2"/>
  <c r="H5080" i="2"/>
  <c r="G5080" i="2"/>
  <c r="F5080" i="2"/>
  <c r="E5080" i="2"/>
  <c r="D5080" i="2"/>
  <c r="C5080" i="2"/>
  <c r="B5080" i="2"/>
  <c r="A5080" i="2"/>
  <c r="H5079" i="2"/>
  <c r="G5079" i="2"/>
  <c r="F5079" i="2"/>
  <c r="E5079" i="2"/>
  <c r="D5079" i="2"/>
  <c r="C5079" i="2"/>
  <c r="B5079" i="2"/>
  <c r="A5079" i="2"/>
  <c r="H5078" i="2"/>
  <c r="G5078" i="2"/>
  <c r="F5078" i="2"/>
  <c r="E5078" i="2"/>
  <c r="D5078" i="2"/>
  <c r="C5078" i="2"/>
  <c r="B5078" i="2"/>
  <c r="A5078" i="2"/>
  <c r="H5077" i="2"/>
  <c r="G5077" i="2"/>
  <c r="F5077" i="2"/>
  <c r="E5077" i="2"/>
  <c r="D5077" i="2"/>
  <c r="C5077" i="2"/>
  <c r="B5077" i="2"/>
  <c r="A5077" i="2"/>
  <c r="H5076" i="2"/>
  <c r="G5076" i="2"/>
  <c r="F5076" i="2"/>
  <c r="E5076" i="2"/>
  <c r="D5076" i="2"/>
  <c r="C5076" i="2"/>
  <c r="B5076" i="2"/>
  <c r="A5076" i="2"/>
  <c r="H5075" i="2"/>
  <c r="G5075" i="2"/>
  <c r="F5075" i="2"/>
  <c r="E5075" i="2"/>
  <c r="D5075" i="2"/>
  <c r="C5075" i="2"/>
  <c r="B5075" i="2"/>
  <c r="A5075" i="2"/>
  <c r="H5074" i="2"/>
  <c r="G5074" i="2"/>
  <c r="F5074" i="2"/>
  <c r="E5074" i="2"/>
  <c r="D5074" i="2"/>
  <c r="C5074" i="2"/>
  <c r="B5074" i="2"/>
  <c r="A5074" i="2"/>
  <c r="H5073" i="2"/>
  <c r="G5073" i="2"/>
  <c r="F5073" i="2"/>
  <c r="E5073" i="2"/>
  <c r="D5073" i="2"/>
  <c r="C5073" i="2"/>
  <c r="B5073" i="2"/>
  <c r="A5073" i="2"/>
  <c r="H5072" i="2"/>
  <c r="G5072" i="2"/>
  <c r="F5072" i="2"/>
  <c r="E5072" i="2"/>
  <c r="D5072" i="2"/>
  <c r="C5072" i="2"/>
  <c r="B5072" i="2"/>
  <c r="A5072" i="2"/>
  <c r="H5071" i="2"/>
  <c r="G5071" i="2"/>
  <c r="F5071" i="2"/>
  <c r="E5071" i="2"/>
  <c r="D5071" i="2"/>
  <c r="C5071" i="2"/>
  <c r="B5071" i="2"/>
  <c r="A5071" i="2"/>
  <c r="H5070" i="2"/>
  <c r="G5070" i="2"/>
  <c r="F5070" i="2"/>
  <c r="E5070" i="2"/>
  <c r="D5070" i="2"/>
  <c r="C5070" i="2"/>
  <c r="B5070" i="2"/>
  <c r="A5070" i="2"/>
  <c r="H5069" i="2"/>
  <c r="G5069" i="2"/>
  <c r="F5069" i="2"/>
  <c r="E5069" i="2"/>
  <c r="D5069" i="2"/>
  <c r="C5069" i="2"/>
  <c r="B5069" i="2"/>
  <c r="A5069" i="2"/>
  <c r="H5068" i="2"/>
  <c r="G5068" i="2"/>
  <c r="F5068" i="2"/>
  <c r="E5068" i="2"/>
  <c r="D5068" i="2"/>
  <c r="C5068" i="2"/>
  <c r="B5068" i="2"/>
  <c r="A5068" i="2"/>
  <c r="H5067" i="2"/>
  <c r="G5067" i="2"/>
  <c r="F5067" i="2"/>
  <c r="E5067" i="2"/>
  <c r="D5067" i="2"/>
  <c r="C5067" i="2"/>
  <c r="B5067" i="2"/>
  <c r="A5067" i="2"/>
  <c r="H5066" i="2"/>
  <c r="G5066" i="2"/>
  <c r="F5066" i="2"/>
  <c r="E5066" i="2"/>
  <c r="D5066" i="2"/>
  <c r="C5066" i="2"/>
  <c r="B5066" i="2"/>
  <c r="A5066" i="2"/>
  <c r="H5065" i="2"/>
  <c r="G5065" i="2"/>
  <c r="F5065" i="2"/>
  <c r="E5065" i="2"/>
  <c r="D5065" i="2"/>
  <c r="C5065" i="2"/>
  <c r="B5065" i="2"/>
  <c r="A5065" i="2"/>
  <c r="H5064" i="2"/>
  <c r="G5064" i="2"/>
  <c r="F5064" i="2"/>
  <c r="E5064" i="2"/>
  <c r="D5064" i="2"/>
  <c r="C5064" i="2"/>
  <c r="B5064" i="2"/>
  <c r="A5064" i="2"/>
  <c r="H5063" i="2"/>
  <c r="G5063" i="2"/>
  <c r="F5063" i="2"/>
  <c r="E5063" i="2"/>
  <c r="D5063" i="2"/>
  <c r="C5063" i="2"/>
  <c r="B5063" i="2"/>
  <c r="A5063" i="2"/>
  <c r="H5062" i="2"/>
  <c r="G5062" i="2"/>
  <c r="F5062" i="2"/>
  <c r="E5062" i="2"/>
  <c r="D5062" i="2"/>
  <c r="C5062" i="2"/>
  <c r="B5062" i="2"/>
  <c r="A5062" i="2"/>
  <c r="H5061" i="2"/>
  <c r="G5061" i="2"/>
  <c r="F5061" i="2"/>
  <c r="E5061" i="2"/>
  <c r="D5061" i="2"/>
  <c r="C5061" i="2"/>
  <c r="B5061" i="2"/>
  <c r="A5061" i="2"/>
  <c r="H5060" i="2"/>
  <c r="G5060" i="2"/>
  <c r="F5060" i="2"/>
  <c r="E5060" i="2"/>
  <c r="D5060" i="2"/>
  <c r="C5060" i="2"/>
  <c r="B5060" i="2"/>
  <c r="A5060" i="2"/>
  <c r="H5059" i="2"/>
  <c r="G5059" i="2"/>
  <c r="F5059" i="2"/>
  <c r="E5059" i="2"/>
  <c r="D5059" i="2"/>
  <c r="C5059" i="2"/>
  <c r="B5059" i="2"/>
  <c r="A5059" i="2"/>
  <c r="H5058" i="2"/>
  <c r="G5058" i="2"/>
  <c r="F5058" i="2"/>
  <c r="E5058" i="2"/>
  <c r="D5058" i="2"/>
  <c r="C5058" i="2"/>
  <c r="B5058" i="2"/>
  <c r="A5058" i="2"/>
  <c r="H5057" i="2"/>
  <c r="G5057" i="2"/>
  <c r="F5057" i="2"/>
  <c r="E5057" i="2"/>
  <c r="D5057" i="2"/>
  <c r="C5057" i="2"/>
  <c r="B5057" i="2"/>
  <c r="A5057" i="2"/>
  <c r="H5056" i="2"/>
  <c r="G5056" i="2"/>
  <c r="F5056" i="2"/>
  <c r="E5056" i="2"/>
  <c r="D5056" i="2"/>
  <c r="C5056" i="2"/>
  <c r="B5056" i="2"/>
  <c r="A5056" i="2"/>
  <c r="H5055" i="2"/>
  <c r="G5055" i="2"/>
  <c r="F5055" i="2"/>
  <c r="E5055" i="2"/>
  <c r="D5055" i="2"/>
  <c r="C5055" i="2"/>
  <c r="B5055" i="2"/>
  <c r="A5055" i="2"/>
  <c r="H5054" i="2"/>
  <c r="G5054" i="2"/>
  <c r="F5054" i="2"/>
  <c r="E5054" i="2"/>
  <c r="D5054" i="2"/>
  <c r="C5054" i="2"/>
  <c r="B5054" i="2"/>
  <c r="A5054" i="2"/>
  <c r="H5053" i="2"/>
  <c r="G5053" i="2"/>
  <c r="F5053" i="2"/>
  <c r="E5053" i="2"/>
  <c r="D5053" i="2"/>
  <c r="C5053" i="2"/>
  <c r="B5053" i="2"/>
  <c r="A5053" i="2"/>
  <c r="H5052" i="2"/>
  <c r="G5052" i="2"/>
  <c r="F5052" i="2"/>
  <c r="E5052" i="2"/>
  <c r="D5052" i="2"/>
  <c r="C5052" i="2"/>
  <c r="B5052" i="2"/>
  <c r="A5052" i="2"/>
  <c r="H5051" i="2"/>
  <c r="G5051" i="2"/>
  <c r="F5051" i="2"/>
  <c r="E5051" i="2"/>
  <c r="D5051" i="2"/>
  <c r="C5051" i="2"/>
  <c r="B5051" i="2"/>
  <c r="A5051" i="2"/>
  <c r="H5050" i="2"/>
  <c r="G5050" i="2"/>
  <c r="F5050" i="2"/>
  <c r="E5050" i="2"/>
  <c r="D5050" i="2"/>
  <c r="C5050" i="2"/>
  <c r="B5050" i="2"/>
  <c r="A5050" i="2"/>
  <c r="H5049" i="2"/>
  <c r="G5049" i="2"/>
  <c r="F5049" i="2"/>
  <c r="E5049" i="2"/>
  <c r="D5049" i="2"/>
  <c r="C5049" i="2"/>
  <c r="B5049" i="2"/>
  <c r="A5049" i="2"/>
  <c r="H5048" i="2"/>
  <c r="G5048" i="2"/>
  <c r="F5048" i="2"/>
  <c r="E5048" i="2"/>
  <c r="D5048" i="2"/>
  <c r="C5048" i="2"/>
  <c r="B5048" i="2"/>
  <c r="A5048" i="2"/>
  <c r="H5047" i="2"/>
  <c r="G5047" i="2"/>
  <c r="F5047" i="2"/>
  <c r="E5047" i="2"/>
  <c r="D5047" i="2"/>
  <c r="C5047" i="2"/>
  <c r="B5047" i="2"/>
  <c r="A5047" i="2"/>
  <c r="H5046" i="2"/>
  <c r="G5046" i="2"/>
  <c r="F5046" i="2"/>
  <c r="E5046" i="2"/>
  <c r="D5046" i="2"/>
  <c r="C5046" i="2"/>
  <c r="B5046" i="2"/>
  <c r="A5046" i="2"/>
  <c r="H5045" i="2"/>
  <c r="G5045" i="2"/>
  <c r="F5045" i="2"/>
  <c r="E5045" i="2"/>
  <c r="D5045" i="2"/>
  <c r="C5045" i="2"/>
  <c r="B5045" i="2"/>
  <c r="A5045" i="2"/>
  <c r="H5044" i="2"/>
  <c r="G5044" i="2"/>
  <c r="F5044" i="2"/>
  <c r="E5044" i="2"/>
  <c r="D5044" i="2"/>
  <c r="C5044" i="2"/>
  <c r="B5044" i="2"/>
  <c r="A5044" i="2"/>
  <c r="H5043" i="2"/>
  <c r="G5043" i="2"/>
  <c r="F5043" i="2"/>
  <c r="E5043" i="2"/>
  <c r="D5043" i="2"/>
  <c r="C5043" i="2"/>
  <c r="B5043" i="2"/>
  <c r="A5043" i="2"/>
  <c r="H5042" i="2"/>
  <c r="G5042" i="2"/>
  <c r="F5042" i="2"/>
  <c r="E5042" i="2"/>
  <c r="D5042" i="2"/>
  <c r="C5042" i="2"/>
  <c r="B5042" i="2"/>
  <c r="A5042" i="2"/>
  <c r="H5041" i="2"/>
  <c r="G5041" i="2"/>
  <c r="F5041" i="2"/>
  <c r="E5041" i="2"/>
  <c r="D5041" i="2"/>
  <c r="C5041" i="2"/>
  <c r="B5041" i="2"/>
  <c r="A5041" i="2"/>
  <c r="H5040" i="2"/>
  <c r="G5040" i="2"/>
  <c r="F5040" i="2"/>
  <c r="E5040" i="2"/>
  <c r="D5040" i="2"/>
  <c r="C5040" i="2"/>
  <c r="B5040" i="2"/>
  <c r="A5040" i="2"/>
  <c r="H5039" i="2"/>
  <c r="G5039" i="2"/>
  <c r="F5039" i="2"/>
  <c r="E5039" i="2"/>
  <c r="D5039" i="2"/>
  <c r="C5039" i="2"/>
  <c r="B5039" i="2"/>
  <c r="A5039" i="2"/>
  <c r="H5038" i="2"/>
  <c r="G5038" i="2"/>
  <c r="F5038" i="2"/>
  <c r="E5038" i="2"/>
  <c r="D5038" i="2"/>
  <c r="C5038" i="2"/>
  <c r="B5038" i="2"/>
  <c r="A5038" i="2"/>
  <c r="H5037" i="2"/>
  <c r="G5037" i="2"/>
  <c r="F5037" i="2"/>
  <c r="E5037" i="2"/>
  <c r="D5037" i="2"/>
  <c r="C5037" i="2"/>
  <c r="B5037" i="2"/>
  <c r="A5037" i="2"/>
  <c r="H5036" i="2"/>
  <c r="G5036" i="2"/>
  <c r="F5036" i="2"/>
  <c r="E5036" i="2"/>
  <c r="D5036" i="2"/>
  <c r="C5036" i="2"/>
  <c r="B5036" i="2"/>
  <c r="A5036" i="2"/>
  <c r="H5035" i="2"/>
  <c r="G5035" i="2"/>
  <c r="F5035" i="2"/>
  <c r="E5035" i="2"/>
  <c r="D5035" i="2"/>
  <c r="C5035" i="2"/>
  <c r="B5035" i="2"/>
  <c r="A5035" i="2"/>
  <c r="H5034" i="2"/>
  <c r="G5034" i="2"/>
  <c r="F5034" i="2"/>
  <c r="E5034" i="2"/>
  <c r="D5034" i="2"/>
  <c r="C5034" i="2"/>
  <c r="B5034" i="2"/>
  <c r="A5034" i="2"/>
  <c r="H5033" i="2"/>
  <c r="G5033" i="2"/>
  <c r="F5033" i="2"/>
  <c r="E5033" i="2"/>
  <c r="D5033" i="2"/>
  <c r="C5033" i="2"/>
  <c r="B5033" i="2"/>
  <c r="A5033" i="2"/>
  <c r="H5032" i="2"/>
  <c r="G5032" i="2"/>
  <c r="F5032" i="2"/>
  <c r="E5032" i="2"/>
  <c r="D5032" i="2"/>
  <c r="C5032" i="2"/>
  <c r="B5032" i="2"/>
  <c r="A5032" i="2"/>
  <c r="H5031" i="2"/>
  <c r="G5031" i="2"/>
  <c r="F5031" i="2"/>
  <c r="E5031" i="2"/>
  <c r="D5031" i="2"/>
  <c r="C5031" i="2"/>
  <c r="B5031" i="2"/>
  <c r="A5031" i="2"/>
  <c r="H5030" i="2"/>
  <c r="G5030" i="2"/>
  <c r="F5030" i="2"/>
  <c r="E5030" i="2"/>
  <c r="D5030" i="2"/>
  <c r="C5030" i="2"/>
  <c r="B5030" i="2"/>
  <c r="A5030" i="2"/>
  <c r="H5029" i="2"/>
  <c r="G5029" i="2"/>
  <c r="F5029" i="2"/>
  <c r="E5029" i="2"/>
  <c r="D5029" i="2"/>
  <c r="C5029" i="2"/>
  <c r="B5029" i="2"/>
  <c r="A5029" i="2"/>
  <c r="H5028" i="2"/>
  <c r="G5028" i="2"/>
  <c r="F5028" i="2"/>
  <c r="E5028" i="2"/>
  <c r="D5028" i="2"/>
  <c r="C5028" i="2"/>
  <c r="B5028" i="2"/>
  <c r="A5028" i="2"/>
  <c r="H5027" i="2"/>
  <c r="G5027" i="2"/>
  <c r="F5027" i="2"/>
  <c r="E5027" i="2"/>
  <c r="D5027" i="2"/>
  <c r="C5027" i="2"/>
  <c r="B5027" i="2"/>
  <c r="A5027" i="2"/>
  <c r="H5026" i="2"/>
  <c r="G5026" i="2"/>
  <c r="F5026" i="2"/>
  <c r="E5026" i="2"/>
  <c r="D5026" i="2"/>
  <c r="C5026" i="2"/>
  <c r="B5026" i="2"/>
  <c r="A5026" i="2"/>
  <c r="H5025" i="2"/>
  <c r="G5025" i="2"/>
  <c r="F5025" i="2"/>
  <c r="E5025" i="2"/>
  <c r="D5025" i="2"/>
  <c r="C5025" i="2"/>
  <c r="B5025" i="2"/>
  <c r="A5025" i="2"/>
  <c r="H5024" i="2"/>
  <c r="G5024" i="2"/>
  <c r="F5024" i="2"/>
  <c r="E5024" i="2"/>
  <c r="D5024" i="2"/>
  <c r="C5024" i="2"/>
  <c r="B5024" i="2"/>
  <c r="A5024" i="2"/>
  <c r="H5023" i="2"/>
  <c r="G5023" i="2"/>
  <c r="F5023" i="2"/>
  <c r="E5023" i="2"/>
  <c r="D5023" i="2"/>
  <c r="C5023" i="2"/>
  <c r="B5023" i="2"/>
  <c r="A5023" i="2"/>
  <c r="H5022" i="2"/>
  <c r="G5022" i="2"/>
  <c r="F5022" i="2"/>
  <c r="E5022" i="2"/>
  <c r="D5022" i="2"/>
  <c r="C5022" i="2"/>
  <c r="B5022" i="2"/>
  <c r="A5022" i="2"/>
  <c r="H5021" i="2"/>
  <c r="G5021" i="2"/>
  <c r="F5021" i="2"/>
  <c r="E5021" i="2"/>
  <c r="D5021" i="2"/>
  <c r="C5021" i="2"/>
  <c r="B5021" i="2"/>
  <c r="A5021" i="2"/>
  <c r="H5020" i="2"/>
  <c r="G5020" i="2"/>
  <c r="F5020" i="2"/>
  <c r="E5020" i="2"/>
  <c r="D5020" i="2"/>
  <c r="C5020" i="2"/>
  <c r="B5020" i="2"/>
  <c r="A5020" i="2"/>
  <c r="H5019" i="2"/>
  <c r="G5019" i="2"/>
  <c r="F5019" i="2"/>
  <c r="E5019" i="2"/>
  <c r="D5019" i="2"/>
  <c r="C5019" i="2"/>
  <c r="B5019" i="2"/>
  <c r="A5019" i="2"/>
  <c r="H5018" i="2"/>
  <c r="G5018" i="2"/>
  <c r="F5018" i="2"/>
  <c r="E5018" i="2"/>
  <c r="D5018" i="2"/>
  <c r="C5018" i="2"/>
  <c r="B5018" i="2"/>
  <c r="A5018" i="2"/>
  <c r="H5017" i="2"/>
  <c r="G5017" i="2"/>
  <c r="F5017" i="2"/>
  <c r="E5017" i="2"/>
  <c r="D5017" i="2"/>
  <c r="C5017" i="2"/>
  <c r="B5017" i="2"/>
  <c r="A5017" i="2"/>
  <c r="H5016" i="2"/>
  <c r="G5016" i="2"/>
  <c r="F5016" i="2"/>
  <c r="E5016" i="2"/>
  <c r="D5016" i="2"/>
  <c r="C5016" i="2"/>
  <c r="B5016" i="2"/>
  <c r="A5016" i="2"/>
  <c r="H5015" i="2"/>
  <c r="G5015" i="2"/>
  <c r="F5015" i="2"/>
  <c r="E5015" i="2"/>
  <c r="D5015" i="2"/>
  <c r="C5015" i="2"/>
  <c r="B5015" i="2"/>
  <c r="A5015" i="2"/>
  <c r="H5014" i="2"/>
  <c r="G5014" i="2"/>
  <c r="F5014" i="2"/>
  <c r="E5014" i="2"/>
  <c r="D5014" i="2"/>
  <c r="C5014" i="2"/>
  <c r="B5014" i="2"/>
  <c r="A5014" i="2"/>
  <c r="H5013" i="2"/>
  <c r="G5013" i="2"/>
  <c r="F5013" i="2"/>
  <c r="E5013" i="2"/>
  <c r="D5013" i="2"/>
  <c r="C5013" i="2"/>
  <c r="B5013" i="2"/>
  <c r="A5013" i="2"/>
  <c r="H5012" i="2"/>
  <c r="G5012" i="2"/>
  <c r="F5012" i="2"/>
  <c r="E5012" i="2"/>
  <c r="D5012" i="2"/>
  <c r="C5012" i="2"/>
  <c r="B5012" i="2"/>
  <c r="A5012" i="2"/>
  <c r="H5011" i="2"/>
  <c r="G5011" i="2"/>
  <c r="F5011" i="2"/>
  <c r="E5011" i="2"/>
  <c r="D5011" i="2"/>
  <c r="C5011" i="2"/>
  <c r="B5011" i="2"/>
  <c r="A5011" i="2"/>
  <c r="H5010" i="2"/>
  <c r="G5010" i="2"/>
  <c r="F5010" i="2"/>
  <c r="E5010" i="2"/>
  <c r="D5010" i="2"/>
  <c r="C5010" i="2"/>
  <c r="B5010" i="2"/>
  <c r="A5010" i="2"/>
  <c r="H5009" i="2"/>
  <c r="G5009" i="2"/>
  <c r="F5009" i="2"/>
  <c r="E5009" i="2"/>
  <c r="D5009" i="2"/>
  <c r="C5009" i="2"/>
  <c r="B5009" i="2"/>
  <c r="A5009" i="2"/>
  <c r="H5008" i="2"/>
  <c r="G5008" i="2"/>
  <c r="F5008" i="2"/>
  <c r="E5008" i="2"/>
  <c r="D5008" i="2"/>
  <c r="C5008" i="2"/>
  <c r="B5008" i="2"/>
  <c r="A5008" i="2"/>
  <c r="H5007" i="2"/>
  <c r="G5007" i="2"/>
  <c r="F5007" i="2"/>
  <c r="E5007" i="2"/>
  <c r="D5007" i="2"/>
  <c r="C5007" i="2"/>
  <c r="B5007" i="2"/>
  <c r="A5007" i="2"/>
  <c r="H5006" i="2"/>
  <c r="G5006" i="2"/>
  <c r="F5006" i="2"/>
  <c r="E5006" i="2"/>
  <c r="D5006" i="2"/>
  <c r="C5006" i="2"/>
  <c r="B5006" i="2"/>
  <c r="A5006" i="2"/>
  <c r="H5005" i="2"/>
  <c r="G5005" i="2"/>
  <c r="F5005" i="2"/>
  <c r="E5005" i="2"/>
  <c r="D5005" i="2"/>
  <c r="C5005" i="2"/>
  <c r="B5005" i="2"/>
  <c r="A5005" i="2"/>
  <c r="H5004" i="2"/>
  <c r="G5004" i="2"/>
  <c r="F5004" i="2"/>
  <c r="E5004" i="2"/>
  <c r="D5004" i="2"/>
  <c r="C5004" i="2"/>
  <c r="B5004" i="2"/>
  <c r="A5004" i="2"/>
  <c r="H5003" i="2"/>
  <c r="G5003" i="2"/>
  <c r="F5003" i="2"/>
  <c r="E5003" i="2"/>
  <c r="D5003" i="2"/>
  <c r="C5003" i="2"/>
  <c r="B5003" i="2"/>
  <c r="A5003" i="2"/>
  <c r="H5002" i="2"/>
  <c r="G5002" i="2"/>
  <c r="F5002" i="2"/>
  <c r="E5002" i="2"/>
  <c r="D5002" i="2"/>
  <c r="C5002" i="2"/>
  <c r="B5002" i="2"/>
  <c r="A5002" i="2"/>
  <c r="H5001" i="2"/>
  <c r="G5001" i="2"/>
  <c r="F5001" i="2"/>
  <c r="E5001" i="2"/>
  <c r="D5001" i="2"/>
  <c r="C5001" i="2"/>
  <c r="B5001" i="2"/>
  <c r="A5001" i="2"/>
  <c r="H5000" i="2"/>
  <c r="G5000" i="2"/>
  <c r="F5000" i="2"/>
  <c r="E5000" i="2"/>
  <c r="D5000" i="2"/>
  <c r="C5000" i="2"/>
  <c r="B5000" i="2"/>
  <c r="A5000" i="2"/>
  <c r="H4999" i="2"/>
  <c r="G4999" i="2"/>
  <c r="F4999" i="2"/>
  <c r="E4999" i="2"/>
  <c r="D4999" i="2"/>
  <c r="C4999" i="2"/>
  <c r="B4999" i="2"/>
  <c r="A4999" i="2"/>
  <c r="H4998" i="2"/>
  <c r="G4998" i="2"/>
  <c r="F4998" i="2"/>
  <c r="E4998" i="2"/>
  <c r="D4998" i="2"/>
  <c r="C4998" i="2"/>
  <c r="B4998" i="2"/>
  <c r="A4998" i="2"/>
  <c r="H4997" i="2"/>
  <c r="G4997" i="2"/>
  <c r="F4997" i="2"/>
  <c r="E4997" i="2"/>
  <c r="D4997" i="2"/>
  <c r="C4997" i="2"/>
  <c r="B4997" i="2"/>
  <c r="A4997" i="2"/>
  <c r="H4996" i="2"/>
  <c r="G4996" i="2"/>
  <c r="F4996" i="2"/>
  <c r="E4996" i="2"/>
  <c r="D4996" i="2"/>
  <c r="C4996" i="2"/>
  <c r="B4996" i="2"/>
  <c r="A4996" i="2"/>
  <c r="H4995" i="2"/>
  <c r="G4995" i="2"/>
  <c r="F4995" i="2"/>
  <c r="E4995" i="2"/>
  <c r="D4995" i="2"/>
  <c r="C4995" i="2"/>
  <c r="B4995" i="2"/>
  <c r="A4995" i="2"/>
  <c r="H4994" i="2"/>
  <c r="G4994" i="2"/>
  <c r="F4994" i="2"/>
  <c r="E4994" i="2"/>
  <c r="D4994" i="2"/>
  <c r="C4994" i="2"/>
  <c r="B4994" i="2"/>
  <c r="A4994" i="2"/>
  <c r="H4993" i="2"/>
  <c r="G4993" i="2"/>
  <c r="F4993" i="2"/>
  <c r="E4993" i="2"/>
  <c r="D4993" i="2"/>
  <c r="C4993" i="2"/>
  <c r="B4993" i="2"/>
  <c r="A4993" i="2"/>
  <c r="H4992" i="2"/>
  <c r="G4992" i="2"/>
  <c r="F4992" i="2"/>
  <c r="E4992" i="2"/>
  <c r="D4992" i="2"/>
  <c r="C4992" i="2"/>
  <c r="B4992" i="2"/>
  <c r="A4992" i="2"/>
  <c r="H4991" i="2"/>
  <c r="G4991" i="2"/>
  <c r="F4991" i="2"/>
  <c r="E4991" i="2"/>
  <c r="D4991" i="2"/>
  <c r="C4991" i="2"/>
  <c r="B4991" i="2"/>
  <c r="A4991" i="2"/>
  <c r="H4990" i="2"/>
  <c r="G4990" i="2"/>
  <c r="F4990" i="2"/>
  <c r="E4990" i="2"/>
  <c r="D4990" i="2"/>
  <c r="C4990" i="2"/>
  <c r="B4990" i="2"/>
  <c r="A4990" i="2"/>
  <c r="H4989" i="2"/>
  <c r="G4989" i="2"/>
  <c r="F4989" i="2"/>
  <c r="E4989" i="2"/>
  <c r="D4989" i="2"/>
  <c r="C4989" i="2"/>
  <c r="B4989" i="2"/>
  <c r="A4989" i="2"/>
  <c r="H4988" i="2"/>
  <c r="G4988" i="2"/>
  <c r="F4988" i="2"/>
  <c r="E4988" i="2"/>
  <c r="D4988" i="2"/>
  <c r="C4988" i="2"/>
  <c r="B4988" i="2"/>
  <c r="A4988" i="2"/>
  <c r="H4987" i="2"/>
  <c r="G4987" i="2"/>
  <c r="F4987" i="2"/>
  <c r="E4987" i="2"/>
  <c r="D4987" i="2"/>
  <c r="C4987" i="2"/>
  <c r="B4987" i="2"/>
  <c r="A4987" i="2"/>
  <c r="H4986" i="2"/>
  <c r="G4986" i="2"/>
  <c r="F4986" i="2"/>
  <c r="E4986" i="2"/>
  <c r="D4986" i="2"/>
  <c r="C4986" i="2"/>
  <c r="B4986" i="2"/>
  <c r="A4986" i="2"/>
  <c r="H4985" i="2"/>
  <c r="G4985" i="2"/>
  <c r="F4985" i="2"/>
  <c r="E4985" i="2"/>
  <c r="D4985" i="2"/>
  <c r="C4985" i="2"/>
  <c r="B4985" i="2"/>
  <c r="A4985" i="2"/>
  <c r="H4984" i="2"/>
  <c r="G4984" i="2"/>
  <c r="F4984" i="2"/>
  <c r="E4984" i="2"/>
  <c r="D4984" i="2"/>
  <c r="C4984" i="2"/>
  <c r="B4984" i="2"/>
  <c r="A4984" i="2"/>
  <c r="H4983" i="2"/>
  <c r="G4983" i="2"/>
  <c r="F4983" i="2"/>
  <c r="E4983" i="2"/>
  <c r="D4983" i="2"/>
  <c r="C4983" i="2"/>
  <c r="B4983" i="2"/>
  <c r="A4983" i="2"/>
  <c r="H4982" i="2"/>
  <c r="G4982" i="2"/>
  <c r="F4982" i="2"/>
  <c r="E4982" i="2"/>
  <c r="D4982" i="2"/>
  <c r="C4982" i="2"/>
  <c r="B4982" i="2"/>
  <c r="A4982" i="2"/>
  <c r="H4981" i="2"/>
  <c r="G4981" i="2"/>
  <c r="F4981" i="2"/>
  <c r="E4981" i="2"/>
  <c r="D4981" i="2"/>
  <c r="C4981" i="2"/>
  <c r="B4981" i="2"/>
  <c r="A4981" i="2"/>
  <c r="H4980" i="2"/>
  <c r="G4980" i="2"/>
  <c r="F4980" i="2"/>
  <c r="E4980" i="2"/>
  <c r="D4980" i="2"/>
  <c r="C4980" i="2"/>
  <c r="B4980" i="2"/>
  <c r="A4980" i="2"/>
  <c r="H4979" i="2"/>
  <c r="G4979" i="2"/>
  <c r="F4979" i="2"/>
  <c r="E4979" i="2"/>
  <c r="D4979" i="2"/>
  <c r="C4979" i="2"/>
  <c r="B4979" i="2"/>
  <c r="A4979" i="2"/>
  <c r="H4978" i="2"/>
  <c r="G4978" i="2"/>
  <c r="F4978" i="2"/>
  <c r="E4978" i="2"/>
  <c r="D4978" i="2"/>
  <c r="C4978" i="2"/>
  <c r="B4978" i="2"/>
  <c r="A4978" i="2"/>
  <c r="H4977" i="2"/>
  <c r="G4977" i="2"/>
  <c r="F4977" i="2"/>
  <c r="E4977" i="2"/>
  <c r="D4977" i="2"/>
  <c r="C4977" i="2"/>
  <c r="B4977" i="2"/>
  <c r="A4977" i="2"/>
  <c r="H4976" i="2"/>
  <c r="G4976" i="2"/>
  <c r="F4976" i="2"/>
  <c r="E4976" i="2"/>
  <c r="D4976" i="2"/>
  <c r="C4976" i="2"/>
  <c r="B4976" i="2"/>
  <c r="A4976" i="2"/>
  <c r="H4975" i="2"/>
  <c r="G4975" i="2"/>
  <c r="F4975" i="2"/>
  <c r="E4975" i="2"/>
  <c r="D4975" i="2"/>
  <c r="C4975" i="2"/>
  <c r="B4975" i="2"/>
  <c r="A4975" i="2"/>
  <c r="H4974" i="2"/>
  <c r="G4974" i="2"/>
  <c r="F4974" i="2"/>
  <c r="E4974" i="2"/>
  <c r="D4974" i="2"/>
  <c r="C4974" i="2"/>
  <c r="B4974" i="2"/>
  <c r="A4974" i="2"/>
  <c r="H4973" i="2"/>
  <c r="G4973" i="2"/>
  <c r="F4973" i="2"/>
  <c r="E4973" i="2"/>
  <c r="D4973" i="2"/>
  <c r="C4973" i="2"/>
  <c r="B4973" i="2"/>
  <c r="A4973" i="2"/>
  <c r="H4972" i="2"/>
  <c r="G4972" i="2"/>
  <c r="F4972" i="2"/>
  <c r="E4972" i="2"/>
  <c r="D4972" i="2"/>
  <c r="C4972" i="2"/>
  <c r="B4972" i="2"/>
  <c r="A4972" i="2"/>
  <c r="H4971" i="2"/>
  <c r="G4971" i="2"/>
  <c r="F4971" i="2"/>
  <c r="E4971" i="2"/>
  <c r="D4971" i="2"/>
  <c r="C4971" i="2"/>
  <c r="B4971" i="2"/>
  <c r="A4971" i="2"/>
  <c r="H4970" i="2"/>
  <c r="G4970" i="2"/>
  <c r="F4970" i="2"/>
  <c r="E4970" i="2"/>
  <c r="D4970" i="2"/>
  <c r="C4970" i="2"/>
  <c r="B4970" i="2"/>
  <c r="A4970" i="2"/>
  <c r="H4969" i="2"/>
  <c r="G4969" i="2"/>
  <c r="F4969" i="2"/>
  <c r="E4969" i="2"/>
  <c r="D4969" i="2"/>
  <c r="C4969" i="2"/>
  <c r="B4969" i="2"/>
  <c r="A4969" i="2"/>
  <c r="H4968" i="2"/>
  <c r="G4968" i="2"/>
  <c r="F4968" i="2"/>
  <c r="E4968" i="2"/>
  <c r="D4968" i="2"/>
  <c r="C4968" i="2"/>
  <c r="B4968" i="2"/>
  <c r="A4968" i="2"/>
  <c r="H4967" i="2"/>
  <c r="G4967" i="2"/>
  <c r="F4967" i="2"/>
  <c r="E4967" i="2"/>
  <c r="D4967" i="2"/>
  <c r="C4967" i="2"/>
  <c r="B4967" i="2"/>
  <c r="A4967" i="2"/>
  <c r="H4966" i="2"/>
  <c r="G4966" i="2"/>
  <c r="F4966" i="2"/>
  <c r="E4966" i="2"/>
  <c r="D4966" i="2"/>
  <c r="C4966" i="2"/>
  <c r="B4966" i="2"/>
  <c r="A4966" i="2"/>
  <c r="H4965" i="2"/>
  <c r="G4965" i="2"/>
  <c r="F4965" i="2"/>
  <c r="E4965" i="2"/>
  <c r="D4965" i="2"/>
  <c r="C4965" i="2"/>
  <c r="B4965" i="2"/>
  <c r="A4965" i="2"/>
  <c r="H4964" i="2"/>
  <c r="G4964" i="2"/>
  <c r="F4964" i="2"/>
  <c r="E4964" i="2"/>
  <c r="D4964" i="2"/>
  <c r="C4964" i="2"/>
  <c r="B4964" i="2"/>
  <c r="A4964" i="2"/>
  <c r="H4963" i="2"/>
  <c r="G4963" i="2"/>
  <c r="F4963" i="2"/>
  <c r="E4963" i="2"/>
  <c r="D4963" i="2"/>
  <c r="C4963" i="2"/>
  <c r="B4963" i="2"/>
  <c r="A4963" i="2"/>
  <c r="H4962" i="2"/>
  <c r="G4962" i="2"/>
  <c r="F4962" i="2"/>
  <c r="E4962" i="2"/>
  <c r="D4962" i="2"/>
  <c r="C4962" i="2"/>
  <c r="B4962" i="2"/>
  <c r="A4962" i="2"/>
  <c r="H4961" i="2"/>
  <c r="G4961" i="2"/>
  <c r="F4961" i="2"/>
  <c r="E4961" i="2"/>
  <c r="D4961" i="2"/>
  <c r="C4961" i="2"/>
  <c r="B4961" i="2"/>
  <c r="A4961" i="2"/>
  <c r="H4960" i="2"/>
  <c r="G4960" i="2"/>
  <c r="F4960" i="2"/>
  <c r="E4960" i="2"/>
  <c r="D4960" i="2"/>
  <c r="C4960" i="2"/>
  <c r="B4960" i="2"/>
  <c r="A4960" i="2"/>
  <c r="H4959" i="2"/>
  <c r="G4959" i="2"/>
  <c r="F4959" i="2"/>
  <c r="E4959" i="2"/>
  <c r="D4959" i="2"/>
  <c r="C4959" i="2"/>
  <c r="B4959" i="2"/>
  <c r="A4959" i="2"/>
  <c r="H4958" i="2"/>
  <c r="G4958" i="2"/>
  <c r="F4958" i="2"/>
  <c r="E4958" i="2"/>
  <c r="D4958" i="2"/>
  <c r="C4958" i="2"/>
  <c r="B4958" i="2"/>
  <c r="A4958" i="2"/>
  <c r="H4957" i="2"/>
  <c r="G4957" i="2"/>
  <c r="F4957" i="2"/>
  <c r="E4957" i="2"/>
  <c r="D4957" i="2"/>
  <c r="C4957" i="2"/>
  <c r="B4957" i="2"/>
  <c r="A4957" i="2"/>
  <c r="H4956" i="2"/>
  <c r="G4956" i="2"/>
  <c r="F4956" i="2"/>
  <c r="E4956" i="2"/>
  <c r="D4956" i="2"/>
  <c r="C4956" i="2"/>
  <c r="B4956" i="2"/>
  <c r="A4956" i="2"/>
  <c r="H4955" i="2"/>
  <c r="G4955" i="2"/>
  <c r="F4955" i="2"/>
  <c r="E4955" i="2"/>
  <c r="D4955" i="2"/>
  <c r="C4955" i="2"/>
  <c r="B4955" i="2"/>
  <c r="A4955" i="2"/>
  <c r="H4954" i="2"/>
  <c r="G4954" i="2"/>
  <c r="F4954" i="2"/>
  <c r="E4954" i="2"/>
  <c r="D4954" i="2"/>
  <c r="C4954" i="2"/>
  <c r="B4954" i="2"/>
  <c r="A4954" i="2"/>
  <c r="H4953" i="2"/>
  <c r="G4953" i="2"/>
  <c r="F4953" i="2"/>
  <c r="E4953" i="2"/>
  <c r="D4953" i="2"/>
  <c r="C4953" i="2"/>
  <c r="B4953" i="2"/>
  <c r="A4953" i="2"/>
  <c r="H4952" i="2"/>
  <c r="G4952" i="2"/>
  <c r="F4952" i="2"/>
  <c r="E4952" i="2"/>
  <c r="D4952" i="2"/>
  <c r="C4952" i="2"/>
  <c r="B4952" i="2"/>
  <c r="A4952" i="2"/>
  <c r="H4951" i="2"/>
  <c r="G4951" i="2"/>
  <c r="F4951" i="2"/>
  <c r="E4951" i="2"/>
  <c r="D4951" i="2"/>
  <c r="C4951" i="2"/>
  <c r="B4951" i="2"/>
  <c r="A4951" i="2"/>
  <c r="H4950" i="2"/>
  <c r="G4950" i="2"/>
  <c r="F4950" i="2"/>
  <c r="E4950" i="2"/>
  <c r="D4950" i="2"/>
  <c r="C4950" i="2"/>
  <c r="B4950" i="2"/>
  <c r="A4950" i="2"/>
  <c r="H4949" i="2"/>
  <c r="G4949" i="2"/>
  <c r="F4949" i="2"/>
  <c r="E4949" i="2"/>
  <c r="D4949" i="2"/>
  <c r="C4949" i="2"/>
  <c r="B4949" i="2"/>
  <c r="A4949" i="2"/>
  <c r="H4948" i="2"/>
  <c r="G4948" i="2"/>
  <c r="F4948" i="2"/>
  <c r="E4948" i="2"/>
  <c r="D4948" i="2"/>
  <c r="C4948" i="2"/>
  <c r="B4948" i="2"/>
  <c r="A4948" i="2"/>
  <c r="H4947" i="2"/>
  <c r="G4947" i="2"/>
  <c r="F4947" i="2"/>
  <c r="E4947" i="2"/>
  <c r="D4947" i="2"/>
  <c r="C4947" i="2"/>
  <c r="B4947" i="2"/>
  <c r="A4947" i="2"/>
  <c r="H4946" i="2"/>
  <c r="G4946" i="2"/>
  <c r="F4946" i="2"/>
  <c r="E4946" i="2"/>
  <c r="D4946" i="2"/>
  <c r="C4946" i="2"/>
  <c r="B4946" i="2"/>
  <c r="A4946" i="2"/>
  <c r="H4945" i="2"/>
  <c r="G4945" i="2"/>
  <c r="F4945" i="2"/>
  <c r="E4945" i="2"/>
  <c r="D4945" i="2"/>
  <c r="C4945" i="2"/>
  <c r="B4945" i="2"/>
  <c r="A4945" i="2"/>
  <c r="H4944" i="2"/>
  <c r="G4944" i="2"/>
  <c r="F4944" i="2"/>
  <c r="E4944" i="2"/>
  <c r="D4944" i="2"/>
  <c r="C4944" i="2"/>
  <c r="B4944" i="2"/>
  <c r="A4944" i="2"/>
  <c r="H4943" i="2"/>
  <c r="G4943" i="2"/>
  <c r="F4943" i="2"/>
  <c r="E4943" i="2"/>
  <c r="D4943" i="2"/>
  <c r="C4943" i="2"/>
  <c r="B4943" i="2"/>
  <c r="A4943" i="2"/>
  <c r="H4942" i="2"/>
  <c r="G4942" i="2"/>
  <c r="F4942" i="2"/>
  <c r="E4942" i="2"/>
  <c r="D4942" i="2"/>
  <c r="C4942" i="2"/>
  <c r="B4942" i="2"/>
  <c r="A4942" i="2"/>
  <c r="H4941" i="2"/>
  <c r="G4941" i="2"/>
  <c r="F4941" i="2"/>
  <c r="E4941" i="2"/>
  <c r="D4941" i="2"/>
  <c r="C4941" i="2"/>
  <c r="B4941" i="2"/>
  <c r="A4941" i="2"/>
  <c r="H4940" i="2"/>
  <c r="G4940" i="2"/>
  <c r="F4940" i="2"/>
  <c r="E4940" i="2"/>
  <c r="D4940" i="2"/>
  <c r="C4940" i="2"/>
  <c r="B4940" i="2"/>
  <c r="A4940" i="2"/>
  <c r="H4939" i="2"/>
  <c r="G4939" i="2"/>
  <c r="F4939" i="2"/>
  <c r="E4939" i="2"/>
  <c r="D4939" i="2"/>
  <c r="C4939" i="2"/>
  <c r="B4939" i="2"/>
  <c r="A4939" i="2"/>
  <c r="H4938" i="2"/>
  <c r="G4938" i="2"/>
  <c r="F4938" i="2"/>
  <c r="E4938" i="2"/>
  <c r="D4938" i="2"/>
  <c r="C4938" i="2"/>
  <c r="B4938" i="2"/>
  <c r="A4938" i="2"/>
  <c r="H4937" i="2"/>
  <c r="G4937" i="2"/>
  <c r="F4937" i="2"/>
  <c r="E4937" i="2"/>
  <c r="D4937" i="2"/>
  <c r="C4937" i="2"/>
  <c r="B4937" i="2"/>
  <c r="A4937" i="2"/>
  <c r="H4936" i="2"/>
  <c r="G4936" i="2"/>
  <c r="F4936" i="2"/>
  <c r="E4936" i="2"/>
  <c r="D4936" i="2"/>
  <c r="C4936" i="2"/>
  <c r="B4936" i="2"/>
  <c r="A4936" i="2"/>
  <c r="H4935" i="2"/>
  <c r="G4935" i="2"/>
  <c r="F4935" i="2"/>
  <c r="E4935" i="2"/>
  <c r="D4935" i="2"/>
  <c r="C4935" i="2"/>
  <c r="B4935" i="2"/>
  <c r="A4935" i="2"/>
  <c r="H4934" i="2"/>
  <c r="G4934" i="2"/>
  <c r="F4934" i="2"/>
  <c r="E4934" i="2"/>
  <c r="D4934" i="2"/>
  <c r="C4934" i="2"/>
  <c r="B4934" i="2"/>
  <c r="A4934" i="2"/>
  <c r="H4933" i="2"/>
  <c r="G4933" i="2"/>
  <c r="F4933" i="2"/>
  <c r="E4933" i="2"/>
  <c r="D4933" i="2"/>
  <c r="C4933" i="2"/>
  <c r="B4933" i="2"/>
  <c r="A4933" i="2"/>
  <c r="H4932" i="2"/>
  <c r="G4932" i="2"/>
  <c r="F4932" i="2"/>
  <c r="E4932" i="2"/>
  <c r="D4932" i="2"/>
  <c r="C4932" i="2"/>
  <c r="B4932" i="2"/>
  <c r="A4932" i="2"/>
  <c r="H4931" i="2"/>
  <c r="G4931" i="2"/>
  <c r="F4931" i="2"/>
  <c r="E4931" i="2"/>
  <c r="D4931" i="2"/>
  <c r="C4931" i="2"/>
  <c r="B4931" i="2"/>
  <c r="A4931" i="2"/>
  <c r="H4930" i="2"/>
  <c r="G4930" i="2"/>
  <c r="F4930" i="2"/>
  <c r="E4930" i="2"/>
  <c r="D4930" i="2"/>
  <c r="C4930" i="2"/>
  <c r="B4930" i="2"/>
  <c r="A4930" i="2"/>
  <c r="H4929" i="2"/>
  <c r="G4929" i="2"/>
  <c r="F4929" i="2"/>
  <c r="E4929" i="2"/>
  <c r="D4929" i="2"/>
  <c r="C4929" i="2"/>
  <c r="B4929" i="2"/>
  <c r="A4929" i="2"/>
  <c r="H4928" i="2"/>
  <c r="G4928" i="2"/>
  <c r="F4928" i="2"/>
  <c r="E4928" i="2"/>
  <c r="D4928" i="2"/>
  <c r="C4928" i="2"/>
  <c r="B4928" i="2"/>
  <c r="A4928" i="2"/>
  <c r="H4927" i="2"/>
  <c r="G4927" i="2"/>
  <c r="F4927" i="2"/>
  <c r="E4927" i="2"/>
  <c r="D4927" i="2"/>
  <c r="C4927" i="2"/>
  <c r="B4927" i="2"/>
  <c r="A4927" i="2"/>
  <c r="H4926" i="2"/>
  <c r="G4926" i="2"/>
  <c r="F4926" i="2"/>
  <c r="E4926" i="2"/>
  <c r="D4926" i="2"/>
  <c r="C4926" i="2"/>
  <c r="B4926" i="2"/>
  <c r="A4926" i="2"/>
  <c r="H4925" i="2"/>
  <c r="G4925" i="2"/>
  <c r="F4925" i="2"/>
  <c r="E4925" i="2"/>
  <c r="D4925" i="2"/>
  <c r="C4925" i="2"/>
  <c r="B4925" i="2"/>
  <c r="A4925" i="2"/>
  <c r="H4924" i="2"/>
  <c r="G4924" i="2"/>
  <c r="F4924" i="2"/>
  <c r="E4924" i="2"/>
  <c r="D4924" i="2"/>
  <c r="C4924" i="2"/>
  <c r="B4924" i="2"/>
  <c r="A4924" i="2"/>
  <c r="H4923" i="2"/>
  <c r="G4923" i="2"/>
  <c r="F4923" i="2"/>
  <c r="E4923" i="2"/>
  <c r="D4923" i="2"/>
  <c r="C4923" i="2"/>
  <c r="B4923" i="2"/>
  <c r="A4923" i="2"/>
  <c r="H4922" i="2"/>
  <c r="G4922" i="2"/>
  <c r="F4922" i="2"/>
  <c r="E4922" i="2"/>
  <c r="D4922" i="2"/>
  <c r="C4922" i="2"/>
  <c r="B4922" i="2"/>
  <c r="A4922" i="2"/>
  <c r="H4921" i="2"/>
  <c r="G4921" i="2"/>
  <c r="F4921" i="2"/>
  <c r="E4921" i="2"/>
  <c r="D4921" i="2"/>
  <c r="C4921" i="2"/>
  <c r="B4921" i="2"/>
  <c r="A4921" i="2"/>
  <c r="H4920" i="2"/>
  <c r="G4920" i="2"/>
  <c r="F4920" i="2"/>
  <c r="E4920" i="2"/>
  <c r="D4920" i="2"/>
  <c r="C4920" i="2"/>
  <c r="B4920" i="2"/>
  <c r="A4920" i="2"/>
  <c r="H4919" i="2"/>
  <c r="G4919" i="2"/>
  <c r="F4919" i="2"/>
  <c r="E4919" i="2"/>
  <c r="D4919" i="2"/>
  <c r="C4919" i="2"/>
  <c r="B4919" i="2"/>
  <c r="A4919" i="2"/>
  <c r="H4918" i="2"/>
  <c r="G4918" i="2"/>
  <c r="F4918" i="2"/>
  <c r="E4918" i="2"/>
  <c r="D4918" i="2"/>
  <c r="C4918" i="2"/>
  <c r="B4918" i="2"/>
  <c r="A4918" i="2"/>
  <c r="H4917" i="2"/>
  <c r="G4917" i="2"/>
  <c r="F4917" i="2"/>
  <c r="E4917" i="2"/>
  <c r="D4917" i="2"/>
  <c r="C4917" i="2"/>
  <c r="B4917" i="2"/>
  <c r="A4917" i="2"/>
  <c r="H4916" i="2"/>
  <c r="G4916" i="2"/>
  <c r="F4916" i="2"/>
  <c r="E4916" i="2"/>
  <c r="D4916" i="2"/>
  <c r="C4916" i="2"/>
  <c r="B4916" i="2"/>
  <c r="A4916" i="2"/>
  <c r="H4915" i="2"/>
  <c r="G4915" i="2"/>
  <c r="F4915" i="2"/>
  <c r="E4915" i="2"/>
  <c r="D4915" i="2"/>
  <c r="C4915" i="2"/>
  <c r="B4915" i="2"/>
  <c r="A4915" i="2"/>
  <c r="H4914" i="2"/>
  <c r="G4914" i="2"/>
  <c r="F4914" i="2"/>
  <c r="E4914" i="2"/>
  <c r="D4914" i="2"/>
  <c r="C4914" i="2"/>
  <c r="B4914" i="2"/>
  <c r="A4914" i="2"/>
  <c r="H4913" i="2"/>
  <c r="G4913" i="2"/>
  <c r="F4913" i="2"/>
  <c r="E4913" i="2"/>
  <c r="D4913" i="2"/>
  <c r="C4913" i="2"/>
  <c r="B4913" i="2"/>
  <c r="A4913" i="2"/>
  <c r="H4912" i="2"/>
  <c r="G4912" i="2"/>
  <c r="F4912" i="2"/>
  <c r="E4912" i="2"/>
  <c r="D4912" i="2"/>
  <c r="C4912" i="2"/>
  <c r="B4912" i="2"/>
  <c r="A4912" i="2"/>
  <c r="H4911" i="2"/>
  <c r="G4911" i="2"/>
  <c r="F4911" i="2"/>
  <c r="E4911" i="2"/>
  <c r="D4911" i="2"/>
  <c r="C4911" i="2"/>
  <c r="B4911" i="2"/>
  <c r="A4911" i="2"/>
  <c r="H4910" i="2"/>
  <c r="G4910" i="2"/>
  <c r="F4910" i="2"/>
  <c r="E4910" i="2"/>
  <c r="D4910" i="2"/>
  <c r="C4910" i="2"/>
  <c r="B4910" i="2"/>
  <c r="A4910" i="2"/>
  <c r="H4909" i="2"/>
  <c r="G4909" i="2"/>
  <c r="F4909" i="2"/>
  <c r="E4909" i="2"/>
  <c r="D4909" i="2"/>
  <c r="C4909" i="2"/>
  <c r="B4909" i="2"/>
  <c r="A4909" i="2"/>
  <c r="H4908" i="2"/>
  <c r="G4908" i="2"/>
  <c r="F4908" i="2"/>
  <c r="E4908" i="2"/>
  <c r="D4908" i="2"/>
  <c r="C4908" i="2"/>
  <c r="B4908" i="2"/>
  <c r="A4908" i="2"/>
  <c r="H4907" i="2"/>
  <c r="G4907" i="2"/>
  <c r="F4907" i="2"/>
  <c r="E4907" i="2"/>
  <c r="D4907" i="2"/>
  <c r="C4907" i="2"/>
  <c r="B4907" i="2"/>
  <c r="A4907" i="2"/>
  <c r="H4906" i="2"/>
  <c r="G4906" i="2"/>
  <c r="F4906" i="2"/>
  <c r="E4906" i="2"/>
  <c r="D4906" i="2"/>
  <c r="C4906" i="2"/>
  <c r="B4906" i="2"/>
  <c r="A4906" i="2"/>
  <c r="H4905" i="2"/>
  <c r="G4905" i="2"/>
  <c r="F4905" i="2"/>
  <c r="E4905" i="2"/>
  <c r="D4905" i="2"/>
  <c r="C4905" i="2"/>
  <c r="B4905" i="2"/>
  <c r="A4905" i="2"/>
  <c r="H4904" i="2"/>
  <c r="G4904" i="2"/>
  <c r="F4904" i="2"/>
  <c r="E4904" i="2"/>
  <c r="D4904" i="2"/>
  <c r="C4904" i="2"/>
  <c r="B4904" i="2"/>
  <c r="A4904" i="2"/>
  <c r="H4903" i="2"/>
  <c r="G4903" i="2"/>
  <c r="F4903" i="2"/>
  <c r="E4903" i="2"/>
  <c r="D4903" i="2"/>
  <c r="C4903" i="2"/>
  <c r="B4903" i="2"/>
  <c r="A4903" i="2"/>
  <c r="H4902" i="2"/>
  <c r="G4902" i="2"/>
  <c r="F4902" i="2"/>
  <c r="E4902" i="2"/>
  <c r="D4902" i="2"/>
  <c r="C4902" i="2"/>
  <c r="B4902" i="2"/>
  <c r="A4902" i="2"/>
  <c r="H4901" i="2"/>
  <c r="G4901" i="2"/>
  <c r="F4901" i="2"/>
  <c r="E4901" i="2"/>
  <c r="D4901" i="2"/>
  <c r="C4901" i="2"/>
  <c r="B4901" i="2"/>
  <c r="A4901" i="2"/>
  <c r="H4900" i="2"/>
  <c r="G4900" i="2"/>
  <c r="F4900" i="2"/>
  <c r="E4900" i="2"/>
  <c r="D4900" i="2"/>
  <c r="C4900" i="2"/>
  <c r="B4900" i="2"/>
  <c r="A4900" i="2"/>
  <c r="H4899" i="2"/>
  <c r="G4899" i="2"/>
  <c r="F4899" i="2"/>
  <c r="E4899" i="2"/>
  <c r="D4899" i="2"/>
  <c r="C4899" i="2"/>
  <c r="B4899" i="2"/>
  <c r="A4899" i="2"/>
  <c r="H4898" i="2"/>
  <c r="G4898" i="2"/>
  <c r="F4898" i="2"/>
  <c r="E4898" i="2"/>
  <c r="D4898" i="2"/>
  <c r="C4898" i="2"/>
  <c r="B4898" i="2"/>
  <c r="A4898" i="2"/>
  <c r="H4897" i="2"/>
  <c r="G4897" i="2"/>
  <c r="F4897" i="2"/>
  <c r="E4897" i="2"/>
  <c r="D4897" i="2"/>
  <c r="C4897" i="2"/>
  <c r="B4897" i="2"/>
  <c r="A4897" i="2"/>
  <c r="H4896" i="2"/>
  <c r="G4896" i="2"/>
  <c r="F4896" i="2"/>
  <c r="E4896" i="2"/>
  <c r="D4896" i="2"/>
  <c r="C4896" i="2"/>
  <c r="B4896" i="2"/>
  <c r="A4896" i="2"/>
  <c r="H4895" i="2"/>
  <c r="G4895" i="2"/>
  <c r="F4895" i="2"/>
  <c r="E4895" i="2"/>
  <c r="D4895" i="2"/>
  <c r="C4895" i="2"/>
  <c r="B4895" i="2"/>
  <c r="A4895" i="2"/>
  <c r="H4894" i="2"/>
  <c r="G4894" i="2"/>
  <c r="F4894" i="2"/>
  <c r="E4894" i="2"/>
  <c r="D4894" i="2"/>
  <c r="C4894" i="2"/>
  <c r="B4894" i="2"/>
  <c r="A4894" i="2"/>
  <c r="H4893" i="2"/>
  <c r="G4893" i="2"/>
  <c r="F4893" i="2"/>
  <c r="E4893" i="2"/>
  <c r="D4893" i="2"/>
  <c r="C4893" i="2"/>
  <c r="B4893" i="2"/>
  <c r="A4893" i="2"/>
  <c r="H4892" i="2"/>
  <c r="G4892" i="2"/>
  <c r="F4892" i="2"/>
  <c r="E4892" i="2"/>
  <c r="D4892" i="2"/>
  <c r="C4892" i="2"/>
  <c r="B4892" i="2"/>
  <c r="A4892" i="2"/>
  <c r="H4891" i="2"/>
  <c r="G4891" i="2"/>
  <c r="F4891" i="2"/>
  <c r="E4891" i="2"/>
  <c r="D4891" i="2"/>
  <c r="C4891" i="2"/>
  <c r="B4891" i="2"/>
  <c r="A4891" i="2"/>
  <c r="H4890" i="2"/>
  <c r="G4890" i="2"/>
  <c r="F4890" i="2"/>
  <c r="E4890" i="2"/>
  <c r="D4890" i="2"/>
  <c r="C4890" i="2"/>
  <c r="B4890" i="2"/>
  <c r="A4890" i="2"/>
  <c r="H4889" i="2"/>
  <c r="G4889" i="2"/>
  <c r="F4889" i="2"/>
  <c r="E4889" i="2"/>
  <c r="D4889" i="2"/>
  <c r="C4889" i="2"/>
  <c r="B4889" i="2"/>
  <c r="A4889" i="2"/>
  <c r="H4888" i="2"/>
  <c r="G4888" i="2"/>
  <c r="F4888" i="2"/>
  <c r="E4888" i="2"/>
  <c r="D4888" i="2"/>
  <c r="C4888" i="2"/>
  <c r="B4888" i="2"/>
  <c r="A4888" i="2"/>
  <c r="H4887" i="2"/>
  <c r="G4887" i="2"/>
  <c r="F4887" i="2"/>
  <c r="E4887" i="2"/>
  <c r="D4887" i="2"/>
  <c r="C4887" i="2"/>
  <c r="B4887" i="2"/>
  <c r="A4887" i="2"/>
  <c r="H4886" i="2"/>
  <c r="G4886" i="2"/>
  <c r="F4886" i="2"/>
  <c r="E4886" i="2"/>
  <c r="D4886" i="2"/>
  <c r="C4886" i="2"/>
  <c r="B4886" i="2"/>
  <c r="A4886" i="2"/>
  <c r="H4885" i="2"/>
  <c r="G4885" i="2"/>
  <c r="F4885" i="2"/>
  <c r="E4885" i="2"/>
  <c r="D4885" i="2"/>
  <c r="C4885" i="2"/>
  <c r="B4885" i="2"/>
  <c r="A4885" i="2"/>
  <c r="H4884" i="2"/>
  <c r="G4884" i="2"/>
  <c r="F4884" i="2"/>
  <c r="E4884" i="2"/>
  <c r="D4884" i="2"/>
  <c r="C4884" i="2"/>
  <c r="B4884" i="2"/>
  <c r="A4884" i="2"/>
  <c r="H4883" i="2"/>
  <c r="G4883" i="2"/>
  <c r="F4883" i="2"/>
  <c r="E4883" i="2"/>
  <c r="D4883" i="2"/>
  <c r="C4883" i="2"/>
  <c r="B4883" i="2"/>
  <c r="A4883" i="2"/>
  <c r="H4882" i="2"/>
  <c r="G4882" i="2"/>
  <c r="F4882" i="2"/>
  <c r="E4882" i="2"/>
  <c r="D4882" i="2"/>
  <c r="C4882" i="2"/>
  <c r="B4882" i="2"/>
  <c r="A4882" i="2"/>
  <c r="H4881" i="2"/>
  <c r="G4881" i="2"/>
  <c r="F4881" i="2"/>
  <c r="E4881" i="2"/>
  <c r="D4881" i="2"/>
  <c r="C4881" i="2"/>
  <c r="B4881" i="2"/>
  <c r="A4881" i="2"/>
  <c r="H4880" i="2"/>
  <c r="G4880" i="2"/>
  <c r="F4880" i="2"/>
  <c r="E4880" i="2"/>
  <c r="D4880" i="2"/>
  <c r="C4880" i="2"/>
  <c r="B4880" i="2"/>
  <c r="A4880" i="2"/>
  <c r="H4879" i="2"/>
  <c r="G4879" i="2"/>
  <c r="F4879" i="2"/>
  <c r="E4879" i="2"/>
  <c r="D4879" i="2"/>
  <c r="C4879" i="2"/>
  <c r="B4879" i="2"/>
  <c r="A4879" i="2"/>
  <c r="H4878" i="2"/>
  <c r="G4878" i="2"/>
  <c r="F4878" i="2"/>
  <c r="E4878" i="2"/>
  <c r="D4878" i="2"/>
  <c r="C4878" i="2"/>
  <c r="B4878" i="2"/>
  <c r="A4878" i="2"/>
  <c r="H4877" i="2"/>
  <c r="G4877" i="2"/>
  <c r="F4877" i="2"/>
  <c r="E4877" i="2"/>
  <c r="D4877" i="2"/>
  <c r="C4877" i="2"/>
  <c r="B4877" i="2"/>
  <c r="A4877" i="2"/>
  <c r="H4876" i="2"/>
  <c r="G4876" i="2"/>
  <c r="F4876" i="2"/>
  <c r="E4876" i="2"/>
  <c r="D4876" i="2"/>
  <c r="C4876" i="2"/>
  <c r="B4876" i="2"/>
  <c r="A4876" i="2"/>
  <c r="H4875" i="2"/>
  <c r="G4875" i="2"/>
  <c r="F4875" i="2"/>
  <c r="E4875" i="2"/>
  <c r="D4875" i="2"/>
  <c r="C4875" i="2"/>
  <c r="B4875" i="2"/>
  <c r="A4875" i="2"/>
  <c r="H4874" i="2"/>
  <c r="G4874" i="2"/>
  <c r="F4874" i="2"/>
  <c r="E4874" i="2"/>
  <c r="D4874" i="2"/>
  <c r="C4874" i="2"/>
  <c r="B4874" i="2"/>
  <c r="A4874" i="2"/>
  <c r="H4873" i="2"/>
  <c r="G4873" i="2"/>
  <c r="F4873" i="2"/>
  <c r="E4873" i="2"/>
  <c r="D4873" i="2"/>
  <c r="C4873" i="2"/>
  <c r="B4873" i="2"/>
  <c r="A4873" i="2"/>
  <c r="H4872" i="2"/>
  <c r="G4872" i="2"/>
  <c r="F4872" i="2"/>
  <c r="E4872" i="2"/>
  <c r="D4872" i="2"/>
  <c r="C4872" i="2"/>
  <c r="B4872" i="2"/>
  <c r="A4872" i="2"/>
  <c r="H4871" i="2"/>
  <c r="G4871" i="2"/>
  <c r="F4871" i="2"/>
  <c r="E4871" i="2"/>
  <c r="D4871" i="2"/>
  <c r="C4871" i="2"/>
  <c r="B4871" i="2"/>
  <c r="A4871" i="2"/>
  <c r="H4870" i="2"/>
  <c r="G4870" i="2"/>
  <c r="F4870" i="2"/>
  <c r="E4870" i="2"/>
  <c r="D4870" i="2"/>
  <c r="C4870" i="2"/>
  <c r="B4870" i="2"/>
  <c r="A4870" i="2"/>
  <c r="H4869" i="2"/>
  <c r="G4869" i="2"/>
  <c r="F4869" i="2"/>
  <c r="E4869" i="2"/>
  <c r="D4869" i="2"/>
  <c r="C4869" i="2"/>
  <c r="B4869" i="2"/>
  <c r="A4869" i="2"/>
  <c r="H4868" i="2"/>
  <c r="G4868" i="2"/>
  <c r="F4868" i="2"/>
  <c r="E4868" i="2"/>
  <c r="D4868" i="2"/>
  <c r="C4868" i="2"/>
  <c r="B4868" i="2"/>
  <c r="A4868" i="2"/>
  <c r="H4867" i="2"/>
  <c r="G4867" i="2"/>
  <c r="F4867" i="2"/>
  <c r="E4867" i="2"/>
  <c r="D4867" i="2"/>
  <c r="C4867" i="2"/>
  <c r="B4867" i="2"/>
  <c r="A4867" i="2"/>
  <c r="H4866" i="2"/>
  <c r="G4866" i="2"/>
  <c r="F4866" i="2"/>
  <c r="E4866" i="2"/>
  <c r="D4866" i="2"/>
  <c r="C4866" i="2"/>
  <c r="B4866" i="2"/>
  <c r="A4866" i="2"/>
  <c r="H4865" i="2"/>
  <c r="G4865" i="2"/>
  <c r="F4865" i="2"/>
  <c r="E4865" i="2"/>
  <c r="D4865" i="2"/>
  <c r="C4865" i="2"/>
  <c r="B4865" i="2"/>
  <c r="A4865" i="2"/>
  <c r="H4864" i="2"/>
  <c r="G4864" i="2"/>
  <c r="F4864" i="2"/>
  <c r="E4864" i="2"/>
  <c r="D4864" i="2"/>
  <c r="C4864" i="2"/>
  <c r="B4864" i="2"/>
  <c r="A4864" i="2"/>
  <c r="H4863" i="2"/>
  <c r="G4863" i="2"/>
  <c r="F4863" i="2"/>
  <c r="E4863" i="2"/>
  <c r="D4863" i="2"/>
  <c r="C4863" i="2"/>
  <c r="B4863" i="2"/>
  <c r="A4863" i="2"/>
  <c r="H4862" i="2"/>
  <c r="G4862" i="2"/>
  <c r="F4862" i="2"/>
  <c r="E4862" i="2"/>
  <c r="D4862" i="2"/>
  <c r="C4862" i="2"/>
  <c r="B4862" i="2"/>
  <c r="A4862" i="2"/>
  <c r="H4861" i="2"/>
  <c r="G4861" i="2"/>
  <c r="F4861" i="2"/>
  <c r="E4861" i="2"/>
  <c r="D4861" i="2"/>
  <c r="C4861" i="2"/>
  <c r="B4861" i="2"/>
  <c r="A4861" i="2"/>
  <c r="H4860" i="2"/>
  <c r="G4860" i="2"/>
  <c r="F4860" i="2"/>
  <c r="E4860" i="2"/>
  <c r="D4860" i="2"/>
  <c r="C4860" i="2"/>
  <c r="B4860" i="2"/>
  <c r="A4860" i="2"/>
  <c r="H4859" i="2"/>
  <c r="G4859" i="2"/>
  <c r="F4859" i="2"/>
  <c r="E4859" i="2"/>
  <c r="D4859" i="2"/>
  <c r="C4859" i="2"/>
  <c r="B4859" i="2"/>
  <c r="A4859" i="2"/>
  <c r="H4858" i="2"/>
  <c r="G4858" i="2"/>
  <c r="F4858" i="2"/>
  <c r="E4858" i="2"/>
  <c r="D4858" i="2"/>
  <c r="C4858" i="2"/>
  <c r="B4858" i="2"/>
  <c r="A4858" i="2"/>
  <c r="H4857" i="2"/>
  <c r="G4857" i="2"/>
  <c r="F4857" i="2"/>
  <c r="E4857" i="2"/>
  <c r="D4857" i="2"/>
  <c r="C4857" i="2"/>
  <c r="B4857" i="2"/>
  <c r="A4857" i="2"/>
  <c r="H4856" i="2"/>
  <c r="G4856" i="2"/>
  <c r="F4856" i="2"/>
  <c r="E4856" i="2"/>
  <c r="D4856" i="2"/>
  <c r="C4856" i="2"/>
  <c r="B4856" i="2"/>
  <c r="A4856" i="2"/>
  <c r="H4855" i="2"/>
  <c r="G4855" i="2"/>
  <c r="F4855" i="2"/>
  <c r="E4855" i="2"/>
  <c r="D4855" i="2"/>
  <c r="C4855" i="2"/>
  <c r="B4855" i="2"/>
  <c r="A4855" i="2"/>
  <c r="H4854" i="2"/>
  <c r="G4854" i="2"/>
  <c r="F4854" i="2"/>
  <c r="E4854" i="2"/>
  <c r="D4854" i="2"/>
  <c r="C4854" i="2"/>
  <c r="B4854" i="2"/>
  <c r="A4854" i="2"/>
  <c r="H4853" i="2"/>
  <c r="G4853" i="2"/>
  <c r="F4853" i="2"/>
  <c r="E4853" i="2"/>
  <c r="D4853" i="2"/>
  <c r="C4853" i="2"/>
  <c r="B4853" i="2"/>
  <c r="A4853" i="2"/>
  <c r="H4852" i="2"/>
  <c r="G4852" i="2"/>
  <c r="F4852" i="2"/>
  <c r="E4852" i="2"/>
  <c r="D4852" i="2"/>
  <c r="C4852" i="2"/>
  <c r="B4852" i="2"/>
  <c r="A4852" i="2"/>
  <c r="H4851" i="2"/>
  <c r="G4851" i="2"/>
  <c r="F4851" i="2"/>
  <c r="E4851" i="2"/>
  <c r="D4851" i="2"/>
  <c r="C4851" i="2"/>
  <c r="B4851" i="2"/>
  <c r="A4851" i="2"/>
  <c r="H4850" i="2"/>
  <c r="G4850" i="2"/>
  <c r="F4850" i="2"/>
  <c r="E4850" i="2"/>
  <c r="D4850" i="2"/>
  <c r="C4850" i="2"/>
  <c r="B4850" i="2"/>
  <c r="A4850" i="2"/>
  <c r="H4849" i="2"/>
  <c r="G4849" i="2"/>
  <c r="F4849" i="2"/>
  <c r="E4849" i="2"/>
  <c r="D4849" i="2"/>
  <c r="C4849" i="2"/>
  <c r="B4849" i="2"/>
  <c r="A4849" i="2"/>
  <c r="H4848" i="2"/>
  <c r="G4848" i="2"/>
  <c r="F4848" i="2"/>
  <c r="E4848" i="2"/>
  <c r="D4848" i="2"/>
  <c r="C4848" i="2"/>
  <c r="B4848" i="2"/>
  <c r="A4848" i="2"/>
  <c r="H4847" i="2"/>
  <c r="G4847" i="2"/>
  <c r="F4847" i="2"/>
  <c r="E4847" i="2"/>
  <c r="D4847" i="2"/>
  <c r="C4847" i="2"/>
  <c r="B4847" i="2"/>
  <c r="A4847" i="2"/>
  <c r="H4846" i="2"/>
  <c r="G4846" i="2"/>
  <c r="F4846" i="2"/>
  <c r="E4846" i="2"/>
  <c r="D4846" i="2"/>
  <c r="C4846" i="2"/>
  <c r="B4846" i="2"/>
  <c r="A4846" i="2"/>
  <c r="H4845" i="2"/>
  <c r="G4845" i="2"/>
  <c r="F4845" i="2"/>
  <c r="E4845" i="2"/>
  <c r="D4845" i="2"/>
  <c r="C4845" i="2"/>
  <c r="B4845" i="2"/>
  <c r="A4845" i="2"/>
  <c r="H4844" i="2"/>
  <c r="G4844" i="2"/>
  <c r="F4844" i="2"/>
  <c r="E4844" i="2"/>
  <c r="D4844" i="2"/>
  <c r="C4844" i="2"/>
  <c r="B4844" i="2"/>
  <c r="A4844" i="2"/>
  <c r="H4843" i="2"/>
  <c r="G4843" i="2"/>
  <c r="F4843" i="2"/>
  <c r="E4843" i="2"/>
  <c r="D4843" i="2"/>
  <c r="C4843" i="2"/>
  <c r="B4843" i="2"/>
  <c r="A4843" i="2"/>
  <c r="H4842" i="2"/>
  <c r="G4842" i="2"/>
  <c r="F4842" i="2"/>
  <c r="E4842" i="2"/>
  <c r="D4842" i="2"/>
  <c r="C4842" i="2"/>
  <c r="B4842" i="2"/>
  <c r="A4842" i="2"/>
  <c r="H4841" i="2"/>
  <c r="G4841" i="2"/>
  <c r="F4841" i="2"/>
  <c r="E4841" i="2"/>
  <c r="D4841" i="2"/>
  <c r="C4841" i="2"/>
  <c r="B4841" i="2"/>
  <c r="A4841" i="2"/>
  <c r="H4840" i="2"/>
  <c r="G4840" i="2"/>
  <c r="F4840" i="2"/>
  <c r="E4840" i="2"/>
  <c r="D4840" i="2"/>
  <c r="C4840" i="2"/>
  <c r="B4840" i="2"/>
  <c r="A4840" i="2"/>
  <c r="H4839" i="2"/>
  <c r="G4839" i="2"/>
  <c r="F4839" i="2"/>
  <c r="E4839" i="2"/>
  <c r="D4839" i="2"/>
  <c r="C4839" i="2"/>
  <c r="B4839" i="2"/>
  <c r="A4839" i="2"/>
  <c r="H4838" i="2"/>
  <c r="G4838" i="2"/>
  <c r="F4838" i="2"/>
  <c r="E4838" i="2"/>
  <c r="D4838" i="2"/>
  <c r="C4838" i="2"/>
  <c r="B4838" i="2"/>
  <c r="A4838" i="2"/>
  <c r="H4837" i="2"/>
  <c r="G4837" i="2"/>
  <c r="F4837" i="2"/>
  <c r="E4837" i="2"/>
  <c r="D4837" i="2"/>
  <c r="C4837" i="2"/>
  <c r="B4837" i="2"/>
  <c r="A4837" i="2"/>
  <c r="H4836" i="2"/>
  <c r="G4836" i="2"/>
  <c r="F4836" i="2"/>
  <c r="E4836" i="2"/>
  <c r="D4836" i="2"/>
  <c r="C4836" i="2"/>
  <c r="B4836" i="2"/>
  <c r="A4836" i="2"/>
  <c r="H4835" i="2"/>
  <c r="G4835" i="2"/>
  <c r="F4835" i="2"/>
  <c r="E4835" i="2"/>
  <c r="D4835" i="2"/>
  <c r="C4835" i="2"/>
  <c r="B4835" i="2"/>
  <c r="A4835" i="2"/>
  <c r="H4834" i="2"/>
  <c r="G4834" i="2"/>
  <c r="F4834" i="2"/>
  <c r="E4834" i="2"/>
  <c r="D4834" i="2"/>
  <c r="C4834" i="2"/>
  <c r="B4834" i="2"/>
  <c r="A4834" i="2"/>
  <c r="H4833" i="2"/>
  <c r="G4833" i="2"/>
  <c r="F4833" i="2"/>
  <c r="E4833" i="2"/>
  <c r="D4833" i="2"/>
  <c r="C4833" i="2"/>
  <c r="B4833" i="2"/>
  <c r="A4833" i="2"/>
  <c r="H4832" i="2"/>
  <c r="G4832" i="2"/>
  <c r="F4832" i="2"/>
  <c r="E4832" i="2"/>
  <c r="D4832" i="2"/>
  <c r="C4832" i="2"/>
  <c r="B4832" i="2"/>
  <c r="A4832" i="2"/>
  <c r="H4831" i="2"/>
  <c r="G4831" i="2"/>
  <c r="F4831" i="2"/>
  <c r="E4831" i="2"/>
  <c r="D4831" i="2"/>
  <c r="C4831" i="2"/>
  <c r="B4831" i="2"/>
  <c r="A4831" i="2"/>
  <c r="H4830" i="2"/>
  <c r="G4830" i="2"/>
  <c r="F4830" i="2"/>
  <c r="E4830" i="2"/>
  <c r="D4830" i="2"/>
  <c r="C4830" i="2"/>
  <c r="B4830" i="2"/>
  <c r="A4830" i="2"/>
  <c r="H4829" i="2"/>
  <c r="G4829" i="2"/>
  <c r="F4829" i="2"/>
  <c r="E4829" i="2"/>
  <c r="D4829" i="2"/>
  <c r="C4829" i="2"/>
  <c r="B4829" i="2"/>
  <c r="A4829" i="2"/>
  <c r="H4828" i="2"/>
  <c r="G4828" i="2"/>
  <c r="F4828" i="2"/>
  <c r="E4828" i="2"/>
  <c r="D4828" i="2"/>
  <c r="C4828" i="2"/>
  <c r="B4828" i="2"/>
  <c r="A4828" i="2"/>
  <c r="H4827" i="2"/>
  <c r="G4827" i="2"/>
  <c r="F4827" i="2"/>
  <c r="E4827" i="2"/>
  <c r="D4827" i="2"/>
  <c r="C4827" i="2"/>
  <c r="B4827" i="2"/>
  <c r="A4827" i="2"/>
  <c r="H4826" i="2"/>
  <c r="G4826" i="2"/>
  <c r="F4826" i="2"/>
  <c r="E4826" i="2"/>
  <c r="D4826" i="2"/>
  <c r="C4826" i="2"/>
  <c r="B4826" i="2"/>
  <c r="A4826" i="2"/>
  <c r="H4825" i="2"/>
  <c r="G4825" i="2"/>
  <c r="F4825" i="2"/>
  <c r="E4825" i="2"/>
  <c r="D4825" i="2"/>
  <c r="C4825" i="2"/>
  <c r="B4825" i="2"/>
  <c r="A4825" i="2"/>
  <c r="H4824" i="2"/>
  <c r="G4824" i="2"/>
  <c r="F4824" i="2"/>
  <c r="E4824" i="2"/>
  <c r="D4824" i="2"/>
  <c r="C4824" i="2"/>
  <c r="B4824" i="2"/>
  <c r="A4824" i="2"/>
  <c r="H4823" i="2"/>
  <c r="G4823" i="2"/>
  <c r="F4823" i="2"/>
  <c r="E4823" i="2"/>
  <c r="D4823" i="2"/>
  <c r="C4823" i="2"/>
  <c r="B4823" i="2"/>
  <c r="A4823" i="2"/>
  <c r="H4822" i="2"/>
  <c r="G4822" i="2"/>
  <c r="F4822" i="2"/>
  <c r="E4822" i="2"/>
  <c r="D4822" i="2"/>
  <c r="C4822" i="2"/>
  <c r="B4822" i="2"/>
  <c r="A4822" i="2"/>
  <c r="H4821" i="2"/>
  <c r="G4821" i="2"/>
  <c r="F4821" i="2"/>
  <c r="E4821" i="2"/>
  <c r="D4821" i="2"/>
  <c r="C4821" i="2"/>
  <c r="B4821" i="2"/>
  <c r="A4821" i="2"/>
  <c r="H4820" i="2"/>
  <c r="G4820" i="2"/>
  <c r="F4820" i="2"/>
  <c r="E4820" i="2"/>
  <c r="D4820" i="2"/>
  <c r="C4820" i="2"/>
  <c r="B4820" i="2"/>
  <c r="A4820" i="2"/>
  <c r="H4819" i="2"/>
  <c r="G4819" i="2"/>
  <c r="F4819" i="2"/>
  <c r="E4819" i="2"/>
  <c r="D4819" i="2"/>
  <c r="C4819" i="2"/>
  <c r="B4819" i="2"/>
  <c r="A4819" i="2"/>
  <c r="H4818" i="2"/>
  <c r="G4818" i="2"/>
  <c r="F4818" i="2"/>
  <c r="E4818" i="2"/>
  <c r="D4818" i="2"/>
  <c r="C4818" i="2"/>
  <c r="B4818" i="2"/>
  <c r="A4818" i="2"/>
  <c r="H4817" i="2"/>
  <c r="G4817" i="2"/>
  <c r="F4817" i="2"/>
  <c r="E4817" i="2"/>
  <c r="D4817" i="2"/>
  <c r="C4817" i="2"/>
  <c r="B4817" i="2"/>
  <c r="A4817" i="2"/>
  <c r="H4816" i="2"/>
  <c r="G4816" i="2"/>
  <c r="F4816" i="2"/>
  <c r="E4816" i="2"/>
  <c r="D4816" i="2"/>
  <c r="C4816" i="2"/>
  <c r="B4816" i="2"/>
  <c r="A4816" i="2"/>
  <c r="H4815" i="2"/>
  <c r="G4815" i="2"/>
  <c r="F4815" i="2"/>
  <c r="E4815" i="2"/>
  <c r="D4815" i="2"/>
  <c r="C4815" i="2"/>
  <c r="B4815" i="2"/>
  <c r="A4815" i="2"/>
  <c r="H4814" i="2"/>
  <c r="G4814" i="2"/>
  <c r="F4814" i="2"/>
  <c r="E4814" i="2"/>
  <c r="D4814" i="2"/>
  <c r="C4814" i="2"/>
  <c r="B4814" i="2"/>
  <c r="A4814" i="2"/>
  <c r="H4813" i="2"/>
  <c r="G4813" i="2"/>
  <c r="F4813" i="2"/>
  <c r="E4813" i="2"/>
  <c r="D4813" i="2"/>
  <c r="C4813" i="2"/>
  <c r="B4813" i="2"/>
  <c r="A4813" i="2"/>
  <c r="H4812" i="2"/>
  <c r="G4812" i="2"/>
  <c r="F4812" i="2"/>
  <c r="E4812" i="2"/>
  <c r="D4812" i="2"/>
  <c r="C4812" i="2"/>
  <c r="B4812" i="2"/>
  <c r="A4812" i="2"/>
  <c r="H4811" i="2"/>
  <c r="G4811" i="2"/>
  <c r="F4811" i="2"/>
  <c r="E4811" i="2"/>
  <c r="D4811" i="2"/>
  <c r="C4811" i="2"/>
  <c r="B4811" i="2"/>
  <c r="A4811" i="2"/>
  <c r="H4810" i="2"/>
  <c r="G4810" i="2"/>
  <c r="F4810" i="2"/>
  <c r="E4810" i="2"/>
  <c r="D4810" i="2"/>
  <c r="C4810" i="2"/>
  <c r="B4810" i="2"/>
  <c r="A4810" i="2"/>
  <c r="H4809" i="2"/>
  <c r="G4809" i="2"/>
  <c r="F4809" i="2"/>
  <c r="E4809" i="2"/>
  <c r="D4809" i="2"/>
  <c r="C4809" i="2"/>
  <c r="B4809" i="2"/>
  <c r="A4809" i="2"/>
  <c r="H4808" i="2"/>
  <c r="G4808" i="2"/>
  <c r="F4808" i="2"/>
  <c r="E4808" i="2"/>
  <c r="D4808" i="2"/>
  <c r="C4808" i="2"/>
  <c r="B4808" i="2"/>
  <c r="A4808" i="2"/>
  <c r="H4807" i="2"/>
  <c r="G4807" i="2"/>
  <c r="F4807" i="2"/>
  <c r="E4807" i="2"/>
  <c r="D4807" i="2"/>
  <c r="C4807" i="2"/>
  <c r="B4807" i="2"/>
  <c r="A4807" i="2"/>
  <c r="H4806" i="2"/>
  <c r="G4806" i="2"/>
  <c r="F4806" i="2"/>
  <c r="E4806" i="2"/>
  <c r="D4806" i="2"/>
  <c r="C4806" i="2"/>
  <c r="B4806" i="2"/>
  <c r="A4806" i="2"/>
  <c r="H4805" i="2"/>
  <c r="G4805" i="2"/>
  <c r="F4805" i="2"/>
  <c r="E4805" i="2"/>
  <c r="D4805" i="2"/>
  <c r="C4805" i="2"/>
  <c r="B4805" i="2"/>
  <c r="A4805" i="2"/>
  <c r="H4804" i="2"/>
  <c r="G4804" i="2"/>
  <c r="F4804" i="2"/>
  <c r="E4804" i="2"/>
  <c r="D4804" i="2"/>
  <c r="C4804" i="2"/>
  <c r="B4804" i="2"/>
  <c r="A4804" i="2"/>
  <c r="H4803" i="2"/>
  <c r="G4803" i="2"/>
  <c r="F4803" i="2"/>
  <c r="E4803" i="2"/>
  <c r="D4803" i="2"/>
  <c r="C4803" i="2"/>
  <c r="B4803" i="2"/>
  <c r="A4803" i="2"/>
  <c r="H4802" i="2"/>
  <c r="G4802" i="2"/>
  <c r="F4802" i="2"/>
  <c r="E4802" i="2"/>
  <c r="D4802" i="2"/>
  <c r="C4802" i="2"/>
  <c r="B4802" i="2"/>
  <c r="A4802" i="2"/>
  <c r="H4801" i="2"/>
  <c r="G4801" i="2"/>
  <c r="F4801" i="2"/>
  <c r="E4801" i="2"/>
  <c r="D4801" i="2"/>
  <c r="C4801" i="2"/>
  <c r="B4801" i="2"/>
  <c r="A4801" i="2"/>
  <c r="H4800" i="2"/>
  <c r="G4800" i="2"/>
  <c r="F4800" i="2"/>
  <c r="E4800" i="2"/>
  <c r="D4800" i="2"/>
  <c r="C4800" i="2"/>
  <c r="B4800" i="2"/>
  <c r="A4800" i="2"/>
  <c r="H4799" i="2"/>
  <c r="G4799" i="2"/>
  <c r="F4799" i="2"/>
  <c r="E4799" i="2"/>
  <c r="D4799" i="2"/>
  <c r="C4799" i="2"/>
  <c r="B4799" i="2"/>
  <c r="A4799" i="2"/>
  <c r="H4798" i="2"/>
  <c r="G4798" i="2"/>
  <c r="F4798" i="2"/>
  <c r="E4798" i="2"/>
  <c r="D4798" i="2"/>
  <c r="C4798" i="2"/>
  <c r="B4798" i="2"/>
  <c r="A4798" i="2"/>
  <c r="H4797" i="2"/>
  <c r="G4797" i="2"/>
  <c r="F4797" i="2"/>
  <c r="E4797" i="2"/>
  <c r="D4797" i="2"/>
  <c r="C4797" i="2"/>
  <c r="B4797" i="2"/>
  <c r="A4797" i="2"/>
  <c r="H4796" i="2"/>
  <c r="G4796" i="2"/>
  <c r="F4796" i="2"/>
  <c r="E4796" i="2"/>
  <c r="D4796" i="2"/>
  <c r="C4796" i="2"/>
  <c r="B4796" i="2"/>
  <c r="A4796" i="2"/>
  <c r="H4795" i="2"/>
  <c r="G4795" i="2"/>
  <c r="F4795" i="2"/>
  <c r="E4795" i="2"/>
  <c r="D4795" i="2"/>
  <c r="C4795" i="2"/>
  <c r="B4795" i="2"/>
  <c r="A4795" i="2"/>
  <c r="H4794" i="2"/>
  <c r="G4794" i="2"/>
  <c r="F4794" i="2"/>
  <c r="E4794" i="2"/>
  <c r="D4794" i="2"/>
  <c r="C4794" i="2"/>
  <c r="B4794" i="2"/>
  <c r="A4794" i="2"/>
  <c r="H4793" i="2"/>
  <c r="G4793" i="2"/>
  <c r="F4793" i="2"/>
  <c r="E4793" i="2"/>
  <c r="D4793" i="2"/>
  <c r="C4793" i="2"/>
  <c r="B4793" i="2"/>
  <c r="A4793" i="2"/>
  <c r="H4792" i="2"/>
  <c r="G4792" i="2"/>
  <c r="F4792" i="2"/>
  <c r="E4792" i="2"/>
  <c r="D4792" i="2"/>
  <c r="C4792" i="2"/>
  <c r="B4792" i="2"/>
  <c r="A4792" i="2"/>
  <c r="H4791" i="2"/>
  <c r="G4791" i="2"/>
  <c r="F4791" i="2"/>
  <c r="E4791" i="2"/>
  <c r="D4791" i="2"/>
  <c r="C4791" i="2"/>
  <c r="B4791" i="2"/>
  <c r="A4791" i="2"/>
  <c r="H4790" i="2"/>
  <c r="G4790" i="2"/>
  <c r="F4790" i="2"/>
  <c r="E4790" i="2"/>
  <c r="D4790" i="2"/>
  <c r="C4790" i="2"/>
  <c r="B4790" i="2"/>
  <c r="A4790" i="2"/>
  <c r="H4789" i="2"/>
  <c r="G4789" i="2"/>
  <c r="F4789" i="2"/>
  <c r="E4789" i="2"/>
  <c r="D4789" i="2"/>
  <c r="C4789" i="2"/>
  <c r="B4789" i="2"/>
  <c r="A4789" i="2"/>
  <c r="H4788" i="2"/>
  <c r="G4788" i="2"/>
  <c r="F4788" i="2"/>
  <c r="E4788" i="2"/>
  <c r="D4788" i="2"/>
  <c r="C4788" i="2"/>
  <c r="B4788" i="2"/>
  <c r="A4788" i="2"/>
  <c r="H4787" i="2"/>
  <c r="G4787" i="2"/>
  <c r="F4787" i="2"/>
  <c r="E4787" i="2"/>
  <c r="D4787" i="2"/>
  <c r="C4787" i="2"/>
  <c r="B4787" i="2"/>
  <c r="A4787" i="2"/>
  <c r="H4786" i="2"/>
  <c r="G4786" i="2"/>
  <c r="F4786" i="2"/>
  <c r="E4786" i="2"/>
  <c r="D4786" i="2"/>
  <c r="C4786" i="2"/>
  <c r="B4786" i="2"/>
  <c r="A4786" i="2"/>
  <c r="H4785" i="2"/>
  <c r="G4785" i="2"/>
  <c r="F4785" i="2"/>
  <c r="E4785" i="2"/>
  <c r="D4785" i="2"/>
  <c r="C4785" i="2"/>
  <c r="B4785" i="2"/>
  <c r="A4785" i="2"/>
  <c r="H4784" i="2"/>
  <c r="G4784" i="2"/>
  <c r="F4784" i="2"/>
  <c r="E4784" i="2"/>
  <c r="D4784" i="2"/>
  <c r="C4784" i="2"/>
  <c r="B4784" i="2"/>
  <c r="A4784" i="2"/>
  <c r="H4783" i="2"/>
  <c r="G4783" i="2"/>
  <c r="F4783" i="2"/>
  <c r="E4783" i="2"/>
  <c r="D4783" i="2"/>
  <c r="C4783" i="2"/>
  <c r="B4783" i="2"/>
  <c r="A4783" i="2"/>
  <c r="H4782" i="2"/>
  <c r="G4782" i="2"/>
  <c r="F4782" i="2"/>
  <c r="E4782" i="2"/>
  <c r="D4782" i="2"/>
  <c r="C4782" i="2"/>
  <c r="B4782" i="2"/>
  <c r="A4782" i="2"/>
  <c r="H4781" i="2"/>
  <c r="G4781" i="2"/>
  <c r="F4781" i="2"/>
  <c r="E4781" i="2"/>
  <c r="D4781" i="2"/>
  <c r="C4781" i="2"/>
  <c r="B4781" i="2"/>
  <c r="A4781" i="2"/>
  <c r="H4780" i="2"/>
  <c r="G4780" i="2"/>
  <c r="F4780" i="2"/>
  <c r="E4780" i="2"/>
  <c r="D4780" i="2"/>
  <c r="C4780" i="2"/>
  <c r="B4780" i="2"/>
  <c r="A4780" i="2"/>
  <c r="H4779" i="2"/>
  <c r="G4779" i="2"/>
  <c r="F4779" i="2"/>
  <c r="E4779" i="2"/>
  <c r="D4779" i="2"/>
  <c r="C4779" i="2"/>
  <c r="B4779" i="2"/>
  <c r="A4779" i="2"/>
  <c r="H4778" i="2"/>
  <c r="G4778" i="2"/>
  <c r="F4778" i="2"/>
  <c r="E4778" i="2"/>
  <c r="D4778" i="2"/>
  <c r="C4778" i="2"/>
  <c r="B4778" i="2"/>
  <c r="A4778" i="2"/>
  <c r="H4777" i="2"/>
  <c r="G4777" i="2"/>
  <c r="F4777" i="2"/>
  <c r="E4777" i="2"/>
  <c r="D4777" i="2"/>
  <c r="C4777" i="2"/>
  <c r="B4777" i="2"/>
  <c r="A4777" i="2"/>
  <c r="H4776" i="2"/>
  <c r="G4776" i="2"/>
  <c r="F4776" i="2"/>
  <c r="E4776" i="2"/>
  <c r="D4776" i="2"/>
  <c r="C4776" i="2"/>
  <c r="B4776" i="2"/>
  <c r="A4776" i="2"/>
  <c r="H4775" i="2"/>
  <c r="G4775" i="2"/>
  <c r="F4775" i="2"/>
  <c r="E4775" i="2"/>
  <c r="D4775" i="2"/>
  <c r="C4775" i="2"/>
  <c r="B4775" i="2"/>
  <c r="A4775" i="2"/>
  <c r="H4774" i="2"/>
  <c r="G4774" i="2"/>
  <c r="F4774" i="2"/>
  <c r="E4774" i="2"/>
  <c r="D4774" i="2"/>
  <c r="C4774" i="2"/>
  <c r="B4774" i="2"/>
  <c r="A4774" i="2"/>
  <c r="H4773" i="2"/>
  <c r="G4773" i="2"/>
  <c r="F4773" i="2"/>
  <c r="E4773" i="2"/>
  <c r="D4773" i="2"/>
  <c r="C4773" i="2"/>
  <c r="B4773" i="2"/>
  <c r="A4773" i="2"/>
  <c r="H4772" i="2"/>
  <c r="G4772" i="2"/>
  <c r="F4772" i="2"/>
  <c r="E4772" i="2"/>
  <c r="D4772" i="2"/>
  <c r="C4772" i="2"/>
  <c r="B4772" i="2"/>
  <c r="A4772" i="2"/>
  <c r="H4771" i="2"/>
  <c r="G4771" i="2"/>
  <c r="F4771" i="2"/>
  <c r="E4771" i="2"/>
  <c r="D4771" i="2"/>
  <c r="C4771" i="2"/>
  <c r="B4771" i="2"/>
  <c r="A4771" i="2"/>
  <c r="H4770" i="2"/>
  <c r="G4770" i="2"/>
  <c r="F4770" i="2"/>
  <c r="E4770" i="2"/>
  <c r="D4770" i="2"/>
  <c r="C4770" i="2"/>
  <c r="B4770" i="2"/>
  <c r="A4770" i="2"/>
  <c r="H4769" i="2"/>
  <c r="G4769" i="2"/>
  <c r="F4769" i="2"/>
  <c r="E4769" i="2"/>
  <c r="D4769" i="2"/>
  <c r="C4769" i="2"/>
  <c r="B4769" i="2"/>
  <c r="A4769" i="2"/>
  <c r="H4768" i="2"/>
  <c r="G4768" i="2"/>
  <c r="F4768" i="2"/>
  <c r="E4768" i="2"/>
  <c r="D4768" i="2"/>
  <c r="C4768" i="2"/>
  <c r="B4768" i="2"/>
  <c r="A4768" i="2"/>
  <c r="H4767" i="2"/>
  <c r="G4767" i="2"/>
  <c r="F4767" i="2"/>
  <c r="E4767" i="2"/>
  <c r="D4767" i="2"/>
  <c r="C4767" i="2"/>
  <c r="B4767" i="2"/>
  <c r="A4767" i="2"/>
  <c r="H4766" i="2"/>
  <c r="G4766" i="2"/>
  <c r="F4766" i="2"/>
  <c r="E4766" i="2"/>
  <c r="D4766" i="2"/>
  <c r="C4766" i="2"/>
  <c r="B4766" i="2"/>
  <c r="A4766" i="2"/>
  <c r="H4765" i="2"/>
  <c r="G4765" i="2"/>
  <c r="F4765" i="2"/>
  <c r="E4765" i="2"/>
  <c r="D4765" i="2"/>
  <c r="C4765" i="2"/>
  <c r="B4765" i="2"/>
  <c r="A4765" i="2"/>
  <c r="H4764" i="2"/>
  <c r="G4764" i="2"/>
  <c r="F4764" i="2"/>
  <c r="E4764" i="2"/>
  <c r="D4764" i="2"/>
  <c r="C4764" i="2"/>
  <c r="B4764" i="2"/>
  <c r="A4764" i="2"/>
  <c r="H4763" i="2"/>
  <c r="G4763" i="2"/>
  <c r="F4763" i="2"/>
  <c r="E4763" i="2"/>
  <c r="D4763" i="2"/>
  <c r="C4763" i="2"/>
  <c r="B4763" i="2"/>
  <c r="A4763" i="2"/>
  <c r="H4762" i="2"/>
  <c r="G4762" i="2"/>
  <c r="F4762" i="2"/>
  <c r="E4762" i="2"/>
  <c r="D4762" i="2"/>
  <c r="C4762" i="2"/>
  <c r="B4762" i="2"/>
  <c r="A4762" i="2"/>
  <c r="H4761" i="2"/>
  <c r="G4761" i="2"/>
  <c r="F4761" i="2"/>
  <c r="E4761" i="2"/>
  <c r="D4761" i="2"/>
  <c r="C4761" i="2"/>
  <c r="B4761" i="2"/>
  <c r="A4761" i="2"/>
  <c r="H4760" i="2"/>
  <c r="G4760" i="2"/>
  <c r="F4760" i="2"/>
  <c r="E4760" i="2"/>
  <c r="D4760" i="2"/>
  <c r="C4760" i="2"/>
  <c r="B4760" i="2"/>
  <c r="A4760" i="2"/>
  <c r="H4759" i="2"/>
  <c r="G4759" i="2"/>
  <c r="F4759" i="2"/>
  <c r="E4759" i="2"/>
  <c r="D4759" i="2"/>
  <c r="C4759" i="2"/>
  <c r="B4759" i="2"/>
  <c r="A4759" i="2"/>
  <c r="H4758" i="2"/>
  <c r="G4758" i="2"/>
  <c r="F4758" i="2"/>
  <c r="E4758" i="2"/>
  <c r="D4758" i="2"/>
  <c r="C4758" i="2"/>
  <c r="B4758" i="2"/>
  <c r="A4758" i="2"/>
  <c r="H4757" i="2"/>
  <c r="G4757" i="2"/>
  <c r="F4757" i="2"/>
  <c r="E4757" i="2"/>
  <c r="D4757" i="2"/>
  <c r="C4757" i="2"/>
  <c r="B4757" i="2"/>
  <c r="A4757" i="2"/>
  <c r="H4756" i="2"/>
  <c r="G4756" i="2"/>
  <c r="F4756" i="2"/>
  <c r="E4756" i="2"/>
  <c r="D4756" i="2"/>
  <c r="C4756" i="2"/>
  <c r="B4756" i="2"/>
  <c r="A4756" i="2"/>
  <c r="H4755" i="2"/>
  <c r="G4755" i="2"/>
  <c r="F4755" i="2"/>
  <c r="E4755" i="2"/>
  <c r="D4755" i="2"/>
  <c r="C4755" i="2"/>
  <c r="B4755" i="2"/>
  <c r="A4755" i="2"/>
  <c r="H4754" i="2"/>
  <c r="G4754" i="2"/>
  <c r="F4754" i="2"/>
  <c r="E4754" i="2"/>
  <c r="D4754" i="2"/>
  <c r="C4754" i="2"/>
  <c r="B4754" i="2"/>
  <c r="A4754" i="2"/>
  <c r="H4753" i="2"/>
  <c r="G4753" i="2"/>
  <c r="F4753" i="2"/>
  <c r="E4753" i="2"/>
  <c r="D4753" i="2"/>
  <c r="C4753" i="2"/>
  <c r="B4753" i="2"/>
  <c r="A4753" i="2"/>
  <c r="H4752" i="2"/>
  <c r="G4752" i="2"/>
  <c r="F4752" i="2"/>
  <c r="E4752" i="2"/>
  <c r="D4752" i="2"/>
  <c r="C4752" i="2"/>
  <c r="B4752" i="2"/>
  <c r="A4752" i="2"/>
  <c r="H4751" i="2"/>
  <c r="G4751" i="2"/>
  <c r="F4751" i="2"/>
  <c r="E4751" i="2"/>
  <c r="D4751" i="2"/>
  <c r="C4751" i="2"/>
  <c r="B4751" i="2"/>
  <c r="A4751" i="2"/>
  <c r="H4750" i="2"/>
  <c r="G4750" i="2"/>
  <c r="F4750" i="2"/>
  <c r="E4750" i="2"/>
  <c r="D4750" i="2"/>
  <c r="C4750" i="2"/>
  <c r="B4750" i="2"/>
  <c r="A4750" i="2"/>
  <c r="H4749" i="2"/>
  <c r="G4749" i="2"/>
  <c r="F4749" i="2"/>
  <c r="E4749" i="2"/>
  <c r="D4749" i="2"/>
  <c r="C4749" i="2"/>
  <c r="B4749" i="2"/>
  <c r="A4749" i="2"/>
  <c r="H4748" i="2"/>
  <c r="G4748" i="2"/>
  <c r="F4748" i="2"/>
  <c r="E4748" i="2"/>
  <c r="D4748" i="2"/>
  <c r="C4748" i="2"/>
  <c r="B4748" i="2"/>
  <c r="A4748" i="2"/>
  <c r="H4747" i="2"/>
  <c r="G4747" i="2"/>
  <c r="F4747" i="2"/>
  <c r="E4747" i="2"/>
  <c r="D4747" i="2"/>
  <c r="C4747" i="2"/>
  <c r="B4747" i="2"/>
  <c r="A4747" i="2"/>
  <c r="H4746" i="2"/>
  <c r="G4746" i="2"/>
  <c r="F4746" i="2"/>
  <c r="E4746" i="2"/>
  <c r="D4746" i="2"/>
  <c r="C4746" i="2"/>
  <c r="B4746" i="2"/>
  <c r="A4746" i="2"/>
  <c r="H4745" i="2"/>
  <c r="G4745" i="2"/>
  <c r="F4745" i="2"/>
  <c r="E4745" i="2"/>
  <c r="D4745" i="2"/>
  <c r="C4745" i="2"/>
  <c r="B4745" i="2"/>
  <c r="A4745" i="2"/>
  <c r="H4744" i="2"/>
  <c r="G4744" i="2"/>
  <c r="F4744" i="2"/>
  <c r="E4744" i="2"/>
  <c r="D4744" i="2"/>
  <c r="C4744" i="2"/>
  <c r="B4744" i="2"/>
  <c r="A4744" i="2"/>
  <c r="H4743" i="2"/>
  <c r="G4743" i="2"/>
  <c r="F4743" i="2"/>
  <c r="E4743" i="2"/>
  <c r="D4743" i="2"/>
  <c r="C4743" i="2"/>
  <c r="B4743" i="2"/>
  <c r="A4743" i="2"/>
  <c r="H4742" i="2"/>
  <c r="G4742" i="2"/>
  <c r="F4742" i="2"/>
  <c r="E4742" i="2"/>
  <c r="D4742" i="2"/>
  <c r="C4742" i="2"/>
  <c r="B4742" i="2"/>
  <c r="A4742" i="2"/>
  <c r="H4741" i="2"/>
  <c r="G4741" i="2"/>
  <c r="F4741" i="2"/>
  <c r="E4741" i="2"/>
  <c r="D4741" i="2"/>
  <c r="C4741" i="2"/>
  <c r="B4741" i="2"/>
  <c r="A4741" i="2"/>
  <c r="H4740" i="2"/>
  <c r="G4740" i="2"/>
  <c r="F4740" i="2"/>
  <c r="E4740" i="2"/>
  <c r="D4740" i="2"/>
  <c r="C4740" i="2"/>
  <c r="B4740" i="2"/>
  <c r="A4740" i="2"/>
  <c r="H4739" i="2"/>
  <c r="G4739" i="2"/>
  <c r="F4739" i="2"/>
  <c r="E4739" i="2"/>
  <c r="D4739" i="2"/>
  <c r="C4739" i="2"/>
  <c r="B4739" i="2"/>
  <c r="A4739" i="2"/>
  <c r="H4738" i="2"/>
  <c r="G4738" i="2"/>
  <c r="F4738" i="2"/>
  <c r="E4738" i="2"/>
  <c r="D4738" i="2"/>
  <c r="C4738" i="2"/>
  <c r="B4738" i="2"/>
  <c r="A4738" i="2"/>
  <c r="H4737" i="2"/>
  <c r="G4737" i="2"/>
  <c r="F4737" i="2"/>
  <c r="E4737" i="2"/>
  <c r="D4737" i="2"/>
  <c r="C4737" i="2"/>
  <c r="B4737" i="2"/>
  <c r="A4737" i="2"/>
  <c r="H4736" i="2"/>
  <c r="G4736" i="2"/>
  <c r="F4736" i="2"/>
  <c r="E4736" i="2"/>
  <c r="D4736" i="2"/>
  <c r="C4736" i="2"/>
  <c r="B4736" i="2"/>
  <c r="A4736" i="2"/>
  <c r="H4735" i="2"/>
  <c r="G4735" i="2"/>
  <c r="F4735" i="2"/>
  <c r="E4735" i="2"/>
  <c r="D4735" i="2"/>
  <c r="C4735" i="2"/>
  <c r="B4735" i="2"/>
  <c r="A4735" i="2"/>
  <c r="H4734" i="2"/>
  <c r="G4734" i="2"/>
  <c r="F4734" i="2"/>
  <c r="E4734" i="2"/>
  <c r="D4734" i="2"/>
  <c r="C4734" i="2"/>
  <c r="B4734" i="2"/>
  <c r="A4734" i="2"/>
  <c r="H4733" i="2"/>
  <c r="G4733" i="2"/>
  <c r="F4733" i="2"/>
  <c r="E4733" i="2"/>
  <c r="D4733" i="2"/>
  <c r="C4733" i="2"/>
  <c r="B4733" i="2"/>
  <c r="A4733" i="2"/>
  <c r="H4732" i="2"/>
  <c r="G4732" i="2"/>
  <c r="F4732" i="2"/>
  <c r="E4732" i="2"/>
  <c r="D4732" i="2"/>
  <c r="C4732" i="2"/>
  <c r="B4732" i="2"/>
  <c r="A4732" i="2"/>
  <c r="H4731" i="2"/>
  <c r="G4731" i="2"/>
  <c r="F4731" i="2"/>
  <c r="E4731" i="2"/>
  <c r="D4731" i="2"/>
  <c r="C4731" i="2"/>
  <c r="B4731" i="2"/>
  <c r="A4731" i="2"/>
  <c r="H4730" i="2"/>
  <c r="G4730" i="2"/>
  <c r="F4730" i="2"/>
  <c r="E4730" i="2"/>
  <c r="D4730" i="2"/>
  <c r="C4730" i="2"/>
  <c r="B4730" i="2"/>
  <c r="A4730" i="2"/>
  <c r="H4729" i="2"/>
  <c r="G4729" i="2"/>
  <c r="F4729" i="2"/>
  <c r="E4729" i="2"/>
  <c r="D4729" i="2"/>
  <c r="C4729" i="2"/>
  <c r="B4729" i="2"/>
  <c r="A4729" i="2"/>
  <c r="H4728" i="2"/>
  <c r="G4728" i="2"/>
  <c r="F4728" i="2"/>
  <c r="E4728" i="2"/>
  <c r="D4728" i="2"/>
  <c r="C4728" i="2"/>
  <c r="B4728" i="2"/>
  <c r="A4728" i="2"/>
  <c r="H4727" i="2"/>
  <c r="G4727" i="2"/>
  <c r="F4727" i="2"/>
  <c r="E4727" i="2"/>
  <c r="D4727" i="2"/>
  <c r="C4727" i="2"/>
  <c r="B4727" i="2"/>
  <c r="A4727" i="2"/>
  <c r="H4726" i="2"/>
  <c r="G4726" i="2"/>
  <c r="F4726" i="2"/>
  <c r="E4726" i="2"/>
  <c r="D4726" i="2"/>
  <c r="C4726" i="2"/>
  <c r="B4726" i="2"/>
  <c r="A4726" i="2"/>
  <c r="H4725" i="2"/>
  <c r="G4725" i="2"/>
  <c r="F4725" i="2"/>
  <c r="E4725" i="2"/>
  <c r="D4725" i="2"/>
  <c r="C4725" i="2"/>
  <c r="B4725" i="2"/>
  <c r="A4725" i="2"/>
  <c r="H4724" i="2"/>
  <c r="G4724" i="2"/>
  <c r="F4724" i="2"/>
  <c r="E4724" i="2"/>
  <c r="D4724" i="2"/>
  <c r="C4724" i="2"/>
  <c r="B4724" i="2"/>
  <c r="A4724" i="2"/>
  <c r="H4723" i="2"/>
  <c r="G4723" i="2"/>
  <c r="F4723" i="2"/>
  <c r="E4723" i="2"/>
  <c r="D4723" i="2"/>
  <c r="C4723" i="2"/>
  <c r="B4723" i="2"/>
  <c r="A4723" i="2"/>
  <c r="H4722" i="2"/>
  <c r="G4722" i="2"/>
  <c r="F4722" i="2"/>
  <c r="E4722" i="2"/>
  <c r="D4722" i="2"/>
  <c r="C4722" i="2"/>
  <c r="B4722" i="2"/>
  <c r="A4722" i="2"/>
  <c r="H4721" i="2"/>
  <c r="G4721" i="2"/>
  <c r="F4721" i="2"/>
  <c r="E4721" i="2"/>
  <c r="D4721" i="2"/>
  <c r="C4721" i="2"/>
  <c r="B4721" i="2"/>
  <c r="A4721" i="2"/>
  <c r="H4720" i="2"/>
  <c r="G4720" i="2"/>
  <c r="F4720" i="2"/>
  <c r="E4720" i="2"/>
  <c r="D4720" i="2"/>
  <c r="C4720" i="2"/>
  <c r="B4720" i="2"/>
  <c r="A4720" i="2"/>
  <c r="H4719" i="2"/>
  <c r="G4719" i="2"/>
  <c r="F4719" i="2"/>
  <c r="E4719" i="2"/>
  <c r="D4719" i="2"/>
  <c r="C4719" i="2"/>
  <c r="B4719" i="2"/>
  <c r="A4719" i="2"/>
  <c r="H4718" i="2"/>
  <c r="G4718" i="2"/>
  <c r="F4718" i="2"/>
  <c r="E4718" i="2"/>
  <c r="D4718" i="2"/>
  <c r="C4718" i="2"/>
  <c r="B4718" i="2"/>
  <c r="A4718" i="2"/>
  <c r="H4717" i="2"/>
  <c r="G4717" i="2"/>
  <c r="F4717" i="2"/>
  <c r="E4717" i="2"/>
  <c r="D4717" i="2"/>
  <c r="C4717" i="2"/>
  <c r="B4717" i="2"/>
  <c r="A4717" i="2"/>
  <c r="H4716" i="2"/>
  <c r="G4716" i="2"/>
  <c r="F4716" i="2"/>
  <c r="E4716" i="2"/>
  <c r="D4716" i="2"/>
  <c r="C4716" i="2"/>
  <c r="B4716" i="2"/>
  <c r="A4716" i="2"/>
  <c r="H4715" i="2"/>
  <c r="G4715" i="2"/>
  <c r="F4715" i="2"/>
  <c r="E4715" i="2"/>
  <c r="D4715" i="2"/>
  <c r="C4715" i="2"/>
  <c r="B4715" i="2"/>
  <c r="A4715" i="2"/>
  <c r="H4714" i="2"/>
  <c r="G4714" i="2"/>
  <c r="F4714" i="2"/>
  <c r="E4714" i="2"/>
  <c r="D4714" i="2"/>
  <c r="C4714" i="2"/>
  <c r="B4714" i="2"/>
  <c r="A4714" i="2"/>
  <c r="H4713" i="2"/>
  <c r="G4713" i="2"/>
  <c r="F4713" i="2"/>
  <c r="E4713" i="2"/>
  <c r="D4713" i="2"/>
  <c r="C4713" i="2"/>
  <c r="B4713" i="2"/>
  <c r="A4713" i="2"/>
  <c r="H4712" i="2"/>
  <c r="G4712" i="2"/>
  <c r="F4712" i="2"/>
  <c r="E4712" i="2"/>
  <c r="D4712" i="2"/>
  <c r="C4712" i="2"/>
  <c r="B4712" i="2"/>
  <c r="A4712" i="2"/>
  <c r="H4711" i="2"/>
  <c r="G4711" i="2"/>
  <c r="F4711" i="2"/>
  <c r="E4711" i="2"/>
  <c r="D4711" i="2"/>
  <c r="C4711" i="2"/>
  <c r="B4711" i="2"/>
  <c r="A4711" i="2"/>
  <c r="H4710" i="2"/>
  <c r="G4710" i="2"/>
  <c r="F4710" i="2"/>
  <c r="E4710" i="2"/>
  <c r="D4710" i="2"/>
  <c r="C4710" i="2"/>
  <c r="B4710" i="2"/>
  <c r="A4710" i="2"/>
  <c r="H4709" i="2"/>
  <c r="G4709" i="2"/>
  <c r="F4709" i="2"/>
  <c r="E4709" i="2"/>
  <c r="D4709" i="2"/>
  <c r="C4709" i="2"/>
  <c r="B4709" i="2"/>
  <c r="A4709" i="2"/>
  <c r="H4708" i="2"/>
  <c r="G4708" i="2"/>
  <c r="F4708" i="2"/>
  <c r="E4708" i="2"/>
  <c r="D4708" i="2"/>
  <c r="C4708" i="2"/>
  <c r="B4708" i="2"/>
  <c r="A4708" i="2"/>
  <c r="H4707" i="2"/>
  <c r="G4707" i="2"/>
  <c r="F4707" i="2"/>
  <c r="E4707" i="2"/>
  <c r="D4707" i="2"/>
  <c r="C4707" i="2"/>
  <c r="B4707" i="2"/>
  <c r="A4707" i="2"/>
  <c r="H4706" i="2"/>
  <c r="G4706" i="2"/>
  <c r="F4706" i="2"/>
  <c r="E4706" i="2"/>
  <c r="D4706" i="2"/>
  <c r="C4706" i="2"/>
  <c r="B4706" i="2"/>
  <c r="A4706" i="2"/>
  <c r="H4705" i="2"/>
  <c r="G4705" i="2"/>
  <c r="F4705" i="2"/>
  <c r="E4705" i="2"/>
  <c r="D4705" i="2"/>
  <c r="C4705" i="2"/>
  <c r="B4705" i="2"/>
  <c r="A4705" i="2"/>
  <c r="H4704" i="2"/>
  <c r="G4704" i="2"/>
  <c r="F4704" i="2"/>
  <c r="E4704" i="2"/>
  <c r="D4704" i="2"/>
  <c r="C4704" i="2"/>
  <c r="B4704" i="2"/>
  <c r="A4704" i="2"/>
  <c r="H4703" i="2"/>
  <c r="G4703" i="2"/>
  <c r="F4703" i="2"/>
  <c r="E4703" i="2"/>
  <c r="D4703" i="2"/>
  <c r="C4703" i="2"/>
  <c r="B4703" i="2"/>
  <c r="A4703" i="2"/>
  <c r="H4702" i="2"/>
  <c r="G4702" i="2"/>
  <c r="F4702" i="2"/>
  <c r="E4702" i="2"/>
  <c r="D4702" i="2"/>
  <c r="C4702" i="2"/>
  <c r="B4702" i="2"/>
  <c r="A4702" i="2"/>
  <c r="H4701" i="2"/>
  <c r="G4701" i="2"/>
  <c r="F4701" i="2"/>
  <c r="E4701" i="2"/>
  <c r="D4701" i="2"/>
  <c r="C4701" i="2"/>
  <c r="B4701" i="2"/>
  <c r="A4701" i="2"/>
  <c r="H4700" i="2"/>
  <c r="G4700" i="2"/>
  <c r="F4700" i="2"/>
  <c r="E4700" i="2"/>
  <c r="D4700" i="2"/>
  <c r="C4700" i="2"/>
  <c r="B4700" i="2"/>
  <c r="A4700" i="2"/>
  <c r="H4699" i="2"/>
  <c r="G4699" i="2"/>
  <c r="F4699" i="2"/>
  <c r="E4699" i="2"/>
  <c r="D4699" i="2"/>
  <c r="C4699" i="2"/>
  <c r="B4699" i="2"/>
  <c r="A4699" i="2"/>
  <c r="H4698" i="2"/>
  <c r="G4698" i="2"/>
  <c r="F4698" i="2"/>
  <c r="E4698" i="2"/>
  <c r="D4698" i="2"/>
  <c r="C4698" i="2"/>
  <c r="B4698" i="2"/>
  <c r="A4698" i="2"/>
  <c r="H4697" i="2"/>
  <c r="G4697" i="2"/>
  <c r="F4697" i="2"/>
  <c r="E4697" i="2"/>
  <c r="D4697" i="2"/>
  <c r="C4697" i="2"/>
  <c r="B4697" i="2"/>
  <c r="A4697" i="2"/>
  <c r="H4696" i="2"/>
  <c r="G4696" i="2"/>
  <c r="F4696" i="2"/>
  <c r="E4696" i="2"/>
  <c r="D4696" i="2"/>
  <c r="C4696" i="2"/>
  <c r="B4696" i="2"/>
  <c r="A4696" i="2"/>
  <c r="H4695" i="2"/>
  <c r="G4695" i="2"/>
  <c r="F4695" i="2"/>
  <c r="E4695" i="2"/>
  <c r="D4695" i="2"/>
  <c r="C4695" i="2"/>
  <c r="B4695" i="2"/>
  <c r="A4695" i="2"/>
  <c r="H4694" i="2"/>
  <c r="G4694" i="2"/>
  <c r="F4694" i="2"/>
  <c r="E4694" i="2"/>
  <c r="D4694" i="2"/>
  <c r="C4694" i="2"/>
  <c r="B4694" i="2"/>
  <c r="A4694" i="2"/>
  <c r="H4693" i="2"/>
  <c r="G4693" i="2"/>
  <c r="F4693" i="2"/>
  <c r="E4693" i="2"/>
  <c r="D4693" i="2"/>
  <c r="C4693" i="2"/>
  <c r="B4693" i="2"/>
  <c r="A4693" i="2"/>
  <c r="H4692" i="2"/>
  <c r="G4692" i="2"/>
  <c r="F4692" i="2"/>
  <c r="E4692" i="2"/>
  <c r="D4692" i="2"/>
  <c r="C4692" i="2"/>
  <c r="B4692" i="2"/>
  <c r="A4692" i="2"/>
  <c r="H4691" i="2"/>
  <c r="G4691" i="2"/>
  <c r="F4691" i="2"/>
  <c r="E4691" i="2"/>
  <c r="D4691" i="2"/>
  <c r="C4691" i="2"/>
  <c r="B4691" i="2"/>
  <c r="A4691" i="2"/>
  <c r="H4690" i="2"/>
  <c r="G4690" i="2"/>
  <c r="F4690" i="2"/>
  <c r="E4690" i="2"/>
  <c r="D4690" i="2"/>
  <c r="C4690" i="2"/>
  <c r="B4690" i="2"/>
  <c r="A4690" i="2"/>
  <c r="H4689" i="2"/>
  <c r="G4689" i="2"/>
  <c r="F4689" i="2"/>
  <c r="E4689" i="2"/>
  <c r="D4689" i="2"/>
  <c r="C4689" i="2"/>
  <c r="B4689" i="2"/>
  <c r="A4689" i="2"/>
  <c r="H4688" i="2"/>
  <c r="G4688" i="2"/>
  <c r="F4688" i="2"/>
  <c r="E4688" i="2"/>
  <c r="D4688" i="2"/>
  <c r="C4688" i="2"/>
  <c r="B4688" i="2"/>
  <c r="A4688" i="2"/>
  <c r="H4687" i="2"/>
  <c r="G4687" i="2"/>
  <c r="F4687" i="2"/>
  <c r="E4687" i="2"/>
  <c r="D4687" i="2"/>
  <c r="C4687" i="2"/>
  <c r="B4687" i="2"/>
  <c r="A4687" i="2"/>
  <c r="H4686" i="2"/>
  <c r="G4686" i="2"/>
  <c r="F4686" i="2"/>
  <c r="E4686" i="2"/>
  <c r="D4686" i="2"/>
  <c r="C4686" i="2"/>
  <c r="B4686" i="2"/>
  <c r="A4686" i="2"/>
  <c r="H4685" i="2"/>
  <c r="G4685" i="2"/>
  <c r="F4685" i="2"/>
  <c r="E4685" i="2"/>
  <c r="D4685" i="2"/>
  <c r="C4685" i="2"/>
  <c r="B4685" i="2"/>
  <c r="A4685" i="2"/>
  <c r="H4684" i="2"/>
  <c r="G4684" i="2"/>
  <c r="F4684" i="2"/>
  <c r="E4684" i="2"/>
  <c r="D4684" i="2"/>
  <c r="C4684" i="2"/>
  <c r="B4684" i="2"/>
  <c r="A4684" i="2"/>
  <c r="H4683" i="2"/>
  <c r="G4683" i="2"/>
  <c r="F4683" i="2"/>
  <c r="E4683" i="2"/>
  <c r="D4683" i="2"/>
  <c r="C4683" i="2"/>
  <c r="B4683" i="2"/>
  <c r="A4683" i="2"/>
  <c r="H4682" i="2"/>
  <c r="G4682" i="2"/>
  <c r="F4682" i="2"/>
  <c r="E4682" i="2"/>
  <c r="D4682" i="2"/>
  <c r="C4682" i="2"/>
  <c r="B4682" i="2"/>
  <c r="A4682" i="2"/>
  <c r="H4681" i="2"/>
  <c r="G4681" i="2"/>
  <c r="F4681" i="2"/>
  <c r="E4681" i="2"/>
  <c r="D4681" i="2"/>
  <c r="C4681" i="2"/>
  <c r="B4681" i="2"/>
  <c r="A4681" i="2"/>
  <c r="H4680" i="2"/>
  <c r="G4680" i="2"/>
  <c r="F4680" i="2"/>
  <c r="E4680" i="2"/>
  <c r="D4680" i="2"/>
  <c r="C4680" i="2"/>
  <c r="B4680" i="2"/>
  <c r="A4680" i="2"/>
  <c r="H4679" i="2"/>
  <c r="G4679" i="2"/>
  <c r="F4679" i="2"/>
  <c r="E4679" i="2"/>
  <c r="D4679" i="2"/>
  <c r="C4679" i="2"/>
  <c r="B4679" i="2"/>
  <c r="A4679" i="2"/>
  <c r="H4678" i="2"/>
  <c r="G4678" i="2"/>
  <c r="F4678" i="2"/>
  <c r="E4678" i="2"/>
  <c r="D4678" i="2"/>
  <c r="C4678" i="2"/>
  <c r="B4678" i="2"/>
  <c r="A4678" i="2"/>
  <c r="H4677" i="2"/>
  <c r="G4677" i="2"/>
  <c r="F4677" i="2"/>
  <c r="E4677" i="2"/>
  <c r="D4677" i="2"/>
  <c r="C4677" i="2"/>
  <c r="B4677" i="2"/>
  <c r="A4677" i="2"/>
  <c r="H4676" i="2"/>
  <c r="G4676" i="2"/>
  <c r="F4676" i="2"/>
  <c r="E4676" i="2"/>
  <c r="D4676" i="2"/>
  <c r="C4676" i="2"/>
  <c r="B4676" i="2"/>
  <c r="A4676" i="2"/>
  <c r="H4675" i="2"/>
  <c r="G4675" i="2"/>
  <c r="F4675" i="2"/>
  <c r="E4675" i="2"/>
  <c r="D4675" i="2"/>
  <c r="C4675" i="2"/>
  <c r="B4675" i="2"/>
  <c r="A4675" i="2"/>
  <c r="H4674" i="2"/>
  <c r="G4674" i="2"/>
  <c r="F4674" i="2"/>
  <c r="E4674" i="2"/>
  <c r="D4674" i="2"/>
  <c r="C4674" i="2"/>
  <c r="B4674" i="2"/>
  <c r="A4674" i="2"/>
  <c r="H4673" i="2"/>
  <c r="G4673" i="2"/>
  <c r="F4673" i="2"/>
  <c r="E4673" i="2"/>
  <c r="D4673" i="2"/>
  <c r="C4673" i="2"/>
  <c r="B4673" i="2"/>
  <c r="A4673" i="2"/>
  <c r="H4672" i="2"/>
  <c r="G4672" i="2"/>
  <c r="F4672" i="2"/>
  <c r="E4672" i="2"/>
  <c r="D4672" i="2"/>
  <c r="C4672" i="2"/>
  <c r="B4672" i="2"/>
  <c r="A4672" i="2"/>
  <c r="H4671" i="2"/>
  <c r="G4671" i="2"/>
  <c r="F4671" i="2"/>
  <c r="E4671" i="2"/>
  <c r="D4671" i="2"/>
  <c r="C4671" i="2"/>
  <c r="B4671" i="2"/>
  <c r="A4671" i="2"/>
  <c r="H4670" i="2"/>
  <c r="G4670" i="2"/>
  <c r="F4670" i="2"/>
  <c r="E4670" i="2"/>
  <c r="D4670" i="2"/>
  <c r="C4670" i="2"/>
  <c r="B4670" i="2"/>
  <c r="A4670" i="2"/>
  <c r="H4669" i="2"/>
  <c r="G4669" i="2"/>
  <c r="F4669" i="2"/>
  <c r="E4669" i="2"/>
  <c r="D4669" i="2"/>
  <c r="C4669" i="2"/>
  <c r="B4669" i="2"/>
  <c r="A4669" i="2"/>
  <c r="H4668" i="2"/>
  <c r="G4668" i="2"/>
  <c r="F4668" i="2"/>
  <c r="E4668" i="2"/>
  <c r="D4668" i="2"/>
  <c r="C4668" i="2"/>
  <c r="B4668" i="2"/>
  <c r="A4668" i="2"/>
  <c r="H4667" i="2"/>
  <c r="G4667" i="2"/>
  <c r="F4667" i="2"/>
  <c r="E4667" i="2"/>
  <c r="D4667" i="2"/>
  <c r="C4667" i="2"/>
  <c r="B4667" i="2"/>
  <c r="A4667" i="2"/>
  <c r="H4666" i="2"/>
  <c r="G4666" i="2"/>
  <c r="F4666" i="2"/>
  <c r="E4666" i="2"/>
  <c r="D4666" i="2"/>
  <c r="C4666" i="2"/>
  <c r="B4666" i="2"/>
  <c r="A4666" i="2"/>
  <c r="H4665" i="2"/>
  <c r="G4665" i="2"/>
  <c r="F4665" i="2"/>
  <c r="E4665" i="2"/>
  <c r="D4665" i="2"/>
  <c r="C4665" i="2"/>
  <c r="B4665" i="2"/>
  <c r="A4665" i="2"/>
  <c r="H4664" i="2"/>
  <c r="G4664" i="2"/>
  <c r="F4664" i="2"/>
  <c r="E4664" i="2"/>
  <c r="D4664" i="2"/>
  <c r="C4664" i="2"/>
  <c r="B4664" i="2"/>
  <c r="A4664" i="2"/>
  <c r="H4663" i="2"/>
  <c r="G4663" i="2"/>
  <c r="F4663" i="2"/>
  <c r="E4663" i="2"/>
  <c r="D4663" i="2"/>
  <c r="C4663" i="2"/>
  <c r="B4663" i="2"/>
  <c r="A4663" i="2"/>
  <c r="H4662" i="2"/>
  <c r="G4662" i="2"/>
  <c r="F4662" i="2"/>
  <c r="E4662" i="2"/>
  <c r="D4662" i="2"/>
  <c r="C4662" i="2"/>
  <c r="B4662" i="2"/>
  <c r="A4662" i="2"/>
  <c r="H4661" i="2"/>
  <c r="G4661" i="2"/>
  <c r="F4661" i="2"/>
  <c r="E4661" i="2"/>
  <c r="D4661" i="2"/>
  <c r="C4661" i="2"/>
  <c r="B4661" i="2"/>
  <c r="A4661" i="2"/>
  <c r="H4660" i="2"/>
  <c r="G4660" i="2"/>
  <c r="F4660" i="2"/>
  <c r="E4660" i="2"/>
  <c r="D4660" i="2"/>
  <c r="C4660" i="2"/>
  <c r="B4660" i="2"/>
  <c r="A4660" i="2"/>
  <c r="H4659" i="2"/>
  <c r="G4659" i="2"/>
  <c r="F4659" i="2"/>
  <c r="E4659" i="2"/>
  <c r="D4659" i="2"/>
  <c r="C4659" i="2"/>
  <c r="B4659" i="2"/>
  <c r="A4659" i="2"/>
  <c r="H4658" i="2"/>
  <c r="G4658" i="2"/>
  <c r="F4658" i="2"/>
  <c r="E4658" i="2"/>
  <c r="D4658" i="2"/>
  <c r="C4658" i="2"/>
  <c r="B4658" i="2"/>
  <c r="A4658" i="2"/>
  <c r="H4657" i="2"/>
  <c r="G4657" i="2"/>
  <c r="F4657" i="2"/>
  <c r="E4657" i="2"/>
  <c r="D4657" i="2"/>
  <c r="C4657" i="2"/>
  <c r="B4657" i="2"/>
  <c r="A4657" i="2"/>
  <c r="H4656" i="2"/>
  <c r="G4656" i="2"/>
  <c r="F4656" i="2"/>
  <c r="E4656" i="2"/>
  <c r="D4656" i="2"/>
  <c r="C4656" i="2"/>
  <c r="B4656" i="2"/>
  <c r="A4656" i="2"/>
  <c r="H4655" i="2"/>
  <c r="G4655" i="2"/>
  <c r="F4655" i="2"/>
  <c r="E4655" i="2"/>
  <c r="D4655" i="2"/>
  <c r="C4655" i="2"/>
  <c r="B4655" i="2"/>
  <c r="A4655" i="2"/>
  <c r="H4654" i="2"/>
  <c r="G4654" i="2"/>
  <c r="F4654" i="2"/>
  <c r="E4654" i="2"/>
  <c r="D4654" i="2"/>
  <c r="C4654" i="2"/>
  <c r="B4654" i="2"/>
  <c r="A4654" i="2"/>
  <c r="H4653" i="2"/>
  <c r="G4653" i="2"/>
  <c r="F4653" i="2"/>
  <c r="E4653" i="2"/>
  <c r="D4653" i="2"/>
  <c r="C4653" i="2"/>
  <c r="B4653" i="2"/>
  <c r="A4653" i="2"/>
  <c r="H4652" i="2"/>
  <c r="G4652" i="2"/>
  <c r="F4652" i="2"/>
  <c r="E4652" i="2"/>
  <c r="D4652" i="2"/>
  <c r="C4652" i="2"/>
  <c r="B4652" i="2"/>
  <c r="A4652" i="2"/>
  <c r="H4651" i="2"/>
  <c r="G4651" i="2"/>
  <c r="F4651" i="2"/>
  <c r="E4651" i="2"/>
  <c r="D4651" i="2"/>
  <c r="C4651" i="2"/>
  <c r="B4651" i="2"/>
  <c r="A4651" i="2"/>
  <c r="H4650" i="2"/>
  <c r="G4650" i="2"/>
  <c r="F4650" i="2"/>
  <c r="E4650" i="2"/>
  <c r="D4650" i="2"/>
  <c r="C4650" i="2"/>
  <c r="B4650" i="2"/>
  <c r="A4650" i="2"/>
  <c r="H4649" i="2"/>
  <c r="G4649" i="2"/>
  <c r="F4649" i="2"/>
  <c r="E4649" i="2"/>
  <c r="D4649" i="2"/>
  <c r="C4649" i="2"/>
  <c r="B4649" i="2"/>
  <c r="A4649" i="2"/>
  <c r="H4648" i="2"/>
  <c r="G4648" i="2"/>
  <c r="F4648" i="2"/>
  <c r="E4648" i="2"/>
  <c r="D4648" i="2"/>
  <c r="C4648" i="2"/>
  <c r="B4648" i="2"/>
  <c r="A4648" i="2"/>
  <c r="H4647" i="2"/>
  <c r="G4647" i="2"/>
  <c r="F4647" i="2"/>
  <c r="E4647" i="2"/>
  <c r="D4647" i="2"/>
  <c r="C4647" i="2"/>
  <c r="B4647" i="2"/>
  <c r="A4647" i="2"/>
  <c r="H4646" i="2"/>
  <c r="G4646" i="2"/>
  <c r="F4646" i="2"/>
  <c r="E4646" i="2"/>
  <c r="D4646" i="2"/>
  <c r="C4646" i="2"/>
  <c r="B4646" i="2"/>
  <c r="A4646" i="2"/>
  <c r="H4645" i="2"/>
  <c r="G4645" i="2"/>
  <c r="F4645" i="2"/>
  <c r="E4645" i="2"/>
  <c r="D4645" i="2"/>
  <c r="C4645" i="2"/>
  <c r="B4645" i="2"/>
  <c r="A4645" i="2"/>
  <c r="H4644" i="2"/>
  <c r="G4644" i="2"/>
  <c r="F4644" i="2"/>
  <c r="E4644" i="2"/>
  <c r="D4644" i="2"/>
  <c r="C4644" i="2"/>
  <c r="B4644" i="2"/>
  <c r="A4644" i="2"/>
  <c r="H4643" i="2"/>
  <c r="G4643" i="2"/>
  <c r="F4643" i="2"/>
  <c r="E4643" i="2"/>
  <c r="D4643" i="2"/>
  <c r="C4643" i="2"/>
  <c r="B4643" i="2"/>
  <c r="A4643" i="2"/>
  <c r="H4642" i="2"/>
  <c r="G4642" i="2"/>
  <c r="F4642" i="2"/>
  <c r="E4642" i="2"/>
  <c r="D4642" i="2"/>
  <c r="C4642" i="2"/>
  <c r="B4642" i="2"/>
  <c r="A4642" i="2"/>
  <c r="H4641" i="2"/>
  <c r="G4641" i="2"/>
  <c r="F4641" i="2"/>
  <c r="E4641" i="2"/>
  <c r="D4641" i="2"/>
  <c r="C4641" i="2"/>
  <c r="B4641" i="2"/>
  <c r="A4641" i="2"/>
  <c r="H4640" i="2"/>
  <c r="G4640" i="2"/>
  <c r="F4640" i="2"/>
  <c r="E4640" i="2"/>
  <c r="D4640" i="2"/>
  <c r="C4640" i="2"/>
  <c r="B4640" i="2"/>
  <c r="A4640" i="2"/>
  <c r="H4639" i="2"/>
  <c r="G4639" i="2"/>
  <c r="F4639" i="2"/>
  <c r="E4639" i="2"/>
  <c r="D4639" i="2"/>
  <c r="C4639" i="2"/>
  <c r="B4639" i="2"/>
  <c r="A4639" i="2"/>
  <c r="H4638" i="2"/>
  <c r="G4638" i="2"/>
  <c r="F4638" i="2"/>
  <c r="E4638" i="2"/>
  <c r="D4638" i="2"/>
  <c r="C4638" i="2"/>
  <c r="B4638" i="2"/>
  <c r="A4638" i="2"/>
  <c r="H4637" i="2"/>
  <c r="G4637" i="2"/>
  <c r="F4637" i="2"/>
  <c r="E4637" i="2"/>
  <c r="D4637" i="2"/>
  <c r="C4637" i="2"/>
  <c r="B4637" i="2"/>
  <c r="A4637" i="2"/>
  <c r="H4636" i="2"/>
  <c r="G4636" i="2"/>
  <c r="F4636" i="2"/>
  <c r="E4636" i="2"/>
  <c r="D4636" i="2"/>
  <c r="C4636" i="2"/>
  <c r="B4636" i="2"/>
  <c r="A4636" i="2"/>
  <c r="H4635" i="2"/>
  <c r="G4635" i="2"/>
  <c r="F4635" i="2"/>
  <c r="E4635" i="2"/>
  <c r="D4635" i="2"/>
  <c r="C4635" i="2"/>
  <c r="B4635" i="2"/>
  <c r="A4635" i="2"/>
  <c r="H4634" i="2"/>
  <c r="G4634" i="2"/>
  <c r="F4634" i="2"/>
  <c r="E4634" i="2"/>
  <c r="D4634" i="2"/>
  <c r="C4634" i="2"/>
  <c r="B4634" i="2"/>
  <c r="A4634" i="2"/>
  <c r="H4633" i="2"/>
  <c r="G4633" i="2"/>
  <c r="F4633" i="2"/>
  <c r="E4633" i="2"/>
  <c r="D4633" i="2"/>
  <c r="C4633" i="2"/>
  <c r="B4633" i="2"/>
  <c r="A4633" i="2"/>
  <c r="H4632" i="2"/>
  <c r="G4632" i="2"/>
  <c r="F4632" i="2"/>
  <c r="E4632" i="2"/>
  <c r="D4632" i="2"/>
  <c r="C4632" i="2"/>
  <c r="B4632" i="2"/>
  <c r="A4632" i="2"/>
  <c r="H4631" i="2"/>
  <c r="G4631" i="2"/>
  <c r="F4631" i="2"/>
  <c r="E4631" i="2"/>
  <c r="D4631" i="2"/>
  <c r="C4631" i="2"/>
  <c r="B4631" i="2"/>
  <c r="A4631" i="2"/>
  <c r="H4630" i="2"/>
  <c r="G4630" i="2"/>
  <c r="F4630" i="2"/>
  <c r="E4630" i="2"/>
  <c r="D4630" i="2"/>
  <c r="C4630" i="2"/>
  <c r="B4630" i="2"/>
  <c r="A4630" i="2"/>
  <c r="H4629" i="2"/>
  <c r="G4629" i="2"/>
  <c r="F4629" i="2"/>
  <c r="E4629" i="2"/>
  <c r="D4629" i="2"/>
  <c r="C4629" i="2"/>
  <c r="B4629" i="2"/>
  <c r="A4629" i="2"/>
  <c r="H4628" i="2"/>
  <c r="G4628" i="2"/>
  <c r="F4628" i="2"/>
  <c r="E4628" i="2"/>
  <c r="D4628" i="2"/>
  <c r="C4628" i="2"/>
  <c r="B4628" i="2"/>
  <c r="A4628" i="2"/>
  <c r="H4627" i="2"/>
  <c r="G4627" i="2"/>
  <c r="F4627" i="2"/>
  <c r="E4627" i="2"/>
  <c r="D4627" i="2"/>
  <c r="C4627" i="2"/>
  <c r="B4627" i="2"/>
  <c r="A4627" i="2"/>
  <c r="H4626" i="2"/>
  <c r="G4626" i="2"/>
  <c r="F4626" i="2"/>
  <c r="E4626" i="2"/>
  <c r="D4626" i="2"/>
  <c r="C4626" i="2"/>
  <c r="B4626" i="2"/>
  <c r="A4626" i="2"/>
  <c r="H4625" i="2"/>
  <c r="G4625" i="2"/>
  <c r="F4625" i="2"/>
  <c r="E4625" i="2"/>
  <c r="D4625" i="2"/>
  <c r="C4625" i="2"/>
  <c r="B4625" i="2"/>
  <c r="A4625" i="2"/>
  <c r="H4624" i="2"/>
  <c r="G4624" i="2"/>
  <c r="F4624" i="2"/>
  <c r="E4624" i="2"/>
  <c r="D4624" i="2"/>
  <c r="C4624" i="2"/>
  <c r="B4624" i="2"/>
  <c r="A4624" i="2"/>
  <c r="H4623" i="2"/>
  <c r="G4623" i="2"/>
  <c r="F4623" i="2"/>
  <c r="E4623" i="2"/>
  <c r="D4623" i="2"/>
  <c r="C4623" i="2"/>
  <c r="B4623" i="2"/>
  <c r="A4623" i="2"/>
  <c r="H4622" i="2"/>
  <c r="G4622" i="2"/>
  <c r="F4622" i="2"/>
  <c r="E4622" i="2"/>
  <c r="D4622" i="2"/>
  <c r="C4622" i="2"/>
  <c r="B4622" i="2"/>
  <c r="A4622" i="2"/>
  <c r="H4621" i="2"/>
  <c r="G4621" i="2"/>
  <c r="F4621" i="2"/>
  <c r="E4621" i="2"/>
  <c r="D4621" i="2"/>
  <c r="C4621" i="2"/>
  <c r="B4621" i="2"/>
  <c r="A4621" i="2"/>
  <c r="H4620" i="2"/>
  <c r="G4620" i="2"/>
  <c r="F4620" i="2"/>
  <c r="E4620" i="2"/>
  <c r="D4620" i="2"/>
  <c r="C4620" i="2"/>
  <c r="B4620" i="2"/>
  <c r="A4620" i="2"/>
  <c r="H4619" i="2"/>
  <c r="G4619" i="2"/>
  <c r="F4619" i="2"/>
  <c r="E4619" i="2"/>
  <c r="D4619" i="2"/>
  <c r="C4619" i="2"/>
  <c r="B4619" i="2"/>
  <c r="A4619" i="2"/>
  <c r="H4618" i="2"/>
  <c r="G4618" i="2"/>
  <c r="F4618" i="2"/>
  <c r="E4618" i="2"/>
  <c r="D4618" i="2"/>
  <c r="C4618" i="2"/>
  <c r="B4618" i="2"/>
  <c r="A4618" i="2"/>
  <c r="H4617" i="2"/>
  <c r="G4617" i="2"/>
  <c r="F4617" i="2"/>
  <c r="E4617" i="2"/>
  <c r="D4617" i="2"/>
  <c r="C4617" i="2"/>
  <c r="B4617" i="2"/>
  <c r="A4617" i="2"/>
  <c r="H4616" i="2"/>
  <c r="G4616" i="2"/>
  <c r="F4616" i="2"/>
  <c r="E4616" i="2"/>
  <c r="D4616" i="2"/>
  <c r="C4616" i="2"/>
  <c r="B4616" i="2"/>
  <c r="A4616" i="2"/>
  <c r="H4615" i="2"/>
  <c r="G4615" i="2"/>
  <c r="F4615" i="2"/>
  <c r="E4615" i="2"/>
  <c r="D4615" i="2"/>
  <c r="C4615" i="2"/>
  <c r="B4615" i="2"/>
  <c r="A4615" i="2"/>
  <c r="H4614" i="2"/>
  <c r="G4614" i="2"/>
  <c r="F4614" i="2"/>
  <c r="E4614" i="2"/>
  <c r="D4614" i="2"/>
  <c r="C4614" i="2"/>
  <c r="B4614" i="2"/>
  <c r="A4614" i="2"/>
  <c r="H4613" i="2"/>
  <c r="G4613" i="2"/>
  <c r="F4613" i="2"/>
  <c r="E4613" i="2"/>
  <c r="D4613" i="2"/>
  <c r="C4613" i="2"/>
  <c r="B4613" i="2"/>
  <c r="A4613" i="2"/>
  <c r="H4612" i="2"/>
  <c r="G4612" i="2"/>
  <c r="F4612" i="2"/>
  <c r="E4612" i="2"/>
  <c r="D4612" i="2"/>
  <c r="C4612" i="2"/>
  <c r="B4612" i="2"/>
  <c r="A4612" i="2"/>
  <c r="H4611" i="2"/>
  <c r="G4611" i="2"/>
  <c r="F4611" i="2"/>
  <c r="E4611" i="2"/>
  <c r="D4611" i="2"/>
  <c r="C4611" i="2"/>
  <c r="B4611" i="2"/>
  <c r="A4611" i="2"/>
  <c r="H4610" i="2"/>
  <c r="G4610" i="2"/>
  <c r="F4610" i="2"/>
  <c r="E4610" i="2"/>
  <c r="D4610" i="2"/>
  <c r="C4610" i="2"/>
  <c r="B4610" i="2"/>
  <c r="A4610" i="2"/>
  <c r="H4609" i="2"/>
  <c r="G4609" i="2"/>
  <c r="F4609" i="2"/>
  <c r="E4609" i="2"/>
  <c r="D4609" i="2"/>
  <c r="C4609" i="2"/>
  <c r="B4609" i="2"/>
  <c r="A4609" i="2"/>
  <c r="H4608" i="2"/>
  <c r="G4608" i="2"/>
  <c r="F4608" i="2"/>
  <c r="E4608" i="2"/>
  <c r="D4608" i="2"/>
  <c r="C4608" i="2"/>
  <c r="B4608" i="2"/>
  <c r="A4608" i="2"/>
  <c r="H4607" i="2"/>
  <c r="G4607" i="2"/>
  <c r="F4607" i="2"/>
  <c r="E4607" i="2"/>
  <c r="D4607" i="2"/>
  <c r="C4607" i="2"/>
  <c r="B4607" i="2"/>
  <c r="A4607" i="2"/>
  <c r="H4606" i="2"/>
  <c r="G4606" i="2"/>
  <c r="F4606" i="2"/>
  <c r="E4606" i="2"/>
  <c r="D4606" i="2"/>
  <c r="C4606" i="2"/>
  <c r="B4606" i="2"/>
  <c r="A4606" i="2"/>
  <c r="H4605" i="2"/>
  <c r="G4605" i="2"/>
  <c r="F4605" i="2"/>
  <c r="E4605" i="2"/>
  <c r="D4605" i="2"/>
  <c r="C4605" i="2"/>
  <c r="B4605" i="2"/>
  <c r="A4605" i="2"/>
  <c r="H4604" i="2"/>
  <c r="G4604" i="2"/>
  <c r="F4604" i="2"/>
  <c r="E4604" i="2"/>
  <c r="D4604" i="2"/>
  <c r="C4604" i="2"/>
  <c r="B4604" i="2"/>
  <c r="A4604" i="2"/>
  <c r="H4603" i="2"/>
  <c r="G4603" i="2"/>
  <c r="F4603" i="2"/>
  <c r="E4603" i="2"/>
  <c r="D4603" i="2"/>
  <c r="C4603" i="2"/>
  <c r="B4603" i="2"/>
  <c r="A4603" i="2"/>
  <c r="H4602" i="2"/>
  <c r="G4602" i="2"/>
  <c r="F4602" i="2"/>
  <c r="E4602" i="2"/>
  <c r="D4602" i="2"/>
  <c r="C4602" i="2"/>
  <c r="B4602" i="2"/>
  <c r="A4602" i="2"/>
  <c r="H4601" i="2"/>
  <c r="G4601" i="2"/>
  <c r="F4601" i="2"/>
  <c r="E4601" i="2"/>
  <c r="D4601" i="2"/>
  <c r="C4601" i="2"/>
  <c r="B4601" i="2"/>
  <c r="A4601" i="2"/>
  <c r="H4600" i="2"/>
  <c r="G4600" i="2"/>
  <c r="F4600" i="2"/>
  <c r="E4600" i="2"/>
  <c r="D4600" i="2"/>
  <c r="C4600" i="2"/>
  <c r="B4600" i="2"/>
  <c r="A4600" i="2"/>
  <c r="H4599" i="2"/>
  <c r="G4599" i="2"/>
  <c r="F4599" i="2"/>
  <c r="E4599" i="2"/>
  <c r="D4599" i="2"/>
  <c r="C4599" i="2"/>
  <c r="B4599" i="2"/>
  <c r="A4599" i="2"/>
  <c r="H4598" i="2"/>
  <c r="G4598" i="2"/>
  <c r="F4598" i="2"/>
  <c r="E4598" i="2"/>
  <c r="D4598" i="2"/>
  <c r="C4598" i="2"/>
  <c r="B4598" i="2"/>
  <c r="A4598" i="2"/>
  <c r="H4597" i="2"/>
  <c r="G4597" i="2"/>
  <c r="F4597" i="2"/>
  <c r="E4597" i="2"/>
  <c r="D4597" i="2"/>
  <c r="C4597" i="2"/>
  <c r="B4597" i="2"/>
  <c r="A4597" i="2"/>
  <c r="H4596" i="2"/>
  <c r="G4596" i="2"/>
  <c r="F4596" i="2"/>
  <c r="E4596" i="2"/>
  <c r="D4596" i="2"/>
  <c r="C4596" i="2"/>
  <c r="B4596" i="2"/>
  <c r="A4596" i="2"/>
  <c r="H4595" i="2"/>
  <c r="G4595" i="2"/>
  <c r="F4595" i="2"/>
  <c r="E4595" i="2"/>
  <c r="D4595" i="2"/>
  <c r="C4595" i="2"/>
  <c r="B4595" i="2"/>
  <c r="A4595" i="2"/>
  <c r="H4594" i="2"/>
  <c r="G4594" i="2"/>
  <c r="F4594" i="2"/>
  <c r="E4594" i="2"/>
  <c r="D4594" i="2"/>
  <c r="C4594" i="2"/>
  <c r="B4594" i="2"/>
  <c r="A4594" i="2"/>
  <c r="H4593" i="2"/>
  <c r="G4593" i="2"/>
  <c r="F4593" i="2"/>
  <c r="E4593" i="2"/>
  <c r="D4593" i="2"/>
  <c r="C4593" i="2"/>
  <c r="B4593" i="2"/>
  <c r="A4593" i="2"/>
  <c r="H4592" i="2"/>
  <c r="G4592" i="2"/>
  <c r="F4592" i="2"/>
  <c r="E4592" i="2"/>
  <c r="D4592" i="2"/>
  <c r="C4592" i="2"/>
  <c r="B4592" i="2"/>
  <c r="A4592" i="2"/>
  <c r="H4591" i="2"/>
  <c r="G4591" i="2"/>
  <c r="F4591" i="2"/>
  <c r="E4591" i="2"/>
  <c r="D4591" i="2"/>
  <c r="C4591" i="2"/>
  <c r="B4591" i="2"/>
  <c r="A4591" i="2"/>
  <c r="H4590" i="2"/>
  <c r="G4590" i="2"/>
  <c r="F4590" i="2"/>
  <c r="E4590" i="2"/>
  <c r="D4590" i="2"/>
  <c r="C4590" i="2"/>
  <c r="B4590" i="2"/>
  <c r="A4590" i="2"/>
  <c r="H4589" i="2"/>
  <c r="G4589" i="2"/>
  <c r="F4589" i="2"/>
  <c r="E4589" i="2"/>
  <c r="D4589" i="2"/>
  <c r="C4589" i="2"/>
  <c r="B4589" i="2"/>
  <c r="A4589" i="2"/>
  <c r="H4588" i="2"/>
  <c r="G4588" i="2"/>
  <c r="F4588" i="2"/>
  <c r="E4588" i="2"/>
  <c r="D4588" i="2"/>
  <c r="C4588" i="2"/>
  <c r="B4588" i="2"/>
  <c r="A4588" i="2"/>
  <c r="H4587" i="2"/>
  <c r="G4587" i="2"/>
  <c r="F4587" i="2"/>
  <c r="E4587" i="2"/>
  <c r="D4587" i="2"/>
  <c r="C4587" i="2"/>
  <c r="B4587" i="2"/>
  <c r="A4587" i="2"/>
  <c r="H4586" i="2"/>
  <c r="G4586" i="2"/>
  <c r="F4586" i="2"/>
  <c r="E4586" i="2"/>
  <c r="D4586" i="2"/>
  <c r="C4586" i="2"/>
  <c r="B4586" i="2"/>
  <c r="A4586" i="2"/>
  <c r="H4585" i="2"/>
  <c r="G4585" i="2"/>
  <c r="F4585" i="2"/>
  <c r="E4585" i="2"/>
  <c r="D4585" i="2"/>
  <c r="C4585" i="2"/>
  <c r="B4585" i="2"/>
  <c r="A4585" i="2"/>
  <c r="H4584" i="2"/>
  <c r="G4584" i="2"/>
  <c r="F4584" i="2"/>
  <c r="E4584" i="2"/>
  <c r="D4584" i="2"/>
  <c r="C4584" i="2"/>
  <c r="B4584" i="2"/>
  <c r="A4584" i="2"/>
  <c r="H4583" i="2"/>
  <c r="G4583" i="2"/>
  <c r="F4583" i="2"/>
  <c r="E4583" i="2"/>
  <c r="D4583" i="2"/>
  <c r="C4583" i="2"/>
  <c r="B4583" i="2"/>
  <c r="A4583" i="2"/>
  <c r="H4582" i="2"/>
  <c r="G4582" i="2"/>
  <c r="F4582" i="2"/>
  <c r="E4582" i="2"/>
  <c r="D4582" i="2"/>
  <c r="C4582" i="2"/>
  <c r="B4582" i="2"/>
  <c r="A4582" i="2"/>
  <c r="H4581" i="2"/>
  <c r="G4581" i="2"/>
  <c r="F4581" i="2"/>
  <c r="E4581" i="2"/>
  <c r="D4581" i="2"/>
  <c r="C4581" i="2"/>
  <c r="B4581" i="2"/>
  <c r="A4581" i="2"/>
  <c r="H4580" i="2"/>
  <c r="G4580" i="2"/>
  <c r="F4580" i="2"/>
  <c r="E4580" i="2"/>
  <c r="D4580" i="2"/>
  <c r="C4580" i="2"/>
  <c r="B4580" i="2"/>
  <c r="A4580" i="2"/>
  <c r="H4579" i="2"/>
  <c r="G4579" i="2"/>
  <c r="F4579" i="2"/>
  <c r="E4579" i="2"/>
  <c r="D4579" i="2"/>
  <c r="C4579" i="2"/>
  <c r="B4579" i="2"/>
  <c r="A4579" i="2"/>
  <c r="H4578" i="2"/>
  <c r="G4578" i="2"/>
  <c r="F4578" i="2"/>
  <c r="E4578" i="2"/>
  <c r="D4578" i="2"/>
  <c r="C4578" i="2"/>
  <c r="B4578" i="2"/>
  <c r="A4578" i="2"/>
  <c r="H4577" i="2"/>
  <c r="G4577" i="2"/>
  <c r="F4577" i="2"/>
  <c r="E4577" i="2"/>
  <c r="D4577" i="2"/>
  <c r="C4577" i="2"/>
  <c r="B4577" i="2"/>
  <c r="A4577" i="2"/>
  <c r="H4576" i="2"/>
  <c r="G4576" i="2"/>
  <c r="F4576" i="2"/>
  <c r="E4576" i="2"/>
  <c r="D4576" i="2"/>
  <c r="C4576" i="2"/>
  <c r="B4576" i="2"/>
  <c r="A4576" i="2"/>
  <c r="H4575" i="2"/>
  <c r="G4575" i="2"/>
  <c r="F4575" i="2"/>
  <c r="E4575" i="2"/>
  <c r="D4575" i="2"/>
  <c r="C4575" i="2"/>
  <c r="B4575" i="2"/>
  <c r="A4575" i="2"/>
  <c r="H4574" i="2"/>
  <c r="G4574" i="2"/>
  <c r="F4574" i="2"/>
  <c r="E4574" i="2"/>
  <c r="D4574" i="2"/>
  <c r="C4574" i="2"/>
  <c r="B4574" i="2"/>
  <c r="A4574" i="2"/>
  <c r="H4573" i="2"/>
  <c r="G4573" i="2"/>
  <c r="F4573" i="2"/>
  <c r="E4573" i="2"/>
  <c r="D4573" i="2"/>
  <c r="C4573" i="2"/>
  <c r="B4573" i="2"/>
  <c r="A4573" i="2"/>
  <c r="H4572" i="2"/>
  <c r="G4572" i="2"/>
  <c r="F4572" i="2"/>
  <c r="E4572" i="2"/>
  <c r="D4572" i="2"/>
  <c r="C4572" i="2"/>
  <c r="B4572" i="2"/>
  <c r="A4572" i="2"/>
  <c r="H4571" i="2"/>
  <c r="G4571" i="2"/>
  <c r="F4571" i="2"/>
  <c r="E4571" i="2"/>
  <c r="D4571" i="2"/>
  <c r="C4571" i="2"/>
  <c r="B4571" i="2"/>
  <c r="A4571" i="2"/>
  <c r="H4570" i="2"/>
  <c r="G4570" i="2"/>
  <c r="F4570" i="2"/>
  <c r="E4570" i="2"/>
  <c r="D4570" i="2"/>
  <c r="C4570" i="2"/>
  <c r="B4570" i="2"/>
  <c r="A4570" i="2"/>
  <c r="H4569" i="2"/>
  <c r="G4569" i="2"/>
  <c r="F4569" i="2"/>
  <c r="E4569" i="2"/>
  <c r="D4569" i="2"/>
  <c r="C4569" i="2"/>
  <c r="B4569" i="2"/>
  <c r="A4569" i="2"/>
  <c r="H4568" i="2"/>
  <c r="G4568" i="2"/>
  <c r="F4568" i="2"/>
  <c r="E4568" i="2"/>
  <c r="D4568" i="2"/>
  <c r="C4568" i="2"/>
  <c r="B4568" i="2"/>
  <c r="A4568" i="2"/>
  <c r="H4567" i="2"/>
  <c r="G4567" i="2"/>
  <c r="F4567" i="2"/>
  <c r="E4567" i="2"/>
  <c r="D4567" i="2"/>
  <c r="C4567" i="2"/>
  <c r="B4567" i="2"/>
  <c r="A4567" i="2"/>
  <c r="H4566" i="2"/>
  <c r="G4566" i="2"/>
  <c r="F4566" i="2"/>
  <c r="E4566" i="2"/>
  <c r="D4566" i="2"/>
  <c r="C4566" i="2"/>
  <c r="B4566" i="2"/>
  <c r="A4566" i="2"/>
  <c r="H4565" i="2"/>
  <c r="G4565" i="2"/>
  <c r="F4565" i="2"/>
  <c r="E4565" i="2"/>
  <c r="D4565" i="2"/>
  <c r="C4565" i="2"/>
  <c r="B4565" i="2"/>
  <c r="A4565" i="2"/>
  <c r="H4564" i="2"/>
  <c r="G4564" i="2"/>
  <c r="F4564" i="2"/>
  <c r="E4564" i="2"/>
  <c r="D4564" i="2"/>
  <c r="C4564" i="2"/>
  <c r="B4564" i="2"/>
  <c r="A4564" i="2"/>
  <c r="H4563" i="2"/>
  <c r="G4563" i="2"/>
  <c r="F4563" i="2"/>
  <c r="E4563" i="2"/>
  <c r="D4563" i="2"/>
  <c r="C4563" i="2"/>
  <c r="B4563" i="2"/>
  <c r="A4563" i="2"/>
  <c r="H4562" i="2"/>
  <c r="G4562" i="2"/>
  <c r="F4562" i="2"/>
  <c r="E4562" i="2"/>
  <c r="D4562" i="2"/>
  <c r="C4562" i="2"/>
  <c r="B4562" i="2"/>
  <c r="A4562" i="2"/>
  <c r="H4561" i="2"/>
  <c r="G4561" i="2"/>
  <c r="F4561" i="2"/>
  <c r="E4561" i="2"/>
  <c r="D4561" i="2"/>
  <c r="C4561" i="2"/>
  <c r="B4561" i="2"/>
  <c r="A4561" i="2"/>
  <c r="H4560" i="2"/>
  <c r="G4560" i="2"/>
  <c r="F4560" i="2"/>
  <c r="E4560" i="2"/>
  <c r="D4560" i="2"/>
  <c r="C4560" i="2"/>
  <c r="B4560" i="2"/>
  <c r="A4560" i="2"/>
  <c r="H4559" i="2"/>
  <c r="G4559" i="2"/>
  <c r="F4559" i="2"/>
  <c r="E4559" i="2"/>
  <c r="D4559" i="2"/>
  <c r="C4559" i="2"/>
  <c r="B4559" i="2"/>
  <c r="A4559" i="2"/>
  <c r="H4558" i="2"/>
  <c r="G4558" i="2"/>
  <c r="F4558" i="2"/>
  <c r="E4558" i="2"/>
  <c r="D4558" i="2"/>
  <c r="C4558" i="2"/>
  <c r="B4558" i="2"/>
  <c r="A4558" i="2"/>
  <c r="H4557" i="2"/>
  <c r="G4557" i="2"/>
  <c r="F4557" i="2"/>
  <c r="E4557" i="2"/>
  <c r="D4557" i="2"/>
  <c r="C4557" i="2"/>
  <c r="B4557" i="2"/>
  <c r="A4557" i="2"/>
  <c r="H4556" i="2"/>
  <c r="G4556" i="2"/>
  <c r="F4556" i="2"/>
  <c r="E4556" i="2"/>
  <c r="D4556" i="2"/>
  <c r="C4556" i="2"/>
  <c r="B4556" i="2"/>
  <c r="A4556" i="2"/>
  <c r="H4555" i="2"/>
  <c r="G4555" i="2"/>
  <c r="F4555" i="2"/>
  <c r="E4555" i="2"/>
  <c r="D4555" i="2"/>
  <c r="C4555" i="2"/>
  <c r="B4555" i="2"/>
  <c r="A4555" i="2"/>
  <c r="H4554" i="2"/>
  <c r="G4554" i="2"/>
  <c r="F4554" i="2"/>
  <c r="E4554" i="2"/>
  <c r="D4554" i="2"/>
  <c r="C4554" i="2"/>
  <c r="B4554" i="2"/>
  <c r="A4554" i="2"/>
  <c r="H4553" i="2"/>
  <c r="G4553" i="2"/>
  <c r="F4553" i="2"/>
  <c r="E4553" i="2"/>
  <c r="D4553" i="2"/>
  <c r="C4553" i="2"/>
  <c r="B4553" i="2"/>
  <c r="A4553" i="2"/>
  <c r="H4552" i="2"/>
  <c r="G4552" i="2"/>
  <c r="F4552" i="2"/>
  <c r="E4552" i="2"/>
  <c r="D4552" i="2"/>
  <c r="C4552" i="2"/>
  <c r="B4552" i="2"/>
  <c r="A4552" i="2"/>
  <c r="H4551" i="2"/>
  <c r="G4551" i="2"/>
  <c r="F4551" i="2"/>
  <c r="E4551" i="2"/>
  <c r="D4551" i="2"/>
  <c r="C4551" i="2"/>
  <c r="B4551" i="2"/>
  <c r="A4551" i="2"/>
  <c r="H4550" i="2"/>
  <c r="G4550" i="2"/>
  <c r="F4550" i="2"/>
  <c r="E4550" i="2"/>
  <c r="D4550" i="2"/>
  <c r="C4550" i="2"/>
  <c r="B4550" i="2"/>
  <c r="A4550" i="2"/>
  <c r="H4549" i="2"/>
  <c r="G4549" i="2"/>
  <c r="F4549" i="2"/>
  <c r="E4549" i="2"/>
  <c r="D4549" i="2"/>
  <c r="C4549" i="2"/>
  <c r="B4549" i="2"/>
  <c r="A4549" i="2"/>
  <c r="H4548" i="2"/>
  <c r="G4548" i="2"/>
  <c r="F4548" i="2"/>
  <c r="E4548" i="2"/>
  <c r="D4548" i="2"/>
  <c r="C4548" i="2"/>
  <c r="B4548" i="2"/>
  <c r="A4548" i="2"/>
  <c r="H4547" i="2"/>
  <c r="G4547" i="2"/>
  <c r="F4547" i="2"/>
  <c r="E4547" i="2"/>
  <c r="D4547" i="2"/>
  <c r="C4547" i="2"/>
  <c r="B4547" i="2"/>
  <c r="A4547" i="2"/>
  <c r="H4546" i="2"/>
  <c r="G4546" i="2"/>
  <c r="F4546" i="2"/>
  <c r="E4546" i="2"/>
  <c r="D4546" i="2"/>
  <c r="C4546" i="2"/>
  <c r="B4546" i="2"/>
  <c r="A4546" i="2"/>
  <c r="H4545" i="2"/>
  <c r="G4545" i="2"/>
  <c r="F4545" i="2"/>
  <c r="E4545" i="2"/>
  <c r="D4545" i="2"/>
  <c r="C4545" i="2"/>
  <c r="B4545" i="2"/>
  <c r="A4545" i="2"/>
  <c r="H4544" i="2"/>
  <c r="G4544" i="2"/>
  <c r="F4544" i="2"/>
  <c r="E4544" i="2"/>
  <c r="D4544" i="2"/>
  <c r="C4544" i="2"/>
  <c r="B4544" i="2"/>
  <c r="A4544" i="2"/>
  <c r="H4543" i="2"/>
  <c r="G4543" i="2"/>
  <c r="F4543" i="2"/>
  <c r="E4543" i="2"/>
  <c r="D4543" i="2"/>
  <c r="C4543" i="2"/>
  <c r="B4543" i="2"/>
  <c r="A4543" i="2"/>
  <c r="H4542" i="2"/>
  <c r="G4542" i="2"/>
  <c r="F4542" i="2"/>
  <c r="E4542" i="2"/>
  <c r="D4542" i="2"/>
  <c r="C4542" i="2"/>
  <c r="B4542" i="2"/>
  <c r="A4542" i="2"/>
  <c r="H4541" i="2"/>
  <c r="G4541" i="2"/>
  <c r="F4541" i="2"/>
  <c r="E4541" i="2"/>
  <c r="D4541" i="2"/>
  <c r="C4541" i="2"/>
  <c r="B4541" i="2"/>
  <c r="A4541" i="2"/>
  <c r="H4540" i="2"/>
  <c r="G4540" i="2"/>
  <c r="F4540" i="2"/>
  <c r="E4540" i="2"/>
  <c r="D4540" i="2"/>
  <c r="C4540" i="2"/>
  <c r="B4540" i="2"/>
  <c r="A4540" i="2"/>
  <c r="H4539" i="2"/>
  <c r="G4539" i="2"/>
  <c r="F4539" i="2"/>
  <c r="E4539" i="2"/>
  <c r="D4539" i="2"/>
  <c r="C4539" i="2"/>
  <c r="B4539" i="2"/>
  <c r="A4539" i="2"/>
  <c r="H4538" i="2"/>
  <c r="G4538" i="2"/>
  <c r="F4538" i="2"/>
  <c r="E4538" i="2"/>
  <c r="D4538" i="2"/>
  <c r="C4538" i="2"/>
  <c r="B4538" i="2"/>
  <c r="A4538" i="2"/>
  <c r="H4537" i="2"/>
  <c r="G4537" i="2"/>
  <c r="F4537" i="2"/>
  <c r="E4537" i="2"/>
  <c r="D4537" i="2"/>
  <c r="C4537" i="2"/>
  <c r="B4537" i="2"/>
  <c r="A4537" i="2"/>
  <c r="H4536" i="2"/>
  <c r="G4536" i="2"/>
  <c r="F4536" i="2"/>
  <c r="E4536" i="2"/>
  <c r="D4536" i="2"/>
  <c r="C4536" i="2"/>
  <c r="B4536" i="2"/>
  <c r="A4536" i="2"/>
  <c r="H4535" i="2"/>
  <c r="G4535" i="2"/>
  <c r="F4535" i="2"/>
  <c r="E4535" i="2"/>
  <c r="D4535" i="2"/>
  <c r="C4535" i="2"/>
  <c r="B4535" i="2"/>
  <c r="A4535" i="2"/>
  <c r="H4534" i="2"/>
  <c r="G4534" i="2"/>
  <c r="F4534" i="2"/>
  <c r="E4534" i="2"/>
  <c r="D4534" i="2"/>
  <c r="C4534" i="2"/>
  <c r="B4534" i="2"/>
  <c r="A4534" i="2"/>
  <c r="H4533" i="2"/>
  <c r="G4533" i="2"/>
  <c r="F4533" i="2"/>
  <c r="E4533" i="2"/>
  <c r="D4533" i="2"/>
  <c r="C4533" i="2"/>
  <c r="B4533" i="2"/>
  <c r="A4533" i="2"/>
  <c r="H4532" i="2"/>
  <c r="G4532" i="2"/>
  <c r="F4532" i="2"/>
  <c r="E4532" i="2"/>
  <c r="D4532" i="2"/>
  <c r="C4532" i="2"/>
  <c r="B4532" i="2"/>
  <c r="A4532" i="2"/>
  <c r="H4531" i="2"/>
  <c r="G4531" i="2"/>
  <c r="F4531" i="2"/>
  <c r="E4531" i="2"/>
  <c r="D4531" i="2"/>
  <c r="C4531" i="2"/>
  <c r="B4531" i="2"/>
  <c r="A4531" i="2"/>
  <c r="H4530" i="2"/>
  <c r="G4530" i="2"/>
  <c r="F4530" i="2"/>
  <c r="E4530" i="2"/>
  <c r="D4530" i="2"/>
  <c r="C4530" i="2"/>
  <c r="B4530" i="2"/>
  <c r="A4530" i="2"/>
  <c r="H4529" i="2"/>
  <c r="G4529" i="2"/>
  <c r="F4529" i="2"/>
  <c r="E4529" i="2"/>
  <c r="D4529" i="2"/>
  <c r="C4529" i="2"/>
  <c r="B4529" i="2"/>
  <c r="A4529" i="2"/>
  <c r="H4528" i="2"/>
  <c r="G4528" i="2"/>
  <c r="F4528" i="2"/>
  <c r="E4528" i="2"/>
  <c r="D4528" i="2"/>
  <c r="C4528" i="2"/>
  <c r="B4528" i="2"/>
  <c r="A4528" i="2"/>
  <c r="H4527" i="2"/>
  <c r="G4527" i="2"/>
  <c r="F4527" i="2"/>
  <c r="E4527" i="2"/>
  <c r="D4527" i="2"/>
  <c r="C4527" i="2"/>
  <c r="B4527" i="2"/>
  <c r="A4527" i="2"/>
  <c r="H4526" i="2"/>
  <c r="G4526" i="2"/>
  <c r="F4526" i="2"/>
  <c r="E4526" i="2"/>
  <c r="D4526" i="2"/>
  <c r="C4526" i="2"/>
  <c r="B4526" i="2"/>
  <c r="A4526" i="2"/>
  <c r="H4525" i="2"/>
  <c r="G4525" i="2"/>
  <c r="F4525" i="2"/>
  <c r="E4525" i="2"/>
  <c r="D4525" i="2"/>
  <c r="C4525" i="2"/>
  <c r="B4525" i="2"/>
  <c r="A4525" i="2"/>
  <c r="H4524" i="2"/>
  <c r="G4524" i="2"/>
  <c r="F4524" i="2"/>
  <c r="E4524" i="2"/>
  <c r="D4524" i="2"/>
  <c r="C4524" i="2"/>
  <c r="B4524" i="2"/>
  <c r="A4524" i="2"/>
  <c r="H4523" i="2"/>
  <c r="G4523" i="2"/>
  <c r="F4523" i="2"/>
  <c r="E4523" i="2"/>
  <c r="D4523" i="2"/>
  <c r="C4523" i="2"/>
  <c r="B4523" i="2"/>
  <c r="A4523" i="2"/>
  <c r="H4522" i="2"/>
  <c r="G4522" i="2"/>
  <c r="F4522" i="2"/>
  <c r="E4522" i="2"/>
  <c r="D4522" i="2"/>
  <c r="C4522" i="2"/>
  <c r="B4522" i="2"/>
  <c r="A4522" i="2"/>
  <c r="H4521" i="2"/>
  <c r="G4521" i="2"/>
  <c r="F4521" i="2"/>
  <c r="E4521" i="2"/>
  <c r="D4521" i="2"/>
  <c r="C4521" i="2"/>
  <c r="B4521" i="2"/>
  <c r="A4521" i="2"/>
  <c r="H4520" i="2"/>
  <c r="G4520" i="2"/>
  <c r="F4520" i="2"/>
  <c r="E4520" i="2"/>
  <c r="D4520" i="2"/>
  <c r="C4520" i="2"/>
  <c r="B4520" i="2"/>
  <c r="A4520" i="2"/>
  <c r="H4519" i="2"/>
  <c r="G4519" i="2"/>
  <c r="F4519" i="2"/>
  <c r="E4519" i="2"/>
  <c r="D4519" i="2"/>
  <c r="C4519" i="2"/>
  <c r="B4519" i="2"/>
  <c r="A4519" i="2"/>
  <c r="H4518" i="2"/>
  <c r="G4518" i="2"/>
  <c r="F4518" i="2"/>
  <c r="E4518" i="2"/>
  <c r="D4518" i="2"/>
  <c r="C4518" i="2"/>
  <c r="B4518" i="2"/>
  <c r="A4518" i="2"/>
  <c r="H4517" i="2"/>
  <c r="G4517" i="2"/>
  <c r="F4517" i="2"/>
  <c r="E4517" i="2"/>
  <c r="D4517" i="2"/>
  <c r="C4517" i="2"/>
  <c r="B4517" i="2"/>
  <c r="A4517" i="2"/>
  <c r="H4516" i="2"/>
  <c r="G4516" i="2"/>
  <c r="F4516" i="2"/>
  <c r="E4516" i="2"/>
  <c r="D4516" i="2"/>
  <c r="C4516" i="2"/>
  <c r="B4516" i="2"/>
  <c r="A4516" i="2"/>
  <c r="H4515" i="2"/>
  <c r="G4515" i="2"/>
  <c r="F4515" i="2"/>
  <c r="E4515" i="2"/>
  <c r="D4515" i="2"/>
  <c r="C4515" i="2"/>
  <c r="B4515" i="2"/>
  <c r="A4515" i="2"/>
  <c r="H4514" i="2"/>
  <c r="G4514" i="2"/>
  <c r="F4514" i="2"/>
  <c r="E4514" i="2"/>
  <c r="D4514" i="2"/>
  <c r="C4514" i="2"/>
  <c r="B4514" i="2"/>
  <c r="A4514" i="2"/>
  <c r="H4513" i="2"/>
  <c r="G4513" i="2"/>
  <c r="F4513" i="2"/>
  <c r="E4513" i="2"/>
  <c r="D4513" i="2"/>
  <c r="C4513" i="2"/>
  <c r="B4513" i="2"/>
  <c r="A4513" i="2"/>
  <c r="H4512" i="2"/>
  <c r="G4512" i="2"/>
  <c r="F4512" i="2"/>
  <c r="E4512" i="2"/>
  <c r="D4512" i="2"/>
  <c r="C4512" i="2"/>
  <c r="B4512" i="2"/>
  <c r="A4512" i="2"/>
  <c r="H4511" i="2"/>
  <c r="G4511" i="2"/>
  <c r="F4511" i="2"/>
  <c r="E4511" i="2"/>
  <c r="D4511" i="2"/>
  <c r="C4511" i="2"/>
  <c r="B4511" i="2"/>
  <c r="A4511" i="2"/>
  <c r="H4510" i="2"/>
  <c r="G4510" i="2"/>
  <c r="F4510" i="2"/>
  <c r="E4510" i="2"/>
  <c r="D4510" i="2"/>
  <c r="C4510" i="2"/>
  <c r="B4510" i="2"/>
  <c r="A4510" i="2"/>
  <c r="H4509" i="2"/>
  <c r="G4509" i="2"/>
  <c r="F4509" i="2"/>
  <c r="E4509" i="2"/>
  <c r="D4509" i="2"/>
  <c r="C4509" i="2"/>
  <c r="B4509" i="2"/>
  <c r="A4509" i="2"/>
  <c r="H4508" i="2"/>
  <c r="G4508" i="2"/>
  <c r="F4508" i="2"/>
  <c r="E4508" i="2"/>
  <c r="D4508" i="2"/>
  <c r="C4508" i="2"/>
  <c r="B4508" i="2"/>
  <c r="A4508" i="2"/>
  <c r="H4507" i="2"/>
  <c r="G4507" i="2"/>
  <c r="F4507" i="2"/>
  <c r="E4507" i="2"/>
  <c r="D4507" i="2"/>
  <c r="C4507" i="2"/>
  <c r="B4507" i="2"/>
  <c r="A4507" i="2"/>
  <c r="H4506" i="2"/>
  <c r="G4506" i="2"/>
  <c r="F4506" i="2"/>
  <c r="E4506" i="2"/>
  <c r="D4506" i="2"/>
  <c r="C4506" i="2"/>
  <c r="B4506" i="2"/>
  <c r="A4506" i="2"/>
  <c r="H4505" i="2"/>
  <c r="G4505" i="2"/>
  <c r="F4505" i="2"/>
  <c r="E4505" i="2"/>
  <c r="D4505" i="2"/>
  <c r="C4505" i="2"/>
  <c r="B4505" i="2"/>
  <c r="A4505" i="2"/>
  <c r="H4504" i="2"/>
  <c r="G4504" i="2"/>
  <c r="F4504" i="2"/>
  <c r="E4504" i="2"/>
  <c r="D4504" i="2"/>
  <c r="C4504" i="2"/>
  <c r="B4504" i="2"/>
  <c r="A4504" i="2"/>
  <c r="H4503" i="2"/>
  <c r="G4503" i="2"/>
  <c r="F4503" i="2"/>
  <c r="E4503" i="2"/>
  <c r="D4503" i="2"/>
  <c r="C4503" i="2"/>
  <c r="B4503" i="2"/>
  <c r="A4503" i="2"/>
  <c r="H4502" i="2"/>
  <c r="G4502" i="2"/>
  <c r="F4502" i="2"/>
  <c r="E4502" i="2"/>
  <c r="D4502" i="2"/>
  <c r="C4502" i="2"/>
  <c r="B4502" i="2"/>
  <c r="A4502" i="2"/>
  <c r="H4501" i="2"/>
  <c r="G4501" i="2"/>
  <c r="F4501" i="2"/>
  <c r="E4501" i="2"/>
  <c r="D4501" i="2"/>
  <c r="C4501" i="2"/>
  <c r="B4501" i="2"/>
  <c r="A4501" i="2"/>
  <c r="H4500" i="2"/>
  <c r="G4500" i="2"/>
  <c r="F4500" i="2"/>
  <c r="E4500" i="2"/>
  <c r="D4500" i="2"/>
  <c r="C4500" i="2"/>
  <c r="B4500" i="2"/>
  <c r="A4500" i="2"/>
  <c r="H4499" i="2"/>
  <c r="G4499" i="2"/>
  <c r="F4499" i="2"/>
  <c r="E4499" i="2"/>
  <c r="D4499" i="2"/>
  <c r="C4499" i="2"/>
  <c r="B4499" i="2"/>
  <c r="A4499" i="2"/>
  <c r="H4498" i="2"/>
  <c r="G4498" i="2"/>
  <c r="F4498" i="2"/>
  <c r="E4498" i="2"/>
  <c r="D4498" i="2"/>
  <c r="C4498" i="2"/>
  <c r="B4498" i="2"/>
  <c r="A4498" i="2"/>
  <c r="H4497" i="2"/>
  <c r="G4497" i="2"/>
  <c r="F4497" i="2"/>
  <c r="E4497" i="2"/>
  <c r="D4497" i="2"/>
  <c r="C4497" i="2"/>
  <c r="B4497" i="2"/>
  <c r="A4497" i="2"/>
  <c r="H4496" i="2"/>
  <c r="G4496" i="2"/>
  <c r="F4496" i="2"/>
  <c r="E4496" i="2"/>
  <c r="D4496" i="2"/>
  <c r="C4496" i="2"/>
  <c r="B4496" i="2"/>
  <c r="A4496" i="2"/>
  <c r="H4495" i="2"/>
  <c r="G4495" i="2"/>
  <c r="F4495" i="2"/>
  <c r="E4495" i="2"/>
  <c r="D4495" i="2"/>
  <c r="C4495" i="2"/>
  <c r="B4495" i="2"/>
  <c r="A4495" i="2"/>
  <c r="H4494" i="2"/>
  <c r="G4494" i="2"/>
  <c r="F4494" i="2"/>
  <c r="E4494" i="2"/>
  <c r="D4494" i="2"/>
  <c r="C4494" i="2"/>
  <c r="B4494" i="2"/>
  <c r="A4494" i="2"/>
  <c r="H4493" i="2"/>
  <c r="G4493" i="2"/>
  <c r="F4493" i="2"/>
  <c r="E4493" i="2"/>
  <c r="D4493" i="2"/>
  <c r="C4493" i="2"/>
  <c r="B4493" i="2"/>
  <c r="A4493" i="2"/>
  <c r="H4492" i="2"/>
  <c r="G4492" i="2"/>
  <c r="F4492" i="2"/>
  <c r="E4492" i="2"/>
  <c r="D4492" i="2"/>
  <c r="C4492" i="2"/>
  <c r="B4492" i="2"/>
  <c r="A4492" i="2"/>
  <c r="H4491" i="2"/>
  <c r="G4491" i="2"/>
  <c r="F4491" i="2"/>
  <c r="E4491" i="2"/>
  <c r="D4491" i="2"/>
  <c r="C4491" i="2"/>
  <c r="B4491" i="2"/>
  <c r="A4491" i="2"/>
  <c r="H4490" i="2"/>
  <c r="G4490" i="2"/>
  <c r="F4490" i="2"/>
  <c r="E4490" i="2"/>
  <c r="D4490" i="2"/>
  <c r="C4490" i="2"/>
  <c r="B4490" i="2"/>
  <c r="A4490" i="2"/>
  <c r="H4489" i="2"/>
  <c r="G4489" i="2"/>
  <c r="F4489" i="2"/>
  <c r="E4489" i="2"/>
  <c r="D4489" i="2"/>
  <c r="C4489" i="2"/>
  <c r="B4489" i="2"/>
  <c r="A4489" i="2"/>
  <c r="H4488" i="2"/>
  <c r="G4488" i="2"/>
  <c r="F4488" i="2"/>
  <c r="E4488" i="2"/>
  <c r="D4488" i="2"/>
  <c r="C4488" i="2"/>
  <c r="B4488" i="2"/>
  <c r="A4488" i="2"/>
  <c r="H4487" i="2"/>
  <c r="G4487" i="2"/>
  <c r="F4487" i="2"/>
  <c r="E4487" i="2"/>
  <c r="D4487" i="2"/>
  <c r="C4487" i="2"/>
  <c r="B4487" i="2"/>
  <c r="A4487" i="2"/>
  <c r="H4486" i="2"/>
  <c r="G4486" i="2"/>
  <c r="F4486" i="2"/>
  <c r="E4486" i="2"/>
  <c r="D4486" i="2"/>
  <c r="C4486" i="2"/>
  <c r="B4486" i="2"/>
  <c r="A4486" i="2"/>
  <c r="H4485" i="2"/>
  <c r="G4485" i="2"/>
  <c r="F4485" i="2"/>
  <c r="E4485" i="2"/>
  <c r="D4485" i="2"/>
  <c r="C4485" i="2"/>
  <c r="B4485" i="2"/>
  <c r="A4485" i="2"/>
  <c r="H4484" i="2"/>
  <c r="G4484" i="2"/>
  <c r="F4484" i="2"/>
  <c r="E4484" i="2"/>
  <c r="D4484" i="2"/>
  <c r="C4484" i="2"/>
  <c r="B4484" i="2"/>
  <c r="A4484" i="2"/>
  <c r="H4483" i="2"/>
  <c r="G4483" i="2"/>
  <c r="F4483" i="2"/>
  <c r="E4483" i="2"/>
  <c r="D4483" i="2"/>
  <c r="C4483" i="2"/>
  <c r="B4483" i="2"/>
  <c r="A4483" i="2"/>
  <c r="H4482" i="2"/>
  <c r="G4482" i="2"/>
  <c r="F4482" i="2"/>
  <c r="E4482" i="2"/>
  <c r="D4482" i="2"/>
  <c r="C4482" i="2"/>
  <c r="B4482" i="2"/>
  <c r="A4482" i="2"/>
  <c r="H4481" i="2"/>
  <c r="G4481" i="2"/>
  <c r="F4481" i="2"/>
  <c r="E4481" i="2"/>
  <c r="D4481" i="2"/>
  <c r="C4481" i="2"/>
  <c r="B4481" i="2"/>
  <c r="A4481" i="2"/>
  <c r="H4480" i="2"/>
  <c r="G4480" i="2"/>
  <c r="F4480" i="2"/>
  <c r="E4480" i="2"/>
  <c r="D4480" i="2"/>
  <c r="C4480" i="2"/>
  <c r="B4480" i="2"/>
  <c r="A4480" i="2"/>
  <c r="H4479" i="2"/>
  <c r="G4479" i="2"/>
  <c r="F4479" i="2"/>
  <c r="E4479" i="2"/>
  <c r="D4479" i="2"/>
  <c r="C4479" i="2"/>
  <c r="B4479" i="2"/>
  <c r="A4479" i="2"/>
  <c r="H4478" i="2"/>
  <c r="G4478" i="2"/>
  <c r="F4478" i="2"/>
  <c r="E4478" i="2"/>
  <c r="D4478" i="2"/>
  <c r="C4478" i="2"/>
  <c r="B4478" i="2"/>
  <c r="A4478" i="2"/>
  <c r="H4477" i="2"/>
  <c r="G4477" i="2"/>
  <c r="F4477" i="2"/>
  <c r="E4477" i="2"/>
  <c r="D4477" i="2"/>
  <c r="C4477" i="2"/>
  <c r="B4477" i="2"/>
  <c r="A4477" i="2"/>
  <c r="H4476" i="2"/>
  <c r="G4476" i="2"/>
  <c r="F4476" i="2"/>
  <c r="E4476" i="2"/>
  <c r="D4476" i="2"/>
  <c r="C4476" i="2"/>
  <c r="B4476" i="2"/>
  <c r="A4476" i="2"/>
  <c r="H4475" i="2"/>
  <c r="G4475" i="2"/>
  <c r="F4475" i="2"/>
  <c r="E4475" i="2"/>
  <c r="D4475" i="2"/>
  <c r="C4475" i="2"/>
  <c r="B4475" i="2"/>
  <c r="A4475" i="2"/>
  <c r="H4474" i="2"/>
  <c r="G4474" i="2"/>
  <c r="F4474" i="2"/>
  <c r="E4474" i="2"/>
  <c r="D4474" i="2"/>
  <c r="C4474" i="2"/>
  <c r="B4474" i="2"/>
  <c r="A4474" i="2"/>
  <c r="H4473" i="2"/>
  <c r="G4473" i="2"/>
  <c r="F4473" i="2"/>
  <c r="E4473" i="2"/>
  <c r="D4473" i="2"/>
  <c r="C4473" i="2"/>
  <c r="B4473" i="2"/>
  <c r="A4473" i="2"/>
  <c r="H4472" i="2"/>
  <c r="G4472" i="2"/>
  <c r="F4472" i="2"/>
  <c r="E4472" i="2"/>
  <c r="D4472" i="2"/>
  <c r="C4472" i="2"/>
  <c r="B4472" i="2"/>
  <c r="A4472" i="2"/>
  <c r="H4471" i="2"/>
  <c r="G4471" i="2"/>
  <c r="F4471" i="2"/>
  <c r="E4471" i="2"/>
  <c r="D4471" i="2"/>
  <c r="C4471" i="2"/>
  <c r="B4471" i="2"/>
  <c r="A4471" i="2"/>
  <c r="H4470" i="2"/>
  <c r="G4470" i="2"/>
  <c r="F4470" i="2"/>
  <c r="E4470" i="2"/>
  <c r="D4470" i="2"/>
  <c r="C4470" i="2"/>
  <c r="B4470" i="2"/>
  <c r="A4470" i="2"/>
  <c r="H4469" i="2"/>
  <c r="G4469" i="2"/>
  <c r="F4469" i="2"/>
  <c r="E4469" i="2"/>
  <c r="D4469" i="2"/>
  <c r="C4469" i="2"/>
  <c r="B4469" i="2"/>
  <c r="A4469" i="2"/>
  <c r="H4468" i="2"/>
  <c r="G4468" i="2"/>
  <c r="F4468" i="2"/>
  <c r="E4468" i="2"/>
  <c r="D4468" i="2"/>
  <c r="C4468" i="2"/>
  <c r="B4468" i="2"/>
  <c r="A4468" i="2"/>
  <c r="H4467" i="2"/>
  <c r="G4467" i="2"/>
  <c r="F4467" i="2"/>
  <c r="E4467" i="2"/>
  <c r="D4467" i="2"/>
  <c r="C4467" i="2"/>
  <c r="B4467" i="2"/>
  <c r="A4467" i="2"/>
  <c r="H4466" i="2"/>
  <c r="G4466" i="2"/>
  <c r="F4466" i="2"/>
  <c r="E4466" i="2"/>
  <c r="D4466" i="2"/>
  <c r="C4466" i="2"/>
  <c r="B4466" i="2"/>
  <c r="A4466" i="2"/>
  <c r="H4465" i="2"/>
  <c r="G4465" i="2"/>
  <c r="F4465" i="2"/>
  <c r="E4465" i="2"/>
  <c r="D4465" i="2"/>
  <c r="C4465" i="2"/>
  <c r="B4465" i="2"/>
  <c r="A4465" i="2"/>
  <c r="H4464" i="2"/>
  <c r="G4464" i="2"/>
  <c r="F4464" i="2"/>
  <c r="E4464" i="2"/>
  <c r="D4464" i="2"/>
  <c r="C4464" i="2"/>
  <c r="B4464" i="2"/>
  <c r="A4464" i="2"/>
  <c r="H4463" i="2"/>
  <c r="G4463" i="2"/>
  <c r="F4463" i="2"/>
  <c r="E4463" i="2"/>
  <c r="D4463" i="2"/>
  <c r="C4463" i="2"/>
  <c r="B4463" i="2"/>
  <c r="A4463" i="2"/>
  <c r="H4462" i="2"/>
  <c r="G4462" i="2"/>
  <c r="F4462" i="2"/>
  <c r="E4462" i="2"/>
  <c r="D4462" i="2"/>
  <c r="C4462" i="2"/>
  <c r="B4462" i="2"/>
  <c r="A4462" i="2"/>
  <c r="H4461" i="2"/>
  <c r="G4461" i="2"/>
  <c r="F4461" i="2"/>
  <c r="E4461" i="2"/>
  <c r="D4461" i="2"/>
  <c r="C4461" i="2"/>
  <c r="B4461" i="2"/>
  <c r="A4461" i="2"/>
  <c r="H4460" i="2"/>
  <c r="G4460" i="2"/>
  <c r="F4460" i="2"/>
  <c r="E4460" i="2"/>
  <c r="D4460" i="2"/>
  <c r="C4460" i="2"/>
  <c r="B4460" i="2"/>
  <c r="A4460" i="2"/>
  <c r="H4459" i="2"/>
  <c r="G4459" i="2"/>
  <c r="F4459" i="2"/>
  <c r="E4459" i="2"/>
  <c r="D4459" i="2"/>
  <c r="C4459" i="2"/>
  <c r="B4459" i="2"/>
  <c r="A4459" i="2"/>
  <c r="H4458" i="2"/>
  <c r="G4458" i="2"/>
  <c r="F4458" i="2"/>
  <c r="E4458" i="2"/>
  <c r="D4458" i="2"/>
  <c r="C4458" i="2"/>
  <c r="B4458" i="2"/>
  <c r="A4458" i="2"/>
  <c r="H4457" i="2"/>
  <c r="G4457" i="2"/>
  <c r="F4457" i="2"/>
  <c r="E4457" i="2"/>
  <c r="D4457" i="2"/>
  <c r="C4457" i="2"/>
  <c r="B4457" i="2"/>
  <c r="A4457" i="2"/>
  <c r="H4456" i="2"/>
  <c r="G4456" i="2"/>
  <c r="F4456" i="2"/>
  <c r="E4456" i="2"/>
  <c r="D4456" i="2"/>
  <c r="C4456" i="2"/>
  <c r="B4456" i="2"/>
  <c r="A4456" i="2"/>
  <c r="H4455" i="2"/>
  <c r="G4455" i="2"/>
  <c r="F4455" i="2"/>
  <c r="E4455" i="2"/>
  <c r="D4455" i="2"/>
  <c r="C4455" i="2"/>
  <c r="B4455" i="2"/>
  <c r="A4455" i="2"/>
  <c r="H4454" i="2"/>
  <c r="G4454" i="2"/>
  <c r="F4454" i="2"/>
  <c r="E4454" i="2"/>
  <c r="D4454" i="2"/>
  <c r="C4454" i="2"/>
  <c r="B4454" i="2"/>
  <c r="A4454" i="2"/>
  <c r="H4453" i="2"/>
  <c r="G4453" i="2"/>
  <c r="F4453" i="2"/>
  <c r="E4453" i="2"/>
  <c r="D4453" i="2"/>
  <c r="C4453" i="2"/>
  <c r="B4453" i="2"/>
  <c r="A4453" i="2"/>
  <c r="H4452" i="2"/>
  <c r="G4452" i="2"/>
  <c r="F4452" i="2"/>
  <c r="E4452" i="2"/>
  <c r="D4452" i="2"/>
  <c r="C4452" i="2"/>
  <c r="B4452" i="2"/>
  <c r="A4452" i="2"/>
  <c r="H4451" i="2"/>
  <c r="G4451" i="2"/>
  <c r="F4451" i="2"/>
  <c r="E4451" i="2"/>
  <c r="D4451" i="2"/>
  <c r="C4451" i="2"/>
  <c r="B4451" i="2"/>
  <c r="A4451" i="2"/>
  <c r="H4450" i="2"/>
  <c r="G4450" i="2"/>
  <c r="F4450" i="2"/>
  <c r="E4450" i="2"/>
  <c r="D4450" i="2"/>
  <c r="C4450" i="2"/>
  <c r="B4450" i="2"/>
  <c r="A4450" i="2"/>
  <c r="H4449" i="2"/>
  <c r="G4449" i="2"/>
  <c r="F4449" i="2"/>
  <c r="E4449" i="2"/>
  <c r="D4449" i="2"/>
  <c r="C4449" i="2"/>
  <c r="B4449" i="2"/>
  <c r="A4449" i="2"/>
  <c r="H4448" i="2"/>
  <c r="G4448" i="2"/>
  <c r="F4448" i="2"/>
  <c r="E4448" i="2"/>
  <c r="D4448" i="2"/>
  <c r="C4448" i="2"/>
  <c r="B4448" i="2"/>
  <c r="A4448" i="2"/>
  <c r="H4447" i="2"/>
  <c r="G4447" i="2"/>
  <c r="F4447" i="2"/>
  <c r="E4447" i="2"/>
  <c r="D4447" i="2"/>
  <c r="C4447" i="2"/>
  <c r="B4447" i="2"/>
  <c r="A4447" i="2"/>
  <c r="H4446" i="2"/>
  <c r="G4446" i="2"/>
  <c r="F4446" i="2"/>
  <c r="E4446" i="2"/>
  <c r="D4446" i="2"/>
  <c r="C4446" i="2"/>
  <c r="B4446" i="2"/>
  <c r="A4446" i="2"/>
  <c r="H4445" i="2"/>
  <c r="G4445" i="2"/>
  <c r="F4445" i="2"/>
  <c r="E4445" i="2"/>
  <c r="D4445" i="2"/>
  <c r="C4445" i="2"/>
  <c r="B4445" i="2"/>
  <c r="A4445" i="2"/>
  <c r="H4444" i="2"/>
  <c r="G4444" i="2"/>
  <c r="F4444" i="2"/>
  <c r="E4444" i="2"/>
  <c r="D4444" i="2"/>
  <c r="C4444" i="2"/>
  <c r="B4444" i="2"/>
  <c r="A4444" i="2"/>
  <c r="H4443" i="2"/>
  <c r="G4443" i="2"/>
  <c r="F4443" i="2"/>
  <c r="E4443" i="2"/>
  <c r="D4443" i="2"/>
  <c r="C4443" i="2"/>
  <c r="B4443" i="2"/>
  <c r="A4443" i="2"/>
  <c r="H4442" i="2"/>
  <c r="G4442" i="2"/>
  <c r="F4442" i="2"/>
  <c r="E4442" i="2"/>
  <c r="D4442" i="2"/>
  <c r="C4442" i="2"/>
  <c r="B4442" i="2"/>
  <c r="A4442" i="2"/>
  <c r="H4441" i="2"/>
  <c r="G4441" i="2"/>
  <c r="F4441" i="2"/>
  <c r="E4441" i="2"/>
  <c r="D4441" i="2"/>
  <c r="C4441" i="2"/>
  <c r="B4441" i="2"/>
  <c r="A4441" i="2"/>
  <c r="H4440" i="2"/>
  <c r="G4440" i="2"/>
  <c r="F4440" i="2"/>
  <c r="E4440" i="2"/>
  <c r="D4440" i="2"/>
  <c r="C4440" i="2"/>
  <c r="B4440" i="2"/>
  <c r="A4440" i="2"/>
  <c r="H4439" i="2"/>
  <c r="G4439" i="2"/>
  <c r="F4439" i="2"/>
  <c r="E4439" i="2"/>
  <c r="D4439" i="2"/>
  <c r="C4439" i="2"/>
  <c r="B4439" i="2"/>
  <c r="A4439" i="2"/>
  <c r="H4438" i="2"/>
  <c r="G4438" i="2"/>
  <c r="F4438" i="2"/>
  <c r="E4438" i="2"/>
  <c r="D4438" i="2"/>
  <c r="C4438" i="2"/>
  <c r="B4438" i="2"/>
  <c r="A4438" i="2"/>
  <c r="H4437" i="2"/>
  <c r="G4437" i="2"/>
  <c r="F4437" i="2"/>
  <c r="E4437" i="2"/>
  <c r="D4437" i="2"/>
  <c r="C4437" i="2"/>
  <c r="B4437" i="2"/>
  <c r="A4437" i="2"/>
  <c r="H4436" i="2"/>
  <c r="G4436" i="2"/>
  <c r="F4436" i="2"/>
  <c r="E4436" i="2"/>
  <c r="D4436" i="2"/>
  <c r="C4436" i="2"/>
  <c r="B4436" i="2"/>
  <c r="A4436" i="2"/>
  <c r="H4435" i="2"/>
  <c r="G4435" i="2"/>
  <c r="F4435" i="2"/>
  <c r="E4435" i="2"/>
  <c r="D4435" i="2"/>
  <c r="C4435" i="2"/>
  <c r="B4435" i="2"/>
  <c r="A4435" i="2"/>
  <c r="H4434" i="2"/>
  <c r="G4434" i="2"/>
  <c r="F4434" i="2"/>
  <c r="E4434" i="2"/>
  <c r="D4434" i="2"/>
  <c r="C4434" i="2"/>
  <c r="B4434" i="2"/>
  <c r="A4434" i="2"/>
  <c r="H4433" i="2"/>
  <c r="G4433" i="2"/>
  <c r="F4433" i="2"/>
  <c r="E4433" i="2"/>
  <c r="D4433" i="2"/>
  <c r="C4433" i="2"/>
  <c r="B4433" i="2"/>
  <c r="A4433" i="2"/>
  <c r="H4432" i="2"/>
  <c r="G4432" i="2"/>
  <c r="F4432" i="2"/>
  <c r="E4432" i="2"/>
  <c r="D4432" i="2"/>
  <c r="C4432" i="2"/>
  <c r="B4432" i="2"/>
  <c r="A4432" i="2"/>
  <c r="H4431" i="2"/>
  <c r="G4431" i="2"/>
  <c r="F4431" i="2"/>
  <c r="E4431" i="2"/>
  <c r="D4431" i="2"/>
  <c r="C4431" i="2"/>
  <c r="B4431" i="2"/>
  <c r="A4431" i="2"/>
  <c r="H4430" i="2"/>
  <c r="G4430" i="2"/>
  <c r="F4430" i="2"/>
  <c r="E4430" i="2"/>
  <c r="D4430" i="2"/>
  <c r="C4430" i="2"/>
  <c r="B4430" i="2"/>
  <c r="A4430" i="2"/>
  <c r="H4429" i="2"/>
  <c r="G4429" i="2"/>
  <c r="F4429" i="2"/>
  <c r="E4429" i="2"/>
  <c r="D4429" i="2"/>
  <c r="C4429" i="2"/>
  <c r="B4429" i="2"/>
  <c r="A4429" i="2"/>
  <c r="H4428" i="2"/>
  <c r="G4428" i="2"/>
  <c r="F4428" i="2"/>
  <c r="E4428" i="2"/>
  <c r="D4428" i="2"/>
  <c r="C4428" i="2"/>
  <c r="B4428" i="2"/>
  <c r="A4428" i="2"/>
  <c r="H4427" i="2"/>
  <c r="G4427" i="2"/>
  <c r="F4427" i="2"/>
  <c r="E4427" i="2"/>
  <c r="D4427" i="2"/>
  <c r="C4427" i="2"/>
  <c r="B4427" i="2"/>
  <c r="A4427" i="2"/>
  <c r="H4426" i="2"/>
  <c r="G4426" i="2"/>
  <c r="F4426" i="2"/>
  <c r="E4426" i="2"/>
  <c r="D4426" i="2"/>
  <c r="C4426" i="2"/>
  <c r="B4426" i="2"/>
  <c r="A4426" i="2"/>
  <c r="H4425" i="2"/>
  <c r="G4425" i="2"/>
  <c r="F4425" i="2"/>
  <c r="E4425" i="2"/>
  <c r="D4425" i="2"/>
  <c r="C4425" i="2"/>
  <c r="B4425" i="2"/>
  <c r="A4425" i="2"/>
  <c r="H4424" i="2"/>
  <c r="G4424" i="2"/>
  <c r="F4424" i="2"/>
  <c r="E4424" i="2"/>
  <c r="D4424" i="2"/>
  <c r="C4424" i="2"/>
  <c r="B4424" i="2"/>
  <c r="A4424" i="2"/>
  <c r="H4423" i="2"/>
  <c r="G4423" i="2"/>
  <c r="F4423" i="2"/>
  <c r="E4423" i="2"/>
  <c r="D4423" i="2"/>
  <c r="C4423" i="2"/>
  <c r="B4423" i="2"/>
  <c r="A4423" i="2"/>
  <c r="H4422" i="2"/>
  <c r="G4422" i="2"/>
  <c r="F4422" i="2"/>
  <c r="E4422" i="2"/>
  <c r="D4422" i="2"/>
  <c r="C4422" i="2"/>
  <c r="B4422" i="2"/>
  <c r="A4422" i="2"/>
  <c r="H4421" i="2"/>
  <c r="G4421" i="2"/>
  <c r="F4421" i="2"/>
  <c r="E4421" i="2"/>
  <c r="D4421" i="2"/>
  <c r="C4421" i="2"/>
  <c r="B4421" i="2"/>
  <c r="A4421" i="2"/>
  <c r="H4420" i="2"/>
  <c r="G4420" i="2"/>
  <c r="F4420" i="2"/>
  <c r="E4420" i="2"/>
  <c r="D4420" i="2"/>
  <c r="C4420" i="2"/>
  <c r="B4420" i="2"/>
  <c r="A4420" i="2"/>
  <c r="H4419" i="2"/>
  <c r="G4419" i="2"/>
  <c r="F4419" i="2"/>
  <c r="E4419" i="2"/>
  <c r="D4419" i="2"/>
  <c r="C4419" i="2"/>
  <c r="B4419" i="2"/>
  <c r="A4419" i="2"/>
  <c r="H4418" i="2"/>
  <c r="G4418" i="2"/>
  <c r="F4418" i="2"/>
  <c r="E4418" i="2"/>
  <c r="D4418" i="2"/>
  <c r="C4418" i="2"/>
  <c r="B4418" i="2"/>
  <c r="A4418" i="2"/>
  <c r="H4417" i="2"/>
  <c r="G4417" i="2"/>
  <c r="F4417" i="2"/>
  <c r="E4417" i="2"/>
  <c r="D4417" i="2"/>
  <c r="C4417" i="2"/>
  <c r="B4417" i="2"/>
  <c r="A4417" i="2"/>
  <c r="H4416" i="2"/>
  <c r="G4416" i="2"/>
  <c r="F4416" i="2"/>
  <c r="E4416" i="2"/>
  <c r="D4416" i="2"/>
  <c r="C4416" i="2"/>
  <c r="B4416" i="2"/>
  <c r="A4416" i="2"/>
  <c r="H4415" i="2"/>
  <c r="G4415" i="2"/>
  <c r="F4415" i="2"/>
  <c r="E4415" i="2"/>
  <c r="D4415" i="2"/>
  <c r="C4415" i="2"/>
  <c r="B4415" i="2"/>
  <c r="A4415" i="2"/>
  <c r="H4414" i="2"/>
  <c r="G4414" i="2"/>
  <c r="F4414" i="2"/>
  <c r="E4414" i="2"/>
  <c r="D4414" i="2"/>
  <c r="C4414" i="2"/>
  <c r="B4414" i="2"/>
  <c r="A4414" i="2"/>
  <c r="H4413" i="2"/>
  <c r="G4413" i="2"/>
  <c r="F4413" i="2"/>
  <c r="E4413" i="2"/>
  <c r="D4413" i="2"/>
  <c r="C4413" i="2"/>
  <c r="B4413" i="2"/>
  <c r="A4413" i="2"/>
  <c r="H4412" i="2"/>
  <c r="G4412" i="2"/>
  <c r="F4412" i="2"/>
  <c r="E4412" i="2"/>
  <c r="D4412" i="2"/>
  <c r="C4412" i="2"/>
  <c r="B4412" i="2"/>
  <c r="A4412" i="2"/>
  <c r="H4411" i="2"/>
  <c r="G4411" i="2"/>
  <c r="F4411" i="2"/>
  <c r="E4411" i="2"/>
  <c r="D4411" i="2"/>
  <c r="C4411" i="2"/>
  <c r="B4411" i="2"/>
  <c r="A4411" i="2"/>
  <c r="H4410" i="2"/>
  <c r="G4410" i="2"/>
  <c r="F4410" i="2"/>
  <c r="E4410" i="2"/>
  <c r="D4410" i="2"/>
  <c r="C4410" i="2"/>
  <c r="B4410" i="2"/>
  <c r="A4410" i="2"/>
  <c r="H4409" i="2"/>
  <c r="G4409" i="2"/>
  <c r="F4409" i="2"/>
  <c r="E4409" i="2"/>
  <c r="D4409" i="2"/>
  <c r="C4409" i="2"/>
  <c r="B4409" i="2"/>
  <c r="A4409" i="2"/>
  <c r="H4408" i="2"/>
  <c r="G4408" i="2"/>
  <c r="F4408" i="2"/>
  <c r="E4408" i="2"/>
  <c r="D4408" i="2"/>
  <c r="C4408" i="2"/>
  <c r="B4408" i="2"/>
  <c r="A4408" i="2"/>
  <c r="H4407" i="2"/>
  <c r="G4407" i="2"/>
  <c r="F4407" i="2"/>
  <c r="E4407" i="2"/>
  <c r="D4407" i="2"/>
  <c r="C4407" i="2"/>
  <c r="B4407" i="2"/>
  <c r="A4407" i="2"/>
  <c r="H4406" i="2"/>
  <c r="G4406" i="2"/>
  <c r="F4406" i="2"/>
  <c r="E4406" i="2"/>
  <c r="D4406" i="2"/>
  <c r="C4406" i="2"/>
  <c r="B4406" i="2"/>
  <c r="A4406" i="2"/>
  <c r="H4405" i="2"/>
  <c r="G4405" i="2"/>
  <c r="F4405" i="2"/>
  <c r="E4405" i="2"/>
  <c r="D4405" i="2"/>
  <c r="C4405" i="2"/>
  <c r="B4405" i="2"/>
  <c r="A4405" i="2"/>
  <c r="H4404" i="2"/>
  <c r="G4404" i="2"/>
  <c r="F4404" i="2"/>
  <c r="E4404" i="2"/>
  <c r="D4404" i="2"/>
  <c r="C4404" i="2"/>
  <c r="B4404" i="2"/>
  <c r="A4404" i="2"/>
  <c r="H4403" i="2"/>
  <c r="G4403" i="2"/>
  <c r="F4403" i="2"/>
  <c r="E4403" i="2"/>
  <c r="D4403" i="2"/>
  <c r="C4403" i="2"/>
  <c r="B4403" i="2"/>
  <c r="A4403" i="2"/>
  <c r="H4402" i="2"/>
  <c r="G4402" i="2"/>
  <c r="F4402" i="2"/>
  <c r="E4402" i="2"/>
  <c r="D4402" i="2"/>
  <c r="C4402" i="2"/>
  <c r="B4402" i="2"/>
  <c r="A4402" i="2"/>
  <c r="H4401" i="2"/>
  <c r="G4401" i="2"/>
  <c r="F4401" i="2"/>
  <c r="E4401" i="2"/>
  <c r="D4401" i="2"/>
  <c r="C4401" i="2"/>
  <c r="B4401" i="2"/>
  <c r="A4401" i="2"/>
  <c r="H4400" i="2"/>
  <c r="G4400" i="2"/>
  <c r="F4400" i="2"/>
  <c r="E4400" i="2"/>
  <c r="D4400" i="2"/>
  <c r="C4400" i="2"/>
  <c r="B4400" i="2"/>
  <c r="A4400" i="2"/>
  <c r="H4399" i="2"/>
  <c r="G4399" i="2"/>
  <c r="F4399" i="2"/>
  <c r="E4399" i="2"/>
  <c r="D4399" i="2"/>
  <c r="C4399" i="2"/>
  <c r="B4399" i="2"/>
  <c r="A4399" i="2"/>
  <c r="H4398" i="2"/>
  <c r="G4398" i="2"/>
  <c r="F4398" i="2"/>
  <c r="E4398" i="2"/>
  <c r="D4398" i="2"/>
  <c r="C4398" i="2"/>
  <c r="B4398" i="2"/>
  <c r="A4398" i="2"/>
  <c r="H4397" i="2"/>
  <c r="G4397" i="2"/>
  <c r="F4397" i="2"/>
  <c r="E4397" i="2"/>
  <c r="D4397" i="2"/>
  <c r="C4397" i="2"/>
  <c r="B4397" i="2"/>
  <c r="A4397" i="2"/>
  <c r="H4396" i="2"/>
  <c r="G4396" i="2"/>
  <c r="F4396" i="2"/>
  <c r="E4396" i="2"/>
  <c r="D4396" i="2"/>
  <c r="C4396" i="2"/>
  <c r="B4396" i="2"/>
  <c r="A4396" i="2"/>
  <c r="H4395" i="2"/>
  <c r="G4395" i="2"/>
  <c r="F4395" i="2"/>
  <c r="E4395" i="2"/>
  <c r="D4395" i="2"/>
  <c r="C4395" i="2"/>
  <c r="B4395" i="2"/>
  <c r="A4395" i="2"/>
  <c r="H4394" i="2"/>
  <c r="G4394" i="2"/>
  <c r="F4394" i="2"/>
  <c r="E4394" i="2"/>
  <c r="D4394" i="2"/>
  <c r="C4394" i="2"/>
  <c r="B4394" i="2"/>
  <c r="A4394" i="2"/>
  <c r="H4393" i="2"/>
  <c r="G4393" i="2"/>
  <c r="F4393" i="2"/>
  <c r="E4393" i="2"/>
  <c r="D4393" i="2"/>
  <c r="C4393" i="2"/>
  <c r="B4393" i="2"/>
  <c r="A4393" i="2"/>
  <c r="H4392" i="2"/>
  <c r="G4392" i="2"/>
  <c r="F4392" i="2"/>
  <c r="E4392" i="2"/>
  <c r="D4392" i="2"/>
  <c r="C4392" i="2"/>
  <c r="B4392" i="2"/>
  <c r="A4392" i="2"/>
  <c r="H4391" i="2"/>
  <c r="G4391" i="2"/>
  <c r="F4391" i="2"/>
  <c r="E4391" i="2"/>
  <c r="D4391" i="2"/>
  <c r="C4391" i="2"/>
  <c r="B4391" i="2"/>
  <c r="A4391" i="2"/>
  <c r="H4390" i="2"/>
  <c r="G4390" i="2"/>
  <c r="F4390" i="2"/>
  <c r="E4390" i="2"/>
  <c r="D4390" i="2"/>
  <c r="C4390" i="2"/>
  <c r="B4390" i="2"/>
  <c r="A4390" i="2"/>
  <c r="H4389" i="2"/>
  <c r="G4389" i="2"/>
  <c r="F4389" i="2"/>
  <c r="E4389" i="2"/>
  <c r="D4389" i="2"/>
  <c r="C4389" i="2"/>
  <c r="B4389" i="2"/>
  <c r="A4389" i="2"/>
  <c r="H4388" i="2"/>
  <c r="G4388" i="2"/>
  <c r="F4388" i="2"/>
  <c r="E4388" i="2"/>
  <c r="D4388" i="2"/>
  <c r="C4388" i="2"/>
  <c r="B4388" i="2"/>
  <c r="A4388" i="2"/>
  <c r="H4387" i="2"/>
  <c r="G4387" i="2"/>
  <c r="F4387" i="2"/>
  <c r="E4387" i="2"/>
  <c r="D4387" i="2"/>
  <c r="C4387" i="2"/>
  <c r="B4387" i="2"/>
  <c r="A4387" i="2"/>
  <c r="H4386" i="2"/>
  <c r="G4386" i="2"/>
  <c r="F4386" i="2"/>
  <c r="E4386" i="2"/>
  <c r="D4386" i="2"/>
  <c r="C4386" i="2"/>
  <c r="B4386" i="2"/>
  <c r="A4386" i="2"/>
  <c r="H4385" i="2"/>
  <c r="G4385" i="2"/>
  <c r="F4385" i="2"/>
  <c r="E4385" i="2"/>
  <c r="D4385" i="2"/>
  <c r="C4385" i="2"/>
  <c r="B4385" i="2"/>
  <c r="A4385" i="2"/>
  <c r="H4384" i="2"/>
  <c r="G4384" i="2"/>
  <c r="F4384" i="2"/>
  <c r="E4384" i="2"/>
  <c r="D4384" i="2"/>
  <c r="C4384" i="2"/>
  <c r="B4384" i="2"/>
  <c r="A4384" i="2"/>
  <c r="H4383" i="2"/>
  <c r="G4383" i="2"/>
  <c r="F4383" i="2"/>
  <c r="E4383" i="2"/>
  <c r="D4383" i="2"/>
  <c r="C4383" i="2"/>
  <c r="B4383" i="2"/>
  <c r="A4383" i="2"/>
  <c r="H4382" i="2"/>
  <c r="G4382" i="2"/>
  <c r="F4382" i="2"/>
  <c r="E4382" i="2"/>
  <c r="D4382" i="2"/>
  <c r="C4382" i="2"/>
  <c r="B4382" i="2"/>
  <c r="A4382" i="2"/>
  <c r="H4381" i="2"/>
  <c r="G4381" i="2"/>
  <c r="F4381" i="2"/>
  <c r="E4381" i="2"/>
  <c r="D4381" i="2"/>
  <c r="C4381" i="2"/>
  <c r="B4381" i="2"/>
  <c r="A4381" i="2"/>
  <c r="H4380" i="2"/>
  <c r="G4380" i="2"/>
  <c r="F4380" i="2"/>
  <c r="E4380" i="2"/>
  <c r="D4380" i="2"/>
  <c r="C4380" i="2"/>
  <c r="B4380" i="2"/>
  <c r="A4380" i="2"/>
  <c r="H4379" i="2"/>
  <c r="G4379" i="2"/>
  <c r="F4379" i="2"/>
  <c r="E4379" i="2"/>
  <c r="D4379" i="2"/>
  <c r="C4379" i="2"/>
  <c r="B4379" i="2"/>
  <c r="A4379" i="2"/>
  <c r="H4378" i="2"/>
  <c r="G4378" i="2"/>
  <c r="F4378" i="2"/>
  <c r="E4378" i="2"/>
  <c r="D4378" i="2"/>
  <c r="C4378" i="2"/>
  <c r="B4378" i="2"/>
  <c r="A4378" i="2"/>
  <c r="H4377" i="2"/>
  <c r="G4377" i="2"/>
  <c r="F4377" i="2"/>
  <c r="E4377" i="2"/>
  <c r="D4377" i="2"/>
  <c r="C4377" i="2"/>
  <c r="B4377" i="2"/>
  <c r="A4377" i="2"/>
  <c r="H4376" i="2"/>
  <c r="G4376" i="2"/>
  <c r="F4376" i="2"/>
  <c r="E4376" i="2"/>
  <c r="D4376" i="2"/>
  <c r="C4376" i="2"/>
  <c r="B4376" i="2"/>
  <c r="A4376" i="2"/>
  <c r="H4375" i="2"/>
  <c r="G4375" i="2"/>
  <c r="F4375" i="2"/>
  <c r="E4375" i="2"/>
  <c r="D4375" i="2"/>
  <c r="C4375" i="2"/>
  <c r="B4375" i="2"/>
  <c r="A4375" i="2"/>
  <c r="H4374" i="2"/>
  <c r="G4374" i="2"/>
  <c r="F4374" i="2"/>
  <c r="E4374" i="2"/>
  <c r="D4374" i="2"/>
  <c r="C4374" i="2"/>
  <c r="B4374" i="2"/>
  <c r="A4374" i="2"/>
  <c r="H4373" i="2"/>
  <c r="G4373" i="2"/>
  <c r="F4373" i="2"/>
  <c r="E4373" i="2"/>
  <c r="D4373" i="2"/>
  <c r="C4373" i="2"/>
  <c r="B4373" i="2"/>
  <c r="A4373" i="2"/>
  <c r="H4372" i="2"/>
  <c r="G4372" i="2"/>
  <c r="F4372" i="2"/>
  <c r="E4372" i="2"/>
  <c r="D4372" i="2"/>
  <c r="C4372" i="2"/>
  <c r="B4372" i="2"/>
  <c r="A4372" i="2"/>
  <c r="H4371" i="2"/>
  <c r="G4371" i="2"/>
  <c r="F4371" i="2"/>
  <c r="E4371" i="2"/>
  <c r="D4371" i="2"/>
  <c r="C4371" i="2"/>
  <c r="B4371" i="2"/>
  <c r="A4371" i="2"/>
  <c r="H4370" i="2"/>
  <c r="G4370" i="2"/>
  <c r="F4370" i="2"/>
  <c r="E4370" i="2"/>
  <c r="D4370" i="2"/>
  <c r="C4370" i="2"/>
  <c r="B4370" i="2"/>
  <c r="A4370" i="2"/>
  <c r="H4369" i="2"/>
  <c r="G4369" i="2"/>
  <c r="F4369" i="2"/>
  <c r="E4369" i="2"/>
  <c r="D4369" i="2"/>
  <c r="C4369" i="2"/>
  <c r="B4369" i="2"/>
  <c r="A4369" i="2"/>
  <c r="H4368" i="2"/>
  <c r="G4368" i="2"/>
  <c r="F4368" i="2"/>
  <c r="E4368" i="2"/>
  <c r="D4368" i="2"/>
  <c r="C4368" i="2"/>
  <c r="B4368" i="2"/>
  <c r="A4368" i="2"/>
  <c r="H4367" i="2"/>
  <c r="G4367" i="2"/>
  <c r="F4367" i="2"/>
  <c r="E4367" i="2"/>
  <c r="D4367" i="2"/>
  <c r="C4367" i="2"/>
  <c r="B4367" i="2"/>
  <c r="A4367" i="2"/>
  <c r="H4366" i="2"/>
  <c r="G4366" i="2"/>
  <c r="F4366" i="2"/>
  <c r="E4366" i="2"/>
  <c r="D4366" i="2"/>
  <c r="C4366" i="2"/>
  <c r="B4366" i="2"/>
  <c r="A4366" i="2"/>
  <c r="H4365" i="2"/>
  <c r="G4365" i="2"/>
  <c r="F4365" i="2"/>
  <c r="E4365" i="2"/>
  <c r="D4365" i="2"/>
  <c r="C4365" i="2"/>
  <c r="B4365" i="2"/>
  <c r="A4365" i="2"/>
  <c r="H4364" i="2"/>
  <c r="G4364" i="2"/>
  <c r="F4364" i="2"/>
  <c r="E4364" i="2"/>
  <c r="D4364" i="2"/>
  <c r="C4364" i="2"/>
  <c r="B4364" i="2"/>
  <c r="A4364" i="2"/>
  <c r="H4363" i="2"/>
  <c r="G4363" i="2"/>
  <c r="F4363" i="2"/>
  <c r="E4363" i="2"/>
  <c r="D4363" i="2"/>
  <c r="C4363" i="2"/>
  <c r="B4363" i="2"/>
  <c r="A4363" i="2"/>
  <c r="H4362" i="2"/>
  <c r="G4362" i="2"/>
  <c r="F4362" i="2"/>
  <c r="E4362" i="2"/>
  <c r="D4362" i="2"/>
  <c r="C4362" i="2"/>
  <c r="B4362" i="2"/>
  <c r="A4362" i="2"/>
  <c r="H4361" i="2"/>
  <c r="G4361" i="2"/>
  <c r="F4361" i="2"/>
  <c r="E4361" i="2"/>
  <c r="D4361" i="2"/>
  <c r="C4361" i="2"/>
  <c r="B4361" i="2"/>
  <c r="A4361" i="2"/>
  <c r="H4360" i="2"/>
  <c r="G4360" i="2"/>
  <c r="F4360" i="2"/>
  <c r="E4360" i="2"/>
  <c r="D4360" i="2"/>
  <c r="C4360" i="2"/>
  <c r="B4360" i="2"/>
  <c r="A4360" i="2"/>
  <c r="H4359" i="2"/>
  <c r="G4359" i="2"/>
  <c r="F4359" i="2"/>
  <c r="E4359" i="2"/>
  <c r="D4359" i="2"/>
  <c r="C4359" i="2"/>
  <c r="B4359" i="2"/>
  <c r="A4359" i="2"/>
  <c r="H4358" i="2"/>
  <c r="G4358" i="2"/>
  <c r="F4358" i="2"/>
  <c r="E4358" i="2"/>
  <c r="D4358" i="2"/>
  <c r="C4358" i="2"/>
  <c r="B4358" i="2"/>
  <c r="A4358" i="2"/>
  <c r="H4357" i="2"/>
  <c r="G4357" i="2"/>
  <c r="F4357" i="2"/>
  <c r="E4357" i="2"/>
  <c r="D4357" i="2"/>
  <c r="C4357" i="2"/>
  <c r="B4357" i="2"/>
  <c r="A4357" i="2"/>
  <c r="H4356" i="2"/>
  <c r="G4356" i="2"/>
  <c r="F4356" i="2"/>
  <c r="E4356" i="2"/>
  <c r="D4356" i="2"/>
  <c r="C4356" i="2"/>
  <c r="B4356" i="2"/>
  <c r="A4356" i="2"/>
  <c r="H4355" i="2"/>
  <c r="G4355" i="2"/>
  <c r="F4355" i="2"/>
  <c r="E4355" i="2"/>
  <c r="D4355" i="2"/>
  <c r="C4355" i="2"/>
  <c r="B4355" i="2"/>
  <c r="A4355" i="2"/>
  <c r="H4354" i="2"/>
  <c r="G4354" i="2"/>
  <c r="F4354" i="2"/>
  <c r="E4354" i="2"/>
  <c r="D4354" i="2"/>
  <c r="C4354" i="2"/>
  <c r="B4354" i="2"/>
  <c r="A4354" i="2"/>
  <c r="H4353" i="2"/>
  <c r="G4353" i="2"/>
  <c r="F4353" i="2"/>
  <c r="E4353" i="2"/>
  <c r="D4353" i="2"/>
  <c r="C4353" i="2"/>
  <c r="B4353" i="2"/>
  <c r="A4353" i="2"/>
  <c r="H4352" i="2"/>
  <c r="G4352" i="2"/>
  <c r="F4352" i="2"/>
  <c r="E4352" i="2"/>
  <c r="D4352" i="2"/>
  <c r="C4352" i="2"/>
  <c r="B4352" i="2"/>
  <c r="A4352" i="2"/>
  <c r="H4351" i="2"/>
  <c r="G4351" i="2"/>
  <c r="F4351" i="2"/>
  <c r="E4351" i="2"/>
  <c r="D4351" i="2"/>
  <c r="C4351" i="2"/>
  <c r="B4351" i="2"/>
  <c r="A4351" i="2"/>
  <c r="H4350" i="2"/>
  <c r="G4350" i="2"/>
  <c r="F4350" i="2"/>
  <c r="E4350" i="2"/>
  <c r="D4350" i="2"/>
  <c r="C4350" i="2"/>
  <c r="B4350" i="2"/>
  <c r="A4350" i="2"/>
  <c r="H4349" i="2"/>
  <c r="G4349" i="2"/>
  <c r="F4349" i="2"/>
  <c r="E4349" i="2"/>
  <c r="D4349" i="2"/>
  <c r="C4349" i="2"/>
  <c r="B4349" i="2"/>
  <c r="A4349" i="2"/>
  <c r="H4348" i="2"/>
  <c r="G4348" i="2"/>
  <c r="F4348" i="2"/>
  <c r="E4348" i="2"/>
  <c r="D4348" i="2"/>
  <c r="C4348" i="2"/>
  <c r="B4348" i="2"/>
  <c r="A4348" i="2"/>
  <c r="H4347" i="2"/>
  <c r="G4347" i="2"/>
  <c r="F4347" i="2"/>
  <c r="E4347" i="2"/>
  <c r="D4347" i="2"/>
  <c r="C4347" i="2"/>
  <c r="B4347" i="2"/>
  <c r="A4347" i="2"/>
  <c r="H4346" i="2"/>
  <c r="G4346" i="2"/>
  <c r="F4346" i="2"/>
  <c r="E4346" i="2"/>
  <c r="D4346" i="2"/>
  <c r="C4346" i="2"/>
  <c r="B4346" i="2"/>
  <c r="A4346" i="2"/>
  <c r="H4345" i="2"/>
  <c r="G4345" i="2"/>
  <c r="F4345" i="2"/>
  <c r="E4345" i="2"/>
  <c r="D4345" i="2"/>
  <c r="C4345" i="2"/>
  <c r="B4345" i="2"/>
  <c r="A4345" i="2"/>
  <c r="H4344" i="2"/>
  <c r="G4344" i="2"/>
  <c r="F4344" i="2"/>
  <c r="E4344" i="2"/>
  <c r="D4344" i="2"/>
  <c r="C4344" i="2"/>
  <c r="B4344" i="2"/>
  <c r="A4344" i="2"/>
  <c r="H4343" i="2"/>
  <c r="G4343" i="2"/>
  <c r="F4343" i="2"/>
  <c r="E4343" i="2"/>
  <c r="D4343" i="2"/>
  <c r="C4343" i="2"/>
  <c r="B4343" i="2"/>
  <c r="A4343" i="2"/>
  <c r="H4342" i="2"/>
  <c r="G4342" i="2"/>
  <c r="F4342" i="2"/>
  <c r="E4342" i="2"/>
  <c r="D4342" i="2"/>
  <c r="C4342" i="2"/>
  <c r="B4342" i="2"/>
  <c r="A4342" i="2"/>
  <c r="H4341" i="2"/>
  <c r="G4341" i="2"/>
  <c r="F4341" i="2"/>
  <c r="E4341" i="2"/>
  <c r="D4341" i="2"/>
  <c r="C4341" i="2"/>
  <c r="B4341" i="2"/>
  <c r="A4341" i="2"/>
  <c r="H4340" i="2"/>
  <c r="G4340" i="2"/>
  <c r="F4340" i="2"/>
  <c r="E4340" i="2"/>
  <c r="D4340" i="2"/>
  <c r="C4340" i="2"/>
  <c r="B4340" i="2"/>
  <c r="A4340" i="2"/>
  <c r="H4339" i="2"/>
  <c r="G4339" i="2"/>
  <c r="F4339" i="2"/>
  <c r="E4339" i="2"/>
  <c r="D4339" i="2"/>
  <c r="C4339" i="2"/>
  <c r="B4339" i="2"/>
  <c r="A4339" i="2"/>
  <c r="H4338" i="2"/>
  <c r="G4338" i="2"/>
  <c r="F4338" i="2"/>
  <c r="E4338" i="2"/>
  <c r="D4338" i="2"/>
  <c r="C4338" i="2"/>
  <c r="B4338" i="2"/>
  <c r="A4338" i="2"/>
  <c r="H4337" i="2"/>
  <c r="G4337" i="2"/>
  <c r="F4337" i="2"/>
  <c r="E4337" i="2"/>
  <c r="D4337" i="2"/>
  <c r="C4337" i="2"/>
  <c r="B4337" i="2"/>
  <c r="A4337" i="2"/>
  <c r="H4336" i="2"/>
  <c r="G4336" i="2"/>
  <c r="F4336" i="2"/>
  <c r="E4336" i="2"/>
  <c r="D4336" i="2"/>
  <c r="C4336" i="2"/>
  <c r="B4336" i="2"/>
  <c r="A4336" i="2"/>
  <c r="H4335" i="2"/>
  <c r="G4335" i="2"/>
  <c r="F4335" i="2"/>
  <c r="E4335" i="2"/>
  <c r="D4335" i="2"/>
  <c r="C4335" i="2"/>
  <c r="B4335" i="2"/>
  <c r="A4335" i="2"/>
  <c r="H4334" i="2"/>
  <c r="G4334" i="2"/>
  <c r="F4334" i="2"/>
  <c r="E4334" i="2"/>
  <c r="D4334" i="2"/>
  <c r="C4334" i="2"/>
  <c r="B4334" i="2"/>
  <c r="A4334" i="2"/>
  <c r="H4333" i="2"/>
  <c r="G4333" i="2"/>
  <c r="F4333" i="2"/>
  <c r="E4333" i="2"/>
  <c r="D4333" i="2"/>
  <c r="C4333" i="2"/>
  <c r="B4333" i="2"/>
  <c r="A4333" i="2"/>
  <c r="H4332" i="2"/>
  <c r="G4332" i="2"/>
  <c r="F4332" i="2"/>
  <c r="E4332" i="2"/>
  <c r="D4332" i="2"/>
  <c r="C4332" i="2"/>
  <c r="B4332" i="2"/>
  <c r="A4332" i="2"/>
  <c r="H4331" i="2"/>
  <c r="G4331" i="2"/>
  <c r="F4331" i="2"/>
  <c r="E4331" i="2"/>
  <c r="D4331" i="2"/>
  <c r="C4331" i="2"/>
  <c r="B4331" i="2"/>
  <c r="A4331" i="2"/>
  <c r="H4330" i="2"/>
  <c r="G4330" i="2"/>
  <c r="F4330" i="2"/>
  <c r="E4330" i="2"/>
  <c r="D4330" i="2"/>
  <c r="C4330" i="2"/>
  <c r="B4330" i="2"/>
  <c r="A4330" i="2"/>
  <c r="H4329" i="2"/>
  <c r="G4329" i="2"/>
  <c r="F4329" i="2"/>
  <c r="E4329" i="2"/>
  <c r="D4329" i="2"/>
  <c r="C4329" i="2"/>
  <c r="B4329" i="2"/>
  <c r="A4329" i="2"/>
  <c r="H4328" i="2"/>
  <c r="G4328" i="2"/>
  <c r="F4328" i="2"/>
  <c r="E4328" i="2"/>
  <c r="D4328" i="2"/>
  <c r="C4328" i="2"/>
  <c r="B4328" i="2"/>
  <c r="A4328" i="2"/>
  <c r="H4327" i="2"/>
  <c r="G4327" i="2"/>
  <c r="F4327" i="2"/>
  <c r="E4327" i="2"/>
  <c r="D4327" i="2"/>
  <c r="C4327" i="2"/>
  <c r="B4327" i="2"/>
  <c r="A4327" i="2"/>
  <c r="H4326" i="2"/>
  <c r="G4326" i="2"/>
  <c r="F4326" i="2"/>
  <c r="E4326" i="2"/>
  <c r="D4326" i="2"/>
  <c r="C4326" i="2"/>
  <c r="B4326" i="2"/>
  <c r="A4326" i="2"/>
  <c r="H4325" i="2"/>
  <c r="G4325" i="2"/>
  <c r="F4325" i="2"/>
  <c r="E4325" i="2"/>
  <c r="D4325" i="2"/>
  <c r="C4325" i="2"/>
  <c r="B4325" i="2"/>
  <c r="A4325" i="2"/>
  <c r="H4324" i="2"/>
  <c r="G4324" i="2"/>
  <c r="F4324" i="2"/>
  <c r="E4324" i="2"/>
  <c r="D4324" i="2"/>
  <c r="C4324" i="2"/>
  <c r="B4324" i="2"/>
  <c r="A4324" i="2"/>
  <c r="H4323" i="2"/>
  <c r="G4323" i="2"/>
  <c r="F4323" i="2"/>
  <c r="E4323" i="2"/>
  <c r="D4323" i="2"/>
  <c r="C4323" i="2"/>
  <c r="B4323" i="2"/>
  <c r="A4323" i="2"/>
  <c r="H4322" i="2"/>
  <c r="G4322" i="2"/>
  <c r="F4322" i="2"/>
  <c r="E4322" i="2"/>
  <c r="D4322" i="2"/>
  <c r="C4322" i="2"/>
  <c r="B4322" i="2"/>
  <c r="A4322" i="2"/>
  <c r="H4321" i="2"/>
  <c r="G4321" i="2"/>
  <c r="F4321" i="2"/>
  <c r="E4321" i="2"/>
  <c r="D4321" i="2"/>
  <c r="C4321" i="2"/>
  <c r="B4321" i="2"/>
  <c r="A4321" i="2"/>
  <c r="H4320" i="2"/>
  <c r="G4320" i="2"/>
  <c r="F4320" i="2"/>
  <c r="E4320" i="2"/>
  <c r="D4320" i="2"/>
  <c r="C4320" i="2"/>
  <c r="B4320" i="2"/>
  <c r="A4320" i="2"/>
  <c r="H4319" i="2"/>
  <c r="G4319" i="2"/>
  <c r="F4319" i="2"/>
  <c r="E4319" i="2"/>
  <c r="D4319" i="2"/>
  <c r="C4319" i="2"/>
  <c r="B4319" i="2"/>
  <c r="A4319" i="2"/>
  <c r="H4318" i="2"/>
  <c r="G4318" i="2"/>
  <c r="F4318" i="2"/>
  <c r="E4318" i="2"/>
  <c r="D4318" i="2"/>
  <c r="C4318" i="2"/>
  <c r="B4318" i="2"/>
  <c r="A4318" i="2"/>
  <c r="H4317" i="2"/>
  <c r="G4317" i="2"/>
  <c r="F4317" i="2"/>
  <c r="E4317" i="2"/>
  <c r="D4317" i="2"/>
  <c r="C4317" i="2"/>
  <c r="B4317" i="2"/>
  <c r="A4317" i="2"/>
  <c r="H4316" i="2"/>
  <c r="G4316" i="2"/>
  <c r="F4316" i="2"/>
  <c r="E4316" i="2"/>
  <c r="D4316" i="2"/>
  <c r="C4316" i="2"/>
  <c r="B4316" i="2"/>
  <c r="A4316" i="2"/>
  <c r="H4315" i="2"/>
  <c r="G4315" i="2"/>
  <c r="F4315" i="2"/>
  <c r="E4315" i="2"/>
  <c r="D4315" i="2"/>
  <c r="C4315" i="2"/>
  <c r="B4315" i="2"/>
  <c r="A4315" i="2"/>
  <c r="H4314" i="2"/>
  <c r="G4314" i="2"/>
  <c r="F4314" i="2"/>
  <c r="E4314" i="2"/>
  <c r="D4314" i="2"/>
  <c r="C4314" i="2"/>
  <c r="B4314" i="2"/>
  <c r="A4314" i="2"/>
  <c r="H4313" i="2"/>
  <c r="G4313" i="2"/>
  <c r="F4313" i="2"/>
  <c r="E4313" i="2"/>
  <c r="D4313" i="2"/>
  <c r="C4313" i="2"/>
  <c r="B4313" i="2"/>
  <c r="A4313" i="2"/>
  <c r="H4312" i="2"/>
  <c r="G4312" i="2"/>
  <c r="F4312" i="2"/>
  <c r="E4312" i="2"/>
  <c r="D4312" i="2"/>
  <c r="C4312" i="2"/>
  <c r="B4312" i="2"/>
  <c r="A4312" i="2"/>
  <c r="H4311" i="2"/>
  <c r="G4311" i="2"/>
  <c r="F4311" i="2"/>
  <c r="E4311" i="2"/>
  <c r="D4311" i="2"/>
  <c r="C4311" i="2"/>
  <c r="B4311" i="2"/>
  <c r="A4311" i="2"/>
  <c r="H4310" i="2"/>
  <c r="G4310" i="2"/>
  <c r="F4310" i="2"/>
  <c r="E4310" i="2"/>
  <c r="D4310" i="2"/>
  <c r="C4310" i="2"/>
  <c r="B4310" i="2"/>
  <c r="A4310" i="2"/>
  <c r="H4309" i="2"/>
  <c r="G4309" i="2"/>
  <c r="F4309" i="2"/>
  <c r="E4309" i="2"/>
  <c r="D4309" i="2"/>
  <c r="C4309" i="2"/>
  <c r="B4309" i="2"/>
  <c r="A4309" i="2"/>
  <c r="H4308" i="2"/>
  <c r="G4308" i="2"/>
  <c r="F4308" i="2"/>
  <c r="E4308" i="2"/>
  <c r="D4308" i="2"/>
  <c r="C4308" i="2"/>
  <c r="B4308" i="2"/>
  <c r="A4308" i="2"/>
  <c r="H4307" i="2"/>
  <c r="G4307" i="2"/>
  <c r="F4307" i="2"/>
  <c r="E4307" i="2"/>
  <c r="D4307" i="2"/>
  <c r="C4307" i="2"/>
  <c r="B4307" i="2"/>
  <c r="A4307" i="2"/>
  <c r="H4306" i="2"/>
  <c r="G4306" i="2"/>
  <c r="F4306" i="2"/>
  <c r="E4306" i="2"/>
  <c r="D4306" i="2"/>
  <c r="C4306" i="2"/>
  <c r="B4306" i="2"/>
  <c r="A4306" i="2"/>
  <c r="H4305" i="2"/>
  <c r="G4305" i="2"/>
  <c r="F4305" i="2"/>
  <c r="E4305" i="2"/>
  <c r="D4305" i="2"/>
  <c r="C4305" i="2"/>
  <c r="B4305" i="2"/>
  <c r="A4305" i="2"/>
  <c r="H4304" i="2"/>
  <c r="G4304" i="2"/>
  <c r="F4304" i="2"/>
  <c r="E4304" i="2"/>
  <c r="D4304" i="2"/>
  <c r="C4304" i="2"/>
  <c r="B4304" i="2"/>
  <c r="A4304" i="2"/>
  <c r="H4303" i="2"/>
  <c r="G4303" i="2"/>
  <c r="F4303" i="2"/>
  <c r="E4303" i="2"/>
  <c r="D4303" i="2"/>
  <c r="C4303" i="2"/>
  <c r="B4303" i="2"/>
  <c r="A4303" i="2"/>
  <c r="H4302" i="2"/>
  <c r="G4302" i="2"/>
  <c r="F4302" i="2"/>
  <c r="E4302" i="2"/>
  <c r="D4302" i="2"/>
  <c r="C4302" i="2"/>
  <c r="B4302" i="2"/>
  <c r="A4302" i="2"/>
  <c r="H4301" i="2"/>
  <c r="G4301" i="2"/>
  <c r="F4301" i="2"/>
  <c r="E4301" i="2"/>
  <c r="D4301" i="2"/>
  <c r="C4301" i="2"/>
  <c r="B4301" i="2"/>
  <c r="A4301" i="2"/>
  <c r="H4300" i="2"/>
  <c r="G4300" i="2"/>
  <c r="F4300" i="2"/>
  <c r="E4300" i="2"/>
  <c r="D4300" i="2"/>
  <c r="C4300" i="2"/>
  <c r="B4300" i="2"/>
  <c r="A4300" i="2"/>
  <c r="H4299" i="2"/>
  <c r="G4299" i="2"/>
  <c r="F4299" i="2"/>
  <c r="E4299" i="2"/>
  <c r="D4299" i="2"/>
  <c r="C4299" i="2"/>
  <c r="B4299" i="2"/>
  <c r="A4299" i="2"/>
  <c r="H4298" i="2"/>
  <c r="G4298" i="2"/>
  <c r="F4298" i="2"/>
  <c r="E4298" i="2"/>
  <c r="D4298" i="2"/>
  <c r="C4298" i="2"/>
  <c r="B4298" i="2"/>
  <c r="A4298" i="2"/>
  <c r="H4297" i="2"/>
  <c r="G4297" i="2"/>
  <c r="F4297" i="2"/>
  <c r="E4297" i="2"/>
  <c r="D4297" i="2"/>
  <c r="C4297" i="2"/>
  <c r="B4297" i="2"/>
  <c r="A4297" i="2"/>
  <c r="H4296" i="2"/>
  <c r="G4296" i="2"/>
  <c r="F4296" i="2"/>
  <c r="E4296" i="2"/>
  <c r="D4296" i="2"/>
  <c r="C4296" i="2"/>
  <c r="B4296" i="2"/>
  <c r="A4296" i="2"/>
  <c r="H4295" i="2"/>
  <c r="G4295" i="2"/>
  <c r="F4295" i="2"/>
  <c r="E4295" i="2"/>
  <c r="D4295" i="2"/>
  <c r="C4295" i="2"/>
  <c r="B4295" i="2"/>
  <c r="A4295" i="2"/>
  <c r="H4294" i="2"/>
  <c r="G4294" i="2"/>
  <c r="F4294" i="2"/>
  <c r="E4294" i="2"/>
  <c r="D4294" i="2"/>
  <c r="C4294" i="2"/>
  <c r="B4294" i="2"/>
  <c r="A4294" i="2"/>
  <c r="H4293" i="2"/>
  <c r="G4293" i="2"/>
  <c r="F4293" i="2"/>
  <c r="E4293" i="2"/>
  <c r="D4293" i="2"/>
  <c r="C4293" i="2"/>
  <c r="B4293" i="2"/>
  <c r="A4293" i="2"/>
  <c r="H4292" i="2"/>
  <c r="G4292" i="2"/>
  <c r="F4292" i="2"/>
  <c r="E4292" i="2"/>
  <c r="D4292" i="2"/>
  <c r="C4292" i="2"/>
  <c r="B4292" i="2"/>
  <c r="A4292" i="2"/>
  <c r="H4291" i="2"/>
  <c r="G4291" i="2"/>
  <c r="F4291" i="2"/>
  <c r="E4291" i="2"/>
  <c r="D4291" i="2"/>
  <c r="C4291" i="2"/>
  <c r="B4291" i="2"/>
  <c r="A4291" i="2"/>
  <c r="H4290" i="2"/>
  <c r="G4290" i="2"/>
  <c r="F4290" i="2"/>
  <c r="E4290" i="2"/>
  <c r="D4290" i="2"/>
  <c r="C4290" i="2"/>
  <c r="B4290" i="2"/>
  <c r="A4290" i="2"/>
  <c r="H4289" i="2"/>
  <c r="G4289" i="2"/>
  <c r="F4289" i="2"/>
  <c r="E4289" i="2"/>
  <c r="D4289" i="2"/>
  <c r="C4289" i="2"/>
  <c r="B4289" i="2"/>
  <c r="A4289" i="2"/>
  <c r="H4288" i="2"/>
  <c r="G4288" i="2"/>
  <c r="F4288" i="2"/>
  <c r="E4288" i="2"/>
  <c r="D4288" i="2"/>
  <c r="C4288" i="2"/>
  <c r="B4288" i="2"/>
  <c r="A4288" i="2"/>
  <c r="H4287" i="2"/>
  <c r="G4287" i="2"/>
  <c r="F4287" i="2"/>
  <c r="E4287" i="2"/>
  <c r="D4287" i="2"/>
  <c r="C4287" i="2"/>
  <c r="B4287" i="2"/>
  <c r="A4287" i="2"/>
  <c r="H4286" i="2"/>
  <c r="G4286" i="2"/>
  <c r="F4286" i="2"/>
  <c r="E4286" i="2"/>
  <c r="D4286" i="2"/>
  <c r="C4286" i="2"/>
  <c r="B4286" i="2"/>
  <c r="A4286" i="2"/>
  <c r="H4285" i="2"/>
  <c r="G4285" i="2"/>
  <c r="F4285" i="2"/>
  <c r="E4285" i="2"/>
  <c r="D4285" i="2"/>
  <c r="C4285" i="2"/>
  <c r="B4285" i="2"/>
  <c r="A4285" i="2"/>
  <c r="H4284" i="2"/>
  <c r="G4284" i="2"/>
  <c r="F4284" i="2"/>
  <c r="E4284" i="2"/>
  <c r="D4284" i="2"/>
  <c r="C4284" i="2"/>
  <c r="B4284" i="2"/>
  <c r="A4284" i="2"/>
  <c r="H4283" i="2"/>
  <c r="G4283" i="2"/>
  <c r="F4283" i="2"/>
  <c r="E4283" i="2"/>
  <c r="D4283" i="2"/>
  <c r="C4283" i="2"/>
  <c r="B4283" i="2"/>
  <c r="A4283" i="2"/>
  <c r="H4282" i="2"/>
  <c r="G4282" i="2"/>
  <c r="F4282" i="2"/>
  <c r="E4282" i="2"/>
  <c r="D4282" i="2"/>
  <c r="C4282" i="2"/>
  <c r="B4282" i="2"/>
  <c r="A4282" i="2"/>
  <c r="H4281" i="2"/>
  <c r="G4281" i="2"/>
  <c r="F4281" i="2"/>
  <c r="E4281" i="2"/>
  <c r="D4281" i="2"/>
  <c r="C4281" i="2"/>
  <c r="B4281" i="2"/>
  <c r="A4281" i="2"/>
  <c r="H4280" i="2"/>
  <c r="G4280" i="2"/>
  <c r="F4280" i="2"/>
  <c r="E4280" i="2"/>
  <c r="D4280" i="2"/>
  <c r="C4280" i="2"/>
  <c r="B4280" i="2"/>
  <c r="A4280" i="2"/>
  <c r="H4279" i="2"/>
  <c r="G4279" i="2"/>
  <c r="F4279" i="2"/>
  <c r="E4279" i="2"/>
  <c r="D4279" i="2"/>
  <c r="C4279" i="2"/>
  <c r="B4279" i="2"/>
  <c r="A4279" i="2"/>
  <c r="H4278" i="2"/>
  <c r="G4278" i="2"/>
  <c r="F4278" i="2"/>
  <c r="E4278" i="2"/>
  <c r="D4278" i="2"/>
  <c r="C4278" i="2"/>
  <c r="B4278" i="2"/>
  <c r="A4278" i="2"/>
  <c r="H4277" i="2"/>
  <c r="G4277" i="2"/>
  <c r="F4277" i="2"/>
  <c r="E4277" i="2"/>
  <c r="D4277" i="2"/>
  <c r="C4277" i="2"/>
  <c r="B4277" i="2"/>
  <c r="A4277" i="2"/>
  <c r="H4276" i="2"/>
  <c r="G4276" i="2"/>
  <c r="F4276" i="2"/>
  <c r="E4276" i="2"/>
  <c r="D4276" i="2"/>
  <c r="C4276" i="2"/>
  <c r="B4276" i="2"/>
  <c r="A4276" i="2"/>
  <c r="H4275" i="2"/>
  <c r="G4275" i="2"/>
  <c r="F4275" i="2"/>
  <c r="E4275" i="2"/>
  <c r="D4275" i="2"/>
  <c r="C4275" i="2"/>
  <c r="B4275" i="2"/>
  <c r="A4275" i="2"/>
  <c r="H4274" i="2"/>
  <c r="G4274" i="2"/>
  <c r="F4274" i="2"/>
  <c r="E4274" i="2"/>
  <c r="D4274" i="2"/>
  <c r="C4274" i="2"/>
  <c r="B4274" i="2"/>
  <c r="A4274" i="2"/>
  <c r="H4273" i="2"/>
  <c r="G4273" i="2"/>
  <c r="F4273" i="2"/>
  <c r="E4273" i="2"/>
  <c r="D4273" i="2"/>
  <c r="C4273" i="2"/>
  <c r="B4273" i="2"/>
  <c r="A4273" i="2"/>
  <c r="H4272" i="2"/>
  <c r="G4272" i="2"/>
  <c r="F4272" i="2"/>
  <c r="E4272" i="2"/>
  <c r="D4272" i="2"/>
  <c r="C4272" i="2"/>
  <c r="B4272" i="2"/>
  <c r="A4272" i="2"/>
  <c r="H4271" i="2"/>
  <c r="G4271" i="2"/>
  <c r="F4271" i="2"/>
  <c r="E4271" i="2"/>
  <c r="D4271" i="2"/>
  <c r="C4271" i="2"/>
  <c r="B4271" i="2"/>
  <c r="A4271" i="2"/>
  <c r="H4270" i="2"/>
  <c r="G4270" i="2"/>
  <c r="F4270" i="2"/>
  <c r="E4270" i="2"/>
  <c r="D4270" i="2"/>
  <c r="C4270" i="2"/>
  <c r="B4270" i="2"/>
  <c r="A4270" i="2"/>
  <c r="H4269" i="2"/>
  <c r="G4269" i="2"/>
  <c r="F4269" i="2"/>
  <c r="E4269" i="2"/>
  <c r="D4269" i="2"/>
  <c r="C4269" i="2"/>
  <c r="B4269" i="2"/>
  <c r="A4269" i="2"/>
  <c r="H4268" i="2"/>
  <c r="G4268" i="2"/>
  <c r="F4268" i="2"/>
  <c r="E4268" i="2"/>
  <c r="D4268" i="2"/>
  <c r="C4268" i="2"/>
  <c r="B4268" i="2"/>
  <c r="A4268" i="2"/>
  <c r="H4267" i="2"/>
  <c r="G4267" i="2"/>
  <c r="F4267" i="2"/>
  <c r="E4267" i="2"/>
  <c r="D4267" i="2"/>
  <c r="C4267" i="2"/>
  <c r="B4267" i="2"/>
  <c r="A4267" i="2"/>
  <c r="H4266" i="2"/>
  <c r="G4266" i="2"/>
  <c r="F4266" i="2"/>
  <c r="E4266" i="2"/>
  <c r="D4266" i="2"/>
  <c r="C4266" i="2"/>
  <c r="B4266" i="2"/>
  <c r="A4266" i="2"/>
  <c r="H4265" i="2"/>
  <c r="G4265" i="2"/>
  <c r="F4265" i="2"/>
  <c r="E4265" i="2"/>
  <c r="D4265" i="2"/>
  <c r="C4265" i="2"/>
  <c r="B4265" i="2"/>
  <c r="A4265" i="2"/>
  <c r="H4264" i="2"/>
  <c r="G4264" i="2"/>
  <c r="F4264" i="2"/>
  <c r="E4264" i="2"/>
  <c r="D4264" i="2"/>
  <c r="C4264" i="2"/>
  <c r="B4264" i="2"/>
  <c r="A4264" i="2"/>
  <c r="H4263" i="2"/>
  <c r="G4263" i="2"/>
  <c r="F4263" i="2"/>
  <c r="E4263" i="2"/>
  <c r="D4263" i="2"/>
  <c r="C4263" i="2"/>
  <c r="B4263" i="2"/>
  <c r="A4263" i="2"/>
  <c r="H4262" i="2"/>
  <c r="G4262" i="2"/>
  <c r="F4262" i="2"/>
  <c r="E4262" i="2"/>
  <c r="D4262" i="2"/>
  <c r="C4262" i="2"/>
  <c r="B4262" i="2"/>
  <c r="A4262" i="2"/>
  <c r="H4261" i="2"/>
  <c r="G4261" i="2"/>
  <c r="F4261" i="2"/>
  <c r="E4261" i="2"/>
  <c r="D4261" i="2"/>
  <c r="C4261" i="2"/>
  <c r="B4261" i="2"/>
  <c r="A4261" i="2"/>
  <c r="H4260" i="2"/>
  <c r="G4260" i="2"/>
  <c r="F4260" i="2"/>
  <c r="E4260" i="2"/>
  <c r="D4260" i="2"/>
  <c r="C4260" i="2"/>
  <c r="B4260" i="2"/>
  <c r="A4260" i="2"/>
  <c r="H4259" i="2"/>
  <c r="G4259" i="2"/>
  <c r="F4259" i="2"/>
  <c r="E4259" i="2"/>
  <c r="D4259" i="2"/>
  <c r="C4259" i="2"/>
  <c r="B4259" i="2"/>
  <c r="A4259" i="2"/>
  <c r="H4258" i="2"/>
  <c r="G4258" i="2"/>
  <c r="F4258" i="2"/>
  <c r="E4258" i="2"/>
  <c r="D4258" i="2"/>
  <c r="C4258" i="2"/>
  <c r="B4258" i="2"/>
  <c r="A4258" i="2"/>
  <c r="H4257" i="2"/>
  <c r="G4257" i="2"/>
  <c r="F4257" i="2"/>
  <c r="E4257" i="2"/>
  <c r="D4257" i="2"/>
  <c r="C4257" i="2"/>
  <c r="B4257" i="2"/>
  <c r="A4257" i="2"/>
  <c r="H4256" i="2"/>
  <c r="G4256" i="2"/>
  <c r="F4256" i="2"/>
  <c r="E4256" i="2"/>
  <c r="D4256" i="2"/>
  <c r="C4256" i="2"/>
  <c r="B4256" i="2"/>
  <c r="A4256" i="2"/>
  <c r="H4255" i="2"/>
  <c r="G4255" i="2"/>
  <c r="F4255" i="2"/>
  <c r="E4255" i="2"/>
  <c r="D4255" i="2"/>
  <c r="C4255" i="2"/>
  <c r="B4255" i="2"/>
  <c r="A4255" i="2"/>
  <c r="H4254" i="2"/>
  <c r="G4254" i="2"/>
  <c r="F4254" i="2"/>
  <c r="E4254" i="2"/>
  <c r="D4254" i="2"/>
  <c r="C4254" i="2"/>
  <c r="B4254" i="2"/>
  <c r="A4254" i="2"/>
  <c r="H4253" i="2"/>
  <c r="G4253" i="2"/>
  <c r="F4253" i="2"/>
  <c r="E4253" i="2"/>
  <c r="D4253" i="2"/>
  <c r="C4253" i="2"/>
  <c r="B4253" i="2"/>
  <c r="A4253" i="2"/>
  <c r="H4252" i="2"/>
  <c r="G4252" i="2"/>
  <c r="F4252" i="2"/>
  <c r="E4252" i="2"/>
  <c r="D4252" i="2"/>
  <c r="C4252" i="2"/>
  <c r="B4252" i="2"/>
  <c r="A4252" i="2"/>
  <c r="H4251" i="2"/>
  <c r="G4251" i="2"/>
  <c r="F4251" i="2"/>
  <c r="E4251" i="2"/>
  <c r="D4251" i="2"/>
  <c r="C4251" i="2"/>
  <c r="B4251" i="2"/>
  <c r="A4251" i="2"/>
  <c r="H4250" i="2"/>
  <c r="G4250" i="2"/>
  <c r="F4250" i="2"/>
  <c r="E4250" i="2"/>
  <c r="D4250" i="2"/>
  <c r="C4250" i="2"/>
  <c r="B4250" i="2"/>
  <c r="A4250" i="2"/>
  <c r="H4249" i="2"/>
  <c r="G4249" i="2"/>
  <c r="F4249" i="2"/>
  <c r="E4249" i="2"/>
  <c r="D4249" i="2"/>
  <c r="C4249" i="2"/>
  <c r="B4249" i="2"/>
  <c r="A4249" i="2"/>
  <c r="H4248" i="2"/>
  <c r="G4248" i="2"/>
  <c r="F4248" i="2"/>
  <c r="E4248" i="2"/>
  <c r="D4248" i="2"/>
  <c r="C4248" i="2"/>
  <c r="B4248" i="2"/>
  <c r="A4248" i="2"/>
  <c r="H4247" i="2"/>
  <c r="G4247" i="2"/>
  <c r="F4247" i="2"/>
  <c r="E4247" i="2"/>
  <c r="D4247" i="2"/>
  <c r="C4247" i="2"/>
  <c r="B4247" i="2"/>
  <c r="A4247" i="2"/>
  <c r="H4246" i="2"/>
  <c r="G4246" i="2"/>
  <c r="F4246" i="2"/>
  <c r="E4246" i="2"/>
  <c r="D4246" i="2"/>
  <c r="C4246" i="2"/>
  <c r="B4246" i="2"/>
  <c r="A4246" i="2"/>
  <c r="H4245" i="2"/>
  <c r="G4245" i="2"/>
  <c r="F4245" i="2"/>
  <c r="E4245" i="2"/>
  <c r="D4245" i="2"/>
  <c r="C4245" i="2"/>
  <c r="B4245" i="2"/>
  <c r="A4245" i="2"/>
  <c r="H4244" i="2"/>
  <c r="G4244" i="2"/>
  <c r="F4244" i="2"/>
  <c r="E4244" i="2"/>
  <c r="D4244" i="2"/>
  <c r="C4244" i="2"/>
  <c r="B4244" i="2"/>
  <c r="A4244" i="2"/>
  <c r="H4243" i="2"/>
  <c r="G4243" i="2"/>
  <c r="F4243" i="2"/>
  <c r="E4243" i="2"/>
  <c r="D4243" i="2"/>
  <c r="C4243" i="2"/>
  <c r="B4243" i="2"/>
  <c r="A4243" i="2"/>
  <c r="H4242" i="2"/>
  <c r="G4242" i="2"/>
  <c r="F4242" i="2"/>
  <c r="E4242" i="2"/>
  <c r="D4242" i="2"/>
  <c r="C4242" i="2"/>
  <c r="B4242" i="2"/>
  <c r="A4242" i="2"/>
  <c r="H4241" i="2"/>
  <c r="G4241" i="2"/>
  <c r="F4241" i="2"/>
  <c r="E4241" i="2"/>
  <c r="D4241" i="2"/>
  <c r="C4241" i="2"/>
  <c r="B4241" i="2"/>
  <c r="A4241" i="2"/>
  <c r="H4240" i="2"/>
  <c r="G4240" i="2"/>
  <c r="F4240" i="2"/>
  <c r="E4240" i="2"/>
  <c r="D4240" i="2"/>
  <c r="C4240" i="2"/>
  <c r="B4240" i="2"/>
  <c r="A4240" i="2"/>
  <c r="H4239" i="2"/>
  <c r="G4239" i="2"/>
  <c r="F4239" i="2"/>
  <c r="E4239" i="2"/>
  <c r="D4239" i="2"/>
  <c r="C4239" i="2"/>
  <c r="B4239" i="2"/>
  <c r="A4239" i="2"/>
  <c r="H4238" i="2"/>
  <c r="G4238" i="2"/>
  <c r="F4238" i="2"/>
  <c r="E4238" i="2"/>
  <c r="D4238" i="2"/>
  <c r="C4238" i="2"/>
  <c r="B4238" i="2"/>
  <c r="A4238" i="2"/>
  <c r="H4237" i="2"/>
  <c r="G4237" i="2"/>
  <c r="F4237" i="2"/>
  <c r="E4237" i="2"/>
  <c r="D4237" i="2"/>
  <c r="C4237" i="2"/>
  <c r="B4237" i="2"/>
  <c r="A4237" i="2"/>
  <c r="H4236" i="2"/>
  <c r="G4236" i="2"/>
  <c r="F4236" i="2"/>
  <c r="E4236" i="2"/>
  <c r="D4236" i="2"/>
  <c r="C4236" i="2"/>
  <c r="B4236" i="2"/>
  <c r="A4236" i="2"/>
  <c r="H4235" i="2"/>
  <c r="G4235" i="2"/>
  <c r="F4235" i="2"/>
  <c r="E4235" i="2"/>
  <c r="D4235" i="2"/>
  <c r="C4235" i="2"/>
  <c r="B4235" i="2"/>
  <c r="A4235" i="2"/>
  <c r="H4234" i="2"/>
  <c r="G4234" i="2"/>
  <c r="F4234" i="2"/>
  <c r="E4234" i="2"/>
  <c r="D4234" i="2"/>
  <c r="C4234" i="2"/>
  <c r="B4234" i="2"/>
  <c r="A4234" i="2"/>
  <c r="H4233" i="2"/>
  <c r="G4233" i="2"/>
  <c r="F4233" i="2"/>
  <c r="E4233" i="2"/>
  <c r="D4233" i="2"/>
  <c r="C4233" i="2"/>
  <c r="B4233" i="2"/>
  <c r="A4233" i="2"/>
  <c r="H4232" i="2"/>
  <c r="G4232" i="2"/>
  <c r="F4232" i="2"/>
  <c r="E4232" i="2"/>
  <c r="D4232" i="2"/>
  <c r="C4232" i="2"/>
  <c r="B4232" i="2"/>
  <c r="A4232" i="2"/>
  <c r="H4231" i="2"/>
  <c r="G4231" i="2"/>
  <c r="F4231" i="2"/>
  <c r="E4231" i="2"/>
  <c r="D4231" i="2"/>
  <c r="C4231" i="2"/>
  <c r="B4231" i="2"/>
  <c r="A4231" i="2"/>
  <c r="H4230" i="2"/>
  <c r="G4230" i="2"/>
  <c r="F4230" i="2"/>
  <c r="E4230" i="2"/>
  <c r="D4230" i="2"/>
  <c r="C4230" i="2"/>
  <c r="B4230" i="2"/>
  <c r="A4230" i="2"/>
  <c r="H4229" i="2"/>
  <c r="G4229" i="2"/>
  <c r="F4229" i="2"/>
  <c r="E4229" i="2"/>
  <c r="D4229" i="2"/>
  <c r="C4229" i="2"/>
  <c r="B4229" i="2"/>
  <c r="A4229" i="2"/>
  <c r="H4228" i="2"/>
  <c r="G4228" i="2"/>
  <c r="F4228" i="2"/>
  <c r="E4228" i="2"/>
  <c r="D4228" i="2"/>
  <c r="C4228" i="2"/>
  <c r="B4228" i="2"/>
  <c r="A4228" i="2"/>
  <c r="H4227" i="2"/>
  <c r="G4227" i="2"/>
  <c r="F4227" i="2"/>
  <c r="E4227" i="2"/>
  <c r="D4227" i="2"/>
  <c r="C4227" i="2"/>
  <c r="B4227" i="2"/>
  <c r="A4227" i="2"/>
  <c r="H4226" i="2"/>
  <c r="G4226" i="2"/>
  <c r="F4226" i="2"/>
  <c r="E4226" i="2"/>
  <c r="D4226" i="2"/>
  <c r="C4226" i="2"/>
  <c r="B4226" i="2"/>
  <c r="A4226" i="2"/>
  <c r="H4225" i="2"/>
  <c r="G4225" i="2"/>
  <c r="F4225" i="2"/>
  <c r="E4225" i="2"/>
  <c r="D4225" i="2"/>
  <c r="C4225" i="2"/>
  <c r="B4225" i="2"/>
  <c r="A4225" i="2"/>
  <c r="H4224" i="2"/>
  <c r="G4224" i="2"/>
  <c r="F4224" i="2"/>
  <c r="E4224" i="2"/>
  <c r="D4224" i="2"/>
  <c r="C4224" i="2"/>
  <c r="B4224" i="2"/>
  <c r="A4224" i="2"/>
  <c r="H4223" i="2"/>
  <c r="G4223" i="2"/>
  <c r="F4223" i="2"/>
  <c r="E4223" i="2"/>
  <c r="D4223" i="2"/>
  <c r="C4223" i="2"/>
  <c r="B4223" i="2"/>
  <c r="A4223" i="2"/>
  <c r="H4222" i="2"/>
  <c r="G4222" i="2"/>
  <c r="F4222" i="2"/>
  <c r="E4222" i="2"/>
  <c r="D4222" i="2"/>
  <c r="C4222" i="2"/>
  <c r="B4222" i="2"/>
  <c r="A4222" i="2"/>
  <c r="H4221" i="2"/>
  <c r="G4221" i="2"/>
  <c r="F4221" i="2"/>
  <c r="E4221" i="2"/>
  <c r="D4221" i="2"/>
  <c r="C4221" i="2"/>
  <c r="B4221" i="2"/>
  <c r="A4221" i="2"/>
  <c r="H4220" i="2"/>
  <c r="G4220" i="2"/>
  <c r="F4220" i="2"/>
  <c r="E4220" i="2"/>
  <c r="D4220" i="2"/>
  <c r="C4220" i="2"/>
  <c r="B4220" i="2"/>
  <c r="A4220" i="2"/>
  <c r="H4219" i="2"/>
  <c r="G4219" i="2"/>
  <c r="F4219" i="2"/>
  <c r="E4219" i="2"/>
  <c r="D4219" i="2"/>
  <c r="C4219" i="2"/>
  <c r="B4219" i="2"/>
  <c r="A4219" i="2"/>
  <c r="H4218" i="2"/>
  <c r="G4218" i="2"/>
  <c r="F4218" i="2"/>
  <c r="E4218" i="2"/>
  <c r="D4218" i="2"/>
  <c r="C4218" i="2"/>
  <c r="B4218" i="2"/>
  <c r="A4218" i="2"/>
  <c r="H4217" i="2"/>
  <c r="G4217" i="2"/>
  <c r="F4217" i="2"/>
  <c r="E4217" i="2"/>
  <c r="D4217" i="2"/>
  <c r="C4217" i="2"/>
  <c r="B4217" i="2"/>
  <c r="A4217" i="2"/>
  <c r="H4216" i="2"/>
  <c r="G4216" i="2"/>
  <c r="F4216" i="2"/>
  <c r="E4216" i="2"/>
  <c r="D4216" i="2"/>
  <c r="C4216" i="2"/>
  <c r="B4216" i="2"/>
  <c r="A4216" i="2"/>
  <c r="H4215" i="2"/>
  <c r="G4215" i="2"/>
  <c r="F4215" i="2"/>
  <c r="E4215" i="2"/>
  <c r="D4215" i="2"/>
  <c r="C4215" i="2"/>
  <c r="B4215" i="2"/>
  <c r="A4215" i="2"/>
  <c r="H4214" i="2"/>
  <c r="G4214" i="2"/>
  <c r="F4214" i="2"/>
  <c r="E4214" i="2"/>
  <c r="D4214" i="2"/>
  <c r="C4214" i="2"/>
  <c r="B4214" i="2"/>
  <c r="A4214" i="2"/>
  <c r="H4213" i="2"/>
  <c r="G4213" i="2"/>
  <c r="F4213" i="2"/>
  <c r="E4213" i="2"/>
  <c r="D4213" i="2"/>
  <c r="C4213" i="2"/>
  <c r="B4213" i="2"/>
  <c r="A4213" i="2"/>
  <c r="H4212" i="2"/>
  <c r="G4212" i="2"/>
  <c r="F4212" i="2"/>
  <c r="E4212" i="2"/>
  <c r="D4212" i="2"/>
  <c r="C4212" i="2"/>
  <c r="B4212" i="2"/>
  <c r="A4212" i="2"/>
  <c r="H4211" i="2"/>
  <c r="G4211" i="2"/>
  <c r="F4211" i="2"/>
  <c r="E4211" i="2"/>
  <c r="D4211" i="2"/>
  <c r="C4211" i="2"/>
  <c r="B4211" i="2"/>
  <c r="A4211" i="2"/>
  <c r="H4210" i="2"/>
  <c r="G4210" i="2"/>
  <c r="F4210" i="2"/>
  <c r="E4210" i="2"/>
  <c r="D4210" i="2"/>
  <c r="C4210" i="2"/>
  <c r="B4210" i="2"/>
  <c r="A4210" i="2"/>
  <c r="H4209" i="2"/>
  <c r="G4209" i="2"/>
  <c r="F4209" i="2"/>
  <c r="E4209" i="2"/>
  <c r="D4209" i="2"/>
  <c r="C4209" i="2"/>
  <c r="B4209" i="2"/>
  <c r="A4209" i="2"/>
  <c r="H4208" i="2"/>
  <c r="G4208" i="2"/>
  <c r="F4208" i="2"/>
  <c r="E4208" i="2"/>
  <c r="D4208" i="2"/>
  <c r="C4208" i="2"/>
  <c r="B4208" i="2"/>
  <c r="A4208" i="2"/>
  <c r="H4207" i="2"/>
  <c r="G4207" i="2"/>
  <c r="F4207" i="2"/>
  <c r="E4207" i="2"/>
  <c r="D4207" i="2"/>
  <c r="C4207" i="2"/>
  <c r="B4207" i="2"/>
  <c r="A4207" i="2"/>
  <c r="H4206" i="2"/>
  <c r="G4206" i="2"/>
  <c r="F4206" i="2"/>
  <c r="E4206" i="2"/>
  <c r="D4206" i="2"/>
  <c r="C4206" i="2"/>
  <c r="B4206" i="2"/>
  <c r="A4206" i="2"/>
  <c r="H4205" i="2"/>
  <c r="G4205" i="2"/>
  <c r="F4205" i="2"/>
  <c r="E4205" i="2"/>
  <c r="D4205" i="2"/>
  <c r="C4205" i="2"/>
  <c r="B4205" i="2"/>
  <c r="A4205" i="2"/>
  <c r="H4204" i="2"/>
  <c r="G4204" i="2"/>
  <c r="F4204" i="2"/>
  <c r="E4204" i="2"/>
  <c r="D4204" i="2"/>
  <c r="C4204" i="2"/>
  <c r="B4204" i="2"/>
  <c r="A4204" i="2"/>
  <c r="H4203" i="2"/>
  <c r="G4203" i="2"/>
  <c r="F4203" i="2"/>
  <c r="E4203" i="2"/>
  <c r="D4203" i="2"/>
  <c r="C4203" i="2"/>
  <c r="B4203" i="2"/>
  <c r="A4203" i="2"/>
  <c r="H4202" i="2"/>
  <c r="G4202" i="2"/>
  <c r="F4202" i="2"/>
  <c r="E4202" i="2"/>
  <c r="D4202" i="2"/>
  <c r="C4202" i="2"/>
  <c r="B4202" i="2"/>
  <c r="A4202" i="2"/>
  <c r="H4201" i="2"/>
  <c r="G4201" i="2"/>
  <c r="F4201" i="2"/>
  <c r="E4201" i="2"/>
  <c r="D4201" i="2"/>
  <c r="C4201" i="2"/>
  <c r="B4201" i="2"/>
  <c r="A4201" i="2"/>
  <c r="H4200" i="2"/>
  <c r="G4200" i="2"/>
  <c r="F4200" i="2"/>
  <c r="E4200" i="2"/>
  <c r="D4200" i="2"/>
  <c r="C4200" i="2"/>
  <c r="B4200" i="2"/>
  <c r="A4200" i="2"/>
  <c r="H4199" i="2"/>
  <c r="G4199" i="2"/>
  <c r="F4199" i="2"/>
  <c r="E4199" i="2"/>
  <c r="D4199" i="2"/>
  <c r="C4199" i="2"/>
  <c r="B4199" i="2"/>
  <c r="A4199" i="2"/>
  <c r="H4198" i="2"/>
  <c r="G4198" i="2"/>
  <c r="F4198" i="2"/>
  <c r="E4198" i="2"/>
  <c r="D4198" i="2"/>
  <c r="C4198" i="2"/>
  <c r="B4198" i="2"/>
  <c r="A4198" i="2"/>
  <c r="H4197" i="2"/>
  <c r="G4197" i="2"/>
  <c r="F4197" i="2"/>
  <c r="E4197" i="2"/>
  <c r="D4197" i="2"/>
  <c r="C4197" i="2"/>
  <c r="B4197" i="2"/>
  <c r="A4197" i="2"/>
  <c r="H4196" i="2"/>
  <c r="G4196" i="2"/>
  <c r="F4196" i="2"/>
  <c r="E4196" i="2"/>
  <c r="D4196" i="2"/>
  <c r="C4196" i="2"/>
  <c r="B4196" i="2"/>
  <c r="A4196" i="2"/>
  <c r="H4195" i="2"/>
  <c r="G4195" i="2"/>
  <c r="F4195" i="2"/>
  <c r="E4195" i="2"/>
  <c r="D4195" i="2"/>
  <c r="C4195" i="2"/>
  <c r="B4195" i="2"/>
  <c r="A4195" i="2"/>
  <c r="H4194" i="2"/>
  <c r="G4194" i="2"/>
  <c r="F4194" i="2"/>
  <c r="E4194" i="2"/>
  <c r="D4194" i="2"/>
  <c r="C4194" i="2"/>
  <c r="B4194" i="2"/>
  <c r="A4194" i="2"/>
  <c r="H4193" i="2"/>
  <c r="G4193" i="2"/>
  <c r="F4193" i="2"/>
  <c r="E4193" i="2"/>
  <c r="D4193" i="2"/>
  <c r="C4193" i="2"/>
  <c r="B4193" i="2"/>
  <c r="A4193" i="2"/>
  <c r="H4192" i="2"/>
  <c r="G4192" i="2"/>
  <c r="F4192" i="2"/>
  <c r="E4192" i="2"/>
  <c r="D4192" i="2"/>
  <c r="C4192" i="2"/>
  <c r="B4192" i="2"/>
  <c r="A4192" i="2"/>
  <c r="H4191" i="2"/>
  <c r="G4191" i="2"/>
  <c r="F4191" i="2"/>
  <c r="E4191" i="2"/>
  <c r="D4191" i="2"/>
  <c r="C4191" i="2"/>
  <c r="B4191" i="2"/>
  <c r="A4191" i="2"/>
  <c r="H4190" i="2"/>
  <c r="G4190" i="2"/>
  <c r="F4190" i="2"/>
  <c r="E4190" i="2"/>
  <c r="D4190" i="2"/>
  <c r="C4190" i="2"/>
  <c r="B4190" i="2"/>
  <c r="A4190" i="2"/>
  <c r="H4189" i="2"/>
  <c r="G4189" i="2"/>
  <c r="F4189" i="2"/>
  <c r="E4189" i="2"/>
  <c r="D4189" i="2"/>
  <c r="C4189" i="2"/>
  <c r="B4189" i="2"/>
  <c r="A4189" i="2"/>
  <c r="H4188" i="2"/>
  <c r="G4188" i="2"/>
  <c r="F4188" i="2"/>
  <c r="E4188" i="2"/>
  <c r="D4188" i="2"/>
  <c r="C4188" i="2"/>
  <c r="B4188" i="2"/>
  <c r="A4188" i="2"/>
  <c r="H4187" i="2"/>
  <c r="G4187" i="2"/>
  <c r="F4187" i="2"/>
  <c r="E4187" i="2"/>
  <c r="D4187" i="2"/>
  <c r="C4187" i="2"/>
  <c r="B4187" i="2"/>
  <c r="A4187" i="2"/>
  <c r="H4186" i="2"/>
  <c r="G4186" i="2"/>
  <c r="F4186" i="2"/>
  <c r="E4186" i="2"/>
  <c r="D4186" i="2"/>
  <c r="C4186" i="2"/>
  <c r="B4186" i="2"/>
  <c r="A4186" i="2"/>
  <c r="H4185" i="2"/>
  <c r="G4185" i="2"/>
  <c r="F4185" i="2"/>
  <c r="E4185" i="2"/>
  <c r="D4185" i="2"/>
  <c r="C4185" i="2"/>
  <c r="B4185" i="2"/>
  <c r="A4185" i="2"/>
  <c r="H4184" i="2"/>
  <c r="G4184" i="2"/>
  <c r="F4184" i="2"/>
  <c r="E4184" i="2"/>
  <c r="D4184" i="2"/>
  <c r="C4184" i="2"/>
  <c r="B4184" i="2"/>
  <c r="A4184" i="2"/>
  <c r="H4183" i="2"/>
  <c r="G4183" i="2"/>
  <c r="F4183" i="2"/>
  <c r="E4183" i="2"/>
  <c r="D4183" i="2"/>
  <c r="C4183" i="2"/>
  <c r="B4183" i="2"/>
  <c r="A4183" i="2"/>
  <c r="H4182" i="2"/>
  <c r="G4182" i="2"/>
  <c r="F4182" i="2"/>
  <c r="E4182" i="2"/>
  <c r="D4182" i="2"/>
  <c r="C4182" i="2"/>
  <c r="B4182" i="2"/>
  <c r="A4182" i="2"/>
  <c r="H4181" i="2"/>
  <c r="G4181" i="2"/>
  <c r="F4181" i="2"/>
  <c r="E4181" i="2"/>
  <c r="D4181" i="2"/>
  <c r="C4181" i="2"/>
  <c r="B4181" i="2"/>
  <c r="A4181" i="2"/>
  <c r="H4180" i="2"/>
  <c r="G4180" i="2"/>
  <c r="F4180" i="2"/>
  <c r="E4180" i="2"/>
  <c r="D4180" i="2"/>
  <c r="C4180" i="2"/>
  <c r="B4180" i="2"/>
  <c r="A4180" i="2"/>
  <c r="H4179" i="2"/>
  <c r="G4179" i="2"/>
  <c r="F4179" i="2"/>
  <c r="E4179" i="2"/>
  <c r="D4179" i="2"/>
  <c r="C4179" i="2"/>
  <c r="B4179" i="2"/>
  <c r="A4179" i="2"/>
  <c r="H4178" i="2"/>
  <c r="G4178" i="2"/>
  <c r="F4178" i="2"/>
  <c r="E4178" i="2"/>
  <c r="D4178" i="2"/>
  <c r="C4178" i="2"/>
  <c r="B4178" i="2"/>
  <c r="A4178" i="2"/>
  <c r="H4177" i="2"/>
  <c r="G4177" i="2"/>
  <c r="F4177" i="2"/>
  <c r="E4177" i="2"/>
  <c r="D4177" i="2"/>
  <c r="C4177" i="2"/>
  <c r="B4177" i="2"/>
  <c r="A4177" i="2"/>
  <c r="H4176" i="2"/>
  <c r="G4176" i="2"/>
  <c r="F4176" i="2"/>
  <c r="E4176" i="2"/>
  <c r="D4176" i="2"/>
  <c r="C4176" i="2"/>
  <c r="B4176" i="2"/>
  <c r="A4176" i="2"/>
  <c r="H4175" i="2"/>
  <c r="G4175" i="2"/>
  <c r="F4175" i="2"/>
  <c r="E4175" i="2"/>
  <c r="D4175" i="2"/>
  <c r="C4175" i="2"/>
  <c r="B4175" i="2"/>
  <c r="A4175" i="2"/>
  <c r="H4174" i="2"/>
  <c r="G4174" i="2"/>
  <c r="F4174" i="2"/>
  <c r="E4174" i="2"/>
  <c r="D4174" i="2"/>
  <c r="C4174" i="2"/>
  <c r="B4174" i="2"/>
  <c r="A4174" i="2"/>
  <c r="H4173" i="2"/>
  <c r="G4173" i="2"/>
  <c r="F4173" i="2"/>
  <c r="E4173" i="2"/>
  <c r="D4173" i="2"/>
  <c r="C4173" i="2"/>
  <c r="B4173" i="2"/>
  <c r="A4173" i="2"/>
  <c r="H4172" i="2"/>
  <c r="G4172" i="2"/>
  <c r="F4172" i="2"/>
  <c r="E4172" i="2"/>
  <c r="D4172" i="2"/>
  <c r="C4172" i="2"/>
  <c r="B4172" i="2"/>
  <c r="A4172" i="2"/>
  <c r="H4171" i="2"/>
  <c r="G4171" i="2"/>
  <c r="F4171" i="2"/>
  <c r="E4171" i="2"/>
  <c r="D4171" i="2"/>
  <c r="C4171" i="2"/>
  <c r="B4171" i="2"/>
  <c r="A4171" i="2"/>
  <c r="H4170" i="2"/>
  <c r="G4170" i="2"/>
  <c r="F4170" i="2"/>
  <c r="E4170" i="2"/>
  <c r="D4170" i="2"/>
  <c r="C4170" i="2"/>
  <c r="B4170" i="2"/>
  <c r="A4170" i="2"/>
  <c r="H4169" i="2"/>
  <c r="G4169" i="2"/>
  <c r="F4169" i="2"/>
  <c r="E4169" i="2"/>
  <c r="D4169" i="2"/>
  <c r="C4169" i="2"/>
  <c r="B4169" i="2"/>
  <c r="A4169" i="2"/>
  <c r="H4168" i="2"/>
  <c r="G4168" i="2"/>
  <c r="F4168" i="2"/>
  <c r="E4168" i="2"/>
  <c r="D4168" i="2"/>
  <c r="C4168" i="2"/>
  <c r="B4168" i="2"/>
  <c r="A4168" i="2"/>
  <c r="H4167" i="2"/>
  <c r="G4167" i="2"/>
  <c r="F4167" i="2"/>
  <c r="E4167" i="2"/>
  <c r="D4167" i="2"/>
  <c r="C4167" i="2"/>
  <c r="B4167" i="2"/>
  <c r="A4167" i="2"/>
  <c r="H4166" i="2"/>
  <c r="G4166" i="2"/>
  <c r="F4166" i="2"/>
  <c r="E4166" i="2"/>
  <c r="D4166" i="2"/>
  <c r="C4166" i="2"/>
  <c r="B4166" i="2"/>
  <c r="A4166" i="2"/>
  <c r="H4165" i="2"/>
  <c r="G4165" i="2"/>
  <c r="F4165" i="2"/>
  <c r="E4165" i="2"/>
  <c r="D4165" i="2"/>
  <c r="C4165" i="2"/>
  <c r="B4165" i="2"/>
  <c r="A4165" i="2"/>
  <c r="H4164" i="2"/>
  <c r="G4164" i="2"/>
  <c r="F4164" i="2"/>
  <c r="E4164" i="2"/>
  <c r="D4164" i="2"/>
  <c r="C4164" i="2"/>
  <c r="B4164" i="2"/>
  <c r="A4164" i="2"/>
  <c r="H4163" i="2"/>
  <c r="G4163" i="2"/>
  <c r="F4163" i="2"/>
  <c r="E4163" i="2"/>
  <c r="D4163" i="2"/>
  <c r="C4163" i="2"/>
  <c r="B4163" i="2"/>
  <c r="A4163" i="2"/>
  <c r="H4162" i="2"/>
  <c r="G4162" i="2"/>
  <c r="F4162" i="2"/>
  <c r="E4162" i="2"/>
  <c r="D4162" i="2"/>
  <c r="C4162" i="2"/>
  <c r="B4162" i="2"/>
  <c r="A4162" i="2"/>
  <c r="H4161" i="2"/>
  <c r="G4161" i="2"/>
  <c r="F4161" i="2"/>
  <c r="E4161" i="2"/>
  <c r="D4161" i="2"/>
  <c r="C4161" i="2"/>
  <c r="B4161" i="2"/>
  <c r="A4161" i="2"/>
  <c r="H4160" i="2"/>
  <c r="G4160" i="2"/>
  <c r="F4160" i="2"/>
  <c r="E4160" i="2"/>
  <c r="D4160" i="2"/>
  <c r="C4160" i="2"/>
  <c r="B4160" i="2"/>
  <c r="A4160" i="2"/>
  <c r="H4159" i="2"/>
  <c r="G4159" i="2"/>
  <c r="F4159" i="2"/>
  <c r="E4159" i="2"/>
  <c r="D4159" i="2"/>
  <c r="C4159" i="2"/>
  <c r="B4159" i="2"/>
  <c r="A4159" i="2"/>
  <c r="H4158" i="2"/>
  <c r="G4158" i="2"/>
  <c r="F4158" i="2"/>
  <c r="E4158" i="2"/>
  <c r="D4158" i="2"/>
  <c r="C4158" i="2"/>
  <c r="B4158" i="2"/>
  <c r="A4158" i="2"/>
  <c r="H4157" i="2"/>
  <c r="G4157" i="2"/>
  <c r="F4157" i="2"/>
  <c r="E4157" i="2"/>
  <c r="D4157" i="2"/>
  <c r="C4157" i="2"/>
  <c r="B4157" i="2"/>
  <c r="A4157" i="2"/>
  <c r="H4156" i="2"/>
  <c r="G4156" i="2"/>
  <c r="F4156" i="2"/>
  <c r="E4156" i="2"/>
  <c r="D4156" i="2"/>
  <c r="C4156" i="2"/>
  <c r="B4156" i="2"/>
  <c r="A4156" i="2"/>
  <c r="H4155" i="2"/>
  <c r="G4155" i="2"/>
  <c r="F4155" i="2"/>
  <c r="E4155" i="2"/>
  <c r="D4155" i="2"/>
  <c r="C4155" i="2"/>
  <c r="B4155" i="2"/>
  <c r="A4155" i="2"/>
  <c r="H4154" i="2"/>
  <c r="G4154" i="2"/>
  <c r="F4154" i="2"/>
  <c r="E4154" i="2"/>
  <c r="D4154" i="2"/>
  <c r="C4154" i="2"/>
  <c r="B4154" i="2"/>
  <c r="A4154" i="2"/>
  <c r="H4153" i="2"/>
  <c r="G4153" i="2"/>
  <c r="F4153" i="2"/>
  <c r="E4153" i="2"/>
  <c r="D4153" i="2"/>
  <c r="C4153" i="2"/>
  <c r="B4153" i="2"/>
  <c r="A4153" i="2"/>
  <c r="H4152" i="2"/>
  <c r="G4152" i="2"/>
  <c r="F4152" i="2"/>
  <c r="E4152" i="2"/>
  <c r="D4152" i="2"/>
  <c r="C4152" i="2"/>
  <c r="B4152" i="2"/>
  <c r="A4152" i="2"/>
  <c r="H4151" i="2"/>
  <c r="G4151" i="2"/>
  <c r="F4151" i="2"/>
  <c r="E4151" i="2"/>
  <c r="D4151" i="2"/>
  <c r="C4151" i="2"/>
  <c r="B4151" i="2"/>
  <c r="A4151" i="2"/>
  <c r="H4150" i="2"/>
  <c r="G4150" i="2"/>
  <c r="F4150" i="2"/>
  <c r="E4150" i="2"/>
  <c r="D4150" i="2"/>
  <c r="C4150" i="2"/>
  <c r="B4150" i="2"/>
  <c r="A4150" i="2"/>
  <c r="H4149" i="2"/>
  <c r="G4149" i="2"/>
  <c r="F4149" i="2"/>
  <c r="E4149" i="2"/>
  <c r="D4149" i="2"/>
  <c r="C4149" i="2"/>
  <c r="B4149" i="2"/>
  <c r="A4149" i="2"/>
  <c r="H4148" i="2"/>
  <c r="G4148" i="2"/>
  <c r="F4148" i="2"/>
  <c r="E4148" i="2"/>
  <c r="D4148" i="2"/>
  <c r="C4148" i="2"/>
  <c r="B4148" i="2"/>
  <c r="A4148" i="2"/>
  <c r="H4147" i="2"/>
  <c r="G4147" i="2"/>
  <c r="F4147" i="2"/>
  <c r="E4147" i="2"/>
  <c r="D4147" i="2"/>
  <c r="C4147" i="2"/>
  <c r="B4147" i="2"/>
  <c r="A4147" i="2"/>
  <c r="H4146" i="2"/>
  <c r="G4146" i="2"/>
  <c r="F4146" i="2"/>
  <c r="E4146" i="2"/>
  <c r="D4146" i="2"/>
  <c r="C4146" i="2"/>
  <c r="B4146" i="2"/>
  <c r="A4146" i="2"/>
  <c r="H4145" i="2"/>
  <c r="G4145" i="2"/>
  <c r="F4145" i="2"/>
  <c r="E4145" i="2"/>
  <c r="D4145" i="2"/>
  <c r="C4145" i="2"/>
  <c r="B4145" i="2"/>
  <c r="A4145" i="2"/>
  <c r="H4144" i="2"/>
  <c r="G4144" i="2"/>
  <c r="F4144" i="2"/>
  <c r="E4144" i="2"/>
  <c r="D4144" i="2"/>
  <c r="C4144" i="2"/>
  <c r="B4144" i="2"/>
  <c r="A4144" i="2"/>
  <c r="H4143" i="2"/>
  <c r="G4143" i="2"/>
  <c r="F4143" i="2"/>
  <c r="E4143" i="2"/>
  <c r="D4143" i="2"/>
  <c r="C4143" i="2"/>
  <c r="B4143" i="2"/>
  <c r="A4143" i="2"/>
  <c r="H4142" i="2"/>
  <c r="G4142" i="2"/>
  <c r="F4142" i="2"/>
  <c r="E4142" i="2"/>
  <c r="D4142" i="2"/>
  <c r="C4142" i="2"/>
  <c r="B4142" i="2"/>
  <c r="A4142" i="2"/>
  <c r="H4141" i="2"/>
  <c r="G4141" i="2"/>
  <c r="F4141" i="2"/>
  <c r="E4141" i="2"/>
  <c r="D4141" i="2"/>
  <c r="C4141" i="2"/>
  <c r="B4141" i="2"/>
  <c r="A4141" i="2"/>
  <c r="H4140" i="2"/>
  <c r="G4140" i="2"/>
  <c r="F4140" i="2"/>
  <c r="E4140" i="2"/>
  <c r="D4140" i="2"/>
  <c r="C4140" i="2"/>
  <c r="B4140" i="2"/>
  <c r="A4140" i="2"/>
  <c r="H4139" i="2"/>
  <c r="G4139" i="2"/>
  <c r="F4139" i="2"/>
  <c r="E4139" i="2"/>
  <c r="D4139" i="2"/>
  <c r="C4139" i="2"/>
  <c r="B4139" i="2"/>
  <c r="A4139" i="2"/>
  <c r="H4138" i="2"/>
  <c r="G4138" i="2"/>
  <c r="F4138" i="2"/>
  <c r="E4138" i="2"/>
  <c r="D4138" i="2"/>
  <c r="C4138" i="2"/>
  <c r="B4138" i="2"/>
  <c r="A4138" i="2"/>
  <c r="H4137" i="2"/>
  <c r="G4137" i="2"/>
  <c r="F4137" i="2"/>
  <c r="E4137" i="2"/>
  <c r="D4137" i="2"/>
  <c r="C4137" i="2"/>
  <c r="B4137" i="2"/>
  <c r="A4137" i="2"/>
  <c r="H4136" i="2"/>
  <c r="G4136" i="2"/>
  <c r="F4136" i="2"/>
  <c r="E4136" i="2"/>
  <c r="D4136" i="2"/>
  <c r="C4136" i="2"/>
  <c r="B4136" i="2"/>
  <c r="A4136" i="2"/>
  <c r="H4135" i="2"/>
  <c r="G4135" i="2"/>
  <c r="F4135" i="2"/>
  <c r="E4135" i="2"/>
  <c r="D4135" i="2"/>
  <c r="C4135" i="2"/>
  <c r="B4135" i="2"/>
  <c r="A4135" i="2"/>
  <c r="H4134" i="2"/>
  <c r="G4134" i="2"/>
  <c r="F4134" i="2"/>
  <c r="E4134" i="2"/>
  <c r="D4134" i="2"/>
  <c r="C4134" i="2"/>
  <c r="B4134" i="2"/>
  <c r="A4134" i="2"/>
  <c r="H4133" i="2"/>
  <c r="G4133" i="2"/>
  <c r="F4133" i="2"/>
  <c r="E4133" i="2"/>
  <c r="D4133" i="2"/>
  <c r="C4133" i="2"/>
  <c r="B4133" i="2"/>
  <c r="A4133" i="2"/>
  <c r="H4132" i="2"/>
  <c r="G4132" i="2"/>
  <c r="F4132" i="2"/>
  <c r="E4132" i="2"/>
  <c r="D4132" i="2"/>
  <c r="C4132" i="2"/>
  <c r="B4132" i="2"/>
  <c r="A4132" i="2"/>
  <c r="H4131" i="2"/>
  <c r="G4131" i="2"/>
  <c r="F4131" i="2"/>
  <c r="E4131" i="2"/>
  <c r="D4131" i="2"/>
  <c r="C4131" i="2"/>
  <c r="B4131" i="2"/>
  <c r="A4131" i="2"/>
  <c r="H4130" i="2"/>
  <c r="G4130" i="2"/>
  <c r="F4130" i="2"/>
  <c r="E4130" i="2"/>
  <c r="D4130" i="2"/>
  <c r="C4130" i="2"/>
  <c r="B4130" i="2"/>
  <c r="A4130" i="2"/>
  <c r="H4129" i="2"/>
  <c r="G4129" i="2"/>
  <c r="F4129" i="2"/>
  <c r="E4129" i="2"/>
  <c r="D4129" i="2"/>
  <c r="C4129" i="2"/>
  <c r="B4129" i="2"/>
  <c r="A4129" i="2"/>
  <c r="H4128" i="2"/>
  <c r="G4128" i="2"/>
  <c r="F4128" i="2"/>
  <c r="E4128" i="2"/>
  <c r="D4128" i="2"/>
  <c r="C4128" i="2"/>
  <c r="B4128" i="2"/>
  <c r="A4128" i="2"/>
  <c r="H4127" i="2"/>
  <c r="G4127" i="2"/>
  <c r="F4127" i="2"/>
  <c r="E4127" i="2"/>
  <c r="D4127" i="2"/>
  <c r="C4127" i="2"/>
  <c r="B4127" i="2"/>
  <c r="A4127" i="2"/>
  <c r="H4126" i="2"/>
  <c r="G4126" i="2"/>
  <c r="F4126" i="2"/>
  <c r="E4126" i="2"/>
  <c r="D4126" i="2"/>
  <c r="C4126" i="2"/>
  <c r="B4126" i="2"/>
  <c r="A4126" i="2"/>
  <c r="H4125" i="2"/>
  <c r="G4125" i="2"/>
  <c r="F4125" i="2"/>
  <c r="E4125" i="2"/>
  <c r="D4125" i="2"/>
  <c r="C4125" i="2"/>
  <c r="B4125" i="2"/>
  <c r="A4125" i="2"/>
  <c r="H4124" i="2"/>
  <c r="G4124" i="2"/>
  <c r="F4124" i="2"/>
  <c r="E4124" i="2"/>
  <c r="D4124" i="2"/>
  <c r="C4124" i="2"/>
  <c r="B4124" i="2"/>
  <c r="A4124" i="2"/>
  <c r="H4123" i="2"/>
  <c r="G4123" i="2"/>
  <c r="F4123" i="2"/>
  <c r="E4123" i="2"/>
  <c r="D4123" i="2"/>
  <c r="C4123" i="2"/>
  <c r="B4123" i="2"/>
  <c r="A4123" i="2"/>
  <c r="H4122" i="2"/>
  <c r="G4122" i="2"/>
  <c r="F4122" i="2"/>
  <c r="E4122" i="2"/>
  <c r="D4122" i="2"/>
  <c r="C4122" i="2"/>
  <c r="B4122" i="2"/>
  <c r="A4122" i="2"/>
  <c r="H4121" i="2"/>
  <c r="G4121" i="2"/>
  <c r="F4121" i="2"/>
  <c r="E4121" i="2"/>
  <c r="D4121" i="2"/>
  <c r="C4121" i="2"/>
  <c r="B4121" i="2"/>
  <c r="A4121" i="2"/>
  <c r="H4120" i="2"/>
  <c r="G4120" i="2"/>
  <c r="F4120" i="2"/>
  <c r="E4120" i="2"/>
  <c r="D4120" i="2"/>
  <c r="C4120" i="2"/>
  <c r="B4120" i="2"/>
  <c r="A4120" i="2"/>
  <c r="H4119" i="2"/>
  <c r="G4119" i="2"/>
  <c r="F4119" i="2"/>
  <c r="E4119" i="2"/>
  <c r="D4119" i="2"/>
  <c r="C4119" i="2"/>
  <c r="B4119" i="2"/>
  <c r="A4119" i="2"/>
  <c r="H4118" i="2"/>
  <c r="G4118" i="2"/>
  <c r="F4118" i="2"/>
  <c r="E4118" i="2"/>
  <c r="D4118" i="2"/>
  <c r="C4118" i="2"/>
  <c r="B4118" i="2"/>
  <c r="A4118" i="2"/>
  <c r="H4117" i="2"/>
  <c r="G4117" i="2"/>
  <c r="F4117" i="2"/>
  <c r="E4117" i="2"/>
  <c r="D4117" i="2"/>
  <c r="C4117" i="2"/>
  <c r="B4117" i="2"/>
  <c r="A4117" i="2"/>
  <c r="H4116" i="2"/>
  <c r="G4116" i="2"/>
  <c r="F4116" i="2"/>
  <c r="E4116" i="2"/>
  <c r="D4116" i="2"/>
  <c r="C4116" i="2"/>
  <c r="B4116" i="2"/>
  <c r="A4116" i="2"/>
  <c r="H4115" i="2"/>
  <c r="G4115" i="2"/>
  <c r="F4115" i="2"/>
  <c r="E4115" i="2"/>
  <c r="D4115" i="2"/>
  <c r="C4115" i="2"/>
  <c r="B4115" i="2"/>
  <c r="A4115" i="2"/>
  <c r="H4114" i="2"/>
  <c r="G4114" i="2"/>
  <c r="F4114" i="2"/>
  <c r="E4114" i="2"/>
  <c r="D4114" i="2"/>
  <c r="C4114" i="2"/>
  <c r="B4114" i="2"/>
  <c r="A4114" i="2"/>
  <c r="H4113" i="2"/>
  <c r="G4113" i="2"/>
  <c r="F4113" i="2"/>
  <c r="E4113" i="2"/>
  <c r="D4113" i="2"/>
  <c r="C4113" i="2"/>
  <c r="B4113" i="2"/>
  <c r="A4113" i="2"/>
  <c r="H4112" i="2"/>
  <c r="G4112" i="2"/>
  <c r="F4112" i="2"/>
  <c r="E4112" i="2"/>
  <c r="D4112" i="2"/>
  <c r="C4112" i="2"/>
  <c r="B4112" i="2"/>
  <c r="A4112" i="2"/>
  <c r="H4111" i="2"/>
  <c r="G4111" i="2"/>
  <c r="F4111" i="2"/>
  <c r="E4111" i="2"/>
  <c r="D4111" i="2"/>
  <c r="C4111" i="2"/>
  <c r="B4111" i="2"/>
  <c r="A4111" i="2"/>
  <c r="H4110" i="2"/>
  <c r="G4110" i="2"/>
  <c r="F4110" i="2"/>
  <c r="E4110" i="2"/>
  <c r="D4110" i="2"/>
  <c r="C4110" i="2"/>
  <c r="B4110" i="2"/>
  <c r="A4110" i="2"/>
  <c r="H4109" i="2"/>
  <c r="G4109" i="2"/>
  <c r="F4109" i="2"/>
  <c r="E4109" i="2"/>
  <c r="D4109" i="2"/>
  <c r="C4109" i="2"/>
  <c r="B4109" i="2"/>
  <c r="A4109" i="2"/>
  <c r="H4108" i="2"/>
  <c r="G4108" i="2"/>
  <c r="F4108" i="2"/>
  <c r="E4108" i="2"/>
  <c r="D4108" i="2"/>
  <c r="C4108" i="2"/>
  <c r="B4108" i="2"/>
  <c r="A4108" i="2"/>
  <c r="H4107" i="2"/>
  <c r="G4107" i="2"/>
  <c r="F4107" i="2"/>
  <c r="E4107" i="2"/>
  <c r="D4107" i="2"/>
  <c r="C4107" i="2"/>
  <c r="B4107" i="2"/>
  <c r="A4107" i="2"/>
  <c r="H4106" i="2"/>
  <c r="G4106" i="2"/>
  <c r="F4106" i="2"/>
  <c r="E4106" i="2"/>
  <c r="D4106" i="2"/>
  <c r="C4106" i="2"/>
  <c r="B4106" i="2"/>
  <c r="A4106" i="2"/>
  <c r="H4105" i="2"/>
  <c r="G4105" i="2"/>
  <c r="F4105" i="2"/>
  <c r="E4105" i="2"/>
  <c r="D4105" i="2"/>
  <c r="C4105" i="2"/>
  <c r="B4105" i="2"/>
  <c r="A4105" i="2"/>
  <c r="H4104" i="2"/>
  <c r="G4104" i="2"/>
  <c r="F4104" i="2"/>
  <c r="E4104" i="2"/>
  <c r="D4104" i="2"/>
  <c r="C4104" i="2"/>
  <c r="B4104" i="2"/>
  <c r="A4104" i="2"/>
  <c r="H4103" i="2"/>
  <c r="G4103" i="2"/>
  <c r="F4103" i="2"/>
  <c r="E4103" i="2"/>
  <c r="D4103" i="2"/>
  <c r="C4103" i="2"/>
  <c r="B4103" i="2"/>
  <c r="A4103" i="2"/>
  <c r="H4102" i="2"/>
  <c r="G4102" i="2"/>
  <c r="F4102" i="2"/>
  <c r="E4102" i="2"/>
  <c r="D4102" i="2"/>
  <c r="C4102" i="2"/>
  <c r="B4102" i="2"/>
  <c r="A4102" i="2"/>
  <c r="H4101" i="2"/>
  <c r="G4101" i="2"/>
  <c r="F4101" i="2"/>
  <c r="E4101" i="2"/>
  <c r="D4101" i="2"/>
  <c r="C4101" i="2"/>
  <c r="B4101" i="2"/>
  <c r="A4101" i="2"/>
  <c r="H4100" i="2"/>
  <c r="G4100" i="2"/>
  <c r="F4100" i="2"/>
  <c r="E4100" i="2"/>
  <c r="D4100" i="2"/>
  <c r="C4100" i="2"/>
  <c r="B4100" i="2"/>
  <c r="A4100" i="2"/>
  <c r="H4099" i="2"/>
  <c r="G4099" i="2"/>
  <c r="F4099" i="2"/>
  <c r="E4099" i="2"/>
  <c r="D4099" i="2"/>
  <c r="C4099" i="2"/>
  <c r="B4099" i="2"/>
  <c r="A4099" i="2"/>
  <c r="H4098" i="2"/>
  <c r="G4098" i="2"/>
  <c r="F4098" i="2"/>
  <c r="E4098" i="2"/>
  <c r="D4098" i="2"/>
  <c r="C4098" i="2"/>
  <c r="B4098" i="2"/>
  <c r="A4098" i="2"/>
  <c r="H4097" i="2"/>
  <c r="G4097" i="2"/>
  <c r="F4097" i="2"/>
  <c r="E4097" i="2"/>
  <c r="D4097" i="2"/>
  <c r="C4097" i="2"/>
  <c r="B4097" i="2"/>
  <c r="A4097" i="2"/>
  <c r="H4096" i="2"/>
  <c r="G4096" i="2"/>
  <c r="F4096" i="2"/>
  <c r="E4096" i="2"/>
  <c r="D4096" i="2"/>
  <c r="C4096" i="2"/>
  <c r="B4096" i="2"/>
  <c r="A4096" i="2"/>
  <c r="H4095" i="2"/>
  <c r="G4095" i="2"/>
  <c r="F4095" i="2"/>
  <c r="E4095" i="2"/>
  <c r="D4095" i="2"/>
  <c r="C4095" i="2"/>
  <c r="B4095" i="2"/>
  <c r="A4095" i="2"/>
  <c r="H4094" i="2"/>
  <c r="G4094" i="2"/>
  <c r="F4094" i="2"/>
  <c r="E4094" i="2"/>
  <c r="D4094" i="2"/>
  <c r="C4094" i="2"/>
  <c r="B4094" i="2"/>
  <c r="A4094" i="2"/>
  <c r="H4093" i="2"/>
  <c r="G4093" i="2"/>
  <c r="F4093" i="2"/>
  <c r="E4093" i="2"/>
  <c r="D4093" i="2"/>
  <c r="C4093" i="2"/>
  <c r="B4093" i="2"/>
  <c r="A4093" i="2"/>
  <c r="H4092" i="2"/>
  <c r="G4092" i="2"/>
  <c r="F4092" i="2"/>
  <c r="E4092" i="2"/>
  <c r="D4092" i="2"/>
  <c r="C4092" i="2"/>
  <c r="B4092" i="2"/>
  <c r="A4092" i="2"/>
  <c r="H4091" i="2"/>
  <c r="G4091" i="2"/>
  <c r="F4091" i="2"/>
  <c r="E4091" i="2"/>
  <c r="D4091" i="2"/>
  <c r="C4091" i="2"/>
  <c r="B4091" i="2"/>
  <c r="A4091" i="2"/>
  <c r="H4090" i="2"/>
  <c r="G4090" i="2"/>
  <c r="F4090" i="2"/>
  <c r="E4090" i="2"/>
  <c r="D4090" i="2"/>
  <c r="C4090" i="2"/>
  <c r="B4090" i="2"/>
  <c r="A4090" i="2"/>
  <c r="H4089" i="2"/>
  <c r="G4089" i="2"/>
  <c r="F4089" i="2"/>
  <c r="E4089" i="2"/>
  <c r="D4089" i="2"/>
  <c r="C4089" i="2"/>
  <c r="B4089" i="2"/>
  <c r="A4089" i="2"/>
  <c r="H4088" i="2"/>
  <c r="G4088" i="2"/>
  <c r="F4088" i="2"/>
  <c r="E4088" i="2"/>
  <c r="D4088" i="2"/>
  <c r="C4088" i="2"/>
  <c r="B4088" i="2"/>
  <c r="A4088" i="2"/>
  <c r="H4087" i="2"/>
  <c r="G4087" i="2"/>
  <c r="F4087" i="2"/>
  <c r="E4087" i="2"/>
  <c r="D4087" i="2"/>
  <c r="C4087" i="2"/>
  <c r="B4087" i="2"/>
  <c r="A4087" i="2"/>
  <c r="H4086" i="2"/>
  <c r="G4086" i="2"/>
  <c r="F4086" i="2"/>
  <c r="E4086" i="2"/>
  <c r="D4086" i="2"/>
  <c r="C4086" i="2"/>
  <c r="B4086" i="2"/>
  <c r="A4086" i="2"/>
  <c r="H4085" i="2"/>
  <c r="G4085" i="2"/>
  <c r="F4085" i="2"/>
  <c r="E4085" i="2"/>
  <c r="D4085" i="2"/>
  <c r="C4085" i="2"/>
  <c r="B4085" i="2"/>
  <c r="A4085" i="2"/>
  <c r="H4084" i="2"/>
  <c r="G4084" i="2"/>
  <c r="F4084" i="2"/>
  <c r="E4084" i="2"/>
  <c r="D4084" i="2"/>
  <c r="C4084" i="2"/>
  <c r="B4084" i="2"/>
  <c r="A4084" i="2"/>
  <c r="H4083" i="2"/>
  <c r="G4083" i="2"/>
  <c r="F4083" i="2"/>
  <c r="E4083" i="2"/>
  <c r="D4083" i="2"/>
  <c r="C4083" i="2"/>
  <c r="B4083" i="2"/>
  <c r="A4083" i="2"/>
  <c r="H4082" i="2"/>
  <c r="G4082" i="2"/>
  <c r="F4082" i="2"/>
  <c r="E4082" i="2"/>
  <c r="D4082" i="2"/>
  <c r="C4082" i="2"/>
  <c r="B4082" i="2"/>
  <c r="A4082" i="2"/>
  <c r="H4081" i="2"/>
  <c r="G4081" i="2"/>
  <c r="F4081" i="2"/>
  <c r="E4081" i="2"/>
  <c r="D4081" i="2"/>
  <c r="C4081" i="2"/>
  <c r="B4081" i="2"/>
  <c r="A4081" i="2"/>
  <c r="H4080" i="2"/>
  <c r="G4080" i="2"/>
  <c r="F4080" i="2"/>
  <c r="E4080" i="2"/>
  <c r="D4080" i="2"/>
  <c r="C4080" i="2"/>
  <c r="B4080" i="2"/>
  <c r="A4080" i="2"/>
  <c r="H4079" i="2"/>
  <c r="G4079" i="2"/>
  <c r="F4079" i="2"/>
  <c r="E4079" i="2"/>
  <c r="D4079" i="2"/>
  <c r="C4079" i="2"/>
  <c r="B4079" i="2"/>
  <c r="A4079" i="2"/>
  <c r="H4078" i="2"/>
  <c r="G4078" i="2"/>
  <c r="F4078" i="2"/>
  <c r="E4078" i="2"/>
  <c r="D4078" i="2"/>
  <c r="C4078" i="2"/>
  <c r="B4078" i="2"/>
  <c r="A4078" i="2"/>
  <c r="H4077" i="2"/>
  <c r="G4077" i="2"/>
  <c r="F4077" i="2"/>
  <c r="E4077" i="2"/>
  <c r="D4077" i="2"/>
  <c r="C4077" i="2"/>
  <c r="B4077" i="2"/>
  <c r="A4077" i="2"/>
  <c r="H4076" i="2"/>
  <c r="G4076" i="2"/>
  <c r="F4076" i="2"/>
  <c r="E4076" i="2"/>
  <c r="D4076" i="2"/>
  <c r="C4076" i="2"/>
  <c r="B4076" i="2"/>
  <c r="A4076" i="2"/>
  <c r="H4075" i="2"/>
  <c r="G4075" i="2"/>
  <c r="F4075" i="2"/>
  <c r="E4075" i="2"/>
  <c r="D4075" i="2"/>
  <c r="C4075" i="2"/>
  <c r="B4075" i="2"/>
  <c r="A4075" i="2"/>
  <c r="H4074" i="2"/>
  <c r="G4074" i="2"/>
  <c r="F4074" i="2"/>
  <c r="E4074" i="2"/>
  <c r="D4074" i="2"/>
  <c r="C4074" i="2"/>
  <c r="B4074" i="2"/>
  <c r="A4074" i="2"/>
  <c r="H4073" i="2"/>
  <c r="G4073" i="2"/>
  <c r="F4073" i="2"/>
  <c r="E4073" i="2"/>
  <c r="D4073" i="2"/>
  <c r="C4073" i="2"/>
  <c r="B4073" i="2"/>
  <c r="A4073" i="2"/>
  <c r="H4072" i="2"/>
  <c r="G4072" i="2"/>
  <c r="F4072" i="2"/>
  <c r="E4072" i="2"/>
  <c r="D4072" i="2"/>
  <c r="C4072" i="2"/>
  <c r="B4072" i="2"/>
  <c r="A4072" i="2"/>
  <c r="H4071" i="2"/>
  <c r="G4071" i="2"/>
  <c r="F4071" i="2"/>
  <c r="E4071" i="2"/>
  <c r="D4071" i="2"/>
  <c r="C4071" i="2"/>
  <c r="B4071" i="2"/>
  <c r="A4071" i="2"/>
  <c r="H4070" i="2"/>
  <c r="G4070" i="2"/>
  <c r="F4070" i="2"/>
  <c r="E4070" i="2"/>
  <c r="D4070" i="2"/>
  <c r="C4070" i="2"/>
  <c r="B4070" i="2"/>
  <c r="A4070" i="2"/>
  <c r="H4069" i="2"/>
  <c r="G4069" i="2"/>
  <c r="F4069" i="2"/>
  <c r="E4069" i="2"/>
  <c r="D4069" i="2"/>
  <c r="C4069" i="2"/>
  <c r="B4069" i="2"/>
  <c r="A4069" i="2"/>
  <c r="H4068" i="2"/>
  <c r="G4068" i="2"/>
  <c r="F4068" i="2"/>
  <c r="E4068" i="2"/>
  <c r="D4068" i="2"/>
  <c r="C4068" i="2"/>
  <c r="B4068" i="2"/>
  <c r="A4068" i="2"/>
  <c r="H4067" i="2"/>
  <c r="G4067" i="2"/>
  <c r="F4067" i="2"/>
  <c r="E4067" i="2"/>
  <c r="D4067" i="2"/>
  <c r="C4067" i="2"/>
  <c r="B4067" i="2"/>
  <c r="A4067" i="2"/>
  <c r="H4066" i="2"/>
  <c r="G4066" i="2"/>
  <c r="F4066" i="2"/>
  <c r="E4066" i="2"/>
  <c r="D4066" i="2"/>
  <c r="C4066" i="2"/>
  <c r="B4066" i="2"/>
  <c r="A4066" i="2"/>
  <c r="H4065" i="2"/>
  <c r="G4065" i="2"/>
  <c r="F4065" i="2"/>
  <c r="E4065" i="2"/>
  <c r="D4065" i="2"/>
  <c r="C4065" i="2"/>
  <c r="B4065" i="2"/>
  <c r="A4065" i="2"/>
  <c r="H4064" i="2"/>
  <c r="G4064" i="2"/>
  <c r="F4064" i="2"/>
  <c r="E4064" i="2"/>
  <c r="D4064" i="2"/>
  <c r="C4064" i="2"/>
  <c r="B4064" i="2"/>
  <c r="A4064" i="2"/>
  <c r="H4063" i="2"/>
  <c r="G4063" i="2"/>
  <c r="F4063" i="2"/>
  <c r="E4063" i="2"/>
  <c r="D4063" i="2"/>
  <c r="C4063" i="2"/>
  <c r="B4063" i="2"/>
  <c r="A4063" i="2"/>
  <c r="H4062" i="2"/>
  <c r="G4062" i="2"/>
  <c r="F4062" i="2"/>
  <c r="E4062" i="2"/>
  <c r="D4062" i="2"/>
  <c r="C4062" i="2"/>
  <c r="B4062" i="2"/>
  <c r="A4062" i="2"/>
  <c r="H4061" i="2"/>
  <c r="G4061" i="2"/>
  <c r="F4061" i="2"/>
  <c r="E4061" i="2"/>
  <c r="D4061" i="2"/>
  <c r="C4061" i="2"/>
  <c r="B4061" i="2"/>
  <c r="A4061" i="2"/>
  <c r="H4060" i="2"/>
  <c r="G4060" i="2"/>
  <c r="F4060" i="2"/>
  <c r="E4060" i="2"/>
  <c r="D4060" i="2"/>
  <c r="C4060" i="2"/>
  <c r="B4060" i="2"/>
  <c r="A4060" i="2"/>
  <c r="H4059" i="2"/>
  <c r="G4059" i="2"/>
  <c r="F4059" i="2"/>
  <c r="E4059" i="2"/>
  <c r="D4059" i="2"/>
  <c r="C4059" i="2"/>
  <c r="B4059" i="2"/>
  <c r="A4059" i="2"/>
  <c r="H4058" i="2"/>
  <c r="G4058" i="2"/>
  <c r="F4058" i="2"/>
  <c r="E4058" i="2"/>
  <c r="D4058" i="2"/>
  <c r="C4058" i="2"/>
  <c r="B4058" i="2"/>
  <c r="A4058" i="2"/>
  <c r="H4057" i="2"/>
  <c r="G4057" i="2"/>
  <c r="F4057" i="2"/>
  <c r="E4057" i="2"/>
  <c r="D4057" i="2"/>
  <c r="C4057" i="2"/>
  <c r="B4057" i="2"/>
  <c r="A4057" i="2"/>
  <c r="H4056" i="2"/>
  <c r="G4056" i="2"/>
  <c r="F4056" i="2"/>
  <c r="E4056" i="2"/>
  <c r="D4056" i="2"/>
  <c r="C4056" i="2"/>
  <c r="B4056" i="2"/>
  <c r="A4056" i="2"/>
  <c r="H4055" i="2"/>
  <c r="G4055" i="2"/>
  <c r="F4055" i="2"/>
  <c r="E4055" i="2"/>
  <c r="D4055" i="2"/>
  <c r="C4055" i="2"/>
  <c r="B4055" i="2"/>
  <c r="A4055" i="2"/>
  <c r="H4054" i="2"/>
  <c r="G4054" i="2"/>
  <c r="F4054" i="2"/>
  <c r="E4054" i="2"/>
  <c r="D4054" i="2"/>
  <c r="C4054" i="2"/>
  <c r="B4054" i="2"/>
  <c r="A4054" i="2"/>
  <c r="H4053" i="2"/>
  <c r="G4053" i="2"/>
  <c r="F4053" i="2"/>
  <c r="E4053" i="2"/>
  <c r="D4053" i="2"/>
  <c r="C4053" i="2"/>
  <c r="B4053" i="2"/>
  <c r="A4053" i="2"/>
  <c r="H4052" i="2"/>
  <c r="G4052" i="2"/>
  <c r="F4052" i="2"/>
  <c r="E4052" i="2"/>
  <c r="D4052" i="2"/>
  <c r="C4052" i="2"/>
  <c r="B4052" i="2"/>
  <c r="A4052" i="2"/>
  <c r="H4051" i="2"/>
  <c r="G4051" i="2"/>
  <c r="F4051" i="2"/>
  <c r="E4051" i="2"/>
  <c r="D4051" i="2"/>
  <c r="C4051" i="2"/>
  <c r="B4051" i="2"/>
  <c r="A4051" i="2"/>
  <c r="H4050" i="2"/>
  <c r="G4050" i="2"/>
  <c r="F4050" i="2"/>
  <c r="E4050" i="2"/>
  <c r="D4050" i="2"/>
  <c r="C4050" i="2"/>
  <c r="B4050" i="2"/>
  <c r="A4050" i="2"/>
  <c r="H4049" i="2"/>
  <c r="G4049" i="2"/>
  <c r="F4049" i="2"/>
  <c r="E4049" i="2"/>
  <c r="D4049" i="2"/>
  <c r="C4049" i="2"/>
  <c r="B4049" i="2"/>
  <c r="A4049" i="2"/>
  <c r="H4048" i="2"/>
  <c r="G4048" i="2"/>
  <c r="F4048" i="2"/>
  <c r="E4048" i="2"/>
  <c r="D4048" i="2"/>
  <c r="C4048" i="2"/>
  <c r="B4048" i="2"/>
  <c r="A4048" i="2"/>
  <c r="H4047" i="2"/>
  <c r="G4047" i="2"/>
  <c r="F4047" i="2"/>
  <c r="E4047" i="2"/>
  <c r="D4047" i="2"/>
  <c r="C4047" i="2"/>
  <c r="B4047" i="2"/>
  <c r="A4047" i="2"/>
  <c r="H4046" i="2"/>
  <c r="G4046" i="2"/>
  <c r="F4046" i="2"/>
  <c r="E4046" i="2"/>
  <c r="D4046" i="2"/>
  <c r="C4046" i="2"/>
  <c r="B4046" i="2"/>
  <c r="A4046" i="2"/>
  <c r="H4045" i="2"/>
  <c r="G4045" i="2"/>
  <c r="F4045" i="2"/>
  <c r="E4045" i="2"/>
  <c r="D4045" i="2"/>
  <c r="C4045" i="2"/>
  <c r="B4045" i="2"/>
  <c r="A4045" i="2"/>
  <c r="H4044" i="2"/>
  <c r="G4044" i="2"/>
  <c r="F4044" i="2"/>
  <c r="E4044" i="2"/>
  <c r="D4044" i="2"/>
  <c r="C4044" i="2"/>
  <c r="B4044" i="2"/>
  <c r="A4044" i="2"/>
  <c r="H4043" i="2"/>
  <c r="G4043" i="2"/>
  <c r="F4043" i="2"/>
  <c r="E4043" i="2"/>
  <c r="D4043" i="2"/>
  <c r="C4043" i="2"/>
  <c r="B4043" i="2"/>
  <c r="A4043" i="2"/>
  <c r="H4042" i="2"/>
  <c r="G4042" i="2"/>
  <c r="F4042" i="2"/>
  <c r="E4042" i="2"/>
  <c r="D4042" i="2"/>
  <c r="C4042" i="2"/>
  <c r="B4042" i="2"/>
  <c r="A4042" i="2"/>
  <c r="H4041" i="2"/>
  <c r="G4041" i="2"/>
  <c r="F4041" i="2"/>
  <c r="E4041" i="2"/>
  <c r="D4041" i="2"/>
  <c r="C4041" i="2"/>
  <c r="B4041" i="2"/>
  <c r="A4041" i="2"/>
  <c r="H4040" i="2"/>
  <c r="G4040" i="2"/>
  <c r="F4040" i="2"/>
  <c r="E4040" i="2"/>
  <c r="D4040" i="2"/>
  <c r="C4040" i="2"/>
  <c r="B4040" i="2"/>
  <c r="A4040" i="2"/>
  <c r="H4039" i="2"/>
  <c r="G4039" i="2"/>
  <c r="F4039" i="2"/>
  <c r="E4039" i="2"/>
  <c r="D4039" i="2"/>
  <c r="C4039" i="2"/>
  <c r="B4039" i="2"/>
  <c r="A4039" i="2"/>
  <c r="H4038" i="2"/>
  <c r="G4038" i="2"/>
  <c r="F4038" i="2"/>
  <c r="E4038" i="2"/>
  <c r="D4038" i="2"/>
  <c r="C4038" i="2"/>
  <c r="B4038" i="2"/>
  <c r="A4038" i="2"/>
  <c r="H4037" i="2"/>
  <c r="G4037" i="2"/>
  <c r="F4037" i="2"/>
  <c r="E4037" i="2"/>
  <c r="D4037" i="2"/>
  <c r="C4037" i="2"/>
  <c r="B4037" i="2"/>
  <c r="A4037" i="2"/>
  <c r="H4036" i="2"/>
  <c r="G4036" i="2"/>
  <c r="F4036" i="2"/>
  <c r="E4036" i="2"/>
  <c r="D4036" i="2"/>
  <c r="C4036" i="2"/>
  <c r="B4036" i="2"/>
  <c r="A4036" i="2"/>
  <c r="H4035" i="2"/>
  <c r="G4035" i="2"/>
  <c r="F4035" i="2"/>
  <c r="E4035" i="2"/>
  <c r="D4035" i="2"/>
  <c r="C4035" i="2"/>
  <c r="B4035" i="2"/>
  <c r="A4035" i="2"/>
  <c r="H4034" i="2"/>
  <c r="G4034" i="2"/>
  <c r="F4034" i="2"/>
  <c r="E4034" i="2"/>
  <c r="D4034" i="2"/>
  <c r="C4034" i="2"/>
  <c r="B4034" i="2"/>
  <c r="A4034" i="2"/>
  <c r="H4033" i="2"/>
  <c r="G4033" i="2"/>
  <c r="F4033" i="2"/>
  <c r="E4033" i="2"/>
  <c r="D4033" i="2"/>
  <c r="C4033" i="2"/>
  <c r="B4033" i="2"/>
  <c r="A4033" i="2"/>
  <c r="H4032" i="2"/>
  <c r="G4032" i="2"/>
  <c r="F4032" i="2"/>
  <c r="E4032" i="2"/>
  <c r="D4032" i="2"/>
  <c r="C4032" i="2"/>
  <c r="B4032" i="2"/>
  <c r="A4032" i="2"/>
  <c r="H4031" i="2"/>
  <c r="G4031" i="2"/>
  <c r="F4031" i="2"/>
  <c r="E4031" i="2"/>
  <c r="D4031" i="2"/>
  <c r="C4031" i="2"/>
  <c r="B4031" i="2"/>
  <c r="A4031" i="2"/>
  <c r="H4030" i="2"/>
  <c r="G4030" i="2"/>
  <c r="F4030" i="2"/>
  <c r="E4030" i="2"/>
  <c r="D4030" i="2"/>
  <c r="C4030" i="2"/>
  <c r="B4030" i="2"/>
  <c r="A4030" i="2"/>
  <c r="H4029" i="2"/>
  <c r="G4029" i="2"/>
  <c r="F4029" i="2"/>
  <c r="E4029" i="2"/>
  <c r="D4029" i="2"/>
  <c r="C4029" i="2"/>
  <c r="B4029" i="2"/>
  <c r="A4029" i="2"/>
  <c r="H4028" i="2"/>
  <c r="G4028" i="2"/>
  <c r="F4028" i="2"/>
  <c r="E4028" i="2"/>
  <c r="D4028" i="2"/>
  <c r="C4028" i="2"/>
  <c r="B4028" i="2"/>
  <c r="A4028" i="2"/>
  <c r="H4027" i="2"/>
  <c r="G4027" i="2"/>
  <c r="F4027" i="2"/>
  <c r="E4027" i="2"/>
  <c r="D4027" i="2"/>
  <c r="C4027" i="2"/>
  <c r="B4027" i="2"/>
  <c r="A4027" i="2"/>
  <c r="H4026" i="2"/>
  <c r="G4026" i="2"/>
  <c r="F4026" i="2"/>
  <c r="E4026" i="2"/>
  <c r="D4026" i="2"/>
  <c r="C4026" i="2"/>
  <c r="B4026" i="2"/>
  <c r="A4026" i="2"/>
  <c r="H4025" i="2"/>
  <c r="G4025" i="2"/>
  <c r="F4025" i="2"/>
  <c r="E4025" i="2"/>
  <c r="D4025" i="2"/>
  <c r="C4025" i="2"/>
  <c r="B4025" i="2"/>
  <c r="A4025" i="2"/>
  <c r="H4024" i="2"/>
  <c r="G4024" i="2"/>
  <c r="F4024" i="2"/>
  <c r="E4024" i="2"/>
  <c r="D4024" i="2"/>
  <c r="C4024" i="2"/>
  <c r="B4024" i="2"/>
  <c r="A4024" i="2"/>
  <c r="H4023" i="2"/>
  <c r="G4023" i="2"/>
  <c r="F4023" i="2"/>
  <c r="E4023" i="2"/>
  <c r="D4023" i="2"/>
  <c r="C4023" i="2"/>
  <c r="B4023" i="2"/>
  <c r="A4023" i="2"/>
  <c r="H4022" i="2"/>
  <c r="G4022" i="2"/>
  <c r="F4022" i="2"/>
  <c r="E4022" i="2"/>
  <c r="D4022" i="2"/>
  <c r="C4022" i="2"/>
  <c r="B4022" i="2"/>
  <c r="A4022" i="2"/>
  <c r="H4021" i="2"/>
  <c r="G4021" i="2"/>
  <c r="F4021" i="2"/>
  <c r="E4021" i="2"/>
  <c r="D4021" i="2"/>
  <c r="C4021" i="2"/>
  <c r="B4021" i="2"/>
  <c r="A4021" i="2"/>
  <c r="H4020" i="2"/>
  <c r="G4020" i="2"/>
  <c r="F4020" i="2"/>
  <c r="E4020" i="2"/>
  <c r="D4020" i="2"/>
  <c r="C4020" i="2"/>
  <c r="B4020" i="2"/>
  <c r="A4020" i="2"/>
  <c r="H4019" i="2"/>
  <c r="G4019" i="2"/>
  <c r="F4019" i="2"/>
  <c r="E4019" i="2"/>
  <c r="D4019" i="2"/>
  <c r="C4019" i="2"/>
  <c r="B4019" i="2"/>
  <c r="A4019" i="2"/>
  <c r="H4018" i="2"/>
  <c r="G4018" i="2"/>
  <c r="F4018" i="2"/>
  <c r="E4018" i="2"/>
  <c r="D4018" i="2"/>
  <c r="C4018" i="2"/>
  <c r="B4018" i="2"/>
  <c r="A4018" i="2"/>
  <c r="H4017" i="2"/>
  <c r="G4017" i="2"/>
  <c r="F4017" i="2"/>
  <c r="E4017" i="2"/>
  <c r="D4017" i="2"/>
  <c r="C4017" i="2"/>
  <c r="B4017" i="2"/>
  <c r="A4017" i="2"/>
  <c r="H4016" i="2"/>
  <c r="G4016" i="2"/>
  <c r="F4016" i="2"/>
  <c r="E4016" i="2"/>
  <c r="D4016" i="2"/>
  <c r="C4016" i="2"/>
  <c r="B4016" i="2"/>
  <c r="A4016" i="2"/>
  <c r="H4015" i="2"/>
  <c r="G4015" i="2"/>
  <c r="F4015" i="2"/>
  <c r="E4015" i="2"/>
  <c r="D4015" i="2"/>
  <c r="C4015" i="2"/>
  <c r="B4015" i="2"/>
  <c r="A4015" i="2"/>
  <c r="H4014" i="2"/>
  <c r="G4014" i="2"/>
  <c r="F4014" i="2"/>
  <c r="E4014" i="2"/>
  <c r="D4014" i="2"/>
  <c r="C4014" i="2"/>
  <c r="B4014" i="2"/>
  <c r="A4014" i="2"/>
  <c r="H4013" i="2"/>
  <c r="G4013" i="2"/>
  <c r="F4013" i="2"/>
  <c r="E4013" i="2"/>
  <c r="D4013" i="2"/>
  <c r="C4013" i="2"/>
  <c r="B4013" i="2"/>
  <c r="A4013" i="2"/>
  <c r="H4012" i="2"/>
  <c r="G4012" i="2"/>
  <c r="F4012" i="2"/>
  <c r="E4012" i="2"/>
  <c r="D4012" i="2"/>
  <c r="C4012" i="2"/>
  <c r="B4012" i="2"/>
  <c r="A4012" i="2"/>
  <c r="H4011" i="2"/>
  <c r="G4011" i="2"/>
  <c r="F4011" i="2"/>
  <c r="E4011" i="2"/>
  <c r="D4011" i="2"/>
  <c r="C4011" i="2"/>
  <c r="B4011" i="2"/>
  <c r="A4011" i="2"/>
  <c r="H4010" i="2"/>
  <c r="G4010" i="2"/>
  <c r="F4010" i="2"/>
  <c r="E4010" i="2"/>
  <c r="D4010" i="2"/>
  <c r="C4010" i="2"/>
  <c r="B4010" i="2"/>
  <c r="A4010" i="2"/>
  <c r="H4009" i="2"/>
  <c r="G4009" i="2"/>
  <c r="F4009" i="2"/>
  <c r="E4009" i="2"/>
  <c r="D4009" i="2"/>
  <c r="C4009" i="2"/>
  <c r="B4009" i="2"/>
  <c r="A4009" i="2"/>
  <c r="H4008" i="2"/>
  <c r="G4008" i="2"/>
  <c r="F4008" i="2"/>
  <c r="E4008" i="2"/>
  <c r="D4008" i="2"/>
  <c r="C4008" i="2"/>
  <c r="B4008" i="2"/>
  <c r="A4008" i="2"/>
  <c r="H4007" i="2"/>
  <c r="G4007" i="2"/>
  <c r="F4007" i="2"/>
  <c r="E4007" i="2"/>
  <c r="D4007" i="2"/>
  <c r="C4007" i="2"/>
  <c r="B4007" i="2"/>
  <c r="A4007" i="2"/>
  <c r="H4006" i="2"/>
  <c r="G4006" i="2"/>
  <c r="F4006" i="2"/>
  <c r="E4006" i="2"/>
  <c r="D4006" i="2"/>
  <c r="C4006" i="2"/>
  <c r="B4006" i="2"/>
  <c r="A4006" i="2"/>
  <c r="H4005" i="2"/>
  <c r="G4005" i="2"/>
  <c r="F4005" i="2"/>
  <c r="E4005" i="2"/>
  <c r="D4005" i="2"/>
  <c r="C4005" i="2"/>
  <c r="B4005" i="2"/>
  <c r="A4005" i="2"/>
  <c r="H4004" i="2"/>
  <c r="G4004" i="2"/>
  <c r="F4004" i="2"/>
  <c r="E4004" i="2"/>
  <c r="D4004" i="2"/>
  <c r="C4004" i="2"/>
  <c r="B4004" i="2"/>
  <c r="A4004" i="2"/>
  <c r="H4003" i="2"/>
  <c r="G4003" i="2"/>
  <c r="F4003" i="2"/>
  <c r="E4003" i="2"/>
  <c r="D4003" i="2"/>
  <c r="C4003" i="2"/>
  <c r="B4003" i="2"/>
  <c r="A4003" i="2"/>
  <c r="H4002" i="2"/>
  <c r="G4002" i="2"/>
  <c r="F4002" i="2"/>
  <c r="E4002" i="2"/>
  <c r="D4002" i="2"/>
  <c r="C4002" i="2"/>
  <c r="B4002" i="2"/>
  <c r="A4002" i="2"/>
  <c r="H4001" i="2"/>
  <c r="G4001" i="2"/>
  <c r="F4001" i="2"/>
  <c r="E4001" i="2"/>
  <c r="D4001" i="2"/>
  <c r="C4001" i="2"/>
  <c r="B4001" i="2"/>
  <c r="A4001" i="2"/>
  <c r="H4000" i="2"/>
  <c r="G4000" i="2"/>
  <c r="F4000" i="2"/>
  <c r="E4000" i="2"/>
  <c r="D4000" i="2"/>
  <c r="C4000" i="2"/>
  <c r="B4000" i="2"/>
  <c r="A4000" i="2"/>
  <c r="H3999" i="2"/>
  <c r="G3999" i="2"/>
  <c r="F3999" i="2"/>
  <c r="E3999" i="2"/>
  <c r="D3999" i="2"/>
  <c r="C3999" i="2"/>
  <c r="B3999" i="2"/>
  <c r="A3999" i="2"/>
  <c r="H3998" i="2"/>
  <c r="G3998" i="2"/>
  <c r="F3998" i="2"/>
  <c r="E3998" i="2"/>
  <c r="D3998" i="2"/>
  <c r="C3998" i="2"/>
  <c r="B3998" i="2"/>
  <c r="A3998" i="2"/>
  <c r="H3997" i="2"/>
  <c r="G3997" i="2"/>
  <c r="F3997" i="2"/>
  <c r="E3997" i="2"/>
  <c r="D3997" i="2"/>
  <c r="C3997" i="2"/>
  <c r="B3997" i="2"/>
  <c r="A3997" i="2"/>
  <c r="H3996" i="2"/>
  <c r="G3996" i="2"/>
  <c r="F3996" i="2"/>
  <c r="E3996" i="2"/>
  <c r="D3996" i="2"/>
  <c r="C3996" i="2"/>
  <c r="B3996" i="2"/>
  <c r="A3996" i="2"/>
  <c r="H3995" i="2"/>
  <c r="G3995" i="2"/>
  <c r="F3995" i="2"/>
  <c r="E3995" i="2"/>
  <c r="D3995" i="2"/>
  <c r="C3995" i="2"/>
  <c r="B3995" i="2"/>
  <c r="A3995" i="2"/>
  <c r="H3994" i="2"/>
  <c r="G3994" i="2"/>
  <c r="F3994" i="2"/>
  <c r="E3994" i="2"/>
  <c r="D3994" i="2"/>
  <c r="C3994" i="2"/>
  <c r="B3994" i="2"/>
  <c r="A3994" i="2"/>
  <c r="H3993" i="2"/>
  <c r="G3993" i="2"/>
  <c r="F3993" i="2"/>
  <c r="E3993" i="2"/>
  <c r="D3993" i="2"/>
  <c r="C3993" i="2"/>
  <c r="B3993" i="2"/>
  <c r="A3993" i="2"/>
  <c r="H3992" i="2"/>
  <c r="G3992" i="2"/>
  <c r="F3992" i="2"/>
  <c r="E3992" i="2"/>
  <c r="D3992" i="2"/>
  <c r="C3992" i="2"/>
  <c r="B3992" i="2"/>
  <c r="A3992" i="2"/>
  <c r="H3991" i="2"/>
  <c r="G3991" i="2"/>
  <c r="F3991" i="2"/>
  <c r="E3991" i="2"/>
  <c r="D3991" i="2"/>
  <c r="C3991" i="2"/>
  <c r="B3991" i="2"/>
  <c r="A3991" i="2"/>
  <c r="H3990" i="2"/>
  <c r="G3990" i="2"/>
  <c r="F3990" i="2"/>
  <c r="E3990" i="2"/>
  <c r="D3990" i="2"/>
  <c r="C3990" i="2"/>
  <c r="B3990" i="2"/>
  <c r="A3990" i="2"/>
  <c r="H3989" i="2"/>
  <c r="G3989" i="2"/>
  <c r="F3989" i="2"/>
  <c r="E3989" i="2"/>
  <c r="D3989" i="2"/>
  <c r="C3989" i="2"/>
  <c r="B3989" i="2"/>
  <c r="A3989" i="2"/>
  <c r="H3988" i="2"/>
  <c r="G3988" i="2"/>
  <c r="F3988" i="2"/>
  <c r="E3988" i="2"/>
  <c r="D3988" i="2"/>
  <c r="C3988" i="2"/>
  <c r="B3988" i="2"/>
  <c r="A3988" i="2"/>
  <c r="H3987" i="2"/>
  <c r="G3987" i="2"/>
  <c r="F3987" i="2"/>
  <c r="E3987" i="2"/>
  <c r="D3987" i="2"/>
  <c r="C3987" i="2"/>
  <c r="B3987" i="2"/>
  <c r="A3987" i="2"/>
  <c r="H3986" i="2"/>
  <c r="G3986" i="2"/>
  <c r="F3986" i="2"/>
  <c r="E3986" i="2"/>
  <c r="D3986" i="2"/>
  <c r="C3986" i="2"/>
  <c r="B3986" i="2"/>
  <c r="A3986" i="2"/>
  <c r="H3985" i="2"/>
  <c r="G3985" i="2"/>
  <c r="F3985" i="2"/>
  <c r="E3985" i="2"/>
  <c r="D3985" i="2"/>
  <c r="C3985" i="2"/>
  <c r="B3985" i="2"/>
  <c r="A3985" i="2"/>
  <c r="H3984" i="2"/>
  <c r="G3984" i="2"/>
  <c r="F3984" i="2"/>
  <c r="E3984" i="2"/>
  <c r="D3984" i="2"/>
  <c r="C3984" i="2"/>
  <c r="B3984" i="2"/>
  <c r="A3984" i="2"/>
  <c r="H3983" i="2"/>
  <c r="G3983" i="2"/>
  <c r="F3983" i="2"/>
  <c r="E3983" i="2"/>
  <c r="D3983" i="2"/>
  <c r="C3983" i="2"/>
  <c r="B3983" i="2"/>
  <c r="A3983" i="2"/>
  <c r="H3982" i="2"/>
  <c r="G3982" i="2"/>
  <c r="F3982" i="2"/>
  <c r="E3982" i="2"/>
  <c r="D3982" i="2"/>
  <c r="C3982" i="2"/>
  <c r="B3982" i="2"/>
  <c r="A3982" i="2"/>
  <c r="H3981" i="2"/>
  <c r="G3981" i="2"/>
  <c r="F3981" i="2"/>
  <c r="E3981" i="2"/>
  <c r="D3981" i="2"/>
  <c r="C3981" i="2"/>
  <c r="B3981" i="2"/>
  <c r="A3981" i="2"/>
  <c r="H3980" i="2"/>
  <c r="G3980" i="2"/>
  <c r="F3980" i="2"/>
  <c r="E3980" i="2"/>
  <c r="D3980" i="2"/>
  <c r="C3980" i="2"/>
  <c r="B3980" i="2"/>
  <c r="A3980" i="2"/>
  <c r="H3979" i="2"/>
  <c r="G3979" i="2"/>
  <c r="F3979" i="2"/>
  <c r="E3979" i="2"/>
  <c r="D3979" i="2"/>
  <c r="C3979" i="2"/>
  <c r="B3979" i="2"/>
  <c r="A3979" i="2"/>
  <c r="H3978" i="2"/>
  <c r="G3978" i="2"/>
  <c r="F3978" i="2"/>
  <c r="E3978" i="2"/>
  <c r="D3978" i="2"/>
  <c r="C3978" i="2"/>
  <c r="B3978" i="2"/>
  <c r="A3978" i="2"/>
  <c r="H3977" i="2"/>
  <c r="G3977" i="2"/>
  <c r="F3977" i="2"/>
  <c r="E3977" i="2"/>
  <c r="D3977" i="2"/>
  <c r="C3977" i="2"/>
  <c r="B3977" i="2"/>
  <c r="A3977" i="2"/>
  <c r="H3976" i="2"/>
  <c r="G3976" i="2"/>
  <c r="F3976" i="2"/>
  <c r="E3976" i="2"/>
  <c r="D3976" i="2"/>
  <c r="C3976" i="2"/>
  <c r="B3976" i="2"/>
  <c r="A3976" i="2"/>
  <c r="H3975" i="2"/>
  <c r="G3975" i="2"/>
  <c r="F3975" i="2"/>
  <c r="E3975" i="2"/>
  <c r="D3975" i="2"/>
  <c r="C3975" i="2"/>
  <c r="B3975" i="2"/>
  <c r="A3975" i="2"/>
  <c r="H3974" i="2"/>
  <c r="G3974" i="2"/>
  <c r="F3974" i="2"/>
  <c r="E3974" i="2"/>
  <c r="D3974" i="2"/>
  <c r="C3974" i="2"/>
  <c r="B3974" i="2"/>
  <c r="A3974" i="2"/>
  <c r="H3973" i="2"/>
  <c r="G3973" i="2"/>
  <c r="F3973" i="2"/>
  <c r="E3973" i="2"/>
  <c r="D3973" i="2"/>
  <c r="C3973" i="2"/>
  <c r="B3973" i="2"/>
  <c r="A3973" i="2"/>
  <c r="H3972" i="2"/>
  <c r="G3972" i="2"/>
  <c r="F3972" i="2"/>
  <c r="E3972" i="2"/>
  <c r="D3972" i="2"/>
  <c r="C3972" i="2"/>
  <c r="B3972" i="2"/>
  <c r="A3972" i="2"/>
  <c r="H3971" i="2"/>
  <c r="G3971" i="2"/>
  <c r="F3971" i="2"/>
  <c r="E3971" i="2"/>
  <c r="D3971" i="2"/>
  <c r="C3971" i="2"/>
  <c r="B3971" i="2"/>
  <c r="A3971" i="2"/>
  <c r="H3970" i="2"/>
  <c r="G3970" i="2"/>
  <c r="F3970" i="2"/>
  <c r="E3970" i="2"/>
  <c r="D3970" i="2"/>
  <c r="C3970" i="2"/>
  <c r="B3970" i="2"/>
  <c r="A3970" i="2"/>
  <c r="H3969" i="2"/>
  <c r="G3969" i="2"/>
  <c r="F3969" i="2"/>
  <c r="E3969" i="2"/>
  <c r="D3969" i="2"/>
  <c r="C3969" i="2"/>
  <c r="B3969" i="2"/>
  <c r="A3969" i="2"/>
  <c r="H3968" i="2"/>
  <c r="G3968" i="2"/>
  <c r="F3968" i="2"/>
  <c r="E3968" i="2"/>
  <c r="D3968" i="2"/>
  <c r="C3968" i="2"/>
  <c r="B3968" i="2"/>
  <c r="A3968" i="2"/>
  <c r="H3967" i="2"/>
  <c r="G3967" i="2"/>
  <c r="F3967" i="2"/>
  <c r="E3967" i="2"/>
  <c r="D3967" i="2"/>
  <c r="C3967" i="2"/>
  <c r="B3967" i="2"/>
  <c r="A3967" i="2"/>
  <c r="H3966" i="2"/>
  <c r="G3966" i="2"/>
  <c r="F3966" i="2"/>
  <c r="E3966" i="2"/>
  <c r="D3966" i="2"/>
  <c r="C3966" i="2"/>
  <c r="B3966" i="2"/>
  <c r="A3966" i="2"/>
  <c r="H3965" i="2"/>
  <c r="G3965" i="2"/>
  <c r="F3965" i="2"/>
  <c r="E3965" i="2"/>
  <c r="D3965" i="2"/>
  <c r="C3965" i="2"/>
  <c r="B3965" i="2"/>
  <c r="A3965" i="2"/>
  <c r="H3964" i="2"/>
  <c r="G3964" i="2"/>
  <c r="F3964" i="2"/>
  <c r="E3964" i="2"/>
  <c r="D3964" i="2"/>
  <c r="C3964" i="2"/>
  <c r="B3964" i="2"/>
  <c r="A3964" i="2"/>
  <c r="H3963" i="2"/>
  <c r="G3963" i="2"/>
  <c r="F3963" i="2"/>
  <c r="E3963" i="2"/>
  <c r="D3963" i="2"/>
  <c r="C3963" i="2"/>
  <c r="B3963" i="2"/>
  <c r="A3963" i="2"/>
  <c r="H3962" i="2"/>
  <c r="G3962" i="2"/>
  <c r="F3962" i="2"/>
  <c r="E3962" i="2"/>
  <c r="D3962" i="2"/>
  <c r="C3962" i="2"/>
  <c r="B3962" i="2"/>
  <c r="A3962" i="2"/>
  <c r="H3961" i="2"/>
  <c r="G3961" i="2"/>
  <c r="F3961" i="2"/>
  <c r="E3961" i="2"/>
  <c r="D3961" i="2"/>
  <c r="C3961" i="2"/>
  <c r="B3961" i="2"/>
  <c r="A3961" i="2"/>
  <c r="H3960" i="2"/>
  <c r="G3960" i="2"/>
  <c r="F3960" i="2"/>
  <c r="E3960" i="2"/>
  <c r="D3960" i="2"/>
  <c r="C3960" i="2"/>
  <c r="B3960" i="2"/>
  <c r="A3960" i="2"/>
  <c r="H3959" i="2"/>
  <c r="G3959" i="2"/>
  <c r="F3959" i="2"/>
  <c r="E3959" i="2"/>
  <c r="D3959" i="2"/>
  <c r="C3959" i="2"/>
  <c r="B3959" i="2"/>
  <c r="A3959" i="2"/>
  <c r="H3958" i="2"/>
  <c r="G3958" i="2"/>
  <c r="F3958" i="2"/>
  <c r="E3958" i="2"/>
  <c r="D3958" i="2"/>
  <c r="C3958" i="2"/>
  <c r="B3958" i="2"/>
  <c r="A3958" i="2"/>
  <c r="H3957" i="2"/>
  <c r="G3957" i="2"/>
  <c r="F3957" i="2"/>
  <c r="E3957" i="2"/>
  <c r="D3957" i="2"/>
  <c r="C3957" i="2"/>
  <c r="B3957" i="2"/>
  <c r="A3957" i="2"/>
  <c r="H3956" i="2"/>
  <c r="G3956" i="2"/>
  <c r="F3956" i="2"/>
  <c r="E3956" i="2"/>
  <c r="D3956" i="2"/>
  <c r="C3956" i="2"/>
  <c r="B3956" i="2"/>
  <c r="A3956" i="2"/>
  <c r="H3955" i="2"/>
  <c r="G3955" i="2"/>
  <c r="F3955" i="2"/>
  <c r="E3955" i="2"/>
  <c r="D3955" i="2"/>
  <c r="C3955" i="2"/>
  <c r="B3955" i="2"/>
  <c r="A3955" i="2"/>
  <c r="H3954" i="2"/>
  <c r="G3954" i="2"/>
  <c r="F3954" i="2"/>
  <c r="E3954" i="2"/>
  <c r="D3954" i="2"/>
  <c r="C3954" i="2"/>
  <c r="B3954" i="2"/>
  <c r="A3954" i="2"/>
  <c r="H3953" i="2"/>
  <c r="G3953" i="2"/>
  <c r="F3953" i="2"/>
  <c r="E3953" i="2"/>
  <c r="D3953" i="2"/>
  <c r="C3953" i="2"/>
  <c r="B3953" i="2"/>
  <c r="A3953" i="2"/>
  <c r="H3952" i="2"/>
  <c r="G3952" i="2"/>
  <c r="F3952" i="2"/>
  <c r="E3952" i="2"/>
  <c r="D3952" i="2"/>
  <c r="C3952" i="2"/>
  <c r="B3952" i="2"/>
  <c r="A3952" i="2"/>
  <c r="H3951" i="2"/>
  <c r="G3951" i="2"/>
  <c r="F3951" i="2"/>
  <c r="E3951" i="2"/>
  <c r="D3951" i="2"/>
  <c r="C3951" i="2"/>
  <c r="B3951" i="2"/>
  <c r="A3951" i="2"/>
  <c r="H3950" i="2"/>
  <c r="G3950" i="2"/>
  <c r="F3950" i="2"/>
  <c r="E3950" i="2"/>
  <c r="D3950" i="2"/>
  <c r="C3950" i="2"/>
  <c r="B3950" i="2"/>
  <c r="A3950" i="2"/>
  <c r="H3949" i="2"/>
  <c r="G3949" i="2"/>
  <c r="F3949" i="2"/>
  <c r="E3949" i="2"/>
  <c r="D3949" i="2"/>
  <c r="C3949" i="2"/>
  <c r="B3949" i="2"/>
  <c r="A3949" i="2"/>
  <c r="H3948" i="2"/>
  <c r="G3948" i="2"/>
  <c r="F3948" i="2"/>
  <c r="E3948" i="2"/>
  <c r="D3948" i="2"/>
  <c r="C3948" i="2"/>
  <c r="B3948" i="2"/>
  <c r="A3948" i="2"/>
  <c r="H3947" i="2"/>
  <c r="G3947" i="2"/>
  <c r="F3947" i="2"/>
  <c r="E3947" i="2"/>
  <c r="D3947" i="2"/>
  <c r="C3947" i="2"/>
  <c r="B3947" i="2"/>
  <c r="A3947" i="2"/>
  <c r="H3946" i="2"/>
  <c r="G3946" i="2"/>
  <c r="F3946" i="2"/>
  <c r="E3946" i="2"/>
  <c r="D3946" i="2"/>
  <c r="C3946" i="2"/>
  <c r="B3946" i="2"/>
  <c r="A3946" i="2"/>
  <c r="H3945" i="2"/>
  <c r="G3945" i="2"/>
  <c r="F3945" i="2"/>
  <c r="E3945" i="2"/>
  <c r="D3945" i="2"/>
  <c r="C3945" i="2"/>
  <c r="B3945" i="2"/>
  <c r="A3945" i="2"/>
  <c r="H3944" i="2"/>
  <c r="G3944" i="2"/>
  <c r="F3944" i="2"/>
  <c r="E3944" i="2"/>
  <c r="D3944" i="2"/>
  <c r="C3944" i="2"/>
  <c r="B3944" i="2"/>
  <c r="A3944" i="2"/>
  <c r="H3943" i="2"/>
  <c r="G3943" i="2"/>
  <c r="F3943" i="2"/>
  <c r="E3943" i="2"/>
  <c r="D3943" i="2"/>
  <c r="C3943" i="2"/>
  <c r="B3943" i="2"/>
  <c r="A3943" i="2"/>
  <c r="H3942" i="2"/>
  <c r="G3942" i="2"/>
  <c r="F3942" i="2"/>
  <c r="E3942" i="2"/>
  <c r="D3942" i="2"/>
  <c r="C3942" i="2"/>
  <c r="B3942" i="2"/>
  <c r="A3942" i="2"/>
  <c r="H3941" i="2"/>
  <c r="G3941" i="2"/>
  <c r="F3941" i="2"/>
  <c r="E3941" i="2"/>
  <c r="D3941" i="2"/>
  <c r="C3941" i="2"/>
  <c r="B3941" i="2"/>
  <c r="A3941" i="2"/>
  <c r="H3940" i="2"/>
  <c r="G3940" i="2"/>
  <c r="F3940" i="2"/>
  <c r="E3940" i="2"/>
  <c r="D3940" i="2"/>
  <c r="C3940" i="2"/>
  <c r="B3940" i="2"/>
  <c r="A3940" i="2"/>
  <c r="H3939" i="2"/>
  <c r="G3939" i="2"/>
  <c r="F3939" i="2"/>
  <c r="E3939" i="2"/>
  <c r="D3939" i="2"/>
  <c r="C3939" i="2"/>
  <c r="B3939" i="2"/>
  <c r="A3939" i="2"/>
  <c r="H3938" i="2"/>
  <c r="G3938" i="2"/>
  <c r="F3938" i="2"/>
  <c r="E3938" i="2"/>
  <c r="D3938" i="2"/>
  <c r="C3938" i="2"/>
  <c r="B3938" i="2"/>
  <c r="A3938" i="2"/>
  <c r="H3937" i="2"/>
  <c r="G3937" i="2"/>
  <c r="F3937" i="2"/>
  <c r="E3937" i="2"/>
  <c r="D3937" i="2"/>
  <c r="C3937" i="2"/>
  <c r="B3937" i="2"/>
  <c r="A3937" i="2"/>
  <c r="H3936" i="2"/>
  <c r="G3936" i="2"/>
  <c r="F3936" i="2"/>
  <c r="E3936" i="2"/>
  <c r="D3936" i="2"/>
  <c r="C3936" i="2"/>
  <c r="B3936" i="2"/>
  <c r="A3936" i="2"/>
  <c r="H3935" i="2"/>
  <c r="G3935" i="2"/>
  <c r="F3935" i="2"/>
  <c r="E3935" i="2"/>
  <c r="D3935" i="2"/>
  <c r="C3935" i="2"/>
  <c r="B3935" i="2"/>
  <c r="A3935" i="2"/>
  <c r="H3934" i="2"/>
  <c r="G3934" i="2"/>
  <c r="F3934" i="2"/>
  <c r="E3934" i="2"/>
  <c r="D3934" i="2"/>
  <c r="C3934" i="2"/>
  <c r="B3934" i="2"/>
  <c r="A3934" i="2"/>
  <c r="H3933" i="2"/>
  <c r="G3933" i="2"/>
  <c r="F3933" i="2"/>
  <c r="E3933" i="2"/>
  <c r="D3933" i="2"/>
  <c r="C3933" i="2"/>
  <c r="B3933" i="2"/>
  <c r="A3933" i="2"/>
  <c r="H3932" i="2"/>
  <c r="G3932" i="2"/>
  <c r="F3932" i="2"/>
  <c r="E3932" i="2"/>
  <c r="D3932" i="2"/>
  <c r="C3932" i="2"/>
  <c r="B3932" i="2"/>
  <c r="A3932" i="2"/>
  <c r="H3931" i="2"/>
  <c r="G3931" i="2"/>
  <c r="F3931" i="2"/>
  <c r="E3931" i="2"/>
  <c r="D3931" i="2"/>
  <c r="C3931" i="2"/>
  <c r="B3931" i="2"/>
  <c r="A3931" i="2"/>
  <c r="H3930" i="2"/>
  <c r="G3930" i="2"/>
  <c r="F3930" i="2"/>
  <c r="E3930" i="2"/>
  <c r="D3930" i="2"/>
  <c r="C3930" i="2"/>
  <c r="B3930" i="2"/>
  <c r="A3930" i="2"/>
  <c r="H3929" i="2"/>
  <c r="G3929" i="2"/>
  <c r="F3929" i="2"/>
  <c r="E3929" i="2"/>
  <c r="D3929" i="2"/>
  <c r="C3929" i="2"/>
  <c r="B3929" i="2"/>
  <c r="A3929" i="2"/>
  <c r="H3928" i="2"/>
  <c r="G3928" i="2"/>
  <c r="F3928" i="2"/>
  <c r="E3928" i="2"/>
  <c r="D3928" i="2"/>
  <c r="C3928" i="2"/>
  <c r="B3928" i="2"/>
  <c r="A3928" i="2"/>
  <c r="H3927" i="2"/>
  <c r="G3927" i="2"/>
  <c r="F3927" i="2"/>
  <c r="E3927" i="2"/>
  <c r="D3927" i="2"/>
  <c r="C3927" i="2"/>
  <c r="B3927" i="2"/>
  <c r="A3927" i="2"/>
  <c r="H3926" i="2"/>
  <c r="G3926" i="2"/>
  <c r="F3926" i="2"/>
  <c r="E3926" i="2"/>
  <c r="D3926" i="2"/>
  <c r="C3926" i="2"/>
  <c r="B3926" i="2"/>
  <c r="A3926" i="2"/>
  <c r="H3925" i="2"/>
  <c r="G3925" i="2"/>
  <c r="F3925" i="2"/>
  <c r="E3925" i="2"/>
  <c r="D3925" i="2"/>
  <c r="C3925" i="2"/>
  <c r="B3925" i="2"/>
  <c r="A3925" i="2"/>
  <c r="H3924" i="2"/>
  <c r="G3924" i="2"/>
  <c r="F3924" i="2"/>
  <c r="E3924" i="2"/>
  <c r="D3924" i="2"/>
  <c r="C3924" i="2"/>
  <c r="B3924" i="2"/>
  <c r="A3924" i="2"/>
  <c r="H3923" i="2"/>
  <c r="G3923" i="2"/>
  <c r="F3923" i="2"/>
  <c r="E3923" i="2"/>
  <c r="D3923" i="2"/>
  <c r="C3923" i="2"/>
  <c r="B3923" i="2"/>
  <c r="A3923" i="2"/>
  <c r="H3922" i="2"/>
  <c r="G3922" i="2"/>
  <c r="F3922" i="2"/>
  <c r="E3922" i="2"/>
  <c r="D3922" i="2"/>
  <c r="C3922" i="2"/>
  <c r="B3922" i="2"/>
  <c r="A3922" i="2"/>
  <c r="H3921" i="2"/>
  <c r="G3921" i="2"/>
  <c r="F3921" i="2"/>
  <c r="E3921" i="2"/>
  <c r="D3921" i="2"/>
  <c r="C3921" i="2"/>
  <c r="B3921" i="2"/>
  <c r="A3921" i="2"/>
  <c r="H3920" i="2"/>
  <c r="G3920" i="2"/>
  <c r="F3920" i="2"/>
  <c r="E3920" i="2"/>
  <c r="D3920" i="2"/>
  <c r="C3920" i="2"/>
  <c r="B3920" i="2"/>
  <c r="A3920" i="2"/>
  <c r="H3919" i="2"/>
  <c r="G3919" i="2"/>
  <c r="F3919" i="2"/>
  <c r="E3919" i="2"/>
  <c r="D3919" i="2"/>
  <c r="C3919" i="2"/>
  <c r="B3919" i="2"/>
  <c r="A3919" i="2"/>
  <c r="H3918" i="2"/>
  <c r="G3918" i="2"/>
  <c r="F3918" i="2"/>
  <c r="E3918" i="2"/>
  <c r="D3918" i="2"/>
  <c r="C3918" i="2"/>
  <c r="B3918" i="2"/>
  <c r="A3918" i="2"/>
  <c r="H3917" i="2"/>
  <c r="G3917" i="2"/>
  <c r="F3917" i="2"/>
  <c r="E3917" i="2"/>
  <c r="D3917" i="2"/>
  <c r="C3917" i="2"/>
  <c r="B3917" i="2"/>
  <c r="A3917" i="2"/>
  <c r="H3916" i="2"/>
  <c r="G3916" i="2"/>
  <c r="F3916" i="2"/>
  <c r="E3916" i="2"/>
  <c r="D3916" i="2"/>
  <c r="C3916" i="2"/>
  <c r="B3916" i="2"/>
  <c r="A3916" i="2"/>
  <c r="H3915" i="2"/>
  <c r="G3915" i="2"/>
  <c r="F3915" i="2"/>
  <c r="E3915" i="2"/>
  <c r="D3915" i="2"/>
  <c r="C3915" i="2"/>
  <c r="B3915" i="2"/>
  <c r="A3915" i="2"/>
  <c r="H3914" i="2"/>
  <c r="G3914" i="2"/>
  <c r="F3914" i="2"/>
  <c r="E3914" i="2"/>
  <c r="D3914" i="2"/>
  <c r="C3914" i="2"/>
  <c r="B3914" i="2"/>
  <c r="A3914" i="2"/>
  <c r="H3913" i="2"/>
  <c r="G3913" i="2"/>
  <c r="F3913" i="2"/>
  <c r="E3913" i="2"/>
  <c r="D3913" i="2"/>
  <c r="C3913" i="2"/>
  <c r="B3913" i="2"/>
  <c r="A3913" i="2"/>
  <c r="H3912" i="2"/>
  <c r="G3912" i="2"/>
  <c r="F3912" i="2"/>
  <c r="E3912" i="2"/>
  <c r="D3912" i="2"/>
  <c r="C3912" i="2"/>
  <c r="B3912" i="2"/>
  <c r="A3912" i="2"/>
  <c r="H3911" i="2"/>
  <c r="G3911" i="2"/>
  <c r="F3911" i="2"/>
  <c r="E3911" i="2"/>
  <c r="D3911" i="2"/>
  <c r="C3911" i="2"/>
  <c r="B3911" i="2"/>
  <c r="A3911" i="2"/>
  <c r="H3910" i="2"/>
  <c r="G3910" i="2"/>
  <c r="F3910" i="2"/>
  <c r="E3910" i="2"/>
  <c r="D3910" i="2"/>
  <c r="C3910" i="2"/>
  <c r="B3910" i="2"/>
  <c r="A3910" i="2"/>
  <c r="H3909" i="2"/>
  <c r="G3909" i="2"/>
  <c r="F3909" i="2"/>
  <c r="E3909" i="2"/>
  <c r="D3909" i="2"/>
  <c r="C3909" i="2"/>
  <c r="B3909" i="2"/>
  <c r="A3909" i="2"/>
  <c r="H3908" i="2"/>
  <c r="G3908" i="2"/>
  <c r="F3908" i="2"/>
  <c r="E3908" i="2"/>
  <c r="D3908" i="2"/>
  <c r="C3908" i="2"/>
  <c r="B3908" i="2"/>
  <c r="A3908" i="2"/>
  <c r="H3907" i="2"/>
  <c r="G3907" i="2"/>
  <c r="F3907" i="2"/>
  <c r="E3907" i="2"/>
  <c r="D3907" i="2"/>
  <c r="C3907" i="2"/>
  <c r="B3907" i="2"/>
  <c r="A3907" i="2"/>
  <c r="H3906" i="2"/>
  <c r="G3906" i="2"/>
  <c r="F3906" i="2"/>
  <c r="E3906" i="2"/>
  <c r="D3906" i="2"/>
  <c r="C3906" i="2"/>
  <c r="B3906" i="2"/>
  <c r="A3906" i="2"/>
  <c r="H3905" i="2"/>
  <c r="G3905" i="2"/>
  <c r="F3905" i="2"/>
  <c r="E3905" i="2"/>
  <c r="D3905" i="2"/>
  <c r="C3905" i="2"/>
  <c r="B3905" i="2"/>
  <c r="A3905" i="2"/>
  <c r="H3904" i="2"/>
  <c r="G3904" i="2"/>
  <c r="F3904" i="2"/>
  <c r="E3904" i="2"/>
  <c r="D3904" i="2"/>
  <c r="C3904" i="2"/>
  <c r="B3904" i="2"/>
  <c r="A3904" i="2"/>
  <c r="H3903" i="2"/>
  <c r="G3903" i="2"/>
  <c r="F3903" i="2"/>
  <c r="E3903" i="2"/>
  <c r="D3903" i="2"/>
  <c r="C3903" i="2"/>
  <c r="B3903" i="2"/>
  <c r="A3903" i="2"/>
  <c r="H3902" i="2"/>
  <c r="G3902" i="2"/>
  <c r="F3902" i="2"/>
  <c r="E3902" i="2"/>
  <c r="D3902" i="2"/>
  <c r="C3902" i="2"/>
  <c r="B3902" i="2"/>
  <c r="A3902" i="2"/>
  <c r="H3901" i="2"/>
  <c r="G3901" i="2"/>
  <c r="F3901" i="2"/>
  <c r="E3901" i="2"/>
  <c r="D3901" i="2"/>
  <c r="C3901" i="2"/>
  <c r="B3901" i="2"/>
  <c r="A3901" i="2"/>
  <c r="H3900" i="2"/>
  <c r="G3900" i="2"/>
  <c r="F3900" i="2"/>
  <c r="E3900" i="2"/>
  <c r="D3900" i="2"/>
  <c r="C3900" i="2"/>
  <c r="B3900" i="2"/>
  <c r="A3900" i="2"/>
  <c r="H3899" i="2"/>
  <c r="G3899" i="2"/>
  <c r="F3899" i="2"/>
  <c r="E3899" i="2"/>
  <c r="D3899" i="2"/>
  <c r="C3899" i="2"/>
  <c r="B3899" i="2"/>
  <c r="A3899" i="2"/>
  <c r="H3898" i="2"/>
  <c r="G3898" i="2"/>
  <c r="F3898" i="2"/>
  <c r="E3898" i="2"/>
  <c r="D3898" i="2"/>
  <c r="C3898" i="2"/>
  <c r="B3898" i="2"/>
  <c r="A3898" i="2"/>
  <c r="H3897" i="2"/>
  <c r="G3897" i="2"/>
  <c r="F3897" i="2"/>
  <c r="E3897" i="2"/>
  <c r="D3897" i="2"/>
  <c r="C3897" i="2"/>
  <c r="B3897" i="2"/>
  <c r="A3897" i="2"/>
  <c r="H3896" i="2"/>
  <c r="G3896" i="2"/>
  <c r="F3896" i="2"/>
  <c r="E3896" i="2"/>
  <c r="D3896" i="2"/>
  <c r="C3896" i="2"/>
  <c r="B3896" i="2"/>
  <c r="A3896" i="2"/>
  <c r="H3895" i="2"/>
  <c r="G3895" i="2"/>
  <c r="F3895" i="2"/>
  <c r="E3895" i="2"/>
  <c r="D3895" i="2"/>
  <c r="C3895" i="2"/>
  <c r="B3895" i="2"/>
  <c r="A3895" i="2"/>
  <c r="H3894" i="2"/>
  <c r="G3894" i="2"/>
  <c r="F3894" i="2"/>
  <c r="E3894" i="2"/>
  <c r="D3894" i="2"/>
  <c r="C3894" i="2"/>
  <c r="B3894" i="2"/>
  <c r="A3894" i="2"/>
  <c r="H3893" i="2"/>
  <c r="G3893" i="2"/>
  <c r="F3893" i="2"/>
  <c r="E3893" i="2"/>
  <c r="D3893" i="2"/>
  <c r="C3893" i="2"/>
  <c r="B3893" i="2"/>
  <c r="A3893" i="2"/>
  <c r="H3892" i="2"/>
  <c r="G3892" i="2"/>
  <c r="F3892" i="2"/>
  <c r="E3892" i="2"/>
  <c r="D3892" i="2"/>
  <c r="C3892" i="2"/>
  <c r="B3892" i="2"/>
  <c r="A3892" i="2"/>
  <c r="H3891" i="2"/>
  <c r="G3891" i="2"/>
  <c r="F3891" i="2"/>
  <c r="E3891" i="2"/>
  <c r="D3891" i="2"/>
  <c r="C3891" i="2"/>
  <c r="B3891" i="2"/>
  <c r="A3891" i="2"/>
  <c r="H3890" i="2"/>
  <c r="G3890" i="2"/>
  <c r="F3890" i="2"/>
  <c r="E3890" i="2"/>
  <c r="D3890" i="2"/>
  <c r="C3890" i="2"/>
  <c r="B3890" i="2"/>
  <c r="A3890" i="2"/>
  <c r="H3889" i="2"/>
  <c r="G3889" i="2"/>
  <c r="F3889" i="2"/>
  <c r="E3889" i="2"/>
  <c r="D3889" i="2"/>
  <c r="C3889" i="2"/>
  <c r="B3889" i="2"/>
  <c r="A3889" i="2"/>
  <c r="H3888" i="2"/>
  <c r="G3888" i="2"/>
  <c r="F3888" i="2"/>
  <c r="E3888" i="2"/>
  <c r="D3888" i="2"/>
  <c r="C3888" i="2"/>
  <c r="B3888" i="2"/>
  <c r="A3888" i="2"/>
  <c r="H3887" i="2"/>
  <c r="G3887" i="2"/>
  <c r="F3887" i="2"/>
  <c r="E3887" i="2"/>
  <c r="D3887" i="2"/>
  <c r="C3887" i="2"/>
  <c r="B3887" i="2"/>
  <c r="A3887" i="2"/>
  <c r="H3886" i="2"/>
  <c r="G3886" i="2"/>
  <c r="F3886" i="2"/>
  <c r="E3886" i="2"/>
  <c r="D3886" i="2"/>
  <c r="C3886" i="2"/>
  <c r="B3886" i="2"/>
  <c r="A3886" i="2"/>
  <c r="H3885" i="2"/>
  <c r="G3885" i="2"/>
  <c r="F3885" i="2"/>
  <c r="E3885" i="2"/>
  <c r="D3885" i="2"/>
  <c r="C3885" i="2"/>
  <c r="B3885" i="2"/>
  <c r="A3885" i="2"/>
  <c r="H3884" i="2"/>
  <c r="G3884" i="2"/>
  <c r="F3884" i="2"/>
  <c r="E3884" i="2"/>
  <c r="D3884" i="2"/>
  <c r="C3884" i="2"/>
  <c r="B3884" i="2"/>
  <c r="A3884" i="2"/>
  <c r="H3883" i="2"/>
  <c r="G3883" i="2"/>
  <c r="F3883" i="2"/>
  <c r="E3883" i="2"/>
  <c r="D3883" i="2"/>
  <c r="C3883" i="2"/>
  <c r="B3883" i="2"/>
  <c r="A3883" i="2"/>
  <c r="H3882" i="2"/>
  <c r="G3882" i="2"/>
  <c r="F3882" i="2"/>
  <c r="E3882" i="2"/>
  <c r="D3882" i="2"/>
  <c r="C3882" i="2"/>
  <c r="B3882" i="2"/>
  <c r="A3882" i="2"/>
  <c r="H3881" i="2"/>
  <c r="G3881" i="2"/>
  <c r="F3881" i="2"/>
  <c r="E3881" i="2"/>
  <c r="D3881" i="2"/>
  <c r="C3881" i="2"/>
  <c r="B3881" i="2"/>
  <c r="A3881" i="2"/>
  <c r="H3880" i="2"/>
  <c r="G3880" i="2"/>
  <c r="F3880" i="2"/>
  <c r="E3880" i="2"/>
  <c r="D3880" i="2"/>
  <c r="C3880" i="2"/>
  <c r="B3880" i="2"/>
  <c r="A3880" i="2"/>
  <c r="H3879" i="2"/>
  <c r="G3879" i="2"/>
  <c r="F3879" i="2"/>
  <c r="E3879" i="2"/>
  <c r="D3879" i="2"/>
  <c r="C3879" i="2"/>
  <c r="B3879" i="2"/>
  <c r="A3879" i="2"/>
  <c r="H3878" i="2"/>
  <c r="G3878" i="2"/>
  <c r="F3878" i="2"/>
  <c r="E3878" i="2"/>
  <c r="D3878" i="2"/>
  <c r="C3878" i="2"/>
  <c r="B3878" i="2"/>
  <c r="A3878" i="2"/>
  <c r="H3877" i="2"/>
  <c r="G3877" i="2"/>
  <c r="F3877" i="2"/>
  <c r="E3877" i="2"/>
  <c r="D3877" i="2"/>
  <c r="C3877" i="2"/>
  <c r="B3877" i="2"/>
  <c r="A3877" i="2"/>
  <c r="H3876" i="2"/>
  <c r="G3876" i="2"/>
  <c r="F3876" i="2"/>
  <c r="E3876" i="2"/>
  <c r="D3876" i="2"/>
  <c r="C3876" i="2"/>
  <c r="B3876" i="2"/>
  <c r="A3876" i="2"/>
  <c r="H3875" i="2"/>
  <c r="G3875" i="2"/>
  <c r="F3875" i="2"/>
  <c r="E3875" i="2"/>
  <c r="D3875" i="2"/>
  <c r="C3875" i="2"/>
  <c r="B3875" i="2"/>
  <c r="A3875" i="2"/>
  <c r="H3874" i="2"/>
  <c r="G3874" i="2"/>
  <c r="F3874" i="2"/>
  <c r="E3874" i="2"/>
  <c r="D3874" i="2"/>
  <c r="C3874" i="2"/>
  <c r="B3874" i="2"/>
  <c r="A3874" i="2"/>
  <c r="H3873" i="2"/>
  <c r="G3873" i="2"/>
  <c r="F3873" i="2"/>
  <c r="E3873" i="2"/>
  <c r="D3873" i="2"/>
  <c r="C3873" i="2"/>
  <c r="B3873" i="2"/>
  <c r="A3873" i="2"/>
  <c r="H3872" i="2"/>
  <c r="G3872" i="2"/>
  <c r="F3872" i="2"/>
  <c r="E3872" i="2"/>
  <c r="D3872" i="2"/>
  <c r="C3872" i="2"/>
  <c r="B3872" i="2"/>
  <c r="A3872" i="2"/>
  <c r="H3871" i="2"/>
  <c r="G3871" i="2"/>
  <c r="F3871" i="2"/>
  <c r="E3871" i="2"/>
  <c r="D3871" i="2"/>
  <c r="C3871" i="2"/>
  <c r="B3871" i="2"/>
  <c r="A3871" i="2"/>
  <c r="H3870" i="2"/>
  <c r="G3870" i="2"/>
  <c r="F3870" i="2"/>
  <c r="E3870" i="2"/>
  <c r="D3870" i="2"/>
  <c r="C3870" i="2"/>
  <c r="B3870" i="2"/>
  <c r="A3870" i="2"/>
  <c r="H3869" i="2"/>
  <c r="G3869" i="2"/>
  <c r="F3869" i="2"/>
  <c r="E3869" i="2"/>
  <c r="D3869" i="2"/>
  <c r="C3869" i="2"/>
  <c r="B3869" i="2"/>
  <c r="A3869" i="2"/>
  <c r="H3868" i="2"/>
  <c r="G3868" i="2"/>
  <c r="F3868" i="2"/>
  <c r="E3868" i="2"/>
  <c r="D3868" i="2"/>
  <c r="C3868" i="2"/>
  <c r="B3868" i="2"/>
  <c r="A3868" i="2"/>
  <c r="H3867" i="2"/>
  <c r="G3867" i="2"/>
  <c r="F3867" i="2"/>
  <c r="E3867" i="2"/>
  <c r="D3867" i="2"/>
  <c r="C3867" i="2"/>
  <c r="B3867" i="2"/>
  <c r="A3867" i="2"/>
  <c r="H3866" i="2"/>
  <c r="G3866" i="2"/>
  <c r="F3866" i="2"/>
  <c r="E3866" i="2"/>
  <c r="D3866" i="2"/>
  <c r="C3866" i="2"/>
  <c r="B3866" i="2"/>
  <c r="A3866" i="2"/>
  <c r="H3865" i="2"/>
  <c r="G3865" i="2"/>
  <c r="F3865" i="2"/>
  <c r="E3865" i="2"/>
  <c r="D3865" i="2"/>
  <c r="C3865" i="2"/>
  <c r="B3865" i="2"/>
  <c r="A3865" i="2"/>
  <c r="H3864" i="2"/>
  <c r="G3864" i="2"/>
  <c r="F3864" i="2"/>
  <c r="E3864" i="2"/>
  <c r="D3864" i="2"/>
  <c r="C3864" i="2"/>
  <c r="B3864" i="2"/>
  <c r="A3864" i="2"/>
  <c r="H3863" i="2"/>
  <c r="G3863" i="2"/>
  <c r="F3863" i="2"/>
  <c r="E3863" i="2"/>
  <c r="D3863" i="2"/>
  <c r="C3863" i="2"/>
  <c r="B3863" i="2"/>
  <c r="A3863" i="2"/>
  <c r="H3862" i="2"/>
  <c r="G3862" i="2"/>
  <c r="F3862" i="2"/>
  <c r="E3862" i="2"/>
  <c r="D3862" i="2"/>
  <c r="C3862" i="2"/>
  <c r="B3862" i="2"/>
  <c r="A3862" i="2"/>
  <c r="H3861" i="2"/>
  <c r="G3861" i="2"/>
  <c r="F3861" i="2"/>
  <c r="E3861" i="2"/>
  <c r="D3861" i="2"/>
  <c r="C3861" i="2"/>
  <c r="B3861" i="2"/>
  <c r="A3861" i="2"/>
  <c r="H3860" i="2"/>
  <c r="G3860" i="2"/>
  <c r="F3860" i="2"/>
  <c r="E3860" i="2"/>
  <c r="D3860" i="2"/>
  <c r="C3860" i="2"/>
  <c r="B3860" i="2"/>
  <c r="A3860" i="2"/>
  <c r="H3859" i="2"/>
  <c r="G3859" i="2"/>
  <c r="F3859" i="2"/>
  <c r="E3859" i="2"/>
  <c r="D3859" i="2"/>
  <c r="C3859" i="2"/>
  <c r="B3859" i="2"/>
  <c r="A3859" i="2"/>
  <c r="H3858" i="2"/>
  <c r="G3858" i="2"/>
  <c r="F3858" i="2"/>
  <c r="E3858" i="2"/>
  <c r="D3858" i="2"/>
  <c r="C3858" i="2"/>
  <c r="B3858" i="2"/>
  <c r="A3858" i="2"/>
  <c r="H3857" i="2"/>
  <c r="G3857" i="2"/>
  <c r="F3857" i="2"/>
  <c r="E3857" i="2"/>
  <c r="D3857" i="2"/>
  <c r="C3857" i="2"/>
  <c r="B3857" i="2"/>
  <c r="A3857" i="2"/>
  <c r="H3856" i="2"/>
  <c r="G3856" i="2"/>
  <c r="F3856" i="2"/>
  <c r="E3856" i="2"/>
  <c r="D3856" i="2"/>
  <c r="C3856" i="2"/>
  <c r="B3856" i="2"/>
  <c r="A3856" i="2"/>
  <c r="H3855" i="2"/>
  <c r="G3855" i="2"/>
  <c r="F3855" i="2"/>
  <c r="E3855" i="2"/>
  <c r="D3855" i="2"/>
  <c r="C3855" i="2"/>
  <c r="B3855" i="2"/>
  <c r="A3855" i="2"/>
  <c r="H3854" i="2"/>
  <c r="G3854" i="2"/>
  <c r="F3854" i="2"/>
  <c r="E3854" i="2"/>
  <c r="D3854" i="2"/>
  <c r="C3854" i="2"/>
  <c r="B3854" i="2"/>
  <c r="A3854" i="2"/>
  <c r="H3853" i="2"/>
  <c r="G3853" i="2"/>
  <c r="F3853" i="2"/>
  <c r="E3853" i="2"/>
  <c r="D3853" i="2"/>
  <c r="C3853" i="2"/>
  <c r="B3853" i="2"/>
  <c r="A3853" i="2"/>
  <c r="H3852" i="2"/>
  <c r="G3852" i="2"/>
  <c r="F3852" i="2"/>
  <c r="E3852" i="2"/>
  <c r="D3852" i="2"/>
  <c r="C3852" i="2"/>
  <c r="B3852" i="2"/>
  <c r="A3852" i="2"/>
  <c r="H3851" i="2"/>
  <c r="G3851" i="2"/>
  <c r="F3851" i="2"/>
  <c r="E3851" i="2"/>
  <c r="D3851" i="2"/>
  <c r="C3851" i="2"/>
  <c r="B3851" i="2"/>
  <c r="A3851" i="2"/>
  <c r="H3850" i="2"/>
  <c r="G3850" i="2"/>
  <c r="F3850" i="2"/>
  <c r="E3850" i="2"/>
  <c r="D3850" i="2"/>
  <c r="C3850" i="2"/>
  <c r="B3850" i="2"/>
  <c r="A3850" i="2"/>
  <c r="H3849" i="2"/>
  <c r="G3849" i="2"/>
  <c r="F3849" i="2"/>
  <c r="E3849" i="2"/>
  <c r="D3849" i="2"/>
  <c r="C3849" i="2"/>
  <c r="B3849" i="2"/>
  <c r="A3849" i="2"/>
  <c r="H3848" i="2"/>
  <c r="G3848" i="2"/>
  <c r="F3848" i="2"/>
  <c r="E3848" i="2"/>
  <c r="D3848" i="2"/>
  <c r="C3848" i="2"/>
  <c r="B3848" i="2"/>
  <c r="A3848" i="2"/>
  <c r="H3847" i="2"/>
  <c r="G3847" i="2"/>
  <c r="F3847" i="2"/>
  <c r="E3847" i="2"/>
  <c r="D3847" i="2"/>
  <c r="C3847" i="2"/>
  <c r="B3847" i="2"/>
  <c r="A3847" i="2"/>
  <c r="H3846" i="2"/>
  <c r="G3846" i="2"/>
  <c r="F3846" i="2"/>
  <c r="E3846" i="2"/>
  <c r="D3846" i="2"/>
  <c r="C3846" i="2"/>
  <c r="B3846" i="2"/>
  <c r="A3846" i="2"/>
  <c r="H3845" i="2"/>
  <c r="G3845" i="2"/>
  <c r="F3845" i="2"/>
  <c r="E3845" i="2"/>
  <c r="D3845" i="2"/>
  <c r="C3845" i="2"/>
  <c r="B3845" i="2"/>
  <c r="A3845" i="2"/>
  <c r="H3844" i="2"/>
  <c r="G3844" i="2"/>
  <c r="F3844" i="2"/>
  <c r="E3844" i="2"/>
  <c r="D3844" i="2"/>
  <c r="C3844" i="2"/>
  <c r="B3844" i="2"/>
  <c r="A3844" i="2"/>
  <c r="H3843" i="2"/>
  <c r="G3843" i="2"/>
  <c r="F3843" i="2"/>
  <c r="E3843" i="2"/>
  <c r="D3843" i="2"/>
  <c r="C3843" i="2"/>
  <c r="B3843" i="2"/>
  <c r="A3843" i="2"/>
  <c r="H3842" i="2"/>
  <c r="G3842" i="2"/>
  <c r="F3842" i="2"/>
  <c r="E3842" i="2"/>
  <c r="D3842" i="2"/>
  <c r="C3842" i="2"/>
  <c r="B3842" i="2"/>
  <c r="A3842" i="2"/>
  <c r="H3841" i="2"/>
  <c r="G3841" i="2"/>
  <c r="F3841" i="2"/>
  <c r="E3841" i="2"/>
  <c r="D3841" i="2"/>
  <c r="C3841" i="2"/>
  <c r="B3841" i="2"/>
  <c r="A3841" i="2"/>
  <c r="H3840" i="2"/>
  <c r="G3840" i="2"/>
  <c r="F3840" i="2"/>
  <c r="E3840" i="2"/>
  <c r="D3840" i="2"/>
  <c r="C3840" i="2"/>
  <c r="B3840" i="2"/>
  <c r="A3840" i="2"/>
  <c r="H3839" i="2"/>
  <c r="G3839" i="2"/>
  <c r="F3839" i="2"/>
  <c r="E3839" i="2"/>
  <c r="D3839" i="2"/>
  <c r="C3839" i="2"/>
  <c r="B3839" i="2"/>
  <c r="A3839" i="2"/>
  <c r="H3838" i="2"/>
  <c r="G3838" i="2"/>
  <c r="F3838" i="2"/>
  <c r="E3838" i="2"/>
  <c r="D3838" i="2"/>
  <c r="C3838" i="2"/>
  <c r="B3838" i="2"/>
  <c r="A3838" i="2"/>
  <c r="H3837" i="2"/>
  <c r="G3837" i="2"/>
  <c r="F3837" i="2"/>
  <c r="E3837" i="2"/>
  <c r="D3837" i="2"/>
  <c r="C3837" i="2"/>
  <c r="B3837" i="2"/>
  <c r="A3837" i="2"/>
  <c r="H3836" i="2"/>
  <c r="G3836" i="2"/>
  <c r="F3836" i="2"/>
  <c r="E3836" i="2"/>
  <c r="D3836" i="2"/>
  <c r="C3836" i="2"/>
  <c r="B3836" i="2"/>
  <c r="A3836" i="2"/>
  <c r="H3835" i="2"/>
  <c r="G3835" i="2"/>
  <c r="F3835" i="2"/>
  <c r="E3835" i="2"/>
  <c r="D3835" i="2"/>
  <c r="C3835" i="2"/>
  <c r="B3835" i="2"/>
  <c r="A3835" i="2"/>
  <c r="H3834" i="2"/>
  <c r="G3834" i="2"/>
  <c r="F3834" i="2"/>
  <c r="E3834" i="2"/>
  <c r="D3834" i="2"/>
  <c r="C3834" i="2"/>
  <c r="B3834" i="2"/>
  <c r="A3834" i="2"/>
  <c r="H3833" i="2"/>
  <c r="G3833" i="2"/>
  <c r="F3833" i="2"/>
  <c r="E3833" i="2"/>
  <c r="D3833" i="2"/>
  <c r="C3833" i="2"/>
  <c r="B3833" i="2"/>
  <c r="A3833" i="2"/>
  <c r="H3832" i="2"/>
  <c r="G3832" i="2"/>
  <c r="F3832" i="2"/>
  <c r="E3832" i="2"/>
  <c r="D3832" i="2"/>
  <c r="C3832" i="2"/>
  <c r="B3832" i="2"/>
  <c r="A3832" i="2"/>
  <c r="H3831" i="2"/>
  <c r="G3831" i="2"/>
  <c r="F3831" i="2"/>
  <c r="E3831" i="2"/>
  <c r="D3831" i="2"/>
  <c r="C3831" i="2"/>
  <c r="B3831" i="2"/>
  <c r="A3831" i="2"/>
  <c r="H3830" i="2"/>
  <c r="G3830" i="2"/>
  <c r="F3830" i="2"/>
  <c r="E3830" i="2"/>
  <c r="D3830" i="2"/>
  <c r="C3830" i="2"/>
  <c r="B3830" i="2"/>
  <c r="A3830" i="2"/>
  <c r="H3829" i="2"/>
  <c r="G3829" i="2"/>
  <c r="F3829" i="2"/>
  <c r="E3829" i="2"/>
  <c r="D3829" i="2"/>
  <c r="C3829" i="2"/>
  <c r="B3829" i="2"/>
  <c r="A3829" i="2"/>
  <c r="H3828" i="2"/>
  <c r="G3828" i="2"/>
  <c r="F3828" i="2"/>
  <c r="E3828" i="2"/>
  <c r="D3828" i="2"/>
  <c r="C3828" i="2"/>
  <c r="B3828" i="2"/>
  <c r="A3828" i="2"/>
  <c r="H3827" i="2"/>
  <c r="G3827" i="2"/>
  <c r="F3827" i="2"/>
  <c r="E3827" i="2"/>
  <c r="D3827" i="2"/>
  <c r="C3827" i="2"/>
  <c r="B3827" i="2"/>
  <c r="A3827" i="2"/>
  <c r="H3826" i="2"/>
  <c r="G3826" i="2"/>
  <c r="F3826" i="2"/>
  <c r="E3826" i="2"/>
  <c r="D3826" i="2"/>
  <c r="C3826" i="2"/>
  <c r="B3826" i="2"/>
  <c r="A3826" i="2"/>
  <c r="H3825" i="2"/>
  <c r="G3825" i="2"/>
  <c r="F3825" i="2"/>
  <c r="E3825" i="2"/>
  <c r="D3825" i="2"/>
  <c r="C3825" i="2"/>
  <c r="B3825" i="2"/>
  <c r="A3825" i="2"/>
  <c r="H3824" i="2"/>
  <c r="G3824" i="2"/>
  <c r="F3824" i="2"/>
  <c r="E3824" i="2"/>
  <c r="D3824" i="2"/>
  <c r="C3824" i="2"/>
  <c r="B3824" i="2"/>
  <c r="A3824" i="2"/>
  <c r="H3823" i="2"/>
  <c r="G3823" i="2"/>
  <c r="F3823" i="2"/>
  <c r="E3823" i="2"/>
  <c r="D3823" i="2"/>
  <c r="C3823" i="2"/>
  <c r="B3823" i="2"/>
  <c r="A3823" i="2"/>
  <c r="H3822" i="2"/>
  <c r="G3822" i="2"/>
  <c r="F3822" i="2"/>
  <c r="E3822" i="2"/>
  <c r="D3822" i="2"/>
  <c r="C3822" i="2"/>
  <c r="B3822" i="2"/>
  <c r="A3822" i="2"/>
  <c r="H3821" i="2"/>
  <c r="G3821" i="2"/>
  <c r="F3821" i="2"/>
  <c r="E3821" i="2"/>
  <c r="D3821" i="2"/>
  <c r="C3821" i="2"/>
  <c r="B3821" i="2"/>
  <c r="A3821" i="2"/>
  <c r="H3820" i="2"/>
  <c r="G3820" i="2"/>
  <c r="F3820" i="2"/>
  <c r="E3820" i="2"/>
  <c r="D3820" i="2"/>
  <c r="C3820" i="2"/>
  <c r="B3820" i="2"/>
  <c r="A3820" i="2"/>
  <c r="H3819" i="2"/>
  <c r="G3819" i="2"/>
  <c r="F3819" i="2"/>
  <c r="E3819" i="2"/>
  <c r="D3819" i="2"/>
  <c r="C3819" i="2"/>
  <c r="B3819" i="2"/>
  <c r="A3819" i="2"/>
  <c r="H3818" i="2"/>
  <c r="G3818" i="2"/>
  <c r="F3818" i="2"/>
  <c r="E3818" i="2"/>
  <c r="D3818" i="2"/>
  <c r="C3818" i="2"/>
  <c r="B3818" i="2"/>
  <c r="A3818" i="2"/>
  <c r="H3817" i="2"/>
  <c r="G3817" i="2"/>
  <c r="F3817" i="2"/>
  <c r="E3817" i="2"/>
  <c r="D3817" i="2"/>
  <c r="C3817" i="2"/>
  <c r="B3817" i="2"/>
  <c r="A3817" i="2"/>
  <c r="H3816" i="2"/>
  <c r="G3816" i="2"/>
  <c r="F3816" i="2"/>
  <c r="E3816" i="2"/>
  <c r="D3816" i="2"/>
  <c r="C3816" i="2"/>
  <c r="B3816" i="2"/>
  <c r="A3816" i="2"/>
  <c r="H3815" i="2"/>
  <c r="G3815" i="2"/>
  <c r="F3815" i="2"/>
  <c r="E3815" i="2"/>
  <c r="D3815" i="2"/>
  <c r="C3815" i="2"/>
  <c r="B3815" i="2"/>
  <c r="A3815" i="2"/>
  <c r="H3814" i="2"/>
  <c r="G3814" i="2"/>
  <c r="F3814" i="2"/>
  <c r="E3814" i="2"/>
  <c r="D3814" i="2"/>
  <c r="C3814" i="2"/>
  <c r="B3814" i="2"/>
  <c r="A3814" i="2"/>
  <c r="H3813" i="2"/>
  <c r="G3813" i="2"/>
  <c r="F3813" i="2"/>
  <c r="E3813" i="2"/>
  <c r="D3813" i="2"/>
  <c r="C3813" i="2"/>
  <c r="B3813" i="2"/>
  <c r="A3813" i="2"/>
  <c r="H3812" i="2"/>
  <c r="G3812" i="2"/>
  <c r="F3812" i="2"/>
  <c r="E3812" i="2"/>
  <c r="D3812" i="2"/>
  <c r="C3812" i="2"/>
  <c r="B3812" i="2"/>
  <c r="A3812" i="2"/>
  <c r="H3811" i="2"/>
  <c r="G3811" i="2"/>
  <c r="F3811" i="2"/>
  <c r="E3811" i="2"/>
  <c r="D3811" i="2"/>
  <c r="C3811" i="2"/>
  <c r="B3811" i="2"/>
  <c r="A3811" i="2"/>
  <c r="H3810" i="2"/>
  <c r="G3810" i="2"/>
  <c r="F3810" i="2"/>
  <c r="E3810" i="2"/>
  <c r="D3810" i="2"/>
  <c r="C3810" i="2"/>
  <c r="B3810" i="2"/>
  <c r="A3810" i="2"/>
  <c r="H3809" i="2"/>
  <c r="G3809" i="2"/>
  <c r="F3809" i="2"/>
  <c r="E3809" i="2"/>
  <c r="D3809" i="2"/>
  <c r="C3809" i="2"/>
  <c r="B3809" i="2"/>
  <c r="A3809" i="2"/>
  <c r="H3808" i="2"/>
  <c r="G3808" i="2"/>
  <c r="F3808" i="2"/>
  <c r="E3808" i="2"/>
  <c r="D3808" i="2"/>
  <c r="C3808" i="2"/>
  <c r="B3808" i="2"/>
  <c r="A3808" i="2"/>
  <c r="H3807" i="2"/>
  <c r="G3807" i="2"/>
  <c r="F3807" i="2"/>
  <c r="E3807" i="2"/>
  <c r="D3807" i="2"/>
  <c r="C3807" i="2"/>
  <c r="B3807" i="2"/>
  <c r="A3807" i="2"/>
  <c r="H3806" i="2"/>
  <c r="G3806" i="2"/>
  <c r="F3806" i="2"/>
  <c r="E3806" i="2"/>
  <c r="D3806" i="2"/>
  <c r="C3806" i="2"/>
  <c r="B3806" i="2"/>
  <c r="A3806" i="2"/>
  <c r="H3805" i="2"/>
  <c r="G3805" i="2"/>
  <c r="F3805" i="2"/>
  <c r="E3805" i="2"/>
  <c r="D3805" i="2"/>
  <c r="C3805" i="2"/>
  <c r="B3805" i="2"/>
  <c r="A3805" i="2"/>
  <c r="H3804" i="2"/>
  <c r="G3804" i="2"/>
  <c r="F3804" i="2"/>
  <c r="E3804" i="2"/>
  <c r="D3804" i="2"/>
  <c r="C3804" i="2"/>
  <c r="B3804" i="2"/>
  <c r="A3804" i="2"/>
  <c r="H3803" i="2"/>
  <c r="G3803" i="2"/>
  <c r="F3803" i="2"/>
  <c r="E3803" i="2"/>
  <c r="D3803" i="2"/>
  <c r="C3803" i="2"/>
  <c r="B3803" i="2"/>
  <c r="A3803" i="2"/>
  <c r="H3802" i="2"/>
  <c r="G3802" i="2"/>
  <c r="F3802" i="2"/>
  <c r="E3802" i="2"/>
  <c r="D3802" i="2"/>
  <c r="C3802" i="2"/>
  <c r="B3802" i="2"/>
  <c r="A3802" i="2"/>
  <c r="H3801" i="2"/>
  <c r="G3801" i="2"/>
  <c r="F3801" i="2"/>
  <c r="E3801" i="2"/>
  <c r="D3801" i="2"/>
  <c r="C3801" i="2"/>
  <c r="B3801" i="2"/>
  <c r="A3801" i="2"/>
  <c r="H3800" i="2"/>
  <c r="G3800" i="2"/>
  <c r="F3800" i="2"/>
  <c r="E3800" i="2"/>
  <c r="D3800" i="2"/>
  <c r="C3800" i="2"/>
  <c r="B3800" i="2"/>
  <c r="A3800" i="2"/>
  <c r="H3799" i="2"/>
  <c r="G3799" i="2"/>
  <c r="F3799" i="2"/>
  <c r="E3799" i="2"/>
  <c r="D3799" i="2"/>
  <c r="C3799" i="2"/>
  <c r="B3799" i="2"/>
  <c r="A3799" i="2"/>
  <c r="H3798" i="2"/>
  <c r="G3798" i="2"/>
  <c r="F3798" i="2"/>
  <c r="E3798" i="2"/>
  <c r="D3798" i="2"/>
  <c r="C3798" i="2"/>
  <c r="B3798" i="2"/>
  <c r="A3798" i="2"/>
  <c r="H3797" i="2"/>
  <c r="G3797" i="2"/>
  <c r="F3797" i="2"/>
  <c r="E3797" i="2"/>
  <c r="D3797" i="2"/>
  <c r="C3797" i="2"/>
  <c r="B3797" i="2"/>
  <c r="A3797" i="2"/>
  <c r="H3796" i="2"/>
  <c r="G3796" i="2"/>
  <c r="F3796" i="2"/>
  <c r="E3796" i="2"/>
  <c r="D3796" i="2"/>
  <c r="C3796" i="2"/>
  <c r="B3796" i="2"/>
  <c r="A3796" i="2"/>
  <c r="H3795" i="2"/>
  <c r="G3795" i="2"/>
  <c r="F3795" i="2"/>
  <c r="E3795" i="2"/>
  <c r="D3795" i="2"/>
  <c r="C3795" i="2"/>
  <c r="B3795" i="2"/>
  <c r="A3795" i="2"/>
  <c r="H3794" i="2"/>
  <c r="G3794" i="2"/>
  <c r="F3794" i="2"/>
  <c r="E3794" i="2"/>
  <c r="D3794" i="2"/>
  <c r="C3794" i="2"/>
  <c r="B3794" i="2"/>
  <c r="A3794" i="2"/>
  <c r="H3793" i="2"/>
  <c r="G3793" i="2"/>
  <c r="F3793" i="2"/>
  <c r="E3793" i="2"/>
  <c r="D3793" i="2"/>
  <c r="C3793" i="2"/>
  <c r="B3793" i="2"/>
  <c r="A3793" i="2"/>
  <c r="H3792" i="2"/>
  <c r="G3792" i="2"/>
  <c r="F3792" i="2"/>
  <c r="E3792" i="2"/>
  <c r="D3792" i="2"/>
  <c r="C3792" i="2"/>
  <c r="B3792" i="2"/>
  <c r="A3792" i="2"/>
  <c r="H3791" i="2"/>
  <c r="G3791" i="2"/>
  <c r="F3791" i="2"/>
  <c r="E3791" i="2"/>
  <c r="D3791" i="2"/>
  <c r="C3791" i="2"/>
  <c r="B3791" i="2"/>
  <c r="A3791" i="2"/>
  <c r="H3790" i="2"/>
  <c r="G3790" i="2"/>
  <c r="F3790" i="2"/>
  <c r="E3790" i="2"/>
  <c r="D3790" i="2"/>
  <c r="C3790" i="2"/>
  <c r="B3790" i="2"/>
  <c r="A3790" i="2"/>
  <c r="H3789" i="2"/>
  <c r="G3789" i="2"/>
  <c r="F3789" i="2"/>
  <c r="E3789" i="2"/>
  <c r="D3789" i="2"/>
  <c r="C3789" i="2"/>
  <c r="B3789" i="2"/>
  <c r="A3789" i="2"/>
  <c r="H3788" i="2"/>
  <c r="G3788" i="2"/>
  <c r="F3788" i="2"/>
  <c r="E3788" i="2"/>
  <c r="D3788" i="2"/>
  <c r="C3788" i="2"/>
  <c r="B3788" i="2"/>
  <c r="A3788" i="2"/>
  <c r="H3787" i="2"/>
  <c r="G3787" i="2"/>
  <c r="F3787" i="2"/>
  <c r="E3787" i="2"/>
  <c r="D3787" i="2"/>
  <c r="C3787" i="2"/>
  <c r="B3787" i="2"/>
  <c r="A3787" i="2"/>
  <c r="H3786" i="2"/>
  <c r="G3786" i="2"/>
  <c r="F3786" i="2"/>
  <c r="E3786" i="2"/>
  <c r="D3786" i="2"/>
  <c r="C3786" i="2"/>
  <c r="B3786" i="2"/>
  <c r="A3786" i="2"/>
  <c r="H3785" i="2"/>
  <c r="G3785" i="2"/>
  <c r="F3785" i="2"/>
  <c r="E3785" i="2"/>
  <c r="D3785" i="2"/>
  <c r="C3785" i="2"/>
  <c r="B3785" i="2"/>
  <c r="A3785" i="2"/>
  <c r="H3784" i="2"/>
  <c r="G3784" i="2"/>
  <c r="F3784" i="2"/>
  <c r="E3784" i="2"/>
  <c r="D3784" i="2"/>
  <c r="C3784" i="2"/>
  <c r="B3784" i="2"/>
  <c r="A3784" i="2"/>
  <c r="H3783" i="2"/>
  <c r="G3783" i="2"/>
  <c r="F3783" i="2"/>
  <c r="E3783" i="2"/>
  <c r="D3783" i="2"/>
  <c r="C3783" i="2"/>
  <c r="B3783" i="2"/>
  <c r="A3783" i="2"/>
  <c r="H3782" i="2"/>
  <c r="G3782" i="2"/>
  <c r="F3782" i="2"/>
  <c r="E3782" i="2"/>
  <c r="D3782" i="2"/>
  <c r="C3782" i="2"/>
  <c r="B3782" i="2"/>
  <c r="A3782" i="2"/>
  <c r="H3781" i="2"/>
  <c r="G3781" i="2"/>
  <c r="F3781" i="2"/>
  <c r="E3781" i="2"/>
  <c r="D3781" i="2"/>
  <c r="C3781" i="2"/>
  <c r="B3781" i="2"/>
  <c r="A3781" i="2"/>
  <c r="H3780" i="2"/>
  <c r="G3780" i="2"/>
  <c r="F3780" i="2"/>
  <c r="E3780" i="2"/>
  <c r="D3780" i="2"/>
  <c r="C3780" i="2"/>
  <c r="B3780" i="2"/>
  <c r="A3780" i="2"/>
  <c r="H3779" i="2"/>
  <c r="G3779" i="2"/>
  <c r="F3779" i="2"/>
  <c r="E3779" i="2"/>
  <c r="D3779" i="2"/>
  <c r="C3779" i="2"/>
  <c r="B3779" i="2"/>
  <c r="A3779" i="2"/>
  <c r="H3778" i="2"/>
  <c r="G3778" i="2"/>
  <c r="F3778" i="2"/>
  <c r="E3778" i="2"/>
  <c r="D3778" i="2"/>
  <c r="C3778" i="2"/>
  <c r="B3778" i="2"/>
  <c r="A3778" i="2"/>
  <c r="H3777" i="2"/>
  <c r="G3777" i="2"/>
  <c r="F3777" i="2"/>
  <c r="E3777" i="2"/>
  <c r="D3777" i="2"/>
  <c r="C3777" i="2"/>
  <c r="B3777" i="2"/>
  <c r="A3777" i="2"/>
  <c r="H3776" i="2"/>
  <c r="G3776" i="2"/>
  <c r="F3776" i="2"/>
  <c r="E3776" i="2"/>
  <c r="D3776" i="2"/>
  <c r="C3776" i="2"/>
  <c r="B3776" i="2"/>
  <c r="A3776" i="2"/>
  <c r="H3775" i="2"/>
  <c r="G3775" i="2"/>
  <c r="F3775" i="2"/>
  <c r="E3775" i="2"/>
  <c r="D3775" i="2"/>
  <c r="C3775" i="2"/>
  <c r="B3775" i="2"/>
  <c r="A3775" i="2"/>
  <c r="H3774" i="2"/>
  <c r="G3774" i="2"/>
  <c r="F3774" i="2"/>
  <c r="E3774" i="2"/>
  <c r="D3774" i="2"/>
  <c r="C3774" i="2"/>
  <c r="B3774" i="2"/>
  <c r="A3774" i="2"/>
  <c r="H3773" i="2"/>
  <c r="G3773" i="2"/>
  <c r="F3773" i="2"/>
  <c r="E3773" i="2"/>
  <c r="D3773" i="2"/>
  <c r="C3773" i="2"/>
  <c r="B3773" i="2"/>
  <c r="A3773" i="2"/>
  <c r="H3772" i="2"/>
  <c r="G3772" i="2"/>
  <c r="F3772" i="2"/>
  <c r="E3772" i="2"/>
  <c r="D3772" i="2"/>
  <c r="C3772" i="2"/>
  <c r="B3772" i="2"/>
  <c r="A3772" i="2"/>
  <c r="H3771" i="2"/>
  <c r="G3771" i="2"/>
  <c r="F3771" i="2"/>
  <c r="E3771" i="2"/>
  <c r="D3771" i="2"/>
  <c r="C3771" i="2"/>
  <c r="B3771" i="2"/>
  <c r="A3771" i="2"/>
  <c r="H3770" i="2"/>
  <c r="G3770" i="2"/>
  <c r="F3770" i="2"/>
  <c r="E3770" i="2"/>
  <c r="D3770" i="2"/>
  <c r="C3770" i="2"/>
  <c r="B3770" i="2"/>
  <c r="A3770" i="2"/>
  <c r="H3769" i="2"/>
  <c r="G3769" i="2"/>
  <c r="F3769" i="2"/>
  <c r="E3769" i="2"/>
  <c r="D3769" i="2"/>
  <c r="C3769" i="2"/>
  <c r="B3769" i="2"/>
  <c r="A3769" i="2"/>
  <c r="H3768" i="2"/>
  <c r="G3768" i="2"/>
  <c r="F3768" i="2"/>
  <c r="E3768" i="2"/>
  <c r="D3768" i="2"/>
  <c r="C3768" i="2"/>
  <c r="B3768" i="2"/>
  <c r="A3768" i="2"/>
  <c r="H3767" i="2"/>
  <c r="G3767" i="2"/>
  <c r="F3767" i="2"/>
  <c r="E3767" i="2"/>
  <c r="D3767" i="2"/>
  <c r="C3767" i="2"/>
  <c r="B3767" i="2"/>
  <c r="A3767" i="2"/>
  <c r="H3766" i="2"/>
  <c r="G3766" i="2"/>
  <c r="F3766" i="2"/>
  <c r="E3766" i="2"/>
  <c r="D3766" i="2"/>
  <c r="C3766" i="2"/>
  <c r="B3766" i="2"/>
  <c r="A3766" i="2"/>
  <c r="H3765" i="2"/>
  <c r="G3765" i="2"/>
  <c r="F3765" i="2"/>
  <c r="E3765" i="2"/>
  <c r="D3765" i="2"/>
  <c r="C3765" i="2"/>
  <c r="B3765" i="2"/>
  <c r="A3765" i="2"/>
  <c r="H3764" i="2"/>
  <c r="G3764" i="2"/>
  <c r="F3764" i="2"/>
  <c r="E3764" i="2"/>
  <c r="D3764" i="2"/>
  <c r="C3764" i="2"/>
  <c r="B3764" i="2"/>
  <c r="A3764" i="2"/>
  <c r="H3763" i="2"/>
  <c r="G3763" i="2"/>
  <c r="F3763" i="2"/>
  <c r="E3763" i="2"/>
  <c r="D3763" i="2"/>
  <c r="C3763" i="2"/>
  <c r="B3763" i="2"/>
  <c r="A3763" i="2"/>
  <c r="H3762" i="2"/>
  <c r="G3762" i="2"/>
  <c r="F3762" i="2"/>
  <c r="E3762" i="2"/>
  <c r="D3762" i="2"/>
  <c r="C3762" i="2"/>
  <c r="B3762" i="2"/>
  <c r="A3762" i="2"/>
  <c r="H3761" i="2"/>
  <c r="G3761" i="2"/>
  <c r="F3761" i="2"/>
  <c r="E3761" i="2"/>
  <c r="D3761" i="2"/>
  <c r="C3761" i="2"/>
  <c r="B3761" i="2"/>
  <c r="A3761" i="2"/>
  <c r="H3760" i="2"/>
  <c r="G3760" i="2"/>
  <c r="F3760" i="2"/>
  <c r="E3760" i="2"/>
  <c r="D3760" i="2"/>
  <c r="C3760" i="2"/>
  <c r="B3760" i="2"/>
  <c r="A3760" i="2"/>
  <c r="H3759" i="2"/>
  <c r="G3759" i="2"/>
  <c r="F3759" i="2"/>
  <c r="E3759" i="2"/>
  <c r="D3759" i="2"/>
  <c r="C3759" i="2"/>
  <c r="B3759" i="2"/>
  <c r="A3759" i="2"/>
  <c r="H3758" i="2"/>
  <c r="G3758" i="2"/>
  <c r="F3758" i="2"/>
  <c r="E3758" i="2"/>
  <c r="D3758" i="2"/>
  <c r="C3758" i="2"/>
  <c r="B3758" i="2"/>
  <c r="A3758" i="2"/>
  <c r="H3757" i="2"/>
  <c r="G3757" i="2"/>
  <c r="F3757" i="2"/>
  <c r="E3757" i="2"/>
  <c r="D3757" i="2"/>
  <c r="C3757" i="2"/>
  <c r="B3757" i="2"/>
  <c r="A3757" i="2"/>
  <c r="H3756" i="2"/>
  <c r="G3756" i="2"/>
  <c r="F3756" i="2"/>
  <c r="E3756" i="2"/>
  <c r="D3756" i="2"/>
  <c r="C3756" i="2"/>
  <c r="B3756" i="2"/>
  <c r="A3756" i="2"/>
  <c r="H3755" i="2"/>
  <c r="G3755" i="2"/>
  <c r="F3755" i="2"/>
  <c r="E3755" i="2"/>
  <c r="D3755" i="2"/>
  <c r="C3755" i="2"/>
  <c r="B3755" i="2"/>
  <c r="A3755" i="2"/>
  <c r="H3754" i="2"/>
  <c r="G3754" i="2"/>
  <c r="F3754" i="2"/>
  <c r="E3754" i="2"/>
  <c r="D3754" i="2"/>
  <c r="C3754" i="2"/>
  <c r="B3754" i="2"/>
  <c r="A3754" i="2"/>
  <c r="H3753" i="2"/>
  <c r="G3753" i="2"/>
  <c r="F3753" i="2"/>
  <c r="E3753" i="2"/>
  <c r="D3753" i="2"/>
  <c r="C3753" i="2"/>
  <c r="B3753" i="2"/>
  <c r="A3753" i="2"/>
  <c r="H3752" i="2"/>
  <c r="G3752" i="2"/>
  <c r="F3752" i="2"/>
  <c r="E3752" i="2"/>
  <c r="D3752" i="2"/>
  <c r="C3752" i="2"/>
  <c r="B3752" i="2"/>
  <c r="A3752" i="2"/>
  <c r="H3751" i="2"/>
  <c r="G3751" i="2"/>
  <c r="F3751" i="2"/>
  <c r="E3751" i="2"/>
  <c r="D3751" i="2"/>
  <c r="C3751" i="2"/>
  <c r="B3751" i="2"/>
  <c r="A3751" i="2"/>
  <c r="H3750" i="2"/>
  <c r="G3750" i="2"/>
  <c r="F3750" i="2"/>
  <c r="E3750" i="2"/>
  <c r="D3750" i="2"/>
  <c r="C3750" i="2"/>
  <c r="B3750" i="2"/>
  <c r="A3750" i="2"/>
  <c r="H3749" i="2"/>
  <c r="G3749" i="2"/>
  <c r="F3749" i="2"/>
  <c r="E3749" i="2"/>
  <c r="D3749" i="2"/>
  <c r="C3749" i="2"/>
  <c r="B3749" i="2"/>
  <c r="A3749" i="2"/>
  <c r="H3748" i="2"/>
  <c r="G3748" i="2"/>
  <c r="F3748" i="2"/>
  <c r="E3748" i="2"/>
  <c r="D3748" i="2"/>
  <c r="C3748" i="2"/>
  <c r="B3748" i="2"/>
  <c r="A3748" i="2"/>
  <c r="H3747" i="2"/>
  <c r="G3747" i="2"/>
  <c r="F3747" i="2"/>
  <c r="E3747" i="2"/>
  <c r="D3747" i="2"/>
  <c r="C3747" i="2"/>
  <c r="B3747" i="2"/>
  <c r="A3747" i="2"/>
  <c r="H3746" i="2"/>
  <c r="G3746" i="2"/>
  <c r="F3746" i="2"/>
  <c r="E3746" i="2"/>
  <c r="D3746" i="2"/>
  <c r="C3746" i="2"/>
  <c r="B3746" i="2"/>
  <c r="A3746" i="2"/>
  <c r="H3745" i="2"/>
  <c r="G3745" i="2"/>
  <c r="F3745" i="2"/>
  <c r="E3745" i="2"/>
  <c r="D3745" i="2"/>
  <c r="C3745" i="2"/>
  <c r="B3745" i="2"/>
  <c r="A3745" i="2"/>
  <c r="H3744" i="2"/>
  <c r="G3744" i="2"/>
  <c r="F3744" i="2"/>
  <c r="E3744" i="2"/>
  <c r="D3744" i="2"/>
  <c r="C3744" i="2"/>
  <c r="B3744" i="2"/>
  <c r="A3744" i="2"/>
  <c r="H3743" i="2"/>
  <c r="G3743" i="2"/>
  <c r="F3743" i="2"/>
  <c r="E3743" i="2"/>
  <c r="D3743" i="2"/>
  <c r="C3743" i="2"/>
  <c r="B3743" i="2"/>
  <c r="A3743" i="2"/>
  <c r="H3742" i="2"/>
  <c r="G3742" i="2"/>
  <c r="F3742" i="2"/>
  <c r="E3742" i="2"/>
  <c r="D3742" i="2"/>
  <c r="C3742" i="2"/>
  <c r="B3742" i="2"/>
  <c r="A3742" i="2"/>
  <c r="H3741" i="2"/>
  <c r="G3741" i="2"/>
  <c r="F3741" i="2"/>
  <c r="E3741" i="2"/>
  <c r="D3741" i="2"/>
  <c r="C3741" i="2"/>
  <c r="B3741" i="2"/>
  <c r="A3741" i="2"/>
  <c r="H3740" i="2"/>
  <c r="G3740" i="2"/>
  <c r="F3740" i="2"/>
  <c r="E3740" i="2"/>
  <c r="D3740" i="2"/>
  <c r="C3740" i="2"/>
  <c r="B3740" i="2"/>
  <c r="A3740" i="2"/>
  <c r="H3739" i="2"/>
  <c r="G3739" i="2"/>
  <c r="F3739" i="2"/>
  <c r="E3739" i="2"/>
  <c r="D3739" i="2"/>
  <c r="C3739" i="2"/>
  <c r="B3739" i="2"/>
  <c r="A3739" i="2"/>
  <c r="H3738" i="2"/>
  <c r="G3738" i="2"/>
  <c r="F3738" i="2"/>
  <c r="E3738" i="2"/>
  <c r="D3738" i="2"/>
  <c r="C3738" i="2"/>
  <c r="B3738" i="2"/>
  <c r="A3738" i="2"/>
  <c r="H3737" i="2"/>
  <c r="G3737" i="2"/>
  <c r="F3737" i="2"/>
  <c r="E3737" i="2"/>
  <c r="D3737" i="2"/>
  <c r="C3737" i="2"/>
  <c r="B3737" i="2"/>
  <c r="A3737" i="2"/>
  <c r="H3736" i="2"/>
  <c r="G3736" i="2"/>
  <c r="F3736" i="2"/>
  <c r="E3736" i="2"/>
  <c r="D3736" i="2"/>
  <c r="C3736" i="2"/>
  <c r="B3736" i="2"/>
  <c r="A3736" i="2"/>
  <c r="H3735" i="2"/>
  <c r="G3735" i="2"/>
  <c r="F3735" i="2"/>
  <c r="E3735" i="2"/>
  <c r="D3735" i="2"/>
  <c r="C3735" i="2"/>
  <c r="B3735" i="2"/>
  <c r="A3735" i="2"/>
  <c r="H3734" i="2"/>
  <c r="G3734" i="2"/>
  <c r="F3734" i="2"/>
  <c r="E3734" i="2"/>
  <c r="D3734" i="2"/>
  <c r="C3734" i="2"/>
  <c r="B3734" i="2"/>
  <c r="A3734" i="2"/>
  <c r="H3733" i="2"/>
  <c r="G3733" i="2"/>
  <c r="F3733" i="2"/>
  <c r="E3733" i="2"/>
  <c r="D3733" i="2"/>
  <c r="C3733" i="2"/>
  <c r="B3733" i="2"/>
  <c r="A3733" i="2"/>
  <c r="H3732" i="2"/>
  <c r="G3732" i="2"/>
  <c r="F3732" i="2"/>
  <c r="E3732" i="2"/>
  <c r="D3732" i="2"/>
  <c r="C3732" i="2"/>
  <c r="B3732" i="2"/>
  <c r="A3732" i="2"/>
  <c r="H3731" i="2"/>
  <c r="G3731" i="2"/>
  <c r="F3731" i="2"/>
  <c r="E3731" i="2"/>
  <c r="D3731" i="2"/>
  <c r="C3731" i="2"/>
  <c r="B3731" i="2"/>
  <c r="A3731" i="2"/>
  <c r="H3730" i="2"/>
  <c r="G3730" i="2"/>
  <c r="F3730" i="2"/>
  <c r="E3730" i="2"/>
  <c r="D3730" i="2"/>
  <c r="C3730" i="2"/>
  <c r="B3730" i="2"/>
  <c r="A3730" i="2"/>
  <c r="H3729" i="2"/>
  <c r="G3729" i="2"/>
  <c r="F3729" i="2"/>
  <c r="E3729" i="2"/>
  <c r="D3729" i="2"/>
  <c r="C3729" i="2"/>
  <c r="B3729" i="2"/>
  <c r="A3729" i="2"/>
  <c r="H3728" i="2"/>
  <c r="G3728" i="2"/>
  <c r="F3728" i="2"/>
  <c r="E3728" i="2"/>
  <c r="D3728" i="2"/>
  <c r="C3728" i="2"/>
  <c r="B3728" i="2"/>
  <c r="A3728" i="2"/>
  <c r="H3727" i="2"/>
  <c r="G3727" i="2"/>
  <c r="F3727" i="2"/>
  <c r="E3727" i="2"/>
  <c r="D3727" i="2"/>
  <c r="C3727" i="2"/>
  <c r="B3727" i="2"/>
  <c r="A3727" i="2"/>
  <c r="H3726" i="2"/>
  <c r="G3726" i="2"/>
  <c r="F3726" i="2"/>
  <c r="E3726" i="2"/>
  <c r="D3726" i="2"/>
  <c r="C3726" i="2"/>
  <c r="B3726" i="2"/>
  <c r="A3726" i="2"/>
  <c r="H3725" i="2"/>
  <c r="G3725" i="2"/>
  <c r="F3725" i="2"/>
  <c r="E3725" i="2"/>
  <c r="D3725" i="2"/>
  <c r="C3725" i="2"/>
  <c r="B3725" i="2"/>
  <c r="A3725" i="2"/>
  <c r="H3724" i="2"/>
  <c r="G3724" i="2"/>
  <c r="F3724" i="2"/>
  <c r="E3724" i="2"/>
  <c r="D3724" i="2"/>
  <c r="C3724" i="2"/>
  <c r="B3724" i="2"/>
  <c r="A3724" i="2"/>
  <c r="H3723" i="2"/>
  <c r="G3723" i="2"/>
  <c r="F3723" i="2"/>
  <c r="E3723" i="2"/>
  <c r="D3723" i="2"/>
  <c r="C3723" i="2"/>
  <c r="B3723" i="2"/>
  <c r="A3723" i="2"/>
  <c r="H3722" i="2"/>
  <c r="G3722" i="2"/>
  <c r="F3722" i="2"/>
  <c r="E3722" i="2"/>
  <c r="D3722" i="2"/>
  <c r="C3722" i="2"/>
  <c r="B3722" i="2"/>
  <c r="A3722" i="2"/>
  <c r="H3721" i="2"/>
  <c r="G3721" i="2"/>
  <c r="F3721" i="2"/>
  <c r="E3721" i="2"/>
  <c r="D3721" i="2"/>
  <c r="C3721" i="2"/>
  <c r="B3721" i="2"/>
  <c r="A3721" i="2"/>
  <c r="H3720" i="2"/>
  <c r="G3720" i="2"/>
  <c r="F3720" i="2"/>
  <c r="E3720" i="2"/>
  <c r="D3720" i="2"/>
  <c r="C3720" i="2"/>
  <c r="B3720" i="2"/>
  <c r="A3720" i="2"/>
  <c r="H3719" i="2"/>
  <c r="G3719" i="2"/>
  <c r="F3719" i="2"/>
  <c r="E3719" i="2"/>
  <c r="D3719" i="2"/>
  <c r="C3719" i="2"/>
  <c r="B3719" i="2"/>
  <c r="A3719" i="2"/>
  <c r="H3718" i="2"/>
  <c r="G3718" i="2"/>
  <c r="F3718" i="2"/>
  <c r="E3718" i="2"/>
  <c r="D3718" i="2"/>
  <c r="C3718" i="2"/>
  <c r="B3718" i="2"/>
  <c r="A3718" i="2"/>
  <c r="H3717" i="2"/>
  <c r="G3717" i="2"/>
  <c r="F3717" i="2"/>
  <c r="E3717" i="2"/>
  <c r="D3717" i="2"/>
  <c r="C3717" i="2"/>
  <c r="B3717" i="2"/>
  <c r="A3717" i="2"/>
  <c r="H3716" i="2"/>
  <c r="G3716" i="2"/>
  <c r="F3716" i="2"/>
  <c r="E3716" i="2"/>
  <c r="D3716" i="2"/>
  <c r="C3716" i="2"/>
  <c r="B3716" i="2"/>
  <c r="A3716" i="2"/>
  <c r="H3715" i="2"/>
  <c r="G3715" i="2"/>
  <c r="F3715" i="2"/>
  <c r="E3715" i="2"/>
  <c r="D3715" i="2"/>
  <c r="C3715" i="2"/>
  <c r="B3715" i="2"/>
  <c r="A3715" i="2"/>
  <c r="H3714" i="2"/>
  <c r="G3714" i="2"/>
  <c r="F3714" i="2"/>
  <c r="E3714" i="2"/>
  <c r="D3714" i="2"/>
  <c r="C3714" i="2"/>
  <c r="B3714" i="2"/>
  <c r="A3714" i="2"/>
  <c r="H3713" i="2"/>
  <c r="G3713" i="2"/>
  <c r="F3713" i="2"/>
  <c r="E3713" i="2"/>
  <c r="D3713" i="2"/>
  <c r="C3713" i="2"/>
  <c r="B3713" i="2"/>
  <c r="A3713" i="2"/>
  <c r="H3712" i="2"/>
  <c r="G3712" i="2"/>
  <c r="F3712" i="2"/>
  <c r="E3712" i="2"/>
  <c r="D3712" i="2"/>
  <c r="C3712" i="2"/>
  <c r="B3712" i="2"/>
  <c r="A3712" i="2"/>
  <c r="H3711" i="2"/>
  <c r="G3711" i="2"/>
  <c r="F3711" i="2"/>
  <c r="E3711" i="2"/>
  <c r="D3711" i="2"/>
  <c r="C3711" i="2"/>
  <c r="B3711" i="2"/>
  <c r="A3711" i="2"/>
  <c r="H3710" i="2"/>
  <c r="G3710" i="2"/>
  <c r="F3710" i="2"/>
  <c r="E3710" i="2"/>
  <c r="D3710" i="2"/>
  <c r="C3710" i="2"/>
  <c r="B3710" i="2"/>
  <c r="A3710" i="2"/>
  <c r="H3709" i="2"/>
  <c r="G3709" i="2"/>
  <c r="F3709" i="2"/>
  <c r="E3709" i="2"/>
  <c r="D3709" i="2"/>
  <c r="C3709" i="2"/>
  <c r="B3709" i="2"/>
  <c r="A3709" i="2"/>
  <c r="H3708" i="2"/>
  <c r="G3708" i="2"/>
  <c r="F3708" i="2"/>
  <c r="E3708" i="2"/>
  <c r="D3708" i="2"/>
  <c r="C3708" i="2"/>
  <c r="B3708" i="2"/>
  <c r="A3708" i="2"/>
  <c r="H3707" i="2"/>
  <c r="G3707" i="2"/>
  <c r="F3707" i="2"/>
  <c r="E3707" i="2"/>
  <c r="D3707" i="2"/>
  <c r="C3707" i="2"/>
  <c r="B3707" i="2"/>
  <c r="A3707" i="2"/>
  <c r="H3706" i="2"/>
  <c r="G3706" i="2"/>
  <c r="F3706" i="2"/>
  <c r="E3706" i="2"/>
  <c r="D3706" i="2"/>
  <c r="C3706" i="2"/>
  <c r="B3706" i="2"/>
  <c r="A3706" i="2"/>
  <c r="H3705" i="2"/>
  <c r="G3705" i="2"/>
  <c r="F3705" i="2"/>
  <c r="E3705" i="2"/>
  <c r="D3705" i="2"/>
  <c r="C3705" i="2"/>
  <c r="B3705" i="2"/>
  <c r="A3705" i="2"/>
  <c r="H3704" i="2"/>
  <c r="G3704" i="2"/>
  <c r="F3704" i="2"/>
  <c r="E3704" i="2"/>
  <c r="D3704" i="2"/>
  <c r="C3704" i="2"/>
  <c r="B3704" i="2"/>
  <c r="A3704" i="2"/>
  <c r="H3703" i="2"/>
  <c r="G3703" i="2"/>
  <c r="F3703" i="2"/>
  <c r="E3703" i="2"/>
  <c r="D3703" i="2"/>
  <c r="C3703" i="2"/>
  <c r="B3703" i="2"/>
  <c r="A3703" i="2"/>
  <c r="H3702" i="2"/>
  <c r="G3702" i="2"/>
  <c r="F3702" i="2"/>
  <c r="E3702" i="2"/>
  <c r="D3702" i="2"/>
  <c r="C3702" i="2"/>
  <c r="B3702" i="2"/>
  <c r="A3702" i="2"/>
  <c r="H3701" i="2"/>
  <c r="G3701" i="2"/>
  <c r="F3701" i="2"/>
  <c r="E3701" i="2"/>
  <c r="D3701" i="2"/>
  <c r="C3701" i="2"/>
  <c r="B3701" i="2"/>
  <c r="A3701" i="2"/>
  <c r="H3700" i="2"/>
  <c r="G3700" i="2"/>
  <c r="F3700" i="2"/>
  <c r="E3700" i="2"/>
  <c r="D3700" i="2"/>
  <c r="C3700" i="2"/>
  <c r="B3700" i="2"/>
  <c r="A3700" i="2"/>
  <c r="H3699" i="2"/>
  <c r="G3699" i="2"/>
  <c r="F3699" i="2"/>
  <c r="E3699" i="2"/>
  <c r="D3699" i="2"/>
  <c r="C3699" i="2"/>
  <c r="B3699" i="2"/>
  <c r="A3699" i="2"/>
  <c r="H3698" i="2"/>
  <c r="G3698" i="2"/>
  <c r="F3698" i="2"/>
  <c r="E3698" i="2"/>
  <c r="D3698" i="2"/>
  <c r="C3698" i="2"/>
  <c r="B3698" i="2"/>
  <c r="A3698" i="2"/>
  <c r="H3697" i="2"/>
  <c r="G3697" i="2"/>
  <c r="F3697" i="2"/>
  <c r="E3697" i="2"/>
  <c r="D3697" i="2"/>
  <c r="C3697" i="2"/>
  <c r="B3697" i="2"/>
  <c r="A3697" i="2"/>
  <c r="H3696" i="2"/>
  <c r="G3696" i="2"/>
  <c r="F3696" i="2"/>
  <c r="E3696" i="2"/>
  <c r="D3696" i="2"/>
  <c r="C3696" i="2"/>
  <c r="B3696" i="2"/>
  <c r="A3696" i="2"/>
  <c r="H3695" i="2"/>
  <c r="G3695" i="2"/>
  <c r="F3695" i="2"/>
  <c r="E3695" i="2"/>
  <c r="D3695" i="2"/>
  <c r="C3695" i="2"/>
  <c r="B3695" i="2"/>
  <c r="A3695" i="2"/>
  <c r="H3694" i="2"/>
  <c r="G3694" i="2"/>
  <c r="F3694" i="2"/>
  <c r="E3694" i="2"/>
  <c r="D3694" i="2"/>
  <c r="C3694" i="2"/>
  <c r="B3694" i="2"/>
  <c r="A3694" i="2"/>
  <c r="H3693" i="2"/>
  <c r="G3693" i="2"/>
  <c r="F3693" i="2"/>
  <c r="E3693" i="2"/>
  <c r="D3693" i="2"/>
  <c r="C3693" i="2"/>
  <c r="B3693" i="2"/>
  <c r="A3693" i="2"/>
  <c r="H3692" i="2"/>
  <c r="G3692" i="2"/>
  <c r="F3692" i="2"/>
  <c r="E3692" i="2"/>
  <c r="D3692" i="2"/>
  <c r="C3692" i="2"/>
  <c r="B3692" i="2"/>
  <c r="A3692" i="2"/>
  <c r="H3691" i="2"/>
  <c r="G3691" i="2"/>
  <c r="F3691" i="2"/>
  <c r="E3691" i="2"/>
  <c r="D3691" i="2"/>
  <c r="C3691" i="2"/>
  <c r="B3691" i="2"/>
  <c r="A3691" i="2"/>
  <c r="H3690" i="2"/>
  <c r="G3690" i="2"/>
  <c r="F3690" i="2"/>
  <c r="E3690" i="2"/>
  <c r="D3690" i="2"/>
  <c r="C3690" i="2"/>
  <c r="B3690" i="2"/>
  <c r="A3690" i="2"/>
  <c r="H3689" i="2"/>
  <c r="G3689" i="2"/>
  <c r="F3689" i="2"/>
  <c r="E3689" i="2"/>
  <c r="D3689" i="2"/>
  <c r="C3689" i="2"/>
  <c r="B3689" i="2"/>
  <c r="A3689" i="2"/>
  <c r="H3688" i="2"/>
  <c r="G3688" i="2"/>
  <c r="F3688" i="2"/>
  <c r="E3688" i="2"/>
  <c r="D3688" i="2"/>
  <c r="C3688" i="2"/>
  <c r="B3688" i="2"/>
  <c r="A3688" i="2"/>
  <c r="H3687" i="2"/>
  <c r="G3687" i="2"/>
  <c r="F3687" i="2"/>
  <c r="E3687" i="2"/>
  <c r="D3687" i="2"/>
  <c r="C3687" i="2"/>
  <c r="B3687" i="2"/>
  <c r="A3687" i="2"/>
  <c r="H3686" i="2"/>
  <c r="G3686" i="2"/>
  <c r="F3686" i="2"/>
  <c r="E3686" i="2"/>
  <c r="D3686" i="2"/>
  <c r="C3686" i="2"/>
  <c r="B3686" i="2"/>
  <c r="A3686" i="2"/>
  <c r="H3685" i="2"/>
  <c r="G3685" i="2"/>
  <c r="F3685" i="2"/>
  <c r="E3685" i="2"/>
  <c r="D3685" i="2"/>
  <c r="C3685" i="2"/>
  <c r="B3685" i="2"/>
  <c r="A3685" i="2"/>
  <c r="H3684" i="2"/>
  <c r="G3684" i="2"/>
  <c r="F3684" i="2"/>
  <c r="E3684" i="2"/>
  <c r="D3684" i="2"/>
  <c r="C3684" i="2"/>
  <c r="B3684" i="2"/>
  <c r="A3684" i="2"/>
  <c r="H3683" i="2"/>
  <c r="G3683" i="2"/>
  <c r="F3683" i="2"/>
  <c r="E3683" i="2"/>
  <c r="D3683" i="2"/>
  <c r="C3683" i="2"/>
  <c r="B3683" i="2"/>
  <c r="A3683" i="2"/>
  <c r="H3682" i="2"/>
  <c r="G3682" i="2"/>
  <c r="F3682" i="2"/>
  <c r="E3682" i="2"/>
  <c r="D3682" i="2"/>
  <c r="C3682" i="2"/>
  <c r="B3682" i="2"/>
  <c r="A3682" i="2"/>
  <c r="H3681" i="2"/>
  <c r="G3681" i="2"/>
  <c r="F3681" i="2"/>
  <c r="E3681" i="2"/>
  <c r="D3681" i="2"/>
  <c r="C3681" i="2"/>
  <c r="B3681" i="2"/>
  <c r="A3681" i="2"/>
  <c r="H3680" i="2"/>
  <c r="G3680" i="2"/>
  <c r="F3680" i="2"/>
  <c r="E3680" i="2"/>
  <c r="D3680" i="2"/>
  <c r="C3680" i="2"/>
  <c r="B3680" i="2"/>
  <c r="A3680" i="2"/>
  <c r="H3679" i="2"/>
  <c r="G3679" i="2"/>
  <c r="F3679" i="2"/>
  <c r="E3679" i="2"/>
  <c r="D3679" i="2"/>
  <c r="C3679" i="2"/>
  <c r="B3679" i="2"/>
  <c r="A3679" i="2"/>
  <c r="H3678" i="2"/>
  <c r="G3678" i="2"/>
  <c r="F3678" i="2"/>
  <c r="E3678" i="2"/>
  <c r="D3678" i="2"/>
  <c r="C3678" i="2"/>
  <c r="B3678" i="2"/>
  <c r="A3678" i="2"/>
  <c r="H3677" i="2"/>
  <c r="G3677" i="2"/>
  <c r="F3677" i="2"/>
  <c r="E3677" i="2"/>
  <c r="D3677" i="2"/>
  <c r="C3677" i="2"/>
  <c r="B3677" i="2"/>
  <c r="A3677" i="2"/>
  <c r="H3676" i="2"/>
  <c r="G3676" i="2"/>
  <c r="F3676" i="2"/>
  <c r="E3676" i="2"/>
  <c r="D3676" i="2"/>
  <c r="C3676" i="2"/>
  <c r="B3676" i="2"/>
  <c r="A3676" i="2"/>
  <c r="H3675" i="2"/>
  <c r="G3675" i="2"/>
  <c r="F3675" i="2"/>
  <c r="E3675" i="2"/>
  <c r="D3675" i="2"/>
  <c r="C3675" i="2"/>
  <c r="B3675" i="2"/>
  <c r="A3675" i="2"/>
  <c r="H3674" i="2"/>
  <c r="G3674" i="2"/>
  <c r="F3674" i="2"/>
  <c r="E3674" i="2"/>
  <c r="D3674" i="2"/>
  <c r="C3674" i="2"/>
  <c r="B3674" i="2"/>
  <c r="A3674" i="2"/>
  <c r="H3673" i="2"/>
  <c r="G3673" i="2"/>
  <c r="F3673" i="2"/>
  <c r="E3673" i="2"/>
  <c r="D3673" i="2"/>
  <c r="C3673" i="2"/>
  <c r="B3673" i="2"/>
  <c r="A3673" i="2"/>
  <c r="H3672" i="2"/>
  <c r="G3672" i="2"/>
  <c r="F3672" i="2"/>
  <c r="E3672" i="2"/>
  <c r="D3672" i="2"/>
  <c r="C3672" i="2"/>
  <c r="B3672" i="2"/>
  <c r="A3672" i="2"/>
  <c r="H3671" i="2"/>
  <c r="G3671" i="2"/>
  <c r="F3671" i="2"/>
  <c r="E3671" i="2"/>
  <c r="D3671" i="2"/>
  <c r="C3671" i="2"/>
  <c r="B3671" i="2"/>
  <c r="A3671" i="2"/>
  <c r="H3670" i="2"/>
  <c r="G3670" i="2"/>
  <c r="F3670" i="2"/>
  <c r="E3670" i="2"/>
  <c r="D3670" i="2"/>
  <c r="C3670" i="2"/>
  <c r="B3670" i="2"/>
  <c r="A3670" i="2"/>
  <c r="H3669" i="2"/>
  <c r="G3669" i="2"/>
  <c r="F3669" i="2"/>
  <c r="E3669" i="2"/>
  <c r="D3669" i="2"/>
  <c r="C3669" i="2"/>
  <c r="B3669" i="2"/>
  <c r="A3669" i="2"/>
  <c r="H3668" i="2"/>
  <c r="G3668" i="2"/>
  <c r="F3668" i="2"/>
  <c r="E3668" i="2"/>
  <c r="D3668" i="2"/>
  <c r="C3668" i="2"/>
  <c r="B3668" i="2"/>
  <c r="A3668" i="2"/>
  <c r="H3667" i="2"/>
  <c r="G3667" i="2"/>
  <c r="F3667" i="2"/>
  <c r="E3667" i="2"/>
  <c r="D3667" i="2"/>
  <c r="C3667" i="2"/>
  <c r="B3667" i="2"/>
  <c r="A3667" i="2"/>
  <c r="H3666" i="2"/>
  <c r="G3666" i="2"/>
  <c r="F3666" i="2"/>
  <c r="E3666" i="2"/>
  <c r="D3666" i="2"/>
  <c r="C3666" i="2"/>
  <c r="B3666" i="2"/>
  <c r="A3666" i="2"/>
  <c r="H3665" i="2"/>
  <c r="G3665" i="2"/>
  <c r="F3665" i="2"/>
  <c r="E3665" i="2"/>
  <c r="D3665" i="2"/>
  <c r="C3665" i="2"/>
  <c r="B3665" i="2"/>
  <c r="A3665" i="2"/>
  <c r="H3664" i="2"/>
  <c r="G3664" i="2"/>
  <c r="F3664" i="2"/>
  <c r="E3664" i="2"/>
  <c r="D3664" i="2"/>
  <c r="C3664" i="2"/>
  <c r="B3664" i="2"/>
  <c r="A3664" i="2"/>
  <c r="H3663" i="2"/>
  <c r="G3663" i="2"/>
  <c r="F3663" i="2"/>
  <c r="E3663" i="2"/>
  <c r="D3663" i="2"/>
  <c r="C3663" i="2"/>
  <c r="B3663" i="2"/>
  <c r="A3663" i="2"/>
  <c r="H3662" i="2"/>
  <c r="G3662" i="2"/>
  <c r="F3662" i="2"/>
  <c r="E3662" i="2"/>
  <c r="D3662" i="2"/>
  <c r="C3662" i="2"/>
  <c r="B3662" i="2"/>
  <c r="A3662" i="2"/>
  <c r="H3661" i="2"/>
  <c r="G3661" i="2"/>
  <c r="F3661" i="2"/>
  <c r="E3661" i="2"/>
  <c r="D3661" i="2"/>
  <c r="C3661" i="2"/>
  <c r="B3661" i="2"/>
  <c r="A3661" i="2"/>
  <c r="H3660" i="2"/>
  <c r="G3660" i="2"/>
  <c r="F3660" i="2"/>
  <c r="E3660" i="2"/>
  <c r="D3660" i="2"/>
  <c r="C3660" i="2"/>
  <c r="B3660" i="2"/>
  <c r="A3660" i="2"/>
  <c r="H3659" i="2"/>
  <c r="G3659" i="2"/>
  <c r="F3659" i="2"/>
  <c r="E3659" i="2"/>
  <c r="D3659" i="2"/>
  <c r="C3659" i="2"/>
  <c r="B3659" i="2"/>
  <c r="A3659" i="2"/>
  <c r="H3658" i="2"/>
  <c r="G3658" i="2"/>
  <c r="F3658" i="2"/>
  <c r="E3658" i="2"/>
  <c r="D3658" i="2"/>
  <c r="C3658" i="2"/>
  <c r="B3658" i="2"/>
  <c r="A3658" i="2"/>
  <c r="H3657" i="2"/>
  <c r="G3657" i="2"/>
  <c r="F3657" i="2"/>
  <c r="E3657" i="2"/>
  <c r="D3657" i="2"/>
  <c r="C3657" i="2"/>
  <c r="B3657" i="2"/>
  <c r="A3657" i="2"/>
  <c r="H3656" i="2"/>
  <c r="G3656" i="2"/>
  <c r="F3656" i="2"/>
  <c r="E3656" i="2"/>
  <c r="D3656" i="2"/>
  <c r="C3656" i="2"/>
  <c r="B3656" i="2"/>
  <c r="A3656" i="2"/>
  <c r="H3655" i="2"/>
  <c r="G3655" i="2"/>
  <c r="F3655" i="2"/>
  <c r="E3655" i="2"/>
  <c r="D3655" i="2"/>
  <c r="C3655" i="2"/>
  <c r="B3655" i="2"/>
  <c r="A3655" i="2"/>
  <c r="H3654" i="2"/>
  <c r="G3654" i="2"/>
  <c r="F3654" i="2"/>
  <c r="E3654" i="2"/>
  <c r="D3654" i="2"/>
  <c r="C3654" i="2"/>
  <c r="B3654" i="2"/>
  <c r="A3654" i="2"/>
  <c r="H3653" i="2"/>
  <c r="G3653" i="2"/>
  <c r="F3653" i="2"/>
  <c r="E3653" i="2"/>
  <c r="D3653" i="2"/>
  <c r="C3653" i="2"/>
  <c r="B3653" i="2"/>
  <c r="A3653" i="2"/>
  <c r="H3652" i="2"/>
  <c r="G3652" i="2"/>
  <c r="F3652" i="2"/>
  <c r="E3652" i="2"/>
  <c r="D3652" i="2"/>
  <c r="C3652" i="2"/>
  <c r="B3652" i="2"/>
  <c r="A3652" i="2"/>
  <c r="H3651" i="2"/>
  <c r="G3651" i="2"/>
  <c r="F3651" i="2"/>
  <c r="E3651" i="2"/>
  <c r="D3651" i="2"/>
  <c r="C3651" i="2"/>
  <c r="B3651" i="2"/>
  <c r="A3651" i="2"/>
  <c r="H3650" i="2"/>
  <c r="G3650" i="2"/>
  <c r="F3650" i="2"/>
  <c r="E3650" i="2"/>
  <c r="D3650" i="2"/>
  <c r="C3650" i="2"/>
  <c r="B3650" i="2"/>
  <c r="A3650" i="2"/>
  <c r="H3649" i="2"/>
  <c r="G3649" i="2"/>
  <c r="F3649" i="2"/>
  <c r="E3649" i="2"/>
  <c r="D3649" i="2"/>
  <c r="C3649" i="2"/>
  <c r="B3649" i="2"/>
  <c r="A3649" i="2"/>
  <c r="H3648" i="2"/>
  <c r="G3648" i="2"/>
  <c r="F3648" i="2"/>
  <c r="E3648" i="2"/>
  <c r="D3648" i="2"/>
  <c r="C3648" i="2"/>
  <c r="B3648" i="2"/>
  <c r="A3648" i="2"/>
  <c r="H3647" i="2"/>
  <c r="G3647" i="2"/>
  <c r="F3647" i="2"/>
  <c r="E3647" i="2"/>
  <c r="D3647" i="2"/>
  <c r="C3647" i="2"/>
  <c r="B3647" i="2"/>
  <c r="A3647" i="2"/>
  <c r="H3646" i="2"/>
  <c r="G3646" i="2"/>
  <c r="F3646" i="2"/>
  <c r="E3646" i="2"/>
  <c r="D3646" i="2"/>
  <c r="C3646" i="2"/>
  <c r="B3646" i="2"/>
  <c r="A3646" i="2"/>
  <c r="H3645" i="2"/>
  <c r="G3645" i="2"/>
  <c r="F3645" i="2"/>
  <c r="E3645" i="2"/>
  <c r="D3645" i="2"/>
  <c r="C3645" i="2"/>
  <c r="B3645" i="2"/>
  <c r="A3645" i="2"/>
  <c r="H3644" i="2"/>
  <c r="G3644" i="2"/>
  <c r="F3644" i="2"/>
  <c r="E3644" i="2"/>
  <c r="D3644" i="2"/>
  <c r="C3644" i="2"/>
  <c r="B3644" i="2"/>
  <c r="A3644" i="2"/>
  <c r="H3643" i="2"/>
  <c r="G3643" i="2"/>
  <c r="F3643" i="2"/>
  <c r="E3643" i="2"/>
  <c r="D3643" i="2"/>
  <c r="C3643" i="2"/>
  <c r="B3643" i="2"/>
  <c r="A3643" i="2"/>
  <c r="H3642" i="2"/>
  <c r="G3642" i="2"/>
  <c r="F3642" i="2"/>
  <c r="E3642" i="2"/>
  <c r="D3642" i="2"/>
  <c r="C3642" i="2"/>
  <c r="B3642" i="2"/>
  <c r="A3642" i="2"/>
  <c r="H3641" i="2"/>
  <c r="G3641" i="2"/>
  <c r="F3641" i="2"/>
  <c r="E3641" i="2"/>
  <c r="D3641" i="2"/>
  <c r="C3641" i="2"/>
  <c r="B3641" i="2"/>
  <c r="A3641" i="2"/>
  <c r="H3640" i="2"/>
  <c r="G3640" i="2"/>
  <c r="F3640" i="2"/>
  <c r="E3640" i="2"/>
  <c r="D3640" i="2"/>
  <c r="C3640" i="2"/>
  <c r="B3640" i="2"/>
  <c r="A3640" i="2"/>
  <c r="H3639" i="2"/>
  <c r="G3639" i="2"/>
  <c r="F3639" i="2"/>
  <c r="E3639" i="2"/>
  <c r="D3639" i="2"/>
  <c r="C3639" i="2"/>
  <c r="B3639" i="2"/>
  <c r="A3639" i="2"/>
  <c r="H3638" i="2"/>
  <c r="G3638" i="2"/>
  <c r="F3638" i="2"/>
  <c r="E3638" i="2"/>
  <c r="D3638" i="2"/>
  <c r="C3638" i="2"/>
  <c r="B3638" i="2"/>
  <c r="A3638" i="2"/>
  <c r="H3637" i="2"/>
  <c r="G3637" i="2"/>
  <c r="F3637" i="2"/>
  <c r="E3637" i="2"/>
  <c r="D3637" i="2"/>
  <c r="C3637" i="2"/>
  <c r="B3637" i="2"/>
  <c r="A3637" i="2"/>
  <c r="H3636" i="2"/>
  <c r="G3636" i="2"/>
  <c r="F3636" i="2"/>
  <c r="E3636" i="2"/>
  <c r="D3636" i="2"/>
  <c r="C3636" i="2"/>
  <c r="B3636" i="2"/>
  <c r="A3636" i="2"/>
  <c r="H3635" i="2"/>
  <c r="G3635" i="2"/>
  <c r="F3635" i="2"/>
  <c r="E3635" i="2"/>
  <c r="D3635" i="2"/>
  <c r="C3635" i="2"/>
  <c r="B3635" i="2"/>
  <c r="A3635" i="2"/>
  <c r="H3634" i="2"/>
  <c r="G3634" i="2"/>
  <c r="F3634" i="2"/>
  <c r="E3634" i="2"/>
  <c r="D3634" i="2"/>
  <c r="C3634" i="2"/>
  <c r="B3634" i="2"/>
  <c r="A3634" i="2"/>
  <c r="H3633" i="2"/>
  <c r="G3633" i="2"/>
  <c r="F3633" i="2"/>
  <c r="E3633" i="2"/>
  <c r="D3633" i="2"/>
  <c r="C3633" i="2"/>
  <c r="B3633" i="2"/>
  <c r="A3633" i="2"/>
  <c r="H3632" i="2"/>
  <c r="G3632" i="2"/>
  <c r="F3632" i="2"/>
  <c r="E3632" i="2"/>
  <c r="D3632" i="2"/>
  <c r="C3632" i="2"/>
  <c r="B3632" i="2"/>
  <c r="A3632" i="2"/>
  <c r="H3631" i="2"/>
  <c r="G3631" i="2"/>
  <c r="F3631" i="2"/>
  <c r="E3631" i="2"/>
  <c r="D3631" i="2"/>
  <c r="C3631" i="2"/>
  <c r="B3631" i="2"/>
  <c r="A3631" i="2"/>
  <c r="H3630" i="2"/>
  <c r="G3630" i="2"/>
  <c r="F3630" i="2"/>
  <c r="E3630" i="2"/>
  <c r="D3630" i="2"/>
  <c r="C3630" i="2"/>
  <c r="B3630" i="2"/>
  <c r="A3630" i="2"/>
  <c r="H3629" i="2"/>
  <c r="G3629" i="2"/>
  <c r="F3629" i="2"/>
  <c r="E3629" i="2"/>
  <c r="D3629" i="2"/>
  <c r="C3629" i="2"/>
  <c r="B3629" i="2"/>
  <c r="A3629" i="2"/>
  <c r="H3628" i="2"/>
  <c r="G3628" i="2"/>
  <c r="F3628" i="2"/>
  <c r="E3628" i="2"/>
  <c r="D3628" i="2"/>
  <c r="C3628" i="2"/>
  <c r="B3628" i="2"/>
  <c r="A3628" i="2"/>
  <c r="H3627" i="2"/>
  <c r="G3627" i="2"/>
  <c r="F3627" i="2"/>
  <c r="E3627" i="2"/>
  <c r="D3627" i="2"/>
  <c r="C3627" i="2"/>
  <c r="B3627" i="2"/>
  <c r="A3627" i="2"/>
  <c r="H3626" i="2"/>
  <c r="G3626" i="2"/>
  <c r="F3626" i="2"/>
  <c r="E3626" i="2"/>
  <c r="D3626" i="2"/>
  <c r="C3626" i="2"/>
  <c r="B3626" i="2"/>
  <c r="A3626" i="2"/>
  <c r="H3625" i="2"/>
  <c r="G3625" i="2"/>
  <c r="F3625" i="2"/>
  <c r="E3625" i="2"/>
  <c r="D3625" i="2"/>
  <c r="C3625" i="2"/>
  <c r="B3625" i="2"/>
  <c r="A3625" i="2"/>
  <c r="H3624" i="2"/>
  <c r="G3624" i="2"/>
  <c r="F3624" i="2"/>
  <c r="E3624" i="2"/>
  <c r="D3624" i="2"/>
  <c r="C3624" i="2"/>
  <c r="B3624" i="2"/>
  <c r="A3624" i="2"/>
  <c r="H3623" i="2"/>
  <c r="G3623" i="2"/>
  <c r="F3623" i="2"/>
  <c r="E3623" i="2"/>
  <c r="D3623" i="2"/>
  <c r="C3623" i="2"/>
  <c r="B3623" i="2"/>
  <c r="A3623" i="2"/>
  <c r="H3622" i="2"/>
  <c r="G3622" i="2"/>
  <c r="F3622" i="2"/>
  <c r="E3622" i="2"/>
  <c r="D3622" i="2"/>
  <c r="C3622" i="2"/>
  <c r="B3622" i="2"/>
  <c r="A3622" i="2"/>
  <c r="H3621" i="2"/>
  <c r="G3621" i="2"/>
  <c r="F3621" i="2"/>
  <c r="E3621" i="2"/>
  <c r="D3621" i="2"/>
  <c r="C3621" i="2"/>
  <c r="B3621" i="2"/>
  <c r="A3621" i="2"/>
  <c r="H3620" i="2"/>
  <c r="G3620" i="2"/>
  <c r="F3620" i="2"/>
  <c r="E3620" i="2"/>
  <c r="D3620" i="2"/>
  <c r="C3620" i="2"/>
  <c r="B3620" i="2"/>
  <c r="A3620" i="2"/>
  <c r="H3619" i="2"/>
  <c r="G3619" i="2"/>
  <c r="F3619" i="2"/>
  <c r="E3619" i="2"/>
  <c r="D3619" i="2"/>
  <c r="C3619" i="2"/>
  <c r="B3619" i="2"/>
  <c r="A3619" i="2"/>
  <c r="H3618" i="2"/>
  <c r="G3618" i="2"/>
  <c r="F3618" i="2"/>
  <c r="E3618" i="2"/>
  <c r="D3618" i="2"/>
  <c r="C3618" i="2"/>
  <c r="B3618" i="2"/>
  <c r="A3618" i="2"/>
  <c r="H3617" i="2"/>
  <c r="G3617" i="2"/>
  <c r="F3617" i="2"/>
  <c r="E3617" i="2"/>
  <c r="D3617" i="2"/>
  <c r="C3617" i="2"/>
  <c r="B3617" i="2"/>
  <c r="A3617" i="2"/>
  <c r="H3616" i="2"/>
  <c r="G3616" i="2"/>
  <c r="F3616" i="2"/>
  <c r="E3616" i="2"/>
  <c r="D3616" i="2"/>
  <c r="C3616" i="2"/>
  <c r="B3616" i="2"/>
  <c r="A3616" i="2"/>
  <c r="H3615" i="2"/>
  <c r="G3615" i="2"/>
  <c r="F3615" i="2"/>
  <c r="E3615" i="2"/>
  <c r="D3615" i="2"/>
  <c r="C3615" i="2"/>
  <c r="B3615" i="2"/>
  <c r="A3615" i="2"/>
  <c r="H3614" i="2"/>
  <c r="G3614" i="2"/>
  <c r="F3614" i="2"/>
  <c r="E3614" i="2"/>
  <c r="D3614" i="2"/>
  <c r="C3614" i="2"/>
  <c r="B3614" i="2"/>
  <c r="A3614" i="2"/>
  <c r="H3613" i="2"/>
  <c r="G3613" i="2"/>
  <c r="F3613" i="2"/>
  <c r="E3613" i="2"/>
  <c r="D3613" i="2"/>
  <c r="C3613" i="2"/>
  <c r="B3613" i="2"/>
  <c r="A3613" i="2"/>
  <c r="H3612" i="2"/>
  <c r="G3612" i="2"/>
  <c r="F3612" i="2"/>
  <c r="E3612" i="2"/>
  <c r="D3612" i="2"/>
  <c r="C3612" i="2"/>
  <c r="B3612" i="2"/>
  <c r="A3612" i="2"/>
  <c r="H3611" i="2"/>
  <c r="G3611" i="2"/>
  <c r="F3611" i="2"/>
  <c r="E3611" i="2"/>
  <c r="D3611" i="2"/>
  <c r="C3611" i="2"/>
  <c r="B3611" i="2"/>
  <c r="A3611" i="2"/>
  <c r="H3610" i="2"/>
  <c r="G3610" i="2"/>
  <c r="F3610" i="2"/>
  <c r="E3610" i="2"/>
  <c r="D3610" i="2"/>
  <c r="C3610" i="2"/>
  <c r="B3610" i="2"/>
  <c r="A3610" i="2"/>
  <c r="H3609" i="2"/>
  <c r="G3609" i="2"/>
  <c r="F3609" i="2"/>
  <c r="E3609" i="2"/>
  <c r="D3609" i="2"/>
  <c r="C3609" i="2"/>
  <c r="B3609" i="2"/>
  <c r="A3609" i="2"/>
  <c r="H3608" i="2"/>
  <c r="G3608" i="2"/>
  <c r="F3608" i="2"/>
  <c r="E3608" i="2"/>
  <c r="D3608" i="2"/>
  <c r="C3608" i="2"/>
  <c r="B3608" i="2"/>
  <c r="A3608" i="2"/>
  <c r="H3607" i="2"/>
  <c r="G3607" i="2"/>
  <c r="F3607" i="2"/>
  <c r="E3607" i="2"/>
  <c r="D3607" i="2"/>
  <c r="C3607" i="2"/>
  <c r="B3607" i="2"/>
  <c r="A3607" i="2"/>
  <c r="H3606" i="2"/>
  <c r="G3606" i="2"/>
  <c r="F3606" i="2"/>
  <c r="E3606" i="2"/>
  <c r="D3606" i="2"/>
  <c r="C3606" i="2"/>
  <c r="B3606" i="2"/>
  <c r="A3606" i="2"/>
  <c r="H3605" i="2"/>
  <c r="G3605" i="2"/>
  <c r="F3605" i="2"/>
  <c r="E3605" i="2"/>
  <c r="D3605" i="2"/>
  <c r="C3605" i="2"/>
  <c r="B3605" i="2"/>
  <c r="A3605" i="2"/>
  <c r="H3604" i="2"/>
  <c r="G3604" i="2"/>
  <c r="F3604" i="2"/>
  <c r="E3604" i="2"/>
  <c r="D3604" i="2"/>
  <c r="C3604" i="2"/>
  <c r="B3604" i="2"/>
  <c r="A3604" i="2"/>
  <c r="H3603" i="2"/>
  <c r="G3603" i="2"/>
  <c r="F3603" i="2"/>
  <c r="E3603" i="2"/>
  <c r="D3603" i="2"/>
  <c r="C3603" i="2"/>
  <c r="B3603" i="2"/>
  <c r="A3603" i="2"/>
  <c r="H3602" i="2"/>
  <c r="G3602" i="2"/>
  <c r="F3602" i="2"/>
  <c r="E3602" i="2"/>
  <c r="D3602" i="2"/>
  <c r="C3602" i="2"/>
  <c r="B3602" i="2"/>
  <c r="A3602" i="2"/>
  <c r="H3601" i="2"/>
  <c r="G3601" i="2"/>
  <c r="F3601" i="2"/>
  <c r="E3601" i="2"/>
  <c r="D3601" i="2"/>
  <c r="C3601" i="2"/>
  <c r="B3601" i="2"/>
  <c r="A3601" i="2"/>
  <c r="H3600" i="2"/>
  <c r="G3600" i="2"/>
  <c r="F3600" i="2"/>
  <c r="E3600" i="2"/>
  <c r="D3600" i="2"/>
  <c r="C3600" i="2"/>
  <c r="B3600" i="2"/>
  <c r="A3600" i="2"/>
  <c r="H3599" i="2"/>
  <c r="G3599" i="2"/>
  <c r="F3599" i="2"/>
  <c r="E3599" i="2"/>
  <c r="D3599" i="2"/>
  <c r="C3599" i="2"/>
  <c r="B3599" i="2"/>
  <c r="A3599" i="2"/>
  <c r="H3598" i="2"/>
  <c r="G3598" i="2"/>
  <c r="F3598" i="2"/>
  <c r="E3598" i="2"/>
  <c r="D3598" i="2"/>
  <c r="C3598" i="2"/>
  <c r="B3598" i="2"/>
  <c r="A3598" i="2"/>
  <c r="H3597" i="2"/>
  <c r="G3597" i="2"/>
  <c r="F3597" i="2"/>
  <c r="E3597" i="2"/>
  <c r="D3597" i="2"/>
  <c r="C3597" i="2"/>
  <c r="B3597" i="2"/>
  <c r="A3597" i="2"/>
  <c r="H3596" i="2"/>
  <c r="G3596" i="2"/>
  <c r="F3596" i="2"/>
  <c r="E3596" i="2"/>
  <c r="D3596" i="2"/>
  <c r="C3596" i="2"/>
  <c r="B3596" i="2"/>
  <c r="A3596" i="2"/>
  <c r="H3595" i="2"/>
  <c r="G3595" i="2"/>
  <c r="F3595" i="2"/>
  <c r="E3595" i="2"/>
  <c r="D3595" i="2"/>
  <c r="C3595" i="2"/>
  <c r="B3595" i="2"/>
  <c r="A3595" i="2"/>
  <c r="H3594" i="2"/>
  <c r="G3594" i="2"/>
  <c r="F3594" i="2"/>
  <c r="E3594" i="2"/>
  <c r="D3594" i="2"/>
  <c r="C3594" i="2"/>
  <c r="B3594" i="2"/>
  <c r="A3594" i="2"/>
  <c r="H3593" i="2"/>
  <c r="G3593" i="2"/>
  <c r="F3593" i="2"/>
  <c r="E3593" i="2"/>
  <c r="D3593" i="2"/>
  <c r="C3593" i="2"/>
  <c r="B3593" i="2"/>
  <c r="A3593" i="2"/>
  <c r="H3592" i="2"/>
  <c r="G3592" i="2"/>
  <c r="F3592" i="2"/>
  <c r="E3592" i="2"/>
  <c r="D3592" i="2"/>
  <c r="C3592" i="2"/>
  <c r="B3592" i="2"/>
  <c r="A3592" i="2"/>
  <c r="H3591" i="2"/>
  <c r="G3591" i="2"/>
  <c r="F3591" i="2"/>
  <c r="E3591" i="2"/>
  <c r="D3591" i="2"/>
  <c r="C3591" i="2"/>
  <c r="B3591" i="2"/>
  <c r="A3591" i="2"/>
  <c r="H3590" i="2"/>
  <c r="G3590" i="2"/>
  <c r="F3590" i="2"/>
  <c r="E3590" i="2"/>
  <c r="D3590" i="2"/>
  <c r="C3590" i="2"/>
  <c r="B3590" i="2"/>
  <c r="A3590" i="2"/>
  <c r="H3589" i="2"/>
  <c r="G3589" i="2"/>
  <c r="F3589" i="2"/>
  <c r="E3589" i="2"/>
  <c r="D3589" i="2"/>
  <c r="C3589" i="2"/>
  <c r="B3589" i="2"/>
  <c r="A3589" i="2"/>
  <c r="H3588" i="2"/>
  <c r="G3588" i="2"/>
  <c r="F3588" i="2"/>
  <c r="E3588" i="2"/>
  <c r="D3588" i="2"/>
  <c r="C3588" i="2"/>
  <c r="B3588" i="2"/>
  <c r="A3588" i="2"/>
  <c r="H3587" i="2"/>
  <c r="G3587" i="2"/>
  <c r="F3587" i="2"/>
  <c r="E3587" i="2"/>
  <c r="D3587" i="2"/>
  <c r="C3587" i="2"/>
  <c r="B3587" i="2"/>
  <c r="A3587" i="2"/>
  <c r="H3586" i="2"/>
  <c r="G3586" i="2"/>
  <c r="F3586" i="2"/>
  <c r="E3586" i="2"/>
  <c r="D3586" i="2"/>
  <c r="C3586" i="2"/>
  <c r="B3586" i="2"/>
  <c r="A3586" i="2"/>
  <c r="H3585" i="2"/>
  <c r="G3585" i="2"/>
  <c r="F3585" i="2"/>
  <c r="E3585" i="2"/>
  <c r="D3585" i="2"/>
  <c r="C3585" i="2"/>
  <c r="B3585" i="2"/>
  <c r="A3585" i="2"/>
  <c r="H3584" i="2"/>
  <c r="G3584" i="2"/>
  <c r="F3584" i="2"/>
  <c r="E3584" i="2"/>
  <c r="D3584" i="2"/>
  <c r="C3584" i="2"/>
  <c r="B3584" i="2"/>
  <c r="A3584" i="2"/>
  <c r="H3583" i="2"/>
  <c r="G3583" i="2"/>
  <c r="F3583" i="2"/>
  <c r="E3583" i="2"/>
  <c r="D3583" i="2"/>
  <c r="C3583" i="2"/>
  <c r="B3583" i="2"/>
  <c r="A3583" i="2"/>
  <c r="H3582" i="2"/>
  <c r="G3582" i="2"/>
  <c r="F3582" i="2"/>
  <c r="E3582" i="2"/>
  <c r="D3582" i="2"/>
  <c r="C3582" i="2"/>
  <c r="B3582" i="2"/>
  <c r="A3582" i="2"/>
  <c r="H3581" i="2"/>
  <c r="G3581" i="2"/>
  <c r="F3581" i="2"/>
  <c r="E3581" i="2"/>
  <c r="D3581" i="2"/>
  <c r="C3581" i="2"/>
  <c r="B3581" i="2"/>
  <c r="A3581" i="2"/>
  <c r="H3580" i="2"/>
  <c r="G3580" i="2"/>
  <c r="F3580" i="2"/>
  <c r="E3580" i="2"/>
  <c r="D3580" i="2"/>
  <c r="C3580" i="2"/>
  <c r="B3580" i="2"/>
  <c r="A3580" i="2"/>
  <c r="H3579" i="2"/>
  <c r="G3579" i="2"/>
  <c r="F3579" i="2"/>
  <c r="E3579" i="2"/>
  <c r="D3579" i="2"/>
  <c r="C3579" i="2"/>
  <c r="B3579" i="2"/>
  <c r="A3579" i="2"/>
  <c r="H3578" i="2"/>
  <c r="G3578" i="2"/>
  <c r="F3578" i="2"/>
  <c r="E3578" i="2"/>
  <c r="D3578" i="2"/>
  <c r="C3578" i="2"/>
  <c r="B3578" i="2"/>
  <c r="A3578" i="2"/>
  <c r="H3577" i="2"/>
  <c r="G3577" i="2"/>
  <c r="F3577" i="2"/>
  <c r="E3577" i="2"/>
  <c r="D3577" i="2"/>
  <c r="C3577" i="2"/>
  <c r="B3577" i="2"/>
  <c r="A3577" i="2"/>
  <c r="H3576" i="2"/>
  <c r="G3576" i="2"/>
  <c r="F3576" i="2"/>
  <c r="E3576" i="2"/>
  <c r="D3576" i="2"/>
  <c r="C3576" i="2"/>
  <c r="B3576" i="2"/>
  <c r="A3576" i="2"/>
  <c r="H3575" i="2"/>
  <c r="G3575" i="2"/>
  <c r="F3575" i="2"/>
  <c r="E3575" i="2"/>
  <c r="D3575" i="2"/>
  <c r="C3575" i="2"/>
  <c r="B3575" i="2"/>
  <c r="A3575" i="2"/>
  <c r="H3574" i="2"/>
  <c r="G3574" i="2"/>
  <c r="F3574" i="2"/>
  <c r="E3574" i="2"/>
  <c r="D3574" i="2"/>
  <c r="C3574" i="2"/>
  <c r="B3574" i="2"/>
  <c r="A3574" i="2"/>
  <c r="H3573" i="2"/>
  <c r="G3573" i="2"/>
  <c r="F3573" i="2"/>
  <c r="E3573" i="2"/>
  <c r="D3573" i="2"/>
  <c r="C3573" i="2"/>
  <c r="B3573" i="2"/>
  <c r="A3573" i="2"/>
  <c r="H3572" i="2"/>
  <c r="G3572" i="2"/>
  <c r="F3572" i="2"/>
  <c r="E3572" i="2"/>
  <c r="D3572" i="2"/>
  <c r="C3572" i="2"/>
  <c r="B3572" i="2"/>
  <c r="A3572" i="2"/>
  <c r="H3571" i="2"/>
  <c r="G3571" i="2"/>
  <c r="F3571" i="2"/>
  <c r="E3571" i="2"/>
  <c r="D3571" i="2"/>
  <c r="C3571" i="2"/>
  <c r="B3571" i="2"/>
  <c r="A3571" i="2"/>
  <c r="H3570" i="2"/>
  <c r="G3570" i="2"/>
  <c r="F3570" i="2"/>
  <c r="E3570" i="2"/>
  <c r="D3570" i="2"/>
  <c r="C3570" i="2"/>
  <c r="B3570" i="2"/>
  <c r="A3570" i="2"/>
  <c r="H3569" i="2"/>
  <c r="G3569" i="2"/>
  <c r="F3569" i="2"/>
  <c r="E3569" i="2"/>
  <c r="D3569" i="2"/>
  <c r="C3569" i="2"/>
  <c r="B3569" i="2"/>
  <c r="A3569" i="2"/>
  <c r="H3568" i="2"/>
  <c r="G3568" i="2"/>
  <c r="F3568" i="2"/>
  <c r="E3568" i="2"/>
  <c r="D3568" i="2"/>
  <c r="C3568" i="2"/>
  <c r="B3568" i="2"/>
  <c r="A3568" i="2"/>
  <c r="H3567" i="2"/>
  <c r="G3567" i="2"/>
  <c r="F3567" i="2"/>
  <c r="E3567" i="2"/>
  <c r="D3567" i="2"/>
  <c r="C3567" i="2"/>
  <c r="B3567" i="2"/>
  <c r="A3567" i="2"/>
  <c r="H3566" i="2"/>
  <c r="G3566" i="2"/>
  <c r="F3566" i="2"/>
  <c r="E3566" i="2"/>
  <c r="D3566" i="2"/>
  <c r="C3566" i="2"/>
  <c r="B3566" i="2"/>
  <c r="A3566" i="2"/>
  <c r="H3565" i="2"/>
  <c r="G3565" i="2"/>
  <c r="F3565" i="2"/>
  <c r="E3565" i="2"/>
  <c r="D3565" i="2"/>
  <c r="C3565" i="2"/>
  <c r="B3565" i="2"/>
  <c r="A3565" i="2"/>
  <c r="H3564" i="2"/>
  <c r="G3564" i="2"/>
  <c r="F3564" i="2"/>
  <c r="E3564" i="2"/>
  <c r="D3564" i="2"/>
  <c r="C3564" i="2"/>
  <c r="B3564" i="2"/>
  <c r="A3564" i="2"/>
  <c r="H3563" i="2"/>
  <c r="G3563" i="2"/>
  <c r="F3563" i="2"/>
  <c r="E3563" i="2"/>
  <c r="D3563" i="2"/>
  <c r="C3563" i="2"/>
  <c r="B3563" i="2"/>
  <c r="A3563" i="2"/>
  <c r="H3562" i="2"/>
  <c r="G3562" i="2"/>
  <c r="F3562" i="2"/>
  <c r="E3562" i="2"/>
  <c r="D3562" i="2"/>
  <c r="C3562" i="2"/>
  <c r="B3562" i="2"/>
  <c r="A3562" i="2"/>
  <c r="H3561" i="2"/>
  <c r="G3561" i="2"/>
  <c r="F3561" i="2"/>
  <c r="E3561" i="2"/>
  <c r="D3561" i="2"/>
  <c r="C3561" i="2"/>
  <c r="B3561" i="2"/>
  <c r="A3561" i="2"/>
  <c r="H3560" i="2"/>
  <c r="G3560" i="2"/>
  <c r="F3560" i="2"/>
  <c r="E3560" i="2"/>
  <c r="D3560" i="2"/>
  <c r="C3560" i="2"/>
  <c r="B3560" i="2"/>
  <c r="A3560" i="2"/>
  <c r="H3559" i="2"/>
  <c r="G3559" i="2"/>
  <c r="F3559" i="2"/>
  <c r="E3559" i="2"/>
  <c r="D3559" i="2"/>
  <c r="C3559" i="2"/>
  <c r="B3559" i="2"/>
  <c r="A3559" i="2"/>
  <c r="H3558" i="2"/>
  <c r="G3558" i="2"/>
  <c r="F3558" i="2"/>
  <c r="E3558" i="2"/>
  <c r="D3558" i="2"/>
  <c r="C3558" i="2"/>
  <c r="B3558" i="2"/>
  <c r="A3558" i="2"/>
  <c r="H3557" i="2"/>
  <c r="G3557" i="2"/>
  <c r="F3557" i="2"/>
  <c r="E3557" i="2"/>
  <c r="D3557" i="2"/>
  <c r="C3557" i="2"/>
  <c r="B3557" i="2"/>
  <c r="A3557" i="2"/>
  <c r="H3556" i="2"/>
  <c r="G3556" i="2"/>
  <c r="F3556" i="2"/>
  <c r="E3556" i="2"/>
  <c r="D3556" i="2"/>
  <c r="C3556" i="2"/>
  <c r="B3556" i="2"/>
  <c r="A3556" i="2"/>
  <c r="H3555" i="2"/>
  <c r="G3555" i="2"/>
  <c r="F3555" i="2"/>
  <c r="E3555" i="2"/>
  <c r="D3555" i="2"/>
  <c r="C3555" i="2"/>
  <c r="B3555" i="2"/>
  <c r="A3555" i="2"/>
  <c r="H3554" i="2"/>
  <c r="G3554" i="2"/>
  <c r="F3554" i="2"/>
  <c r="E3554" i="2"/>
  <c r="D3554" i="2"/>
  <c r="C3554" i="2"/>
  <c r="B3554" i="2"/>
  <c r="A3554" i="2"/>
  <c r="H3553" i="2"/>
  <c r="G3553" i="2"/>
  <c r="F3553" i="2"/>
  <c r="E3553" i="2"/>
  <c r="D3553" i="2"/>
  <c r="C3553" i="2"/>
  <c r="B3553" i="2"/>
  <c r="A3553" i="2"/>
  <c r="H3552" i="2"/>
  <c r="G3552" i="2"/>
  <c r="F3552" i="2"/>
  <c r="E3552" i="2"/>
  <c r="D3552" i="2"/>
  <c r="C3552" i="2"/>
  <c r="B3552" i="2"/>
  <c r="A3552" i="2"/>
  <c r="H3551" i="2"/>
  <c r="G3551" i="2"/>
  <c r="F3551" i="2"/>
  <c r="E3551" i="2"/>
  <c r="D3551" i="2"/>
  <c r="C3551" i="2"/>
  <c r="B3551" i="2"/>
  <c r="A3551" i="2"/>
  <c r="H3550" i="2"/>
  <c r="G3550" i="2"/>
  <c r="F3550" i="2"/>
  <c r="E3550" i="2"/>
  <c r="D3550" i="2"/>
  <c r="C3550" i="2"/>
  <c r="B3550" i="2"/>
  <c r="A3550" i="2"/>
  <c r="H3549" i="2"/>
  <c r="G3549" i="2"/>
  <c r="F3549" i="2"/>
  <c r="E3549" i="2"/>
  <c r="D3549" i="2"/>
  <c r="C3549" i="2"/>
  <c r="B3549" i="2"/>
  <c r="A3549" i="2"/>
  <c r="H3548" i="2"/>
  <c r="G3548" i="2"/>
  <c r="F3548" i="2"/>
  <c r="E3548" i="2"/>
  <c r="D3548" i="2"/>
  <c r="C3548" i="2"/>
  <c r="B3548" i="2"/>
  <c r="A3548" i="2"/>
  <c r="H3547" i="2"/>
  <c r="G3547" i="2"/>
  <c r="F3547" i="2"/>
  <c r="E3547" i="2"/>
  <c r="D3547" i="2"/>
  <c r="C3547" i="2"/>
  <c r="B3547" i="2"/>
  <c r="A3547" i="2"/>
  <c r="H3546" i="2"/>
  <c r="G3546" i="2"/>
  <c r="F3546" i="2"/>
  <c r="E3546" i="2"/>
  <c r="D3546" i="2"/>
  <c r="C3546" i="2"/>
  <c r="B3546" i="2"/>
  <c r="A3546" i="2"/>
  <c r="H3545" i="2"/>
  <c r="G3545" i="2"/>
  <c r="F3545" i="2"/>
  <c r="E3545" i="2"/>
  <c r="D3545" i="2"/>
  <c r="C3545" i="2"/>
  <c r="B3545" i="2"/>
  <c r="A3545" i="2"/>
  <c r="H3544" i="2"/>
  <c r="G3544" i="2"/>
  <c r="F3544" i="2"/>
  <c r="E3544" i="2"/>
  <c r="D3544" i="2"/>
  <c r="C3544" i="2"/>
  <c r="B3544" i="2"/>
  <c r="A3544" i="2"/>
  <c r="H3543" i="2"/>
  <c r="G3543" i="2"/>
  <c r="F3543" i="2"/>
  <c r="E3543" i="2"/>
  <c r="D3543" i="2"/>
  <c r="C3543" i="2"/>
  <c r="B3543" i="2"/>
  <c r="A3543" i="2"/>
  <c r="H3542" i="2"/>
  <c r="G3542" i="2"/>
  <c r="F3542" i="2"/>
  <c r="E3542" i="2"/>
  <c r="D3542" i="2"/>
  <c r="C3542" i="2"/>
  <c r="B3542" i="2"/>
  <c r="A3542" i="2"/>
  <c r="H3541" i="2"/>
  <c r="G3541" i="2"/>
  <c r="F3541" i="2"/>
  <c r="E3541" i="2"/>
  <c r="D3541" i="2"/>
  <c r="C3541" i="2"/>
  <c r="B3541" i="2"/>
  <c r="A3541" i="2"/>
  <c r="H3540" i="2"/>
  <c r="G3540" i="2"/>
  <c r="F3540" i="2"/>
  <c r="E3540" i="2"/>
  <c r="D3540" i="2"/>
  <c r="C3540" i="2"/>
  <c r="B3540" i="2"/>
  <c r="A3540" i="2"/>
  <c r="H3539" i="2"/>
  <c r="G3539" i="2"/>
  <c r="F3539" i="2"/>
  <c r="E3539" i="2"/>
  <c r="D3539" i="2"/>
  <c r="C3539" i="2"/>
  <c r="B3539" i="2"/>
  <c r="A3539" i="2"/>
  <c r="H3538" i="2"/>
  <c r="G3538" i="2"/>
  <c r="F3538" i="2"/>
  <c r="E3538" i="2"/>
  <c r="D3538" i="2"/>
  <c r="C3538" i="2"/>
  <c r="B3538" i="2"/>
  <c r="A3538" i="2"/>
  <c r="H3537" i="2"/>
  <c r="G3537" i="2"/>
  <c r="F3537" i="2"/>
  <c r="E3537" i="2"/>
  <c r="D3537" i="2"/>
  <c r="C3537" i="2"/>
  <c r="B3537" i="2"/>
  <c r="A3537" i="2"/>
  <c r="H3536" i="2"/>
  <c r="G3536" i="2"/>
  <c r="F3536" i="2"/>
  <c r="E3536" i="2"/>
  <c r="D3536" i="2"/>
  <c r="C3536" i="2"/>
  <c r="B3536" i="2"/>
  <c r="A3536" i="2"/>
  <c r="H3535" i="2"/>
  <c r="G3535" i="2"/>
  <c r="F3535" i="2"/>
  <c r="E3535" i="2"/>
  <c r="D3535" i="2"/>
  <c r="C3535" i="2"/>
  <c r="B3535" i="2"/>
  <c r="A3535" i="2"/>
  <c r="H3534" i="2"/>
  <c r="G3534" i="2"/>
  <c r="F3534" i="2"/>
  <c r="E3534" i="2"/>
  <c r="D3534" i="2"/>
  <c r="C3534" i="2"/>
  <c r="B3534" i="2"/>
  <c r="A3534" i="2"/>
  <c r="H3533" i="2"/>
  <c r="G3533" i="2"/>
  <c r="F3533" i="2"/>
  <c r="E3533" i="2"/>
  <c r="D3533" i="2"/>
  <c r="C3533" i="2"/>
  <c r="B3533" i="2"/>
  <c r="A3533" i="2"/>
  <c r="H3532" i="2"/>
  <c r="G3532" i="2"/>
  <c r="F3532" i="2"/>
  <c r="E3532" i="2"/>
  <c r="D3532" i="2"/>
  <c r="C3532" i="2"/>
  <c r="B3532" i="2"/>
  <c r="A3532" i="2"/>
  <c r="H3531" i="2"/>
  <c r="G3531" i="2"/>
  <c r="F3531" i="2"/>
  <c r="E3531" i="2"/>
  <c r="D3531" i="2"/>
  <c r="C3531" i="2"/>
  <c r="B3531" i="2"/>
  <c r="A3531" i="2"/>
  <c r="H3530" i="2"/>
  <c r="G3530" i="2"/>
  <c r="F3530" i="2"/>
  <c r="E3530" i="2"/>
  <c r="D3530" i="2"/>
  <c r="C3530" i="2"/>
  <c r="B3530" i="2"/>
  <c r="A3530" i="2"/>
  <c r="H3529" i="2"/>
  <c r="G3529" i="2"/>
  <c r="F3529" i="2"/>
  <c r="E3529" i="2"/>
  <c r="D3529" i="2"/>
  <c r="C3529" i="2"/>
  <c r="B3529" i="2"/>
  <c r="A3529" i="2"/>
  <c r="H3528" i="2"/>
  <c r="G3528" i="2"/>
  <c r="F3528" i="2"/>
  <c r="E3528" i="2"/>
  <c r="D3528" i="2"/>
  <c r="C3528" i="2"/>
  <c r="B3528" i="2"/>
  <c r="A3528" i="2"/>
  <c r="H3527" i="2"/>
  <c r="G3527" i="2"/>
  <c r="F3527" i="2"/>
  <c r="E3527" i="2"/>
  <c r="D3527" i="2"/>
  <c r="C3527" i="2"/>
  <c r="B3527" i="2"/>
  <c r="A3527" i="2"/>
  <c r="H3526" i="2"/>
  <c r="G3526" i="2"/>
  <c r="F3526" i="2"/>
  <c r="E3526" i="2"/>
  <c r="D3526" i="2"/>
  <c r="C3526" i="2"/>
  <c r="B3526" i="2"/>
  <c r="A3526" i="2"/>
  <c r="H3525" i="2"/>
  <c r="G3525" i="2"/>
  <c r="F3525" i="2"/>
  <c r="E3525" i="2"/>
  <c r="D3525" i="2"/>
  <c r="C3525" i="2"/>
  <c r="B3525" i="2"/>
  <c r="A3525" i="2"/>
  <c r="H3524" i="2"/>
  <c r="G3524" i="2"/>
  <c r="F3524" i="2"/>
  <c r="E3524" i="2"/>
  <c r="D3524" i="2"/>
  <c r="C3524" i="2"/>
  <c r="B3524" i="2"/>
  <c r="A3524" i="2"/>
  <c r="H3523" i="2"/>
  <c r="G3523" i="2"/>
  <c r="F3523" i="2"/>
  <c r="E3523" i="2"/>
  <c r="D3523" i="2"/>
  <c r="C3523" i="2"/>
  <c r="B3523" i="2"/>
  <c r="A3523" i="2"/>
  <c r="H3522" i="2"/>
  <c r="G3522" i="2"/>
  <c r="F3522" i="2"/>
  <c r="E3522" i="2"/>
  <c r="D3522" i="2"/>
  <c r="C3522" i="2"/>
  <c r="B3522" i="2"/>
  <c r="A3522" i="2"/>
  <c r="H3521" i="2"/>
  <c r="G3521" i="2"/>
  <c r="F3521" i="2"/>
  <c r="E3521" i="2"/>
  <c r="D3521" i="2"/>
  <c r="C3521" i="2"/>
  <c r="B3521" i="2"/>
  <c r="A3521" i="2"/>
  <c r="H3520" i="2"/>
  <c r="G3520" i="2"/>
  <c r="F3520" i="2"/>
  <c r="E3520" i="2"/>
  <c r="D3520" i="2"/>
  <c r="C3520" i="2"/>
  <c r="B3520" i="2"/>
  <c r="A3520" i="2"/>
  <c r="H3519" i="2"/>
  <c r="G3519" i="2"/>
  <c r="F3519" i="2"/>
  <c r="E3519" i="2"/>
  <c r="D3519" i="2"/>
  <c r="C3519" i="2"/>
  <c r="B3519" i="2"/>
  <c r="A3519" i="2"/>
  <c r="H3518" i="2"/>
  <c r="G3518" i="2"/>
  <c r="F3518" i="2"/>
  <c r="E3518" i="2"/>
  <c r="D3518" i="2"/>
  <c r="C3518" i="2"/>
  <c r="B3518" i="2"/>
  <c r="A3518" i="2"/>
  <c r="H3517" i="2"/>
  <c r="G3517" i="2"/>
  <c r="F3517" i="2"/>
  <c r="E3517" i="2"/>
  <c r="D3517" i="2"/>
  <c r="C3517" i="2"/>
  <c r="B3517" i="2"/>
  <c r="A3517" i="2"/>
  <c r="H3516" i="2"/>
  <c r="G3516" i="2"/>
  <c r="F3516" i="2"/>
  <c r="E3516" i="2"/>
  <c r="D3516" i="2"/>
  <c r="C3516" i="2"/>
  <c r="B3516" i="2"/>
  <c r="A3516" i="2"/>
  <c r="H3515" i="2"/>
  <c r="G3515" i="2"/>
  <c r="F3515" i="2"/>
  <c r="E3515" i="2"/>
  <c r="D3515" i="2"/>
  <c r="C3515" i="2"/>
  <c r="B3515" i="2"/>
  <c r="A3515" i="2"/>
  <c r="H3514" i="2"/>
  <c r="G3514" i="2"/>
  <c r="F3514" i="2"/>
  <c r="E3514" i="2"/>
  <c r="D3514" i="2"/>
  <c r="C3514" i="2"/>
  <c r="B3514" i="2"/>
  <c r="A3514" i="2"/>
  <c r="H3513" i="2"/>
  <c r="G3513" i="2"/>
  <c r="F3513" i="2"/>
  <c r="E3513" i="2"/>
  <c r="D3513" i="2"/>
  <c r="C3513" i="2"/>
  <c r="B3513" i="2"/>
  <c r="A3513" i="2"/>
  <c r="H3512" i="2"/>
  <c r="G3512" i="2"/>
  <c r="F3512" i="2"/>
  <c r="E3512" i="2"/>
  <c r="D3512" i="2"/>
  <c r="C3512" i="2"/>
  <c r="B3512" i="2"/>
  <c r="A3512" i="2"/>
  <c r="H3511" i="2"/>
  <c r="G3511" i="2"/>
  <c r="F3511" i="2"/>
  <c r="E3511" i="2"/>
  <c r="D3511" i="2"/>
  <c r="C3511" i="2"/>
  <c r="B3511" i="2"/>
  <c r="A3511" i="2"/>
  <c r="H3510" i="2"/>
  <c r="G3510" i="2"/>
  <c r="F3510" i="2"/>
  <c r="E3510" i="2"/>
  <c r="D3510" i="2"/>
  <c r="C3510" i="2"/>
  <c r="B3510" i="2"/>
  <c r="A3510" i="2"/>
  <c r="H3509" i="2"/>
  <c r="G3509" i="2"/>
  <c r="F3509" i="2"/>
  <c r="E3509" i="2"/>
  <c r="D3509" i="2"/>
  <c r="C3509" i="2"/>
  <c r="B3509" i="2"/>
  <c r="A3509" i="2"/>
  <c r="H3508" i="2"/>
  <c r="G3508" i="2"/>
  <c r="F3508" i="2"/>
  <c r="E3508" i="2"/>
  <c r="D3508" i="2"/>
  <c r="C3508" i="2"/>
  <c r="B3508" i="2"/>
  <c r="A3508" i="2"/>
  <c r="H3507" i="2"/>
  <c r="G3507" i="2"/>
  <c r="F3507" i="2"/>
  <c r="E3507" i="2"/>
  <c r="D3507" i="2"/>
  <c r="C3507" i="2"/>
  <c r="B3507" i="2"/>
  <c r="A3507" i="2"/>
  <c r="H3506" i="2"/>
  <c r="G3506" i="2"/>
  <c r="F3506" i="2"/>
  <c r="E3506" i="2"/>
  <c r="D3506" i="2"/>
  <c r="C3506" i="2"/>
  <c r="B3506" i="2"/>
  <c r="A3506" i="2"/>
  <c r="H3505" i="2"/>
  <c r="G3505" i="2"/>
  <c r="F3505" i="2"/>
  <c r="E3505" i="2"/>
  <c r="D3505" i="2"/>
  <c r="C3505" i="2"/>
  <c r="B3505" i="2"/>
  <c r="A3505" i="2"/>
  <c r="H3504" i="2"/>
  <c r="G3504" i="2"/>
  <c r="F3504" i="2"/>
  <c r="E3504" i="2"/>
  <c r="D3504" i="2"/>
  <c r="C3504" i="2"/>
  <c r="B3504" i="2"/>
  <c r="A3504" i="2"/>
  <c r="H3503" i="2"/>
  <c r="G3503" i="2"/>
  <c r="F3503" i="2"/>
  <c r="E3503" i="2"/>
  <c r="D3503" i="2"/>
  <c r="C3503" i="2"/>
  <c r="B3503" i="2"/>
  <c r="A3503" i="2"/>
  <c r="H3502" i="2"/>
  <c r="G3502" i="2"/>
  <c r="F3502" i="2"/>
  <c r="E3502" i="2"/>
  <c r="D3502" i="2"/>
  <c r="C3502" i="2"/>
  <c r="B3502" i="2"/>
  <c r="A3502" i="2"/>
  <c r="H3501" i="2"/>
  <c r="G3501" i="2"/>
  <c r="F3501" i="2"/>
  <c r="E3501" i="2"/>
  <c r="D3501" i="2"/>
  <c r="C3501" i="2"/>
  <c r="B3501" i="2"/>
  <c r="A3501" i="2"/>
  <c r="H3500" i="2"/>
  <c r="G3500" i="2"/>
  <c r="F3500" i="2"/>
  <c r="E3500" i="2"/>
  <c r="D3500" i="2"/>
  <c r="C3500" i="2"/>
  <c r="B3500" i="2"/>
  <c r="A3500" i="2"/>
  <c r="H3499" i="2"/>
  <c r="G3499" i="2"/>
  <c r="F3499" i="2"/>
  <c r="E3499" i="2"/>
  <c r="D3499" i="2"/>
  <c r="C3499" i="2"/>
  <c r="B3499" i="2"/>
  <c r="A3499" i="2"/>
  <c r="H3498" i="2"/>
  <c r="G3498" i="2"/>
  <c r="F3498" i="2"/>
  <c r="E3498" i="2"/>
  <c r="D3498" i="2"/>
  <c r="C3498" i="2"/>
  <c r="B3498" i="2"/>
  <c r="A3498" i="2"/>
  <c r="H3497" i="2"/>
  <c r="G3497" i="2"/>
  <c r="F3497" i="2"/>
  <c r="E3497" i="2"/>
  <c r="D3497" i="2"/>
  <c r="C3497" i="2"/>
  <c r="B3497" i="2"/>
  <c r="A3497" i="2"/>
  <c r="H3496" i="2"/>
  <c r="G3496" i="2"/>
  <c r="F3496" i="2"/>
  <c r="E3496" i="2"/>
  <c r="D3496" i="2"/>
  <c r="C3496" i="2"/>
  <c r="B3496" i="2"/>
  <c r="A3496" i="2"/>
  <c r="H3495" i="2"/>
  <c r="G3495" i="2"/>
  <c r="F3495" i="2"/>
  <c r="E3495" i="2"/>
  <c r="D3495" i="2"/>
  <c r="C3495" i="2"/>
  <c r="B3495" i="2"/>
  <c r="A3495" i="2"/>
  <c r="H3494" i="2"/>
  <c r="G3494" i="2"/>
  <c r="F3494" i="2"/>
  <c r="E3494" i="2"/>
  <c r="D3494" i="2"/>
  <c r="C3494" i="2"/>
  <c r="B3494" i="2"/>
  <c r="A3494" i="2"/>
  <c r="H3493" i="2"/>
  <c r="G3493" i="2"/>
  <c r="F3493" i="2"/>
  <c r="E3493" i="2"/>
  <c r="D3493" i="2"/>
  <c r="C3493" i="2"/>
  <c r="B3493" i="2"/>
  <c r="A3493" i="2"/>
  <c r="H3492" i="2"/>
  <c r="G3492" i="2"/>
  <c r="F3492" i="2"/>
  <c r="E3492" i="2"/>
  <c r="D3492" i="2"/>
  <c r="C3492" i="2"/>
  <c r="B3492" i="2"/>
  <c r="A3492" i="2"/>
  <c r="H3491" i="2"/>
  <c r="G3491" i="2"/>
  <c r="F3491" i="2"/>
  <c r="E3491" i="2"/>
  <c r="D3491" i="2"/>
  <c r="C3491" i="2"/>
  <c r="B3491" i="2"/>
  <c r="A3491" i="2"/>
  <c r="H3490" i="2"/>
  <c r="G3490" i="2"/>
  <c r="F3490" i="2"/>
  <c r="E3490" i="2"/>
  <c r="D3490" i="2"/>
  <c r="C3490" i="2"/>
  <c r="B3490" i="2"/>
  <c r="A3490" i="2"/>
  <c r="H3489" i="2"/>
  <c r="G3489" i="2"/>
  <c r="F3489" i="2"/>
  <c r="E3489" i="2"/>
  <c r="D3489" i="2"/>
  <c r="C3489" i="2"/>
  <c r="B3489" i="2"/>
  <c r="A3489" i="2"/>
  <c r="H3488" i="2"/>
  <c r="G3488" i="2"/>
  <c r="F3488" i="2"/>
  <c r="E3488" i="2"/>
  <c r="D3488" i="2"/>
  <c r="C3488" i="2"/>
  <c r="B3488" i="2"/>
  <c r="A3488" i="2"/>
  <c r="H3487" i="2"/>
  <c r="G3487" i="2"/>
  <c r="F3487" i="2"/>
  <c r="E3487" i="2"/>
  <c r="D3487" i="2"/>
  <c r="C3487" i="2"/>
  <c r="B3487" i="2"/>
  <c r="A3487" i="2"/>
  <c r="H3486" i="2"/>
  <c r="G3486" i="2"/>
  <c r="F3486" i="2"/>
  <c r="E3486" i="2"/>
  <c r="D3486" i="2"/>
  <c r="C3486" i="2"/>
  <c r="B3486" i="2"/>
  <c r="A3486" i="2"/>
  <c r="H3485" i="2"/>
  <c r="G3485" i="2"/>
  <c r="F3485" i="2"/>
  <c r="E3485" i="2"/>
  <c r="D3485" i="2"/>
  <c r="C3485" i="2"/>
  <c r="B3485" i="2"/>
  <c r="A3485" i="2"/>
  <c r="H3484" i="2"/>
  <c r="G3484" i="2"/>
  <c r="F3484" i="2"/>
  <c r="E3484" i="2"/>
  <c r="D3484" i="2"/>
  <c r="C3484" i="2"/>
  <c r="B3484" i="2"/>
  <c r="A3484" i="2"/>
  <c r="H3483" i="2"/>
  <c r="G3483" i="2"/>
  <c r="F3483" i="2"/>
  <c r="E3483" i="2"/>
  <c r="D3483" i="2"/>
  <c r="C3483" i="2"/>
  <c r="B3483" i="2"/>
  <c r="A3483" i="2"/>
  <c r="H3482" i="2"/>
  <c r="G3482" i="2"/>
  <c r="F3482" i="2"/>
  <c r="E3482" i="2"/>
  <c r="D3482" i="2"/>
  <c r="C3482" i="2"/>
  <c r="B3482" i="2"/>
  <c r="A3482" i="2"/>
  <c r="H3481" i="2"/>
  <c r="G3481" i="2"/>
  <c r="F3481" i="2"/>
  <c r="E3481" i="2"/>
  <c r="D3481" i="2"/>
  <c r="C3481" i="2"/>
  <c r="B3481" i="2"/>
  <c r="A3481" i="2"/>
  <c r="H3480" i="2"/>
  <c r="G3480" i="2"/>
  <c r="F3480" i="2"/>
  <c r="E3480" i="2"/>
  <c r="D3480" i="2"/>
  <c r="C3480" i="2"/>
  <c r="B3480" i="2"/>
  <c r="A3480" i="2"/>
  <c r="H3479" i="2"/>
  <c r="G3479" i="2"/>
  <c r="F3479" i="2"/>
  <c r="E3479" i="2"/>
  <c r="D3479" i="2"/>
  <c r="C3479" i="2"/>
  <c r="B3479" i="2"/>
  <c r="A3479" i="2"/>
  <c r="H3478" i="2"/>
  <c r="G3478" i="2"/>
  <c r="F3478" i="2"/>
  <c r="E3478" i="2"/>
  <c r="D3478" i="2"/>
  <c r="C3478" i="2"/>
  <c r="B3478" i="2"/>
  <c r="A3478" i="2"/>
  <c r="H3477" i="2"/>
  <c r="G3477" i="2"/>
  <c r="F3477" i="2"/>
  <c r="E3477" i="2"/>
  <c r="D3477" i="2"/>
  <c r="C3477" i="2"/>
  <c r="B3477" i="2"/>
  <c r="A3477" i="2"/>
  <c r="H3476" i="2"/>
  <c r="G3476" i="2"/>
  <c r="F3476" i="2"/>
  <c r="E3476" i="2"/>
  <c r="D3476" i="2"/>
  <c r="C3476" i="2"/>
  <c r="B3476" i="2"/>
  <c r="A3476" i="2"/>
  <c r="H3475" i="2"/>
  <c r="G3475" i="2"/>
  <c r="F3475" i="2"/>
  <c r="E3475" i="2"/>
  <c r="D3475" i="2"/>
  <c r="C3475" i="2"/>
  <c r="B3475" i="2"/>
  <c r="A3475" i="2"/>
  <c r="H3474" i="2"/>
  <c r="G3474" i="2"/>
  <c r="F3474" i="2"/>
  <c r="E3474" i="2"/>
  <c r="D3474" i="2"/>
  <c r="C3474" i="2"/>
  <c r="B3474" i="2"/>
  <c r="A3474" i="2"/>
  <c r="H3473" i="2"/>
  <c r="G3473" i="2"/>
  <c r="F3473" i="2"/>
  <c r="E3473" i="2"/>
  <c r="D3473" i="2"/>
  <c r="C3473" i="2"/>
  <c r="B3473" i="2"/>
  <c r="A3473" i="2"/>
  <c r="H3472" i="2"/>
  <c r="G3472" i="2"/>
  <c r="F3472" i="2"/>
  <c r="E3472" i="2"/>
  <c r="D3472" i="2"/>
  <c r="C3472" i="2"/>
  <c r="B3472" i="2"/>
  <c r="A3472" i="2"/>
  <c r="H3471" i="2"/>
  <c r="G3471" i="2"/>
  <c r="F3471" i="2"/>
  <c r="E3471" i="2"/>
  <c r="D3471" i="2"/>
  <c r="C3471" i="2"/>
  <c r="B3471" i="2"/>
  <c r="A3471" i="2"/>
  <c r="H3470" i="2"/>
  <c r="G3470" i="2"/>
  <c r="F3470" i="2"/>
  <c r="E3470" i="2"/>
  <c r="D3470" i="2"/>
  <c r="C3470" i="2"/>
  <c r="B3470" i="2"/>
  <c r="A3470" i="2"/>
  <c r="H3469" i="2"/>
  <c r="G3469" i="2"/>
  <c r="F3469" i="2"/>
  <c r="E3469" i="2"/>
  <c r="D3469" i="2"/>
  <c r="C3469" i="2"/>
  <c r="B3469" i="2"/>
  <c r="A3469" i="2"/>
  <c r="H3468" i="2"/>
  <c r="G3468" i="2"/>
  <c r="F3468" i="2"/>
  <c r="E3468" i="2"/>
  <c r="D3468" i="2"/>
  <c r="C3468" i="2"/>
  <c r="B3468" i="2"/>
  <c r="A3468" i="2"/>
  <c r="H3467" i="2"/>
  <c r="G3467" i="2"/>
  <c r="F3467" i="2"/>
  <c r="E3467" i="2"/>
  <c r="D3467" i="2"/>
  <c r="C3467" i="2"/>
  <c r="B3467" i="2"/>
  <c r="A3467" i="2"/>
  <c r="H3466" i="2"/>
  <c r="G3466" i="2"/>
  <c r="F3466" i="2"/>
  <c r="E3466" i="2"/>
  <c r="D3466" i="2"/>
  <c r="C3466" i="2"/>
  <c r="B3466" i="2"/>
  <c r="A3466" i="2"/>
  <c r="H3465" i="2"/>
  <c r="G3465" i="2"/>
  <c r="F3465" i="2"/>
  <c r="E3465" i="2"/>
  <c r="D3465" i="2"/>
  <c r="C3465" i="2"/>
  <c r="B3465" i="2"/>
  <c r="A3465" i="2"/>
  <c r="H3464" i="2"/>
  <c r="G3464" i="2"/>
  <c r="F3464" i="2"/>
  <c r="E3464" i="2"/>
  <c r="D3464" i="2"/>
  <c r="C3464" i="2"/>
  <c r="B3464" i="2"/>
  <c r="A3464" i="2"/>
  <c r="H3463" i="2"/>
  <c r="G3463" i="2"/>
  <c r="F3463" i="2"/>
  <c r="E3463" i="2"/>
  <c r="D3463" i="2"/>
  <c r="C3463" i="2"/>
  <c r="B3463" i="2"/>
  <c r="A3463" i="2"/>
  <c r="H3462" i="2"/>
  <c r="G3462" i="2"/>
  <c r="F3462" i="2"/>
  <c r="E3462" i="2"/>
  <c r="D3462" i="2"/>
  <c r="C3462" i="2"/>
  <c r="B3462" i="2"/>
  <c r="A3462" i="2"/>
  <c r="H3461" i="2"/>
  <c r="G3461" i="2"/>
  <c r="F3461" i="2"/>
  <c r="E3461" i="2"/>
  <c r="D3461" i="2"/>
  <c r="C3461" i="2"/>
  <c r="B3461" i="2"/>
  <c r="A3461" i="2"/>
  <c r="H3460" i="2"/>
  <c r="G3460" i="2"/>
  <c r="F3460" i="2"/>
  <c r="E3460" i="2"/>
  <c r="D3460" i="2"/>
  <c r="C3460" i="2"/>
  <c r="B3460" i="2"/>
  <c r="A3460" i="2"/>
  <c r="H3459" i="2"/>
  <c r="G3459" i="2"/>
  <c r="F3459" i="2"/>
  <c r="E3459" i="2"/>
  <c r="D3459" i="2"/>
  <c r="C3459" i="2"/>
  <c r="B3459" i="2"/>
  <c r="A3459" i="2"/>
  <c r="H3458" i="2"/>
  <c r="G3458" i="2"/>
  <c r="F3458" i="2"/>
  <c r="E3458" i="2"/>
  <c r="D3458" i="2"/>
  <c r="C3458" i="2"/>
  <c r="B3458" i="2"/>
  <c r="A3458" i="2"/>
  <c r="H3457" i="2"/>
  <c r="G3457" i="2"/>
  <c r="F3457" i="2"/>
  <c r="E3457" i="2"/>
  <c r="D3457" i="2"/>
  <c r="C3457" i="2"/>
  <c r="B3457" i="2"/>
  <c r="A3457" i="2"/>
  <c r="H3456" i="2"/>
  <c r="G3456" i="2"/>
  <c r="F3456" i="2"/>
  <c r="E3456" i="2"/>
  <c r="D3456" i="2"/>
  <c r="C3456" i="2"/>
  <c r="B3456" i="2"/>
  <c r="A3456" i="2"/>
  <c r="H3455" i="2"/>
  <c r="G3455" i="2"/>
  <c r="F3455" i="2"/>
  <c r="E3455" i="2"/>
  <c r="D3455" i="2"/>
  <c r="C3455" i="2"/>
  <c r="B3455" i="2"/>
  <c r="A3455" i="2"/>
  <c r="H3454" i="2"/>
  <c r="G3454" i="2"/>
  <c r="F3454" i="2"/>
  <c r="E3454" i="2"/>
  <c r="D3454" i="2"/>
  <c r="C3454" i="2"/>
  <c r="B3454" i="2"/>
  <c r="A3454" i="2"/>
  <c r="H3453" i="2"/>
  <c r="G3453" i="2"/>
  <c r="F3453" i="2"/>
  <c r="E3453" i="2"/>
  <c r="D3453" i="2"/>
  <c r="C3453" i="2"/>
  <c r="B3453" i="2"/>
  <c r="A3453" i="2"/>
  <c r="H3452" i="2"/>
  <c r="G3452" i="2"/>
  <c r="F3452" i="2"/>
  <c r="E3452" i="2"/>
  <c r="D3452" i="2"/>
  <c r="C3452" i="2"/>
  <c r="B3452" i="2"/>
  <c r="A3452" i="2"/>
  <c r="H3451" i="2"/>
  <c r="G3451" i="2"/>
  <c r="F3451" i="2"/>
  <c r="E3451" i="2"/>
  <c r="D3451" i="2"/>
  <c r="C3451" i="2"/>
  <c r="B3451" i="2"/>
  <c r="A3451" i="2"/>
  <c r="H3450" i="2"/>
  <c r="G3450" i="2"/>
  <c r="F3450" i="2"/>
  <c r="E3450" i="2"/>
  <c r="D3450" i="2"/>
  <c r="C3450" i="2"/>
  <c r="B3450" i="2"/>
  <c r="A3450" i="2"/>
  <c r="H3449" i="2"/>
  <c r="G3449" i="2"/>
  <c r="F3449" i="2"/>
  <c r="E3449" i="2"/>
  <c r="D3449" i="2"/>
  <c r="C3449" i="2"/>
  <c r="B3449" i="2"/>
  <c r="A3449" i="2"/>
  <c r="H3448" i="2"/>
  <c r="G3448" i="2"/>
  <c r="F3448" i="2"/>
  <c r="E3448" i="2"/>
  <c r="D3448" i="2"/>
  <c r="C3448" i="2"/>
  <c r="B3448" i="2"/>
  <c r="A3448" i="2"/>
  <c r="H3447" i="2"/>
  <c r="G3447" i="2"/>
  <c r="F3447" i="2"/>
  <c r="E3447" i="2"/>
  <c r="D3447" i="2"/>
  <c r="C3447" i="2"/>
  <c r="B3447" i="2"/>
  <c r="A3447" i="2"/>
  <c r="H3446" i="2"/>
  <c r="G3446" i="2"/>
  <c r="F3446" i="2"/>
  <c r="E3446" i="2"/>
  <c r="D3446" i="2"/>
  <c r="C3446" i="2"/>
  <c r="B3446" i="2"/>
  <c r="A3446" i="2"/>
  <c r="H3445" i="2"/>
  <c r="G3445" i="2"/>
  <c r="F3445" i="2"/>
  <c r="E3445" i="2"/>
  <c r="D3445" i="2"/>
  <c r="C3445" i="2"/>
  <c r="B3445" i="2"/>
  <c r="A3445" i="2"/>
  <c r="H3444" i="2"/>
  <c r="G3444" i="2"/>
  <c r="F3444" i="2"/>
  <c r="E3444" i="2"/>
  <c r="D3444" i="2"/>
  <c r="C3444" i="2"/>
  <c r="B3444" i="2"/>
  <c r="A3444" i="2"/>
  <c r="H3443" i="2"/>
  <c r="G3443" i="2"/>
  <c r="F3443" i="2"/>
  <c r="E3443" i="2"/>
  <c r="D3443" i="2"/>
  <c r="C3443" i="2"/>
  <c r="B3443" i="2"/>
  <c r="A3443" i="2"/>
  <c r="H3442" i="2"/>
  <c r="G3442" i="2"/>
  <c r="F3442" i="2"/>
  <c r="E3442" i="2"/>
  <c r="D3442" i="2"/>
  <c r="C3442" i="2"/>
  <c r="B3442" i="2"/>
  <c r="A3442" i="2"/>
  <c r="H3441" i="2"/>
  <c r="G3441" i="2"/>
  <c r="F3441" i="2"/>
  <c r="E3441" i="2"/>
  <c r="D3441" i="2"/>
  <c r="C3441" i="2"/>
  <c r="B3441" i="2"/>
  <c r="A3441" i="2"/>
  <c r="H3440" i="2"/>
  <c r="G3440" i="2"/>
  <c r="F3440" i="2"/>
  <c r="E3440" i="2"/>
  <c r="D3440" i="2"/>
  <c r="C3440" i="2"/>
  <c r="B3440" i="2"/>
  <c r="A3440" i="2"/>
  <c r="H3439" i="2"/>
  <c r="G3439" i="2"/>
  <c r="F3439" i="2"/>
  <c r="E3439" i="2"/>
  <c r="D3439" i="2"/>
  <c r="C3439" i="2"/>
  <c r="B3439" i="2"/>
  <c r="A3439" i="2"/>
  <c r="H3438" i="2"/>
  <c r="G3438" i="2"/>
  <c r="F3438" i="2"/>
  <c r="E3438" i="2"/>
  <c r="D3438" i="2"/>
  <c r="C3438" i="2"/>
  <c r="B3438" i="2"/>
  <c r="A3438" i="2"/>
  <c r="H3437" i="2"/>
  <c r="G3437" i="2"/>
  <c r="F3437" i="2"/>
  <c r="E3437" i="2"/>
  <c r="D3437" i="2"/>
  <c r="C3437" i="2"/>
  <c r="B3437" i="2"/>
  <c r="A3437" i="2"/>
  <c r="H3436" i="2"/>
  <c r="G3436" i="2"/>
  <c r="F3436" i="2"/>
  <c r="E3436" i="2"/>
  <c r="D3436" i="2"/>
  <c r="C3436" i="2"/>
  <c r="B3436" i="2"/>
  <c r="A3436" i="2"/>
  <c r="H3435" i="2"/>
  <c r="G3435" i="2"/>
  <c r="F3435" i="2"/>
  <c r="E3435" i="2"/>
  <c r="D3435" i="2"/>
  <c r="C3435" i="2"/>
  <c r="B3435" i="2"/>
  <c r="A3435" i="2"/>
  <c r="H3434" i="2"/>
  <c r="G3434" i="2"/>
  <c r="F3434" i="2"/>
  <c r="E3434" i="2"/>
  <c r="D3434" i="2"/>
  <c r="C3434" i="2"/>
  <c r="B3434" i="2"/>
  <c r="A3434" i="2"/>
  <c r="H3433" i="2"/>
  <c r="G3433" i="2"/>
  <c r="F3433" i="2"/>
  <c r="E3433" i="2"/>
  <c r="D3433" i="2"/>
  <c r="C3433" i="2"/>
  <c r="B3433" i="2"/>
  <c r="A3433" i="2"/>
  <c r="H3432" i="2"/>
  <c r="G3432" i="2"/>
  <c r="F3432" i="2"/>
  <c r="E3432" i="2"/>
  <c r="D3432" i="2"/>
  <c r="C3432" i="2"/>
  <c r="B3432" i="2"/>
  <c r="A3432" i="2"/>
  <c r="H3431" i="2"/>
  <c r="G3431" i="2"/>
  <c r="F3431" i="2"/>
  <c r="E3431" i="2"/>
  <c r="D3431" i="2"/>
  <c r="C3431" i="2"/>
  <c r="B3431" i="2"/>
  <c r="A3431" i="2"/>
  <c r="H3430" i="2"/>
  <c r="G3430" i="2"/>
  <c r="F3430" i="2"/>
  <c r="E3430" i="2"/>
  <c r="D3430" i="2"/>
  <c r="C3430" i="2"/>
  <c r="B3430" i="2"/>
  <c r="A3430" i="2"/>
  <c r="H3429" i="2"/>
  <c r="G3429" i="2"/>
  <c r="F3429" i="2"/>
  <c r="E3429" i="2"/>
  <c r="D3429" i="2"/>
  <c r="C3429" i="2"/>
  <c r="B3429" i="2"/>
  <c r="A3429" i="2"/>
  <c r="H3428" i="2"/>
  <c r="G3428" i="2"/>
  <c r="F3428" i="2"/>
  <c r="E3428" i="2"/>
  <c r="D3428" i="2"/>
  <c r="C3428" i="2"/>
  <c r="B3428" i="2"/>
  <c r="A3428" i="2"/>
  <c r="H3427" i="2"/>
  <c r="G3427" i="2"/>
  <c r="F3427" i="2"/>
  <c r="E3427" i="2"/>
  <c r="D3427" i="2"/>
  <c r="C3427" i="2"/>
  <c r="B3427" i="2"/>
  <c r="A3427" i="2"/>
  <c r="H3426" i="2"/>
  <c r="G3426" i="2"/>
  <c r="F3426" i="2"/>
  <c r="E3426" i="2"/>
  <c r="D3426" i="2"/>
  <c r="C3426" i="2"/>
  <c r="B3426" i="2"/>
  <c r="A3426" i="2"/>
  <c r="H3425" i="2"/>
  <c r="G3425" i="2"/>
  <c r="F3425" i="2"/>
  <c r="E3425" i="2"/>
  <c r="D3425" i="2"/>
  <c r="C3425" i="2"/>
  <c r="B3425" i="2"/>
  <c r="A3425" i="2"/>
  <c r="H3424" i="2"/>
  <c r="G3424" i="2"/>
  <c r="F3424" i="2"/>
  <c r="E3424" i="2"/>
  <c r="D3424" i="2"/>
  <c r="C3424" i="2"/>
  <c r="B3424" i="2"/>
  <c r="A3424" i="2"/>
  <c r="H3423" i="2"/>
  <c r="G3423" i="2"/>
  <c r="F3423" i="2"/>
  <c r="E3423" i="2"/>
  <c r="D3423" i="2"/>
  <c r="C3423" i="2"/>
  <c r="B3423" i="2"/>
  <c r="A3423" i="2"/>
  <c r="H3422" i="2"/>
  <c r="G3422" i="2"/>
  <c r="F3422" i="2"/>
  <c r="E3422" i="2"/>
  <c r="D3422" i="2"/>
  <c r="C3422" i="2"/>
  <c r="B3422" i="2"/>
  <c r="A3422" i="2"/>
  <c r="H3421" i="2"/>
  <c r="G3421" i="2"/>
  <c r="F3421" i="2"/>
  <c r="E3421" i="2"/>
  <c r="D3421" i="2"/>
  <c r="C3421" i="2"/>
  <c r="B3421" i="2"/>
  <c r="A3421" i="2"/>
  <c r="H3420" i="2"/>
  <c r="G3420" i="2"/>
  <c r="F3420" i="2"/>
  <c r="E3420" i="2"/>
  <c r="D3420" i="2"/>
  <c r="C3420" i="2"/>
  <c r="B3420" i="2"/>
  <c r="A3420" i="2"/>
  <c r="H3419" i="2"/>
  <c r="G3419" i="2"/>
  <c r="F3419" i="2"/>
  <c r="E3419" i="2"/>
  <c r="D3419" i="2"/>
  <c r="C3419" i="2"/>
  <c r="B3419" i="2"/>
  <c r="A3419" i="2"/>
  <c r="H3418" i="2"/>
  <c r="G3418" i="2"/>
  <c r="F3418" i="2"/>
  <c r="E3418" i="2"/>
  <c r="D3418" i="2"/>
  <c r="C3418" i="2"/>
  <c r="B3418" i="2"/>
  <c r="A3418" i="2"/>
  <c r="H3417" i="2"/>
  <c r="G3417" i="2"/>
  <c r="F3417" i="2"/>
  <c r="E3417" i="2"/>
  <c r="D3417" i="2"/>
  <c r="C3417" i="2"/>
  <c r="B3417" i="2"/>
  <c r="A3417" i="2"/>
  <c r="H3416" i="2"/>
  <c r="G3416" i="2"/>
  <c r="F3416" i="2"/>
  <c r="E3416" i="2"/>
  <c r="D3416" i="2"/>
  <c r="C3416" i="2"/>
  <c r="B3416" i="2"/>
  <c r="A3416" i="2"/>
  <c r="H3415" i="2"/>
  <c r="G3415" i="2"/>
  <c r="F3415" i="2"/>
  <c r="E3415" i="2"/>
  <c r="D3415" i="2"/>
  <c r="C3415" i="2"/>
  <c r="B3415" i="2"/>
  <c r="A3415" i="2"/>
  <c r="H3414" i="2"/>
  <c r="G3414" i="2"/>
  <c r="F3414" i="2"/>
  <c r="E3414" i="2"/>
  <c r="D3414" i="2"/>
  <c r="C3414" i="2"/>
  <c r="B3414" i="2"/>
  <c r="A3414" i="2"/>
  <c r="H3413" i="2"/>
  <c r="G3413" i="2"/>
  <c r="F3413" i="2"/>
  <c r="E3413" i="2"/>
  <c r="D3413" i="2"/>
  <c r="C3413" i="2"/>
  <c r="B3413" i="2"/>
  <c r="A3413" i="2"/>
  <c r="H3412" i="2"/>
  <c r="G3412" i="2"/>
  <c r="F3412" i="2"/>
  <c r="E3412" i="2"/>
  <c r="D3412" i="2"/>
  <c r="C3412" i="2"/>
  <c r="B3412" i="2"/>
  <c r="A3412" i="2"/>
  <c r="H3411" i="2"/>
  <c r="G3411" i="2"/>
  <c r="F3411" i="2"/>
  <c r="E3411" i="2"/>
  <c r="D3411" i="2"/>
  <c r="C3411" i="2"/>
  <c r="B3411" i="2"/>
  <c r="A3411" i="2"/>
  <c r="H3410" i="2"/>
  <c r="G3410" i="2"/>
  <c r="F3410" i="2"/>
  <c r="E3410" i="2"/>
  <c r="D3410" i="2"/>
  <c r="C3410" i="2"/>
  <c r="B3410" i="2"/>
  <c r="A3410" i="2"/>
  <c r="H3409" i="2"/>
  <c r="G3409" i="2"/>
  <c r="F3409" i="2"/>
  <c r="E3409" i="2"/>
  <c r="D3409" i="2"/>
  <c r="C3409" i="2"/>
  <c r="B3409" i="2"/>
  <c r="A3409" i="2"/>
  <c r="H3408" i="2"/>
  <c r="G3408" i="2"/>
  <c r="F3408" i="2"/>
  <c r="E3408" i="2"/>
  <c r="D3408" i="2"/>
  <c r="C3408" i="2"/>
  <c r="B3408" i="2"/>
  <c r="A3408" i="2"/>
  <c r="H3407" i="2"/>
  <c r="G3407" i="2"/>
  <c r="F3407" i="2"/>
  <c r="E3407" i="2"/>
  <c r="D3407" i="2"/>
  <c r="C3407" i="2"/>
  <c r="B3407" i="2"/>
  <c r="A3407" i="2"/>
  <c r="H3406" i="2"/>
  <c r="G3406" i="2"/>
  <c r="F3406" i="2"/>
  <c r="E3406" i="2"/>
  <c r="D3406" i="2"/>
  <c r="C3406" i="2"/>
  <c r="B3406" i="2"/>
  <c r="A3406" i="2"/>
  <c r="H3405" i="2"/>
  <c r="G3405" i="2"/>
  <c r="F3405" i="2"/>
  <c r="E3405" i="2"/>
  <c r="D3405" i="2"/>
  <c r="C3405" i="2"/>
  <c r="B3405" i="2"/>
  <c r="A3405" i="2"/>
  <c r="H3404" i="2"/>
  <c r="G3404" i="2"/>
  <c r="F3404" i="2"/>
  <c r="E3404" i="2"/>
  <c r="D3404" i="2"/>
  <c r="C3404" i="2"/>
  <c r="B3404" i="2"/>
  <c r="A3404" i="2"/>
  <c r="H3403" i="2"/>
  <c r="G3403" i="2"/>
  <c r="F3403" i="2"/>
  <c r="E3403" i="2"/>
  <c r="D3403" i="2"/>
  <c r="C3403" i="2"/>
  <c r="B3403" i="2"/>
  <c r="A3403" i="2"/>
  <c r="H3402" i="2"/>
  <c r="G3402" i="2"/>
  <c r="F3402" i="2"/>
  <c r="E3402" i="2"/>
  <c r="D3402" i="2"/>
  <c r="C3402" i="2"/>
  <c r="B3402" i="2"/>
  <c r="A3402" i="2"/>
  <c r="H3401" i="2"/>
  <c r="G3401" i="2"/>
  <c r="F3401" i="2"/>
  <c r="E3401" i="2"/>
  <c r="D3401" i="2"/>
  <c r="C3401" i="2"/>
  <c r="B3401" i="2"/>
  <c r="A3401" i="2"/>
  <c r="H3400" i="2"/>
  <c r="G3400" i="2"/>
  <c r="F3400" i="2"/>
  <c r="E3400" i="2"/>
  <c r="D3400" i="2"/>
  <c r="C3400" i="2"/>
  <c r="B3400" i="2"/>
  <c r="A3400" i="2"/>
  <c r="H3399" i="2"/>
  <c r="G3399" i="2"/>
  <c r="F3399" i="2"/>
  <c r="E3399" i="2"/>
  <c r="D3399" i="2"/>
  <c r="C3399" i="2"/>
  <c r="B3399" i="2"/>
  <c r="A3399" i="2"/>
  <c r="H3398" i="2"/>
  <c r="G3398" i="2"/>
  <c r="F3398" i="2"/>
  <c r="E3398" i="2"/>
  <c r="D3398" i="2"/>
  <c r="C3398" i="2"/>
  <c r="B3398" i="2"/>
  <c r="A3398" i="2"/>
  <c r="H3397" i="2"/>
  <c r="G3397" i="2"/>
  <c r="F3397" i="2"/>
  <c r="E3397" i="2"/>
  <c r="D3397" i="2"/>
  <c r="C3397" i="2"/>
  <c r="B3397" i="2"/>
  <c r="A3397" i="2"/>
  <c r="H3396" i="2"/>
  <c r="G3396" i="2"/>
  <c r="F3396" i="2"/>
  <c r="E3396" i="2"/>
  <c r="D3396" i="2"/>
  <c r="C3396" i="2"/>
  <c r="B3396" i="2"/>
  <c r="A3396" i="2"/>
  <c r="H3395" i="2"/>
  <c r="G3395" i="2"/>
  <c r="F3395" i="2"/>
  <c r="E3395" i="2"/>
  <c r="D3395" i="2"/>
  <c r="C3395" i="2"/>
  <c r="B3395" i="2"/>
  <c r="A3395" i="2"/>
  <c r="H3394" i="2"/>
  <c r="G3394" i="2"/>
  <c r="F3394" i="2"/>
  <c r="E3394" i="2"/>
  <c r="D3394" i="2"/>
  <c r="C3394" i="2"/>
  <c r="B3394" i="2"/>
  <c r="A3394" i="2"/>
  <c r="H3393" i="2"/>
  <c r="G3393" i="2"/>
  <c r="F3393" i="2"/>
  <c r="E3393" i="2"/>
  <c r="D3393" i="2"/>
  <c r="C3393" i="2"/>
  <c r="B3393" i="2"/>
  <c r="A3393" i="2"/>
  <c r="H3392" i="2"/>
  <c r="G3392" i="2"/>
  <c r="F3392" i="2"/>
  <c r="E3392" i="2"/>
  <c r="D3392" i="2"/>
  <c r="C3392" i="2"/>
  <c r="B3392" i="2"/>
  <c r="A3392" i="2"/>
  <c r="H3391" i="2"/>
  <c r="G3391" i="2"/>
  <c r="F3391" i="2"/>
  <c r="E3391" i="2"/>
  <c r="D3391" i="2"/>
  <c r="C3391" i="2"/>
  <c r="B3391" i="2"/>
  <c r="A3391" i="2"/>
  <c r="H3390" i="2"/>
  <c r="G3390" i="2"/>
  <c r="F3390" i="2"/>
  <c r="E3390" i="2"/>
  <c r="D3390" i="2"/>
  <c r="C3390" i="2"/>
  <c r="B3390" i="2"/>
  <c r="A3390" i="2"/>
  <c r="H3389" i="2"/>
  <c r="G3389" i="2"/>
  <c r="F3389" i="2"/>
  <c r="E3389" i="2"/>
  <c r="D3389" i="2"/>
  <c r="C3389" i="2"/>
  <c r="B3389" i="2"/>
  <c r="A3389" i="2"/>
  <c r="H3388" i="2"/>
  <c r="G3388" i="2"/>
  <c r="F3388" i="2"/>
  <c r="E3388" i="2"/>
  <c r="D3388" i="2"/>
  <c r="C3388" i="2"/>
  <c r="B3388" i="2"/>
  <c r="A3388" i="2"/>
  <c r="H3387" i="2"/>
  <c r="G3387" i="2"/>
  <c r="F3387" i="2"/>
  <c r="E3387" i="2"/>
  <c r="D3387" i="2"/>
  <c r="C3387" i="2"/>
  <c r="B3387" i="2"/>
  <c r="A3387" i="2"/>
  <c r="H3386" i="2"/>
  <c r="G3386" i="2"/>
  <c r="F3386" i="2"/>
  <c r="E3386" i="2"/>
  <c r="D3386" i="2"/>
  <c r="C3386" i="2"/>
  <c r="B3386" i="2"/>
  <c r="A3386" i="2"/>
  <c r="H3385" i="2"/>
  <c r="G3385" i="2"/>
  <c r="F3385" i="2"/>
  <c r="E3385" i="2"/>
  <c r="D3385" i="2"/>
  <c r="C3385" i="2"/>
  <c r="B3385" i="2"/>
  <c r="A3385" i="2"/>
  <c r="H3384" i="2"/>
  <c r="G3384" i="2"/>
  <c r="F3384" i="2"/>
  <c r="E3384" i="2"/>
  <c r="D3384" i="2"/>
  <c r="C3384" i="2"/>
  <c r="B3384" i="2"/>
  <c r="A3384" i="2"/>
  <c r="H3383" i="2"/>
  <c r="G3383" i="2"/>
  <c r="F3383" i="2"/>
  <c r="E3383" i="2"/>
  <c r="D3383" i="2"/>
  <c r="C3383" i="2"/>
  <c r="B3383" i="2"/>
  <c r="A3383" i="2"/>
  <c r="H3382" i="2"/>
  <c r="G3382" i="2"/>
  <c r="F3382" i="2"/>
  <c r="E3382" i="2"/>
  <c r="D3382" i="2"/>
  <c r="C3382" i="2"/>
  <c r="B3382" i="2"/>
  <c r="A3382" i="2"/>
  <c r="H3381" i="2"/>
  <c r="G3381" i="2"/>
  <c r="F3381" i="2"/>
  <c r="E3381" i="2"/>
  <c r="D3381" i="2"/>
  <c r="C3381" i="2"/>
  <c r="B3381" i="2"/>
  <c r="A3381" i="2"/>
  <c r="H3380" i="2"/>
  <c r="G3380" i="2"/>
  <c r="F3380" i="2"/>
  <c r="E3380" i="2"/>
  <c r="D3380" i="2"/>
  <c r="C3380" i="2"/>
  <c r="B3380" i="2"/>
  <c r="A3380" i="2"/>
  <c r="H3379" i="2"/>
  <c r="G3379" i="2"/>
  <c r="F3379" i="2"/>
  <c r="E3379" i="2"/>
  <c r="D3379" i="2"/>
  <c r="C3379" i="2"/>
  <c r="B3379" i="2"/>
  <c r="A3379" i="2"/>
  <c r="H3378" i="2"/>
  <c r="G3378" i="2"/>
  <c r="F3378" i="2"/>
  <c r="E3378" i="2"/>
  <c r="D3378" i="2"/>
  <c r="C3378" i="2"/>
  <c r="B3378" i="2"/>
  <c r="A3378" i="2"/>
  <c r="H3377" i="2"/>
  <c r="G3377" i="2"/>
  <c r="F3377" i="2"/>
  <c r="E3377" i="2"/>
  <c r="D3377" i="2"/>
  <c r="C3377" i="2"/>
  <c r="B3377" i="2"/>
  <c r="A3377" i="2"/>
  <c r="H3376" i="2"/>
  <c r="G3376" i="2"/>
  <c r="F3376" i="2"/>
  <c r="E3376" i="2"/>
  <c r="D3376" i="2"/>
  <c r="C3376" i="2"/>
  <c r="B3376" i="2"/>
  <c r="A3376" i="2"/>
  <c r="H3375" i="2"/>
  <c r="G3375" i="2"/>
  <c r="F3375" i="2"/>
  <c r="E3375" i="2"/>
  <c r="D3375" i="2"/>
  <c r="C3375" i="2"/>
  <c r="B3375" i="2"/>
  <c r="A3375" i="2"/>
  <c r="H3374" i="2"/>
  <c r="G3374" i="2"/>
  <c r="F3374" i="2"/>
  <c r="E3374" i="2"/>
  <c r="D3374" i="2"/>
  <c r="C3374" i="2"/>
  <c r="B3374" i="2"/>
  <c r="A3374" i="2"/>
  <c r="H3373" i="2"/>
  <c r="G3373" i="2"/>
  <c r="F3373" i="2"/>
  <c r="E3373" i="2"/>
  <c r="D3373" i="2"/>
  <c r="C3373" i="2"/>
  <c r="B3373" i="2"/>
  <c r="A3373" i="2"/>
  <c r="H3372" i="2"/>
  <c r="G3372" i="2"/>
  <c r="F3372" i="2"/>
  <c r="E3372" i="2"/>
  <c r="D3372" i="2"/>
  <c r="C3372" i="2"/>
  <c r="B3372" i="2"/>
  <c r="A3372" i="2"/>
  <c r="H3371" i="2"/>
  <c r="G3371" i="2"/>
  <c r="F3371" i="2"/>
  <c r="E3371" i="2"/>
  <c r="D3371" i="2"/>
  <c r="C3371" i="2"/>
  <c r="B3371" i="2"/>
  <c r="A3371" i="2"/>
  <c r="H3370" i="2"/>
  <c r="G3370" i="2"/>
  <c r="F3370" i="2"/>
  <c r="E3370" i="2"/>
  <c r="D3370" i="2"/>
  <c r="C3370" i="2"/>
  <c r="B3370" i="2"/>
  <c r="A3370" i="2"/>
  <c r="H3369" i="2"/>
  <c r="G3369" i="2"/>
  <c r="F3369" i="2"/>
  <c r="E3369" i="2"/>
  <c r="D3369" i="2"/>
  <c r="C3369" i="2"/>
  <c r="B3369" i="2"/>
  <c r="A3369" i="2"/>
  <c r="H3368" i="2"/>
  <c r="G3368" i="2"/>
  <c r="F3368" i="2"/>
  <c r="E3368" i="2"/>
  <c r="D3368" i="2"/>
  <c r="C3368" i="2"/>
  <c r="B3368" i="2"/>
  <c r="A3368" i="2"/>
  <c r="H3367" i="2"/>
  <c r="G3367" i="2"/>
  <c r="F3367" i="2"/>
  <c r="E3367" i="2"/>
  <c r="D3367" i="2"/>
  <c r="C3367" i="2"/>
  <c r="B3367" i="2"/>
  <c r="A3367" i="2"/>
  <c r="H3366" i="2"/>
  <c r="G3366" i="2"/>
  <c r="F3366" i="2"/>
  <c r="E3366" i="2"/>
  <c r="D3366" i="2"/>
  <c r="C3366" i="2"/>
  <c r="B3366" i="2"/>
  <c r="A3366" i="2"/>
  <c r="H3365" i="2"/>
  <c r="G3365" i="2"/>
  <c r="F3365" i="2"/>
  <c r="E3365" i="2"/>
  <c r="D3365" i="2"/>
  <c r="C3365" i="2"/>
  <c r="B3365" i="2"/>
  <c r="A3365" i="2"/>
  <c r="H3364" i="2"/>
  <c r="G3364" i="2"/>
  <c r="F3364" i="2"/>
  <c r="E3364" i="2"/>
  <c r="D3364" i="2"/>
  <c r="C3364" i="2"/>
  <c r="B3364" i="2"/>
  <c r="A3364" i="2"/>
  <c r="H3363" i="2"/>
  <c r="G3363" i="2"/>
  <c r="F3363" i="2"/>
  <c r="E3363" i="2"/>
  <c r="D3363" i="2"/>
  <c r="C3363" i="2"/>
  <c r="B3363" i="2"/>
  <c r="A3363" i="2"/>
  <c r="H3362" i="2"/>
  <c r="G3362" i="2"/>
  <c r="F3362" i="2"/>
  <c r="E3362" i="2"/>
  <c r="D3362" i="2"/>
  <c r="C3362" i="2"/>
  <c r="B3362" i="2"/>
  <c r="A3362" i="2"/>
  <c r="H3361" i="2"/>
  <c r="G3361" i="2"/>
  <c r="F3361" i="2"/>
  <c r="E3361" i="2"/>
  <c r="D3361" i="2"/>
  <c r="C3361" i="2"/>
  <c r="B3361" i="2"/>
  <c r="A3361" i="2"/>
  <c r="H3360" i="2"/>
  <c r="G3360" i="2"/>
  <c r="F3360" i="2"/>
  <c r="E3360" i="2"/>
  <c r="D3360" i="2"/>
  <c r="C3360" i="2"/>
  <c r="B3360" i="2"/>
  <c r="A3360" i="2"/>
  <c r="H3359" i="2"/>
  <c r="G3359" i="2"/>
  <c r="F3359" i="2"/>
  <c r="E3359" i="2"/>
  <c r="D3359" i="2"/>
  <c r="C3359" i="2"/>
  <c r="B3359" i="2"/>
  <c r="A3359" i="2"/>
  <c r="H3358" i="2"/>
  <c r="G3358" i="2"/>
  <c r="F3358" i="2"/>
  <c r="E3358" i="2"/>
  <c r="D3358" i="2"/>
  <c r="C3358" i="2"/>
  <c r="B3358" i="2"/>
  <c r="A3358" i="2"/>
  <c r="H3357" i="2"/>
  <c r="G3357" i="2"/>
  <c r="F3357" i="2"/>
  <c r="E3357" i="2"/>
  <c r="D3357" i="2"/>
  <c r="C3357" i="2"/>
  <c r="B3357" i="2"/>
  <c r="A3357" i="2"/>
  <c r="H3356" i="2"/>
  <c r="G3356" i="2"/>
  <c r="F3356" i="2"/>
  <c r="E3356" i="2"/>
  <c r="D3356" i="2"/>
  <c r="C3356" i="2"/>
  <c r="B3356" i="2"/>
  <c r="A3356" i="2"/>
  <c r="H3355" i="2"/>
  <c r="G3355" i="2"/>
  <c r="F3355" i="2"/>
  <c r="E3355" i="2"/>
  <c r="D3355" i="2"/>
  <c r="C3355" i="2"/>
  <c r="B3355" i="2"/>
  <c r="A3355" i="2"/>
  <c r="H3354" i="2"/>
  <c r="G3354" i="2"/>
  <c r="F3354" i="2"/>
  <c r="E3354" i="2"/>
  <c r="D3354" i="2"/>
  <c r="C3354" i="2"/>
  <c r="B3354" i="2"/>
  <c r="A3354" i="2"/>
  <c r="H3353" i="2"/>
  <c r="G3353" i="2"/>
  <c r="F3353" i="2"/>
  <c r="E3353" i="2"/>
  <c r="D3353" i="2"/>
  <c r="C3353" i="2"/>
  <c r="B3353" i="2"/>
  <c r="A3353" i="2"/>
  <c r="H3352" i="2"/>
  <c r="G3352" i="2"/>
  <c r="F3352" i="2"/>
  <c r="E3352" i="2"/>
  <c r="D3352" i="2"/>
  <c r="C3352" i="2"/>
  <c r="B3352" i="2"/>
  <c r="A3352" i="2"/>
  <c r="H3351" i="2"/>
  <c r="G3351" i="2"/>
  <c r="F3351" i="2"/>
  <c r="E3351" i="2"/>
  <c r="D3351" i="2"/>
  <c r="C3351" i="2"/>
  <c r="B3351" i="2"/>
  <c r="A3351" i="2"/>
  <c r="H3350" i="2"/>
  <c r="G3350" i="2"/>
  <c r="F3350" i="2"/>
  <c r="E3350" i="2"/>
  <c r="D3350" i="2"/>
  <c r="C3350" i="2"/>
  <c r="B3350" i="2"/>
  <c r="A3350" i="2"/>
  <c r="H3349" i="2"/>
  <c r="G3349" i="2"/>
  <c r="F3349" i="2"/>
  <c r="E3349" i="2"/>
  <c r="D3349" i="2"/>
  <c r="C3349" i="2"/>
  <c r="B3349" i="2"/>
  <c r="A3349" i="2"/>
  <c r="H3348" i="2"/>
  <c r="G3348" i="2"/>
  <c r="F3348" i="2"/>
  <c r="E3348" i="2"/>
  <c r="D3348" i="2"/>
  <c r="C3348" i="2"/>
  <c r="B3348" i="2"/>
  <c r="A3348" i="2"/>
  <c r="H3347" i="2"/>
  <c r="G3347" i="2"/>
  <c r="F3347" i="2"/>
  <c r="E3347" i="2"/>
  <c r="D3347" i="2"/>
  <c r="C3347" i="2"/>
  <c r="B3347" i="2"/>
  <c r="A3347" i="2"/>
  <c r="H3346" i="2"/>
  <c r="G3346" i="2"/>
  <c r="F3346" i="2"/>
  <c r="E3346" i="2"/>
  <c r="D3346" i="2"/>
  <c r="C3346" i="2"/>
  <c r="B3346" i="2"/>
  <c r="A3346" i="2"/>
  <c r="H3345" i="2"/>
  <c r="G3345" i="2"/>
  <c r="F3345" i="2"/>
  <c r="E3345" i="2"/>
  <c r="D3345" i="2"/>
  <c r="C3345" i="2"/>
  <c r="B3345" i="2"/>
  <c r="A3345" i="2"/>
  <c r="H3344" i="2"/>
  <c r="G3344" i="2"/>
  <c r="F3344" i="2"/>
  <c r="E3344" i="2"/>
  <c r="D3344" i="2"/>
  <c r="C3344" i="2"/>
  <c r="B3344" i="2"/>
  <c r="A3344" i="2"/>
  <c r="H3343" i="2"/>
  <c r="G3343" i="2"/>
  <c r="F3343" i="2"/>
  <c r="E3343" i="2"/>
  <c r="D3343" i="2"/>
  <c r="C3343" i="2"/>
  <c r="B3343" i="2"/>
  <c r="A3343" i="2"/>
  <c r="H3342" i="2"/>
  <c r="G3342" i="2"/>
  <c r="F3342" i="2"/>
  <c r="E3342" i="2"/>
  <c r="D3342" i="2"/>
  <c r="C3342" i="2"/>
  <c r="B3342" i="2"/>
  <c r="A3342" i="2"/>
  <c r="H3341" i="2"/>
  <c r="G3341" i="2"/>
  <c r="F3341" i="2"/>
  <c r="E3341" i="2"/>
  <c r="D3341" i="2"/>
  <c r="C3341" i="2"/>
  <c r="B3341" i="2"/>
  <c r="A3341" i="2"/>
  <c r="H3340" i="2"/>
  <c r="G3340" i="2"/>
  <c r="F3340" i="2"/>
  <c r="E3340" i="2"/>
  <c r="D3340" i="2"/>
  <c r="C3340" i="2"/>
  <c r="B3340" i="2"/>
  <c r="A3340" i="2"/>
  <c r="H3339" i="2"/>
  <c r="G3339" i="2"/>
  <c r="F3339" i="2"/>
  <c r="E3339" i="2"/>
  <c r="D3339" i="2"/>
  <c r="C3339" i="2"/>
  <c r="B3339" i="2"/>
  <c r="A3339" i="2"/>
  <c r="H3338" i="2"/>
  <c r="G3338" i="2"/>
  <c r="F3338" i="2"/>
  <c r="E3338" i="2"/>
  <c r="D3338" i="2"/>
  <c r="C3338" i="2"/>
  <c r="B3338" i="2"/>
  <c r="A3338" i="2"/>
  <c r="H3337" i="2"/>
  <c r="G3337" i="2"/>
  <c r="F3337" i="2"/>
  <c r="E3337" i="2"/>
  <c r="D3337" i="2"/>
  <c r="C3337" i="2"/>
  <c r="B3337" i="2"/>
  <c r="A3337" i="2"/>
  <c r="H3336" i="2"/>
  <c r="G3336" i="2"/>
  <c r="F3336" i="2"/>
  <c r="E3336" i="2"/>
  <c r="D3336" i="2"/>
  <c r="C3336" i="2"/>
  <c r="B3336" i="2"/>
  <c r="A3336" i="2"/>
  <c r="H3335" i="2"/>
  <c r="G3335" i="2"/>
  <c r="F3335" i="2"/>
  <c r="E3335" i="2"/>
  <c r="D3335" i="2"/>
  <c r="C3335" i="2"/>
  <c r="B3335" i="2"/>
  <c r="A3335" i="2"/>
  <c r="H3334" i="2"/>
  <c r="G3334" i="2"/>
  <c r="F3334" i="2"/>
  <c r="E3334" i="2"/>
  <c r="D3334" i="2"/>
  <c r="C3334" i="2"/>
  <c r="B3334" i="2"/>
  <c r="A3334" i="2"/>
  <c r="H3333" i="2"/>
  <c r="G3333" i="2"/>
  <c r="F3333" i="2"/>
  <c r="E3333" i="2"/>
  <c r="D3333" i="2"/>
  <c r="C3333" i="2"/>
  <c r="B3333" i="2"/>
  <c r="A3333" i="2"/>
  <c r="H3332" i="2"/>
  <c r="G3332" i="2"/>
  <c r="F3332" i="2"/>
  <c r="E3332" i="2"/>
  <c r="D3332" i="2"/>
  <c r="C3332" i="2"/>
  <c r="B3332" i="2"/>
  <c r="A3332" i="2"/>
  <c r="H3331" i="2"/>
  <c r="G3331" i="2"/>
  <c r="F3331" i="2"/>
  <c r="E3331" i="2"/>
  <c r="D3331" i="2"/>
  <c r="C3331" i="2"/>
  <c r="B3331" i="2"/>
  <c r="A3331" i="2"/>
  <c r="H3330" i="2"/>
  <c r="G3330" i="2"/>
  <c r="F3330" i="2"/>
  <c r="E3330" i="2"/>
  <c r="D3330" i="2"/>
  <c r="C3330" i="2"/>
  <c r="B3330" i="2"/>
  <c r="A3330" i="2"/>
  <c r="H3329" i="2"/>
  <c r="G3329" i="2"/>
  <c r="F3329" i="2"/>
  <c r="E3329" i="2"/>
  <c r="D3329" i="2"/>
  <c r="C3329" i="2"/>
  <c r="B3329" i="2"/>
  <c r="A3329" i="2"/>
  <c r="H3328" i="2"/>
  <c r="G3328" i="2"/>
  <c r="F3328" i="2"/>
  <c r="E3328" i="2"/>
  <c r="D3328" i="2"/>
  <c r="C3328" i="2"/>
  <c r="B3328" i="2"/>
  <c r="A3328" i="2"/>
  <c r="H3327" i="2"/>
  <c r="G3327" i="2"/>
  <c r="F3327" i="2"/>
  <c r="E3327" i="2"/>
  <c r="D3327" i="2"/>
  <c r="C3327" i="2"/>
  <c r="B3327" i="2"/>
  <c r="A3327" i="2"/>
  <c r="H3326" i="2"/>
  <c r="G3326" i="2"/>
  <c r="F3326" i="2"/>
  <c r="E3326" i="2"/>
  <c r="D3326" i="2"/>
  <c r="C3326" i="2"/>
  <c r="B3326" i="2"/>
  <c r="A3326" i="2"/>
  <c r="H3325" i="2"/>
  <c r="G3325" i="2"/>
  <c r="F3325" i="2"/>
  <c r="E3325" i="2"/>
  <c r="D3325" i="2"/>
  <c r="C3325" i="2"/>
  <c r="B3325" i="2"/>
  <c r="A3325" i="2"/>
  <c r="H3324" i="2"/>
  <c r="G3324" i="2"/>
  <c r="F3324" i="2"/>
  <c r="E3324" i="2"/>
  <c r="D3324" i="2"/>
  <c r="C3324" i="2"/>
  <c r="B3324" i="2"/>
  <c r="A3324" i="2"/>
  <c r="H3323" i="2"/>
  <c r="G3323" i="2"/>
  <c r="F3323" i="2"/>
  <c r="E3323" i="2"/>
  <c r="D3323" i="2"/>
  <c r="C3323" i="2"/>
  <c r="B3323" i="2"/>
  <c r="A3323" i="2"/>
  <c r="H3322" i="2"/>
  <c r="G3322" i="2"/>
  <c r="F3322" i="2"/>
  <c r="E3322" i="2"/>
  <c r="D3322" i="2"/>
  <c r="C3322" i="2"/>
  <c r="B3322" i="2"/>
  <c r="A3322" i="2"/>
  <c r="H3321" i="2"/>
  <c r="G3321" i="2"/>
  <c r="F3321" i="2"/>
  <c r="E3321" i="2"/>
  <c r="D3321" i="2"/>
  <c r="C3321" i="2"/>
  <c r="B3321" i="2"/>
  <c r="A3321" i="2"/>
  <c r="H3320" i="2"/>
  <c r="G3320" i="2"/>
  <c r="F3320" i="2"/>
  <c r="E3320" i="2"/>
  <c r="D3320" i="2"/>
  <c r="C3320" i="2"/>
  <c r="B3320" i="2"/>
  <c r="A3320" i="2"/>
  <c r="H3319" i="2"/>
  <c r="G3319" i="2"/>
  <c r="F3319" i="2"/>
  <c r="E3319" i="2"/>
  <c r="D3319" i="2"/>
  <c r="C3319" i="2"/>
  <c r="B3319" i="2"/>
  <c r="A3319" i="2"/>
  <c r="H3318" i="2"/>
  <c r="G3318" i="2"/>
  <c r="F3318" i="2"/>
  <c r="E3318" i="2"/>
  <c r="D3318" i="2"/>
  <c r="C3318" i="2"/>
  <c r="B3318" i="2"/>
  <c r="A3318" i="2"/>
  <c r="H3317" i="2"/>
  <c r="G3317" i="2"/>
  <c r="F3317" i="2"/>
  <c r="E3317" i="2"/>
  <c r="D3317" i="2"/>
  <c r="C3317" i="2"/>
  <c r="B3317" i="2"/>
  <c r="A3317" i="2"/>
  <c r="H3316" i="2"/>
  <c r="G3316" i="2"/>
  <c r="F3316" i="2"/>
  <c r="E3316" i="2"/>
  <c r="D3316" i="2"/>
  <c r="C3316" i="2"/>
  <c r="B3316" i="2"/>
  <c r="A3316" i="2"/>
  <c r="H3315" i="2"/>
  <c r="G3315" i="2"/>
  <c r="F3315" i="2"/>
  <c r="E3315" i="2"/>
  <c r="D3315" i="2"/>
  <c r="C3315" i="2"/>
  <c r="B3315" i="2"/>
  <c r="A3315" i="2"/>
  <c r="H3314" i="2"/>
  <c r="G3314" i="2"/>
  <c r="F3314" i="2"/>
  <c r="E3314" i="2"/>
  <c r="D3314" i="2"/>
  <c r="C3314" i="2"/>
  <c r="B3314" i="2"/>
  <c r="A3314" i="2"/>
  <c r="H3313" i="2"/>
  <c r="G3313" i="2"/>
  <c r="F3313" i="2"/>
  <c r="E3313" i="2"/>
  <c r="D3313" i="2"/>
  <c r="C3313" i="2"/>
  <c r="B3313" i="2"/>
  <c r="A3313" i="2"/>
  <c r="H3312" i="2"/>
  <c r="G3312" i="2"/>
  <c r="F3312" i="2"/>
  <c r="E3312" i="2"/>
  <c r="D3312" i="2"/>
  <c r="C3312" i="2"/>
  <c r="B3312" i="2"/>
  <c r="A3312" i="2"/>
  <c r="H3311" i="2"/>
  <c r="G3311" i="2"/>
  <c r="F3311" i="2"/>
  <c r="E3311" i="2"/>
  <c r="D3311" i="2"/>
  <c r="C3311" i="2"/>
  <c r="B3311" i="2"/>
  <c r="A3311" i="2"/>
  <c r="H3310" i="2"/>
  <c r="G3310" i="2"/>
  <c r="F3310" i="2"/>
  <c r="E3310" i="2"/>
  <c r="D3310" i="2"/>
  <c r="C3310" i="2"/>
  <c r="B3310" i="2"/>
  <c r="A3310" i="2"/>
  <c r="H3309" i="2"/>
  <c r="G3309" i="2"/>
  <c r="F3309" i="2"/>
  <c r="E3309" i="2"/>
  <c r="D3309" i="2"/>
  <c r="C3309" i="2"/>
  <c r="B3309" i="2"/>
  <c r="A3309" i="2"/>
  <c r="H3308" i="2"/>
  <c r="G3308" i="2"/>
  <c r="F3308" i="2"/>
  <c r="E3308" i="2"/>
  <c r="D3308" i="2"/>
  <c r="C3308" i="2"/>
  <c r="B3308" i="2"/>
  <c r="A3308" i="2"/>
  <c r="H3307" i="2"/>
  <c r="G3307" i="2"/>
  <c r="F3307" i="2"/>
  <c r="E3307" i="2"/>
  <c r="D3307" i="2"/>
  <c r="C3307" i="2"/>
  <c r="B3307" i="2"/>
  <c r="A3307" i="2"/>
  <c r="H3306" i="2"/>
  <c r="G3306" i="2"/>
  <c r="F3306" i="2"/>
  <c r="E3306" i="2"/>
  <c r="D3306" i="2"/>
  <c r="C3306" i="2"/>
  <c r="B3306" i="2"/>
  <c r="A3306" i="2"/>
  <c r="H3305" i="2"/>
  <c r="G3305" i="2"/>
  <c r="F3305" i="2"/>
  <c r="E3305" i="2"/>
  <c r="D3305" i="2"/>
  <c r="C3305" i="2"/>
  <c r="B3305" i="2"/>
  <c r="A3305" i="2"/>
  <c r="H3304" i="2"/>
  <c r="G3304" i="2"/>
  <c r="F3304" i="2"/>
  <c r="E3304" i="2"/>
  <c r="D3304" i="2"/>
  <c r="C3304" i="2"/>
  <c r="B3304" i="2"/>
  <c r="A3304" i="2"/>
  <c r="H3303" i="2"/>
  <c r="G3303" i="2"/>
  <c r="F3303" i="2"/>
  <c r="E3303" i="2"/>
  <c r="D3303" i="2"/>
  <c r="C3303" i="2"/>
  <c r="B3303" i="2"/>
  <c r="A3303" i="2"/>
  <c r="H3302" i="2"/>
  <c r="G3302" i="2"/>
  <c r="F3302" i="2"/>
  <c r="E3302" i="2"/>
  <c r="D3302" i="2"/>
  <c r="C3302" i="2"/>
  <c r="B3302" i="2"/>
  <c r="A3302" i="2"/>
  <c r="H3301" i="2"/>
  <c r="G3301" i="2"/>
  <c r="F3301" i="2"/>
  <c r="E3301" i="2"/>
  <c r="D3301" i="2"/>
  <c r="C3301" i="2"/>
  <c r="B3301" i="2"/>
  <c r="A3301" i="2"/>
  <c r="H3300" i="2"/>
  <c r="G3300" i="2"/>
  <c r="F3300" i="2"/>
  <c r="E3300" i="2"/>
  <c r="D3300" i="2"/>
  <c r="C3300" i="2"/>
  <c r="B3300" i="2"/>
  <c r="A3300" i="2"/>
  <c r="H3299" i="2"/>
  <c r="G3299" i="2"/>
  <c r="F3299" i="2"/>
  <c r="E3299" i="2"/>
  <c r="D3299" i="2"/>
  <c r="C3299" i="2"/>
  <c r="B3299" i="2"/>
  <c r="A3299" i="2"/>
  <c r="H3298" i="2"/>
  <c r="G3298" i="2"/>
  <c r="F3298" i="2"/>
  <c r="E3298" i="2"/>
  <c r="D3298" i="2"/>
  <c r="C3298" i="2"/>
  <c r="B3298" i="2"/>
  <c r="A3298" i="2"/>
  <c r="H3297" i="2"/>
  <c r="G3297" i="2"/>
  <c r="F3297" i="2"/>
  <c r="E3297" i="2"/>
  <c r="D3297" i="2"/>
  <c r="C3297" i="2"/>
  <c r="B3297" i="2"/>
  <c r="A3297" i="2"/>
  <c r="H3296" i="2"/>
  <c r="G3296" i="2"/>
  <c r="F3296" i="2"/>
  <c r="E3296" i="2"/>
  <c r="D3296" i="2"/>
  <c r="C3296" i="2"/>
  <c r="B3296" i="2"/>
  <c r="A3296" i="2"/>
  <c r="H3295" i="2"/>
  <c r="G3295" i="2"/>
  <c r="F3295" i="2"/>
  <c r="E3295" i="2"/>
  <c r="D3295" i="2"/>
  <c r="C3295" i="2"/>
  <c r="B3295" i="2"/>
  <c r="A3295" i="2"/>
  <c r="H3294" i="2"/>
  <c r="G3294" i="2"/>
  <c r="F3294" i="2"/>
  <c r="E3294" i="2"/>
  <c r="D3294" i="2"/>
  <c r="C3294" i="2"/>
  <c r="B3294" i="2"/>
  <c r="A3294" i="2"/>
  <c r="H3293" i="2"/>
  <c r="G3293" i="2"/>
  <c r="F3293" i="2"/>
  <c r="E3293" i="2"/>
  <c r="D3293" i="2"/>
  <c r="C3293" i="2"/>
  <c r="B3293" i="2"/>
  <c r="A3293" i="2"/>
  <c r="H3292" i="2"/>
  <c r="G3292" i="2"/>
  <c r="F3292" i="2"/>
  <c r="E3292" i="2"/>
  <c r="D3292" i="2"/>
  <c r="C3292" i="2"/>
  <c r="B3292" i="2"/>
  <c r="A3292" i="2"/>
  <c r="H3291" i="2"/>
  <c r="G3291" i="2"/>
  <c r="F3291" i="2"/>
  <c r="E3291" i="2"/>
  <c r="D3291" i="2"/>
  <c r="C3291" i="2"/>
  <c r="B3291" i="2"/>
  <c r="A3291" i="2"/>
  <c r="H3290" i="2"/>
  <c r="G3290" i="2"/>
  <c r="F3290" i="2"/>
  <c r="E3290" i="2"/>
  <c r="D3290" i="2"/>
  <c r="C3290" i="2"/>
  <c r="B3290" i="2"/>
  <c r="A3290" i="2"/>
  <c r="H3289" i="2"/>
  <c r="G3289" i="2"/>
  <c r="F3289" i="2"/>
  <c r="E3289" i="2"/>
  <c r="D3289" i="2"/>
  <c r="C3289" i="2"/>
  <c r="B3289" i="2"/>
  <c r="A3289" i="2"/>
  <c r="H3288" i="2"/>
  <c r="G3288" i="2"/>
  <c r="F3288" i="2"/>
  <c r="E3288" i="2"/>
  <c r="D3288" i="2"/>
  <c r="C3288" i="2"/>
  <c r="B3288" i="2"/>
  <c r="A3288" i="2"/>
  <c r="H3287" i="2"/>
  <c r="G3287" i="2"/>
  <c r="F3287" i="2"/>
  <c r="E3287" i="2"/>
  <c r="D3287" i="2"/>
  <c r="C3287" i="2"/>
  <c r="B3287" i="2"/>
  <c r="A3287" i="2"/>
  <c r="H3286" i="2"/>
  <c r="G3286" i="2"/>
  <c r="F3286" i="2"/>
  <c r="E3286" i="2"/>
  <c r="D3286" i="2"/>
  <c r="C3286" i="2"/>
  <c r="B3286" i="2"/>
  <c r="A3286" i="2"/>
  <c r="H3285" i="2"/>
  <c r="G3285" i="2"/>
  <c r="F3285" i="2"/>
  <c r="E3285" i="2"/>
  <c r="D3285" i="2"/>
  <c r="C3285" i="2"/>
  <c r="B3285" i="2"/>
  <c r="A3285" i="2"/>
  <c r="H3284" i="2"/>
  <c r="G3284" i="2"/>
  <c r="F3284" i="2"/>
  <c r="E3284" i="2"/>
  <c r="D3284" i="2"/>
  <c r="C3284" i="2"/>
  <c r="B3284" i="2"/>
  <c r="A3284" i="2"/>
  <c r="H3283" i="2"/>
  <c r="G3283" i="2"/>
  <c r="F3283" i="2"/>
  <c r="E3283" i="2"/>
  <c r="D3283" i="2"/>
  <c r="C3283" i="2"/>
  <c r="B3283" i="2"/>
  <c r="A3283" i="2"/>
  <c r="H3282" i="2"/>
  <c r="G3282" i="2"/>
  <c r="F3282" i="2"/>
  <c r="E3282" i="2"/>
  <c r="D3282" i="2"/>
  <c r="C3282" i="2"/>
  <c r="B3282" i="2"/>
  <c r="A3282" i="2"/>
  <c r="H3281" i="2"/>
  <c r="G3281" i="2"/>
  <c r="F3281" i="2"/>
  <c r="E3281" i="2"/>
  <c r="D3281" i="2"/>
  <c r="C3281" i="2"/>
  <c r="B3281" i="2"/>
  <c r="A3281" i="2"/>
  <c r="H3280" i="2"/>
  <c r="G3280" i="2"/>
  <c r="F3280" i="2"/>
  <c r="E3280" i="2"/>
  <c r="D3280" i="2"/>
  <c r="C3280" i="2"/>
  <c r="B3280" i="2"/>
  <c r="A3280" i="2"/>
  <c r="H3279" i="2"/>
  <c r="G3279" i="2"/>
  <c r="F3279" i="2"/>
  <c r="E3279" i="2"/>
  <c r="D3279" i="2"/>
  <c r="C3279" i="2"/>
  <c r="B3279" i="2"/>
  <c r="A3279" i="2"/>
  <c r="H3278" i="2"/>
  <c r="G3278" i="2"/>
  <c r="F3278" i="2"/>
  <c r="E3278" i="2"/>
  <c r="D3278" i="2"/>
  <c r="C3278" i="2"/>
  <c r="B3278" i="2"/>
  <c r="A3278" i="2"/>
  <c r="H3277" i="2"/>
  <c r="G3277" i="2"/>
  <c r="F3277" i="2"/>
  <c r="E3277" i="2"/>
  <c r="D3277" i="2"/>
  <c r="C3277" i="2"/>
  <c r="B3277" i="2"/>
  <c r="A3277" i="2"/>
  <c r="H3276" i="2"/>
  <c r="G3276" i="2"/>
  <c r="F3276" i="2"/>
  <c r="E3276" i="2"/>
  <c r="D3276" i="2"/>
  <c r="C3276" i="2"/>
  <c r="B3276" i="2"/>
  <c r="A3276" i="2"/>
  <c r="H3275" i="2"/>
  <c r="G3275" i="2"/>
  <c r="F3275" i="2"/>
  <c r="E3275" i="2"/>
  <c r="D3275" i="2"/>
  <c r="C3275" i="2"/>
  <c r="B3275" i="2"/>
  <c r="A3275" i="2"/>
  <c r="H3274" i="2"/>
  <c r="G3274" i="2"/>
  <c r="F3274" i="2"/>
  <c r="E3274" i="2"/>
  <c r="D3274" i="2"/>
  <c r="C3274" i="2"/>
  <c r="B3274" i="2"/>
  <c r="A3274" i="2"/>
  <c r="H3273" i="2"/>
  <c r="G3273" i="2"/>
  <c r="F3273" i="2"/>
  <c r="E3273" i="2"/>
  <c r="D3273" i="2"/>
  <c r="C3273" i="2"/>
  <c r="B3273" i="2"/>
  <c r="A3273" i="2"/>
  <c r="H3272" i="2"/>
  <c r="G3272" i="2"/>
  <c r="F3272" i="2"/>
  <c r="E3272" i="2"/>
  <c r="D3272" i="2"/>
  <c r="C3272" i="2"/>
  <c r="B3272" i="2"/>
  <c r="A3272" i="2"/>
  <c r="H3271" i="2"/>
  <c r="G3271" i="2"/>
  <c r="F3271" i="2"/>
  <c r="E3271" i="2"/>
  <c r="D3271" i="2"/>
  <c r="C3271" i="2"/>
  <c r="B3271" i="2"/>
  <c r="A3271" i="2"/>
  <c r="H3270" i="2"/>
  <c r="G3270" i="2"/>
  <c r="F3270" i="2"/>
  <c r="E3270" i="2"/>
  <c r="D3270" i="2"/>
  <c r="C3270" i="2"/>
  <c r="B3270" i="2"/>
  <c r="A3270" i="2"/>
  <c r="H3269" i="2"/>
  <c r="G3269" i="2"/>
  <c r="F3269" i="2"/>
  <c r="E3269" i="2"/>
  <c r="D3269" i="2"/>
  <c r="C3269" i="2"/>
  <c r="B3269" i="2"/>
  <c r="A3269" i="2"/>
  <c r="H3268" i="2"/>
  <c r="G3268" i="2"/>
  <c r="F3268" i="2"/>
  <c r="E3268" i="2"/>
  <c r="D3268" i="2"/>
  <c r="C3268" i="2"/>
  <c r="B3268" i="2"/>
  <c r="A3268" i="2"/>
  <c r="H3267" i="2"/>
  <c r="G3267" i="2"/>
  <c r="F3267" i="2"/>
  <c r="E3267" i="2"/>
  <c r="D3267" i="2"/>
  <c r="C3267" i="2"/>
  <c r="B3267" i="2"/>
  <c r="A3267" i="2"/>
  <c r="H3266" i="2"/>
  <c r="G3266" i="2"/>
  <c r="F3266" i="2"/>
  <c r="E3266" i="2"/>
  <c r="D3266" i="2"/>
  <c r="C3266" i="2"/>
  <c r="B3266" i="2"/>
  <c r="A3266" i="2"/>
  <c r="H3265" i="2"/>
  <c r="G3265" i="2"/>
  <c r="F3265" i="2"/>
  <c r="E3265" i="2"/>
  <c r="D3265" i="2"/>
  <c r="C3265" i="2"/>
  <c r="B3265" i="2"/>
  <c r="A3265" i="2"/>
  <c r="H3264" i="2"/>
  <c r="G3264" i="2"/>
  <c r="F3264" i="2"/>
  <c r="E3264" i="2"/>
  <c r="D3264" i="2"/>
  <c r="C3264" i="2"/>
  <c r="B3264" i="2"/>
  <c r="A3264" i="2"/>
  <c r="H3263" i="2"/>
  <c r="G3263" i="2"/>
  <c r="F3263" i="2"/>
  <c r="E3263" i="2"/>
  <c r="D3263" i="2"/>
  <c r="C3263" i="2"/>
  <c r="B3263" i="2"/>
  <c r="A3263" i="2"/>
  <c r="H3262" i="2"/>
  <c r="G3262" i="2"/>
  <c r="F3262" i="2"/>
  <c r="E3262" i="2"/>
  <c r="D3262" i="2"/>
  <c r="C3262" i="2"/>
  <c r="B3262" i="2"/>
  <c r="A3262" i="2"/>
  <c r="H3261" i="2"/>
  <c r="G3261" i="2"/>
  <c r="F3261" i="2"/>
  <c r="E3261" i="2"/>
  <c r="D3261" i="2"/>
  <c r="C3261" i="2"/>
  <c r="B3261" i="2"/>
  <c r="A3261" i="2"/>
  <c r="H3260" i="2"/>
  <c r="G3260" i="2"/>
  <c r="F3260" i="2"/>
  <c r="E3260" i="2"/>
  <c r="D3260" i="2"/>
  <c r="C3260" i="2"/>
  <c r="B3260" i="2"/>
  <c r="A3260" i="2"/>
  <c r="H3259" i="2"/>
  <c r="G3259" i="2"/>
  <c r="F3259" i="2"/>
  <c r="E3259" i="2"/>
  <c r="D3259" i="2"/>
  <c r="C3259" i="2"/>
  <c r="B3259" i="2"/>
  <c r="A3259" i="2"/>
  <c r="H3258" i="2"/>
  <c r="G3258" i="2"/>
  <c r="F3258" i="2"/>
  <c r="E3258" i="2"/>
  <c r="D3258" i="2"/>
  <c r="C3258" i="2"/>
  <c r="B3258" i="2"/>
  <c r="A3258" i="2"/>
  <c r="H3257" i="2"/>
  <c r="G3257" i="2"/>
  <c r="F3257" i="2"/>
  <c r="E3257" i="2"/>
  <c r="D3257" i="2"/>
  <c r="C3257" i="2"/>
  <c r="B3257" i="2"/>
  <c r="A3257" i="2"/>
  <c r="H3256" i="2"/>
  <c r="G3256" i="2"/>
  <c r="F3256" i="2"/>
  <c r="E3256" i="2"/>
  <c r="D3256" i="2"/>
  <c r="C3256" i="2"/>
  <c r="B3256" i="2"/>
  <c r="A3256" i="2"/>
  <c r="H3255" i="2"/>
  <c r="G3255" i="2"/>
  <c r="F3255" i="2"/>
  <c r="E3255" i="2"/>
  <c r="D3255" i="2"/>
  <c r="C3255" i="2"/>
  <c r="B3255" i="2"/>
  <c r="A3255" i="2"/>
  <c r="H3254" i="2"/>
  <c r="G3254" i="2"/>
  <c r="F3254" i="2"/>
  <c r="E3254" i="2"/>
  <c r="D3254" i="2"/>
  <c r="C3254" i="2"/>
  <c r="B3254" i="2"/>
  <c r="A3254" i="2"/>
  <c r="H3253" i="2"/>
  <c r="G3253" i="2"/>
  <c r="F3253" i="2"/>
  <c r="E3253" i="2"/>
  <c r="D3253" i="2"/>
  <c r="C3253" i="2"/>
  <c r="B3253" i="2"/>
  <c r="A3253" i="2"/>
  <c r="H3252" i="2"/>
  <c r="G3252" i="2"/>
  <c r="F3252" i="2"/>
  <c r="E3252" i="2"/>
  <c r="D3252" i="2"/>
  <c r="C3252" i="2"/>
  <c r="B3252" i="2"/>
  <c r="A3252" i="2"/>
  <c r="H3251" i="2"/>
  <c r="G3251" i="2"/>
  <c r="F3251" i="2"/>
  <c r="E3251" i="2"/>
  <c r="D3251" i="2"/>
  <c r="C3251" i="2"/>
  <c r="B3251" i="2"/>
  <c r="A3251" i="2"/>
  <c r="H3250" i="2"/>
  <c r="G3250" i="2"/>
  <c r="F3250" i="2"/>
  <c r="E3250" i="2"/>
  <c r="D3250" i="2"/>
  <c r="C3250" i="2"/>
  <c r="B3250" i="2"/>
  <c r="A3250" i="2"/>
  <c r="H3249" i="2"/>
  <c r="G3249" i="2"/>
  <c r="F3249" i="2"/>
  <c r="E3249" i="2"/>
  <c r="D3249" i="2"/>
  <c r="C3249" i="2"/>
  <c r="B3249" i="2"/>
  <c r="A3249" i="2"/>
  <c r="H3248" i="2"/>
  <c r="G3248" i="2"/>
  <c r="F3248" i="2"/>
  <c r="E3248" i="2"/>
  <c r="D3248" i="2"/>
  <c r="C3248" i="2"/>
  <c r="B3248" i="2"/>
  <c r="A3248" i="2"/>
  <c r="H3247" i="2"/>
  <c r="G3247" i="2"/>
  <c r="F3247" i="2"/>
  <c r="E3247" i="2"/>
  <c r="D3247" i="2"/>
  <c r="C3247" i="2"/>
  <c r="B3247" i="2"/>
  <c r="A3247" i="2"/>
  <c r="H3246" i="2"/>
  <c r="G3246" i="2"/>
  <c r="F3246" i="2"/>
  <c r="E3246" i="2"/>
  <c r="D3246" i="2"/>
  <c r="C3246" i="2"/>
  <c r="B3246" i="2"/>
  <c r="A3246" i="2"/>
  <c r="H3245" i="2"/>
  <c r="G3245" i="2"/>
  <c r="F3245" i="2"/>
  <c r="E3245" i="2"/>
  <c r="D3245" i="2"/>
  <c r="C3245" i="2"/>
  <c r="B3245" i="2"/>
  <c r="A3245" i="2"/>
  <c r="H3244" i="2"/>
  <c r="G3244" i="2"/>
  <c r="F3244" i="2"/>
  <c r="E3244" i="2"/>
  <c r="D3244" i="2"/>
  <c r="C3244" i="2"/>
  <c r="B3244" i="2"/>
  <c r="A3244" i="2"/>
  <c r="H3243" i="2"/>
  <c r="G3243" i="2"/>
  <c r="F3243" i="2"/>
  <c r="E3243" i="2"/>
  <c r="D3243" i="2"/>
  <c r="C3243" i="2"/>
  <c r="B3243" i="2"/>
  <c r="A3243" i="2"/>
  <c r="H3242" i="2"/>
  <c r="G3242" i="2"/>
  <c r="F3242" i="2"/>
  <c r="E3242" i="2"/>
  <c r="D3242" i="2"/>
  <c r="C3242" i="2"/>
  <c r="B3242" i="2"/>
  <c r="A3242" i="2"/>
  <c r="H3241" i="2"/>
  <c r="G3241" i="2"/>
  <c r="F3241" i="2"/>
  <c r="E3241" i="2"/>
  <c r="D3241" i="2"/>
  <c r="C3241" i="2"/>
  <c r="B3241" i="2"/>
  <c r="A3241" i="2"/>
  <c r="H3240" i="2"/>
  <c r="G3240" i="2"/>
  <c r="F3240" i="2"/>
  <c r="E3240" i="2"/>
  <c r="D3240" i="2"/>
  <c r="C3240" i="2"/>
  <c r="B3240" i="2"/>
  <c r="A3240" i="2"/>
  <c r="H3239" i="2"/>
  <c r="G3239" i="2"/>
  <c r="F3239" i="2"/>
  <c r="E3239" i="2"/>
  <c r="D3239" i="2"/>
  <c r="C3239" i="2"/>
  <c r="B3239" i="2"/>
  <c r="A3239" i="2"/>
  <c r="H3238" i="2"/>
  <c r="G3238" i="2"/>
  <c r="F3238" i="2"/>
  <c r="E3238" i="2"/>
  <c r="D3238" i="2"/>
  <c r="C3238" i="2"/>
  <c r="B3238" i="2"/>
  <c r="A3238" i="2"/>
  <c r="H3237" i="2"/>
  <c r="G3237" i="2"/>
  <c r="F3237" i="2"/>
  <c r="E3237" i="2"/>
  <c r="D3237" i="2"/>
  <c r="C3237" i="2"/>
  <c r="B3237" i="2"/>
  <c r="A3237" i="2"/>
  <c r="H3236" i="2"/>
  <c r="G3236" i="2"/>
  <c r="F3236" i="2"/>
  <c r="E3236" i="2"/>
  <c r="D3236" i="2"/>
  <c r="C3236" i="2"/>
  <c r="B3236" i="2"/>
  <c r="A3236" i="2"/>
  <c r="H3235" i="2"/>
  <c r="G3235" i="2"/>
  <c r="F3235" i="2"/>
  <c r="E3235" i="2"/>
  <c r="D3235" i="2"/>
  <c r="C3235" i="2"/>
  <c r="B3235" i="2"/>
  <c r="A3235" i="2"/>
  <c r="H3234" i="2"/>
  <c r="G3234" i="2"/>
  <c r="F3234" i="2"/>
  <c r="E3234" i="2"/>
  <c r="D3234" i="2"/>
  <c r="C3234" i="2"/>
  <c r="B3234" i="2"/>
  <c r="A3234" i="2"/>
  <c r="H3233" i="2"/>
  <c r="G3233" i="2"/>
  <c r="F3233" i="2"/>
  <c r="E3233" i="2"/>
  <c r="D3233" i="2"/>
  <c r="C3233" i="2"/>
  <c r="B3233" i="2"/>
  <c r="A3233" i="2"/>
  <c r="H3232" i="2"/>
  <c r="G3232" i="2"/>
  <c r="F3232" i="2"/>
  <c r="E3232" i="2"/>
  <c r="D3232" i="2"/>
  <c r="C3232" i="2"/>
  <c r="B3232" i="2"/>
  <c r="A3232" i="2"/>
  <c r="H3231" i="2"/>
  <c r="G3231" i="2"/>
  <c r="F3231" i="2"/>
  <c r="E3231" i="2"/>
  <c r="D3231" i="2"/>
  <c r="C3231" i="2"/>
  <c r="B3231" i="2"/>
  <c r="A3231" i="2"/>
  <c r="H3230" i="2"/>
  <c r="G3230" i="2"/>
  <c r="F3230" i="2"/>
  <c r="E3230" i="2"/>
  <c r="D3230" i="2"/>
  <c r="C3230" i="2"/>
  <c r="B3230" i="2"/>
  <c r="A3230" i="2"/>
  <c r="H3229" i="2"/>
  <c r="G3229" i="2"/>
  <c r="F3229" i="2"/>
  <c r="E3229" i="2"/>
  <c r="D3229" i="2"/>
  <c r="C3229" i="2"/>
  <c r="B3229" i="2"/>
  <c r="A3229" i="2"/>
  <c r="H3228" i="2"/>
  <c r="G3228" i="2"/>
  <c r="F3228" i="2"/>
  <c r="E3228" i="2"/>
  <c r="D3228" i="2"/>
  <c r="C3228" i="2"/>
  <c r="B3228" i="2"/>
  <c r="A3228" i="2"/>
  <c r="H3227" i="2"/>
  <c r="G3227" i="2"/>
  <c r="F3227" i="2"/>
  <c r="E3227" i="2"/>
  <c r="D3227" i="2"/>
  <c r="C3227" i="2"/>
  <c r="B3227" i="2"/>
  <c r="A3227" i="2"/>
  <c r="H3226" i="2"/>
  <c r="G3226" i="2"/>
  <c r="F3226" i="2"/>
  <c r="E3226" i="2"/>
  <c r="D3226" i="2"/>
  <c r="C3226" i="2"/>
  <c r="B3226" i="2"/>
  <c r="A3226" i="2"/>
  <c r="H3225" i="2"/>
  <c r="G3225" i="2"/>
  <c r="F3225" i="2"/>
  <c r="E3225" i="2"/>
  <c r="D3225" i="2"/>
  <c r="C3225" i="2"/>
  <c r="B3225" i="2"/>
  <c r="A3225" i="2"/>
  <c r="H3224" i="2"/>
  <c r="G3224" i="2"/>
  <c r="F3224" i="2"/>
  <c r="E3224" i="2"/>
  <c r="D3224" i="2"/>
  <c r="C3224" i="2"/>
  <c r="B3224" i="2"/>
  <c r="A3224" i="2"/>
  <c r="H3223" i="2"/>
  <c r="G3223" i="2"/>
  <c r="F3223" i="2"/>
  <c r="E3223" i="2"/>
  <c r="D3223" i="2"/>
  <c r="C3223" i="2"/>
  <c r="B3223" i="2"/>
  <c r="A3223" i="2"/>
  <c r="H3222" i="2"/>
  <c r="G3222" i="2"/>
  <c r="F3222" i="2"/>
  <c r="E3222" i="2"/>
  <c r="D3222" i="2"/>
  <c r="C3222" i="2"/>
  <c r="B3222" i="2"/>
  <c r="A3222" i="2"/>
  <c r="H3221" i="2"/>
  <c r="G3221" i="2"/>
  <c r="F3221" i="2"/>
  <c r="E3221" i="2"/>
  <c r="D3221" i="2"/>
  <c r="C3221" i="2"/>
  <c r="B3221" i="2"/>
  <c r="A3221" i="2"/>
  <c r="H3220" i="2"/>
  <c r="G3220" i="2"/>
  <c r="F3220" i="2"/>
  <c r="E3220" i="2"/>
  <c r="D3220" i="2"/>
  <c r="C3220" i="2"/>
  <c r="B3220" i="2"/>
  <c r="A3220" i="2"/>
  <c r="H3219" i="2"/>
  <c r="G3219" i="2"/>
  <c r="F3219" i="2"/>
  <c r="E3219" i="2"/>
  <c r="D3219" i="2"/>
  <c r="C3219" i="2"/>
  <c r="B3219" i="2"/>
  <c r="A3219" i="2"/>
  <c r="H3218" i="2"/>
  <c r="G3218" i="2"/>
  <c r="F3218" i="2"/>
  <c r="E3218" i="2"/>
  <c r="D3218" i="2"/>
  <c r="C3218" i="2"/>
  <c r="B3218" i="2"/>
  <c r="A3218" i="2"/>
  <c r="H3217" i="2"/>
  <c r="G3217" i="2"/>
  <c r="F3217" i="2"/>
  <c r="E3217" i="2"/>
  <c r="D3217" i="2"/>
  <c r="C3217" i="2"/>
  <c r="B3217" i="2"/>
  <c r="A3217" i="2"/>
  <c r="H3216" i="2"/>
  <c r="G3216" i="2"/>
  <c r="F3216" i="2"/>
  <c r="E3216" i="2"/>
  <c r="D3216" i="2"/>
  <c r="C3216" i="2"/>
  <c r="B3216" i="2"/>
  <c r="A3216" i="2"/>
  <c r="H3215" i="2"/>
  <c r="G3215" i="2"/>
  <c r="F3215" i="2"/>
  <c r="E3215" i="2"/>
  <c r="D3215" i="2"/>
  <c r="C3215" i="2"/>
  <c r="B3215" i="2"/>
  <c r="A3215" i="2"/>
  <c r="H3214" i="2"/>
  <c r="G3214" i="2"/>
  <c r="F3214" i="2"/>
  <c r="E3214" i="2"/>
  <c r="D3214" i="2"/>
  <c r="C3214" i="2"/>
  <c r="B3214" i="2"/>
  <c r="A3214" i="2"/>
  <c r="H3213" i="2"/>
  <c r="G3213" i="2"/>
  <c r="F3213" i="2"/>
  <c r="E3213" i="2"/>
  <c r="D3213" i="2"/>
  <c r="C3213" i="2"/>
  <c r="B3213" i="2"/>
  <c r="A3213" i="2"/>
  <c r="H3212" i="2"/>
  <c r="G3212" i="2"/>
  <c r="F3212" i="2"/>
  <c r="E3212" i="2"/>
  <c r="D3212" i="2"/>
  <c r="C3212" i="2"/>
  <c r="B3212" i="2"/>
  <c r="A3212" i="2"/>
  <c r="H3211" i="2"/>
  <c r="G3211" i="2"/>
  <c r="F3211" i="2"/>
  <c r="E3211" i="2"/>
  <c r="D3211" i="2"/>
  <c r="C3211" i="2"/>
  <c r="B3211" i="2"/>
  <c r="A3211" i="2"/>
  <c r="H3210" i="2"/>
  <c r="G3210" i="2"/>
  <c r="F3210" i="2"/>
  <c r="E3210" i="2"/>
  <c r="D3210" i="2"/>
  <c r="C3210" i="2"/>
  <c r="B3210" i="2"/>
  <c r="A3210" i="2"/>
  <c r="H3209" i="2"/>
  <c r="G3209" i="2"/>
  <c r="F3209" i="2"/>
  <c r="E3209" i="2"/>
  <c r="D3209" i="2"/>
  <c r="C3209" i="2"/>
  <c r="B3209" i="2"/>
  <c r="A3209" i="2"/>
  <c r="H3208" i="2"/>
  <c r="G3208" i="2"/>
  <c r="F3208" i="2"/>
  <c r="E3208" i="2"/>
  <c r="D3208" i="2"/>
  <c r="C3208" i="2"/>
  <c r="B3208" i="2"/>
  <c r="A3208" i="2"/>
  <c r="H3207" i="2"/>
  <c r="G3207" i="2"/>
  <c r="F3207" i="2"/>
  <c r="E3207" i="2"/>
  <c r="D3207" i="2"/>
  <c r="C3207" i="2"/>
  <c r="B3207" i="2"/>
  <c r="A3207" i="2"/>
  <c r="H3206" i="2"/>
  <c r="G3206" i="2"/>
  <c r="F3206" i="2"/>
  <c r="E3206" i="2"/>
  <c r="D3206" i="2"/>
  <c r="C3206" i="2"/>
  <c r="B3206" i="2"/>
  <c r="A3206" i="2"/>
  <c r="H3205" i="2"/>
  <c r="G3205" i="2"/>
  <c r="F3205" i="2"/>
  <c r="E3205" i="2"/>
  <c r="D3205" i="2"/>
  <c r="C3205" i="2"/>
  <c r="B3205" i="2"/>
  <c r="A3205" i="2"/>
  <c r="H3204" i="2"/>
  <c r="G3204" i="2"/>
  <c r="F3204" i="2"/>
  <c r="E3204" i="2"/>
  <c r="D3204" i="2"/>
  <c r="C3204" i="2"/>
  <c r="B3204" i="2"/>
  <c r="A3204" i="2"/>
  <c r="H3203" i="2"/>
  <c r="G3203" i="2"/>
  <c r="F3203" i="2"/>
  <c r="E3203" i="2"/>
  <c r="D3203" i="2"/>
  <c r="C3203" i="2"/>
  <c r="B3203" i="2"/>
  <c r="A3203" i="2"/>
  <c r="H3202" i="2"/>
  <c r="G3202" i="2"/>
  <c r="F3202" i="2"/>
  <c r="E3202" i="2"/>
  <c r="D3202" i="2"/>
  <c r="C3202" i="2"/>
  <c r="B3202" i="2"/>
  <c r="A3202" i="2"/>
  <c r="H3201" i="2"/>
  <c r="G3201" i="2"/>
  <c r="F3201" i="2"/>
  <c r="E3201" i="2"/>
  <c r="D3201" i="2"/>
  <c r="C3201" i="2"/>
  <c r="B3201" i="2"/>
  <c r="A3201" i="2"/>
  <c r="H3200" i="2"/>
  <c r="G3200" i="2"/>
  <c r="F3200" i="2"/>
  <c r="E3200" i="2"/>
  <c r="D3200" i="2"/>
  <c r="C3200" i="2"/>
  <c r="B3200" i="2"/>
  <c r="A3200" i="2"/>
  <c r="H3199" i="2"/>
  <c r="G3199" i="2"/>
  <c r="F3199" i="2"/>
  <c r="E3199" i="2"/>
  <c r="D3199" i="2"/>
  <c r="C3199" i="2"/>
  <c r="B3199" i="2"/>
  <c r="A3199" i="2"/>
  <c r="H3198" i="2"/>
  <c r="G3198" i="2"/>
  <c r="F3198" i="2"/>
  <c r="E3198" i="2"/>
  <c r="D3198" i="2"/>
  <c r="C3198" i="2"/>
  <c r="B3198" i="2"/>
  <c r="A3198" i="2"/>
  <c r="H3197" i="2"/>
  <c r="G3197" i="2"/>
  <c r="F3197" i="2"/>
  <c r="E3197" i="2"/>
  <c r="D3197" i="2"/>
  <c r="C3197" i="2"/>
  <c r="B3197" i="2"/>
  <c r="A3197" i="2"/>
  <c r="H3196" i="2"/>
  <c r="G3196" i="2"/>
  <c r="F3196" i="2"/>
  <c r="E3196" i="2"/>
  <c r="D3196" i="2"/>
  <c r="C3196" i="2"/>
  <c r="B3196" i="2"/>
  <c r="A3196" i="2"/>
  <c r="H3195" i="2"/>
  <c r="G3195" i="2"/>
  <c r="F3195" i="2"/>
  <c r="E3195" i="2"/>
  <c r="D3195" i="2"/>
  <c r="C3195" i="2"/>
  <c r="B3195" i="2"/>
  <c r="A3195" i="2"/>
  <c r="H3194" i="2"/>
  <c r="G3194" i="2"/>
  <c r="F3194" i="2"/>
  <c r="E3194" i="2"/>
  <c r="D3194" i="2"/>
  <c r="C3194" i="2"/>
  <c r="B3194" i="2"/>
  <c r="A3194" i="2"/>
  <c r="H3193" i="2"/>
  <c r="G3193" i="2"/>
  <c r="F3193" i="2"/>
  <c r="E3193" i="2"/>
  <c r="D3193" i="2"/>
  <c r="C3193" i="2"/>
  <c r="B3193" i="2"/>
  <c r="A3193" i="2"/>
  <c r="H3192" i="2"/>
  <c r="G3192" i="2"/>
  <c r="F3192" i="2"/>
  <c r="E3192" i="2"/>
  <c r="D3192" i="2"/>
  <c r="C3192" i="2"/>
  <c r="B3192" i="2"/>
  <c r="A3192" i="2"/>
  <c r="H3191" i="2"/>
  <c r="G3191" i="2"/>
  <c r="F3191" i="2"/>
  <c r="E3191" i="2"/>
  <c r="D3191" i="2"/>
  <c r="C3191" i="2"/>
  <c r="B3191" i="2"/>
  <c r="A3191" i="2"/>
  <c r="H3190" i="2"/>
  <c r="G3190" i="2"/>
  <c r="F3190" i="2"/>
  <c r="E3190" i="2"/>
  <c r="D3190" i="2"/>
  <c r="C3190" i="2"/>
  <c r="B3190" i="2"/>
  <c r="A3190" i="2"/>
  <c r="H3189" i="2"/>
  <c r="G3189" i="2"/>
  <c r="F3189" i="2"/>
  <c r="E3189" i="2"/>
  <c r="D3189" i="2"/>
  <c r="C3189" i="2"/>
  <c r="B3189" i="2"/>
  <c r="A3189" i="2"/>
  <c r="H3188" i="2"/>
  <c r="G3188" i="2"/>
  <c r="F3188" i="2"/>
  <c r="E3188" i="2"/>
  <c r="D3188" i="2"/>
  <c r="C3188" i="2"/>
  <c r="B3188" i="2"/>
  <c r="A3188" i="2"/>
  <c r="H3187" i="2"/>
  <c r="G3187" i="2"/>
  <c r="F3187" i="2"/>
  <c r="E3187" i="2"/>
  <c r="D3187" i="2"/>
  <c r="C3187" i="2"/>
  <c r="B3187" i="2"/>
  <c r="A3187" i="2"/>
  <c r="H3186" i="2"/>
  <c r="G3186" i="2"/>
  <c r="F3186" i="2"/>
  <c r="E3186" i="2"/>
  <c r="D3186" i="2"/>
  <c r="C3186" i="2"/>
  <c r="B3186" i="2"/>
  <c r="A3186" i="2"/>
  <c r="H3185" i="2"/>
  <c r="G3185" i="2"/>
  <c r="F3185" i="2"/>
  <c r="E3185" i="2"/>
  <c r="D3185" i="2"/>
  <c r="C3185" i="2"/>
  <c r="B3185" i="2"/>
  <c r="A3185" i="2"/>
  <c r="H3184" i="2"/>
  <c r="G3184" i="2"/>
  <c r="F3184" i="2"/>
  <c r="E3184" i="2"/>
  <c r="D3184" i="2"/>
  <c r="C3184" i="2"/>
  <c r="B3184" i="2"/>
  <c r="A3184" i="2"/>
  <c r="H3183" i="2"/>
  <c r="G3183" i="2"/>
  <c r="F3183" i="2"/>
  <c r="E3183" i="2"/>
  <c r="D3183" i="2"/>
  <c r="C3183" i="2"/>
  <c r="B3183" i="2"/>
  <c r="A3183" i="2"/>
  <c r="H3182" i="2"/>
  <c r="G3182" i="2"/>
  <c r="F3182" i="2"/>
  <c r="E3182" i="2"/>
  <c r="D3182" i="2"/>
  <c r="C3182" i="2"/>
  <c r="B3182" i="2"/>
  <c r="A3182" i="2"/>
  <c r="H3181" i="2"/>
  <c r="G3181" i="2"/>
  <c r="F3181" i="2"/>
  <c r="E3181" i="2"/>
  <c r="D3181" i="2"/>
  <c r="C3181" i="2"/>
  <c r="B3181" i="2"/>
  <c r="A3181" i="2"/>
  <c r="H3180" i="2"/>
  <c r="G3180" i="2"/>
  <c r="F3180" i="2"/>
  <c r="E3180" i="2"/>
  <c r="D3180" i="2"/>
  <c r="C3180" i="2"/>
  <c r="B3180" i="2"/>
  <c r="A3180" i="2"/>
  <c r="H3179" i="2"/>
  <c r="G3179" i="2"/>
  <c r="F3179" i="2"/>
  <c r="E3179" i="2"/>
  <c r="D3179" i="2"/>
  <c r="C3179" i="2"/>
  <c r="B3179" i="2"/>
  <c r="A3179" i="2"/>
  <c r="H3178" i="2"/>
  <c r="G3178" i="2"/>
  <c r="F3178" i="2"/>
  <c r="E3178" i="2"/>
  <c r="D3178" i="2"/>
  <c r="C3178" i="2"/>
  <c r="B3178" i="2"/>
  <c r="A3178" i="2"/>
  <c r="H3177" i="2"/>
  <c r="G3177" i="2"/>
  <c r="F3177" i="2"/>
  <c r="E3177" i="2"/>
  <c r="D3177" i="2"/>
  <c r="C3177" i="2"/>
  <c r="B3177" i="2"/>
  <c r="A3177" i="2"/>
  <c r="H3176" i="2"/>
  <c r="G3176" i="2"/>
  <c r="F3176" i="2"/>
  <c r="E3176" i="2"/>
  <c r="D3176" i="2"/>
  <c r="C3176" i="2"/>
  <c r="B3176" i="2"/>
  <c r="A3176" i="2"/>
  <c r="H3175" i="2"/>
  <c r="G3175" i="2"/>
  <c r="F3175" i="2"/>
  <c r="E3175" i="2"/>
  <c r="D3175" i="2"/>
  <c r="C3175" i="2"/>
  <c r="B3175" i="2"/>
  <c r="A3175" i="2"/>
  <c r="H3174" i="2"/>
  <c r="G3174" i="2"/>
  <c r="F3174" i="2"/>
  <c r="E3174" i="2"/>
  <c r="D3174" i="2"/>
  <c r="C3174" i="2"/>
  <c r="B3174" i="2"/>
  <c r="A3174" i="2"/>
  <c r="H3173" i="2"/>
  <c r="G3173" i="2"/>
  <c r="F3173" i="2"/>
  <c r="E3173" i="2"/>
  <c r="D3173" i="2"/>
  <c r="C3173" i="2"/>
  <c r="B3173" i="2"/>
  <c r="A3173" i="2"/>
  <c r="H3172" i="2"/>
  <c r="G3172" i="2"/>
  <c r="F3172" i="2"/>
  <c r="E3172" i="2"/>
  <c r="D3172" i="2"/>
  <c r="C3172" i="2"/>
  <c r="B3172" i="2"/>
  <c r="A3172" i="2"/>
  <c r="H3171" i="2"/>
  <c r="G3171" i="2"/>
  <c r="F3171" i="2"/>
  <c r="E3171" i="2"/>
  <c r="D3171" i="2"/>
  <c r="C3171" i="2"/>
  <c r="B3171" i="2"/>
  <c r="A3171" i="2"/>
  <c r="H3170" i="2"/>
  <c r="G3170" i="2"/>
  <c r="F3170" i="2"/>
  <c r="E3170" i="2"/>
  <c r="D3170" i="2"/>
  <c r="C3170" i="2"/>
  <c r="B3170" i="2"/>
  <c r="A3170" i="2"/>
  <c r="H3169" i="2"/>
  <c r="G3169" i="2"/>
  <c r="F3169" i="2"/>
  <c r="E3169" i="2"/>
  <c r="D3169" i="2"/>
  <c r="C3169" i="2"/>
  <c r="B3169" i="2"/>
  <c r="A3169" i="2"/>
  <c r="H3168" i="2"/>
  <c r="G3168" i="2"/>
  <c r="F3168" i="2"/>
  <c r="E3168" i="2"/>
  <c r="D3168" i="2"/>
  <c r="C3168" i="2"/>
  <c r="B3168" i="2"/>
  <c r="A3168" i="2"/>
  <c r="H3167" i="2"/>
  <c r="G3167" i="2"/>
  <c r="F3167" i="2"/>
  <c r="E3167" i="2"/>
  <c r="D3167" i="2"/>
  <c r="C3167" i="2"/>
  <c r="B3167" i="2"/>
  <c r="A3167" i="2"/>
  <c r="H3166" i="2"/>
  <c r="G3166" i="2"/>
  <c r="F3166" i="2"/>
  <c r="E3166" i="2"/>
  <c r="D3166" i="2"/>
  <c r="C3166" i="2"/>
  <c r="B3166" i="2"/>
  <c r="A3166" i="2"/>
  <c r="H3165" i="2"/>
  <c r="G3165" i="2"/>
  <c r="F3165" i="2"/>
  <c r="E3165" i="2"/>
  <c r="D3165" i="2"/>
  <c r="C3165" i="2"/>
  <c r="B3165" i="2"/>
  <c r="A3165" i="2"/>
  <c r="H3164" i="2"/>
  <c r="G3164" i="2"/>
  <c r="F3164" i="2"/>
  <c r="E3164" i="2"/>
  <c r="D3164" i="2"/>
  <c r="C3164" i="2"/>
  <c r="B3164" i="2"/>
  <c r="A3164" i="2"/>
  <c r="H3163" i="2"/>
  <c r="G3163" i="2"/>
  <c r="F3163" i="2"/>
  <c r="E3163" i="2"/>
  <c r="D3163" i="2"/>
  <c r="C3163" i="2"/>
  <c r="B3163" i="2"/>
  <c r="A3163" i="2"/>
  <c r="H3162" i="2"/>
  <c r="G3162" i="2"/>
  <c r="F3162" i="2"/>
  <c r="E3162" i="2"/>
  <c r="D3162" i="2"/>
  <c r="C3162" i="2"/>
  <c r="B3162" i="2"/>
  <c r="A3162" i="2"/>
  <c r="H3161" i="2"/>
  <c r="G3161" i="2"/>
  <c r="F3161" i="2"/>
  <c r="E3161" i="2"/>
  <c r="D3161" i="2"/>
  <c r="C3161" i="2"/>
  <c r="B3161" i="2"/>
  <c r="A3161" i="2"/>
  <c r="H3160" i="2"/>
  <c r="G3160" i="2"/>
  <c r="F3160" i="2"/>
  <c r="E3160" i="2"/>
  <c r="D3160" i="2"/>
  <c r="C3160" i="2"/>
  <c r="B3160" i="2"/>
  <c r="A3160" i="2"/>
  <c r="H3159" i="2"/>
  <c r="G3159" i="2"/>
  <c r="F3159" i="2"/>
  <c r="E3159" i="2"/>
  <c r="D3159" i="2"/>
  <c r="C3159" i="2"/>
  <c r="B3159" i="2"/>
  <c r="A3159" i="2"/>
  <c r="H3158" i="2"/>
  <c r="G3158" i="2"/>
  <c r="F3158" i="2"/>
  <c r="E3158" i="2"/>
  <c r="D3158" i="2"/>
  <c r="C3158" i="2"/>
  <c r="B3158" i="2"/>
  <c r="A3158" i="2"/>
  <c r="H3157" i="2"/>
  <c r="G3157" i="2"/>
  <c r="F3157" i="2"/>
  <c r="E3157" i="2"/>
  <c r="D3157" i="2"/>
  <c r="C3157" i="2"/>
  <c r="B3157" i="2"/>
  <c r="A3157" i="2"/>
  <c r="H3156" i="2"/>
  <c r="G3156" i="2"/>
  <c r="F3156" i="2"/>
  <c r="E3156" i="2"/>
  <c r="D3156" i="2"/>
  <c r="C3156" i="2"/>
  <c r="B3156" i="2"/>
  <c r="A3156" i="2"/>
  <c r="H3155" i="2"/>
  <c r="G3155" i="2"/>
  <c r="F3155" i="2"/>
  <c r="E3155" i="2"/>
  <c r="D3155" i="2"/>
  <c r="C3155" i="2"/>
  <c r="B3155" i="2"/>
  <c r="A3155" i="2"/>
  <c r="H3154" i="2"/>
  <c r="G3154" i="2"/>
  <c r="F3154" i="2"/>
  <c r="E3154" i="2"/>
  <c r="D3154" i="2"/>
  <c r="C3154" i="2"/>
  <c r="B3154" i="2"/>
  <c r="A3154" i="2"/>
  <c r="H3153" i="2"/>
  <c r="G3153" i="2"/>
  <c r="F3153" i="2"/>
  <c r="E3153" i="2"/>
  <c r="D3153" i="2"/>
  <c r="C3153" i="2"/>
  <c r="B3153" i="2"/>
  <c r="A3153" i="2"/>
  <c r="H3152" i="2"/>
  <c r="G3152" i="2"/>
  <c r="F3152" i="2"/>
  <c r="E3152" i="2"/>
  <c r="D3152" i="2"/>
  <c r="C3152" i="2"/>
  <c r="B3152" i="2"/>
  <c r="A3152" i="2"/>
  <c r="H3151" i="2"/>
  <c r="G3151" i="2"/>
  <c r="F3151" i="2"/>
  <c r="E3151" i="2"/>
  <c r="D3151" i="2"/>
  <c r="C3151" i="2"/>
  <c r="B3151" i="2"/>
  <c r="A3151" i="2"/>
  <c r="H3150" i="2"/>
  <c r="G3150" i="2"/>
  <c r="F3150" i="2"/>
  <c r="E3150" i="2"/>
  <c r="D3150" i="2"/>
  <c r="C3150" i="2"/>
  <c r="B3150" i="2"/>
  <c r="A3150" i="2"/>
  <c r="H3149" i="2"/>
  <c r="G3149" i="2"/>
  <c r="F3149" i="2"/>
  <c r="E3149" i="2"/>
  <c r="D3149" i="2"/>
  <c r="C3149" i="2"/>
  <c r="B3149" i="2"/>
  <c r="A3149" i="2"/>
  <c r="H3148" i="2"/>
  <c r="G3148" i="2"/>
  <c r="F3148" i="2"/>
  <c r="E3148" i="2"/>
  <c r="D3148" i="2"/>
  <c r="C3148" i="2"/>
  <c r="B3148" i="2"/>
  <c r="A3148" i="2"/>
  <c r="H3147" i="2"/>
  <c r="G3147" i="2"/>
  <c r="F3147" i="2"/>
  <c r="E3147" i="2"/>
  <c r="D3147" i="2"/>
  <c r="C3147" i="2"/>
  <c r="B3147" i="2"/>
  <c r="A3147" i="2"/>
  <c r="H3146" i="2"/>
  <c r="G3146" i="2"/>
  <c r="F3146" i="2"/>
  <c r="E3146" i="2"/>
  <c r="D3146" i="2"/>
  <c r="C3146" i="2"/>
  <c r="B3146" i="2"/>
  <c r="A3146" i="2"/>
  <c r="H3145" i="2"/>
  <c r="G3145" i="2"/>
  <c r="F3145" i="2"/>
  <c r="E3145" i="2"/>
  <c r="D3145" i="2"/>
  <c r="C3145" i="2"/>
  <c r="B3145" i="2"/>
  <c r="A3145" i="2"/>
  <c r="H3144" i="2"/>
  <c r="G3144" i="2"/>
  <c r="F3144" i="2"/>
  <c r="E3144" i="2"/>
  <c r="D3144" i="2"/>
  <c r="C3144" i="2"/>
  <c r="B3144" i="2"/>
  <c r="A3144" i="2"/>
  <c r="H3143" i="2"/>
  <c r="G3143" i="2"/>
  <c r="F3143" i="2"/>
  <c r="E3143" i="2"/>
  <c r="D3143" i="2"/>
  <c r="C3143" i="2"/>
  <c r="B3143" i="2"/>
  <c r="A3143" i="2"/>
  <c r="H3142" i="2"/>
  <c r="G3142" i="2"/>
  <c r="F3142" i="2"/>
  <c r="E3142" i="2"/>
  <c r="D3142" i="2"/>
  <c r="C3142" i="2"/>
  <c r="B3142" i="2"/>
  <c r="A3142" i="2"/>
  <c r="H3141" i="2"/>
  <c r="G3141" i="2"/>
  <c r="F3141" i="2"/>
  <c r="E3141" i="2"/>
  <c r="D3141" i="2"/>
  <c r="C3141" i="2"/>
  <c r="B3141" i="2"/>
  <c r="A3141" i="2"/>
  <c r="H3140" i="2"/>
  <c r="G3140" i="2"/>
  <c r="F3140" i="2"/>
  <c r="E3140" i="2"/>
  <c r="D3140" i="2"/>
  <c r="C3140" i="2"/>
  <c r="B3140" i="2"/>
  <c r="A3140" i="2"/>
  <c r="H3139" i="2"/>
  <c r="G3139" i="2"/>
  <c r="F3139" i="2"/>
  <c r="E3139" i="2"/>
  <c r="D3139" i="2"/>
  <c r="C3139" i="2"/>
  <c r="B3139" i="2"/>
  <c r="A3139" i="2"/>
  <c r="H3138" i="2"/>
  <c r="G3138" i="2"/>
  <c r="F3138" i="2"/>
  <c r="E3138" i="2"/>
  <c r="D3138" i="2"/>
  <c r="C3138" i="2"/>
  <c r="B3138" i="2"/>
  <c r="A3138" i="2"/>
  <c r="H3137" i="2"/>
  <c r="G3137" i="2"/>
  <c r="F3137" i="2"/>
  <c r="E3137" i="2"/>
  <c r="D3137" i="2"/>
  <c r="C3137" i="2"/>
  <c r="B3137" i="2"/>
  <c r="A3137" i="2"/>
  <c r="H3136" i="2"/>
  <c r="G3136" i="2"/>
  <c r="F3136" i="2"/>
  <c r="E3136" i="2"/>
  <c r="D3136" i="2"/>
  <c r="C3136" i="2"/>
  <c r="B3136" i="2"/>
  <c r="A3136" i="2"/>
  <c r="H3135" i="2"/>
  <c r="G3135" i="2"/>
  <c r="F3135" i="2"/>
  <c r="E3135" i="2"/>
  <c r="D3135" i="2"/>
  <c r="C3135" i="2"/>
  <c r="B3135" i="2"/>
  <c r="A3135" i="2"/>
  <c r="H3134" i="2"/>
  <c r="G3134" i="2"/>
  <c r="F3134" i="2"/>
  <c r="E3134" i="2"/>
  <c r="D3134" i="2"/>
  <c r="C3134" i="2"/>
  <c r="B3134" i="2"/>
  <c r="A3134" i="2"/>
  <c r="H3133" i="2"/>
  <c r="G3133" i="2"/>
  <c r="F3133" i="2"/>
  <c r="E3133" i="2"/>
  <c r="D3133" i="2"/>
  <c r="C3133" i="2"/>
  <c r="B3133" i="2"/>
  <c r="A3133" i="2"/>
  <c r="H3132" i="2"/>
  <c r="G3132" i="2"/>
  <c r="F3132" i="2"/>
  <c r="E3132" i="2"/>
  <c r="D3132" i="2"/>
  <c r="C3132" i="2"/>
  <c r="B3132" i="2"/>
  <c r="A3132" i="2"/>
  <c r="H3131" i="2"/>
  <c r="G3131" i="2"/>
  <c r="F3131" i="2"/>
  <c r="E3131" i="2"/>
  <c r="D3131" i="2"/>
  <c r="C3131" i="2"/>
  <c r="B3131" i="2"/>
  <c r="A3131" i="2"/>
  <c r="H3130" i="2"/>
  <c r="G3130" i="2"/>
  <c r="F3130" i="2"/>
  <c r="E3130" i="2"/>
  <c r="D3130" i="2"/>
  <c r="C3130" i="2"/>
  <c r="B3130" i="2"/>
  <c r="A3130" i="2"/>
  <c r="H3129" i="2"/>
  <c r="G3129" i="2"/>
  <c r="F3129" i="2"/>
  <c r="E3129" i="2"/>
  <c r="D3129" i="2"/>
  <c r="C3129" i="2"/>
  <c r="B3129" i="2"/>
  <c r="A3129" i="2"/>
  <c r="H3128" i="2"/>
  <c r="G3128" i="2"/>
  <c r="F3128" i="2"/>
  <c r="E3128" i="2"/>
  <c r="D3128" i="2"/>
  <c r="C3128" i="2"/>
  <c r="B3128" i="2"/>
  <c r="A3128" i="2"/>
  <c r="H3127" i="2"/>
  <c r="G3127" i="2"/>
  <c r="F3127" i="2"/>
  <c r="E3127" i="2"/>
  <c r="D3127" i="2"/>
  <c r="C3127" i="2"/>
  <c r="B3127" i="2"/>
  <c r="A3127" i="2"/>
  <c r="H3126" i="2"/>
  <c r="G3126" i="2"/>
  <c r="F3126" i="2"/>
  <c r="E3126" i="2"/>
  <c r="D3126" i="2"/>
  <c r="C3126" i="2"/>
  <c r="B3126" i="2"/>
  <c r="A3126" i="2"/>
  <c r="H3125" i="2"/>
  <c r="G3125" i="2"/>
  <c r="F3125" i="2"/>
  <c r="E3125" i="2"/>
  <c r="D3125" i="2"/>
  <c r="C3125" i="2"/>
  <c r="B3125" i="2"/>
  <c r="A3125" i="2"/>
  <c r="H3124" i="2"/>
  <c r="G3124" i="2"/>
  <c r="F3124" i="2"/>
  <c r="E3124" i="2"/>
  <c r="D3124" i="2"/>
  <c r="C3124" i="2"/>
  <c r="B3124" i="2"/>
  <c r="A3124" i="2"/>
  <c r="H3123" i="2"/>
  <c r="G3123" i="2"/>
  <c r="F3123" i="2"/>
  <c r="E3123" i="2"/>
  <c r="D3123" i="2"/>
  <c r="C3123" i="2"/>
  <c r="B3123" i="2"/>
  <c r="A3123" i="2"/>
  <c r="H3122" i="2"/>
  <c r="G3122" i="2"/>
  <c r="F3122" i="2"/>
  <c r="E3122" i="2"/>
  <c r="D3122" i="2"/>
  <c r="C3122" i="2"/>
  <c r="B3122" i="2"/>
  <c r="A3122" i="2"/>
  <c r="H3121" i="2"/>
  <c r="G3121" i="2"/>
  <c r="F3121" i="2"/>
  <c r="E3121" i="2"/>
  <c r="D3121" i="2"/>
  <c r="C3121" i="2"/>
  <c r="B3121" i="2"/>
  <c r="A3121" i="2"/>
  <c r="H3120" i="2"/>
  <c r="G3120" i="2"/>
  <c r="F3120" i="2"/>
  <c r="E3120" i="2"/>
  <c r="D3120" i="2"/>
  <c r="C3120" i="2"/>
  <c r="B3120" i="2"/>
  <c r="A3120" i="2"/>
  <c r="H3119" i="2"/>
  <c r="G3119" i="2"/>
  <c r="F3119" i="2"/>
  <c r="E3119" i="2"/>
  <c r="D3119" i="2"/>
  <c r="C3119" i="2"/>
  <c r="B3119" i="2"/>
  <c r="A3119" i="2"/>
  <c r="H3118" i="2"/>
  <c r="G3118" i="2"/>
  <c r="F3118" i="2"/>
  <c r="E3118" i="2"/>
  <c r="D3118" i="2"/>
  <c r="C3118" i="2"/>
  <c r="B3118" i="2"/>
  <c r="A3118" i="2"/>
  <c r="H3117" i="2"/>
  <c r="G3117" i="2"/>
  <c r="F3117" i="2"/>
  <c r="E3117" i="2"/>
  <c r="D3117" i="2"/>
  <c r="C3117" i="2"/>
  <c r="B3117" i="2"/>
  <c r="A3117" i="2"/>
  <c r="H3116" i="2"/>
  <c r="G3116" i="2"/>
  <c r="F3116" i="2"/>
  <c r="E3116" i="2"/>
  <c r="D3116" i="2"/>
  <c r="C3116" i="2"/>
  <c r="B3116" i="2"/>
  <c r="A3116" i="2"/>
  <c r="H3115" i="2"/>
  <c r="G3115" i="2"/>
  <c r="F3115" i="2"/>
  <c r="E3115" i="2"/>
  <c r="D3115" i="2"/>
  <c r="C3115" i="2"/>
  <c r="B3115" i="2"/>
  <c r="A3115" i="2"/>
  <c r="H3114" i="2"/>
  <c r="G3114" i="2"/>
  <c r="F3114" i="2"/>
  <c r="E3114" i="2"/>
  <c r="D3114" i="2"/>
  <c r="C3114" i="2"/>
  <c r="B3114" i="2"/>
  <c r="A3114" i="2"/>
  <c r="H3113" i="2"/>
  <c r="G3113" i="2"/>
  <c r="F3113" i="2"/>
  <c r="E3113" i="2"/>
  <c r="D3113" i="2"/>
  <c r="C3113" i="2"/>
  <c r="B3113" i="2"/>
  <c r="A3113" i="2"/>
  <c r="H3112" i="2"/>
  <c r="G3112" i="2"/>
  <c r="F3112" i="2"/>
  <c r="E3112" i="2"/>
  <c r="D3112" i="2"/>
  <c r="C3112" i="2"/>
  <c r="B3112" i="2"/>
  <c r="A3112" i="2"/>
  <c r="H3111" i="2"/>
  <c r="G3111" i="2"/>
  <c r="F3111" i="2"/>
  <c r="E3111" i="2"/>
  <c r="D3111" i="2"/>
  <c r="C3111" i="2"/>
  <c r="B3111" i="2"/>
  <c r="A3111" i="2"/>
  <c r="H3110" i="2"/>
  <c r="G3110" i="2"/>
  <c r="F3110" i="2"/>
  <c r="E3110" i="2"/>
  <c r="D3110" i="2"/>
  <c r="C3110" i="2"/>
  <c r="B3110" i="2"/>
  <c r="A3110" i="2"/>
  <c r="H3109" i="2"/>
  <c r="G3109" i="2"/>
  <c r="F3109" i="2"/>
  <c r="E3109" i="2"/>
  <c r="D3109" i="2"/>
  <c r="C3109" i="2"/>
  <c r="B3109" i="2"/>
  <c r="A3109" i="2"/>
  <c r="H3108" i="2"/>
  <c r="G3108" i="2"/>
  <c r="F3108" i="2"/>
  <c r="E3108" i="2"/>
  <c r="D3108" i="2"/>
  <c r="C3108" i="2"/>
  <c r="B3108" i="2"/>
  <c r="A3108" i="2"/>
  <c r="H3107" i="2"/>
  <c r="G3107" i="2"/>
  <c r="F3107" i="2"/>
  <c r="E3107" i="2"/>
  <c r="D3107" i="2"/>
  <c r="C3107" i="2"/>
  <c r="B3107" i="2"/>
  <c r="A3107" i="2"/>
  <c r="H3106" i="2"/>
  <c r="G3106" i="2"/>
  <c r="F3106" i="2"/>
  <c r="E3106" i="2"/>
  <c r="D3106" i="2"/>
  <c r="C3106" i="2"/>
  <c r="B3106" i="2"/>
  <c r="A3106" i="2"/>
  <c r="H3105" i="2"/>
  <c r="G3105" i="2"/>
  <c r="F3105" i="2"/>
  <c r="E3105" i="2"/>
  <c r="D3105" i="2"/>
  <c r="C3105" i="2"/>
  <c r="B3105" i="2"/>
  <c r="A3105" i="2"/>
  <c r="H3104" i="2"/>
  <c r="G3104" i="2"/>
  <c r="F3104" i="2"/>
  <c r="E3104" i="2"/>
  <c r="D3104" i="2"/>
  <c r="C3104" i="2"/>
  <c r="B3104" i="2"/>
  <c r="A3104" i="2"/>
  <c r="H3103" i="2"/>
  <c r="G3103" i="2"/>
  <c r="F3103" i="2"/>
  <c r="E3103" i="2"/>
  <c r="D3103" i="2"/>
  <c r="C3103" i="2"/>
  <c r="B3103" i="2"/>
  <c r="A3103" i="2"/>
  <c r="H3102" i="2"/>
  <c r="G3102" i="2"/>
  <c r="F3102" i="2"/>
  <c r="E3102" i="2"/>
  <c r="D3102" i="2"/>
  <c r="C3102" i="2"/>
  <c r="B3102" i="2"/>
  <c r="A3102" i="2"/>
  <c r="H3101" i="2"/>
  <c r="G3101" i="2"/>
  <c r="F3101" i="2"/>
  <c r="E3101" i="2"/>
  <c r="D3101" i="2"/>
  <c r="C3101" i="2"/>
  <c r="B3101" i="2"/>
  <c r="A3101" i="2"/>
  <c r="H3100" i="2"/>
  <c r="G3100" i="2"/>
  <c r="F3100" i="2"/>
  <c r="E3100" i="2"/>
  <c r="D3100" i="2"/>
  <c r="C3100" i="2"/>
  <c r="B3100" i="2"/>
  <c r="A3100" i="2"/>
  <c r="H3099" i="2"/>
  <c r="G3099" i="2"/>
  <c r="F3099" i="2"/>
  <c r="E3099" i="2"/>
  <c r="D3099" i="2"/>
  <c r="C3099" i="2"/>
  <c r="B3099" i="2"/>
  <c r="A3099" i="2"/>
  <c r="H3098" i="2"/>
  <c r="G3098" i="2"/>
  <c r="F3098" i="2"/>
  <c r="E3098" i="2"/>
  <c r="D3098" i="2"/>
  <c r="C3098" i="2"/>
  <c r="B3098" i="2"/>
  <c r="A3098" i="2"/>
  <c r="H3097" i="2"/>
  <c r="G3097" i="2"/>
  <c r="F3097" i="2"/>
  <c r="E3097" i="2"/>
  <c r="D3097" i="2"/>
  <c r="C3097" i="2"/>
  <c r="B3097" i="2"/>
  <c r="A3097" i="2"/>
  <c r="H3096" i="2"/>
  <c r="G3096" i="2"/>
  <c r="F3096" i="2"/>
  <c r="E3096" i="2"/>
  <c r="D3096" i="2"/>
  <c r="C3096" i="2"/>
  <c r="B3096" i="2"/>
  <c r="A3096" i="2"/>
  <c r="H3095" i="2"/>
  <c r="G3095" i="2"/>
  <c r="F3095" i="2"/>
  <c r="E3095" i="2"/>
  <c r="D3095" i="2"/>
  <c r="C3095" i="2"/>
  <c r="B3095" i="2"/>
  <c r="A3095" i="2"/>
  <c r="H3094" i="2"/>
  <c r="G3094" i="2"/>
  <c r="F3094" i="2"/>
  <c r="E3094" i="2"/>
  <c r="D3094" i="2"/>
  <c r="C3094" i="2"/>
  <c r="B3094" i="2"/>
  <c r="A3094" i="2"/>
  <c r="H3093" i="2"/>
  <c r="G3093" i="2"/>
  <c r="F3093" i="2"/>
  <c r="E3093" i="2"/>
  <c r="D3093" i="2"/>
  <c r="C3093" i="2"/>
  <c r="B3093" i="2"/>
  <c r="A3093" i="2"/>
  <c r="H3092" i="2"/>
  <c r="G3092" i="2"/>
  <c r="F3092" i="2"/>
  <c r="E3092" i="2"/>
  <c r="D3092" i="2"/>
  <c r="C3092" i="2"/>
  <c r="B3092" i="2"/>
  <c r="A3092" i="2"/>
  <c r="H3091" i="2"/>
  <c r="G3091" i="2"/>
  <c r="F3091" i="2"/>
  <c r="E3091" i="2"/>
  <c r="D3091" i="2"/>
  <c r="C3091" i="2"/>
  <c r="B3091" i="2"/>
  <c r="A3091" i="2"/>
  <c r="H3090" i="2"/>
  <c r="G3090" i="2"/>
  <c r="F3090" i="2"/>
  <c r="E3090" i="2"/>
  <c r="D3090" i="2"/>
  <c r="C3090" i="2"/>
  <c r="B3090" i="2"/>
  <c r="A3090" i="2"/>
  <c r="H3089" i="2"/>
  <c r="G3089" i="2"/>
  <c r="F3089" i="2"/>
  <c r="E3089" i="2"/>
  <c r="D3089" i="2"/>
  <c r="C3089" i="2"/>
  <c r="B3089" i="2"/>
  <c r="A3089" i="2"/>
  <c r="H3088" i="2"/>
  <c r="G3088" i="2"/>
  <c r="F3088" i="2"/>
  <c r="E3088" i="2"/>
  <c r="D3088" i="2"/>
  <c r="C3088" i="2"/>
  <c r="B3088" i="2"/>
  <c r="A3088" i="2"/>
  <c r="H3087" i="2"/>
  <c r="G3087" i="2"/>
  <c r="F3087" i="2"/>
  <c r="E3087" i="2"/>
  <c r="D3087" i="2"/>
  <c r="C3087" i="2"/>
  <c r="B3087" i="2"/>
  <c r="A3087" i="2"/>
  <c r="H3086" i="2"/>
  <c r="G3086" i="2"/>
  <c r="F3086" i="2"/>
  <c r="E3086" i="2"/>
  <c r="D3086" i="2"/>
  <c r="C3086" i="2"/>
  <c r="B3086" i="2"/>
  <c r="A3086" i="2"/>
  <c r="H3085" i="2"/>
  <c r="G3085" i="2"/>
  <c r="F3085" i="2"/>
  <c r="E3085" i="2"/>
  <c r="D3085" i="2"/>
  <c r="C3085" i="2"/>
  <c r="B3085" i="2"/>
  <c r="A3085" i="2"/>
  <c r="H3084" i="2"/>
  <c r="G3084" i="2"/>
  <c r="F3084" i="2"/>
  <c r="E3084" i="2"/>
  <c r="D3084" i="2"/>
  <c r="C3084" i="2"/>
  <c r="B3084" i="2"/>
  <c r="A3084" i="2"/>
  <c r="H3083" i="2"/>
  <c r="G3083" i="2"/>
  <c r="F3083" i="2"/>
  <c r="E3083" i="2"/>
  <c r="D3083" i="2"/>
  <c r="C3083" i="2"/>
  <c r="B3083" i="2"/>
  <c r="A3083" i="2"/>
  <c r="H3082" i="2"/>
  <c r="G3082" i="2"/>
  <c r="F3082" i="2"/>
  <c r="E3082" i="2"/>
  <c r="D3082" i="2"/>
  <c r="C3082" i="2"/>
  <c r="B3082" i="2"/>
  <c r="A3082" i="2"/>
  <c r="H3081" i="2"/>
  <c r="G3081" i="2"/>
  <c r="F3081" i="2"/>
  <c r="E3081" i="2"/>
  <c r="D3081" i="2"/>
  <c r="C3081" i="2"/>
  <c r="B3081" i="2"/>
  <c r="A3081" i="2"/>
  <c r="H3080" i="2"/>
  <c r="G3080" i="2"/>
  <c r="F3080" i="2"/>
  <c r="E3080" i="2"/>
  <c r="D3080" i="2"/>
  <c r="C3080" i="2"/>
  <c r="B3080" i="2"/>
  <c r="A3080" i="2"/>
  <c r="H3079" i="2"/>
  <c r="G3079" i="2"/>
  <c r="F3079" i="2"/>
  <c r="E3079" i="2"/>
  <c r="D3079" i="2"/>
  <c r="C3079" i="2"/>
  <c r="B3079" i="2"/>
  <c r="A3079" i="2"/>
  <c r="H3078" i="2"/>
  <c r="G3078" i="2"/>
  <c r="F3078" i="2"/>
  <c r="E3078" i="2"/>
  <c r="D3078" i="2"/>
  <c r="C3078" i="2"/>
  <c r="B3078" i="2"/>
  <c r="A3078" i="2"/>
  <c r="H3077" i="2"/>
  <c r="G3077" i="2"/>
  <c r="F3077" i="2"/>
  <c r="E3077" i="2"/>
  <c r="D3077" i="2"/>
  <c r="C3077" i="2"/>
  <c r="B3077" i="2"/>
  <c r="A3077" i="2"/>
  <c r="H3076" i="2"/>
  <c r="G3076" i="2"/>
  <c r="F3076" i="2"/>
  <c r="E3076" i="2"/>
  <c r="D3076" i="2"/>
  <c r="C3076" i="2"/>
  <c r="B3076" i="2"/>
  <c r="A3076" i="2"/>
  <c r="H3075" i="2"/>
  <c r="G3075" i="2"/>
  <c r="F3075" i="2"/>
  <c r="E3075" i="2"/>
  <c r="D3075" i="2"/>
  <c r="C3075" i="2"/>
  <c r="B3075" i="2"/>
  <c r="A3075" i="2"/>
  <c r="H3074" i="2"/>
  <c r="G3074" i="2"/>
  <c r="F3074" i="2"/>
  <c r="E3074" i="2"/>
  <c r="D3074" i="2"/>
  <c r="C3074" i="2"/>
  <c r="B3074" i="2"/>
  <c r="A3074" i="2"/>
  <c r="H3073" i="2"/>
  <c r="G3073" i="2"/>
  <c r="F3073" i="2"/>
  <c r="E3073" i="2"/>
  <c r="D3073" i="2"/>
  <c r="C3073" i="2"/>
  <c r="B3073" i="2"/>
  <c r="A3073" i="2"/>
  <c r="H3072" i="2"/>
  <c r="G3072" i="2"/>
  <c r="F3072" i="2"/>
  <c r="E3072" i="2"/>
  <c r="D3072" i="2"/>
  <c r="C3072" i="2"/>
  <c r="B3072" i="2"/>
  <c r="A3072" i="2"/>
  <c r="H3071" i="2"/>
  <c r="G3071" i="2"/>
  <c r="F3071" i="2"/>
  <c r="E3071" i="2"/>
  <c r="D3071" i="2"/>
  <c r="C3071" i="2"/>
  <c r="B3071" i="2"/>
  <c r="A3071" i="2"/>
  <c r="H3070" i="2"/>
  <c r="G3070" i="2"/>
  <c r="F3070" i="2"/>
  <c r="E3070" i="2"/>
  <c r="D3070" i="2"/>
  <c r="C3070" i="2"/>
  <c r="B3070" i="2"/>
  <c r="A3070" i="2"/>
  <c r="H3069" i="2"/>
  <c r="G3069" i="2"/>
  <c r="F3069" i="2"/>
  <c r="E3069" i="2"/>
  <c r="D3069" i="2"/>
  <c r="C3069" i="2"/>
  <c r="B3069" i="2"/>
  <c r="A3069" i="2"/>
  <c r="H3068" i="2"/>
  <c r="G3068" i="2"/>
  <c r="F3068" i="2"/>
  <c r="E3068" i="2"/>
  <c r="D3068" i="2"/>
  <c r="C3068" i="2"/>
  <c r="B3068" i="2"/>
  <c r="A3068" i="2"/>
  <c r="H3067" i="2"/>
  <c r="G3067" i="2"/>
  <c r="F3067" i="2"/>
  <c r="E3067" i="2"/>
  <c r="D3067" i="2"/>
  <c r="C3067" i="2"/>
  <c r="B3067" i="2"/>
  <c r="A3067" i="2"/>
  <c r="H3066" i="2"/>
  <c r="G3066" i="2"/>
  <c r="F3066" i="2"/>
  <c r="E3066" i="2"/>
  <c r="D3066" i="2"/>
  <c r="C3066" i="2"/>
  <c r="B3066" i="2"/>
  <c r="A3066" i="2"/>
  <c r="H3065" i="2"/>
  <c r="G3065" i="2"/>
  <c r="F3065" i="2"/>
  <c r="E3065" i="2"/>
  <c r="D3065" i="2"/>
  <c r="C3065" i="2"/>
  <c r="B3065" i="2"/>
  <c r="A3065" i="2"/>
  <c r="H3064" i="2"/>
  <c r="G3064" i="2"/>
  <c r="F3064" i="2"/>
  <c r="E3064" i="2"/>
  <c r="D3064" i="2"/>
  <c r="C3064" i="2"/>
  <c r="B3064" i="2"/>
  <c r="A3064" i="2"/>
  <c r="H3063" i="2"/>
  <c r="G3063" i="2"/>
  <c r="F3063" i="2"/>
  <c r="E3063" i="2"/>
  <c r="D3063" i="2"/>
  <c r="C3063" i="2"/>
  <c r="B3063" i="2"/>
  <c r="A3063" i="2"/>
  <c r="H3062" i="2"/>
  <c r="G3062" i="2"/>
  <c r="F3062" i="2"/>
  <c r="E3062" i="2"/>
  <c r="D3062" i="2"/>
  <c r="C3062" i="2"/>
  <c r="B3062" i="2"/>
  <c r="A3062" i="2"/>
  <c r="H3061" i="2"/>
  <c r="G3061" i="2"/>
  <c r="F3061" i="2"/>
  <c r="E3061" i="2"/>
  <c r="D3061" i="2"/>
  <c r="C3061" i="2"/>
  <c r="B3061" i="2"/>
  <c r="A3061" i="2"/>
  <c r="H3060" i="2"/>
  <c r="G3060" i="2"/>
  <c r="F3060" i="2"/>
  <c r="E3060" i="2"/>
  <c r="D3060" i="2"/>
  <c r="C3060" i="2"/>
  <c r="B3060" i="2"/>
  <c r="A3060" i="2"/>
  <c r="H3059" i="2"/>
  <c r="G3059" i="2"/>
  <c r="F3059" i="2"/>
  <c r="E3059" i="2"/>
  <c r="D3059" i="2"/>
  <c r="C3059" i="2"/>
  <c r="B3059" i="2"/>
  <c r="A3059" i="2"/>
  <c r="H3058" i="2"/>
  <c r="G3058" i="2"/>
  <c r="F3058" i="2"/>
  <c r="E3058" i="2"/>
  <c r="D3058" i="2"/>
  <c r="C3058" i="2"/>
  <c r="B3058" i="2"/>
  <c r="A3058" i="2"/>
  <c r="H3057" i="2"/>
  <c r="G3057" i="2"/>
  <c r="F3057" i="2"/>
  <c r="E3057" i="2"/>
  <c r="D3057" i="2"/>
  <c r="C3057" i="2"/>
  <c r="B3057" i="2"/>
  <c r="A3057" i="2"/>
  <c r="H3056" i="2"/>
  <c r="G3056" i="2"/>
  <c r="F3056" i="2"/>
  <c r="E3056" i="2"/>
  <c r="D3056" i="2"/>
  <c r="C3056" i="2"/>
  <c r="B3056" i="2"/>
  <c r="A3056" i="2"/>
  <c r="H3055" i="2"/>
  <c r="G3055" i="2"/>
  <c r="F3055" i="2"/>
  <c r="E3055" i="2"/>
  <c r="D3055" i="2"/>
  <c r="C3055" i="2"/>
  <c r="B3055" i="2"/>
  <c r="A3055" i="2"/>
  <c r="H3054" i="2"/>
  <c r="G3054" i="2"/>
  <c r="F3054" i="2"/>
  <c r="E3054" i="2"/>
  <c r="D3054" i="2"/>
  <c r="C3054" i="2"/>
  <c r="B3054" i="2"/>
  <c r="A3054" i="2"/>
  <c r="H3053" i="2"/>
  <c r="G3053" i="2"/>
  <c r="F3053" i="2"/>
  <c r="E3053" i="2"/>
  <c r="D3053" i="2"/>
  <c r="C3053" i="2"/>
  <c r="B3053" i="2"/>
  <c r="A3053" i="2"/>
  <c r="H3052" i="2"/>
  <c r="G3052" i="2"/>
  <c r="F3052" i="2"/>
  <c r="E3052" i="2"/>
  <c r="D3052" i="2"/>
  <c r="C3052" i="2"/>
  <c r="B3052" i="2"/>
  <c r="A3052" i="2"/>
  <c r="H3051" i="2"/>
  <c r="G3051" i="2"/>
  <c r="F3051" i="2"/>
  <c r="E3051" i="2"/>
  <c r="D3051" i="2"/>
  <c r="C3051" i="2"/>
  <c r="B3051" i="2"/>
  <c r="A3051" i="2"/>
  <c r="H3050" i="2"/>
  <c r="G3050" i="2"/>
  <c r="F3050" i="2"/>
  <c r="E3050" i="2"/>
  <c r="D3050" i="2"/>
  <c r="C3050" i="2"/>
  <c r="B3050" i="2"/>
  <c r="A3050" i="2"/>
  <c r="H3049" i="2"/>
  <c r="G3049" i="2"/>
  <c r="F3049" i="2"/>
  <c r="E3049" i="2"/>
  <c r="D3049" i="2"/>
  <c r="C3049" i="2"/>
  <c r="B3049" i="2"/>
  <c r="A3049" i="2"/>
  <c r="H3048" i="2"/>
  <c r="G3048" i="2"/>
  <c r="F3048" i="2"/>
  <c r="E3048" i="2"/>
  <c r="D3048" i="2"/>
  <c r="C3048" i="2"/>
  <c r="B3048" i="2"/>
  <c r="A3048" i="2"/>
  <c r="H3047" i="2"/>
  <c r="G3047" i="2"/>
  <c r="F3047" i="2"/>
  <c r="E3047" i="2"/>
  <c r="D3047" i="2"/>
  <c r="C3047" i="2"/>
  <c r="B3047" i="2"/>
  <c r="A3047" i="2"/>
  <c r="H3046" i="2"/>
  <c r="G3046" i="2"/>
  <c r="F3046" i="2"/>
  <c r="E3046" i="2"/>
  <c r="D3046" i="2"/>
  <c r="C3046" i="2"/>
  <c r="B3046" i="2"/>
  <c r="A3046" i="2"/>
  <c r="H3045" i="2"/>
  <c r="G3045" i="2"/>
  <c r="F3045" i="2"/>
  <c r="E3045" i="2"/>
  <c r="D3045" i="2"/>
  <c r="C3045" i="2"/>
  <c r="B3045" i="2"/>
  <c r="A3045" i="2"/>
  <c r="H3044" i="2"/>
  <c r="G3044" i="2"/>
  <c r="F3044" i="2"/>
  <c r="E3044" i="2"/>
  <c r="D3044" i="2"/>
  <c r="C3044" i="2"/>
  <c r="B3044" i="2"/>
  <c r="A3044" i="2"/>
  <c r="H3043" i="2"/>
  <c r="G3043" i="2"/>
  <c r="F3043" i="2"/>
  <c r="E3043" i="2"/>
  <c r="D3043" i="2"/>
  <c r="C3043" i="2"/>
  <c r="B3043" i="2"/>
  <c r="A3043" i="2"/>
  <c r="H3042" i="2"/>
  <c r="G3042" i="2"/>
  <c r="F3042" i="2"/>
  <c r="E3042" i="2"/>
  <c r="D3042" i="2"/>
  <c r="C3042" i="2"/>
  <c r="B3042" i="2"/>
  <c r="A3042" i="2"/>
  <c r="H3041" i="2"/>
  <c r="G3041" i="2"/>
  <c r="F3041" i="2"/>
  <c r="E3041" i="2"/>
  <c r="D3041" i="2"/>
  <c r="C3041" i="2"/>
  <c r="B3041" i="2"/>
  <c r="A3041" i="2"/>
  <c r="H3040" i="2"/>
  <c r="G3040" i="2"/>
  <c r="F3040" i="2"/>
  <c r="E3040" i="2"/>
  <c r="D3040" i="2"/>
  <c r="C3040" i="2"/>
  <c r="B3040" i="2"/>
  <c r="A3040" i="2"/>
  <c r="H3039" i="2"/>
  <c r="G3039" i="2"/>
  <c r="F3039" i="2"/>
  <c r="E3039" i="2"/>
  <c r="D3039" i="2"/>
  <c r="C3039" i="2"/>
  <c r="B3039" i="2"/>
  <c r="A3039" i="2"/>
  <c r="H3038" i="2"/>
  <c r="G3038" i="2"/>
  <c r="F3038" i="2"/>
  <c r="E3038" i="2"/>
  <c r="D3038" i="2"/>
  <c r="C3038" i="2"/>
  <c r="B3038" i="2"/>
  <c r="A3038" i="2"/>
  <c r="H3037" i="2"/>
  <c r="G3037" i="2"/>
  <c r="F3037" i="2"/>
  <c r="E3037" i="2"/>
  <c r="D3037" i="2"/>
  <c r="C3037" i="2"/>
  <c r="B3037" i="2"/>
  <c r="A3037" i="2"/>
  <c r="H3036" i="2"/>
  <c r="G3036" i="2"/>
  <c r="F3036" i="2"/>
  <c r="E3036" i="2"/>
  <c r="D3036" i="2"/>
  <c r="C3036" i="2"/>
  <c r="B3036" i="2"/>
  <c r="A3036" i="2"/>
  <c r="H3035" i="2"/>
  <c r="G3035" i="2"/>
  <c r="F3035" i="2"/>
  <c r="E3035" i="2"/>
  <c r="D3035" i="2"/>
  <c r="C3035" i="2"/>
  <c r="B3035" i="2"/>
  <c r="A3035" i="2"/>
  <c r="H3034" i="2"/>
  <c r="G3034" i="2"/>
  <c r="F3034" i="2"/>
  <c r="E3034" i="2"/>
  <c r="D3034" i="2"/>
  <c r="C3034" i="2"/>
  <c r="B3034" i="2"/>
  <c r="A3034" i="2"/>
  <c r="H3033" i="2"/>
  <c r="G3033" i="2"/>
  <c r="F3033" i="2"/>
  <c r="E3033" i="2"/>
  <c r="D3033" i="2"/>
  <c r="C3033" i="2"/>
  <c r="B3033" i="2"/>
  <c r="A3033" i="2"/>
  <c r="H3032" i="2"/>
  <c r="G3032" i="2"/>
  <c r="F3032" i="2"/>
  <c r="E3032" i="2"/>
  <c r="D3032" i="2"/>
  <c r="C3032" i="2"/>
  <c r="B3032" i="2"/>
  <c r="A3032" i="2"/>
  <c r="H3031" i="2"/>
  <c r="G3031" i="2"/>
  <c r="F3031" i="2"/>
  <c r="E3031" i="2"/>
  <c r="D3031" i="2"/>
  <c r="C3031" i="2"/>
  <c r="B3031" i="2"/>
  <c r="A3031" i="2"/>
  <c r="H3030" i="2"/>
  <c r="G3030" i="2"/>
  <c r="F3030" i="2"/>
  <c r="E3030" i="2"/>
  <c r="D3030" i="2"/>
  <c r="C3030" i="2"/>
  <c r="B3030" i="2"/>
  <c r="A3030" i="2"/>
  <c r="H3029" i="2"/>
  <c r="G3029" i="2"/>
  <c r="F3029" i="2"/>
  <c r="E3029" i="2"/>
  <c r="D3029" i="2"/>
  <c r="C3029" i="2"/>
  <c r="B3029" i="2"/>
  <c r="A3029" i="2"/>
  <c r="H3028" i="2"/>
  <c r="G3028" i="2"/>
  <c r="F3028" i="2"/>
  <c r="E3028" i="2"/>
  <c r="D3028" i="2"/>
  <c r="C3028" i="2"/>
  <c r="B3028" i="2"/>
  <c r="A3028" i="2"/>
  <c r="H3027" i="2"/>
  <c r="G3027" i="2"/>
  <c r="F3027" i="2"/>
  <c r="E3027" i="2"/>
  <c r="D3027" i="2"/>
  <c r="C3027" i="2"/>
  <c r="B3027" i="2"/>
  <c r="A3027" i="2"/>
  <c r="H3026" i="2"/>
  <c r="G3026" i="2"/>
  <c r="F3026" i="2"/>
  <c r="E3026" i="2"/>
  <c r="D3026" i="2"/>
  <c r="C3026" i="2"/>
  <c r="B3026" i="2"/>
  <c r="A3026" i="2"/>
  <c r="H3025" i="2"/>
  <c r="G3025" i="2"/>
  <c r="F3025" i="2"/>
  <c r="E3025" i="2"/>
  <c r="D3025" i="2"/>
  <c r="C3025" i="2"/>
  <c r="B3025" i="2"/>
  <c r="A3025" i="2"/>
  <c r="H3024" i="2"/>
  <c r="G3024" i="2"/>
  <c r="F3024" i="2"/>
  <c r="E3024" i="2"/>
  <c r="D3024" i="2"/>
  <c r="C3024" i="2"/>
  <c r="B3024" i="2"/>
  <c r="A3024" i="2"/>
  <c r="H3023" i="2"/>
  <c r="G3023" i="2"/>
  <c r="F3023" i="2"/>
  <c r="E3023" i="2"/>
  <c r="D3023" i="2"/>
  <c r="C3023" i="2"/>
  <c r="B3023" i="2"/>
  <c r="A3023" i="2"/>
  <c r="H3022" i="2"/>
  <c r="G3022" i="2"/>
  <c r="F3022" i="2"/>
  <c r="E3022" i="2"/>
  <c r="D3022" i="2"/>
  <c r="C3022" i="2"/>
  <c r="B3022" i="2"/>
  <c r="A3022" i="2"/>
  <c r="H3021" i="2"/>
  <c r="G3021" i="2"/>
  <c r="F3021" i="2"/>
  <c r="E3021" i="2"/>
  <c r="D3021" i="2"/>
  <c r="C3021" i="2"/>
  <c r="B3021" i="2"/>
  <c r="A3021" i="2"/>
  <c r="H3020" i="2"/>
  <c r="G3020" i="2"/>
  <c r="F3020" i="2"/>
  <c r="E3020" i="2"/>
  <c r="D3020" i="2"/>
  <c r="C3020" i="2"/>
  <c r="B3020" i="2"/>
  <c r="A3020" i="2"/>
  <c r="H3019" i="2"/>
  <c r="G3019" i="2"/>
  <c r="F3019" i="2"/>
  <c r="E3019" i="2"/>
  <c r="D3019" i="2"/>
  <c r="C3019" i="2"/>
  <c r="B3019" i="2"/>
  <c r="A3019" i="2"/>
  <c r="H3018" i="2"/>
  <c r="G3018" i="2"/>
  <c r="F3018" i="2"/>
  <c r="E3018" i="2"/>
  <c r="D3018" i="2"/>
  <c r="C3018" i="2"/>
  <c r="B3018" i="2"/>
  <c r="A3018" i="2"/>
  <c r="H3017" i="2"/>
  <c r="G3017" i="2"/>
  <c r="F3017" i="2"/>
  <c r="E3017" i="2"/>
  <c r="D3017" i="2"/>
  <c r="C3017" i="2"/>
  <c r="B3017" i="2"/>
  <c r="A3017" i="2"/>
  <c r="H3016" i="2"/>
  <c r="G3016" i="2"/>
  <c r="F3016" i="2"/>
  <c r="E3016" i="2"/>
  <c r="D3016" i="2"/>
  <c r="C3016" i="2"/>
  <c r="B3016" i="2"/>
  <c r="A3016" i="2"/>
  <c r="H3015" i="2"/>
  <c r="G3015" i="2"/>
  <c r="F3015" i="2"/>
  <c r="E3015" i="2"/>
  <c r="D3015" i="2"/>
  <c r="C3015" i="2"/>
  <c r="B3015" i="2"/>
  <c r="A3015" i="2"/>
  <c r="H3014" i="2"/>
  <c r="G3014" i="2"/>
  <c r="F3014" i="2"/>
  <c r="E3014" i="2"/>
  <c r="D3014" i="2"/>
  <c r="C3014" i="2"/>
  <c r="B3014" i="2"/>
  <c r="A3014" i="2"/>
  <c r="H3013" i="2"/>
  <c r="G3013" i="2"/>
  <c r="F3013" i="2"/>
  <c r="E3013" i="2"/>
  <c r="D3013" i="2"/>
  <c r="C3013" i="2"/>
  <c r="B3013" i="2"/>
  <c r="A3013" i="2"/>
  <c r="H3012" i="2"/>
  <c r="G3012" i="2"/>
  <c r="F3012" i="2"/>
  <c r="E3012" i="2"/>
  <c r="D3012" i="2"/>
  <c r="C3012" i="2"/>
  <c r="B3012" i="2"/>
  <c r="A3012" i="2"/>
  <c r="H3011" i="2"/>
  <c r="G3011" i="2"/>
  <c r="F3011" i="2"/>
  <c r="E3011" i="2"/>
  <c r="D3011" i="2"/>
  <c r="C3011" i="2"/>
  <c r="B3011" i="2"/>
  <c r="A3011" i="2"/>
  <c r="H3010" i="2"/>
  <c r="G3010" i="2"/>
  <c r="F3010" i="2"/>
  <c r="E3010" i="2"/>
  <c r="D3010" i="2"/>
  <c r="C3010" i="2"/>
  <c r="B3010" i="2"/>
  <c r="A3010" i="2"/>
  <c r="H3009" i="2"/>
  <c r="G3009" i="2"/>
  <c r="F3009" i="2"/>
  <c r="E3009" i="2"/>
  <c r="D3009" i="2"/>
  <c r="C3009" i="2"/>
  <c r="B3009" i="2"/>
  <c r="A3009" i="2"/>
  <c r="H3008" i="2"/>
  <c r="G3008" i="2"/>
  <c r="F3008" i="2"/>
  <c r="E3008" i="2"/>
  <c r="D3008" i="2"/>
  <c r="C3008" i="2"/>
  <c r="B3008" i="2"/>
  <c r="A3008" i="2"/>
  <c r="H3007" i="2"/>
  <c r="G3007" i="2"/>
  <c r="F3007" i="2"/>
  <c r="E3007" i="2"/>
  <c r="D3007" i="2"/>
  <c r="C3007" i="2"/>
  <c r="B3007" i="2"/>
  <c r="A3007" i="2"/>
  <c r="H3006" i="2"/>
  <c r="G3006" i="2"/>
  <c r="F3006" i="2"/>
  <c r="E3006" i="2"/>
  <c r="D3006" i="2"/>
  <c r="C3006" i="2"/>
  <c r="B3006" i="2"/>
  <c r="A3006" i="2"/>
  <c r="H3005" i="2"/>
  <c r="G3005" i="2"/>
  <c r="F3005" i="2"/>
  <c r="E3005" i="2"/>
  <c r="D3005" i="2"/>
  <c r="C3005" i="2"/>
  <c r="B3005" i="2"/>
  <c r="A3005" i="2"/>
  <c r="H3004" i="2"/>
  <c r="G3004" i="2"/>
  <c r="F3004" i="2"/>
  <c r="E3004" i="2"/>
  <c r="D3004" i="2"/>
  <c r="C3004" i="2"/>
  <c r="B3004" i="2"/>
  <c r="A3004" i="2"/>
  <c r="H3003" i="2"/>
  <c r="G3003" i="2"/>
  <c r="F3003" i="2"/>
  <c r="E3003" i="2"/>
  <c r="D3003" i="2"/>
  <c r="C3003" i="2"/>
  <c r="B3003" i="2"/>
  <c r="A3003" i="2"/>
  <c r="H3002" i="2"/>
  <c r="G3002" i="2"/>
  <c r="F3002" i="2"/>
  <c r="E3002" i="2"/>
  <c r="D3002" i="2"/>
  <c r="C3002" i="2"/>
  <c r="B3002" i="2"/>
  <c r="A3002" i="2"/>
  <c r="H3001" i="2"/>
  <c r="G3001" i="2"/>
  <c r="F3001" i="2"/>
  <c r="E3001" i="2"/>
  <c r="D3001" i="2"/>
  <c r="C3001" i="2"/>
  <c r="B3001" i="2"/>
  <c r="A3001" i="2"/>
  <c r="H3000" i="2"/>
  <c r="G3000" i="2"/>
  <c r="F3000" i="2"/>
  <c r="E3000" i="2"/>
  <c r="D3000" i="2"/>
  <c r="C3000" i="2"/>
  <c r="B3000" i="2"/>
  <c r="A3000" i="2"/>
  <c r="H2999" i="2"/>
  <c r="G2999" i="2"/>
  <c r="F2999" i="2"/>
  <c r="E2999" i="2"/>
  <c r="D2999" i="2"/>
  <c r="C2999" i="2"/>
  <c r="B2999" i="2"/>
  <c r="A2999" i="2"/>
  <c r="H2998" i="2"/>
  <c r="G2998" i="2"/>
  <c r="F2998" i="2"/>
  <c r="E2998" i="2"/>
  <c r="D2998" i="2"/>
  <c r="C2998" i="2"/>
  <c r="B2998" i="2"/>
  <c r="A2998" i="2"/>
  <c r="H2997" i="2"/>
  <c r="G2997" i="2"/>
  <c r="F2997" i="2"/>
  <c r="E2997" i="2"/>
  <c r="D2997" i="2"/>
  <c r="C2997" i="2"/>
  <c r="B2997" i="2"/>
  <c r="A2997" i="2"/>
  <c r="H2996" i="2"/>
  <c r="G2996" i="2"/>
  <c r="F2996" i="2"/>
  <c r="E2996" i="2"/>
  <c r="D2996" i="2"/>
  <c r="C2996" i="2"/>
  <c r="B2996" i="2"/>
  <c r="A2996" i="2"/>
  <c r="H2995" i="2"/>
  <c r="G2995" i="2"/>
  <c r="F2995" i="2"/>
  <c r="E2995" i="2"/>
  <c r="D2995" i="2"/>
  <c r="C2995" i="2"/>
  <c r="B2995" i="2"/>
  <c r="A2995" i="2"/>
  <c r="H2994" i="2"/>
  <c r="G2994" i="2"/>
  <c r="F2994" i="2"/>
  <c r="E2994" i="2"/>
  <c r="D2994" i="2"/>
  <c r="C2994" i="2"/>
  <c r="B2994" i="2"/>
  <c r="A2994" i="2"/>
  <c r="H2993" i="2"/>
  <c r="G2993" i="2"/>
  <c r="F2993" i="2"/>
  <c r="E2993" i="2"/>
  <c r="D2993" i="2"/>
  <c r="C2993" i="2"/>
  <c r="B2993" i="2"/>
  <c r="A2993" i="2"/>
  <c r="H2992" i="2"/>
  <c r="G2992" i="2"/>
  <c r="F2992" i="2"/>
  <c r="E2992" i="2"/>
  <c r="D2992" i="2"/>
  <c r="C2992" i="2"/>
  <c r="B2992" i="2"/>
  <c r="A2992" i="2"/>
  <c r="H2991" i="2"/>
  <c r="G2991" i="2"/>
  <c r="F2991" i="2"/>
  <c r="E2991" i="2"/>
  <c r="D2991" i="2"/>
  <c r="C2991" i="2"/>
  <c r="B2991" i="2"/>
  <c r="A2991" i="2"/>
  <c r="H2990" i="2"/>
  <c r="G2990" i="2"/>
  <c r="F2990" i="2"/>
  <c r="E2990" i="2"/>
  <c r="D2990" i="2"/>
  <c r="C2990" i="2"/>
  <c r="B2990" i="2"/>
  <c r="A2990" i="2"/>
  <c r="H2989" i="2"/>
  <c r="G2989" i="2"/>
  <c r="F2989" i="2"/>
  <c r="E2989" i="2"/>
  <c r="D2989" i="2"/>
  <c r="C2989" i="2"/>
  <c r="B2989" i="2"/>
  <c r="A2989" i="2"/>
  <c r="H2988" i="2"/>
  <c r="G2988" i="2"/>
  <c r="F2988" i="2"/>
  <c r="E2988" i="2"/>
  <c r="D2988" i="2"/>
  <c r="C2988" i="2"/>
  <c r="B2988" i="2"/>
  <c r="A2988" i="2"/>
  <c r="H2987" i="2"/>
  <c r="G2987" i="2"/>
  <c r="F2987" i="2"/>
  <c r="E2987" i="2"/>
  <c r="D2987" i="2"/>
  <c r="C2987" i="2"/>
  <c r="B2987" i="2"/>
  <c r="A2987" i="2"/>
  <c r="H2986" i="2"/>
  <c r="G2986" i="2"/>
  <c r="F2986" i="2"/>
  <c r="E2986" i="2"/>
  <c r="D2986" i="2"/>
  <c r="C2986" i="2"/>
  <c r="B2986" i="2"/>
  <c r="A2986" i="2"/>
  <c r="H2985" i="2"/>
  <c r="G2985" i="2"/>
  <c r="F2985" i="2"/>
  <c r="E2985" i="2"/>
  <c r="D2985" i="2"/>
  <c r="C2985" i="2"/>
  <c r="B2985" i="2"/>
  <c r="A2985" i="2"/>
  <c r="H2984" i="2"/>
  <c r="G2984" i="2"/>
  <c r="F2984" i="2"/>
  <c r="E2984" i="2"/>
  <c r="D2984" i="2"/>
  <c r="C2984" i="2"/>
  <c r="B2984" i="2"/>
  <c r="A2984" i="2"/>
  <c r="H2983" i="2"/>
  <c r="G2983" i="2"/>
  <c r="F2983" i="2"/>
  <c r="E2983" i="2"/>
  <c r="D2983" i="2"/>
  <c r="C2983" i="2"/>
  <c r="B2983" i="2"/>
  <c r="A2983" i="2"/>
  <c r="H2982" i="2"/>
  <c r="G2982" i="2"/>
  <c r="F2982" i="2"/>
  <c r="E2982" i="2"/>
  <c r="D2982" i="2"/>
  <c r="C2982" i="2"/>
  <c r="B2982" i="2"/>
  <c r="A2982" i="2"/>
  <c r="H2981" i="2"/>
  <c r="G2981" i="2"/>
  <c r="F2981" i="2"/>
  <c r="E2981" i="2"/>
  <c r="D2981" i="2"/>
  <c r="C2981" i="2"/>
  <c r="B2981" i="2"/>
  <c r="A2981" i="2"/>
  <c r="H2980" i="2"/>
  <c r="G2980" i="2"/>
  <c r="F2980" i="2"/>
  <c r="E2980" i="2"/>
  <c r="D2980" i="2"/>
  <c r="C2980" i="2"/>
  <c r="B2980" i="2"/>
  <c r="A2980" i="2"/>
  <c r="H2979" i="2"/>
  <c r="G2979" i="2"/>
  <c r="F2979" i="2"/>
  <c r="E2979" i="2"/>
  <c r="D2979" i="2"/>
  <c r="C2979" i="2"/>
  <c r="B2979" i="2"/>
  <c r="A2979" i="2"/>
  <c r="H2978" i="2"/>
  <c r="G2978" i="2"/>
  <c r="F2978" i="2"/>
  <c r="E2978" i="2"/>
  <c r="D2978" i="2"/>
  <c r="C2978" i="2"/>
  <c r="B2978" i="2"/>
  <c r="A2978" i="2"/>
  <c r="H2977" i="2"/>
  <c r="G2977" i="2"/>
  <c r="F2977" i="2"/>
  <c r="E2977" i="2"/>
  <c r="D2977" i="2"/>
  <c r="C2977" i="2"/>
  <c r="B2977" i="2"/>
  <c r="A2977" i="2"/>
  <c r="H2976" i="2"/>
  <c r="G2976" i="2"/>
  <c r="F2976" i="2"/>
  <c r="E2976" i="2"/>
  <c r="D2976" i="2"/>
  <c r="C2976" i="2"/>
  <c r="B2976" i="2"/>
  <c r="A2976" i="2"/>
  <c r="H2975" i="2"/>
  <c r="G2975" i="2"/>
  <c r="F2975" i="2"/>
  <c r="E2975" i="2"/>
  <c r="D2975" i="2"/>
  <c r="C2975" i="2"/>
  <c r="B2975" i="2"/>
  <c r="A2975" i="2"/>
  <c r="H2974" i="2"/>
  <c r="G2974" i="2"/>
  <c r="F2974" i="2"/>
  <c r="E2974" i="2"/>
  <c r="D2974" i="2"/>
  <c r="C2974" i="2"/>
  <c r="B2974" i="2"/>
  <c r="A2974" i="2"/>
  <c r="H2973" i="2"/>
  <c r="G2973" i="2"/>
  <c r="F2973" i="2"/>
  <c r="E2973" i="2"/>
  <c r="D2973" i="2"/>
  <c r="C2973" i="2"/>
  <c r="B2973" i="2"/>
  <c r="A2973" i="2"/>
  <c r="H2972" i="2"/>
  <c r="G2972" i="2"/>
  <c r="F2972" i="2"/>
  <c r="E2972" i="2"/>
  <c r="D2972" i="2"/>
  <c r="C2972" i="2"/>
  <c r="B2972" i="2"/>
  <c r="A2972" i="2"/>
  <c r="H2971" i="2"/>
  <c r="G2971" i="2"/>
  <c r="F2971" i="2"/>
  <c r="E2971" i="2"/>
  <c r="D2971" i="2"/>
  <c r="C2971" i="2"/>
  <c r="B2971" i="2"/>
  <c r="A2971" i="2"/>
  <c r="H2970" i="2"/>
  <c r="G2970" i="2"/>
  <c r="F2970" i="2"/>
  <c r="E2970" i="2"/>
  <c r="D2970" i="2"/>
  <c r="C2970" i="2"/>
  <c r="B2970" i="2"/>
  <c r="A2970" i="2"/>
  <c r="H2969" i="2"/>
  <c r="G2969" i="2"/>
  <c r="F2969" i="2"/>
  <c r="E2969" i="2"/>
  <c r="D2969" i="2"/>
  <c r="C2969" i="2"/>
  <c r="B2969" i="2"/>
  <c r="A2969" i="2"/>
  <c r="H2968" i="2"/>
  <c r="G2968" i="2"/>
  <c r="F2968" i="2"/>
  <c r="E2968" i="2"/>
  <c r="D2968" i="2"/>
  <c r="C2968" i="2"/>
  <c r="B2968" i="2"/>
  <c r="A2968" i="2"/>
  <c r="H2967" i="2"/>
  <c r="G2967" i="2"/>
  <c r="F2967" i="2"/>
  <c r="E2967" i="2"/>
  <c r="D2967" i="2"/>
  <c r="C2967" i="2"/>
  <c r="B2967" i="2"/>
  <c r="A2967" i="2"/>
  <c r="H2966" i="2"/>
  <c r="G2966" i="2"/>
  <c r="F2966" i="2"/>
  <c r="E2966" i="2"/>
  <c r="D2966" i="2"/>
  <c r="C2966" i="2"/>
  <c r="B2966" i="2"/>
  <c r="A2966" i="2"/>
  <c r="H2965" i="2"/>
  <c r="G2965" i="2"/>
  <c r="F2965" i="2"/>
  <c r="E2965" i="2"/>
  <c r="D2965" i="2"/>
  <c r="C2965" i="2"/>
  <c r="B2965" i="2"/>
  <c r="A2965" i="2"/>
  <c r="H2964" i="2"/>
  <c r="G2964" i="2"/>
  <c r="F2964" i="2"/>
  <c r="E2964" i="2"/>
  <c r="D2964" i="2"/>
  <c r="C2964" i="2"/>
  <c r="B2964" i="2"/>
  <c r="A2964" i="2"/>
  <c r="H2963" i="2"/>
  <c r="G2963" i="2"/>
  <c r="F2963" i="2"/>
  <c r="E2963" i="2"/>
  <c r="D2963" i="2"/>
  <c r="C2963" i="2"/>
  <c r="B2963" i="2"/>
  <c r="A2963" i="2"/>
  <c r="H2962" i="2"/>
  <c r="G2962" i="2"/>
  <c r="F2962" i="2"/>
  <c r="E2962" i="2"/>
  <c r="D2962" i="2"/>
  <c r="C2962" i="2"/>
  <c r="B2962" i="2"/>
  <c r="A2962" i="2"/>
  <c r="H2961" i="2"/>
  <c r="G2961" i="2"/>
  <c r="F2961" i="2"/>
  <c r="E2961" i="2"/>
  <c r="D2961" i="2"/>
  <c r="C2961" i="2"/>
  <c r="B2961" i="2"/>
  <c r="A2961" i="2"/>
  <c r="H2960" i="2"/>
  <c r="G2960" i="2"/>
  <c r="F2960" i="2"/>
  <c r="E2960" i="2"/>
  <c r="D2960" i="2"/>
  <c r="C2960" i="2"/>
  <c r="B2960" i="2"/>
  <c r="A2960" i="2"/>
  <c r="H2959" i="2"/>
  <c r="G2959" i="2"/>
  <c r="F2959" i="2"/>
  <c r="E2959" i="2"/>
  <c r="D2959" i="2"/>
  <c r="C2959" i="2"/>
  <c r="B2959" i="2"/>
  <c r="A2959" i="2"/>
  <c r="H2958" i="2"/>
  <c r="G2958" i="2"/>
  <c r="F2958" i="2"/>
  <c r="E2958" i="2"/>
  <c r="D2958" i="2"/>
  <c r="C2958" i="2"/>
  <c r="B2958" i="2"/>
  <c r="A2958" i="2"/>
  <c r="H2957" i="2"/>
  <c r="G2957" i="2"/>
  <c r="F2957" i="2"/>
  <c r="E2957" i="2"/>
  <c r="D2957" i="2"/>
  <c r="C2957" i="2"/>
  <c r="B2957" i="2"/>
  <c r="A2957" i="2"/>
  <c r="H2956" i="2"/>
  <c r="G2956" i="2"/>
  <c r="F2956" i="2"/>
  <c r="E2956" i="2"/>
  <c r="D2956" i="2"/>
  <c r="C2956" i="2"/>
  <c r="B2956" i="2"/>
  <c r="A2956" i="2"/>
  <c r="H2955" i="2"/>
  <c r="G2955" i="2"/>
  <c r="F2955" i="2"/>
  <c r="E2955" i="2"/>
  <c r="D2955" i="2"/>
  <c r="C2955" i="2"/>
  <c r="B2955" i="2"/>
  <c r="A2955" i="2"/>
  <c r="H2954" i="2"/>
  <c r="G2954" i="2"/>
  <c r="F2954" i="2"/>
  <c r="E2954" i="2"/>
  <c r="D2954" i="2"/>
  <c r="C2954" i="2"/>
  <c r="B2954" i="2"/>
  <c r="A2954" i="2"/>
  <c r="H2953" i="2"/>
  <c r="G2953" i="2"/>
  <c r="F2953" i="2"/>
  <c r="E2953" i="2"/>
  <c r="D2953" i="2"/>
  <c r="C2953" i="2"/>
  <c r="B2953" i="2"/>
  <c r="A2953" i="2"/>
  <c r="H2952" i="2"/>
  <c r="G2952" i="2"/>
  <c r="F2952" i="2"/>
  <c r="E2952" i="2"/>
  <c r="D2952" i="2"/>
  <c r="C2952" i="2"/>
  <c r="B2952" i="2"/>
  <c r="A2952" i="2"/>
  <c r="H2951" i="2"/>
  <c r="G2951" i="2"/>
  <c r="F2951" i="2"/>
  <c r="E2951" i="2"/>
  <c r="D2951" i="2"/>
  <c r="C2951" i="2"/>
  <c r="B2951" i="2"/>
  <c r="A2951" i="2"/>
  <c r="H2950" i="2"/>
  <c r="G2950" i="2"/>
  <c r="F2950" i="2"/>
  <c r="E2950" i="2"/>
  <c r="D2950" i="2"/>
  <c r="C2950" i="2"/>
  <c r="B2950" i="2"/>
  <c r="A2950" i="2"/>
  <c r="H2949" i="2"/>
  <c r="G2949" i="2"/>
  <c r="F2949" i="2"/>
  <c r="E2949" i="2"/>
  <c r="D2949" i="2"/>
  <c r="C2949" i="2"/>
  <c r="B2949" i="2"/>
  <c r="A2949" i="2"/>
  <c r="H2948" i="2"/>
  <c r="G2948" i="2"/>
  <c r="F2948" i="2"/>
  <c r="E2948" i="2"/>
  <c r="D2948" i="2"/>
  <c r="C2948" i="2"/>
  <c r="B2948" i="2"/>
  <c r="A2948" i="2"/>
  <c r="H2947" i="2"/>
  <c r="G2947" i="2"/>
  <c r="F2947" i="2"/>
  <c r="E2947" i="2"/>
  <c r="D2947" i="2"/>
  <c r="C2947" i="2"/>
  <c r="B2947" i="2"/>
  <c r="A2947" i="2"/>
  <c r="H2946" i="2"/>
  <c r="G2946" i="2"/>
  <c r="F2946" i="2"/>
  <c r="E2946" i="2"/>
  <c r="D2946" i="2"/>
  <c r="C2946" i="2"/>
  <c r="B2946" i="2"/>
  <c r="A2946" i="2"/>
  <c r="H2945" i="2"/>
  <c r="G2945" i="2"/>
  <c r="F2945" i="2"/>
  <c r="E2945" i="2"/>
  <c r="D2945" i="2"/>
  <c r="C2945" i="2"/>
  <c r="B2945" i="2"/>
  <c r="A2945" i="2"/>
  <c r="H2944" i="2"/>
  <c r="G2944" i="2"/>
  <c r="F2944" i="2"/>
  <c r="E2944" i="2"/>
  <c r="D2944" i="2"/>
  <c r="C2944" i="2"/>
  <c r="B2944" i="2"/>
  <c r="A2944" i="2"/>
  <c r="H2943" i="2"/>
  <c r="G2943" i="2"/>
  <c r="F2943" i="2"/>
  <c r="E2943" i="2"/>
  <c r="D2943" i="2"/>
  <c r="C2943" i="2"/>
  <c r="B2943" i="2"/>
  <c r="A2943" i="2"/>
  <c r="H2942" i="2"/>
  <c r="G2942" i="2"/>
  <c r="F2942" i="2"/>
  <c r="E2942" i="2"/>
  <c r="D2942" i="2"/>
  <c r="C2942" i="2"/>
  <c r="B2942" i="2"/>
  <c r="A2942" i="2"/>
  <c r="H2941" i="2"/>
  <c r="G2941" i="2"/>
  <c r="F2941" i="2"/>
  <c r="E2941" i="2"/>
  <c r="D2941" i="2"/>
  <c r="C2941" i="2"/>
  <c r="B2941" i="2"/>
  <c r="A2941" i="2"/>
  <c r="H2940" i="2"/>
  <c r="G2940" i="2"/>
  <c r="F2940" i="2"/>
  <c r="E2940" i="2"/>
  <c r="D2940" i="2"/>
  <c r="C2940" i="2"/>
  <c r="B2940" i="2"/>
  <c r="A2940" i="2"/>
  <c r="H2939" i="2"/>
  <c r="G2939" i="2"/>
  <c r="F2939" i="2"/>
  <c r="E2939" i="2"/>
  <c r="D2939" i="2"/>
  <c r="C2939" i="2"/>
  <c r="B2939" i="2"/>
  <c r="A2939" i="2"/>
  <c r="H2938" i="2"/>
  <c r="G2938" i="2"/>
  <c r="F2938" i="2"/>
  <c r="E2938" i="2"/>
  <c r="D2938" i="2"/>
  <c r="C2938" i="2"/>
  <c r="B2938" i="2"/>
  <c r="A2938" i="2"/>
  <c r="H2937" i="2"/>
  <c r="G2937" i="2"/>
  <c r="F2937" i="2"/>
  <c r="E2937" i="2"/>
  <c r="D2937" i="2"/>
  <c r="C2937" i="2"/>
  <c r="B2937" i="2"/>
  <c r="A2937" i="2"/>
  <c r="H2936" i="2"/>
  <c r="G2936" i="2"/>
  <c r="F2936" i="2"/>
  <c r="E2936" i="2"/>
  <c r="D2936" i="2"/>
  <c r="C2936" i="2"/>
  <c r="B2936" i="2"/>
  <c r="A2936" i="2"/>
  <c r="H2935" i="2"/>
  <c r="G2935" i="2"/>
  <c r="F2935" i="2"/>
  <c r="E2935" i="2"/>
  <c r="D2935" i="2"/>
  <c r="C2935" i="2"/>
  <c r="B2935" i="2"/>
  <c r="A2935" i="2"/>
  <c r="H2934" i="2"/>
  <c r="G2934" i="2"/>
  <c r="F2934" i="2"/>
  <c r="E2934" i="2"/>
  <c r="D2934" i="2"/>
  <c r="C2934" i="2"/>
  <c r="B2934" i="2"/>
  <c r="A2934" i="2"/>
  <c r="H2933" i="2"/>
  <c r="G2933" i="2"/>
  <c r="F2933" i="2"/>
  <c r="E2933" i="2"/>
  <c r="D2933" i="2"/>
  <c r="C2933" i="2"/>
  <c r="B2933" i="2"/>
  <c r="A2933" i="2"/>
  <c r="H2932" i="2"/>
  <c r="G2932" i="2"/>
  <c r="F2932" i="2"/>
  <c r="E2932" i="2"/>
  <c r="D2932" i="2"/>
  <c r="C2932" i="2"/>
  <c r="B2932" i="2"/>
  <c r="A2932" i="2"/>
  <c r="H2931" i="2"/>
  <c r="G2931" i="2"/>
  <c r="F2931" i="2"/>
  <c r="E2931" i="2"/>
  <c r="D2931" i="2"/>
  <c r="C2931" i="2"/>
  <c r="B2931" i="2"/>
  <c r="A2931" i="2"/>
  <c r="H2930" i="2"/>
  <c r="G2930" i="2"/>
  <c r="F2930" i="2"/>
  <c r="E2930" i="2"/>
  <c r="D2930" i="2"/>
  <c r="C2930" i="2"/>
  <c r="B2930" i="2"/>
  <c r="A2930" i="2"/>
  <c r="H2929" i="2"/>
  <c r="G2929" i="2"/>
  <c r="F2929" i="2"/>
  <c r="E2929" i="2"/>
  <c r="D2929" i="2"/>
  <c r="C2929" i="2"/>
  <c r="B2929" i="2"/>
  <c r="A2929" i="2"/>
  <c r="H2928" i="2"/>
  <c r="G2928" i="2"/>
  <c r="F2928" i="2"/>
  <c r="E2928" i="2"/>
  <c r="D2928" i="2"/>
  <c r="C2928" i="2"/>
  <c r="B2928" i="2"/>
  <c r="A2928" i="2"/>
  <c r="H2927" i="2"/>
  <c r="G2927" i="2"/>
  <c r="F2927" i="2"/>
  <c r="E2927" i="2"/>
  <c r="D2927" i="2"/>
  <c r="C2927" i="2"/>
  <c r="B2927" i="2"/>
  <c r="A2927" i="2"/>
  <c r="H2926" i="2"/>
  <c r="G2926" i="2"/>
  <c r="F2926" i="2"/>
  <c r="E2926" i="2"/>
  <c r="D2926" i="2"/>
  <c r="C2926" i="2"/>
  <c r="B2926" i="2"/>
  <c r="A2926" i="2"/>
  <c r="H2925" i="2"/>
  <c r="G2925" i="2"/>
  <c r="F2925" i="2"/>
  <c r="E2925" i="2"/>
  <c r="D2925" i="2"/>
  <c r="C2925" i="2"/>
  <c r="B2925" i="2"/>
  <c r="A2925" i="2"/>
  <c r="H2924" i="2"/>
  <c r="G2924" i="2"/>
  <c r="F2924" i="2"/>
  <c r="E2924" i="2"/>
  <c r="D2924" i="2"/>
  <c r="C2924" i="2"/>
  <c r="B2924" i="2"/>
  <c r="A2924" i="2"/>
  <c r="H2923" i="2"/>
  <c r="G2923" i="2"/>
  <c r="F2923" i="2"/>
  <c r="E2923" i="2"/>
  <c r="D2923" i="2"/>
  <c r="C2923" i="2"/>
  <c r="B2923" i="2"/>
  <c r="A2923" i="2"/>
  <c r="H2922" i="2"/>
  <c r="G2922" i="2"/>
  <c r="F2922" i="2"/>
  <c r="E2922" i="2"/>
  <c r="D2922" i="2"/>
  <c r="C2922" i="2"/>
  <c r="B2922" i="2"/>
  <c r="A2922" i="2"/>
  <c r="H2921" i="2"/>
  <c r="G2921" i="2"/>
  <c r="F2921" i="2"/>
  <c r="E2921" i="2"/>
  <c r="D2921" i="2"/>
  <c r="C2921" i="2"/>
  <c r="B2921" i="2"/>
  <c r="A2921" i="2"/>
  <c r="H2920" i="2"/>
  <c r="G2920" i="2"/>
  <c r="F2920" i="2"/>
  <c r="E2920" i="2"/>
  <c r="D2920" i="2"/>
  <c r="C2920" i="2"/>
  <c r="B2920" i="2"/>
  <c r="A2920" i="2"/>
  <c r="H2919" i="2"/>
  <c r="G2919" i="2"/>
  <c r="F2919" i="2"/>
  <c r="E2919" i="2"/>
  <c r="D2919" i="2"/>
  <c r="C2919" i="2"/>
  <c r="B2919" i="2"/>
  <c r="A2919" i="2"/>
  <c r="H2918" i="2"/>
  <c r="G2918" i="2"/>
  <c r="F2918" i="2"/>
  <c r="E2918" i="2"/>
  <c r="D2918" i="2"/>
  <c r="C2918" i="2"/>
  <c r="B2918" i="2"/>
  <c r="A2918" i="2"/>
  <c r="H2917" i="2"/>
  <c r="G2917" i="2"/>
  <c r="F2917" i="2"/>
  <c r="E2917" i="2"/>
  <c r="D2917" i="2"/>
  <c r="C2917" i="2"/>
  <c r="B2917" i="2"/>
  <c r="A2917" i="2"/>
  <c r="H2916" i="2"/>
  <c r="G2916" i="2"/>
  <c r="F2916" i="2"/>
  <c r="E2916" i="2"/>
  <c r="D2916" i="2"/>
  <c r="C2916" i="2"/>
  <c r="B2916" i="2"/>
  <c r="A2916" i="2"/>
  <c r="H2915" i="2"/>
  <c r="G2915" i="2"/>
  <c r="F2915" i="2"/>
  <c r="E2915" i="2"/>
  <c r="D2915" i="2"/>
  <c r="C2915" i="2"/>
  <c r="B2915" i="2"/>
  <c r="A2915" i="2"/>
  <c r="H2914" i="2"/>
  <c r="G2914" i="2"/>
  <c r="F2914" i="2"/>
  <c r="E2914" i="2"/>
  <c r="D2914" i="2"/>
  <c r="C2914" i="2"/>
  <c r="B2914" i="2"/>
  <c r="A2914" i="2"/>
  <c r="H2913" i="2"/>
  <c r="G2913" i="2"/>
  <c r="F2913" i="2"/>
  <c r="E2913" i="2"/>
  <c r="D2913" i="2"/>
  <c r="C2913" i="2"/>
  <c r="B2913" i="2"/>
  <c r="A2913" i="2"/>
  <c r="H2912" i="2"/>
  <c r="G2912" i="2"/>
  <c r="F2912" i="2"/>
  <c r="E2912" i="2"/>
  <c r="D2912" i="2"/>
  <c r="C2912" i="2"/>
  <c r="B2912" i="2"/>
  <c r="A2912" i="2"/>
  <c r="H2911" i="2"/>
  <c r="G2911" i="2"/>
  <c r="F2911" i="2"/>
  <c r="E2911" i="2"/>
  <c r="D2911" i="2"/>
  <c r="C2911" i="2"/>
  <c r="B2911" i="2"/>
  <c r="A2911" i="2"/>
  <c r="H2910" i="2"/>
  <c r="G2910" i="2"/>
  <c r="F2910" i="2"/>
  <c r="E2910" i="2"/>
  <c r="D2910" i="2"/>
  <c r="C2910" i="2"/>
  <c r="B2910" i="2"/>
  <c r="A2910" i="2"/>
  <c r="H2909" i="2"/>
  <c r="G2909" i="2"/>
  <c r="F2909" i="2"/>
  <c r="E2909" i="2"/>
  <c r="D2909" i="2"/>
  <c r="C2909" i="2"/>
  <c r="B2909" i="2"/>
  <c r="A2909" i="2"/>
  <c r="H2908" i="2"/>
  <c r="G2908" i="2"/>
  <c r="F2908" i="2"/>
  <c r="E2908" i="2"/>
  <c r="D2908" i="2"/>
  <c r="C2908" i="2"/>
  <c r="B2908" i="2"/>
  <c r="A2908" i="2"/>
  <c r="H2907" i="2"/>
  <c r="G2907" i="2"/>
  <c r="F2907" i="2"/>
  <c r="E2907" i="2"/>
  <c r="D2907" i="2"/>
  <c r="C2907" i="2"/>
  <c r="B2907" i="2"/>
  <c r="A2907" i="2"/>
  <c r="H2906" i="2"/>
  <c r="G2906" i="2"/>
  <c r="F2906" i="2"/>
  <c r="E2906" i="2"/>
  <c r="D2906" i="2"/>
  <c r="C2906" i="2"/>
  <c r="B2906" i="2"/>
  <c r="A2906" i="2"/>
  <c r="H2905" i="2"/>
  <c r="G2905" i="2"/>
  <c r="F2905" i="2"/>
  <c r="E2905" i="2"/>
  <c r="D2905" i="2"/>
  <c r="C2905" i="2"/>
  <c r="B2905" i="2"/>
  <c r="A2905" i="2"/>
  <c r="H2904" i="2"/>
  <c r="G2904" i="2"/>
  <c r="F2904" i="2"/>
  <c r="E2904" i="2"/>
  <c r="D2904" i="2"/>
  <c r="C2904" i="2"/>
  <c r="B2904" i="2"/>
  <c r="A2904" i="2"/>
  <c r="H2903" i="2"/>
  <c r="G2903" i="2"/>
  <c r="F2903" i="2"/>
  <c r="E2903" i="2"/>
  <c r="D2903" i="2"/>
  <c r="C2903" i="2"/>
  <c r="B2903" i="2"/>
  <c r="A2903" i="2"/>
  <c r="H2902" i="2"/>
  <c r="G2902" i="2"/>
  <c r="F2902" i="2"/>
  <c r="E2902" i="2"/>
  <c r="D2902" i="2"/>
  <c r="C2902" i="2"/>
  <c r="B2902" i="2"/>
  <c r="A2902" i="2"/>
  <c r="H2901" i="2"/>
  <c r="G2901" i="2"/>
  <c r="F2901" i="2"/>
  <c r="E2901" i="2"/>
  <c r="D2901" i="2"/>
  <c r="C2901" i="2"/>
  <c r="B2901" i="2"/>
  <c r="A2901" i="2"/>
  <c r="H2900" i="2"/>
  <c r="G2900" i="2"/>
  <c r="F2900" i="2"/>
  <c r="E2900" i="2"/>
  <c r="D2900" i="2"/>
  <c r="C2900" i="2"/>
  <c r="B2900" i="2"/>
  <c r="A2900" i="2"/>
  <c r="H2899" i="2"/>
  <c r="G2899" i="2"/>
  <c r="F2899" i="2"/>
  <c r="E2899" i="2"/>
  <c r="D2899" i="2"/>
  <c r="C2899" i="2"/>
  <c r="B2899" i="2"/>
  <c r="A2899" i="2"/>
  <c r="H2898" i="2"/>
  <c r="G2898" i="2"/>
  <c r="F2898" i="2"/>
  <c r="E2898" i="2"/>
  <c r="D2898" i="2"/>
  <c r="C2898" i="2"/>
  <c r="B2898" i="2"/>
  <c r="A2898" i="2"/>
  <c r="H2897" i="2"/>
  <c r="G2897" i="2"/>
  <c r="F2897" i="2"/>
  <c r="E2897" i="2"/>
  <c r="D2897" i="2"/>
  <c r="C2897" i="2"/>
  <c r="B2897" i="2"/>
  <c r="A2897" i="2"/>
  <c r="H2896" i="2"/>
  <c r="G2896" i="2"/>
  <c r="F2896" i="2"/>
  <c r="E2896" i="2"/>
  <c r="D2896" i="2"/>
  <c r="C2896" i="2"/>
  <c r="B2896" i="2"/>
  <c r="A2896" i="2"/>
  <c r="H2895" i="2"/>
  <c r="G2895" i="2"/>
  <c r="F2895" i="2"/>
  <c r="E2895" i="2"/>
  <c r="D2895" i="2"/>
  <c r="C2895" i="2"/>
  <c r="B2895" i="2"/>
  <c r="A2895" i="2"/>
  <c r="H2894" i="2"/>
  <c r="G2894" i="2"/>
  <c r="F2894" i="2"/>
  <c r="E2894" i="2"/>
  <c r="D2894" i="2"/>
  <c r="C2894" i="2"/>
  <c r="B2894" i="2"/>
  <c r="A2894" i="2"/>
  <c r="H2893" i="2"/>
  <c r="G2893" i="2"/>
  <c r="F2893" i="2"/>
  <c r="E2893" i="2"/>
  <c r="D2893" i="2"/>
  <c r="C2893" i="2"/>
  <c r="B2893" i="2"/>
  <c r="A2893" i="2"/>
  <c r="H2892" i="2"/>
  <c r="G2892" i="2"/>
  <c r="F2892" i="2"/>
  <c r="E2892" i="2"/>
  <c r="D2892" i="2"/>
  <c r="C2892" i="2"/>
  <c r="B2892" i="2"/>
  <c r="A2892" i="2"/>
  <c r="H2891" i="2"/>
  <c r="G2891" i="2"/>
  <c r="F2891" i="2"/>
  <c r="E2891" i="2"/>
  <c r="D2891" i="2"/>
  <c r="C2891" i="2"/>
  <c r="B2891" i="2"/>
  <c r="A2891" i="2"/>
  <c r="H2890" i="2"/>
  <c r="G2890" i="2"/>
  <c r="F2890" i="2"/>
  <c r="E2890" i="2"/>
  <c r="D2890" i="2"/>
  <c r="C2890" i="2"/>
  <c r="B2890" i="2"/>
  <c r="A2890" i="2"/>
  <c r="H2889" i="2"/>
  <c r="G2889" i="2"/>
  <c r="F2889" i="2"/>
  <c r="E2889" i="2"/>
  <c r="D2889" i="2"/>
  <c r="C2889" i="2"/>
  <c r="B2889" i="2"/>
  <c r="A2889" i="2"/>
  <c r="H2888" i="2"/>
  <c r="G2888" i="2"/>
  <c r="F2888" i="2"/>
  <c r="E2888" i="2"/>
  <c r="D2888" i="2"/>
  <c r="C2888" i="2"/>
  <c r="B2888" i="2"/>
  <c r="A2888" i="2"/>
  <c r="H2887" i="2"/>
  <c r="G2887" i="2"/>
  <c r="F2887" i="2"/>
  <c r="E2887" i="2"/>
  <c r="D2887" i="2"/>
  <c r="C2887" i="2"/>
  <c r="B2887" i="2"/>
  <c r="A2887" i="2"/>
  <c r="H2886" i="2"/>
  <c r="G2886" i="2"/>
  <c r="F2886" i="2"/>
  <c r="E2886" i="2"/>
  <c r="D2886" i="2"/>
  <c r="C2886" i="2"/>
  <c r="B2886" i="2"/>
  <c r="A2886" i="2"/>
  <c r="H2885" i="2"/>
  <c r="G2885" i="2"/>
  <c r="F2885" i="2"/>
  <c r="E2885" i="2"/>
  <c r="D2885" i="2"/>
  <c r="C2885" i="2"/>
  <c r="B2885" i="2"/>
  <c r="A2885" i="2"/>
  <c r="H2884" i="2"/>
  <c r="G2884" i="2"/>
  <c r="F2884" i="2"/>
  <c r="E2884" i="2"/>
  <c r="D2884" i="2"/>
  <c r="C2884" i="2"/>
  <c r="B2884" i="2"/>
  <c r="A2884" i="2"/>
  <c r="H2883" i="2"/>
  <c r="G2883" i="2"/>
  <c r="F2883" i="2"/>
  <c r="E2883" i="2"/>
  <c r="D2883" i="2"/>
  <c r="C2883" i="2"/>
  <c r="B2883" i="2"/>
  <c r="A2883" i="2"/>
  <c r="H2882" i="2"/>
  <c r="G2882" i="2"/>
  <c r="F2882" i="2"/>
  <c r="E2882" i="2"/>
  <c r="D2882" i="2"/>
  <c r="C2882" i="2"/>
  <c r="B2882" i="2"/>
  <c r="A2882" i="2"/>
  <c r="H2881" i="2"/>
  <c r="G2881" i="2"/>
  <c r="F2881" i="2"/>
  <c r="E2881" i="2"/>
  <c r="D2881" i="2"/>
  <c r="C2881" i="2"/>
  <c r="B2881" i="2"/>
  <c r="A2881" i="2"/>
  <c r="H2880" i="2"/>
  <c r="G2880" i="2"/>
  <c r="F2880" i="2"/>
  <c r="E2880" i="2"/>
  <c r="D2880" i="2"/>
  <c r="C2880" i="2"/>
  <c r="B2880" i="2"/>
  <c r="A2880" i="2"/>
  <c r="H2879" i="2"/>
  <c r="G2879" i="2"/>
  <c r="F2879" i="2"/>
  <c r="E2879" i="2"/>
  <c r="D2879" i="2"/>
  <c r="C2879" i="2"/>
  <c r="B2879" i="2"/>
  <c r="A2879" i="2"/>
  <c r="H2878" i="2"/>
  <c r="G2878" i="2"/>
  <c r="F2878" i="2"/>
  <c r="E2878" i="2"/>
  <c r="D2878" i="2"/>
  <c r="C2878" i="2"/>
  <c r="B2878" i="2"/>
  <c r="A2878" i="2"/>
  <c r="H2877" i="2"/>
  <c r="G2877" i="2"/>
  <c r="F2877" i="2"/>
  <c r="E2877" i="2"/>
  <c r="D2877" i="2"/>
  <c r="C2877" i="2"/>
  <c r="B2877" i="2"/>
  <c r="A2877" i="2"/>
  <c r="H2876" i="2"/>
  <c r="G2876" i="2"/>
  <c r="F2876" i="2"/>
  <c r="E2876" i="2"/>
  <c r="D2876" i="2"/>
  <c r="C2876" i="2"/>
  <c r="B2876" i="2"/>
  <c r="A2876" i="2"/>
  <c r="H2875" i="2"/>
  <c r="G2875" i="2"/>
  <c r="F2875" i="2"/>
  <c r="E2875" i="2"/>
  <c r="D2875" i="2"/>
  <c r="C2875" i="2"/>
  <c r="B2875" i="2"/>
  <c r="A2875" i="2"/>
  <c r="H2874" i="2"/>
  <c r="G2874" i="2"/>
  <c r="F2874" i="2"/>
  <c r="E2874" i="2"/>
  <c r="D2874" i="2"/>
  <c r="C2874" i="2"/>
  <c r="B2874" i="2"/>
  <c r="A2874" i="2"/>
  <c r="H2873" i="2"/>
  <c r="G2873" i="2"/>
  <c r="F2873" i="2"/>
  <c r="E2873" i="2"/>
  <c r="D2873" i="2"/>
  <c r="C2873" i="2"/>
  <c r="B2873" i="2"/>
  <c r="A2873" i="2"/>
  <c r="H2872" i="2"/>
  <c r="G2872" i="2"/>
  <c r="F2872" i="2"/>
  <c r="E2872" i="2"/>
  <c r="D2872" i="2"/>
  <c r="C2872" i="2"/>
  <c r="B2872" i="2"/>
  <c r="A2872" i="2"/>
  <c r="H2871" i="2"/>
  <c r="G2871" i="2"/>
  <c r="F2871" i="2"/>
  <c r="E2871" i="2"/>
  <c r="D2871" i="2"/>
  <c r="C2871" i="2"/>
  <c r="B2871" i="2"/>
  <c r="A2871" i="2"/>
  <c r="H2870" i="2"/>
  <c r="G2870" i="2"/>
  <c r="F2870" i="2"/>
  <c r="E2870" i="2"/>
  <c r="D2870" i="2"/>
  <c r="C2870" i="2"/>
  <c r="B2870" i="2"/>
  <c r="A2870" i="2"/>
  <c r="H2869" i="2"/>
  <c r="G2869" i="2"/>
  <c r="F2869" i="2"/>
  <c r="E2869" i="2"/>
  <c r="D2869" i="2"/>
  <c r="C2869" i="2"/>
  <c r="B2869" i="2"/>
  <c r="A2869" i="2"/>
  <c r="H2868" i="2"/>
  <c r="G2868" i="2"/>
  <c r="F2868" i="2"/>
  <c r="E2868" i="2"/>
  <c r="D2868" i="2"/>
  <c r="C2868" i="2"/>
  <c r="B2868" i="2"/>
  <c r="A2868" i="2"/>
  <c r="H2867" i="2"/>
  <c r="G2867" i="2"/>
  <c r="F2867" i="2"/>
  <c r="E2867" i="2"/>
  <c r="D2867" i="2"/>
  <c r="C2867" i="2"/>
  <c r="B2867" i="2"/>
  <c r="A2867" i="2"/>
  <c r="H2866" i="2"/>
  <c r="G2866" i="2"/>
  <c r="F2866" i="2"/>
  <c r="E2866" i="2"/>
  <c r="D2866" i="2"/>
  <c r="C2866" i="2"/>
  <c r="B2866" i="2"/>
  <c r="A2866" i="2"/>
  <c r="H2865" i="2"/>
  <c r="G2865" i="2"/>
  <c r="F2865" i="2"/>
  <c r="E2865" i="2"/>
  <c r="D2865" i="2"/>
  <c r="C2865" i="2"/>
  <c r="B2865" i="2"/>
  <c r="A2865" i="2"/>
  <c r="H2864" i="2"/>
  <c r="G2864" i="2"/>
  <c r="F2864" i="2"/>
  <c r="E2864" i="2"/>
  <c r="D2864" i="2"/>
  <c r="C2864" i="2"/>
  <c r="B2864" i="2"/>
  <c r="A2864" i="2"/>
  <c r="H2863" i="2"/>
  <c r="G2863" i="2"/>
  <c r="F2863" i="2"/>
  <c r="E2863" i="2"/>
  <c r="D2863" i="2"/>
  <c r="C2863" i="2"/>
  <c r="B2863" i="2"/>
  <c r="A2863" i="2"/>
  <c r="H2862" i="2"/>
  <c r="G2862" i="2"/>
  <c r="F2862" i="2"/>
  <c r="E2862" i="2"/>
  <c r="D2862" i="2"/>
  <c r="C2862" i="2"/>
  <c r="B2862" i="2"/>
  <c r="A2862" i="2"/>
  <c r="H2861" i="2"/>
  <c r="G2861" i="2"/>
  <c r="F2861" i="2"/>
  <c r="E2861" i="2"/>
  <c r="D2861" i="2"/>
  <c r="C2861" i="2"/>
  <c r="B2861" i="2"/>
  <c r="A2861" i="2"/>
  <c r="H2860" i="2"/>
  <c r="G2860" i="2"/>
  <c r="F2860" i="2"/>
  <c r="E2860" i="2"/>
  <c r="D2860" i="2"/>
  <c r="C2860" i="2"/>
  <c r="B2860" i="2"/>
  <c r="A2860" i="2"/>
  <c r="H2859" i="2"/>
  <c r="G2859" i="2"/>
  <c r="F2859" i="2"/>
  <c r="E2859" i="2"/>
  <c r="D2859" i="2"/>
  <c r="C2859" i="2"/>
  <c r="B2859" i="2"/>
  <c r="A2859" i="2"/>
  <c r="H2858" i="2"/>
  <c r="G2858" i="2"/>
  <c r="F2858" i="2"/>
  <c r="E2858" i="2"/>
  <c r="D2858" i="2"/>
  <c r="C2858" i="2"/>
  <c r="B2858" i="2"/>
  <c r="A2858" i="2"/>
  <c r="H2857" i="2"/>
  <c r="G2857" i="2"/>
  <c r="F2857" i="2"/>
  <c r="E2857" i="2"/>
  <c r="D2857" i="2"/>
  <c r="C2857" i="2"/>
  <c r="B2857" i="2"/>
  <c r="A2857" i="2"/>
  <c r="H2856" i="2"/>
  <c r="G2856" i="2"/>
  <c r="F2856" i="2"/>
  <c r="E2856" i="2"/>
  <c r="D2856" i="2"/>
  <c r="C2856" i="2"/>
  <c r="B2856" i="2"/>
  <c r="A2856" i="2"/>
  <c r="H2855" i="2"/>
  <c r="G2855" i="2"/>
  <c r="F2855" i="2"/>
  <c r="E2855" i="2"/>
  <c r="D2855" i="2"/>
  <c r="C2855" i="2"/>
  <c r="B2855" i="2"/>
  <c r="A2855" i="2"/>
  <c r="H2854" i="2"/>
  <c r="G2854" i="2"/>
  <c r="F2854" i="2"/>
  <c r="E2854" i="2"/>
  <c r="D2854" i="2"/>
  <c r="C2854" i="2"/>
  <c r="B2854" i="2"/>
  <c r="A2854" i="2"/>
  <c r="H2853" i="2"/>
  <c r="G2853" i="2"/>
  <c r="F2853" i="2"/>
  <c r="E2853" i="2"/>
  <c r="D2853" i="2"/>
  <c r="C2853" i="2"/>
  <c r="B2853" i="2"/>
  <c r="A2853" i="2"/>
  <c r="H2852" i="2"/>
  <c r="G2852" i="2"/>
  <c r="F2852" i="2"/>
  <c r="E2852" i="2"/>
  <c r="D2852" i="2"/>
  <c r="C2852" i="2"/>
  <c r="B2852" i="2"/>
  <c r="A2852" i="2"/>
  <c r="H2851" i="2"/>
  <c r="G2851" i="2"/>
  <c r="F2851" i="2"/>
  <c r="E2851" i="2"/>
  <c r="D2851" i="2"/>
  <c r="C2851" i="2"/>
  <c r="B2851" i="2"/>
  <c r="A2851" i="2"/>
  <c r="H2850" i="2"/>
  <c r="G2850" i="2"/>
  <c r="F2850" i="2"/>
  <c r="E2850" i="2"/>
  <c r="D2850" i="2"/>
  <c r="C2850" i="2"/>
  <c r="B2850" i="2"/>
  <c r="A2850" i="2"/>
  <c r="H2849" i="2"/>
  <c r="G2849" i="2"/>
  <c r="F2849" i="2"/>
  <c r="E2849" i="2"/>
  <c r="D2849" i="2"/>
  <c r="C2849" i="2"/>
  <c r="B2849" i="2"/>
  <c r="A2849" i="2"/>
  <c r="H2848" i="2"/>
  <c r="G2848" i="2"/>
  <c r="F2848" i="2"/>
  <c r="E2848" i="2"/>
  <c r="D2848" i="2"/>
  <c r="C2848" i="2"/>
  <c r="B2848" i="2"/>
  <c r="A2848" i="2"/>
  <c r="H2847" i="2"/>
  <c r="G2847" i="2"/>
  <c r="F2847" i="2"/>
  <c r="E2847" i="2"/>
  <c r="D2847" i="2"/>
  <c r="C2847" i="2"/>
  <c r="B2847" i="2"/>
  <c r="A2847" i="2"/>
  <c r="H2846" i="2"/>
  <c r="G2846" i="2"/>
  <c r="F2846" i="2"/>
  <c r="E2846" i="2"/>
  <c r="D2846" i="2"/>
  <c r="C2846" i="2"/>
  <c r="B2846" i="2"/>
  <c r="A2846" i="2"/>
  <c r="H2845" i="2"/>
  <c r="G2845" i="2"/>
  <c r="F2845" i="2"/>
  <c r="E2845" i="2"/>
  <c r="D2845" i="2"/>
  <c r="C2845" i="2"/>
  <c r="B2845" i="2"/>
  <c r="A2845" i="2"/>
  <c r="H2844" i="2"/>
  <c r="G2844" i="2"/>
  <c r="F2844" i="2"/>
  <c r="E2844" i="2"/>
  <c r="D2844" i="2"/>
  <c r="C2844" i="2"/>
  <c r="B2844" i="2"/>
  <c r="A2844" i="2"/>
  <c r="H2843" i="2"/>
  <c r="G2843" i="2"/>
  <c r="F2843" i="2"/>
  <c r="E2843" i="2"/>
  <c r="D2843" i="2"/>
  <c r="C2843" i="2"/>
  <c r="B2843" i="2"/>
  <c r="A2843" i="2"/>
  <c r="H2842" i="2"/>
  <c r="G2842" i="2"/>
  <c r="F2842" i="2"/>
  <c r="E2842" i="2"/>
  <c r="D2842" i="2"/>
  <c r="C2842" i="2"/>
  <c r="B2842" i="2"/>
  <c r="A2842" i="2"/>
  <c r="H2841" i="2"/>
  <c r="G2841" i="2"/>
  <c r="F2841" i="2"/>
  <c r="E2841" i="2"/>
  <c r="D2841" i="2"/>
  <c r="C2841" i="2"/>
  <c r="B2841" i="2"/>
  <c r="A2841" i="2"/>
  <c r="H2840" i="2"/>
  <c r="G2840" i="2"/>
  <c r="F2840" i="2"/>
  <c r="E2840" i="2"/>
  <c r="D2840" i="2"/>
  <c r="C2840" i="2"/>
  <c r="B2840" i="2"/>
  <c r="A2840" i="2"/>
  <c r="H2839" i="2"/>
  <c r="G2839" i="2"/>
  <c r="F2839" i="2"/>
  <c r="E2839" i="2"/>
  <c r="D2839" i="2"/>
  <c r="C2839" i="2"/>
  <c r="B2839" i="2"/>
  <c r="A2839" i="2"/>
  <c r="H2838" i="2"/>
  <c r="G2838" i="2"/>
  <c r="F2838" i="2"/>
  <c r="E2838" i="2"/>
  <c r="D2838" i="2"/>
  <c r="C2838" i="2"/>
  <c r="B2838" i="2"/>
  <c r="A2838" i="2"/>
  <c r="H2837" i="2"/>
  <c r="G2837" i="2"/>
  <c r="F2837" i="2"/>
  <c r="E2837" i="2"/>
  <c r="D2837" i="2"/>
  <c r="C2837" i="2"/>
  <c r="B2837" i="2"/>
  <c r="A2837" i="2"/>
  <c r="H2836" i="2"/>
  <c r="G2836" i="2"/>
  <c r="F2836" i="2"/>
  <c r="E2836" i="2"/>
  <c r="D2836" i="2"/>
  <c r="C2836" i="2"/>
  <c r="B2836" i="2"/>
  <c r="A2836" i="2"/>
  <c r="H2835" i="2"/>
  <c r="G2835" i="2"/>
  <c r="F2835" i="2"/>
  <c r="E2835" i="2"/>
  <c r="D2835" i="2"/>
  <c r="C2835" i="2"/>
  <c r="B2835" i="2"/>
  <c r="A2835" i="2"/>
  <c r="H2834" i="2"/>
  <c r="G2834" i="2"/>
  <c r="F2834" i="2"/>
  <c r="E2834" i="2"/>
  <c r="D2834" i="2"/>
  <c r="C2834" i="2"/>
  <c r="B2834" i="2"/>
  <c r="A2834" i="2"/>
  <c r="H2833" i="2"/>
  <c r="G2833" i="2"/>
  <c r="F2833" i="2"/>
  <c r="E2833" i="2"/>
  <c r="D2833" i="2"/>
  <c r="C2833" i="2"/>
  <c r="B2833" i="2"/>
  <c r="A2833" i="2"/>
  <c r="H2832" i="2"/>
  <c r="G2832" i="2"/>
  <c r="F2832" i="2"/>
  <c r="E2832" i="2"/>
  <c r="D2832" i="2"/>
  <c r="C2832" i="2"/>
  <c r="B2832" i="2"/>
  <c r="A2832" i="2"/>
  <c r="H2831" i="2"/>
  <c r="G2831" i="2"/>
  <c r="F2831" i="2"/>
  <c r="E2831" i="2"/>
  <c r="D2831" i="2"/>
  <c r="C2831" i="2"/>
  <c r="B2831" i="2"/>
  <c r="A2831" i="2"/>
  <c r="H2830" i="2"/>
  <c r="G2830" i="2"/>
  <c r="F2830" i="2"/>
  <c r="E2830" i="2"/>
  <c r="D2830" i="2"/>
  <c r="C2830" i="2"/>
  <c r="B2830" i="2"/>
  <c r="A2830" i="2"/>
  <c r="H2829" i="2"/>
  <c r="G2829" i="2"/>
  <c r="F2829" i="2"/>
  <c r="E2829" i="2"/>
  <c r="D2829" i="2"/>
  <c r="C2829" i="2"/>
  <c r="B2829" i="2"/>
  <c r="A2829" i="2"/>
  <c r="H2828" i="2"/>
  <c r="G2828" i="2"/>
  <c r="F2828" i="2"/>
  <c r="E2828" i="2"/>
  <c r="D2828" i="2"/>
  <c r="C2828" i="2"/>
  <c r="B2828" i="2"/>
  <c r="A2828" i="2"/>
  <c r="H2827" i="2"/>
  <c r="G2827" i="2"/>
  <c r="F2827" i="2"/>
  <c r="E2827" i="2"/>
  <c r="D2827" i="2"/>
  <c r="C2827" i="2"/>
  <c r="B2827" i="2"/>
  <c r="A2827" i="2"/>
  <c r="H2826" i="2"/>
  <c r="G2826" i="2"/>
  <c r="F2826" i="2"/>
  <c r="E2826" i="2"/>
  <c r="D2826" i="2"/>
  <c r="C2826" i="2"/>
  <c r="B2826" i="2"/>
  <c r="A2826" i="2"/>
  <c r="H2825" i="2"/>
  <c r="G2825" i="2"/>
  <c r="F2825" i="2"/>
  <c r="E2825" i="2"/>
  <c r="D2825" i="2"/>
  <c r="C2825" i="2"/>
  <c r="B2825" i="2"/>
  <c r="A2825" i="2"/>
  <c r="H2824" i="2"/>
  <c r="G2824" i="2"/>
  <c r="F2824" i="2"/>
  <c r="E2824" i="2"/>
  <c r="D2824" i="2"/>
  <c r="C2824" i="2"/>
  <c r="B2824" i="2"/>
  <c r="A2824" i="2"/>
  <c r="H2823" i="2"/>
  <c r="G2823" i="2"/>
  <c r="F2823" i="2"/>
  <c r="E2823" i="2"/>
  <c r="D2823" i="2"/>
  <c r="C2823" i="2"/>
  <c r="B2823" i="2"/>
  <c r="A2823" i="2"/>
  <c r="H2822" i="2"/>
  <c r="G2822" i="2"/>
  <c r="F2822" i="2"/>
  <c r="E2822" i="2"/>
  <c r="D2822" i="2"/>
  <c r="C2822" i="2"/>
  <c r="B2822" i="2"/>
  <c r="A2822" i="2"/>
  <c r="H2821" i="2"/>
  <c r="G2821" i="2"/>
  <c r="F2821" i="2"/>
  <c r="E2821" i="2"/>
  <c r="D2821" i="2"/>
  <c r="C2821" i="2"/>
  <c r="B2821" i="2"/>
  <c r="A2821" i="2"/>
  <c r="H2820" i="2"/>
  <c r="G2820" i="2"/>
  <c r="F2820" i="2"/>
  <c r="E2820" i="2"/>
  <c r="D2820" i="2"/>
  <c r="C2820" i="2"/>
  <c r="B2820" i="2"/>
  <c r="A2820" i="2"/>
  <c r="H2819" i="2"/>
  <c r="G2819" i="2"/>
  <c r="F2819" i="2"/>
  <c r="E2819" i="2"/>
  <c r="D2819" i="2"/>
  <c r="C2819" i="2"/>
  <c r="B2819" i="2"/>
  <c r="A2819" i="2"/>
  <c r="H2818" i="2"/>
  <c r="G2818" i="2"/>
  <c r="F2818" i="2"/>
  <c r="E2818" i="2"/>
  <c r="D2818" i="2"/>
  <c r="C2818" i="2"/>
  <c r="B2818" i="2"/>
  <c r="A2818" i="2"/>
  <c r="H2817" i="2"/>
  <c r="G2817" i="2"/>
  <c r="F2817" i="2"/>
  <c r="E2817" i="2"/>
  <c r="D2817" i="2"/>
  <c r="C2817" i="2"/>
  <c r="B2817" i="2"/>
  <c r="A2817" i="2"/>
  <c r="H2816" i="2"/>
  <c r="G2816" i="2"/>
  <c r="F2816" i="2"/>
  <c r="E2816" i="2"/>
  <c r="D2816" i="2"/>
  <c r="C2816" i="2"/>
  <c r="B2816" i="2"/>
  <c r="A2816" i="2"/>
  <c r="H2815" i="2"/>
  <c r="G2815" i="2"/>
  <c r="F2815" i="2"/>
  <c r="E2815" i="2"/>
  <c r="D2815" i="2"/>
  <c r="C2815" i="2"/>
  <c r="B2815" i="2"/>
  <c r="A2815" i="2"/>
  <c r="H2814" i="2"/>
  <c r="G2814" i="2"/>
  <c r="F2814" i="2"/>
  <c r="E2814" i="2"/>
  <c r="D2814" i="2"/>
  <c r="C2814" i="2"/>
  <c r="B2814" i="2"/>
  <c r="A2814" i="2"/>
  <c r="H2813" i="2"/>
  <c r="G2813" i="2"/>
  <c r="F2813" i="2"/>
  <c r="E2813" i="2"/>
  <c r="D2813" i="2"/>
  <c r="C2813" i="2"/>
  <c r="B2813" i="2"/>
  <c r="A2813" i="2"/>
  <c r="H2812" i="2"/>
  <c r="G2812" i="2"/>
  <c r="F2812" i="2"/>
  <c r="E2812" i="2"/>
  <c r="D2812" i="2"/>
  <c r="C2812" i="2"/>
  <c r="B2812" i="2"/>
  <c r="A2812" i="2"/>
  <c r="H2811" i="2"/>
  <c r="G2811" i="2"/>
  <c r="F2811" i="2"/>
  <c r="E2811" i="2"/>
  <c r="D2811" i="2"/>
  <c r="C2811" i="2"/>
  <c r="B2811" i="2"/>
  <c r="A2811" i="2"/>
  <c r="H2810" i="2"/>
  <c r="G2810" i="2"/>
  <c r="F2810" i="2"/>
  <c r="E2810" i="2"/>
  <c r="D2810" i="2"/>
  <c r="C2810" i="2"/>
  <c r="B2810" i="2"/>
  <c r="A2810" i="2"/>
  <c r="H2809" i="2"/>
  <c r="G2809" i="2"/>
  <c r="F2809" i="2"/>
  <c r="E2809" i="2"/>
  <c r="D2809" i="2"/>
  <c r="C2809" i="2"/>
  <c r="B2809" i="2"/>
  <c r="A2809" i="2"/>
  <c r="H2808" i="2"/>
  <c r="G2808" i="2"/>
  <c r="F2808" i="2"/>
  <c r="E2808" i="2"/>
  <c r="D2808" i="2"/>
  <c r="C2808" i="2"/>
  <c r="B2808" i="2"/>
  <c r="A2808" i="2"/>
  <c r="H2807" i="2"/>
  <c r="G2807" i="2"/>
  <c r="F2807" i="2"/>
  <c r="E2807" i="2"/>
  <c r="D2807" i="2"/>
  <c r="C2807" i="2"/>
  <c r="B2807" i="2"/>
  <c r="A2807" i="2"/>
  <c r="H2806" i="2"/>
  <c r="G2806" i="2"/>
  <c r="F2806" i="2"/>
  <c r="E2806" i="2"/>
  <c r="D2806" i="2"/>
  <c r="C2806" i="2"/>
  <c r="B2806" i="2"/>
  <c r="A2806" i="2"/>
  <c r="H2805" i="2"/>
  <c r="G2805" i="2"/>
  <c r="F2805" i="2"/>
  <c r="E2805" i="2"/>
  <c r="D2805" i="2"/>
  <c r="C2805" i="2"/>
  <c r="B2805" i="2"/>
  <c r="A2805" i="2"/>
  <c r="H2804" i="2"/>
  <c r="G2804" i="2"/>
  <c r="F2804" i="2"/>
  <c r="E2804" i="2"/>
  <c r="D2804" i="2"/>
  <c r="C2804" i="2"/>
  <c r="B2804" i="2"/>
  <c r="A2804" i="2"/>
  <c r="H2803" i="2"/>
  <c r="G2803" i="2"/>
  <c r="F2803" i="2"/>
  <c r="E2803" i="2"/>
  <c r="D2803" i="2"/>
  <c r="C2803" i="2"/>
  <c r="B2803" i="2"/>
  <c r="A2803" i="2"/>
  <c r="H2802" i="2"/>
  <c r="G2802" i="2"/>
  <c r="F2802" i="2"/>
  <c r="E2802" i="2"/>
  <c r="D2802" i="2"/>
  <c r="C2802" i="2"/>
  <c r="B2802" i="2"/>
  <c r="A2802" i="2"/>
  <c r="H2801" i="2"/>
  <c r="G2801" i="2"/>
  <c r="F2801" i="2"/>
  <c r="E2801" i="2"/>
  <c r="D2801" i="2"/>
  <c r="C2801" i="2"/>
  <c r="B2801" i="2"/>
  <c r="A2801" i="2"/>
  <c r="H2800" i="2"/>
  <c r="G2800" i="2"/>
  <c r="F2800" i="2"/>
  <c r="E2800" i="2"/>
  <c r="D2800" i="2"/>
  <c r="C2800" i="2"/>
  <c r="B2800" i="2"/>
  <c r="A2800" i="2"/>
  <c r="H2799" i="2"/>
  <c r="G2799" i="2"/>
  <c r="F2799" i="2"/>
  <c r="E2799" i="2"/>
  <c r="D2799" i="2"/>
  <c r="C2799" i="2"/>
  <c r="B2799" i="2"/>
  <c r="A2799" i="2"/>
  <c r="H2798" i="2"/>
  <c r="G2798" i="2"/>
  <c r="F2798" i="2"/>
  <c r="E2798" i="2"/>
  <c r="D2798" i="2"/>
  <c r="C2798" i="2"/>
  <c r="B2798" i="2"/>
  <c r="A2798" i="2"/>
  <c r="H2797" i="2"/>
  <c r="G2797" i="2"/>
  <c r="F2797" i="2"/>
  <c r="E2797" i="2"/>
  <c r="D2797" i="2"/>
  <c r="C2797" i="2"/>
  <c r="B2797" i="2"/>
  <c r="A2797" i="2"/>
  <c r="H2796" i="2"/>
  <c r="G2796" i="2"/>
  <c r="F2796" i="2"/>
  <c r="E2796" i="2"/>
  <c r="D2796" i="2"/>
  <c r="C2796" i="2"/>
  <c r="B2796" i="2"/>
  <c r="A2796" i="2"/>
  <c r="H2795" i="2"/>
  <c r="G2795" i="2"/>
  <c r="F2795" i="2"/>
  <c r="E2795" i="2"/>
  <c r="D2795" i="2"/>
  <c r="C2795" i="2"/>
  <c r="B2795" i="2"/>
  <c r="A2795" i="2"/>
  <c r="H2794" i="2"/>
  <c r="G2794" i="2"/>
  <c r="F2794" i="2"/>
  <c r="E2794" i="2"/>
  <c r="D2794" i="2"/>
  <c r="C2794" i="2"/>
  <c r="B2794" i="2"/>
  <c r="A2794" i="2"/>
  <c r="H2793" i="2"/>
  <c r="G2793" i="2"/>
  <c r="F2793" i="2"/>
  <c r="E2793" i="2"/>
  <c r="D2793" i="2"/>
  <c r="C2793" i="2"/>
  <c r="B2793" i="2"/>
  <c r="A2793" i="2"/>
  <c r="H2792" i="2"/>
  <c r="G2792" i="2"/>
  <c r="F2792" i="2"/>
  <c r="E2792" i="2"/>
  <c r="D2792" i="2"/>
  <c r="C2792" i="2"/>
  <c r="B2792" i="2"/>
  <c r="A2792" i="2"/>
  <c r="H2791" i="2"/>
  <c r="G2791" i="2"/>
  <c r="F2791" i="2"/>
  <c r="E2791" i="2"/>
  <c r="D2791" i="2"/>
  <c r="C2791" i="2"/>
  <c r="B2791" i="2"/>
  <c r="A2791" i="2"/>
  <c r="H2790" i="2"/>
  <c r="G2790" i="2"/>
  <c r="F2790" i="2"/>
  <c r="E2790" i="2"/>
  <c r="D2790" i="2"/>
  <c r="C2790" i="2"/>
  <c r="B2790" i="2"/>
  <c r="A2790" i="2"/>
  <c r="H2789" i="2"/>
  <c r="G2789" i="2"/>
  <c r="F2789" i="2"/>
  <c r="E2789" i="2"/>
  <c r="D2789" i="2"/>
  <c r="C2789" i="2"/>
  <c r="B2789" i="2"/>
  <c r="A2789" i="2"/>
  <c r="H2788" i="2"/>
  <c r="G2788" i="2"/>
  <c r="F2788" i="2"/>
  <c r="E2788" i="2"/>
  <c r="D2788" i="2"/>
  <c r="C2788" i="2"/>
  <c r="B2788" i="2"/>
  <c r="A2788" i="2"/>
  <c r="H2787" i="2"/>
  <c r="G2787" i="2"/>
  <c r="F2787" i="2"/>
  <c r="E2787" i="2"/>
  <c r="D2787" i="2"/>
  <c r="C2787" i="2"/>
  <c r="B2787" i="2"/>
  <c r="A2787" i="2"/>
  <c r="H2786" i="2"/>
  <c r="G2786" i="2"/>
  <c r="F2786" i="2"/>
  <c r="E2786" i="2"/>
  <c r="D2786" i="2"/>
  <c r="C2786" i="2"/>
  <c r="B2786" i="2"/>
  <c r="A2786" i="2"/>
  <c r="H2785" i="2"/>
  <c r="G2785" i="2"/>
  <c r="F2785" i="2"/>
  <c r="E2785" i="2"/>
  <c r="D2785" i="2"/>
  <c r="C2785" i="2"/>
  <c r="B2785" i="2"/>
  <c r="A2785" i="2"/>
  <c r="H2784" i="2"/>
  <c r="G2784" i="2"/>
  <c r="F2784" i="2"/>
  <c r="E2784" i="2"/>
  <c r="D2784" i="2"/>
  <c r="C2784" i="2"/>
  <c r="B2784" i="2"/>
  <c r="A2784" i="2"/>
  <c r="H2783" i="2"/>
  <c r="G2783" i="2"/>
  <c r="F2783" i="2"/>
  <c r="E2783" i="2"/>
  <c r="D2783" i="2"/>
  <c r="C2783" i="2"/>
  <c r="B2783" i="2"/>
  <c r="A2783" i="2"/>
  <c r="H2782" i="2"/>
  <c r="G2782" i="2"/>
  <c r="F2782" i="2"/>
  <c r="E2782" i="2"/>
  <c r="D2782" i="2"/>
  <c r="C2782" i="2"/>
  <c r="B2782" i="2"/>
  <c r="A2782" i="2"/>
  <c r="H2781" i="2"/>
  <c r="G2781" i="2"/>
  <c r="F2781" i="2"/>
  <c r="E2781" i="2"/>
  <c r="D2781" i="2"/>
  <c r="C2781" i="2"/>
  <c r="B2781" i="2"/>
  <c r="A2781" i="2"/>
  <c r="H2780" i="2"/>
  <c r="G2780" i="2"/>
  <c r="F2780" i="2"/>
  <c r="E2780" i="2"/>
  <c r="D2780" i="2"/>
  <c r="C2780" i="2"/>
  <c r="B2780" i="2"/>
  <c r="A2780" i="2"/>
  <c r="H2779" i="2"/>
  <c r="G2779" i="2"/>
  <c r="F2779" i="2"/>
  <c r="E2779" i="2"/>
  <c r="D2779" i="2"/>
  <c r="C2779" i="2"/>
  <c r="B2779" i="2"/>
  <c r="A2779" i="2"/>
  <c r="H2778" i="2"/>
  <c r="G2778" i="2"/>
  <c r="F2778" i="2"/>
  <c r="E2778" i="2"/>
  <c r="D2778" i="2"/>
  <c r="C2778" i="2"/>
  <c r="B2778" i="2"/>
  <c r="A2778" i="2"/>
  <c r="H2777" i="2"/>
  <c r="G2777" i="2"/>
  <c r="F2777" i="2"/>
  <c r="E2777" i="2"/>
  <c r="D2777" i="2"/>
  <c r="C2777" i="2"/>
  <c r="B2777" i="2"/>
  <c r="A2777" i="2"/>
  <c r="H2776" i="2"/>
  <c r="G2776" i="2"/>
  <c r="F2776" i="2"/>
  <c r="E2776" i="2"/>
  <c r="D2776" i="2"/>
  <c r="C2776" i="2"/>
  <c r="B2776" i="2"/>
  <c r="A2776" i="2"/>
  <c r="H2775" i="2"/>
  <c r="G2775" i="2"/>
  <c r="F2775" i="2"/>
  <c r="E2775" i="2"/>
  <c r="D2775" i="2"/>
  <c r="C2775" i="2"/>
  <c r="B2775" i="2"/>
  <c r="A2775" i="2"/>
  <c r="H2774" i="2"/>
  <c r="G2774" i="2"/>
  <c r="F2774" i="2"/>
  <c r="E2774" i="2"/>
  <c r="D2774" i="2"/>
  <c r="C2774" i="2"/>
  <c r="B2774" i="2"/>
  <c r="A2774" i="2"/>
  <c r="H2773" i="2"/>
  <c r="G2773" i="2"/>
  <c r="F2773" i="2"/>
  <c r="E2773" i="2"/>
  <c r="D2773" i="2"/>
  <c r="C2773" i="2"/>
  <c r="B2773" i="2"/>
  <c r="A2773" i="2"/>
  <c r="H2772" i="2"/>
  <c r="G2772" i="2"/>
  <c r="F2772" i="2"/>
  <c r="E2772" i="2"/>
  <c r="D2772" i="2"/>
  <c r="C2772" i="2"/>
  <c r="B2772" i="2"/>
  <c r="A2772" i="2"/>
  <c r="H2771" i="2"/>
  <c r="G2771" i="2"/>
  <c r="F2771" i="2"/>
  <c r="E2771" i="2"/>
  <c r="D2771" i="2"/>
  <c r="C2771" i="2"/>
  <c r="B2771" i="2"/>
  <c r="A2771" i="2"/>
  <c r="H2770" i="2"/>
  <c r="G2770" i="2"/>
  <c r="F2770" i="2"/>
  <c r="E2770" i="2"/>
  <c r="D2770" i="2"/>
  <c r="C2770" i="2"/>
  <c r="B2770" i="2"/>
  <c r="A2770" i="2"/>
  <c r="H2769" i="2"/>
  <c r="G2769" i="2"/>
  <c r="F2769" i="2"/>
  <c r="E2769" i="2"/>
  <c r="D2769" i="2"/>
  <c r="C2769" i="2"/>
  <c r="B2769" i="2"/>
  <c r="A2769" i="2"/>
  <c r="H2768" i="2"/>
  <c r="G2768" i="2"/>
  <c r="F2768" i="2"/>
  <c r="E2768" i="2"/>
  <c r="D2768" i="2"/>
  <c r="C2768" i="2"/>
  <c r="B2768" i="2"/>
  <c r="A2768" i="2"/>
  <c r="H2767" i="2"/>
  <c r="G2767" i="2"/>
  <c r="F2767" i="2"/>
  <c r="E2767" i="2"/>
  <c r="D2767" i="2"/>
  <c r="C2767" i="2"/>
  <c r="B2767" i="2"/>
  <c r="A2767" i="2"/>
  <c r="H2766" i="2"/>
  <c r="G2766" i="2"/>
  <c r="F2766" i="2"/>
  <c r="E2766" i="2"/>
  <c r="D2766" i="2"/>
  <c r="C2766" i="2"/>
  <c r="B2766" i="2"/>
  <c r="A2766" i="2"/>
  <c r="H2765" i="2"/>
  <c r="G2765" i="2"/>
  <c r="F2765" i="2"/>
  <c r="E2765" i="2"/>
  <c r="D2765" i="2"/>
  <c r="C2765" i="2"/>
  <c r="B2765" i="2"/>
  <c r="A2765" i="2"/>
  <c r="H2764" i="2"/>
  <c r="G2764" i="2"/>
  <c r="F2764" i="2"/>
  <c r="E2764" i="2"/>
  <c r="D2764" i="2"/>
  <c r="C2764" i="2"/>
  <c r="B2764" i="2"/>
  <c r="A2764" i="2"/>
  <c r="H2763" i="2"/>
  <c r="G2763" i="2"/>
  <c r="F2763" i="2"/>
  <c r="E2763" i="2"/>
  <c r="D2763" i="2"/>
  <c r="C2763" i="2"/>
  <c r="B2763" i="2"/>
  <c r="A2763" i="2"/>
  <c r="H2762" i="2"/>
  <c r="G2762" i="2"/>
  <c r="F2762" i="2"/>
  <c r="E2762" i="2"/>
  <c r="D2762" i="2"/>
  <c r="C2762" i="2"/>
  <c r="B2762" i="2"/>
  <c r="A2762" i="2"/>
  <c r="H2761" i="2"/>
  <c r="G2761" i="2"/>
  <c r="F2761" i="2"/>
  <c r="E2761" i="2"/>
  <c r="D2761" i="2"/>
  <c r="C2761" i="2"/>
  <c r="B2761" i="2"/>
  <c r="A2761" i="2"/>
  <c r="H2760" i="2"/>
  <c r="G2760" i="2"/>
  <c r="F2760" i="2"/>
  <c r="E2760" i="2"/>
  <c r="D2760" i="2"/>
  <c r="C2760" i="2"/>
  <c r="B2760" i="2"/>
  <c r="A2760" i="2"/>
  <c r="H2759" i="2"/>
  <c r="G2759" i="2"/>
  <c r="F2759" i="2"/>
  <c r="E2759" i="2"/>
  <c r="D2759" i="2"/>
  <c r="C2759" i="2"/>
  <c r="B2759" i="2"/>
  <c r="A2759" i="2"/>
  <c r="H2758" i="2"/>
  <c r="G2758" i="2"/>
  <c r="F2758" i="2"/>
  <c r="E2758" i="2"/>
  <c r="D2758" i="2"/>
  <c r="C2758" i="2"/>
  <c r="B2758" i="2"/>
  <c r="A2758" i="2"/>
  <c r="H2757" i="2"/>
  <c r="G2757" i="2"/>
  <c r="F2757" i="2"/>
  <c r="E2757" i="2"/>
  <c r="D2757" i="2"/>
  <c r="C2757" i="2"/>
  <c r="B2757" i="2"/>
  <c r="A2757" i="2"/>
  <c r="H2756" i="2"/>
  <c r="G2756" i="2"/>
  <c r="F2756" i="2"/>
  <c r="E2756" i="2"/>
  <c r="D2756" i="2"/>
  <c r="C2756" i="2"/>
  <c r="B2756" i="2"/>
  <c r="A2756" i="2"/>
  <c r="H2755" i="2"/>
  <c r="G2755" i="2"/>
  <c r="F2755" i="2"/>
  <c r="E2755" i="2"/>
  <c r="D2755" i="2"/>
  <c r="C2755" i="2"/>
  <c r="B2755" i="2"/>
  <c r="A2755" i="2"/>
  <c r="H2754" i="2"/>
  <c r="G2754" i="2"/>
  <c r="F2754" i="2"/>
  <c r="E2754" i="2"/>
  <c r="D2754" i="2"/>
  <c r="C2754" i="2"/>
  <c r="B2754" i="2"/>
  <c r="A2754" i="2"/>
  <c r="H2753" i="2"/>
  <c r="G2753" i="2"/>
  <c r="F2753" i="2"/>
  <c r="E2753" i="2"/>
  <c r="D2753" i="2"/>
  <c r="C2753" i="2"/>
  <c r="B2753" i="2"/>
  <c r="A2753" i="2"/>
  <c r="H2752" i="2"/>
  <c r="G2752" i="2"/>
  <c r="F2752" i="2"/>
  <c r="E2752" i="2"/>
  <c r="D2752" i="2"/>
  <c r="C2752" i="2"/>
  <c r="B2752" i="2"/>
  <c r="A2752" i="2"/>
  <c r="H2751" i="2"/>
  <c r="G2751" i="2"/>
  <c r="F2751" i="2"/>
  <c r="E2751" i="2"/>
  <c r="D2751" i="2"/>
  <c r="C2751" i="2"/>
  <c r="B2751" i="2"/>
  <c r="A2751" i="2"/>
  <c r="H2750" i="2"/>
  <c r="G2750" i="2"/>
  <c r="F2750" i="2"/>
  <c r="E2750" i="2"/>
  <c r="D2750" i="2"/>
  <c r="C2750" i="2"/>
  <c r="B2750" i="2"/>
  <c r="A2750" i="2"/>
  <c r="H2749" i="2"/>
  <c r="G2749" i="2"/>
  <c r="F2749" i="2"/>
  <c r="E2749" i="2"/>
  <c r="D2749" i="2"/>
  <c r="C2749" i="2"/>
  <c r="B2749" i="2"/>
  <c r="A2749" i="2"/>
  <c r="H2748" i="2"/>
  <c r="G2748" i="2"/>
  <c r="F2748" i="2"/>
  <c r="E2748" i="2"/>
  <c r="D2748" i="2"/>
  <c r="C2748" i="2"/>
  <c r="B2748" i="2"/>
  <c r="A2748" i="2"/>
  <c r="H2747" i="2"/>
  <c r="G2747" i="2"/>
  <c r="F2747" i="2"/>
  <c r="E2747" i="2"/>
  <c r="D2747" i="2"/>
  <c r="C2747" i="2"/>
  <c r="B2747" i="2"/>
  <c r="A2747" i="2"/>
  <c r="H2746" i="2"/>
  <c r="G2746" i="2"/>
  <c r="F2746" i="2"/>
  <c r="E2746" i="2"/>
  <c r="D2746" i="2"/>
  <c r="C2746" i="2"/>
  <c r="B2746" i="2"/>
  <c r="A2746" i="2"/>
  <c r="H2745" i="2"/>
  <c r="G2745" i="2"/>
  <c r="F2745" i="2"/>
  <c r="E2745" i="2"/>
  <c r="D2745" i="2"/>
  <c r="C2745" i="2"/>
  <c r="B2745" i="2"/>
  <c r="A2745" i="2"/>
  <c r="H2744" i="2"/>
  <c r="G2744" i="2"/>
  <c r="F2744" i="2"/>
  <c r="E2744" i="2"/>
  <c r="D2744" i="2"/>
  <c r="C2744" i="2"/>
  <c r="B2744" i="2"/>
  <c r="A2744" i="2"/>
  <c r="H2743" i="2"/>
  <c r="G2743" i="2"/>
  <c r="F2743" i="2"/>
  <c r="E2743" i="2"/>
  <c r="D2743" i="2"/>
  <c r="C2743" i="2"/>
  <c r="B2743" i="2"/>
  <c r="A2743" i="2"/>
  <c r="H2742" i="2"/>
  <c r="G2742" i="2"/>
  <c r="F2742" i="2"/>
  <c r="E2742" i="2"/>
  <c r="D2742" i="2"/>
  <c r="C2742" i="2"/>
  <c r="B2742" i="2"/>
  <c r="A2742" i="2"/>
  <c r="H2741" i="2"/>
  <c r="G2741" i="2"/>
  <c r="F2741" i="2"/>
  <c r="E2741" i="2"/>
  <c r="D2741" i="2"/>
  <c r="C2741" i="2"/>
  <c r="B2741" i="2"/>
  <c r="A2741" i="2"/>
  <c r="H2740" i="2"/>
  <c r="G2740" i="2"/>
  <c r="F2740" i="2"/>
  <c r="E2740" i="2"/>
  <c r="D2740" i="2"/>
  <c r="C2740" i="2"/>
  <c r="B2740" i="2"/>
  <c r="A2740" i="2"/>
  <c r="H2739" i="2"/>
  <c r="G2739" i="2"/>
  <c r="F2739" i="2"/>
  <c r="E2739" i="2"/>
  <c r="D2739" i="2"/>
  <c r="C2739" i="2"/>
  <c r="B2739" i="2"/>
  <c r="A2739" i="2"/>
  <c r="H2738" i="2"/>
  <c r="G2738" i="2"/>
  <c r="F2738" i="2"/>
  <c r="E2738" i="2"/>
  <c r="D2738" i="2"/>
  <c r="C2738" i="2"/>
  <c r="B2738" i="2"/>
  <c r="A2738" i="2"/>
  <c r="H2737" i="2"/>
  <c r="G2737" i="2"/>
  <c r="F2737" i="2"/>
  <c r="E2737" i="2"/>
  <c r="D2737" i="2"/>
  <c r="C2737" i="2"/>
  <c r="B2737" i="2"/>
  <c r="A2737" i="2"/>
  <c r="H2736" i="2"/>
  <c r="G2736" i="2"/>
  <c r="F2736" i="2"/>
  <c r="E2736" i="2"/>
  <c r="D2736" i="2"/>
  <c r="C2736" i="2"/>
  <c r="B2736" i="2"/>
  <c r="A2736" i="2"/>
  <c r="H2735" i="2"/>
  <c r="G2735" i="2"/>
  <c r="F2735" i="2"/>
  <c r="E2735" i="2"/>
  <c r="D2735" i="2"/>
  <c r="C2735" i="2"/>
  <c r="B2735" i="2"/>
  <c r="A2735" i="2"/>
  <c r="H2734" i="2"/>
  <c r="G2734" i="2"/>
  <c r="F2734" i="2"/>
  <c r="E2734" i="2"/>
  <c r="D2734" i="2"/>
  <c r="C2734" i="2"/>
  <c r="B2734" i="2"/>
  <c r="A2734" i="2"/>
  <c r="H2733" i="2"/>
  <c r="G2733" i="2"/>
  <c r="F2733" i="2"/>
  <c r="E2733" i="2"/>
  <c r="D2733" i="2"/>
  <c r="C2733" i="2"/>
  <c r="B2733" i="2"/>
  <c r="A2733" i="2"/>
  <c r="H2732" i="2"/>
  <c r="G2732" i="2"/>
  <c r="F2732" i="2"/>
  <c r="E2732" i="2"/>
  <c r="D2732" i="2"/>
  <c r="C2732" i="2"/>
  <c r="B2732" i="2"/>
  <c r="A2732" i="2"/>
  <c r="H2731" i="2"/>
  <c r="G2731" i="2"/>
  <c r="F2731" i="2"/>
  <c r="E2731" i="2"/>
  <c r="D2731" i="2"/>
  <c r="C2731" i="2"/>
  <c r="B2731" i="2"/>
  <c r="A2731" i="2"/>
  <c r="H2730" i="2"/>
  <c r="G2730" i="2"/>
  <c r="F2730" i="2"/>
  <c r="E2730" i="2"/>
  <c r="D2730" i="2"/>
  <c r="C2730" i="2"/>
  <c r="B2730" i="2"/>
  <c r="A2730" i="2"/>
  <c r="H2729" i="2"/>
  <c r="G2729" i="2"/>
  <c r="F2729" i="2"/>
  <c r="E2729" i="2"/>
  <c r="D2729" i="2"/>
  <c r="C2729" i="2"/>
  <c r="B2729" i="2"/>
  <c r="A2729" i="2"/>
  <c r="H2728" i="2"/>
  <c r="G2728" i="2"/>
  <c r="F2728" i="2"/>
  <c r="E2728" i="2"/>
  <c r="D2728" i="2"/>
  <c r="C2728" i="2"/>
  <c r="B2728" i="2"/>
  <c r="A2728" i="2"/>
  <c r="H2727" i="2"/>
  <c r="G2727" i="2"/>
  <c r="F2727" i="2"/>
  <c r="E2727" i="2"/>
  <c r="D2727" i="2"/>
  <c r="C2727" i="2"/>
  <c r="B2727" i="2"/>
  <c r="A2727" i="2"/>
  <c r="H2726" i="2"/>
  <c r="G2726" i="2"/>
  <c r="F2726" i="2"/>
  <c r="E2726" i="2"/>
  <c r="D2726" i="2"/>
  <c r="C2726" i="2"/>
  <c r="B2726" i="2"/>
  <c r="A2726" i="2"/>
  <c r="H2725" i="2"/>
  <c r="G2725" i="2"/>
  <c r="F2725" i="2"/>
  <c r="E2725" i="2"/>
  <c r="D2725" i="2"/>
  <c r="C2725" i="2"/>
  <c r="B2725" i="2"/>
  <c r="A2725" i="2"/>
  <c r="H2724" i="2"/>
  <c r="G2724" i="2"/>
  <c r="F2724" i="2"/>
  <c r="E2724" i="2"/>
  <c r="D2724" i="2"/>
  <c r="C2724" i="2"/>
  <c r="B2724" i="2"/>
  <c r="A2724" i="2"/>
  <c r="H2723" i="2"/>
  <c r="G2723" i="2"/>
  <c r="F2723" i="2"/>
  <c r="E2723" i="2"/>
  <c r="D2723" i="2"/>
  <c r="C2723" i="2"/>
  <c r="B2723" i="2"/>
  <c r="A2723" i="2"/>
  <c r="H2722" i="2"/>
  <c r="G2722" i="2"/>
  <c r="F2722" i="2"/>
  <c r="E2722" i="2"/>
  <c r="D2722" i="2"/>
  <c r="C2722" i="2"/>
  <c r="B2722" i="2"/>
  <c r="A2722" i="2"/>
  <c r="H2721" i="2"/>
  <c r="G2721" i="2"/>
  <c r="F2721" i="2"/>
  <c r="E2721" i="2"/>
  <c r="D2721" i="2"/>
  <c r="C2721" i="2"/>
  <c r="B2721" i="2"/>
  <c r="A2721" i="2"/>
  <c r="H2720" i="2"/>
  <c r="G2720" i="2"/>
  <c r="F2720" i="2"/>
  <c r="E2720" i="2"/>
  <c r="D2720" i="2"/>
  <c r="C2720" i="2"/>
  <c r="B2720" i="2"/>
  <c r="A2720" i="2"/>
  <c r="H2719" i="2"/>
  <c r="G2719" i="2"/>
  <c r="F2719" i="2"/>
  <c r="E2719" i="2"/>
  <c r="D2719" i="2"/>
  <c r="C2719" i="2"/>
  <c r="B2719" i="2"/>
  <c r="A2719" i="2"/>
  <c r="H2718" i="2"/>
  <c r="G2718" i="2"/>
  <c r="F2718" i="2"/>
  <c r="E2718" i="2"/>
  <c r="D2718" i="2"/>
  <c r="C2718" i="2"/>
  <c r="B2718" i="2"/>
  <c r="A2718" i="2"/>
  <c r="H2717" i="2"/>
  <c r="G2717" i="2"/>
  <c r="F2717" i="2"/>
  <c r="E2717" i="2"/>
  <c r="D2717" i="2"/>
  <c r="C2717" i="2"/>
  <c r="B2717" i="2"/>
  <c r="A2717" i="2"/>
  <c r="H2716" i="2"/>
  <c r="G2716" i="2"/>
  <c r="F2716" i="2"/>
  <c r="E2716" i="2"/>
  <c r="D2716" i="2"/>
  <c r="C2716" i="2"/>
  <c r="B2716" i="2"/>
  <c r="A2716" i="2"/>
  <c r="H2715" i="2"/>
  <c r="G2715" i="2"/>
  <c r="F2715" i="2"/>
  <c r="E2715" i="2"/>
  <c r="D2715" i="2"/>
  <c r="C2715" i="2"/>
  <c r="B2715" i="2"/>
  <c r="A2715" i="2"/>
  <c r="H2714" i="2"/>
  <c r="G2714" i="2"/>
  <c r="F2714" i="2"/>
  <c r="E2714" i="2"/>
  <c r="D2714" i="2"/>
  <c r="C2714" i="2"/>
  <c r="B2714" i="2"/>
  <c r="A2714" i="2"/>
  <c r="H2713" i="2"/>
  <c r="G2713" i="2"/>
  <c r="F2713" i="2"/>
  <c r="E2713" i="2"/>
  <c r="D2713" i="2"/>
  <c r="C2713" i="2"/>
  <c r="B2713" i="2"/>
  <c r="A2713" i="2"/>
  <c r="H2712" i="2"/>
  <c r="G2712" i="2"/>
  <c r="F2712" i="2"/>
  <c r="E2712" i="2"/>
  <c r="D2712" i="2"/>
  <c r="C2712" i="2"/>
  <c r="B2712" i="2"/>
  <c r="A2712" i="2"/>
  <c r="H2711" i="2"/>
  <c r="G2711" i="2"/>
  <c r="F2711" i="2"/>
  <c r="E2711" i="2"/>
  <c r="D2711" i="2"/>
  <c r="C2711" i="2"/>
  <c r="B2711" i="2"/>
  <c r="A2711" i="2"/>
  <c r="H2710" i="2"/>
  <c r="G2710" i="2"/>
  <c r="F2710" i="2"/>
  <c r="E2710" i="2"/>
  <c r="D2710" i="2"/>
  <c r="C2710" i="2"/>
  <c r="B2710" i="2"/>
  <c r="A2710" i="2"/>
  <c r="H2709" i="2"/>
  <c r="G2709" i="2"/>
  <c r="F2709" i="2"/>
  <c r="E2709" i="2"/>
  <c r="D2709" i="2"/>
  <c r="C2709" i="2"/>
  <c r="B2709" i="2"/>
  <c r="A2709" i="2"/>
  <c r="H2708" i="2"/>
  <c r="G2708" i="2"/>
  <c r="F2708" i="2"/>
  <c r="E2708" i="2"/>
  <c r="D2708" i="2"/>
  <c r="C2708" i="2"/>
  <c r="B2708" i="2"/>
  <c r="A2708" i="2"/>
  <c r="H2707" i="2"/>
  <c r="G2707" i="2"/>
  <c r="F2707" i="2"/>
  <c r="E2707" i="2"/>
  <c r="D2707" i="2"/>
  <c r="C2707" i="2"/>
  <c r="B2707" i="2"/>
  <c r="A2707" i="2"/>
  <c r="H2706" i="2"/>
  <c r="G2706" i="2"/>
  <c r="F2706" i="2"/>
  <c r="E2706" i="2"/>
  <c r="D2706" i="2"/>
  <c r="C2706" i="2"/>
  <c r="B2706" i="2"/>
  <c r="A2706" i="2"/>
  <c r="H2705" i="2"/>
  <c r="G2705" i="2"/>
  <c r="F2705" i="2"/>
  <c r="E2705" i="2"/>
  <c r="D2705" i="2"/>
  <c r="C2705" i="2"/>
  <c r="B2705" i="2"/>
  <c r="A2705" i="2"/>
  <c r="H2704" i="2"/>
  <c r="G2704" i="2"/>
  <c r="F2704" i="2"/>
  <c r="E2704" i="2"/>
  <c r="D2704" i="2"/>
  <c r="C2704" i="2"/>
  <c r="B2704" i="2"/>
  <c r="A2704" i="2"/>
  <c r="H2703" i="2"/>
  <c r="G2703" i="2"/>
  <c r="F2703" i="2"/>
  <c r="E2703" i="2"/>
  <c r="D2703" i="2"/>
  <c r="C2703" i="2"/>
  <c r="B2703" i="2"/>
  <c r="A2703" i="2"/>
  <c r="H2702" i="2"/>
  <c r="G2702" i="2"/>
  <c r="F2702" i="2"/>
  <c r="E2702" i="2"/>
  <c r="D2702" i="2"/>
  <c r="C2702" i="2"/>
  <c r="B2702" i="2"/>
  <c r="A2702" i="2"/>
  <c r="H2701" i="2"/>
  <c r="G2701" i="2"/>
  <c r="F2701" i="2"/>
  <c r="E2701" i="2"/>
  <c r="D2701" i="2"/>
  <c r="C2701" i="2"/>
  <c r="B2701" i="2"/>
  <c r="A2701" i="2"/>
  <c r="H2700" i="2"/>
  <c r="G2700" i="2"/>
  <c r="F2700" i="2"/>
  <c r="E2700" i="2"/>
  <c r="D2700" i="2"/>
  <c r="C2700" i="2"/>
  <c r="B2700" i="2"/>
  <c r="A2700" i="2"/>
  <c r="H2699" i="2"/>
  <c r="G2699" i="2"/>
  <c r="F2699" i="2"/>
  <c r="E2699" i="2"/>
  <c r="D2699" i="2"/>
  <c r="C2699" i="2"/>
  <c r="B2699" i="2"/>
  <c r="A2699" i="2"/>
  <c r="H2698" i="2"/>
  <c r="G2698" i="2"/>
  <c r="F2698" i="2"/>
  <c r="E2698" i="2"/>
  <c r="D2698" i="2"/>
  <c r="C2698" i="2"/>
  <c r="B2698" i="2"/>
  <c r="A2698" i="2"/>
  <c r="H2697" i="2"/>
  <c r="G2697" i="2"/>
  <c r="F2697" i="2"/>
  <c r="E2697" i="2"/>
  <c r="D2697" i="2"/>
  <c r="C2697" i="2"/>
  <c r="B2697" i="2"/>
  <c r="A2697" i="2"/>
  <c r="H2696" i="2"/>
  <c r="G2696" i="2"/>
  <c r="F2696" i="2"/>
  <c r="E2696" i="2"/>
  <c r="D2696" i="2"/>
  <c r="C2696" i="2"/>
  <c r="B2696" i="2"/>
  <c r="A2696" i="2"/>
  <c r="H2695" i="2"/>
  <c r="G2695" i="2"/>
  <c r="F2695" i="2"/>
  <c r="E2695" i="2"/>
  <c r="D2695" i="2"/>
  <c r="C2695" i="2"/>
  <c r="B2695" i="2"/>
  <c r="A2695" i="2"/>
  <c r="H2694" i="2"/>
  <c r="G2694" i="2"/>
  <c r="F2694" i="2"/>
  <c r="E2694" i="2"/>
  <c r="D2694" i="2"/>
  <c r="C2694" i="2"/>
  <c r="B2694" i="2"/>
  <c r="A2694" i="2"/>
  <c r="H2693" i="2"/>
  <c r="G2693" i="2"/>
  <c r="F2693" i="2"/>
  <c r="E2693" i="2"/>
  <c r="D2693" i="2"/>
  <c r="C2693" i="2"/>
  <c r="B2693" i="2"/>
  <c r="A2693" i="2"/>
  <c r="H2692" i="2"/>
  <c r="G2692" i="2"/>
  <c r="F2692" i="2"/>
  <c r="E2692" i="2"/>
  <c r="D2692" i="2"/>
  <c r="C2692" i="2"/>
  <c r="B2692" i="2"/>
  <c r="A2692" i="2"/>
  <c r="H2691" i="2"/>
  <c r="G2691" i="2"/>
  <c r="F2691" i="2"/>
  <c r="E2691" i="2"/>
  <c r="D2691" i="2"/>
  <c r="C2691" i="2"/>
  <c r="B2691" i="2"/>
  <c r="A2691" i="2"/>
  <c r="H2690" i="2"/>
  <c r="G2690" i="2"/>
  <c r="F2690" i="2"/>
  <c r="E2690" i="2"/>
  <c r="D2690" i="2"/>
  <c r="C2690" i="2"/>
  <c r="B2690" i="2"/>
  <c r="A2690" i="2"/>
  <c r="H2689" i="2"/>
  <c r="G2689" i="2"/>
  <c r="F2689" i="2"/>
  <c r="E2689" i="2"/>
  <c r="D2689" i="2"/>
  <c r="C2689" i="2"/>
  <c r="B2689" i="2"/>
  <c r="A2689" i="2"/>
  <c r="H2688" i="2"/>
  <c r="G2688" i="2"/>
  <c r="F2688" i="2"/>
  <c r="E2688" i="2"/>
  <c r="D2688" i="2"/>
  <c r="C2688" i="2"/>
  <c r="B2688" i="2"/>
  <c r="A2688" i="2"/>
  <c r="H2687" i="2"/>
  <c r="G2687" i="2"/>
  <c r="F2687" i="2"/>
  <c r="E2687" i="2"/>
  <c r="D2687" i="2"/>
  <c r="C2687" i="2"/>
  <c r="B2687" i="2"/>
  <c r="A2687" i="2"/>
  <c r="H2686" i="2"/>
  <c r="G2686" i="2"/>
  <c r="F2686" i="2"/>
  <c r="E2686" i="2"/>
  <c r="D2686" i="2"/>
  <c r="C2686" i="2"/>
  <c r="B2686" i="2"/>
  <c r="A2686" i="2"/>
  <c r="H2685" i="2"/>
  <c r="G2685" i="2"/>
  <c r="F2685" i="2"/>
  <c r="E2685" i="2"/>
  <c r="D2685" i="2"/>
  <c r="C2685" i="2"/>
  <c r="B2685" i="2"/>
  <c r="A2685" i="2"/>
  <c r="H2684" i="2"/>
  <c r="G2684" i="2"/>
  <c r="F2684" i="2"/>
  <c r="E2684" i="2"/>
  <c r="D2684" i="2"/>
  <c r="C2684" i="2"/>
  <c r="B2684" i="2"/>
  <c r="A2684" i="2"/>
  <c r="H2683" i="2"/>
  <c r="G2683" i="2"/>
  <c r="F2683" i="2"/>
  <c r="E2683" i="2"/>
  <c r="D2683" i="2"/>
  <c r="C2683" i="2"/>
  <c r="B2683" i="2"/>
  <c r="A2683" i="2"/>
  <c r="H2682" i="2"/>
  <c r="G2682" i="2"/>
  <c r="F2682" i="2"/>
  <c r="E2682" i="2"/>
  <c r="D2682" i="2"/>
  <c r="C2682" i="2"/>
  <c r="B2682" i="2"/>
  <c r="A2682" i="2"/>
  <c r="H2681" i="2"/>
  <c r="G2681" i="2"/>
  <c r="F2681" i="2"/>
  <c r="E2681" i="2"/>
  <c r="D2681" i="2"/>
  <c r="C2681" i="2"/>
  <c r="B2681" i="2"/>
  <c r="A2681" i="2"/>
  <c r="H2680" i="2"/>
  <c r="G2680" i="2"/>
  <c r="F2680" i="2"/>
  <c r="E2680" i="2"/>
  <c r="D2680" i="2"/>
  <c r="C2680" i="2"/>
  <c r="B2680" i="2"/>
  <c r="A2680" i="2"/>
  <c r="H2679" i="2"/>
  <c r="G2679" i="2"/>
  <c r="F2679" i="2"/>
  <c r="E2679" i="2"/>
  <c r="D2679" i="2"/>
  <c r="C2679" i="2"/>
  <c r="B2679" i="2"/>
  <c r="A2679" i="2"/>
  <c r="H2678" i="2"/>
  <c r="G2678" i="2"/>
  <c r="F2678" i="2"/>
  <c r="E2678" i="2"/>
  <c r="D2678" i="2"/>
  <c r="C2678" i="2"/>
  <c r="B2678" i="2"/>
  <c r="A2678" i="2"/>
  <c r="H2677" i="2"/>
  <c r="G2677" i="2"/>
  <c r="F2677" i="2"/>
  <c r="E2677" i="2"/>
  <c r="D2677" i="2"/>
  <c r="C2677" i="2"/>
  <c r="B2677" i="2"/>
  <c r="A2677" i="2"/>
  <c r="H2676" i="2"/>
  <c r="G2676" i="2"/>
  <c r="F2676" i="2"/>
  <c r="E2676" i="2"/>
  <c r="D2676" i="2"/>
  <c r="C2676" i="2"/>
  <c r="B2676" i="2"/>
  <c r="A2676" i="2"/>
  <c r="H2675" i="2"/>
  <c r="G2675" i="2"/>
  <c r="F2675" i="2"/>
  <c r="E2675" i="2"/>
  <c r="D2675" i="2"/>
  <c r="C2675" i="2"/>
  <c r="B2675" i="2"/>
  <c r="A2675" i="2"/>
  <c r="H2674" i="2"/>
  <c r="G2674" i="2"/>
  <c r="F2674" i="2"/>
  <c r="E2674" i="2"/>
  <c r="D2674" i="2"/>
  <c r="C2674" i="2"/>
  <c r="B2674" i="2"/>
  <c r="A2674" i="2"/>
  <c r="H2673" i="2"/>
  <c r="G2673" i="2"/>
  <c r="F2673" i="2"/>
  <c r="E2673" i="2"/>
  <c r="D2673" i="2"/>
  <c r="C2673" i="2"/>
  <c r="B2673" i="2"/>
  <c r="A2673" i="2"/>
  <c r="H2672" i="2"/>
  <c r="G2672" i="2"/>
  <c r="F2672" i="2"/>
  <c r="E2672" i="2"/>
  <c r="D2672" i="2"/>
  <c r="C2672" i="2"/>
  <c r="B2672" i="2"/>
  <c r="A2672" i="2"/>
  <c r="H2671" i="2"/>
  <c r="G2671" i="2"/>
  <c r="F2671" i="2"/>
  <c r="E2671" i="2"/>
  <c r="D2671" i="2"/>
  <c r="C2671" i="2"/>
  <c r="B2671" i="2"/>
  <c r="A2671" i="2"/>
  <c r="H2670" i="2"/>
  <c r="G2670" i="2"/>
  <c r="F2670" i="2"/>
  <c r="E2670" i="2"/>
  <c r="D2670" i="2"/>
  <c r="C2670" i="2"/>
  <c r="B2670" i="2"/>
  <c r="A2670" i="2"/>
  <c r="H2669" i="2"/>
  <c r="G2669" i="2"/>
  <c r="F2669" i="2"/>
  <c r="E2669" i="2"/>
  <c r="D2669" i="2"/>
  <c r="C2669" i="2"/>
  <c r="B2669" i="2"/>
  <c r="A2669" i="2"/>
  <c r="H2668" i="2"/>
  <c r="G2668" i="2"/>
  <c r="F2668" i="2"/>
  <c r="E2668" i="2"/>
  <c r="D2668" i="2"/>
  <c r="C2668" i="2"/>
  <c r="B2668" i="2"/>
  <c r="A2668" i="2"/>
  <c r="H2667" i="2"/>
  <c r="G2667" i="2"/>
  <c r="F2667" i="2"/>
  <c r="E2667" i="2"/>
  <c r="D2667" i="2"/>
  <c r="C2667" i="2"/>
  <c r="B2667" i="2"/>
  <c r="A2667" i="2"/>
  <c r="H2666" i="2"/>
  <c r="G2666" i="2"/>
  <c r="F2666" i="2"/>
  <c r="E2666" i="2"/>
  <c r="D2666" i="2"/>
  <c r="C2666" i="2"/>
  <c r="B2666" i="2"/>
  <c r="A2666" i="2"/>
  <c r="H2665" i="2"/>
  <c r="G2665" i="2"/>
  <c r="F2665" i="2"/>
  <c r="E2665" i="2"/>
  <c r="D2665" i="2"/>
  <c r="C2665" i="2"/>
  <c r="B2665" i="2"/>
  <c r="A2665" i="2"/>
  <c r="H2664" i="2"/>
  <c r="G2664" i="2"/>
  <c r="F2664" i="2"/>
  <c r="E2664" i="2"/>
  <c r="D2664" i="2"/>
  <c r="C2664" i="2"/>
  <c r="B2664" i="2"/>
  <c r="A2664" i="2"/>
  <c r="H2663" i="2"/>
  <c r="G2663" i="2"/>
  <c r="F2663" i="2"/>
  <c r="E2663" i="2"/>
  <c r="D2663" i="2"/>
  <c r="C2663" i="2"/>
  <c r="B2663" i="2"/>
  <c r="A2663" i="2"/>
  <c r="H2662" i="2"/>
  <c r="G2662" i="2"/>
  <c r="F2662" i="2"/>
  <c r="E2662" i="2"/>
  <c r="D2662" i="2"/>
  <c r="C2662" i="2"/>
  <c r="B2662" i="2"/>
  <c r="A2662" i="2"/>
  <c r="H2661" i="2"/>
  <c r="G2661" i="2"/>
  <c r="F2661" i="2"/>
  <c r="E2661" i="2"/>
  <c r="D2661" i="2"/>
  <c r="C2661" i="2"/>
  <c r="B2661" i="2"/>
  <c r="A2661" i="2"/>
  <c r="H2660" i="2"/>
  <c r="G2660" i="2"/>
  <c r="F2660" i="2"/>
  <c r="E2660" i="2"/>
  <c r="D2660" i="2"/>
  <c r="C2660" i="2"/>
  <c r="B2660" i="2"/>
  <c r="A2660" i="2"/>
  <c r="H2659" i="2"/>
  <c r="G2659" i="2"/>
  <c r="F2659" i="2"/>
  <c r="E2659" i="2"/>
  <c r="D2659" i="2"/>
  <c r="C2659" i="2"/>
  <c r="B2659" i="2"/>
  <c r="A2659" i="2"/>
  <c r="H2658" i="2"/>
  <c r="G2658" i="2"/>
  <c r="F2658" i="2"/>
  <c r="E2658" i="2"/>
  <c r="D2658" i="2"/>
  <c r="C2658" i="2"/>
  <c r="B2658" i="2"/>
  <c r="A2658" i="2"/>
  <c r="H2657" i="2"/>
  <c r="G2657" i="2"/>
  <c r="F2657" i="2"/>
  <c r="E2657" i="2"/>
  <c r="D2657" i="2"/>
  <c r="C2657" i="2"/>
  <c r="B2657" i="2"/>
  <c r="A2657" i="2"/>
  <c r="H2656" i="2"/>
  <c r="G2656" i="2"/>
  <c r="F2656" i="2"/>
  <c r="E2656" i="2"/>
  <c r="D2656" i="2"/>
  <c r="C2656" i="2"/>
  <c r="B2656" i="2"/>
  <c r="A2656" i="2"/>
  <c r="H2655" i="2"/>
  <c r="G2655" i="2"/>
  <c r="F2655" i="2"/>
  <c r="E2655" i="2"/>
  <c r="D2655" i="2"/>
  <c r="C2655" i="2"/>
  <c r="B2655" i="2"/>
  <c r="A2655" i="2"/>
  <c r="H2654" i="2"/>
  <c r="G2654" i="2"/>
  <c r="F2654" i="2"/>
  <c r="E2654" i="2"/>
  <c r="D2654" i="2"/>
  <c r="C2654" i="2"/>
  <c r="B2654" i="2"/>
  <c r="A2654" i="2"/>
  <c r="H2653" i="2"/>
  <c r="G2653" i="2"/>
  <c r="F2653" i="2"/>
  <c r="E2653" i="2"/>
  <c r="D2653" i="2"/>
  <c r="C2653" i="2"/>
  <c r="B2653" i="2"/>
  <c r="A2653" i="2"/>
  <c r="H2652" i="2"/>
  <c r="G2652" i="2"/>
  <c r="F2652" i="2"/>
  <c r="E2652" i="2"/>
  <c r="D2652" i="2"/>
  <c r="C2652" i="2"/>
  <c r="B2652" i="2"/>
  <c r="A2652" i="2"/>
  <c r="H2651" i="2"/>
  <c r="G2651" i="2"/>
  <c r="F2651" i="2"/>
  <c r="E2651" i="2"/>
  <c r="D2651" i="2"/>
  <c r="C2651" i="2"/>
  <c r="B2651" i="2"/>
  <c r="A2651" i="2"/>
  <c r="H2650" i="2"/>
  <c r="G2650" i="2"/>
  <c r="F2650" i="2"/>
  <c r="E2650" i="2"/>
  <c r="D2650" i="2"/>
  <c r="C2650" i="2"/>
  <c r="B2650" i="2"/>
  <c r="A2650" i="2"/>
  <c r="H2649" i="2"/>
  <c r="G2649" i="2"/>
  <c r="F2649" i="2"/>
  <c r="E2649" i="2"/>
  <c r="D2649" i="2"/>
  <c r="C2649" i="2"/>
  <c r="B2649" i="2"/>
  <c r="A2649" i="2"/>
  <c r="H2648" i="2"/>
  <c r="G2648" i="2"/>
  <c r="F2648" i="2"/>
  <c r="E2648" i="2"/>
  <c r="D2648" i="2"/>
  <c r="C2648" i="2"/>
  <c r="B2648" i="2"/>
  <c r="A2648" i="2"/>
  <c r="H2647" i="2"/>
  <c r="G2647" i="2"/>
  <c r="F2647" i="2"/>
  <c r="E2647" i="2"/>
  <c r="D2647" i="2"/>
  <c r="C2647" i="2"/>
  <c r="B2647" i="2"/>
  <c r="A2647" i="2"/>
  <c r="H2646" i="2"/>
  <c r="G2646" i="2"/>
  <c r="F2646" i="2"/>
  <c r="E2646" i="2"/>
  <c r="D2646" i="2"/>
  <c r="C2646" i="2"/>
  <c r="B2646" i="2"/>
  <c r="A2646" i="2"/>
  <c r="H2645" i="2"/>
  <c r="G2645" i="2"/>
  <c r="F2645" i="2"/>
  <c r="E2645" i="2"/>
  <c r="D2645" i="2"/>
  <c r="C2645" i="2"/>
  <c r="B2645" i="2"/>
  <c r="A2645" i="2"/>
  <c r="H2644" i="2"/>
  <c r="G2644" i="2"/>
  <c r="F2644" i="2"/>
  <c r="E2644" i="2"/>
  <c r="D2644" i="2"/>
  <c r="C2644" i="2"/>
  <c r="B2644" i="2"/>
  <c r="A2644" i="2"/>
  <c r="H2643" i="2"/>
  <c r="G2643" i="2"/>
  <c r="F2643" i="2"/>
  <c r="E2643" i="2"/>
  <c r="D2643" i="2"/>
  <c r="C2643" i="2"/>
  <c r="B2643" i="2"/>
  <c r="A2643" i="2"/>
  <c r="H2642" i="2"/>
  <c r="G2642" i="2"/>
  <c r="F2642" i="2"/>
  <c r="E2642" i="2"/>
  <c r="D2642" i="2"/>
  <c r="C2642" i="2"/>
  <c r="B2642" i="2"/>
  <c r="A2642" i="2"/>
  <c r="H2641" i="2"/>
  <c r="G2641" i="2"/>
  <c r="F2641" i="2"/>
  <c r="E2641" i="2"/>
  <c r="D2641" i="2"/>
  <c r="C2641" i="2"/>
  <c r="B2641" i="2"/>
  <c r="A2641" i="2"/>
  <c r="H2640" i="2"/>
  <c r="G2640" i="2"/>
  <c r="F2640" i="2"/>
  <c r="E2640" i="2"/>
  <c r="D2640" i="2"/>
  <c r="C2640" i="2"/>
  <c r="B2640" i="2"/>
  <c r="A2640" i="2"/>
  <c r="H2639" i="2"/>
  <c r="G2639" i="2"/>
  <c r="F2639" i="2"/>
  <c r="E2639" i="2"/>
  <c r="D2639" i="2"/>
  <c r="C2639" i="2"/>
  <c r="B2639" i="2"/>
  <c r="A2639" i="2"/>
  <c r="H2638" i="2"/>
  <c r="G2638" i="2"/>
  <c r="F2638" i="2"/>
  <c r="E2638" i="2"/>
  <c r="D2638" i="2"/>
  <c r="C2638" i="2"/>
  <c r="B2638" i="2"/>
  <c r="A2638" i="2"/>
  <c r="H2637" i="2"/>
  <c r="G2637" i="2"/>
  <c r="F2637" i="2"/>
  <c r="E2637" i="2"/>
  <c r="D2637" i="2"/>
  <c r="C2637" i="2"/>
  <c r="B2637" i="2"/>
  <c r="A2637" i="2"/>
  <c r="H2636" i="2"/>
  <c r="G2636" i="2"/>
  <c r="F2636" i="2"/>
  <c r="E2636" i="2"/>
  <c r="D2636" i="2"/>
  <c r="C2636" i="2"/>
  <c r="B2636" i="2"/>
  <c r="A2636" i="2"/>
  <c r="H2635" i="2"/>
  <c r="G2635" i="2"/>
  <c r="F2635" i="2"/>
  <c r="E2635" i="2"/>
  <c r="D2635" i="2"/>
  <c r="C2635" i="2"/>
  <c r="B2635" i="2"/>
  <c r="A2635" i="2"/>
  <c r="H2634" i="2"/>
  <c r="G2634" i="2"/>
  <c r="F2634" i="2"/>
  <c r="E2634" i="2"/>
  <c r="D2634" i="2"/>
  <c r="C2634" i="2"/>
  <c r="B2634" i="2"/>
  <c r="A2634" i="2"/>
  <c r="H2633" i="2"/>
  <c r="G2633" i="2"/>
  <c r="F2633" i="2"/>
  <c r="E2633" i="2"/>
  <c r="D2633" i="2"/>
  <c r="C2633" i="2"/>
  <c r="B2633" i="2"/>
  <c r="A2633" i="2"/>
  <c r="H2632" i="2"/>
  <c r="G2632" i="2"/>
  <c r="F2632" i="2"/>
  <c r="E2632" i="2"/>
  <c r="D2632" i="2"/>
  <c r="C2632" i="2"/>
  <c r="B2632" i="2"/>
  <c r="A2632" i="2"/>
  <c r="H2631" i="2"/>
  <c r="G2631" i="2"/>
  <c r="F2631" i="2"/>
  <c r="E2631" i="2"/>
  <c r="D2631" i="2"/>
  <c r="C2631" i="2"/>
  <c r="B2631" i="2"/>
  <c r="A2631" i="2"/>
  <c r="H2630" i="2"/>
  <c r="G2630" i="2"/>
  <c r="F2630" i="2"/>
  <c r="E2630" i="2"/>
  <c r="D2630" i="2"/>
  <c r="C2630" i="2"/>
  <c r="B2630" i="2"/>
  <c r="A2630" i="2"/>
  <c r="H2629" i="2"/>
  <c r="G2629" i="2"/>
  <c r="F2629" i="2"/>
  <c r="E2629" i="2"/>
  <c r="D2629" i="2"/>
  <c r="C2629" i="2"/>
  <c r="B2629" i="2"/>
  <c r="A2629" i="2"/>
  <c r="H2628" i="2"/>
  <c r="G2628" i="2"/>
  <c r="F2628" i="2"/>
  <c r="E2628" i="2"/>
  <c r="D2628" i="2"/>
  <c r="C2628" i="2"/>
  <c r="B2628" i="2"/>
  <c r="A2628" i="2"/>
  <c r="H2627" i="2"/>
  <c r="G2627" i="2"/>
  <c r="F2627" i="2"/>
  <c r="E2627" i="2"/>
  <c r="D2627" i="2"/>
  <c r="C2627" i="2"/>
  <c r="B2627" i="2"/>
  <c r="A2627" i="2"/>
  <c r="H2626" i="2"/>
  <c r="G2626" i="2"/>
  <c r="F2626" i="2"/>
  <c r="E2626" i="2"/>
  <c r="D2626" i="2"/>
  <c r="C2626" i="2"/>
  <c r="B2626" i="2"/>
  <c r="A2626" i="2"/>
  <c r="H2625" i="2"/>
  <c r="G2625" i="2"/>
  <c r="F2625" i="2"/>
  <c r="E2625" i="2"/>
  <c r="D2625" i="2"/>
  <c r="C2625" i="2"/>
  <c r="B2625" i="2"/>
  <c r="A2625" i="2"/>
  <c r="H2624" i="2"/>
  <c r="G2624" i="2"/>
  <c r="F2624" i="2"/>
  <c r="E2624" i="2"/>
  <c r="D2624" i="2"/>
  <c r="C2624" i="2"/>
  <c r="B2624" i="2"/>
  <c r="A2624" i="2"/>
  <c r="H2623" i="2"/>
  <c r="G2623" i="2"/>
  <c r="F2623" i="2"/>
  <c r="E2623" i="2"/>
  <c r="D2623" i="2"/>
  <c r="C2623" i="2"/>
  <c r="B2623" i="2"/>
  <c r="A2623" i="2"/>
  <c r="H2622" i="2"/>
  <c r="G2622" i="2"/>
  <c r="F2622" i="2"/>
  <c r="E2622" i="2"/>
  <c r="D2622" i="2"/>
  <c r="C2622" i="2"/>
  <c r="B2622" i="2"/>
  <c r="A2622" i="2"/>
  <c r="H2621" i="2"/>
  <c r="G2621" i="2"/>
  <c r="F2621" i="2"/>
  <c r="E2621" i="2"/>
  <c r="D2621" i="2"/>
  <c r="C2621" i="2"/>
  <c r="B2621" i="2"/>
  <c r="A2621" i="2"/>
  <c r="H2620" i="2"/>
  <c r="G2620" i="2"/>
  <c r="F2620" i="2"/>
  <c r="E2620" i="2"/>
  <c r="D2620" i="2"/>
  <c r="C2620" i="2"/>
  <c r="B2620" i="2"/>
  <c r="A2620" i="2"/>
  <c r="H2619" i="2"/>
  <c r="G2619" i="2"/>
  <c r="F2619" i="2"/>
  <c r="E2619" i="2"/>
  <c r="D2619" i="2"/>
  <c r="C2619" i="2"/>
  <c r="B2619" i="2"/>
  <c r="A2619" i="2"/>
  <c r="H2618" i="2"/>
  <c r="G2618" i="2"/>
  <c r="F2618" i="2"/>
  <c r="E2618" i="2"/>
  <c r="D2618" i="2"/>
  <c r="C2618" i="2"/>
  <c r="B2618" i="2"/>
  <c r="A2618" i="2"/>
  <c r="H2617" i="2"/>
  <c r="G2617" i="2"/>
  <c r="F2617" i="2"/>
  <c r="E2617" i="2"/>
  <c r="D2617" i="2"/>
  <c r="C2617" i="2"/>
  <c r="B2617" i="2"/>
  <c r="A2617" i="2"/>
  <c r="H2616" i="2"/>
  <c r="G2616" i="2"/>
  <c r="F2616" i="2"/>
  <c r="E2616" i="2"/>
  <c r="D2616" i="2"/>
  <c r="C2616" i="2"/>
  <c r="B2616" i="2"/>
  <c r="A2616" i="2"/>
  <c r="H2615" i="2"/>
  <c r="G2615" i="2"/>
  <c r="F2615" i="2"/>
  <c r="E2615" i="2"/>
  <c r="D2615" i="2"/>
  <c r="C2615" i="2"/>
  <c r="B2615" i="2"/>
  <c r="A2615" i="2"/>
  <c r="H2614" i="2"/>
  <c r="G2614" i="2"/>
  <c r="F2614" i="2"/>
  <c r="E2614" i="2"/>
  <c r="D2614" i="2"/>
  <c r="C2614" i="2"/>
  <c r="B2614" i="2"/>
  <c r="A2614" i="2"/>
  <c r="H2613" i="2"/>
  <c r="G2613" i="2"/>
  <c r="F2613" i="2"/>
  <c r="E2613" i="2"/>
  <c r="D2613" i="2"/>
  <c r="C2613" i="2"/>
  <c r="B2613" i="2"/>
  <c r="A2613" i="2"/>
  <c r="H2612" i="2"/>
  <c r="G2612" i="2"/>
  <c r="F2612" i="2"/>
  <c r="E2612" i="2"/>
  <c r="D2612" i="2"/>
  <c r="C2612" i="2"/>
  <c r="B2612" i="2"/>
  <c r="A2612" i="2"/>
  <c r="H2611" i="2"/>
  <c r="G2611" i="2"/>
  <c r="F2611" i="2"/>
  <c r="E2611" i="2"/>
  <c r="D2611" i="2"/>
  <c r="C2611" i="2"/>
  <c r="B2611" i="2"/>
  <c r="A2611" i="2"/>
  <c r="H2610" i="2"/>
  <c r="G2610" i="2"/>
  <c r="F2610" i="2"/>
  <c r="E2610" i="2"/>
  <c r="D2610" i="2"/>
  <c r="C2610" i="2"/>
  <c r="B2610" i="2"/>
  <c r="A2610" i="2"/>
  <c r="H2609" i="2"/>
  <c r="G2609" i="2"/>
  <c r="F2609" i="2"/>
  <c r="E2609" i="2"/>
  <c r="D2609" i="2"/>
  <c r="C2609" i="2"/>
  <c r="B2609" i="2"/>
  <c r="A2609" i="2"/>
  <c r="H2608" i="2"/>
  <c r="G2608" i="2"/>
  <c r="F2608" i="2"/>
  <c r="E2608" i="2"/>
  <c r="D2608" i="2"/>
  <c r="C2608" i="2"/>
  <c r="B2608" i="2"/>
  <c r="A2608" i="2"/>
  <c r="H2607" i="2"/>
  <c r="G2607" i="2"/>
  <c r="F2607" i="2"/>
  <c r="E2607" i="2"/>
  <c r="D2607" i="2"/>
  <c r="C2607" i="2"/>
  <c r="B2607" i="2"/>
  <c r="A2607" i="2"/>
  <c r="H2606" i="2"/>
  <c r="G2606" i="2"/>
  <c r="F2606" i="2"/>
  <c r="E2606" i="2"/>
  <c r="D2606" i="2"/>
  <c r="C2606" i="2"/>
  <c r="B2606" i="2"/>
  <c r="A2606" i="2"/>
  <c r="H2605" i="2"/>
  <c r="G2605" i="2"/>
  <c r="F2605" i="2"/>
  <c r="E2605" i="2"/>
  <c r="D2605" i="2"/>
  <c r="C2605" i="2"/>
  <c r="B2605" i="2"/>
  <c r="A2605" i="2"/>
  <c r="H2604" i="2"/>
  <c r="G2604" i="2"/>
  <c r="F2604" i="2"/>
  <c r="E2604" i="2"/>
  <c r="D2604" i="2"/>
  <c r="C2604" i="2"/>
  <c r="B2604" i="2"/>
  <c r="A2604" i="2"/>
  <c r="H2603" i="2"/>
  <c r="G2603" i="2"/>
  <c r="F2603" i="2"/>
  <c r="E2603" i="2"/>
  <c r="D2603" i="2"/>
  <c r="C2603" i="2"/>
  <c r="B2603" i="2"/>
  <c r="A2603" i="2"/>
  <c r="H2602" i="2"/>
  <c r="G2602" i="2"/>
  <c r="F2602" i="2"/>
  <c r="E2602" i="2"/>
  <c r="D2602" i="2"/>
  <c r="C2602" i="2"/>
  <c r="B2602" i="2"/>
  <c r="A2602" i="2"/>
  <c r="H2601" i="2"/>
  <c r="G2601" i="2"/>
  <c r="F2601" i="2"/>
  <c r="E2601" i="2"/>
  <c r="D2601" i="2"/>
  <c r="C2601" i="2"/>
  <c r="B2601" i="2"/>
  <c r="A2601" i="2"/>
  <c r="H2600" i="2"/>
  <c r="G2600" i="2"/>
  <c r="F2600" i="2"/>
  <c r="E2600" i="2"/>
  <c r="D2600" i="2"/>
  <c r="C2600" i="2"/>
  <c r="B2600" i="2"/>
  <c r="A2600" i="2"/>
  <c r="H2599" i="2"/>
  <c r="G2599" i="2"/>
  <c r="F2599" i="2"/>
  <c r="E2599" i="2"/>
  <c r="D2599" i="2"/>
  <c r="C2599" i="2"/>
  <c r="B2599" i="2"/>
  <c r="A2599" i="2"/>
  <c r="H2598" i="2"/>
  <c r="G2598" i="2"/>
  <c r="F2598" i="2"/>
  <c r="E2598" i="2"/>
  <c r="D2598" i="2"/>
  <c r="C2598" i="2"/>
  <c r="B2598" i="2"/>
  <c r="A2598" i="2"/>
  <c r="H2597" i="2"/>
  <c r="G2597" i="2"/>
  <c r="F2597" i="2"/>
  <c r="E2597" i="2"/>
  <c r="D2597" i="2"/>
  <c r="C2597" i="2"/>
  <c r="B2597" i="2"/>
  <c r="A2597" i="2"/>
  <c r="H2596" i="2"/>
  <c r="G2596" i="2"/>
  <c r="F2596" i="2"/>
  <c r="E2596" i="2"/>
  <c r="D2596" i="2"/>
  <c r="C2596" i="2"/>
  <c r="B2596" i="2"/>
  <c r="A2596" i="2"/>
  <c r="H2595" i="2"/>
  <c r="G2595" i="2"/>
  <c r="F2595" i="2"/>
  <c r="E2595" i="2"/>
  <c r="D2595" i="2"/>
  <c r="C2595" i="2"/>
  <c r="B2595" i="2"/>
  <c r="A2595" i="2"/>
  <c r="H2594" i="2"/>
  <c r="G2594" i="2"/>
  <c r="F2594" i="2"/>
  <c r="E2594" i="2"/>
  <c r="D2594" i="2"/>
  <c r="C2594" i="2"/>
  <c r="B2594" i="2"/>
  <c r="A2594" i="2"/>
  <c r="H2593" i="2"/>
  <c r="G2593" i="2"/>
  <c r="F2593" i="2"/>
  <c r="E2593" i="2"/>
  <c r="D2593" i="2"/>
  <c r="C2593" i="2"/>
  <c r="B2593" i="2"/>
  <c r="A2593" i="2"/>
  <c r="H2592" i="2"/>
  <c r="G2592" i="2"/>
  <c r="F2592" i="2"/>
  <c r="E2592" i="2"/>
  <c r="D2592" i="2"/>
  <c r="C2592" i="2"/>
  <c r="B2592" i="2"/>
  <c r="A2592" i="2"/>
  <c r="H2591" i="2"/>
  <c r="G2591" i="2"/>
  <c r="F2591" i="2"/>
  <c r="E2591" i="2"/>
  <c r="D2591" i="2"/>
  <c r="C2591" i="2"/>
  <c r="B2591" i="2"/>
  <c r="A2591" i="2"/>
  <c r="H2590" i="2"/>
  <c r="G2590" i="2"/>
  <c r="F2590" i="2"/>
  <c r="E2590" i="2"/>
  <c r="D2590" i="2"/>
  <c r="C2590" i="2"/>
  <c r="B2590" i="2"/>
  <c r="A2590" i="2"/>
  <c r="H2589" i="2"/>
  <c r="G2589" i="2"/>
  <c r="F2589" i="2"/>
  <c r="E2589" i="2"/>
  <c r="D2589" i="2"/>
  <c r="C2589" i="2"/>
  <c r="B2589" i="2"/>
  <c r="A2589" i="2"/>
  <c r="H2588" i="2"/>
  <c r="G2588" i="2"/>
  <c r="F2588" i="2"/>
  <c r="E2588" i="2"/>
  <c r="D2588" i="2"/>
  <c r="C2588" i="2"/>
  <c r="B2588" i="2"/>
  <c r="A2588" i="2"/>
  <c r="H2587" i="2"/>
  <c r="G2587" i="2"/>
  <c r="F2587" i="2"/>
  <c r="E2587" i="2"/>
  <c r="D2587" i="2"/>
  <c r="C2587" i="2"/>
  <c r="B2587" i="2"/>
  <c r="A2587" i="2"/>
  <c r="H2586" i="2"/>
  <c r="G2586" i="2"/>
  <c r="F2586" i="2"/>
  <c r="E2586" i="2"/>
  <c r="D2586" i="2"/>
  <c r="C2586" i="2"/>
  <c r="B2586" i="2"/>
  <c r="A2586" i="2"/>
  <c r="H2585" i="2"/>
  <c r="G2585" i="2"/>
  <c r="F2585" i="2"/>
  <c r="E2585" i="2"/>
  <c r="D2585" i="2"/>
  <c r="C2585" i="2"/>
  <c r="B2585" i="2"/>
  <c r="A2585" i="2"/>
  <c r="H2584" i="2"/>
  <c r="G2584" i="2"/>
  <c r="F2584" i="2"/>
  <c r="E2584" i="2"/>
  <c r="D2584" i="2"/>
  <c r="C2584" i="2"/>
  <c r="B2584" i="2"/>
  <c r="A2584" i="2"/>
  <c r="H2583" i="2"/>
  <c r="G2583" i="2"/>
  <c r="F2583" i="2"/>
  <c r="E2583" i="2"/>
  <c r="D2583" i="2"/>
  <c r="C2583" i="2"/>
  <c r="B2583" i="2"/>
  <c r="A2583" i="2"/>
  <c r="H2582" i="2"/>
  <c r="G2582" i="2"/>
  <c r="F2582" i="2"/>
  <c r="E2582" i="2"/>
  <c r="D2582" i="2"/>
  <c r="C2582" i="2"/>
  <c r="B2582" i="2"/>
  <c r="A2582" i="2"/>
  <c r="H2581" i="2"/>
  <c r="G2581" i="2"/>
  <c r="F2581" i="2"/>
  <c r="E2581" i="2"/>
  <c r="D2581" i="2"/>
  <c r="C2581" i="2"/>
  <c r="B2581" i="2"/>
  <c r="A2581" i="2"/>
  <c r="H2580" i="2"/>
  <c r="G2580" i="2"/>
  <c r="F2580" i="2"/>
  <c r="E2580" i="2"/>
  <c r="D2580" i="2"/>
  <c r="C2580" i="2"/>
  <c r="B2580" i="2"/>
  <c r="A2580" i="2"/>
  <c r="H2579" i="2"/>
  <c r="G2579" i="2"/>
  <c r="F2579" i="2"/>
  <c r="E2579" i="2"/>
  <c r="D2579" i="2"/>
  <c r="C2579" i="2"/>
  <c r="B2579" i="2"/>
  <c r="A2579" i="2"/>
  <c r="H2578" i="2"/>
  <c r="G2578" i="2"/>
  <c r="F2578" i="2"/>
  <c r="E2578" i="2"/>
  <c r="D2578" i="2"/>
  <c r="C2578" i="2"/>
  <c r="B2578" i="2"/>
  <c r="A2578" i="2"/>
  <c r="H2577" i="2"/>
  <c r="G2577" i="2"/>
  <c r="F2577" i="2"/>
  <c r="E2577" i="2"/>
  <c r="D2577" i="2"/>
  <c r="C2577" i="2"/>
  <c r="B2577" i="2"/>
  <c r="A2577" i="2"/>
  <c r="H2576" i="2"/>
  <c r="G2576" i="2"/>
  <c r="F2576" i="2"/>
  <c r="E2576" i="2"/>
  <c r="D2576" i="2"/>
  <c r="C2576" i="2"/>
  <c r="B2576" i="2"/>
  <c r="A2576" i="2"/>
  <c r="H2575" i="2"/>
  <c r="G2575" i="2"/>
  <c r="F2575" i="2"/>
  <c r="E2575" i="2"/>
  <c r="D2575" i="2"/>
  <c r="C2575" i="2"/>
  <c r="B2575" i="2"/>
  <c r="A2575" i="2"/>
  <c r="H2574" i="2"/>
  <c r="G2574" i="2"/>
  <c r="F2574" i="2"/>
  <c r="E2574" i="2"/>
  <c r="D2574" i="2"/>
  <c r="C2574" i="2"/>
  <c r="B2574" i="2"/>
  <c r="A2574" i="2"/>
  <c r="H2573" i="2"/>
  <c r="G2573" i="2"/>
  <c r="F2573" i="2"/>
  <c r="E2573" i="2"/>
  <c r="D2573" i="2"/>
  <c r="C2573" i="2"/>
  <c r="B2573" i="2"/>
  <c r="A2573" i="2"/>
  <c r="H2572" i="2"/>
  <c r="G2572" i="2"/>
  <c r="F2572" i="2"/>
  <c r="E2572" i="2"/>
  <c r="D2572" i="2"/>
  <c r="C2572" i="2"/>
  <c r="B2572" i="2"/>
  <c r="A2572" i="2"/>
  <c r="H2571" i="2"/>
  <c r="G2571" i="2"/>
  <c r="F2571" i="2"/>
  <c r="E2571" i="2"/>
  <c r="D2571" i="2"/>
  <c r="C2571" i="2"/>
  <c r="B2571" i="2"/>
  <c r="A2571" i="2"/>
  <c r="H2570" i="2"/>
  <c r="G2570" i="2"/>
  <c r="F2570" i="2"/>
  <c r="E2570" i="2"/>
  <c r="D2570" i="2"/>
  <c r="C2570" i="2"/>
  <c r="B2570" i="2"/>
  <c r="A2570" i="2"/>
  <c r="H2569" i="2"/>
  <c r="G2569" i="2"/>
  <c r="F2569" i="2"/>
  <c r="E2569" i="2"/>
  <c r="D2569" i="2"/>
  <c r="C2569" i="2"/>
  <c r="B2569" i="2"/>
  <c r="A2569" i="2"/>
  <c r="H2568" i="2"/>
  <c r="G2568" i="2"/>
  <c r="F2568" i="2"/>
  <c r="E2568" i="2"/>
  <c r="D2568" i="2"/>
  <c r="C2568" i="2"/>
  <c r="B2568" i="2"/>
  <c r="A2568" i="2"/>
  <c r="H2567" i="2"/>
  <c r="G2567" i="2"/>
  <c r="F2567" i="2"/>
  <c r="E2567" i="2"/>
  <c r="D2567" i="2"/>
  <c r="C2567" i="2"/>
  <c r="B2567" i="2"/>
  <c r="A2567" i="2"/>
  <c r="H2566" i="2"/>
  <c r="G2566" i="2"/>
  <c r="F2566" i="2"/>
  <c r="E2566" i="2"/>
  <c r="D2566" i="2"/>
  <c r="C2566" i="2"/>
  <c r="B2566" i="2"/>
  <c r="A2566" i="2"/>
  <c r="H2565" i="2"/>
  <c r="G2565" i="2"/>
  <c r="F2565" i="2"/>
  <c r="E2565" i="2"/>
  <c r="D2565" i="2"/>
  <c r="C2565" i="2"/>
  <c r="B2565" i="2"/>
  <c r="A2565" i="2"/>
  <c r="H2564" i="2"/>
  <c r="G2564" i="2"/>
  <c r="F2564" i="2"/>
  <c r="E2564" i="2"/>
  <c r="D2564" i="2"/>
  <c r="C2564" i="2"/>
  <c r="B2564" i="2"/>
  <c r="A2564" i="2"/>
  <c r="H2563" i="2"/>
  <c r="G2563" i="2"/>
  <c r="F2563" i="2"/>
  <c r="E2563" i="2"/>
  <c r="D2563" i="2"/>
  <c r="C2563" i="2"/>
  <c r="B2563" i="2"/>
  <c r="A2563" i="2"/>
  <c r="H2562" i="2"/>
  <c r="G2562" i="2"/>
  <c r="F2562" i="2"/>
  <c r="E2562" i="2"/>
  <c r="D2562" i="2"/>
  <c r="C2562" i="2"/>
  <c r="B2562" i="2"/>
  <c r="A2562" i="2"/>
  <c r="H2561" i="2"/>
  <c r="G2561" i="2"/>
  <c r="F2561" i="2"/>
  <c r="E2561" i="2"/>
  <c r="D2561" i="2"/>
  <c r="C2561" i="2"/>
  <c r="B2561" i="2"/>
  <c r="A2561" i="2"/>
  <c r="H2560" i="2"/>
  <c r="G2560" i="2"/>
  <c r="F2560" i="2"/>
  <c r="E2560" i="2"/>
  <c r="D2560" i="2"/>
  <c r="C2560" i="2"/>
  <c r="B2560" i="2"/>
  <c r="A2560" i="2"/>
  <c r="H2559" i="2"/>
  <c r="G2559" i="2"/>
  <c r="F2559" i="2"/>
  <c r="E2559" i="2"/>
  <c r="D2559" i="2"/>
  <c r="C2559" i="2"/>
  <c r="B2559" i="2"/>
  <c r="A2559" i="2"/>
  <c r="H2558" i="2"/>
  <c r="G2558" i="2"/>
  <c r="F2558" i="2"/>
  <c r="E2558" i="2"/>
  <c r="D2558" i="2"/>
  <c r="C2558" i="2"/>
  <c r="B2558" i="2"/>
  <c r="A2558" i="2"/>
  <c r="H2557" i="2"/>
  <c r="G2557" i="2"/>
  <c r="F2557" i="2"/>
  <c r="E2557" i="2"/>
  <c r="D2557" i="2"/>
  <c r="C2557" i="2"/>
  <c r="B2557" i="2"/>
  <c r="A2557" i="2"/>
  <c r="H2556" i="2"/>
  <c r="G2556" i="2"/>
  <c r="F2556" i="2"/>
  <c r="E2556" i="2"/>
  <c r="D2556" i="2"/>
  <c r="C2556" i="2"/>
  <c r="B2556" i="2"/>
  <c r="A2556" i="2"/>
  <c r="H2555" i="2"/>
  <c r="G2555" i="2"/>
  <c r="F2555" i="2"/>
  <c r="E2555" i="2"/>
  <c r="D2555" i="2"/>
  <c r="C2555" i="2"/>
  <c r="B2555" i="2"/>
  <c r="A2555" i="2"/>
  <c r="H2554" i="2"/>
  <c r="G2554" i="2"/>
  <c r="F2554" i="2"/>
  <c r="E2554" i="2"/>
  <c r="D2554" i="2"/>
  <c r="C2554" i="2"/>
  <c r="B2554" i="2"/>
  <c r="A2554" i="2"/>
  <c r="H2553" i="2"/>
  <c r="G2553" i="2"/>
  <c r="F2553" i="2"/>
  <c r="E2553" i="2"/>
  <c r="D2553" i="2"/>
  <c r="C2553" i="2"/>
  <c r="B2553" i="2"/>
  <c r="A2553" i="2"/>
  <c r="H2552" i="2"/>
  <c r="G2552" i="2"/>
  <c r="F2552" i="2"/>
  <c r="E2552" i="2"/>
  <c r="D2552" i="2"/>
  <c r="C2552" i="2"/>
  <c r="B2552" i="2"/>
  <c r="A2552" i="2"/>
  <c r="H2551" i="2"/>
  <c r="G2551" i="2"/>
  <c r="F2551" i="2"/>
  <c r="E2551" i="2"/>
  <c r="D2551" i="2"/>
  <c r="C2551" i="2"/>
  <c r="B2551" i="2"/>
  <c r="A2551" i="2"/>
  <c r="H2550" i="2"/>
  <c r="G2550" i="2"/>
  <c r="F2550" i="2"/>
  <c r="E2550" i="2"/>
  <c r="D2550" i="2"/>
  <c r="C2550" i="2"/>
  <c r="B2550" i="2"/>
  <c r="A2550" i="2"/>
  <c r="H2549" i="2"/>
  <c r="G2549" i="2"/>
  <c r="F2549" i="2"/>
  <c r="E2549" i="2"/>
  <c r="D2549" i="2"/>
  <c r="C2549" i="2"/>
  <c r="B2549" i="2"/>
  <c r="A2549" i="2"/>
  <c r="H2548" i="2"/>
  <c r="G2548" i="2"/>
  <c r="F2548" i="2"/>
  <c r="E2548" i="2"/>
  <c r="D2548" i="2"/>
  <c r="C2548" i="2"/>
  <c r="B2548" i="2"/>
  <c r="A2548" i="2"/>
  <c r="H2547" i="2"/>
  <c r="G2547" i="2"/>
  <c r="F2547" i="2"/>
  <c r="E2547" i="2"/>
  <c r="D2547" i="2"/>
  <c r="C2547" i="2"/>
  <c r="B2547" i="2"/>
  <c r="A2547" i="2"/>
  <c r="H2546" i="2"/>
  <c r="G2546" i="2"/>
  <c r="F2546" i="2"/>
  <c r="E2546" i="2"/>
  <c r="D2546" i="2"/>
  <c r="C2546" i="2"/>
  <c r="B2546" i="2"/>
  <c r="A2546" i="2"/>
  <c r="H2545" i="2"/>
  <c r="G2545" i="2"/>
  <c r="F2545" i="2"/>
  <c r="E2545" i="2"/>
  <c r="D2545" i="2"/>
  <c r="C2545" i="2"/>
  <c r="B2545" i="2"/>
  <c r="A2545" i="2"/>
  <c r="H2544" i="2"/>
  <c r="G2544" i="2"/>
  <c r="F2544" i="2"/>
  <c r="E2544" i="2"/>
  <c r="D2544" i="2"/>
  <c r="C2544" i="2"/>
  <c r="B2544" i="2"/>
  <c r="A2544" i="2"/>
  <c r="H2543" i="2"/>
  <c r="G2543" i="2"/>
  <c r="F2543" i="2"/>
  <c r="E2543" i="2"/>
  <c r="D2543" i="2"/>
  <c r="C2543" i="2"/>
  <c r="B2543" i="2"/>
  <c r="A2543" i="2"/>
  <c r="H2542" i="2"/>
  <c r="G2542" i="2"/>
  <c r="F2542" i="2"/>
  <c r="E2542" i="2"/>
  <c r="D2542" i="2"/>
  <c r="C2542" i="2"/>
  <c r="B2542" i="2"/>
  <c r="A2542" i="2"/>
  <c r="H2541" i="2"/>
  <c r="G2541" i="2"/>
  <c r="F2541" i="2"/>
  <c r="E2541" i="2"/>
  <c r="D2541" i="2"/>
  <c r="C2541" i="2"/>
  <c r="B2541" i="2"/>
  <c r="A2541" i="2"/>
  <c r="H2540" i="2"/>
  <c r="G2540" i="2"/>
  <c r="F2540" i="2"/>
  <c r="E2540" i="2"/>
  <c r="D2540" i="2"/>
  <c r="C2540" i="2"/>
  <c r="B2540" i="2"/>
  <c r="A2540" i="2"/>
  <c r="H2539" i="2"/>
  <c r="G2539" i="2"/>
  <c r="F2539" i="2"/>
  <c r="E2539" i="2"/>
  <c r="D2539" i="2"/>
  <c r="C2539" i="2"/>
  <c r="B2539" i="2"/>
  <c r="A2539" i="2"/>
  <c r="H2538" i="2"/>
  <c r="G2538" i="2"/>
  <c r="F2538" i="2"/>
  <c r="E2538" i="2"/>
  <c r="D2538" i="2"/>
  <c r="C2538" i="2"/>
  <c r="B2538" i="2"/>
  <c r="A2538" i="2"/>
  <c r="H2537" i="2"/>
  <c r="G2537" i="2"/>
  <c r="F2537" i="2"/>
  <c r="E2537" i="2"/>
  <c r="D2537" i="2"/>
  <c r="C2537" i="2"/>
  <c r="B2537" i="2"/>
  <c r="A2537" i="2"/>
  <c r="H2536" i="2"/>
  <c r="G2536" i="2"/>
  <c r="F2536" i="2"/>
  <c r="E2536" i="2"/>
  <c r="D2536" i="2"/>
  <c r="C2536" i="2"/>
  <c r="B2536" i="2"/>
  <c r="A2536" i="2"/>
  <c r="H2535" i="2"/>
  <c r="G2535" i="2"/>
  <c r="F2535" i="2"/>
  <c r="E2535" i="2"/>
  <c r="D2535" i="2"/>
  <c r="C2535" i="2"/>
  <c r="B2535" i="2"/>
  <c r="A2535" i="2"/>
  <c r="H2534" i="2"/>
  <c r="G2534" i="2"/>
  <c r="F2534" i="2"/>
  <c r="E2534" i="2"/>
  <c r="D2534" i="2"/>
  <c r="C2534" i="2"/>
  <c r="B2534" i="2"/>
  <c r="A2534" i="2"/>
  <c r="H2533" i="2"/>
  <c r="G2533" i="2"/>
  <c r="F2533" i="2"/>
  <c r="E2533" i="2"/>
  <c r="D2533" i="2"/>
  <c r="C2533" i="2"/>
  <c r="B2533" i="2"/>
  <c r="A2533" i="2"/>
  <c r="H2532" i="2"/>
  <c r="G2532" i="2"/>
  <c r="F2532" i="2"/>
  <c r="E2532" i="2"/>
  <c r="D2532" i="2"/>
  <c r="C2532" i="2"/>
  <c r="B2532" i="2"/>
  <c r="A2532" i="2"/>
  <c r="H2531" i="2"/>
  <c r="G2531" i="2"/>
  <c r="F2531" i="2"/>
  <c r="E2531" i="2"/>
  <c r="D2531" i="2"/>
  <c r="C2531" i="2"/>
  <c r="B2531" i="2"/>
  <c r="A2531" i="2"/>
  <c r="H2530" i="2"/>
  <c r="G2530" i="2"/>
  <c r="F2530" i="2"/>
  <c r="E2530" i="2"/>
  <c r="D2530" i="2"/>
  <c r="C2530" i="2"/>
  <c r="B2530" i="2"/>
  <c r="A2530" i="2"/>
  <c r="H2529" i="2"/>
  <c r="G2529" i="2"/>
  <c r="F2529" i="2"/>
  <c r="E2529" i="2"/>
  <c r="D2529" i="2"/>
  <c r="C2529" i="2"/>
  <c r="B2529" i="2"/>
  <c r="A2529" i="2"/>
  <c r="H2528" i="2"/>
  <c r="G2528" i="2"/>
  <c r="F2528" i="2"/>
  <c r="E2528" i="2"/>
  <c r="D2528" i="2"/>
  <c r="C2528" i="2"/>
  <c r="B2528" i="2"/>
  <c r="A2528" i="2"/>
  <c r="H2527" i="2"/>
  <c r="G2527" i="2"/>
  <c r="F2527" i="2"/>
  <c r="E2527" i="2"/>
  <c r="D2527" i="2"/>
  <c r="C2527" i="2"/>
  <c r="B2527" i="2"/>
  <c r="A2527" i="2"/>
  <c r="H2526" i="2"/>
  <c r="G2526" i="2"/>
  <c r="F2526" i="2"/>
  <c r="E2526" i="2"/>
  <c r="D2526" i="2"/>
  <c r="C2526" i="2"/>
  <c r="B2526" i="2"/>
  <c r="A2526" i="2"/>
  <c r="H2525" i="2"/>
  <c r="G2525" i="2"/>
  <c r="F2525" i="2"/>
  <c r="E2525" i="2"/>
  <c r="D2525" i="2"/>
  <c r="C2525" i="2"/>
  <c r="B2525" i="2"/>
  <c r="A2525" i="2"/>
  <c r="H2524" i="2"/>
  <c r="G2524" i="2"/>
  <c r="F2524" i="2"/>
  <c r="E2524" i="2"/>
  <c r="D2524" i="2"/>
  <c r="C2524" i="2"/>
  <c r="B2524" i="2"/>
  <c r="A2524" i="2"/>
  <c r="H2523" i="2"/>
  <c r="G2523" i="2"/>
  <c r="F2523" i="2"/>
  <c r="E2523" i="2"/>
  <c r="D2523" i="2"/>
  <c r="C2523" i="2"/>
  <c r="B2523" i="2"/>
  <c r="A2523" i="2"/>
  <c r="H2522" i="2"/>
  <c r="G2522" i="2"/>
  <c r="F2522" i="2"/>
  <c r="E2522" i="2"/>
  <c r="D2522" i="2"/>
  <c r="C2522" i="2"/>
  <c r="B2522" i="2"/>
  <c r="A2522" i="2"/>
  <c r="H2521" i="2"/>
  <c r="G2521" i="2"/>
  <c r="F2521" i="2"/>
  <c r="E2521" i="2"/>
  <c r="D2521" i="2"/>
  <c r="C2521" i="2"/>
  <c r="B2521" i="2"/>
  <c r="A2521" i="2"/>
  <c r="H2520" i="2"/>
  <c r="G2520" i="2"/>
  <c r="F2520" i="2"/>
  <c r="E2520" i="2"/>
  <c r="D2520" i="2"/>
  <c r="C2520" i="2"/>
  <c r="B2520" i="2"/>
  <c r="A2520" i="2"/>
  <c r="H2519" i="2"/>
  <c r="G2519" i="2"/>
  <c r="F2519" i="2"/>
  <c r="E2519" i="2"/>
  <c r="D2519" i="2"/>
  <c r="C2519" i="2"/>
  <c r="B2519" i="2"/>
  <c r="A2519" i="2"/>
  <c r="H2518" i="2"/>
  <c r="G2518" i="2"/>
  <c r="F2518" i="2"/>
  <c r="E2518" i="2"/>
  <c r="D2518" i="2"/>
  <c r="C2518" i="2"/>
  <c r="B2518" i="2"/>
  <c r="A2518" i="2"/>
  <c r="H2517" i="2"/>
  <c r="G2517" i="2"/>
  <c r="F2517" i="2"/>
  <c r="E2517" i="2"/>
  <c r="D2517" i="2"/>
  <c r="C2517" i="2"/>
  <c r="B2517" i="2"/>
  <c r="A2517" i="2"/>
  <c r="H2516" i="2"/>
  <c r="G2516" i="2"/>
  <c r="F2516" i="2"/>
  <c r="E2516" i="2"/>
  <c r="D2516" i="2"/>
  <c r="C2516" i="2"/>
  <c r="B2516" i="2"/>
  <c r="A2516" i="2"/>
  <c r="H2515" i="2"/>
  <c r="G2515" i="2"/>
  <c r="F2515" i="2"/>
  <c r="E2515" i="2"/>
  <c r="D2515" i="2"/>
  <c r="C2515" i="2"/>
  <c r="B2515" i="2"/>
  <c r="A2515" i="2"/>
  <c r="H2514" i="2"/>
  <c r="G2514" i="2"/>
  <c r="F2514" i="2"/>
  <c r="E2514" i="2"/>
  <c r="D2514" i="2"/>
  <c r="C2514" i="2"/>
  <c r="B2514" i="2"/>
  <c r="A2514" i="2"/>
  <c r="H2513" i="2"/>
  <c r="G2513" i="2"/>
  <c r="F2513" i="2"/>
  <c r="E2513" i="2"/>
  <c r="D2513" i="2"/>
  <c r="C2513" i="2"/>
  <c r="B2513" i="2"/>
  <c r="A2513" i="2"/>
  <c r="H2512" i="2"/>
  <c r="G2512" i="2"/>
  <c r="F2512" i="2"/>
  <c r="E2512" i="2"/>
  <c r="D2512" i="2"/>
  <c r="C2512" i="2"/>
  <c r="B2512" i="2"/>
  <c r="A2512" i="2"/>
  <c r="H2511" i="2"/>
  <c r="G2511" i="2"/>
  <c r="F2511" i="2"/>
  <c r="E2511" i="2"/>
  <c r="D2511" i="2"/>
  <c r="C2511" i="2"/>
  <c r="B2511" i="2"/>
  <c r="A2511" i="2"/>
  <c r="H2510" i="2"/>
  <c r="G2510" i="2"/>
  <c r="F2510" i="2"/>
  <c r="E2510" i="2"/>
  <c r="D2510" i="2"/>
  <c r="C2510" i="2"/>
  <c r="B2510" i="2"/>
  <c r="A2510" i="2"/>
  <c r="H2509" i="2"/>
  <c r="G2509" i="2"/>
  <c r="F2509" i="2"/>
  <c r="E2509" i="2"/>
  <c r="D2509" i="2"/>
  <c r="C2509" i="2"/>
  <c r="B2509" i="2"/>
  <c r="A2509" i="2"/>
  <c r="H2508" i="2"/>
  <c r="G2508" i="2"/>
  <c r="F2508" i="2"/>
  <c r="E2508" i="2"/>
  <c r="D2508" i="2"/>
  <c r="C2508" i="2"/>
  <c r="B2508" i="2"/>
  <c r="A2508" i="2"/>
  <c r="H2507" i="2"/>
  <c r="G2507" i="2"/>
  <c r="F2507" i="2"/>
  <c r="E2507" i="2"/>
  <c r="D2507" i="2"/>
  <c r="C2507" i="2"/>
  <c r="B2507" i="2"/>
  <c r="A2507" i="2"/>
  <c r="H2506" i="2"/>
  <c r="G2506" i="2"/>
  <c r="F2506" i="2"/>
  <c r="E2506" i="2"/>
  <c r="D2506" i="2"/>
  <c r="C2506" i="2"/>
  <c r="B2506" i="2"/>
  <c r="A2506" i="2"/>
  <c r="H2505" i="2"/>
  <c r="G2505" i="2"/>
  <c r="F2505" i="2"/>
  <c r="E2505" i="2"/>
  <c r="D2505" i="2"/>
  <c r="C2505" i="2"/>
  <c r="B2505" i="2"/>
  <c r="A2505" i="2"/>
  <c r="H2504" i="2"/>
  <c r="G2504" i="2"/>
  <c r="F2504" i="2"/>
  <c r="E2504" i="2"/>
  <c r="D2504" i="2"/>
  <c r="C2504" i="2"/>
  <c r="B2504" i="2"/>
  <c r="A2504" i="2"/>
  <c r="H2503" i="2"/>
  <c r="G2503" i="2"/>
  <c r="F2503" i="2"/>
  <c r="E2503" i="2"/>
  <c r="D2503" i="2"/>
  <c r="C2503" i="2"/>
  <c r="B2503" i="2"/>
  <c r="A2503" i="2"/>
  <c r="H2502" i="2"/>
  <c r="G2502" i="2"/>
  <c r="F2502" i="2"/>
  <c r="E2502" i="2"/>
  <c r="D2502" i="2"/>
  <c r="C2502" i="2"/>
  <c r="B2502" i="2"/>
  <c r="A2502" i="2"/>
  <c r="H2501" i="2"/>
  <c r="G2501" i="2"/>
  <c r="F2501" i="2"/>
  <c r="E2501" i="2"/>
  <c r="D2501" i="2"/>
  <c r="C2501" i="2"/>
  <c r="B2501" i="2"/>
  <c r="A2501" i="2"/>
  <c r="H2500" i="2"/>
  <c r="G2500" i="2"/>
  <c r="F2500" i="2"/>
  <c r="E2500" i="2"/>
  <c r="D2500" i="2"/>
  <c r="C2500" i="2"/>
  <c r="B2500" i="2"/>
  <c r="A2500" i="2"/>
  <c r="H2499" i="2"/>
  <c r="G2499" i="2"/>
  <c r="F2499" i="2"/>
  <c r="E2499" i="2"/>
  <c r="D2499" i="2"/>
  <c r="C2499" i="2"/>
  <c r="B2499" i="2"/>
  <c r="A2499" i="2"/>
  <c r="H2498" i="2"/>
  <c r="G2498" i="2"/>
  <c r="F2498" i="2"/>
  <c r="E2498" i="2"/>
  <c r="D2498" i="2"/>
  <c r="C2498" i="2"/>
  <c r="B2498" i="2"/>
  <c r="A2498" i="2"/>
  <c r="H2497" i="2"/>
  <c r="G2497" i="2"/>
  <c r="F2497" i="2"/>
  <c r="E2497" i="2"/>
  <c r="D2497" i="2"/>
  <c r="C2497" i="2"/>
  <c r="B2497" i="2"/>
  <c r="A2497" i="2"/>
  <c r="H2496" i="2"/>
  <c r="G2496" i="2"/>
  <c r="F2496" i="2"/>
  <c r="E2496" i="2"/>
  <c r="D2496" i="2"/>
  <c r="C2496" i="2"/>
  <c r="B2496" i="2"/>
  <c r="A2496" i="2"/>
  <c r="H2495" i="2"/>
  <c r="G2495" i="2"/>
  <c r="F2495" i="2"/>
  <c r="E2495" i="2"/>
  <c r="D2495" i="2"/>
  <c r="C2495" i="2"/>
  <c r="B2495" i="2"/>
  <c r="A2495" i="2"/>
  <c r="H2494" i="2"/>
  <c r="G2494" i="2"/>
  <c r="F2494" i="2"/>
  <c r="E2494" i="2"/>
  <c r="D2494" i="2"/>
  <c r="C2494" i="2"/>
  <c r="B2494" i="2"/>
  <c r="A2494" i="2"/>
  <c r="H2493" i="2"/>
  <c r="G2493" i="2"/>
  <c r="F2493" i="2"/>
  <c r="E2493" i="2"/>
  <c r="D2493" i="2"/>
  <c r="C2493" i="2"/>
  <c r="B2493" i="2"/>
  <c r="A2493" i="2"/>
  <c r="H2492" i="2"/>
  <c r="G2492" i="2"/>
  <c r="F2492" i="2"/>
  <c r="E2492" i="2"/>
  <c r="D2492" i="2"/>
  <c r="C2492" i="2"/>
  <c r="B2492" i="2"/>
  <c r="A2492" i="2"/>
  <c r="H2491" i="2"/>
  <c r="G2491" i="2"/>
  <c r="F2491" i="2"/>
  <c r="E2491" i="2"/>
  <c r="D2491" i="2"/>
  <c r="C2491" i="2"/>
  <c r="B2491" i="2"/>
  <c r="A2491" i="2"/>
  <c r="H2490" i="2"/>
  <c r="G2490" i="2"/>
  <c r="F2490" i="2"/>
  <c r="E2490" i="2"/>
  <c r="D2490" i="2"/>
  <c r="C2490" i="2"/>
  <c r="B2490" i="2"/>
  <c r="A2490" i="2"/>
  <c r="H2489" i="2"/>
  <c r="G2489" i="2"/>
  <c r="F2489" i="2"/>
  <c r="E2489" i="2"/>
  <c r="D2489" i="2"/>
  <c r="C2489" i="2"/>
  <c r="B2489" i="2"/>
  <c r="A2489" i="2"/>
  <c r="H2488" i="2"/>
  <c r="G2488" i="2"/>
  <c r="F2488" i="2"/>
  <c r="E2488" i="2"/>
  <c r="D2488" i="2"/>
  <c r="C2488" i="2"/>
  <c r="B2488" i="2"/>
  <c r="A2488" i="2"/>
  <c r="H2487" i="2"/>
  <c r="G2487" i="2"/>
  <c r="F2487" i="2"/>
  <c r="E2487" i="2"/>
  <c r="D2487" i="2"/>
  <c r="C2487" i="2"/>
  <c r="B2487" i="2"/>
  <c r="A2487" i="2"/>
  <c r="H2486" i="2"/>
  <c r="G2486" i="2"/>
  <c r="F2486" i="2"/>
  <c r="E2486" i="2"/>
  <c r="D2486" i="2"/>
  <c r="C2486" i="2"/>
  <c r="B2486" i="2"/>
  <c r="A2486" i="2"/>
  <c r="H2485" i="2"/>
  <c r="G2485" i="2"/>
  <c r="F2485" i="2"/>
  <c r="E2485" i="2"/>
  <c r="D2485" i="2"/>
  <c r="C2485" i="2"/>
  <c r="B2485" i="2"/>
  <c r="A2485" i="2"/>
  <c r="H2484" i="2"/>
  <c r="G2484" i="2"/>
  <c r="F2484" i="2"/>
  <c r="E2484" i="2"/>
  <c r="D2484" i="2"/>
  <c r="C2484" i="2"/>
  <c r="B2484" i="2"/>
  <c r="A2484" i="2"/>
  <c r="H2483" i="2"/>
  <c r="G2483" i="2"/>
  <c r="F2483" i="2"/>
  <c r="E2483" i="2"/>
  <c r="D2483" i="2"/>
  <c r="C2483" i="2"/>
  <c r="B2483" i="2"/>
  <c r="A2483" i="2"/>
  <c r="H2482" i="2"/>
  <c r="G2482" i="2"/>
  <c r="F2482" i="2"/>
  <c r="E2482" i="2"/>
  <c r="D2482" i="2"/>
  <c r="C2482" i="2"/>
  <c r="B2482" i="2"/>
  <c r="A2482" i="2"/>
  <c r="H2481" i="2"/>
  <c r="G2481" i="2"/>
  <c r="F2481" i="2"/>
  <c r="E2481" i="2"/>
  <c r="D2481" i="2"/>
  <c r="C2481" i="2"/>
  <c r="B2481" i="2"/>
  <c r="A2481" i="2"/>
  <c r="H2480" i="2"/>
  <c r="G2480" i="2"/>
  <c r="F2480" i="2"/>
  <c r="E2480" i="2"/>
  <c r="D2480" i="2"/>
  <c r="C2480" i="2"/>
  <c r="B2480" i="2"/>
  <c r="A2480" i="2"/>
  <c r="H2479" i="2"/>
  <c r="G2479" i="2"/>
  <c r="F2479" i="2"/>
  <c r="E2479" i="2"/>
  <c r="D2479" i="2"/>
  <c r="C2479" i="2"/>
  <c r="B2479" i="2"/>
  <c r="A2479" i="2"/>
  <c r="H2478" i="2"/>
  <c r="G2478" i="2"/>
  <c r="F2478" i="2"/>
  <c r="E2478" i="2"/>
  <c r="D2478" i="2"/>
  <c r="C2478" i="2"/>
  <c r="B2478" i="2"/>
  <c r="A2478" i="2"/>
  <c r="H2477" i="2"/>
  <c r="G2477" i="2"/>
  <c r="F2477" i="2"/>
  <c r="E2477" i="2"/>
  <c r="D2477" i="2"/>
  <c r="C2477" i="2"/>
  <c r="B2477" i="2"/>
  <c r="A2477" i="2"/>
  <c r="H2476" i="2"/>
  <c r="G2476" i="2"/>
  <c r="F2476" i="2"/>
  <c r="E2476" i="2"/>
  <c r="D2476" i="2"/>
  <c r="C2476" i="2"/>
  <c r="B2476" i="2"/>
  <c r="A2476" i="2"/>
  <c r="H2475" i="2"/>
  <c r="G2475" i="2"/>
  <c r="F2475" i="2"/>
  <c r="E2475" i="2"/>
  <c r="D2475" i="2"/>
  <c r="C2475" i="2"/>
  <c r="B2475" i="2"/>
  <c r="A2475" i="2"/>
  <c r="H2474" i="2"/>
  <c r="G2474" i="2"/>
  <c r="F2474" i="2"/>
  <c r="E2474" i="2"/>
  <c r="D2474" i="2"/>
  <c r="C2474" i="2"/>
  <c r="B2474" i="2"/>
  <c r="A2474" i="2"/>
  <c r="H2473" i="2"/>
  <c r="G2473" i="2"/>
  <c r="F2473" i="2"/>
  <c r="E2473" i="2"/>
  <c r="D2473" i="2"/>
  <c r="C2473" i="2"/>
  <c r="B2473" i="2"/>
  <c r="A2473" i="2"/>
  <c r="H2472" i="2"/>
  <c r="G2472" i="2"/>
  <c r="F2472" i="2"/>
  <c r="E2472" i="2"/>
  <c r="D2472" i="2"/>
  <c r="C2472" i="2"/>
  <c r="B2472" i="2"/>
  <c r="A2472" i="2"/>
  <c r="H2471" i="2"/>
  <c r="G2471" i="2"/>
  <c r="F2471" i="2"/>
  <c r="E2471" i="2"/>
  <c r="D2471" i="2"/>
  <c r="C2471" i="2"/>
  <c r="B2471" i="2"/>
  <c r="A2471" i="2"/>
  <c r="H2470" i="2"/>
  <c r="G2470" i="2"/>
  <c r="F2470" i="2"/>
  <c r="E2470" i="2"/>
  <c r="D2470" i="2"/>
  <c r="C2470" i="2"/>
  <c r="B2470" i="2"/>
  <c r="A2470" i="2"/>
  <c r="H2469" i="2"/>
  <c r="G2469" i="2"/>
  <c r="F2469" i="2"/>
  <c r="E2469" i="2"/>
  <c r="D2469" i="2"/>
  <c r="C2469" i="2"/>
  <c r="B2469" i="2"/>
  <c r="A2469" i="2"/>
  <c r="H2468" i="2"/>
  <c r="G2468" i="2"/>
  <c r="F2468" i="2"/>
  <c r="E2468" i="2"/>
  <c r="D2468" i="2"/>
  <c r="C2468" i="2"/>
  <c r="B2468" i="2"/>
  <c r="A2468" i="2"/>
  <c r="H2467" i="2"/>
  <c r="G2467" i="2"/>
  <c r="F2467" i="2"/>
  <c r="E2467" i="2"/>
  <c r="D2467" i="2"/>
  <c r="C2467" i="2"/>
  <c r="B2467" i="2"/>
  <c r="A2467" i="2"/>
  <c r="H2466" i="2"/>
  <c r="G2466" i="2"/>
  <c r="F2466" i="2"/>
  <c r="E2466" i="2"/>
  <c r="D2466" i="2"/>
  <c r="C2466" i="2"/>
  <c r="B2466" i="2"/>
  <c r="A2466" i="2"/>
  <c r="H2465" i="2"/>
  <c r="G2465" i="2"/>
  <c r="F2465" i="2"/>
  <c r="E2465" i="2"/>
  <c r="D2465" i="2"/>
  <c r="C2465" i="2"/>
  <c r="B2465" i="2"/>
  <c r="A2465" i="2"/>
  <c r="H2464" i="2"/>
  <c r="G2464" i="2"/>
  <c r="F2464" i="2"/>
  <c r="E2464" i="2"/>
  <c r="D2464" i="2"/>
  <c r="C2464" i="2"/>
  <c r="B2464" i="2"/>
  <c r="A2464" i="2"/>
  <c r="H2463" i="2"/>
  <c r="G2463" i="2"/>
  <c r="F2463" i="2"/>
  <c r="E2463" i="2"/>
  <c r="D2463" i="2"/>
  <c r="C2463" i="2"/>
  <c r="B2463" i="2"/>
  <c r="A2463" i="2"/>
  <c r="H2462" i="2"/>
  <c r="G2462" i="2"/>
  <c r="F2462" i="2"/>
  <c r="E2462" i="2"/>
  <c r="D2462" i="2"/>
  <c r="C2462" i="2"/>
  <c r="B2462" i="2"/>
  <c r="A2462" i="2"/>
  <c r="H2461" i="2"/>
  <c r="G2461" i="2"/>
  <c r="F2461" i="2"/>
  <c r="E2461" i="2"/>
  <c r="D2461" i="2"/>
  <c r="C2461" i="2"/>
  <c r="B2461" i="2"/>
  <c r="A2461" i="2"/>
  <c r="H2460" i="2"/>
  <c r="G2460" i="2"/>
  <c r="F2460" i="2"/>
  <c r="E2460" i="2"/>
  <c r="D2460" i="2"/>
  <c r="C2460" i="2"/>
  <c r="B2460" i="2"/>
  <c r="A2460" i="2"/>
  <c r="H2459" i="2"/>
  <c r="G2459" i="2"/>
  <c r="F2459" i="2"/>
  <c r="E2459" i="2"/>
  <c r="D2459" i="2"/>
  <c r="C2459" i="2"/>
  <c r="B2459" i="2"/>
  <c r="A2459" i="2"/>
  <c r="H2458" i="2"/>
  <c r="G2458" i="2"/>
  <c r="F2458" i="2"/>
  <c r="E2458" i="2"/>
  <c r="D2458" i="2"/>
  <c r="C2458" i="2"/>
  <c r="B2458" i="2"/>
  <c r="A2458" i="2"/>
  <c r="H2457" i="2"/>
  <c r="G2457" i="2"/>
  <c r="F2457" i="2"/>
  <c r="E2457" i="2"/>
  <c r="D2457" i="2"/>
  <c r="C2457" i="2"/>
  <c r="B2457" i="2"/>
  <c r="A2457" i="2"/>
  <c r="H2456" i="2"/>
  <c r="G2456" i="2"/>
  <c r="F2456" i="2"/>
  <c r="E2456" i="2"/>
  <c r="D2456" i="2"/>
  <c r="C2456" i="2"/>
  <c r="B2456" i="2"/>
  <c r="A2456" i="2"/>
  <c r="H2455" i="2"/>
  <c r="G2455" i="2"/>
  <c r="F2455" i="2"/>
  <c r="E2455" i="2"/>
  <c r="D2455" i="2"/>
  <c r="C2455" i="2"/>
  <c r="B2455" i="2"/>
  <c r="A2455" i="2"/>
  <c r="H2454" i="2"/>
  <c r="G2454" i="2"/>
  <c r="F2454" i="2"/>
  <c r="E2454" i="2"/>
  <c r="D2454" i="2"/>
  <c r="C2454" i="2"/>
  <c r="B2454" i="2"/>
  <c r="A2454" i="2"/>
  <c r="H2453" i="2"/>
  <c r="G2453" i="2"/>
  <c r="F2453" i="2"/>
  <c r="E2453" i="2"/>
  <c r="D2453" i="2"/>
  <c r="C2453" i="2"/>
  <c r="B2453" i="2"/>
  <c r="A2453" i="2"/>
  <c r="H2452" i="2"/>
  <c r="G2452" i="2"/>
  <c r="F2452" i="2"/>
  <c r="E2452" i="2"/>
  <c r="D2452" i="2"/>
  <c r="C2452" i="2"/>
  <c r="B2452" i="2"/>
  <c r="A2452" i="2"/>
  <c r="H2451" i="2"/>
  <c r="G2451" i="2"/>
  <c r="F2451" i="2"/>
  <c r="E2451" i="2"/>
  <c r="D2451" i="2"/>
  <c r="C2451" i="2"/>
  <c r="B2451" i="2"/>
  <c r="A2451" i="2"/>
  <c r="H2450" i="2"/>
  <c r="G2450" i="2"/>
  <c r="F2450" i="2"/>
  <c r="E2450" i="2"/>
  <c r="D2450" i="2"/>
  <c r="C2450" i="2"/>
  <c r="B2450" i="2"/>
  <c r="A2450" i="2"/>
  <c r="H2449" i="2"/>
  <c r="G2449" i="2"/>
  <c r="F2449" i="2"/>
  <c r="E2449" i="2"/>
  <c r="D2449" i="2"/>
  <c r="C2449" i="2"/>
  <c r="B2449" i="2"/>
  <c r="A2449" i="2"/>
  <c r="H2448" i="2"/>
  <c r="G2448" i="2"/>
  <c r="F2448" i="2"/>
  <c r="E2448" i="2"/>
  <c r="D2448" i="2"/>
  <c r="C2448" i="2"/>
  <c r="B2448" i="2"/>
  <c r="A2448" i="2"/>
  <c r="H2447" i="2"/>
  <c r="G2447" i="2"/>
  <c r="F2447" i="2"/>
  <c r="E2447" i="2"/>
  <c r="D2447" i="2"/>
  <c r="C2447" i="2"/>
  <c r="B2447" i="2"/>
  <c r="A2447" i="2"/>
  <c r="H2446" i="2"/>
  <c r="G2446" i="2"/>
  <c r="F2446" i="2"/>
  <c r="E2446" i="2"/>
  <c r="D2446" i="2"/>
  <c r="C2446" i="2"/>
  <c r="B2446" i="2"/>
  <c r="A2446" i="2"/>
  <c r="H2445" i="2"/>
  <c r="G2445" i="2"/>
  <c r="F2445" i="2"/>
  <c r="E2445" i="2"/>
  <c r="D2445" i="2"/>
  <c r="C2445" i="2"/>
  <c r="B2445" i="2"/>
  <c r="A2445" i="2"/>
  <c r="H2444" i="2"/>
  <c r="G2444" i="2"/>
  <c r="F2444" i="2"/>
  <c r="E2444" i="2"/>
  <c r="D2444" i="2"/>
  <c r="C2444" i="2"/>
  <c r="B2444" i="2"/>
  <c r="A2444" i="2"/>
  <c r="H2443" i="2"/>
  <c r="G2443" i="2"/>
  <c r="F2443" i="2"/>
  <c r="E2443" i="2"/>
  <c r="D2443" i="2"/>
  <c r="C2443" i="2"/>
  <c r="B2443" i="2"/>
  <c r="A2443" i="2"/>
  <c r="H2442" i="2"/>
  <c r="G2442" i="2"/>
  <c r="F2442" i="2"/>
  <c r="E2442" i="2"/>
  <c r="D2442" i="2"/>
  <c r="C2442" i="2"/>
  <c r="B2442" i="2"/>
  <c r="A2442" i="2"/>
  <c r="H2441" i="2"/>
  <c r="G2441" i="2"/>
  <c r="F2441" i="2"/>
  <c r="E2441" i="2"/>
  <c r="D2441" i="2"/>
  <c r="C2441" i="2"/>
  <c r="B2441" i="2"/>
  <c r="A2441" i="2"/>
  <c r="H2440" i="2"/>
  <c r="G2440" i="2"/>
  <c r="F2440" i="2"/>
  <c r="E2440" i="2"/>
  <c r="D2440" i="2"/>
  <c r="C2440" i="2"/>
  <c r="B2440" i="2"/>
  <c r="A2440" i="2"/>
  <c r="H2439" i="2"/>
  <c r="G2439" i="2"/>
  <c r="F2439" i="2"/>
  <c r="E2439" i="2"/>
  <c r="D2439" i="2"/>
  <c r="C2439" i="2"/>
  <c r="B2439" i="2"/>
  <c r="A2439" i="2"/>
  <c r="H2438" i="2"/>
  <c r="G2438" i="2"/>
  <c r="F2438" i="2"/>
  <c r="E2438" i="2"/>
  <c r="D2438" i="2"/>
  <c r="C2438" i="2"/>
  <c r="B2438" i="2"/>
  <c r="A2438" i="2"/>
  <c r="H2437" i="2"/>
  <c r="G2437" i="2"/>
  <c r="F2437" i="2"/>
  <c r="E2437" i="2"/>
  <c r="D2437" i="2"/>
  <c r="C2437" i="2"/>
  <c r="B2437" i="2"/>
  <c r="A2437" i="2"/>
  <c r="H2436" i="2"/>
  <c r="G2436" i="2"/>
  <c r="F2436" i="2"/>
  <c r="E2436" i="2"/>
  <c r="D2436" i="2"/>
  <c r="C2436" i="2"/>
  <c r="B2436" i="2"/>
  <c r="A2436" i="2"/>
  <c r="H2435" i="2"/>
  <c r="G2435" i="2"/>
  <c r="F2435" i="2"/>
  <c r="E2435" i="2"/>
  <c r="D2435" i="2"/>
  <c r="C2435" i="2"/>
  <c r="B2435" i="2"/>
  <c r="A2435" i="2"/>
  <c r="H2434" i="2"/>
  <c r="G2434" i="2"/>
  <c r="F2434" i="2"/>
  <c r="E2434" i="2"/>
  <c r="D2434" i="2"/>
  <c r="C2434" i="2"/>
  <c r="B2434" i="2"/>
  <c r="A2434" i="2"/>
  <c r="H2433" i="2"/>
  <c r="G2433" i="2"/>
  <c r="F2433" i="2"/>
  <c r="E2433" i="2"/>
  <c r="D2433" i="2"/>
  <c r="C2433" i="2"/>
  <c r="B2433" i="2"/>
  <c r="A2433" i="2"/>
  <c r="H2432" i="2"/>
  <c r="G2432" i="2"/>
  <c r="F2432" i="2"/>
  <c r="E2432" i="2"/>
  <c r="D2432" i="2"/>
  <c r="C2432" i="2"/>
  <c r="B2432" i="2"/>
  <c r="A2432" i="2"/>
  <c r="H2431" i="2"/>
  <c r="G2431" i="2"/>
  <c r="F2431" i="2"/>
  <c r="E2431" i="2"/>
  <c r="D2431" i="2"/>
  <c r="C2431" i="2"/>
  <c r="B2431" i="2"/>
  <c r="A2431" i="2"/>
  <c r="H2430" i="2"/>
  <c r="G2430" i="2"/>
  <c r="F2430" i="2"/>
  <c r="E2430" i="2"/>
  <c r="D2430" i="2"/>
  <c r="C2430" i="2"/>
  <c r="B2430" i="2"/>
  <c r="A2430" i="2"/>
  <c r="H2429" i="2"/>
  <c r="G2429" i="2"/>
  <c r="F2429" i="2"/>
  <c r="E2429" i="2"/>
  <c r="D2429" i="2"/>
  <c r="C2429" i="2"/>
  <c r="B2429" i="2"/>
  <c r="A2429" i="2"/>
  <c r="H2428" i="2"/>
  <c r="G2428" i="2"/>
  <c r="F2428" i="2"/>
  <c r="E2428" i="2"/>
  <c r="D2428" i="2"/>
  <c r="C2428" i="2"/>
  <c r="B2428" i="2"/>
  <c r="A2428" i="2"/>
  <c r="H2427" i="2"/>
  <c r="G2427" i="2"/>
  <c r="F2427" i="2"/>
  <c r="E2427" i="2"/>
  <c r="D2427" i="2"/>
  <c r="C2427" i="2"/>
  <c r="B2427" i="2"/>
  <c r="A2427" i="2"/>
  <c r="H2426" i="2"/>
  <c r="G2426" i="2"/>
  <c r="F2426" i="2"/>
  <c r="E2426" i="2"/>
  <c r="D2426" i="2"/>
  <c r="C2426" i="2"/>
  <c r="B2426" i="2"/>
  <c r="A2426" i="2"/>
  <c r="H2425" i="2"/>
  <c r="G2425" i="2"/>
  <c r="F2425" i="2"/>
  <c r="E2425" i="2"/>
  <c r="D2425" i="2"/>
  <c r="C2425" i="2"/>
  <c r="B2425" i="2"/>
  <c r="A2425" i="2"/>
  <c r="H2424" i="2"/>
  <c r="G2424" i="2"/>
  <c r="F2424" i="2"/>
  <c r="E2424" i="2"/>
  <c r="D2424" i="2"/>
  <c r="C2424" i="2"/>
  <c r="B2424" i="2"/>
  <c r="A2424" i="2"/>
  <c r="H2423" i="2"/>
  <c r="G2423" i="2"/>
  <c r="F2423" i="2"/>
  <c r="E2423" i="2"/>
  <c r="D2423" i="2"/>
  <c r="C2423" i="2"/>
  <c r="B2423" i="2"/>
  <c r="A2423" i="2"/>
  <c r="H2422" i="2"/>
  <c r="G2422" i="2"/>
  <c r="F2422" i="2"/>
  <c r="E2422" i="2"/>
  <c r="D2422" i="2"/>
  <c r="C2422" i="2"/>
  <c r="B2422" i="2"/>
  <c r="A2422" i="2"/>
  <c r="H2421" i="2"/>
  <c r="G2421" i="2"/>
  <c r="F2421" i="2"/>
  <c r="E2421" i="2"/>
  <c r="D2421" i="2"/>
  <c r="C2421" i="2"/>
  <c r="B2421" i="2"/>
  <c r="A2421" i="2"/>
  <c r="H2420" i="2"/>
  <c r="G2420" i="2"/>
  <c r="F2420" i="2"/>
  <c r="E2420" i="2"/>
  <c r="D2420" i="2"/>
  <c r="C2420" i="2"/>
  <c r="B2420" i="2"/>
  <c r="A2420" i="2"/>
  <c r="H2419" i="2"/>
  <c r="G2419" i="2"/>
  <c r="F2419" i="2"/>
  <c r="E2419" i="2"/>
  <c r="D2419" i="2"/>
  <c r="C2419" i="2"/>
  <c r="B2419" i="2"/>
  <c r="A2419" i="2"/>
  <c r="H2418" i="2"/>
  <c r="G2418" i="2"/>
  <c r="F2418" i="2"/>
  <c r="E2418" i="2"/>
  <c r="D2418" i="2"/>
  <c r="C2418" i="2"/>
  <c r="B2418" i="2"/>
  <c r="A2418" i="2"/>
  <c r="H2417" i="2"/>
  <c r="G2417" i="2"/>
  <c r="F2417" i="2"/>
  <c r="E2417" i="2"/>
  <c r="D2417" i="2"/>
  <c r="C2417" i="2"/>
  <c r="B2417" i="2"/>
  <c r="A2417" i="2"/>
  <c r="H2416" i="2"/>
  <c r="G2416" i="2"/>
  <c r="F2416" i="2"/>
  <c r="E2416" i="2"/>
  <c r="D2416" i="2"/>
  <c r="C2416" i="2"/>
  <c r="B2416" i="2"/>
  <c r="A2416" i="2"/>
  <c r="H2415" i="2"/>
  <c r="G2415" i="2"/>
  <c r="F2415" i="2"/>
  <c r="E2415" i="2"/>
  <c r="D2415" i="2"/>
  <c r="C2415" i="2"/>
  <c r="B2415" i="2"/>
  <c r="A2415" i="2"/>
  <c r="H2414" i="2"/>
  <c r="G2414" i="2"/>
  <c r="F2414" i="2"/>
  <c r="E2414" i="2"/>
  <c r="D2414" i="2"/>
  <c r="C2414" i="2"/>
  <c r="B2414" i="2"/>
  <c r="A2414" i="2"/>
  <c r="H2413" i="2"/>
  <c r="G2413" i="2"/>
  <c r="F2413" i="2"/>
  <c r="E2413" i="2"/>
  <c r="D2413" i="2"/>
  <c r="C2413" i="2"/>
  <c r="B2413" i="2"/>
  <c r="A2413" i="2"/>
  <c r="H2412" i="2"/>
  <c r="G2412" i="2"/>
  <c r="F2412" i="2"/>
  <c r="E2412" i="2"/>
  <c r="D2412" i="2"/>
  <c r="C2412" i="2"/>
  <c r="B2412" i="2"/>
  <c r="A2412" i="2"/>
  <c r="H2411" i="2"/>
  <c r="G2411" i="2"/>
  <c r="F2411" i="2"/>
  <c r="E2411" i="2"/>
  <c r="D2411" i="2"/>
  <c r="C2411" i="2"/>
  <c r="B2411" i="2"/>
  <c r="A2411" i="2"/>
  <c r="H2410" i="2"/>
  <c r="G2410" i="2"/>
  <c r="F2410" i="2"/>
  <c r="E2410" i="2"/>
  <c r="D2410" i="2"/>
  <c r="C2410" i="2"/>
  <c r="B2410" i="2"/>
  <c r="A2410" i="2"/>
  <c r="H2409" i="2"/>
  <c r="G2409" i="2"/>
  <c r="F2409" i="2"/>
  <c r="E2409" i="2"/>
  <c r="D2409" i="2"/>
  <c r="C2409" i="2"/>
  <c r="B2409" i="2"/>
  <c r="A2409" i="2"/>
  <c r="H2408" i="2"/>
  <c r="G2408" i="2"/>
  <c r="F2408" i="2"/>
  <c r="E2408" i="2"/>
  <c r="D2408" i="2"/>
  <c r="C2408" i="2"/>
  <c r="B2408" i="2"/>
  <c r="A2408" i="2"/>
  <c r="H2407" i="2"/>
  <c r="G2407" i="2"/>
  <c r="F2407" i="2"/>
  <c r="E2407" i="2"/>
  <c r="D2407" i="2"/>
  <c r="C2407" i="2"/>
  <c r="B2407" i="2"/>
  <c r="A2407" i="2"/>
  <c r="H2406" i="2"/>
  <c r="G2406" i="2"/>
  <c r="F2406" i="2"/>
  <c r="E2406" i="2"/>
  <c r="D2406" i="2"/>
  <c r="C2406" i="2"/>
  <c r="B2406" i="2"/>
  <c r="A2406" i="2"/>
  <c r="H2405" i="2"/>
  <c r="G2405" i="2"/>
  <c r="F2405" i="2"/>
  <c r="E2405" i="2"/>
  <c r="D2405" i="2"/>
  <c r="C2405" i="2"/>
  <c r="B2405" i="2"/>
  <c r="A2405" i="2"/>
  <c r="H2404" i="2"/>
  <c r="G2404" i="2"/>
  <c r="F2404" i="2"/>
  <c r="E2404" i="2"/>
  <c r="D2404" i="2"/>
  <c r="C2404" i="2"/>
  <c r="B2404" i="2"/>
  <c r="A2404" i="2"/>
  <c r="H2403" i="2"/>
  <c r="G2403" i="2"/>
  <c r="F2403" i="2"/>
  <c r="E2403" i="2"/>
  <c r="D2403" i="2"/>
  <c r="C2403" i="2"/>
  <c r="B2403" i="2"/>
  <c r="A2403" i="2"/>
  <c r="H2402" i="2"/>
  <c r="G2402" i="2"/>
  <c r="F2402" i="2"/>
  <c r="E2402" i="2"/>
  <c r="D2402" i="2"/>
  <c r="C2402" i="2"/>
  <c r="B2402" i="2"/>
  <c r="A2402" i="2"/>
  <c r="H2401" i="2"/>
  <c r="G2401" i="2"/>
  <c r="F2401" i="2"/>
  <c r="E2401" i="2"/>
  <c r="D2401" i="2"/>
  <c r="C2401" i="2"/>
  <c r="B2401" i="2"/>
  <c r="A2401" i="2"/>
  <c r="H2400" i="2"/>
  <c r="G2400" i="2"/>
  <c r="F2400" i="2"/>
  <c r="E2400" i="2"/>
  <c r="D2400" i="2"/>
  <c r="C2400" i="2"/>
  <c r="B2400" i="2"/>
  <c r="A2400" i="2"/>
  <c r="H2399" i="2"/>
  <c r="G2399" i="2"/>
  <c r="F2399" i="2"/>
  <c r="E2399" i="2"/>
  <c r="D2399" i="2"/>
  <c r="C2399" i="2"/>
  <c r="B2399" i="2"/>
  <c r="A2399" i="2"/>
  <c r="H2398" i="2"/>
  <c r="G2398" i="2"/>
  <c r="F2398" i="2"/>
  <c r="E2398" i="2"/>
  <c r="D2398" i="2"/>
  <c r="C2398" i="2"/>
  <c r="B2398" i="2"/>
  <c r="A2398" i="2"/>
  <c r="H2397" i="2"/>
  <c r="G2397" i="2"/>
  <c r="F2397" i="2"/>
  <c r="E2397" i="2"/>
  <c r="D2397" i="2"/>
  <c r="C2397" i="2"/>
  <c r="B2397" i="2"/>
  <c r="A2397" i="2"/>
  <c r="H2396" i="2"/>
  <c r="G2396" i="2"/>
  <c r="F2396" i="2"/>
  <c r="E2396" i="2"/>
  <c r="D2396" i="2"/>
  <c r="C2396" i="2"/>
  <c r="B2396" i="2"/>
  <c r="A2396" i="2"/>
  <c r="H2395" i="2"/>
  <c r="G2395" i="2"/>
  <c r="F2395" i="2"/>
  <c r="E2395" i="2"/>
  <c r="D2395" i="2"/>
  <c r="C2395" i="2"/>
  <c r="B2395" i="2"/>
  <c r="A2395" i="2"/>
  <c r="H2394" i="2"/>
  <c r="G2394" i="2"/>
  <c r="F2394" i="2"/>
  <c r="E2394" i="2"/>
  <c r="D2394" i="2"/>
  <c r="C2394" i="2"/>
  <c r="B2394" i="2"/>
  <c r="A2394" i="2"/>
  <c r="H2393" i="2"/>
  <c r="G2393" i="2"/>
  <c r="F2393" i="2"/>
  <c r="E2393" i="2"/>
  <c r="D2393" i="2"/>
  <c r="C2393" i="2"/>
  <c r="B2393" i="2"/>
  <c r="A2393" i="2"/>
  <c r="H2392" i="2"/>
  <c r="G2392" i="2"/>
  <c r="F2392" i="2"/>
  <c r="E2392" i="2"/>
  <c r="D2392" i="2"/>
  <c r="C2392" i="2"/>
  <c r="B2392" i="2"/>
  <c r="A2392" i="2"/>
  <c r="H2391" i="2"/>
  <c r="G2391" i="2"/>
  <c r="F2391" i="2"/>
  <c r="E2391" i="2"/>
  <c r="D2391" i="2"/>
  <c r="C2391" i="2"/>
  <c r="B2391" i="2"/>
  <c r="A2391" i="2"/>
  <c r="H2390" i="2"/>
  <c r="G2390" i="2"/>
  <c r="F2390" i="2"/>
  <c r="E2390" i="2"/>
  <c r="D2390" i="2"/>
  <c r="C2390" i="2"/>
  <c r="B2390" i="2"/>
  <c r="A2390" i="2"/>
  <c r="H2389" i="2"/>
  <c r="G2389" i="2"/>
  <c r="F2389" i="2"/>
  <c r="E2389" i="2"/>
  <c r="D2389" i="2"/>
  <c r="C2389" i="2"/>
  <c r="B2389" i="2"/>
  <c r="A2389" i="2"/>
  <c r="H2388" i="2"/>
  <c r="G2388" i="2"/>
  <c r="F2388" i="2"/>
  <c r="E2388" i="2"/>
  <c r="D2388" i="2"/>
  <c r="C2388" i="2"/>
  <c r="B2388" i="2"/>
  <c r="A2388" i="2"/>
  <c r="H2387" i="2"/>
  <c r="G2387" i="2"/>
  <c r="F2387" i="2"/>
  <c r="E2387" i="2"/>
  <c r="D2387" i="2"/>
  <c r="C2387" i="2"/>
  <c r="B2387" i="2"/>
  <c r="A2387" i="2"/>
  <c r="H2386" i="2"/>
  <c r="G2386" i="2"/>
  <c r="F2386" i="2"/>
  <c r="E2386" i="2"/>
  <c r="D2386" i="2"/>
  <c r="C2386" i="2"/>
  <c r="B2386" i="2"/>
  <c r="A2386" i="2"/>
  <c r="H2385" i="2"/>
  <c r="G2385" i="2"/>
  <c r="F2385" i="2"/>
  <c r="E2385" i="2"/>
  <c r="D2385" i="2"/>
  <c r="C2385" i="2"/>
  <c r="B2385" i="2"/>
  <c r="A2385" i="2"/>
  <c r="H2384" i="2"/>
  <c r="G2384" i="2"/>
  <c r="F2384" i="2"/>
  <c r="E2384" i="2"/>
  <c r="D2384" i="2"/>
  <c r="C2384" i="2"/>
  <c r="B2384" i="2"/>
  <c r="A2384" i="2"/>
  <c r="H2383" i="2"/>
  <c r="G2383" i="2"/>
  <c r="F2383" i="2"/>
  <c r="E2383" i="2"/>
  <c r="D2383" i="2"/>
  <c r="C2383" i="2"/>
  <c r="B2383" i="2"/>
  <c r="A2383" i="2"/>
  <c r="H2382" i="2"/>
  <c r="G2382" i="2"/>
  <c r="F2382" i="2"/>
  <c r="E2382" i="2"/>
  <c r="D2382" i="2"/>
  <c r="C2382" i="2"/>
  <c r="B2382" i="2"/>
  <c r="A2382" i="2"/>
  <c r="H2381" i="2"/>
  <c r="G2381" i="2"/>
  <c r="F2381" i="2"/>
  <c r="E2381" i="2"/>
  <c r="D2381" i="2"/>
  <c r="C2381" i="2"/>
  <c r="B2381" i="2"/>
  <c r="A2381" i="2"/>
  <c r="H2380" i="2"/>
  <c r="G2380" i="2"/>
  <c r="F2380" i="2"/>
  <c r="E2380" i="2"/>
  <c r="D2380" i="2"/>
  <c r="C2380" i="2"/>
  <c r="B2380" i="2"/>
  <c r="A2380" i="2"/>
  <c r="H2379" i="2"/>
  <c r="G2379" i="2"/>
  <c r="F2379" i="2"/>
  <c r="E2379" i="2"/>
  <c r="D2379" i="2"/>
  <c r="C2379" i="2"/>
  <c r="B2379" i="2"/>
  <c r="A2379" i="2"/>
  <c r="H2378" i="2"/>
  <c r="G2378" i="2"/>
  <c r="F2378" i="2"/>
  <c r="E2378" i="2"/>
  <c r="D2378" i="2"/>
  <c r="C2378" i="2"/>
  <c r="B2378" i="2"/>
  <c r="A2378" i="2"/>
  <c r="H2377" i="2"/>
  <c r="G2377" i="2"/>
  <c r="F2377" i="2"/>
  <c r="E2377" i="2"/>
  <c r="D2377" i="2"/>
  <c r="C2377" i="2"/>
  <c r="B2377" i="2"/>
  <c r="A2377" i="2"/>
  <c r="H2376" i="2"/>
  <c r="G2376" i="2"/>
  <c r="F2376" i="2"/>
  <c r="E2376" i="2"/>
  <c r="D2376" i="2"/>
  <c r="C2376" i="2"/>
  <c r="B2376" i="2"/>
  <c r="A2376" i="2"/>
  <c r="H2375" i="2"/>
  <c r="G2375" i="2"/>
  <c r="F2375" i="2"/>
  <c r="E2375" i="2"/>
  <c r="D2375" i="2"/>
  <c r="C2375" i="2"/>
  <c r="B2375" i="2"/>
  <c r="A2375" i="2"/>
  <c r="H2374" i="2"/>
  <c r="G2374" i="2"/>
  <c r="F2374" i="2"/>
  <c r="E2374" i="2"/>
  <c r="D2374" i="2"/>
  <c r="C2374" i="2"/>
  <c r="B2374" i="2"/>
  <c r="A2374" i="2"/>
  <c r="H2373" i="2"/>
  <c r="G2373" i="2"/>
  <c r="F2373" i="2"/>
  <c r="E2373" i="2"/>
  <c r="D2373" i="2"/>
  <c r="C2373" i="2"/>
  <c r="B2373" i="2"/>
  <c r="A2373" i="2"/>
  <c r="H2372" i="2"/>
  <c r="G2372" i="2"/>
  <c r="F2372" i="2"/>
  <c r="E2372" i="2"/>
  <c r="D2372" i="2"/>
  <c r="C2372" i="2"/>
  <c r="B2372" i="2"/>
  <c r="A2372" i="2"/>
  <c r="H2371" i="2"/>
  <c r="G2371" i="2"/>
  <c r="F2371" i="2"/>
  <c r="E2371" i="2"/>
  <c r="D2371" i="2"/>
  <c r="C2371" i="2"/>
  <c r="B2371" i="2"/>
  <c r="A2371" i="2"/>
  <c r="H2370" i="2"/>
  <c r="G2370" i="2"/>
  <c r="F2370" i="2"/>
  <c r="E2370" i="2"/>
  <c r="D2370" i="2"/>
  <c r="C2370" i="2"/>
  <c r="B2370" i="2"/>
  <c r="A2370" i="2"/>
  <c r="H2369" i="2"/>
  <c r="G2369" i="2"/>
  <c r="F2369" i="2"/>
  <c r="E2369" i="2"/>
  <c r="D2369" i="2"/>
  <c r="C2369" i="2"/>
  <c r="B2369" i="2"/>
  <c r="A2369" i="2"/>
  <c r="H2368" i="2"/>
  <c r="G2368" i="2"/>
  <c r="F2368" i="2"/>
  <c r="E2368" i="2"/>
  <c r="D2368" i="2"/>
  <c r="C2368" i="2"/>
  <c r="B2368" i="2"/>
  <c r="A2368" i="2"/>
  <c r="H2367" i="2"/>
  <c r="G2367" i="2"/>
  <c r="F2367" i="2"/>
  <c r="E2367" i="2"/>
  <c r="D2367" i="2"/>
  <c r="C2367" i="2"/>
  <c r="B2367" i="2"/>
  <c r="A2367" i="2"/>
  <c r="H2366" i="2"/>
  <c r="G2366" i="2"/>
  <c r="F2366" i="2"/>
  <c r="E2366" i="2"/>
  <c r="D2366" i="2"/>
  <c r="C2366" i="2"/>
  <c r="B2366" i="2"/>
  <c r="A2366" i="2"/>
  <c r="H2365" i="2"/>
  <c r="G2365" i="2"/>
  <c r="F2365" i="2"/>
  <c r="E2365" i="2"/>
  <c r="D2365" i="2"/>
  <c r="C2365" i="2"/>
  <c r="B2365" i="2"/>
  <c r="A2365" i="2"/>
  <c r="H2364" i="2"/>
  <c r="G2364" i="2"/>
  <c r="F2364" i="2"/>
  <c r="E2364" i="2"/>
  <c r="D2364" i="2"/>
  <c r="C2364" i="2"/>
  <c r="B2364" i="2"/>
  <c r="A2364" i="2"/>
  <c r="H2363" i="2"/>
  <c r="G2363" i="2"/>
  <c r="F2363" i="2"/>
  <c r="E2363" i="2"/>
  <c r="D2363" i="2"/>
  <c r="C2363" i="2"/>
  <c r="B2363" i="2"/>
  <c r="A2363" i="2"/>
  <c r="H2362" i="2"/>
  <c r="G2362" i="2"/>
  <c r="F2362" i="2"/>
  <c r="E2362" i="2"/>
  <c r="D2362" i="2"/>
  <c r="C2362" i="2"/>
  <c r="B2362" i="2"/>
  <c r="A2362" i="2"/>
  <c r="H2361" i="2"/>
  <c r="G2361" i="2"/>
  <c r="F2361" i="2"/>
  <c r="E2361" i="2"/>
  <c r="D2361" i="2"/>
  <c r="C2361" i="2"/>
  <c r="B2361" i="2"/>
  <c r="A2361" i="2"/>
  <c r="H2360" i="2"/>
  <c r="G2360" i="2"/>
  <c r="F2360" i="2"/>
  <c r="E2360" i="2"/>
  <c r="D2360" i="2"/>
  <c r="C2360" i="2"/>
  <c r="B2360" i="2"/>
  <c r="A2360" i="2"/>
  <c r="H2359" i="2"/>
  <c r="G2359" i="2"/>
  <c r="F2359" i="2"/>
  <c r="E2359" i="2"/>
  <c r="D2359" i="2"/>
  <c r="C2359" i="2"/>
  <c r="B2359" i="2"/>
  <c r="A2359" i="2"/>
  <c r="H2358" i="2"/>
  <c r="G2358" i="2"/>
  <c r="F2358" i="2"/>
  <c r="E2358" i="2"/>
  <c r="D2358" i="2"/>
  <c r="C2358" i="2"/>
  <c r="B2358" i="2"/>
  <c r="A2358" i="2"/>
  <c r="H2357" i="2"/>
  <c r="G2357" i="2"/>
  <c r="F2357" i="2"/>
  <c r="E2357" i="2"/>
  <c r="D2357" i="2"/>
  <c r="C2357" i="2"/>
  <c r="B2357" i="2"/>
  <c r="A2357" i="2"/>
  <c r="H2356" i="2"/>
  <c r="G2356" i="2"/>
  <c r="F2356" i="2"/>
  <c r="E2356" i="2"/>
  <c r="D2356" i="2"/>
  <c r="C2356" i="2"/>
  <c r="B2356" i="2"/>
  <c r="A2356" i="2"/>
  <c r="H2355" i="2"/>
  <c r="G2355" i="2"/>
  <c r="F2355" i="2"/>
  <c r="E2355" i="2"/>
  <c r="D2355" i="2"/>
  <c r="C2355" i="2"/>
  <c r="B2355" i="2"/>
  <c r="A2355" i="2"/>
  <c r="H2354" i="2"/>
  <c r="G2354" i="2"/>
  <c r="F2354" i="2"/>
  <c r="E2354" i="2"/>
  <c r="D2354" i="2"/>
  <c r="C2354" i="2"/>
  <c r="B2354" i="2"/>
  <c r="A2354" i="2"/>
  <c r="H2353" i="2"/>
  <c r="G2353" i="2"/>
  <c r="F2353" i="2"/>
  <c r="E2353" i="2"/>
  <c r="D2353" i="2"/>
  <c r="C2353" i="2"/>
  <c r="B2353" i="2"/>
  <c r="A2353" i="2"/>
  <c r="H2352" i="2"/>
  <c r="G2352" i="2"/>
  <c r="F2352" i="2"/>
  <c r="E2352" i="2"/>
  <c r="D2352" i="2"/>
  <c r="C2352" i="2"/>
  <c r="B2352" i="2"/>
  <c r="A2352" i="2"/>
  <c r="H2351" i="2"/>
  <c r="G2351" i="2"/>
  <c r="F2351" i="2"/>
  <c r="E2351" i="2"/>
  <c r="D2351" i="2"/>
  <c r="C2351" i="2"/>
  <c r="B2351" i="2"/>
  <c r="A2351" i="2"/>
  <c r="H2350" i="2"/>
  <c r="G2350" i="2"/>
  <c r="F2350" i="2"/>
  <c r="E2350" i="2"/>
  <c r="D2350" i="2"/>
  <c r="C2350" i="2"/>
  <c r="B2350" i="2"/>
  <c r="A2350" i="2"/>
  <c r="H2349" i="2"/>
  <c r="G2349" i="2"/>
  <c r="F2349" i="2"/>
  <c r="E2349" i="2"/>
  <c r="D2349" i="2"/>
  <c r="C2349" i="2"/>
  <c r="B2349" i="2"/>
  <c r="A2349" i="2"/>
  <c r="H2348" i="2"/>
  <c r="G2348" i="2"/>
  <c r="F2348" i="2"/>
  <c r="E2348" i="2"/>
  <c r="D2348" i="2"/>
  <c r="C2348" i="2"/>
  <c r="B2348" i="2"/>
  <c r="A2348" i="2"/>
  <c r="H2347" i="2"/>
  <c r="G2347" i="2"/>
  <c r="F2347" i="2"/>
  <c r="E2347" i="2"/>
  <c r="D2347" i="2"/>
  <c r="C2347" i="2"/>
  <c r="B2347" i="2"/>
  <c r="A2347" i="2"/>
  <c r="H2346" i="2"/>
  <c r="G2346" i="2"/>
  <c r="F2346" i="2"/>
  <c r="E2346" i="2"/>
  <c r="D2346" i="2"/>
  <c r="C2346" i="2"/>
  <c r="B2346" i="2"/>
  <c r="A2346" i="2"/>
  <c r="H2345" i="2"/>
  <c r="G2345" i="2"/>
  <c r="F2345" i="2"/>
  <c r="E2345" i="2"/>
  <c r="D2345" i="2"/>
  <c r="C2345" i="2"/>
  <c r="B2345" i="2"/>
  <c r="A2345" i="2"/>
  <c r="H2344" i="2"/>
  <c r="G2344" i="2"/>
  <c r="F2344" i="2"/>
  <c r="E2344" i="2"/>
  <c r="D2344" i="2"/>
  <c r="C2344" i="2"/>
  <c r="B2344" i="2"/>
  <c r="A2344" i="2"/>
  <c r="H2343" i="2"/>
  <c r="G2343" i="2"/>
  <c r="F2343" i="2"/>
  <c r="E2343" i="2"/>
  <c r="D2343" i="2"/>
  <c r="C2343" i="2"/>
  <c r="B2343" i="2"/>
  <c r="A2343" i="2"/>
  <c r="H2342" i="2"/>
  <c r="G2342" i="2"/>
  <c r="F2342" i="2"/>
  <c r="E2342" i="2"/>
  <c r="D2342" i="2"/>
  <c r="C2342" i="2"/>
  <c r="B2342" i="2"/>
  <c r="A2342" i="2"/>
  <c r="H2341" i="2"/>
  <c r="G2341" i="2"/>
  <c r="F2341" i="2"/>
  <c r="E2341" i="2"/>
  <c r="D2341" i="2"/>
  <c r="C2341" i="2"/>
  <c r="B2341" i="2"/>
  <c r="A2341" i="2"/>
  <c r="H2340" i="2"/>
  <c r="G2340" i="2"/>
  <c r="F2340" i="2"/>
  <c r="E2340" i="2"/>
  <c r="D2340" i="2"/>
  <c r="C2340" i="2"/>
  <c r="B2340" i="2"/>
  <c r="A2340" i="2"/>
  <c r="H2339" i="2"/>
  <c r="G2339" i="2"/>
  <c r="F2339" i="2"/>
  <c r="E2339" i="2"/>
  <c r="D2339" i="2"/>
  <c r="C2339" i="2"/>
  <c r="B2339" i="2"/>
  <c r="A2339" i="2"/>
  <c r="H2338" i="2"/>
  <c r="G2338" i="2"/>
  <c r="F2338" i="2"/>
  <c r="E2338" i="2"/>
  <c r="D2338" i="2"/>
  <c r="C2338" i="2"/>
  <c r="B2338" i="2"/>
  <c r="A2338" i="2"/>
  <c r="H2337" i="2"/>
  <c r="G2337" i="2"/>
  <c r="F2337" i="2"/>
  <c r="E2337" i="2"/>
  <c r="D2337" i="2"/>
  <c r="C2337" i="2"/>
  <c r="B2337" i="2"/>
  <c r="A2337" i="2"/>
  <c r="H2336" i="2"/>
  <c r="G2336" i="2"/>
  <c r="F2336" i="2"/>
  <c r="E2336" i="2"/>
  <c r="D2336" i="2"/>
  <c r="C2336" i="2"/>
  <c r="B2336" i="2"/>
  <c r="A2336" i="2"/>
  <c r="H2335" i="2"/>
  <c r="G2335" i="2"/>
  <c r="F2335" i="2"/>
  <c r="E2335" i="2"/>
  <c r="D2335" i="2"/>
  <c r="C2335" i="2"/>
  <c r="B2335" i="2"/>
  <c r="A2335" i="2"/>
  <c r="H2334" i="2"/>
  <c r="G2334" i="2"/>
  <c r="F2334" i="2"/>
  <c r="E2334" i="2"/>
  <c r="D2334" i="2"/>
  <c r="C2334" i="2"/>
  <c r="B2334" i="2"/>
  <c r="A2334" i="2"/>
  <c r="H2333" i="2"/>
  <c r="G2333" i="2"/>
  <c r="F2333" i="2"/>
  <c r="E2333" i="2"/>
  <c r="D2333" i="2"/>
  <c r="C2333" i="2"/>
  <c r="B2333" i="2"/>
  <c r="A2333" i="2"/>
  <c r="H2332" i="2"/>
  <c r="G2332" i="2"/>
  <c r="F2332" i="2"/>
  <c r="E2332" i="2"/>
  <c r="D2332" i="2"/>
  <c r="C2332" i="2"/>
  <c r="B2332" i="2"/>
  <c r="A2332" i="2"/>
  <c r="H2331" i="2"/>
  <c r="G2331" i="2"/>
  <c r="F2331" i="2"/>
  <c r="E2331" i="2"/>
  <c r="D2331" i="2"/>
  <c r="C2331" i="2"/>
  <c r="B2331" i="2"/>
  <c r="A2331" i="2"/>
  <c r="H2330" i="2"/>
  <c r="G2330" i="2"/>
  <c r="F2330" i="2"/>
  <c r="E2330" i="2"/>
  <c r="D2330" i="2"/>
  <c r="C2330" i="2"/>
  <c r="B2330" i="2"/>
  <c r="A2330" i="2"/>
  <c r="H2329" i="2"/>
  <c r="G2329" i="2"/>
  <c r="F2329" i="2"/>
  <c r="E2329" i="2"/>
  <c r="D2329" i="2"/>
  <c r="C2329" i="2"/>
  <c r="B2329" i="2"/>
  <c r="A2329" i="2"/>
  <c r="H2328" i="2"/>
  <c r="G2328" i="2"/>
  <c r="F2328" i="2"/>
  <c r="E2328" i="2"/>
  <c r="D2328" i="2"/>
  <c r="C2328" i="2"/>
  <c r="B2328" i="2"/>
  <c r="A2328" i="2"/>
  <c r="H2327" i="2"/>
  <c r="G2327" i="2"/>
  <c r="F2327" i="2"/>
  <c r="E2327" i="2"/>
  <c r="D2327" i="2"/>
  <c r="C2327" i="2"/>
  <c r="B2327" i="2"/>
  <c r="A2327" i="2"/>
  <c r="H2326" i="2"/>
  <c r="G2326" i="2"/>
  <c r="F2326" i="2"/>
  <c r="E2326" i="2"/>
  <c r="D2326" i="2"/>
  <c r="C2326" i="2"/>
  <c r="B2326" i="2"/>
  <c r="A2326" i="2"/>
  <c r="H2325" i="2"/>
  <c r="G2325" i="2"/>
  <c r="F2325" i="2"/>
  <c r="E2325" i="2"/>
  <c r="D2325" i="2"/>
  <c r="C2325" i="2"/>
  <c r="B2325" i="2"/>
  <c r="A2325" i="2"/>
  <c r="H2324" i="2"/>
  <c r="G2324" i="2"/>
  <c r="F2324" i="2"/>
  <c r="E2324" i="2"/>
  <c r="D2324" i="2"/>
  <c r="C2324" i="2"/>
  <c r="B2324" i="2"/>
  <c r="A2324" i="2"/>
  <c r="H2323" i="2"/>
  <c r="G2323" i="2"/>
  <c r="F2323" i="2"/>
  <c r="E2323" i="2"/>
  <c r="D2323" i="2"/>
  <c r="C2323" i="2"/>
  <c r="B2323" i="2"/>
  <c r="A2323" i="2"/>
  <c r="H2322" i="2"/>
  <c r="G2322" i="2"/>
  <c r="F2322" i="2"/>
  <c r="E2322" i="2"/>
  <c r="D2322" i="2"/>
  <c r="C2322" i="2"/>
  <c r="B2322" i="2"/>
  <c r="A2322" i="2"/>
  <c r="H2321" i="2"/>
  <c r="G2321" i="2"/>
  <c r="F2321" i="2"/>
  <c r="E2321" i="2"/>
  <c r="D2321" i="2"/>
  <c r="C2321" i="2"/>
  <c r="B2321" i="2"/>
  <c r="A2321" i="2"/>
  <c r="H2320" i="2"/>
  <c r="G2320" i="2"/>
  <c r="F2320" i="2"/>
  <c r="E2320" i="2"/>
  <c r="D2320" i="2"/>
  <c r="C2320" i="2"/>
  <c r="B2320" i="2"/>
  <c r="A2320" i="2"/>
  <c r="H2319" i="2"/>
  <c r="G2319" i="2"/>
  <c r="F2319" i="2"/>
  <c r="E2319" i="2"/>
  <c r="D2319" i="2"/>
  <c r="C2319" i="2"/>
  <c r="B2319" i="2"/>
  <c r="A2319" i="2"/>
  <c r="H2318" i="2"/>
  <c r="G2318" i="2"/>
  <c r="F2318" i="2"/>
  <c r="E2318" i="2"/>
  <c r="D2318" i="2"/>
  <c r="C2318" i="2"/>
  <c r="B2318" i="2"/>
  <c r="A2318" i="2"/>
  <c r="H2317" i="2"/>
  <c r="G2317" i="2"/>
  <c r="F2317" i="2"/>
  <c r="E2317" i="2"/>
  <c r="D2317" i="2"/>
  <c r="C2317" i="2"/>
  <c r="B2317" i="2"/>
  <c r="A2317" i="2"/>
  <c r="H2316" i="2"/>
  <c r="G2316" i="2"/>
  <c r="F2316" i="2"/>
  <c r="E2316" i="2"/>
  <c r="D2316" i="2"/>
  <c r="C2316" i="2"/>
  <c r="B2316" i="2"/>
  <c r="A2316" i="2"/>
  <c r="H2315" i="2"/>
  <c r="G2315" i="2"/>
  <c r="F2315" i="2"/>
  <c r="E2315" i="2"/>
  <c r="D2315" i="2"/>
  <c r="C2315" i="2"/>
  <c r="B2315" i="2"/>
  <c r="A2315" i="2"/>
  <c r="H2314" i="2"/>
  <c r="G2314" i="2"/>
  <c r="F2314" i="2"/>
  <c r="E2314" i="2"/>
  <c r="D2314" i="2"/>
  <c r="C2314" i="2"/>
  <c r="B2314" i="2"/>
  <c r="A2314" i="2"/>
  <c r="H2313" i="2"/>
  <c r="G2313" i="2"/>
  <c r="F2313" i="2"/>
  <c r="E2313" i="2"/>
  <c r="D2313" i="2"/>
  <c r="C2313" i="2"/>
  <c r="B2313" i="2"/>
  <c r="A2313" i="2"/>
  <c r="H2312" i="2"/>
  <c r="G2312" i="2"/>
  <c r="F2312" i="2"/>
  <c r="E2312" i="2"/>
  <c r="D2312" i="2"/>
  <c r="C2312" i="2"/>
  <c r="B2312" i="2"/>
  <c r="A2312" i="2"/>
  <c r="H2311" i="2"/>
  <c r="G2311" i="2"/>
  <c r="F2311" i="2"/>
  <c r="E2311" i="2"/>
  <c r="D2311" i="2"/>
  <c r="C2311" i="2"/>
  <c r="B2311" i="2"/>
  <c r="A2311" i="2"/>
  <c r="H2310" i="2"/>
  <c r="G2310" i="2"/>
  <c r="F2310" i="2"/>
  <c r="E2310" i="2"/>
  <c r="D2310" i="2"/>
  <c r="C2310" i="2"/>
  <c r="B2310" i="2"/>
  <c r="A2310" i="2"/>
  <c r="H2309" i="2"/>
  <c r="G2309" i="2"/>
  <c r="F2309" i="2"/>
  <c r="E2309" i="2"/>
  <c r="D2309" i="2"/>
  <c r="C2309" i="2"/>
  <c r="B2309" i="2"/>
  <c r="A2309" i="2"/>
  <c r="H2308" i="2"/>
  <c r="G2308" i="2"/>
  <c r="F2308" i="2"/>
  <c r="E2308" i="2"/>
  <c r="D2308" i="2"/>
  <c r="C2308" i="2"/>
  <c r="B2308" i="2"/>
  <c r="A2308" i="2"/>
  <c r="H2307" i="2"/>
  <c r="G2307" i="2"/>
  <c r="F2307" i="2"/>
  <c r="E2307" i="2"/>
  <c r="D2307" i="2"/>
  <c r="C2307" i="2"/>
  <c r="B2307" i="2"/>
  <c r="A2307" i="2"/>
  <c r="H2306" i="2"/>
  <c r="G2306" i="2"/>
  <c r="F2306" i="2"/>
  <c r="E2306" i="2"/>
  <c r="D2306" i="2"/>
  <c r="C2306" i="2"/>
  <c r="B2306" i="2"/>
  <c r="A2306" i="2"/>
  <c r="H2305" i="2"/>
  <c r="G2305" i="2"/>
  <c r="F2305" i="2"/>
  <c r="E2305" i="2"/>
  <c r="D2305" i="2"/>
  <c r="C2305" i="2"/>
  <c r="B2305" i="2"/>
  <c r="A2305" i="2"/>
  <c r="H2304" i="2"/>
  <c r="G2304" i="2"/>
  <c r="F2304" i="2"/>
  <c r="E2304" i="2"/>
  <c r="D2304" i="2"/>
  <c r="C2304" i="2"/>
  <c r="B2304" i="2"/>
  <c r="A2304" i="2"/>
  <c r="H2303" i="2"/>
  <c r="G2303" i="2"/>
  <c r="F2303" i="2"/>
  <c r="E2303" i="2"/>
  <c r="D2303" i="2"/>
  <c r="C2303" i="2"/>
  <c r="B2303" i="2"/>
  <c r="A2303" i="2"/>
  <c r="H2302" i="2"/>
  <c r="G2302" i="2"/>
  <c r="F2302" i="2"/>
  <c r="E2302" i="2"/>
  <c r="D2302" i="2"/>
  <c r="C2302" i="2"/>
  <c r="B2302" i="2"/>
  <c r="A2302" i="2"/>
  <c r="H2301" i="2"/>
  <c r="G2301" i="2"/>
  <c r="F2301" i="2"/>
  <c r="E2301" i="2"/>
  <c r="D2301" i="2"/>
  <c r="C2301" i="2"/>
  <c r="B2301" i="2"/>
  <c r="A2301" i="2"/>
  <c r="H2300" i="2"/>
  <c r="G2300" i="2"/>
  <c r="F2300" i="2"/>
  <c r="E2300" i="2"/>
  <c r="D2300" i="2"/>
  <c r="C2300" i="2"/>
  <c r="B2300" i="2"/>
  <c r="A2300" i="2"/>
  <c r="H2299" i="2"/>
  <c r="G2299" i="2"/>
  <c r="F2299" i="2"/>
  <c r="E2299" i="2"/>
  <c r="D2299" i="2"/>
  <c r="C2299" i="2"/>
  <c r="B2299" i="2"/>
  <c r="A2299" i="2"/>
  <c r="H2298" i="2"/>
  <c r="G2298" i="2"/>
  <c r="F2298" i="2"/>
  <c r="E2298" i="2"/>
  <c r="D2298" i="2"/>
  <c r="C2298" i="2"/>
  <c r="B2298" i="2"/>
  <c r="A2298" i="2"/>
  <c r="H2297" i="2"/>
  <c r="G2297" i="2"/>
  <c r="F2297" i="2"/>
  <c r="E2297" i="2"/>
  <c r="D2297" i="2"/>
  <c r="C2297" i="2"/>
  <c r="B2297" i="2"/>
  <c r="A2297" i="2"/>
  <c r="H2296" i="2"/>
  <c r="G2296" i="2"/>
  <c r="F2296" i="2"/>
  <c r="E2296" i="2"/>
  <c r="D2296" i="2"/>
  <c r="C2296" i="2"/>
  <c r="B2296" i="2"/>
  <c r="A2296" i="2"/>
  <c r="H2295" i="2"/>
  <c r="G2295" i="2"/>
  <c r="F2295" i="2"/>
  <c r="E2295" i="2"/>
  <c r="D2295" i="2"/>
  <c r="C2295" i="2"/>
  <c r="B2295" i="2"/>
  <c r="A2295" i="2"/>
  <c r="H2294" i="2"/>
  <c r="G2294" i="2"/>
  <c r="F2294" i="2"/>
  <c r="E2294" i="2"/>
  <c r="D2294" i="2"/>
  <c r="C2294" i="2"/>
  <c r="B2294" i="2"/>
  <c r="A2294" i="2"/>
  <c r="H2293" i="2"/>
  <c r="G2293" i="2"/>
  <c r="F2293" i="2"/>
  <c r="E2293" i="2"/>
  <c r="D2293" i="2"/>
  <c r="C2293" i="2"/>
  <c r="B2293" i="2"/>
  <c r="A2293" i="2"/>
  <c r="H2292" i="2"/>
  <c r="G2292" i="2"/>
  <c r="F2292" i="2"/>
  <c r="E2292" i="2"/>
  <c r="D2292" i="2"/>
  <c r="C2292" i="2"/>
  <c r="B2292" i="2"/>
  <c r="A2292" i="2"/>
  <c r="H2291" i="2"/>
  <c r="G2291" i="2"/>
  <c r="F2291" i="2"/>
  <c r="E2291" i="2"/>
  <c r="D2291" i="2"/>
  <c r="C2291" i="2"/>
  <c r="B2291" i="2"/>
  <c r="A2291" i="2"/>
  <c r="H2290" i="2"/>
  <c r="G2290" i="2"/>
  <c r="F2290" i="2"/>
  <c r="E2290" i="2"/>
  <c r="D2290" i="2"/>
  <c r="C2290" i="2"/>
  <c r="B2290" i="2"/>
  <c r="A2290" i="2"/>
  <c r="H2289" i="2"/>
  <c r="G2289" i="2"/>
  <c r="F2289" i="2"/>
  <c r="E2289" i="2"/>
  <c r="D2289" i="2"/>
  <c r="C2289" i="2"/>
  <c r="B2289" i="2"/>
  <c r="A2289" i="2"/>
  <c r="H2288" i="2"/>
  <c r="G2288" i="2"/>
  <c r="F2288" i="2"/>
  <c r="E2288" i="2"/>
  <c r="D2288" i="2"/>
  <c r="C2288" i="2"/>
  <c r="B2288" i="2"/>
  <c r="A2288" i="2"/>
  <c r="H2287" i="2"/>
  <c r="G2287" i="2"/>
  <c r="F2287" i="2"/>
  <c r="E2287" i="2"/>
  <c r="D2287" i="2"/>
  <c r="C2287" i="2"/>
  <c r="B2287" i="2"/>
  <c r="A2287" i="2"/>
  <c r="H2286" i="2"/>
  <c r="G2286" i="2"/>
  <c r="F2286" i="2"/>
  <c r="E2286" i="2"/>
  <c r="D2286" i="2"/>
  <c r="C2286" i="2"/>
  <c r="B2286" i="2"/>
  <c r="A2286" i="2"/>
  <c r="H2285" i="2"/>
  <c r="G2285" i="2"/>
  <c r="F2285" i="2"/>
  <c r="E2285" i="2"/>
  <c r="D2285" i="2"/>
  <c r="C2285" i="2"/>
  <c r="B2285" i="2"/>
  <c r="A2285" i="2"/>
  <c r="H2284" i="2"/>
  <c r="G2284" i="2"/>
  <c r="F2284" i="2"/>
  <c r="E2284" i="2"/>
  <c r="D2284" i="2"/>
  <c r="C2284" i="2"/>
  <c r="B2284" i="2"/>
  <c r="A2284" i="2"/>
  <c r="H2283" i="2"/>
  <c r="G2283" i="2"/>
  <c r="F2283" i="2"/>
  <c r="E2283" i="2"/>
  <c r="D2283" i="2"/>
  <c r="C2283" i="2"/>
  <c r="B2283" i="2"/>
  <c r="A2283" i="2"/>
  <c r="H2282" i="2"/>
  <c r="G2282" i="2"/>
  <c r="F2282" i="2"/>
  <c r="E2282" i="2"/>
  <c r="D2282" i="2"/>
  <c r="C2282" i="2"/>
  <c r="B2282" i="2"/>
  <c r="A2282" i="2"/>
  <c r="H2281" i="2"/>
  <c r="G2281" i="2"/>
  <c r="F2281" i="2"/>
  <c r="E2281" i="2"/>
  <c r="D2281" i="2"/>
  <c r="C2281" i="2"/>
  <c r="B2281" i="2"/>
  <c r="A2281" i="2"/>
  <c r="H2280" i="2"/>
  <c r="G2280" i="2"/>
  <c r="F2280" i="2"/>
  <c r="E2280" i="2"/>
  <c r="D2280" i="2"/>
  <c r="C2280" i="2"/>
  <c r="B2280" i="2"/>
  <c r="A2280" i="2"/>
  <c r="H2279" i="2"/>
  <c r="G2279" i="2"/>
  <c r="F2279" i="2"/>
  <c r="E2279" i="2"/>
  <c r="D2279" i="2"/>
  <c r="C2279" i="2"/>
  <c r="B2279" i="2"/>
  <c r="A2279" i="2"/>
  <c r="H2278" i="2"/>
  <c r="G2278" i="2"/>
  <c r="F2278" i="2"/>
  <c r="E2278" i="2"/>
  <c r="D2278" i="2"/>
  <c r="C2278" i="2"/>
  <c r="B2278" i="2"/>
  <c r="A2278" i="2"/>
  <c r="H2277" i="2"/>
  <c r="G2277" i="2"/>
  <c r="F2277" i="2"/>
  <c r="E2277" i="2"/>
  <c r="D2277" i="2"/>
  <c r="C2277" i="2"/>
  <c r="B2277" i="2"/>
  <c r="A2277" i="2"/>
  <c r="H2276" i="2"/>
  <c r="G2276" i="2"/>
  <c r="F2276" i="2"/>
  <c r="E2276" i="2"/>
  <c r="D2276" i="2"/>
  <c r="C2276" i="2"/>
  <c r="B2276" i="2"/>
  <c r="A2276" i="2"/>
  <c r="H2275" i="2"/>
  <c r="G2275" i="2"/>
  <c r="F2275" i="2"/>
  <c r="E2275" i="2"/>
  <c r="D2275" i="2"/>
  <c r="C2275" i="2"/>
  <c r="B2275" i="2"/>
  <c r="A2275" i="2"/>
  <c r="H2274" i="2"/>
  <c r="G2274" i="2"/>
  <c r="F2274" i="2"/>
  <c r="E2274" i="2"/>
  <c r="D2274" i="2"/>
  <c r="C2274" i="2"/>
  <c r="B2274" i="2"/>
  <c r="A2274" i="2"/>
  <c r="H2273" i="2"/>
  <c r="G2273" i="2"/>
  <c r="F2273" i="2"/>
  <c r="E2273" i="2"/>
  <c r="D2273" i="2"/>
  <c r="C2273" i="2"/>
  <c r="B2273" i="2"/>
  <c r="A2273" i="2"/>
  <c r="H2272" i="2"/>
  <c r="G2272" i="2"/>
  <c r="F2272" i="2"/>
  <c r="E2272" i="2"/>
  <c r="D2272" i="2"/>
  <c r="C2272" i="2"/>
  <c r="B2272" i="2"/>
  <c r="A2272" i="2"/>
  <c r="H2271" i="2"/>
  <c r="G2271" i="2"/>
  <c r="F2271" i="2"/>
  <c r="E2271" i="2"/>
  <c r="D2271" i="2"/>
  <c r="C2271" i="2"/>
  <c r="B2271" i="2"/>
  <c r="A2271" i="2"/>
  <c r="H2270" i="2"/>
  <c r="G2270" i="2"/>
  <c r="F2270" i="2"/>
  <c r="E2270" i="2"/>
  <c r="D2270" i="2"/>
  <c r="C2270" i="2"/>
  <c r="B2270" i="2"/>
  <c r="A2270" i="2"/>
  <c r="H2269" i="2"/>
  <c r="G2269" i="2"/>
  <c r="F2269" i="2"/>
  <c r="E2269" i="2"/>
  <c r="D2269" i="2"/>
  <c r="C2269" i="2"/>
  <c r="B2269" i="2"/>
  <c r="A2269" i="2"/>
  <c r="H2268" i="2"/>
  <c r="G2268" i="2"/>
  <c r="F2268" i="2"/>
  <c r="E2268" i="2"/>
  <c r="D2268" i="2"/>
  <c r="C2268" i="2"/>
  <c r="B2268" i="2"/>
  <c r="A2268" i="2"/>
  <c r="H2267" i="2"/>
  <c r="G2267" i="2"/>
  <c r="F2267" i="2"/>
  <c r="E2267" i="2"/>
  <c r="D2267" i="2"/>
  <c r="C2267" i="2"/>
  <c r="B2267" i="2"/>
  <c r="A2267" i="2"/>
  <c r="H2266" i="2"/>
  <c r="G2266" i="2"/>
  <c r="F2266" i="2"/>
  <c r="E2266" i="2"/>
  <c r="D2266" i="2"/>
  <c r="C2266" i="2"/>
  <c r="B2266" i="2"/>
  <c r="A2266" i="2"/>
  <c r="H2265" i="2"/>
  <c r="G2265" i="2"/>
  <c r="F2265" i="2"/>
  <c r="E2265" i="2"/>
  <c r="D2265" i="2"/>
  <c r="C2265" i="2"/>
  <c r="B2265" i="2"/>
  <c r="A2265" i="2"/>
  <c r="H2264" i="2"/>
  <c r="G2264" i="2"/>
  <c r="F2264" i="2"/>
  <c r="E2264" i="2"/>
  <c r="D2264" i="2"/>
  <c r="C2264" i="2"/>
  <c r="B2264" i="2"/>
  <c r="A2264" i="2"/>
  <c r="H2263" i="2"/>
  <c r="G2263" i="2"/>
  <c r="F2263" i="2"/>
  <c r="E2263" i="2"/>
  <c r="D2263" i="2"/>
  <c r="C2263" i="2"/>
  <c r="B2263" i="2"/>
  <c r="A2263" i="2"/>
  <c r="H2262" i="2"/>
  <c r="G2262" i="2"/>
  <c r="F2262" i="2"/>
  <c r="E2262" i="2"/>
  <c r="D2262" i="2"/>
  <c r="C2262" i="2"/>
  <c r="B2262" i="2"/>
  <c r="A2262" i="2"/>
  <c r="H2261" i="2"/>
  <c r="G2261" i="2"/>
  <c r="F2261" i="2"/>
  <c r="E2261" i="2"/>
  <c r="D2261" i="2"/>
  <c r="C2261" i="2"/>
  <c r="B2261" i="2"/>
  <c r="A2261" i="2"/>
  <c r="H2260" i="2"/>
  <c r="G2260" i="2"/>
  <c r="F2260" i="2"/>
  <c r="E2260" i="2"/>
  <c r="D2260" i="2"/>
  <c r="C2260" i="2"/>
  <c r="B2260" i="2"/>
  <c r="A2260" i="2"/>
  <c r="H2259" i="2"/>
  <c r="G2259" i="2"/>
  <c r="F2259" i="2"/>
  <c r="E2259" i="2"/>
  <c r="D2259" i="2"/>
  <c r="C2259" i="2"/>
  <c r="B2259" i="2"/>
  <c r="A2259" i="2"/>
  <c r="H2258" i="2"/>
  <c r="G2258" i="2"/>
  <c r="F2258" i="2"/>
  <c r="E2258" i="2"/>
  <c r="D2258" i="2"/>
  <c r="C2258" i="2"/>
  <c r="B2258" i="2"/>
  <c r="A2258" i="2"/>
  <c r="H2257" i="2"/>
  <c r="G2257" i="2"/>
  <c r="F2257" i="2"/>
  <c r="E2257" i="2"/>
  <c r="D2257" i="2"/>
  <c r="C2257" i="2"/>
  <c r="B2257" i="2"/>
  <c r="A2257" i="2"/>
  <c r="H2256" i="2"/>
  <c r="G2256" i="2"/>
  <c r="F2256" i="2"/>
  <c r="E2256" i="2"/>
  <c r="D2256" i="2"/>
  <c r="C2256" i="2"/>
  <c r="B2256" i="2"/>
  <c r="A2256" i="2"/>
  <c r="H2255" i="2"/>
  <c r="G2255" i="2"/>
  <c r="F2255" i="2"/>
  <c r="E2255" i="2"/>
  <c r="D2255" i="2"/>
  <c r="C2255" i="2"/>
  <c r="B2255" i="2"/>
  <c r="A2255" i="2"/>
  <c r="H2254" i="2"/>
  <c r="G2254" i="2"/>
  <c r="F2254" i="2"/>
  <c r="E2254" i="2"/>
  <c r="D2254" i="2"/>
  <c r="C2254" i="2"/>
  <c r="B2254" i="2"/>
  <c r="A2254" i="2"/>
  <c r="H2253" i="2"/>
  <c r="G2253" i="2"/>
  <c r="F2253" i="2"/>
  <c r="E2253" i="2"/>
  <c r="D2253" i="2"/>
  <c r="C2253" i="2"/>
  <c r="B2253" i="2"/>
  <c r="A2253" i="2"/>
  <c r="H2252" i="2"/>
  <c r="G2252" i="2"/>
  <c r="F2252" i="2"/>
  <c r="E2252" i="2"/>
  <c r="D2252" i="2"/>
  <c r="C2252" i="2"/>
  <c r="B2252" i="2"/>
  <c r="A2252" i="2"/>
  <c r="H2251" i="2"/>
  <c r="G2251" i="2"/>
  <c r="F2251" i="2"/>
  <c r="E2251" i="2"/>
  <c r="D2251" i="2"/>
  <c r="C2251" i="2"/>
  <c r="B2251" i="2"/>
  <c r="A2251" i="2"/>
  <c r="H2250" i="2"/>
  <c r="G2250" i="2"/>
  <c r="F2250" i="2"/>
  <c r="E2250" i="2"/>
  <c r="D2250" i="2"/>
  <c r="C2250" i="2"/>
  <c r="B2250" i="2"/>
  <c r="A2250" i="2"/>
  <c r="H2249" i="2"/>
  <c r="G2249" i="2"/>
  <c r="F2249" i="2"/>
  <c r="E2249" i="2"/>
  <c r="D2249" i="2"/>
  <c r="C2249" i="2"/>
  <c r="B2249" i="2"/>
  <c r="A2249" i="2"/>
  <c r="H2248" i="2"/>
  <c r="G2248" i="2"/>
  <c r="F2248" i="2"/>
  <c r="E2248" i="2"/>
  <c r="D2248" i="2"/>
  <c r="C2248" i="2"/>
  <c r="B2248" i="2"/>
  <c r="A2248" i="2"/>
  <c r="H2247" i="2"/>
  <c r="G2247" i="2"/>
  <c r="F2247" i="2"/>
  <c r="E2247" i="2"/>
  <c r="D2247" i="2"/>
  <c r="C2247" i="2"/>
  <c r="B2247" i="2"/>
  <c r="A2247" i="2"/>
  <c r="H2246" i="2"/>
  <c r="G2246" i="2"/>
  <c r="F2246" i="2"/>
  <c r="E2246" i="2"/>
  <c r="D2246" i="2"/>
  <c r="C2246" i="2"/>
  <c r="B2246" i="2"/>
  <c r="A2246" i="2"/>
  <c r="H2245" i="2"/>
  <c r="G2245" i="2"/>
  <c r="F2245" i="2"/>
  <c r="E2245" i="2"/>
  <c r="D2245" i="2"/>
  <c r="C2245" i="2"/>
  <c r="B2245" i="2"/>
  <c r="A2245" i="2"/>
  <c r="H2244" i="2"/>
  <c r="G2244" i="2"/>
  <c r="F2244" i="2"/>
  <c r="E2244" i="2"/>
  <c r="D2244" i="2"/>
  <c r="C2244" i="2"/>
  <c r="B2244" i="2"/>
  <c r="A2244" i="2"/>
  <c r="H2243" i="2"/>
  <c r="G2243" i="2"/>
  <c r="F2243" i="2"/>
  <c r="E2243" i="2"/>
  <c r="D2243" i="2"/>
  <c r="C2243" i="2"/>
  <c r="B2243" i="2"/>
  <c r="A2243" i="2"/>
  <c r="H2242" i="2"/>
  <c r="G2242" i="2"/>
  <c r="F2242" i="2"/>
  <c r="E2242" i="2"/>
  <c r="D2242" i="2"/>
  <c r="C2242" i="2"/>
  <c r="B2242" i="2"/>
  <c r="A2242" i="2"/>
  <c r="H2241" i="2"/>
  <c r="G2241" i="2"/>
  <c r="F2241" i="2"/>
  <c r="E2241" i="2"/>
  <c r="D2241" i="2"/>
  <c r="C2241" i="2"/>
  <c r="B2241" i="2"/>
  <c r="A2241" i="2"/>
  <c r="H2240" i="2"/>
  <c r="G2240" i="2"/>
  <c r="F2240" i="2"/>
  <c r="E2240" i="2"/>
  <c r="D2240" i="2"/>
  <c r="C2240" i="2"/>
  <c r="B2240" i="2"/>
  <c r="A2240" i="2"/>
  <c r="H2239" i="2"/>
  <c r="G2239" i="2"/>
  <c r="F2239" i="2"/>
  <c r="E2239" i="2"/>
  <c r="D2239" i="2"/>
  <c r="C2239" i="2"/>
  <c r="B2239" i="2"/>
  <c r="A2239" i="2"/>
  <c r="H2238" i="2"/>
  <c r="G2238" i="2"/>
  <c r="F2238" i="2"/>
  <c r="E2238" i="2"/>
  <c r="D2238" i="2"/>
  <c r="C2238" i="2"/>
  <c r="B2238" i="2"/>
  <c r="A2238" i="2"/>
  <c r="H2237" i="2"/>
  <c r="G2237" i="2"/>
  <c r="F2237" i="2"/>
  <c r="E2237" i="2"/>
  <c r="D2237" i="2"/>
  <c r="C2237" i="2"/>
  <c r="B2237" i="2"/>
  <c r="A2237" i="2"/>
  <c r="H2236" i="2"/>
  <c r="G2236" i="2"/>
  <c r="F2236" i="2"/>
  <c r="E2236" i="2"/>
  <c r="D2236" i="2"/>
  <c r="C2236" i="2"/>
  <c r="B2236" i="2"/>
  <c r="A2236" i="2"/>
  <c r="H2235" i="2"/>
  <c r="G2235" i="2"/>
  <c r="F2235" i="2"/>
  <c r="E2235" i="2"/>
  <c r="D2235" i="2"/>
  <c r="C2235" i="2"/>
  <c r="B2235" i="2"/>
  <c r="A2235" i="2"/>
  <c r="H2234" i="2"/>
  <c r="G2234" i="2"/>
  <c r="F2234" i="2"/>
  <c r="E2234" i="2"/>
  <c r="D2234" i="2"/>
  <c r="C2234" i="2"/>
  <c r="B2234" i="2"/>
  <c r="A2234" i="2"/>
  <c r="H2233" i="2"/>
  <c r="G2233" i="2"/>
  <c r="F2233" i="2"/>
  <c r="E2233" i="2"/>
  <c r="D2233" i="2"/>
  <c r="C2233" i="2"/>
  <c r="B2233" i="2"/>
  <c r="A2233" i="2"/>
  <c r="H2232" i="2"/>
  <c r="G2232" i="2"/>
  <c r="F2232" i="2"/>
  <c r="E2232" i="2"/>
  <c r="D2232" i="2"/>
  <c r="C2232" i="2"/>
  <c r="B2232" i="2"/>
  <c r="A2232" i="2"/>
  <c r="H2231" i="2"/>
  <c r="G2231" i="2"/>
  <c r="F2231" i="2"/>
  <c r="E2231" i="2"/>
  <c r="D2231" i="2"/>
  <c r="C2231" i="2"/>
  <c r="B2231" i="2"/>
  <c r="A2231" i="2"/>
  <c r="H2230" i="2"/>
  <c r="G2230" i="2"/>
  <c r="F2230" i="2"/>
  <c r="E2230" i="2"/>
  <c r="D2230" i="2"/>
  <c r="C2230" i="2"/>
  <c r="B2230" i="2"/>
  <c r="A2230" i="2"/>
  <c r="H2229" i="2"/>
  <c r="G2229" i="2"/>
  <c r="F2229" i="2"/>
  <c r="E2229" i="2"/>
  <c r="D2229" i="2"/>
  <c r="C2229" i="2"/>
  <c r="B2229" i="2"/>
  <c r="A2229" i="2"/>
  <c r="H2228" i="2"/>
  <c r="G2228" i="2"/>
  <c r="F2228" i="2"/>
  <c r="E2228" i="2"/>
  <c r="D2228" i="2"/>
  <c r="C2228" i="2"/>
  <c r="B2228" i="2"/>
  <c r="A2228" i="2"/>
  <c r="H2227" i="2"/>
  <c r="G2227" i="2"/>
  <c r="F2227" i="2"/>
  <c r="E2227" i="2"/>
  <c r="D2227" i="2"/>
  <c r="C2227" i="2"/>
  <c r="B2227" i="2"/>
  <c r="A2227" i="2"/>
  <c r="H2226" i="2"/>
  <c r="G2226" i="2"/>
  <c r="F2226" i="2"/>
  <c r="E2226" i="2"/>
  <c r="D2226" i="2"/>
  <c r="C2226" i="2"/>
  <c r="B2226" i="2"/>
  <c r="A2226" i="2"/>
  <c r="H2225" i="2"/>
  <c r="G2225" i="2"/>
  <c r="F2225" i="2"/>
  <c r="E2225" i="2"/>
  <c r="D2225" i="2"/>
  <c r="C2225" i="2"/>
  <c r="B2225" i="2"/>
  <c r="A2225" i="2"/>
  <c r="H2224" i="2"/>
  <c r="G2224" i="2"/>
  <c r="F2224" i="2"/>
  <c r="E2224" i="2"/>
  <c r="D2224" i="2"/>
  <c r="C2224" i="2"/>
  <c r="B2224" i="2"/>
  <c r="A2224" i="2"/>
  <c r="H2223" i="2"/>
  <c r="G2223" i="2"/>
  <c r="F2223" i="2"/>
  <c r="E2223" i="2"/>
  <c r="D2223" i="2"/>
  <c r="C2223" i="2"/>
  <c r="B2223" i="2"/>
  <c r="A2223" i="2"/>
  <c r="H2222" i="2"/>
  <c r="G2222" i="2"/>
  <c r="F2222" i="2"/>
  <c r="E2222" i="2"/>
  <c r="D2222" i="2"/>
  <c r="C2222" i="2"/>
  <c r="B2222" i="2"/>
  <c r="A2222" i="2"/>
  <c r="H2221" i="2"/>
  <c r="G2221" i="2"/>
  <c r="F2221" i="2"/>
  <c r="E2221" i="2"/>
  <c r="D2221" i="2"/>
  <c r="C2221" i="2"/>
  <c r="B2221" i="2"/>
  <c r="A2221" i="2"/>
  <c r="H2220" i="2"/>
  <c r="G2220" i="2"/>
  <c r="F2220" i="2"/>
  <c r="E2220" i="2"/>
  <c r="D2220" i="2"/>
  <c r="C2220" i="2"/>
  <c r="B2220" i="2"/>
  <c r="A2220" i="2"/>
  <c r="H2219" i="2"/>
  <c r="G2219" i="2"/>
  <c r="F2219" i="2"/>
  <c r="E2219" i="2"/>
  <c r="D2219" i="2"/>
  <c r="C2219" i="2"/>
  <c r="B2219" i="2"/>
  <c r="A2219" i="2"/>
  <c r="H2218" i="2"/>
  <c r="G2218" i="2"/>
  <c r="F2218" i="2"/>
  <c r="E2218" i="2"/>
  <c r="D2218" i="2"/>
  <c r="C2218" i="2"/>
  <c r="B2218" i="2"/>
  <c r="A2218" i="2"/>
  <c r="H2217" i="2"/>
  <c r="G2217" i="2"/>
  <c r="F2217" i="2"/>
  <c r="E2217" i="2"/>
  <c r="D2217" i="2"/>
  <c r="C2217" i="2"/>
  <c r="B2217" i="2"/>
  <c r="A2217" i="2"/>
  <c r="H2216" i="2"/>
  <c r="G2216" i="2"/>
  <c r="F2216" i="2"/>
  <c r="E2216" i="2"/>
  <c r="D2216" i="2"/>
  <c r="C2216" i="2"/>
  <c r="B2216" i="2"/>
  <c r="A2216" i="2"/>
  <c r="H2215" i="2"/>
  <c r="G2215" i="2"/>
  <c r="F2215" i="2"/>
  <c r="E2215" i="2"/>
  <c r="D2215" i="2"/>
  <c r="C2215" i="2"/>
  <c r="B2215" i="2"/>
  <c r="A2215" i="2"/>
  <c r="H2214" i="2"/>
  <c r="G2214" i="2"/>
  <c r="F2214" i="2"/>
  <c r="E2214" i="2"/>
  <c r="D2214" i="2"/>
  <c r="C2214" i="2"/>
  <c r="B2214" i="2"/>
  <c r="A2214" i="2"/>
  <c r="H2213" i="2"/>
  <c r="G2213" i="2"/>
  <c r="F2213" i="2"/>
  <c r="E2213" i="2"/>
  <c r="D2213" i="2"/>
  <c r="C2213" i="2"/>
  <c r="B2213" i="2"/>
  <c r="A2213" i="2"/>
  <c r="H2212" i="2"/>
  <c r="G2212" i="2"/>
  <c r="F2212" i="2"/>
  <c r="E2212" i="2"/>
  <c r="D2212" i="2"/>
  <c r="C2212" i="2"/>
  <c r="B2212" i="2"/>
  <c r="A2212" i="2"/>
  <c r="H2211" i="2"/>
  <c r="G2211" i="2"/>
  <c r="F2211" i="2"/>
  <c r="E2211" i="2"/>
  <c r="D2211" i="2"/>
  <c r="C2211" i="2"/>
  <c r="B2211" i="2"/>
  <c r="A2211" i="2"/>
  <c r="H2210" i="2"/>
  <c r="G2210" i="2"/>
  <c r="F2210" i="2"/>
  <c r="E2210" i="2"/>
  <c r="D2210" i="2"/>
  <c r="C2210" i="2"/>
  <c r="B2210" i="2"/>
  <c r="A2210" i="2"/>
  <c r="H2209" i="2"/>
  <c r="G2209" i="2"/>
  <c r="F2209" i="2"/>
  <c r="E2209" i="2"/>
  <c r="D2209" i="2"/>
  <c r="C2209" i="2"/>
  <c r="B2209" i="2"/>
  <c r="A2209" i="2"/>
  <c r="H2208" i="2"/>
  <c r="G2208" i="2"/>
  <c r="F2208" i="2"/>
  <c r="E2208" i="2"/>
  <c r="D2208" i="2"/>
  <c r="C2208" i="2"/>
  <c r="B2208" i="2"/>
  <c r="A2208" i="2"/>
  <c r="H2207" i="2"/>
  <c r="G2207" i="2"/>
  <c r="F2207" i="2"/>
  <c r="E2207" i="2"/>
  <c r="D2207" i="2"/>
  <c r="C2207" i="2"/>
  <c r="B2207" i="2"/>
  <c r="A2207" i="2"/>
  <c r="H2206" i="2"/>
  <c r="G2206" i="2"/>
  <c r="F2206" i="2"/>
  <c r="E2206" i="2"/>
  <c r="D2206" i="2"/>
  <c r="C2206" i="2"/>
  <c r="B2206" i="2"/>
  <c r="A2206" i="2"/>
  <c r="H2205" i="2"/>
  <c r="G2205" i="2"/>
  <c r="F2205" i="2"/>
  <c r="E2205" i="2"/>
  <c r="D2205" i="2"/>
  <c r="C2205" i="2"/>
  <c r="B2205" i="2"/>
  <c r="A2205" i="2"/>
  <c r="H2204" i="2"/>
  <c r="G2204" i="2"/>
  <c r="F2204" i="2"/>
  <c r="E2204" i="2"/>
  <c r="D2204" i="2"/>
  <c r="C2204" i="2"/>
  <c r="B2204" i="2"/>
  <c r="A2204" i="2"/>
  <c r="H2203" i="2"/>
  <c r="G2203" i="2"/>
  <c r="F2203" i="2"/>
  <c r="E2203" i="2"/>
  <c r="D2203" i="2"/>
  <c r="C2203" i="2"/>
  <c r="B2203" i="2"/>
  <c r="A2203" i="2"/>
  <c r="H2202" i="2"/>
  <c r="G2202" i="2"/>
  <c r="F2202" i="2"/>
  <c r="E2202" i="2"/>
  <c r="D2202" i="2"/>
  <c r="C2202" i="2"/>
  <c r="B2202" i="2"/>
  <c r="A2202" i="2"/>
  <c r="H2201" i="2"/>
  <c r="G2201" i="2"/>
  <c r="F2201" i="2"/>
  <c r="E2201" i="2"/>
  <c r="D2201" i="2"/>
  <c r="C2201" i="2"/>
  <c r="B2201" i="2"/>
  <c r="A2201" i="2"/>
  <c r="H2200" i="2"/>
  <c r="G2200" i="2"/>
  <c r="F2200" i="2"/>
  <c r="E2200" i="2"/>
  <c r="D2200" i="2"/>
  <c r="C2200" i="2"/>
  <c r="B2200" i="2"/>
  <c r="A2200" i="2"/>
  <c r="H2199" i="2"/>
  <c r="G2199" i="2"/>
  <c r="F2199" i="2"/>
  <c r="E2199" i="2"/>
  <c r="D2199" i="2"/>
  <c r="C2199" i="2"/>
  <c r="B2199" i="2"/>
  <c r="A2199" i="2"/>
  <c r="H2198" i="2"/>
  <c r="G2198" i="2"/>
  <c r="F2198" i="2"/>
  <c r="E2198" i="2"/>
  <c r="D2198" i="2"/>
  <c r="C2198" i="2"/>
  <c r="B2198" i="2"/>
  <c r="A2198" i="2"/>
  <c r="H2197" i="2"/>
  <c r="G2197" i="2"/>
  <c r="F2197" i="2"/>
  <c r="E2197" i="2"/>
  <c r="D2197" i="2"/>
  <c r="C2197" i="2"/>
  <c r="B2197" i="2"/>
  <c r="A2197" i="2"/>
  <c r="H2196" i="2"/>
  <c r="G2196" i="2"/>
  <c r="F2196" i="2"/>
  <c r="E2196" i="2"/>
  <c r="D2196" i="2"/>
  <c r="C2196" i="2"/>
  <c r="B2196" i="2"/>
  <c r="A2196" i="2"/>
  <c r="H2195" i="2"/>
  <c r="G2195" i="2"/>
  <c r="F2195" i="2"/>
  <c r="E2195" i="2"/>
  <c r="D2195" i="2"/>
  <c r="C2195" i="2"/>
  <c r="B2195" i="2"/>
  <c r="A2195" i="2"/>
  <c r="H2194" i="2"/>
  <c r="G2194" i="2"/>
  <c r="F2194" i="2"/>
  <c r="E2194" i="2"/>
  <c r="D2194" i="2"/>
  <c r="C2194" i="2"/>
  <c r="B2194" i="2"/>
  <c r="A2194" i="2"/>
  <c r="H2193" i="2"/>
  <c r="G2193" i="2"/>
  <c r="F2193" i="2"/>
  <c r="E2193" i="2"/>
  <c r="D2193" i="2"/>
  <c r="C2193" i="2"/>
  <c r="B2193" i="2"/>
  <c r="A2193" i="2"/>
  <c r="H2192" i="2"/>
  <c r="G2192" i="2"/>
  <c r="F2192" i="2"/>
  <c r="E2192" i="2"/>
  <c r="D2192" i="2"/>
  <c r="C2192" i="2"/>
  <c r="B2192" i="2"/>
  <c r="A2192" i="2"/>
  <c r="H2191" i="2"/>
  <c r="G2191" i="2"/>
  <c r="F2191" i="2"/>
  <c r="E2191" i="2"/>
  <c r="D2191" i="2"/>
  <c r="C2191" i="2"/>
  <c r="B2191" i="2"/>
  <c r="A2191" i="2"/>
  <c r="H2190" i="2"/>
  <c r="G2190" i="2"/>
  <c r="F2190" i="2"/>
  <c r="E2190" i="2"/>
  <c r="D2190" i="2"/>
  <c r="C2190" i="2"/>
  <c r="B2190" i="2"/>
  <c r="A2190" i="2"/>
  <c r="H2189" i="2"/>
  <c r="G2189" i="2"/>
  <c r="F2189" i="2"/>
  <c r="E2189" i="2"/>
  <c r="D2189" i="2"/>
  <c r="C2189" i="2"/>
  <c r="B2189" i="2"/>
  <c r="A2189" i="2"/>
  <c r="H2188" i="2"/>
  <c r="G2188" i="2"/>
  <c r="F2188" i="2"/>
  <c r="E2188" i="2"/>
  <c r="D2188" i="2"/>
  <c r="C2188" i="2"/>
  <c r="B2188" i="2"/>
  <c r="A2188" i="2"/>
  <c r="H2187" i="2"/>
  <c r="G2187" i="2"/>
  <c r="F2187" i="2"/>
  <c r="E2187" i="2"/>
  <c r="D2187" i="2"/>
  <c r="C2187" i="2"/>
  <c r="B2187" i="2"/>
  <c r="A2187" i="2"/>
  <c r="H2186" i="2"/>
  <c r="G2186" i="2"/>
  <c r="F2186" i="2"/>
  <c r="E2186" i="2"/>
  <c r="D2186" i="2"/>
  <c r="C2186" i="2"/>
  <c r="B2186" i="2"/>
  <c r="A2186" i="2"/>
  <c r="H2185" i="2"/>
  <c r="G2185" i="2"/>
  <c r="F2185" i="2"/>
  <c r="E2185" i="2"/>
  <c r="D2185" i="2"/>
  <c r="C2185" i="2"/>
  <c r="B2185" i="2"/>
  <c r="A2185" i="2"/>
  <c r="H2184" i="2"/>
  <c r="G2184" i="2"/>
  <c r="F2184" i="2"/>
  <c r="E2184" i="2"/>
  <c r="D2184" i="2"/>
  <c r="C2184" i="2"/>
  <c r="B2184" i="2"/>
  <c r="A2184" i="2"/>
  <c r="H2183" i="2"/>
  <c r="G2183" i="2"/>
  <c r="F2183" i="2"/>
  <c r="E2183" i="2"/>
  <c r="D2183" i="2"/>
  <c r="C2183" i="2"/>
  <c r="B2183" i="2"/>
  <c r="A2183" i="2"/>
  <c r="H2182" i="2"/>
  <c r="G2182" i="2"/>
  <c r="F2182" i="2"/>
  <c r="E2182" i="2"/>
  <c r="D2182" i="2"/>
  <c r="C2182" i="2"/>
  <c r="B2182" i="2"/>
  <c r="A2182" i="2"/>
  <c r="H2181" i="2"/>
  <c r="G2181" i="2"/>
  <c r="F2181" i="2"/>
  <c r="E2181" i="2"/>
  <c r="D2181" i="2"/>
  <c r="C2181" i="2"/>
  <c r="B2181" i="2"/>
  <c r="A2181" i="2"/>
  <c r="H2180" i="2"/>
  <c r="G2180" i="2"/>
  <c r="F2180" i="2"/>
  <c r="E2180" i="2"/>
  <c r="D2180" i="2"/>
  <c r="C2180" i="2"/>
  <c r="B2180" i="2"/>
  <c r="A2180" i="2"/>
  <c r="H2179" i="2"/>
  <c r="G2179" i="2"/>
  <c r="F2179" i="2"/>
  <c r="E2179" i="2"/>
  <c r="D2179" i="2"/>
  <c r="C2179" i="2"/>
  <c r="B2179" i="2"/>
  <c r="A2179" i="2"/>
  <c r="H2178" i="2"/>
  <c r="G2178" i="2"/>
  <c r="F2178" i="2"/>
  <c r="E2178" i="2"/>
  <c r="D2178" i="2"/>
  <c r="C2178" i="2"/>
  <c r="B2178" i="2"/>
  <c r="A2178" i="2"/>
  <c r="H2177" i="2"/>
  <c r="G2177" i="2"/>
  <c r="F2177" i="2"/>
  <c r="E2177" i="2"/>
  <c r="D2177" i="2"/>
  <c r="C2177" i="2"/>
  <c r="B2177" i="2"/>
  <c r="A2177" i="2"/>
  <c r="H2176" i="2"/>
  <c r="G2176" i="2"/>
  <c r="F2176" i="2"/>
  <c r="E2176" i="2"/>
  <c r="D2176" i="2"/>
  <c r="C2176" i="2"/>
  <c r="B2176" i="2"/>
  <c r="A2176" i="2"/>
  <c r="H2175" i="2"/>
  <c r="G2175" i="2"/>
  <c r="F2175" i="2"/>
  <c r="E2175" i="2"/>
  <c r="D2175" i="2"/>
  <c r="C2175" i="2"/>
  <c r="B2175" i="2"/>
  <c r="A2175" i="2"/>
  <c r="H2174" i="2"/>
  <c r="G2174" i="2"/>
  <c r="F2174" i="2"/>
  <c r="E2174" i="2"/>
  <c r="D2174" i="2"/>
  <c r="C2174" i="2"/>
  <c r="B2174" i="2"/>
  <c r="A2174" i="2"/>
  <c r="H2173" i="2"/>
  <c r="G2173" i="2"/>
  <c r="F2173" i="2"/>
  <c r="E2173" i="2"/>
  <c r="D2173" i="2"/>
  <c r="C2173" i="2"/>
  <c r="B2173" i="2"/>
  <c r="A2173" i="2"/>
  <c r="H2172" i="2"/>
  <c r="G2172" i="2"/>
  <c r="F2172" i="2"/>
  <c r="E2172" i="2"/>
  <c r="D2172" i="2"/>
  <c r="C2172" i="2"/>
  <c r="B2172" i="2"/>
  <c r="A2172" i="2"/>
  <c r="H2171" i="2"/>
  <c r="G2171" i="2"/>
  <c r="F2171" i="2"/>
  <c r="E2171" i="2"/>
  <c r="D2171" i="2"/>
  <c r="C2171" i="2"/>
  <c r="B2171" i="2"/>
  <c r="A2171" i="2"/>
  <c r="H2170" i="2"/>
  <c r="G2170" i="2"/>
  <c r="F2170" i="2"/>
  <c r="E2170" i="2"/>
  <c r="D2170" i="2"/>
  <c r="C2170" i="2"/>
  <c r="B2170" i="2"/>
  <c r="A2170" i="2"/>
  <c r="H2169" i="2"/>
  <c r="G2169" i="2"/>
  <c r="F2169" i="2"/>
  <c r="E2169" i="2"/>
  <c r="D2169" i="2"/>
  <c r="C2169" i="2"/>
  <c r="B2169" i="2"/>
  <c r="A2169" i="2"/>
  <c r="H2168" i="2"/>
  <c r="G2168" i="2"/>
  <c r="F2168" i="2"/>
  <c r="E2168" i="2"/>
  <c r="D2168" i="2"/>
  <c r="C2168" i="2"/>
  <c r="B2168" i="2"/>
  <c r="A2168" i="2"/>
  <c r="H2167" i="2"/>
  <c r="G2167" i="2"/>
  <c r="F2167" i="2"/>
  <c r="E2167" i="2"/>
  <c r="D2167" i="2"/>
  <c r="C2167" i="2"/>
  <c r="B2167" i="2"/>
  <c r="A2167" i="2"/>
  <c r="H2166" i="2"/>
  <c r="G2166" i="2"/>
  <c r="F2166" i="2"/>
  <c r="E2166" i="2"/>
  <c r="D2166" i="2"/>
  <c r="C2166" i="2"/>
  <c r="B2166" i="2"/>
  <c r="A2166" i="2"/>
  <c r="H2165" i="2"/>
  <c r="G2165" i="2"/>
  <c r="F2165" i="2"/>
  <c r="E2165" i="2"/>
  <c r="D2165" i="2"/>
  <c r="C2165" i="2"/>
  <c r="B2165" i="2"/>
  <c r="A2165" i="2"/>
  <c r="H2164" i="2"/>
  <c r="G2164" i="2"/>
  <c r="F2164" i="2"/>
  <c r="E2164" i="2"/>
  <c r="D2164" i="2"/>
  <c r="C2164" i="2"/>
  <c r="B2164" i="2"/>
  <c r="A2164" i="2"/>
  <c r="H2163" i="2"/>
  <c r="G2163" i="2"/>
  <c r="F2163" i="2"/>
  <c r="E2163" i="2"/>
  <c r="D2163" i="2"/>
  <c r="C2163" i="2"/>
  <c r="B2163" i="2"/>
  <c r="A2163" i="2"/>
  <c r="H2162" i="2"/>
  <c r="G2162" i="2"/>
  <c r="F2162" i="2"/>
  <c r="E2162" i="2"/>
  <c r="D2162" i="2"/>
  <c r="C2162" i="2"/>
  <c r="B2162" i="2"/>
  <c r="A2162" i="2"/>
  <c r="H2161" i="2"/>
  <c r="G2161" i="2"/>
  <c r="F2161" i="2"/>
  <c r="E2161" i="2"/>
  <c r="D2161" i="2"/>
  <c r="C2161" i="2"/>
  <c r="B2161" i="2"/>
  <c r="A2161" i="2"/>
  <c r="H2160" i="2"/>
  <c r="G2160" i="2"/>
  <c r="F2160" i="2"/>
  <c r="E2160" i="2"/>
  <c r="D2160" i="2"/>
  <c r="C2160" i="2"/>
  <c r="B2160" i="2"/>
  <c r="A2160" i="2"/>
  <c r="H2159" i="2"/>
  <c r="G2159" i="2"/>
  <c r="F2159" i="2"/>
  <c r="E2159" i="2"/>
  <c r="D2159" i="2"/>
  <c r="C2159" i="2"/>
  <c r="B2159" i="2"/>
  <c r="A2159" i="2"/>
  <c r="H2158" i="2"/>
  <c r="G2158" i="2"/>
  <c r="F2158" i="2"/>
  <c r="E2158" i="2"/>
  <c r="D2158" i="2"/>
  <c r="C2158" i="2"/>
  <c r="B2158" i="2"/>
  <c r="A2158" i="2"/>
  <c r="H2157" i="2"/>
  <c r="G2157" i="2"/>
  <c r="F2157" i="2"/>
  <c r="E2157" i="2"/>
  <c r="D2157" i="2"/>
  <c r="C2157" i="2"/>
  <c r="B2157" i="2"/>
  <c r="A2157" i="2"/>
  <c r="H2156" i="2"/>
  <c r="G2156" i="2"/>
  <c r="F2156" i="2"/>
  <c r="E2156" i="2"/>
  <c r="D2156" i="2"/>
  <c r="C2156" i="2"/>
  <c r="B2156" i="2"/>
  <c r="A2156" i="2"/>
  <c r="H2155" i="2"/>
  <c r="G2155" i="2"/>
  <c r="F2155" i="2"/>
  <c r="E2155" i="2"/>
  <c r="D2155" i="2"/>
  <c r="C2155" i="2"/>
  <c r="B2155" i="2"/>
  <c r="A2155" i="2"/>
  <c r="H2154" i="2"/>
  <c r="G2154" i="2"/>
  <c r="F2154" i="2"/>
  <c r="E2154" i="2"/>
  <c r="D2154" i="2"/>
  <c r="C2154" i="2"/>
  <c r="B2154" i="2"/>
  <c r="A2154" i="2"/>
  <c r="H2153" i="2"/>
  <c r="G2153" i="2"/>
  <c r="F2153" i="2"/>
  <c r="E2153" i="2"/>
  <c r="D2153" i="2"/>
  <c r="C2153" i="2"/>
  <c r="B2153" i="2"/>
  <c r="A2153" i="2"/>
  <c r="H2152" i="2"/>
  <c r="G2152" i="2"/>
  <c r="F2152" i="2"/>
  <c r="E2152" i="2"/>
  <c r="D2152" i="2"/>
  <c r="C2152" i="2"/>
  <c r="B2152" i="2"/>
  <c r="A2152" i="2"/>
  <c r="H2151" i="2"/>
  <c r="G2151" i="2"/>
  <c r="F2151" i="2"/>
  <c r="E2151" i="2"/>
  <c r="D2151" i="2"/>
  <c r="C2151" i="2"/>
  <c r="B2151" i="2"/>
  <c r="A2151" i="2"/>
  <c r="H2150" i="2"/>
  <c r="G2150" i="2"/>
  <c r="F2150" i="2"/>
  <c r="E2150" i="2"/>
  <c r="D2150" i="2"/>
  <c r="C2150" i="2"/>
  <c r="B2150" i="2"/>
  <c r="A2150" i="2"/>
  <c r="H2149" i="2"/>
  <c r="G2149" i="2"/>
  <c r="F2149" i="2"/>
  <c r="E2149" i="2"/>
  <c r="D2149" i="2"/>
  <c r="C2149" i="2"/>
  <c r="B2149" i="2"/>
  <c r="A2149" i="2"/>
  <c r="H2148" i="2"/>
  <c r="G2148" i="2"/>
  <c r="F2148" i="2"/>
  <c r="E2148" i="2"/>
  <c r="D2148" i="2"/>
  <c r="C2148" i="2"/>
  <c r="B2148" i="2"/>
  <c r="A2148" i="2"/>
  <c r="H2147" i="2"/>
  <c r="G2147" i="2"/>
  <c r="F2147" i="2"/>
  <c r="E2147" i="2"/>
  <c r="D2147" i="2"/>
  <c r="C2147" i="2"/>
  <c r="B2147" i="2"/>
  <c r="A2147" i="2"/>
  <c r="H2146" i="2"/>
  <c r="G2146" i="2"/>
  <c r="F2146" i="2"/>
  <c r="E2146" i="2"/>
  <c r="D2146" i="2"/>
  <c r="C2146" i="2"/>
  <c r="B2146" i="2"/>
  <c r="A2146" i="2"/>
  <c r="H2145" i="2"/>
  <c r="G2145" i="2"/>
  <c r="F2145" i="2"/>
  <c r="E2145" i="2"/>
  <c r="D2145" i="2"/>
  <c r="C2145" i="2"/>
  <c r="B2145" i="2"/>
  <c r="A2145" i="2"/>
  <c r="H2144" i="2"/>
  <c r="G2144" i="2"/>
  <c r="F2144" i="2"/>
  <c r="E2144" i="2"/>
  <c r="D2144" i="2"/>
  <c r="C2144" i="2"/>
  <c r="B2144" i="2"/>
  <c r="A2144" i="2"/>
  <c r="H2143" i="2"/>
  <c r="G2143" i="2"/>
  <c r="F2143" i="2"/>
  <c r="E2143" i="2"/>
  <c r="D2143" i="2"/>
  <c r="C2143" i="2"/>
  <c r="B2143" i="2"/>
  <c r="A2143" i="2"/>
  <c r="H2142" i="2"/>
  <c r="G2142" i="2"/>
  <c r="F2142" i="2"/>
  <c r="E2142" i="2"/>
  <c r="D2142" i="2"/>
  <c r="C2142" i="2"/>
  <c r="B2142" i="2"/>
  <c r="A2142" i="2"/>
  <c r="H2141" i="2"/>
  <c r="G2141" i="2"/>
  <c r="F2141" i="2"/>
  <c r="E2141" i="2"/>
  <c r="D2141" i="2"/>
  <c r="C2141" i="2"/>
  <c r="B2141" i="2"/>
  <c r="A2141" i="2"/>
  <c r="H2140" i="2"/>
  <c r="G2140" i="2"/>
  <c r="F2140" i="2"/>
  <c r="E2140" i="2"/>
  <c r="D2140" i="2"/>
  <c r="C2140" i="2"/>
  <c r="B2140" i="2"/>
  <c r="A2140" i="2"/>
  <c r="H2139" i="2"/>
  <c r="G2139" i="2"/>
  <c r="F2139" i="2"/>
  <c r="E2139" i="2"/>
  <c r="D2139" i="2"/>
  <c r="C2139" i="2"/>
  <c r="B2139" i="2"/>
  <c r="A2139" i="2"/>
  <c r="H2138" i="2"/>
  <c r="G2138" i="2"/>
  <c r="F2138" i="2"/>
  <c r="E2138" i="2"/>
  <c r="D2138" i="2"/>
  <c r="C2138" i="2"/>
  <c r="B2138" i="2"/>
  <c r="A2138" i="2"/>
  <c r="H2137" i="2"/>
  <c r="G2137" i="2"/>
  <c r="F2137" i="2"/>
  <c r="E2137" i="2"/>
  <c r="D2137" i="2"/>
  <c r="C2137" i="2"/>
  <c r="B2137" i="2"/>
  <c r="A2137" i="2"/>
  <c r="H2136" i="2"/>
  <c r="G2136" i="2"/>
  <c r="F2136" i="2"/>
  <c r="E2136" i="2"/>
  <c r="D2136" i="2"/>
  <c r="C2136" i="2"/>
  <c r="B2136" i="2"/>
  <c r="A2136" i="2"/>
  <c r="H2135" i="2"/>
  <c r="G2135" i="2"/>
  <c r="F2135" i="2"/>
  <c r="E2135" i="2"/>
  <c r="D2135" i="2"/>
  <c r="C2135" i="2"/>
  <c r="B2135" i="2"/>
  <c r="A2135" i="2"/>
  <c r="H2134" i="2"/>
  <c r="G2134" i="2"/>
  <c r="F2134" i="2"/>
  <c r="E2134" i="2"/>
  <c r="D2134" i="2"/>
  <c r="C2134" i="2"/>
  <c r="B2134" i="2"/>
  <c r="A2134" i="2"/>
  <c r="H2133" i="2"/>
  <c r="G2133" i="2"/>
  <c r="F2133" i="2"/>
  <c r="E2133" i="2"/>
  <c r="D2133" i="2"/>
  <c r="C2133" i="2"/>
  <c r="B2133" i="2"/>
  <c r="A2133" i="2"/>
  <c r="H2132" i="2"/>
  <c r="G2132" i="2"/>
  <c r="F2132" i="2"/>
  <c r="E2132" i="2"/>
  <c r="D2132" i="2"/>
  <c r="C2132" i="2"/>
  <c r="B2132" i="2"/>
  <c r="A2132" i="2"/>
  <c r="H2131" i="2"/>
  <c r="G2131" i="2"/>
  <c r="F2131" i="2"/>
  <c r="E2131" i="2"/>
  <c r="D2131" i="2"/>
  <c r="C2131" i="2"/>
  <c r="B2131" i="2"/>
  <c r="A2131" i="2"/>
  <c r="H2130" i="2"/>
  <c r="G2130" i="2"/>
  <c r="F2130" i="2"/>
  <c r="E2130" i="2"/>
  <c r="D2130" i="2"/>
  <c r="C2130" i="2"/>
  <c r="B2130" i="2"/>
  <c r="A2130" i="2"/>
  <c r="H2129" i="2"/>
  <c r="G2129" i="2"/>
  <c r="F2129" i="2"/>
  <c r="E2129" i="2"/>
  <c r="D2129" i="2"/>
  <c r="C2129" i="2"/>
  <c r="B2129" i="2"/>
  <c r="A2129" i="2"/>
  <c r="H2128" i="2"/>
  <c r="G2128" i="2"/>
  <c r="F2128" i="2"/>
  <c r="E2128" i="2"/>
  <c r="D2128" i="2"/>
  <c r="C2128" i="2"/>
  <c r="B2128" i="2"/>
  <c r="A2128" i="2"/>
  <c r="H2127" i="2"/>
  <c r="G2127" i="2"/>
  <c r="F2127" i="2"/>
  <c r="E2127" i="2"/>
  <c r="D2127" i="2"/>
  <c r="C2127" i="2"/>
  <c r="B2127" i="2"/>
  <c r="A2127" i="2"/>
  <c r="H2126" i="2"/>
  <c r="G2126" i="2"/>
  <c r="F2126" i="2"/>
  <c r="E2126" i="2"/>
  <c r="D2126" i="2"/>
  <c r="C2126" i="2"/>
  <c r="B2126" i="2"/>
  <c r="A2126" i="2"/>
  <c r="H2125" i="2"/>
  <c r="G2125" i="2"/>
  <c r="F2125" i="2"/>
  <c r="E2125" i="2"/>
  <c r="D2125" i="2"/>
  <c r="C2125" i="2"/>
  <c r="B2125" i="2"/>
  <c r="A2125" i="2"/>
  <c r="H2124" i="2"/>
  <c r="G2124" i="2"/>
  <c r="F2124" i="2"/>
  <c r="E2124" i="2"/>
  <c r="D2124" i="2"/>
  <c r="C2124" i="2"/>
  <c r="B2124" i="2"/>
  <c r="A2124" i="2"/>
  <c r="H2123" i="2"/>
  <c r="G2123" i="2"/>
  <c r="F2123" i="2"/>
  <c r="E2123" i="2"/>
  <c r="D2123" i="2"/>
  <c r="C2123" i="2"/>
  <c r="B2123" i="2"/>
  <c r="A2123" i="2"/>
  <c r="H2122" i="2"/>
  <c r="G2122" i="2"/>
  <c r="F2122" i="2"/>
  <c r="E2122" i="2"/>
  <c r="D2122" i="2"/>
  <c r="C2122" i="2"/>
  <c r="B2122" i="2"/>
  <c r="A2122" i="2"/>
  <c r="H2121" i="2"/>
  <c r="G2121" i="2"/>
  <c r="F2121" i="2"/>
  <c r="E2121" i="2"/>
  <c r="D2121" i="2"/>
  <c r="C2121" i="2"/>
  <c r="B2121" i="2"/>
  <c r="A2121" i="2"/>
  <c r="H2120" i="2"/>
  <c r="G2120" i="2"/>
  <c r="F2120" i="2"/>
  <c r="E2120" i="2"/>
  <c r="D2120" i="2"/>
  <c r="C2120" i="2"/>
  <c r="B2120" i="2"/>
  <c r="A2120" i="2"/>
  <c r="H2119" i="2"/>
  <c r="G2119" i="2"/>
  <c r="F2119" i="2"/>
  <c r="E2119" i="2"/>
  <c r="D2119" i="2"/>
  <c r="C2119" i="2"/>
  <c r="B2119" i="2"/>
  <c r="A2119" i="2"/>
  <c r="H2118" i="2"/>
  <c r="G2118" i="2"/>
  <c r="F2118" i="2"/>
  <c r="E2118" i="2"/>
  <c r="D2118" i="2"/>
  <c r="C2118" i="2"/>
  <c r="B2118" i="2"/>
  <c r="A2118" i="2"/>
  <c r="H2117" i="2"/>
  <c r="G2117" i="2"/>
  <c r="F2117" i="2"/>
  <c r="E2117" i="2"/>
  <c r="D2117" i="2"/>
  <c r="C2117" i="2"/>
  <c r="B2117" i="2"/>
  <c r="A2117" i="2"/>
  <c r="H2116" i="2"/>
  <c r="G2116" i="2"/>
  <c r="F2116" i="2"/>
  <c r="E2116" i="2"/>
  <c r="D2116" i="2"/>
  <c r="C2116" i="2"/>
  <c r="B2116" i="2"/>
  <c r="A2116" i="2"/>
  <c r="H2115" i="2"/>
  <c r="G2115" i="2"/>
  <c r="F2115" i="2"/>
  <c r="E2115" i="2"/>
  <c r="D2115" i="2"/>
  <c r="C2115" i="2"/>
  <c r="B2115" i="2"/>
  <c r="A2115" i="2"/>
  <c r="H2114" i="2"/>
  <c r="G2114" i="2"/>
  <c r="F2114" i="2"/>
  <c r="E2114" i="2"/>
  <c r="D2114" i="2"/>
  <c r="C2114" i="2"/>
  <c r="B2114" i="2"/>
  <c r="A2114" i="2"/>
  <c r="H2113" i="2"/>
  <c r="G2113" i="2"/>
  <c r="F2113" i="2"/>
  <c r="E2113" i="2"/>
  <c r="D2113" i="2"/>
  <c r="C2113" i="2"/>
  <c r="B2113" i="2"/>
  <c r="A2113" i="2"/>
  <c r="H2112" i="2"/>
  <c r="G2112" i="2"/>
  <c r="F2112" i="2"/>
  <c r="E2112" i="2"/>
  <c r="D2112" i="2"/>
  <c r="C2112" i="2"/>
  <c r="B2112" i="2"/>
  <c r="A2112" i="2"/>
  <c r="H2111" i="2"/>
  <c r="G2111" i="2"/>
  <c r="F2111" i="2"/>
  <c r="E2111" i="2"/>
  <c r="D2111" i="2"/>
  <c r="C2111" i="2"/>
  <c r="B2111" i="2"/>
  <c r="A2111" i="2"/>
  <c r="H2110" i="2"/>
  <c r="G2110" i="2"/>
  <c r="F2110" i="2"/>
  <c r="E2110" i="2"/>
  <c r="D2110" i="2"/>
  <c r="C2110" i="2"/>
  <c r="B2110" i="2"/>
  <c r="A2110" i="2"/>
  <c r="H2109" i="2"/>
  <c r="G2109" i="2"/>
  <c r="F2109" i="2"/>
  <c r="E2109" i="2"/>
  <c r="D2109" i="2"/>
  <c r="C2109" i="2"/>
  <c r="B2109" i="2"/>
  <c r="A2109" i="2"/>
  <c r="H2108" i="2"/>
  <c r="G2108" i="2"/>
  <c r="F2108" i="2"/>
  <c r="E2108" i="2"/>
  <c r="D2108" i="2"/>
  <c r="C2108" i="2"/>
  <c r="B2108" i="2"/>
  <c r="A2108" i="2"/>
  <c r="H2107" i="2"/>
  <c r="G2107" i="2"/>
  <c r="F2107" i="2"/>
  <c r="E2107" i="2"/>
  <c r="D2107" i="2"/>
  <c r="C2107" i="2"/>
  <c r="B2107" i="2"/>
  <c r="A2107" i="2"/>
  <c r="H2106" i="2"/>
  <c r="G2106" i="2"/>
  <c r="F2106" i="2"/>
  <c r="E2106" i="2"/>
  <c r="D2106" i="2"/>
  <c r="C2106" i="2"/>
  <c r="B2106" i="2"/>
  <c r="A2106" i="2"/>
  <c r="H2105" i="2"/>
  <c r="G2105" i="2"/>
  <c r="F2105" i="2"/>
  <c r="E2105" i="2"/>
  <c r="D2105" i="2"/>
  <c r="C2105" i="2"/>
  <c r="B2105" i="2"/>
  <c r="A2105" i="2"/>
  <c r="H2104" i="2"/>
  <c r="G2104" i="2"/>
  <c r="F2104" i="2"/>
  <c r="E2104" i="2"/>
  <c r="D2104" i="2"/>
  <c r="C2104" i="2"/>
  <c r="B2104" i="2"/>
  <c r="A2104" i="2"/>
  <c r="H2103" i="2"/>
  <c r="G2103" i="2"/>
  <c r="F2103" i="2"/>
  <c r="E2103" i="2"/>
  <c r="D2103" i="2"/>
  <c r="C2103" i="2"/>
  <c r="B2103" i="2"/>
  <c r="A2103" i="2"/>
  <c r="H2102" i="2"/>
  <c r="G2102" i="2"/>
  <c r="F2102" i="2"/>
  <c r="E2102" i="2"/>
  <c r="D2102" i="2"/>
  <c r="C2102" i="2"/>
  <c r="B2102" i="2"/>
  <c r="A2102" i="2"/>
  <c r="H2101" i="2"/>
  <c r="G2101" i="2"/>
  <c r="F2101" i="2"/>
  <c r="E2101" i="2"/>
  <c r="D2101" i="2"/>
  <c r="C2101" i="2"/>
  <c r="B2101" i="2"/>
  <c r="A2101" i="2"/>
  <c r="H2100" i="2"/>
  <c r="G2100" i="2"/>
  <c r="F2100" i="2"/>
  <c r="E2100" i="2"/>
  <c r="D2100" i="2"/>
  <c r="C2100" i="2"/>
  <c r="B2100" i="2"/>
  <c r="A2100" i="2"/>
  <c r="H2099" i="2"/>
  <c r="G2099" i="2"/>
  <c r="F2099" i="2"/>
  <c r="E2099" i="2"/>
  <c r="D2099" i="2"/>
  <c r="C2099" i="2"/>
  <c r="B2099" i="2"/>
  <c r="A2099" i="2"/>
  <c r="H2098" i="2"/>
  <c r="G2098" i="2"/>
  <c r="F2098" i="2"/>
  <c r="E2098" i="2"/>
  <c r="D2098" i="2"/>
  <c r="C2098" i="2"/>
  <c r="B2098" i="2"/>
  <c r="A2098" i="2"/>
  <c r="H2097" i="2"/>
  <c r="G2097" i="2"/>
  <c r="F2097" i="2"/>
  <c r="E2097" i="2"/>
  <c r="D2097" i="2"/>
  <c r="C2097" i="2"/>
  <c r="B2097" i="2"/>
  <c r="A2097" i="2"/>
  <c r="H2096" i="2"/>
  <c r="G2096" i="2"/>
  <c r="F2096" i="2"/>
  <c r="E2096" i="2"/>
  <c r="D2096" i="2"/>
  <c r="C2096" i="2"/>
  <c r="B2096" i="2"/>
  <c r="A2096" i="2"/>
  <c r="H2095" i="2"/>
  <c r="G2095" i="2"/>
  <c r="F2095" i="2"/>
  <c r="E2095" i="2"/>
  <c r="D2095" i="2"/>
  <c r="C2095" i="2"/>
  <c r="B2095" i="2"/>
  <c r="A2095" i="2"/>
  <c r="H2094" i="2"/>
  <c r="G2094" i="2"/>
  <c r="F2094" i="2"/>
  <c r="E2094" i="2"/>
  <c r="D2094" i="2"/>
  <c r="C2094" i="2"/>
  <c r="B2094" i="2"/>
  <c r="A2094" i="2"/>
  <c r="H2093" i="2"/>
  <c r="G2093" i="2"/>
  <c r="F2093" i="2"/>
  <c r="E2093" i="2"/>
  <c r="D2093" i="2"/>
  <c r="C2093" i="2"/>
  <c r="B2093" i="2"/>
  <c r="A2093" i="2"/>
  <c r="H2092" i="2"/>
  <c r="G2092" i="2"/>
  <c r="F2092" i="2"/>
  <c r="E2092" i="2"/>
  <c r="D2092" i="2"/>
  <c r="C2092" i="2"/>
  <c r="B2092" i="2"/>
  <c r="A2092" i="2"/>
  <c r="H2091" i="2"/>
  <c r="G2091" i="2"/>
  <c r="F2091" i="2"/>
  <c r="E2091" i="2"/>
  <c r="D2091" i="2"/>
  <c r="C2091" i="2"/>
  <c r="B2091" i="2"/>
  <c r="A2091" i="2"/>
  <c r="H2090" i="2"/>
  <c r="G2090" i="2"/>
  <c r="F2090" i="2"/>
  <c r="E2090" i="2"/>
  <c r="D2090" i="2"/>
  <c r="C2090" i="2"/>
  <c r="B2090" i="2"/>
  <c r="A2090" i="2"/>
  <c r="H2089" i="2"/>
  <c r="G2089" i="2"/>
  <c r="F2089" i="2"/>
  <c r="E2089" i="2"/>
  <c r="D2089" i="2"/>
  <c r="C2089" i="2"/>
  <c r="B2089" i="2"/>
  <c r="A2089" i="2"/>
  <c r="H2088" i="2"/>
  <c r="G2088" i="2"/>
  <c r="F2088" i="2"/>
  <c r="E2088" i="2"/>
  <c r="D2088" i="2"/>
  <c r="C2088" i="2"/>
  <c r="B2088" i="2"/>
  <c r="A2088" i="2"/>
  <c r="H2087" i="2"/>
  <c r="G2087" i="2"/>
  <c r="F2087" i="2"/>
  <c r="E2087" i="2"/>
  <c r="D2087" i="2"/>
  <c r="C2087" i="2"/>
  <c r="B2087" i="2"/>
  <c r="A2087" i="2"/>
  <c r="H2086" i="2"/>
  <c r="G2086" i="2"/>
  <c r="F2086" i="2"/>
  <c r="E2086" i="2"/>
  <c r="D2086" i="2"/>
  <c r="C2086" i="2"/>
  <c r="B2086" i="2"/>
  <c r="A2086" i="2"/>
  <c r="H2085" i="2"/>
  <c r="G2085" i="2"/>
  <c r="F2085" i="2"/>
  <c r="E2085" i="2"/>
  <c r="D2085" i="2"/>
  <c r="C2085" i="2"/>
  <c r="B2085" i="2"/>
  <c r="A2085" i="2"/>
  <c r="H2084" i="2"/>
  <c r="G2084" i="2"/>
  <c r="F2084" i="2"/>
  <c r="E2084" i="2"/>
  <c r="D2084" i="2"/>
  <c r="C2084" i="2"/>
  <c r="B2084" i="2"/>
  <c r="A2084" i="2"/>
  <c r="H2083" i="2"/>
  <c r="G2083" i="2"/>
  <c r="F2083" i="2"/>
  <c r="E2083" i="2"/>
  <c r="D2083" i="2"/>
  <c r="C2083" i="2"/>
  <c r="B2083" i="2"/>
  <c r="A2083" i="2"/>
  <c r="H2082" i="2"/>
  <c r="G2082" i="2"/>
  <c r="F2082" i="2"/>
  <c r="E2082" i="2"/>
  <c r="D2082" i="2"/>
  <c r="C2082" i="2"/>
  <c r="B2082" i="2"/>
  <c r="A2082" i="2"/>
  <c r="H2081" i="2"/>
  <c r="G2081" i="2"/>
  <c r="F2081" i="2"/>
  <c r="E2081" i="2"/>
  <c r="D2081" i="2"/>
  <c r="C2081" i="2"/>
  <c r="B2081" i="2"/>
  <c r="A2081" i="2"/>
  <c r="H2080" i="2"/>
  <c r="G2080" i="2"/>
  <c r="F2080" i="2"/>
  <c r="E2080" i="2"/>
  <c r="D2080" i="2"/>
  <c r="C2080" i="2"/>
  <c r="B2080" i="2"/>
  <c r="A2080" i="2"/>
  <c r="H2079" i="2"/>
  <c r="G2079" i="2"/>
  <c r="F2079" i="2"/>
  <c r="E2079" i="2"/>
  <c r="D2079" i="2"/>
  <c r="C2079" i="2"/>
  <c r="B2079" i="2"/>
  <c r="A2079" i="2"/>
  <c r="H2078" i="2"/>
  <c r="G2078" i="2"/>
  <c r="F2078" i="2"/>
  <c r="E2078" i="2"/>
  <c r="D2078" i="2"/>
  <c r="C2078" i="2"/>
  <c r="B2078" i="2"/>
  <c r="A2078" i="2"/>
  <c r="H2077" i="2"/>
  <c r="G2077" i="2"/>
  <c r="F2077" i="2"/>
  <c r="E2077" i="2"/>
  <c r="D2077" i="2"/>
  <c r="C2077" i="2"/>
  <c r="B2077" i="2"/>
  <c r="A2077" i="2"/>
  <c r="H2076" i="2"/>
  <c r="G2076" i="2"/>
  <c r="F2076" i="2"/>
  <c r="E2076" i="2"/>
  <c r="D2076" i="2"/>
  <c r="C2076" i="2"/>
  <c r="B2076" i="2"/>
  <c r="A2076" i="2"/>
  <c r="H2075" i="2"/>
  <c r="G2075" i="2"/>
  <c r="F2075" i="2"/>
  <c r="E2075" i="2"/>
  <c r="D2075" i="2"/>
  <c r="C2075" i="2"/>
  <c r="B2075" i="2"/>
  <c r="A2075" i="2"/>
  <c r="H2074" i="2"/>
  <c r="G2074" i="2"/>
  <c r="F2074" i="2"/>
  <c r="E2074" i="2"/>
  <c r="D2074" i="2"/>
  <c r="C2074" i="2"/>
  <c r="B2074" i="2"/>
  <c r="A2074" i="2"/>
  <c r="H2073" i="2"/>
  <c r="G2073" i="2"/>
  <c r="F2073" i="2"/>
  <c r="E2073" i="2"/>
  <c r="D2073" i="2"/>
  <c r="C2073" i="2"/>
  <c r="B2073" i="2"/>
  <c r="A2073" i="2"/>
  <c r="H2072" i="2"/>
  <c r="G2072" i="2"/>
  <c r="F2072" i="2"/>
  <c r="E2072" i="2"/>
  <c r="D2072" i="2"/>
  <c r="C2072" i="2"/>
  <c r="B2072" i="2"/>
  <c r="A2072" i="2"/>
  <c r="H2071" i="2"/>
  <c r="G2071" i="2"/>
  <c r="F2071" i="2"/>
  <c r="E2071" i="2"/>
  <c r="D2071" i="2"/>
  <c r="C2071" i="2"/>
  <c r="B2071" i="2"/>
  <c r="A2071" i="2"/>
  <c r="H2070" i="2"/>
  <c r="G2070" i="2"/>
  <c r="F2070" i="2"/>
  <c r="E2070" i="2"/>
  <c r="D2070" i="2"/>
  <c r="C2070" i="2"/>
  <c r="B2070" i="2"/>
  <c r="A2070" i="2"/>
  <c r="H2069" i="2"/>
  <c r="G2069" i="2"/>
  <c r="F2069" i="2"/>
  <c r="E2069" i="2"/>
  <c r="D2069" i="2"/>
  <c r="C2069" i="2"/>
  <c r="B2069" i="2"/>
  <c r="A2069" i="2"/>
  <c r="H2068" i="2"/>
  <c r="G2068" i="2"/>
  <c r="F2068" i="2"/>
  <c r="E2068" i="2"/>
  <c r="D2068" i="2"/>
  <c r="C2068" i="2"/>
  <c r="B2068" i="2"/>
  <c r="A2068" i="2"/>
  <c r="H2067" i="2"/>
  <c r="G2067" i="2"/>
  <c r="F2067" i="2"/>
  <c r="E2067" i="2"/>
  <c r="D2067" i="2"/>
  <c r="C2067" i="2"/>
  <c r="B2067" i="2"/>
  <c r="A2067" i="2"/>
  <c r="H2066" i="2"/>
  <c r="G2066" i="2"/>
  <c r="F2066" i="2"/>
  <c r="E2066" i="2"/>
  <c r="D2066" i="2"/>
  <c r="C2066" i="2"/>
  <c r="B2066" i="2"/>
  <c r="A2066" i="2"/>
  <c r="H2065" i="2"/>
  <c r="G2065" i="2"/>
  <c r="F2065" i="2"/>
  <c r="E2065" i="2"/>
  <c r="D2065" i="2"/>
  <c r="C2065" i="2"/>
  <c r="B2065" i="2"/>
  <c r="A2065" i="2"/>
  <c r="H2064" i="2"/>
  <c r="G2064" i="2"/>
  <c r="F2064" i="2"/>
  <c r="E2064" i="2"/>
  <c r="D2064" i="2"/>
  <c r="C2064" i="2"/>
  <c r="B2064" i="2"/>
  <c r="A2064" i="2"/>
  <c r="H2063" i="2"/>
  <c r="G2063" i="2"/>
  <c r="F2063" i="2"/>
  <c r="E2063" i="2"/>
  <c r="D2063" i="2"/>
  <c r="C2063" i="2"/>
  <c r="B2063" i="2"/>
  <c r="A2063" i="2"/>
  <c r="H2062" i="2"/>
  <c r="G2062" i="2"/>
  <c r="F2062" i="2"/>
  <c r="E2062" i="2"/>
  <c r="D2062" i="2"/>
  <c r="C2062" i="2"/>
  <c r="B2062" i="2"/>
  <c r="A2062" i="2"/>
  <c r="H2061" i="2"/>
  <c r="G2061" i="2"/>
  <c r="F2061" i="2"/>
  <c r="E2061" i="2"/>
  <c r="D2061" i="2"/>
  <c r="C2061" i="2"/>
  <c r="B2061" i="2"/>
  <c r="A2061" i="2"/>
  <c r="H2060" i="2"/>
  <c r="G2060" i="2"/>
  <c r="F2060" i="2"/>
  <c r="E2060" i="2"/>
  <c r="D2060" i="2"/>
  <c r="C2060" i="2"/>
  <c r="B2060" i="2"/>
  <c r="A2060" i="2"/>
  <c r="H2059" i="2"/>
  <c r="G2059" i="2"/>
  <c r="F2059" i="2"/>
  <c r="E2059" i="2"/>
  <c r="D2059" i="2"/>
  <c r="C2059" i="2"/>
  <c r="B2059" i="2"/>
  <c r="A2059" i="2"/>
  <c r="H2058" i="2"/>
  <c r="G2058" i="2"/>
  <c r="F2058" i="2"/>
  <c r="E2058" i="2"/>
  <c r="D2058" i="2"/>
  <c r="C2058" i="2"/>
  <c r="B2058" i="2"/>
  <c r="A2058" i="2"/>
  <c r="H2057" i="2"/>
  <c r="G2057" i="2"/>
  <c r="F2057" i="2"/>
  <c r="E2057" i="2"/>
  <c r="D2057" i="2"/>
  <c r="C2057" i="2"/>
  <c r="B2057" i="2"/>
  <c r="A2057" i="2"/>
  <c r="H2056" i="2"/>
  <c r="G2056" i="2"/>
  <c r="F2056" i="2"/>
  <c r="E2056" i="2"/>
  <c r="D2056" i="2"/>
  <c r="C2056" i="2"/>
  <c r="B2056" i="2"/>
  <c r="A2056" i="2"/>
  <c r="H2055" i="2"/>
  <c r="G2055" i="2"/>
  <c r="F2055" i="2"/>
  <c r="E2055" i="2"/>
  <c r="D2055" i="2"/>
  <c r="C2055" i="2"/>
  <c r="B2055" i="2"/>
  <c r="A2055" i="2"/>
  <c r="H2054" i="2"/>
  <c r="G2054" i="2"/>
  <c r="F2054" i="2"/>
  <c r="E2054" i="2"/>
  <c r="D2054" i="2"/>
  <c r="C2054" i="2"/>
  <c r="B2054" i="2"/>
  <c r="A2054" i="2"/>
  <c r="H2053" i="2"/>
  <c r="G2053" i="2"/>
  <c r="F2053" i="2"/>
  <c r="E2053" i="2"/>
  <c r="D2053" i="2"/>
  <c r="C2053" i="2"/>
  <c r="B2053" i="2"/>
  <c r="A2053" i="2"/>
  <c r="H2052" i="2"/>
  <c r="G2052" i="2"/>
  <c r="F2052" i="2"/>
  <c r="E2052" i="2"/>
  <c r="D2052" i="2"/>
  <c r="C2052" i="2"/>
  <c r="B2052" i="2"/>
  <c r="A2052" i="2"/>
  <c r="H2051" i="2"/>
  <c r="G2051" i="2"/>
  <c r="F2051" i="2"/>
  <c r="E2051" i="2"/>
  <c r="D2051" i="2"/>
  <c r="C2051" i="2"/>
  <c r="B2051" i="2"/>
  <c r="A2051" i="2"/>
  <c r="H2050" i="2"/>
  <c r="G2050" i="2"/>
  <c r="F2050" i="2"/>
  <c r="E2050" i="2"/>
  <c r="D2050" i="2"/>
  <c r="C2050" i="2"/>
  <c r="B2050" i="2"/>
  <c r="A2050" i="2"/>
  <c r="H2049" i="2"/>
  <c r="G2049" i="2"/>
  <c r="F2049" i="2"/>
  <c r="E2049" i="2"/>
  <c r="D2049" i="2"/>
  <c r="C2049" i="2"/>
  <c r="B2049" i="2"/>
  <c r="A2049" i="2"/>
  <c r="H2048" i="2"/>
  <c r="G2048" i="2"/>
  <c r="F2048" i="2"/>
  <c r="E2048" i="2"/>
  <c r="D2048" i="2"/>
  <c r="C2048" i="2"/>
  <c r="B2048" i="2"/>
  <c r="A2048" i="2"/>
  <c r="H2047" i="2"/>
  <c r="G2047" i="2"/>
  <c r="F2047" i="2"/>
  <c r="E2047" i="2"/>
  <c r="D2047" i="2"/>
  <c r="C2047" i="2"/>
  <c r="B2047" i="2"/>
  <c r="A2047" i="2"/>
  <c r="H2046" i="2"/>
  <c r="G2046" i="2"/>
  <c r="F2046" i="2"/>
  <c r="E2046" i="2"/>
  <c r="D2046" i="2"/>
  <c r="C2046" i="2"/>
  <c r="B2046" i="2"/>
  <c r="A2046" i="2"/>
  <c r="H2045" i="2"/>
  <c r="G2045" i="2"/>
  <c r="F2045" i="2"/>
  <c r="E2045" i="2"/>
  <c r="D2045" i="2"/>
  <c r="C2045" i="2"/>
  <c r="B2045" i="2"/>
  <c r="A2045" i="2"/>
  <c r="H2044" i="2"/>
  <c r="G2044" i="2"/>
  <c r="F2044" i="2"/>
  <c r="E2044" i="2"/>
  <c r="D2044" i="2"/>
  <c r="C2044" i="2"/>
  <c r="B2044" i="2"/>
  <c r="A2044" i="2"/>
  <c r="H2043" i="2"/>
  <c r="G2043" i="2"/>
  <c r="F2043" i="2"/>
  <c r="E2043" i="2"/>
  <c r="D2043" i="2"/>
  <c r="C2043" i="2"/>
  <c r="B2043" i="2"/>
  <c r="A2043" i="2"/>
  <c r="H2042" i="2"/>
  <c r="G2042" i="2"/>
  <c r="F2042" i="2"/>
  <c r="E2042" i="2"/>
  <c r="D2042" i="2"/>
  <c r="C2042" i="2"/>
  <c r="B2042" i="2"/>
  <c r="A2042" i="2"/>
  <c r="H2041" i="2"/>
  <c r="G2041" i="2"/>
  <c r="F2041" i="2"/>
  <c r="E2041" i="2"/>
  <c r="D2041" i="2"/>
  <c r="C2041" i="2"/>
  <c r="B2041" i="2"/>
  <c r="A2041" i="2"/>
  <c r="H2040" i="2"/>
  <c r="G2040" i="2"/>
  <c r="F2040" i="2"/>
  <c r="E2040" i="2"/>
  <c r="D2040" i="2"/>
  <c r="C2040" i="2"/>
  <c r="B2040" i="2"/>
  <c r="A2040" i="2"/>
  <c r="H2039" i="2"/>
  <c r="G2039" i="2"/>
  <c r="F2039" i="2"/>
  <c r="E2039" i="2"/>
  <c r="D2039" i="2"/>
  <c r="C2039" i="2"/>
  <c r="B2039" i="2"/>
  <c r="A2039" i="2"/>
  <c r="H2038" i="2"/>
  <c r="G2038" i="2"/>
  <c r="F2038" i="2"/>
  <c r="E2038" i="2"/>
  <c r="D2038" i="2"/>
  <c r="C2038" i="2"/>
  <c r="B2038" i="2"/>
  <c r="A2038" i="2"/>
  <c r="H2037" i="2"/>
  <c r="G2037" i="2"/>
  <c r="F2037" i="2"/>
  <c r="E2037" i="2"/>
  <c r="D2037" i="2"/>
  <c r="C2037" i="2"/>
  <c r="B2037" i="2"/>
  <c r="A2037" i="2"/>
  <c r="H2036" i="2"/>
  <c r="G2036" i="2"/>
  <c r="F2036" i="2"/>
  <c r="E2036" i="2"/>
  <c r="D2036" i="2"/>
  <c r="C2036" i="2"/>
  <c r="B2036" i="2"/>
  <c r="A2036" i="2"/>
  <c r="H2035" i="2"/>
  <c r="G2035" i="2"/>
  <c r="F2035" i="2"/>
  <c r="E2035" i="2"/>
  <c r="D2035" i="2"/>
  <c r="C2035" i="2"/>
  <c r="B2035" i="2"/>
  <c r="A2035" i="2"/>
  <c r="H2034" i="2"/>
  <c r="G2034" i="2"/>
  <c r="F2034" i="2"/>
  <c r="E2034" i="2"/>
  <c r="D2034" i="2"/>
  <c r="C2034" i="2"/>
  <c r="B2034" i="2"/>
  <c r="A2034" i="2"/>
  <c r="H2033" i="2"/>
  <c r="G2033" i="2"/>
  <c r="F2033" i="2"/>
  <c r="E2033" i="2"/>
  <c r="D2033" i="2"/>
  <c r="C2033" i="2"/>
  <c r="B2033" i="2"/>
  <c r="A2033" i="2"/>
  <c r="H2032" i="2"/>
  <c r="G2032" i="2"/>
  <c r="F2032" i="2"/>
  <c r="E2032" i="2"/>
  <c r="D2032" i="2"/>
  <c r="C2032" i="2"/>
  <c r="B2032" i="2"/>
  <c r="A2032" i="2"/>
  <c r="H2031" i="2"/>
  <c r="G2031" i="2"/>
  <c r="F2031" i="2"/>
  <c r="E2031" i="2"/>
  <c r="D2031" i="2"/>
  <c r="C2031" i="2"/>
  <c r="B2031" i="2"/>
  <c r="A2031" i="2"/>
  <c r="H2030" i="2"/>
  <c r="G2030" i="2"/>
  <c r="F2030" i="2"/>
  <c r="E2030" i="2"/>
  <c r="D2030" i="2"/>
  <c r="C2030" i="2"/>
  <c r="B2030" i="2"/>
  <c r="A2030" i="2"/>
  <c r="H2029" i="2"/>
  <c r="G2029" i="2"/>
  <c r="F2029" i="2"/>
  <c r="E2029" i="2"/>
  <c r="D2029" i="2"/>
  <c r="C2029" i="2"/>
  <c r="B2029" i="2"/>
  <c r="A2029" i="2"/>
  <c r="H2028" i="2"/>
  <c r="G2028" i="2"/>
  <c r="F2028" i="2"/>
  <c r="E2028" i="2"/>
  <c r="D2028" i="2"/>
  <c r="C2028" i="2"/>
  <c r="B2028" i="2"/>
  <c r="A2028" i="2"/>
  <c r="H2027" i="2"/>
  <c r="G2027" i="2"/>
  <c r="F2027" i="2"/>
  <c r="E2027" i="2"/>
  <c r="D2027" i="2"/>
  <c r="C2027" i="2"/>
  <c r="B2027" i="2"/>
  <c r="A2027" i="2"/>
  <c r="H2026" i="2"/>
  <c r="G2026" i="2"/>
  <c r="F2026" i="2"/>
  <c r="E2026" i="2"/>
  <c r="D2026" i="2"/>
  <c r="C2026" i="2"/>
  <c r="B2026" i="2"/>
  <c r="A2026" i="2"/>
  <c r="H2025" i="2"/>
  <c r="G2025" i="2"/>
  <c r="F2025" i="2"/>
  <c r="E2025" i="2"/>
  <c r="D2025" i="2"/>
  <c r="C2025" i="2"/>
  <c r="B2025" i="2"/>
  <c r="A2025" i="2"/>
  <c r="H2024" i="2"/>
  <c r="G2024" i="2"/>
  <c r="F2024" i="2"/>
  <c r="E2024" i="2"/>
  <c r="D2024" i="2"/>
  <c r="C2024" i="2"/>
  <c r="B2024" i="2"/>
  <c r="A2024" i="2"/>
  <c r="H2023" i="2"/>
  <c r="G2023" i="2"/>
  <c r="F2023" i="2"/>
  <c r="E2023" i="2"/>
  <c r="D2023" i="2"/>
  <c r="C2023" i="2"/>
  <c r="B2023" i="2"/>
  <c r="A2023" i="2"/>
  <c r="H2022" i="2"/>
  <c r="G2022" i="2"/>
  <c r="F2022" i="2"/>
  <c r="E2022" i="2"/>
  <c r="D2022" i="2"/>
  <c r="C2022" i="2"/>
  <c r="B2022" i="2"/>
  <c r="A2022" i="2"/>
  <c r="H2021" i="2"/>
  <c r="G2021" i="2"/>
  <c r="F2021" i="2"/>
  <c r="E2021" i="2"/>
  <c r="D2021" i="2"/>
  <c r="C2021" i="2"/>
  <c r="B2021" i="2"/>
  <c r="A2021" i="2"/>
  <c r="H2020" i="2"/>
  <c r="G2020" i="2"/>
  <c r="F2020" i="2"/>
  <c r="E2020" i="2"/>
  <c r="D2020" i="2"/>
  <c r="C2020" i="2"/>
  <c r="B2020" i="2"/>
  <c r="A2020" i="2"/>
  <c r="H2019" i="2"/>
  <c r="G2019" i="2"/>
  <c r="F2019" i="2"/>
  <c r="E2019" i="2"/>
  <c r="D2019" i="2"/>
  <c r="C2019" i="2"/>
  <c r="B2019" i="2"/>
  <c r="A2019" i="2"/>
  <c r="H2018" i="2"/>
  <c r="G2018" i="2"/>
  <c r="F2018" i="2"/>
  <c r="E2018" i="2"/>
  <c r="D2018" i="2"/>
  <c r="C2018" i="2"/>
  <c r="B2018" i="2"/>
  <c r="A2018" i="2"/>
  <c r="H2017" i="2"/>
  <c r="G2017" i="2"/>
  <c r="F2017" i="2"/>
  <c r="E2017" i="2"/>
  <c r="D2017" i="2"/>
  <c r="C2017" i="2"/>
  <c r="B2017" i="2"/>
  <c r="A2017" i="2"/>
  <c r="H2016" i="2"/>
  <c r="G2016" i="2"/>
  <c r="F2016" i="2"/>
  <c r="E2016" i="2"/>
  <c r="D2016" i="2"/>
  <c r="C2016" i="2"/>
  <c r="B2016" i="2"/>
  <c r="A2016" i="2"/>
  <c r="H2015" i="2"/>
  <c r="G2015" i="2"/>
  <c r="F2015" i="2"/>
  <c r="E2015" i="2"/>
  <c r="D2015" i="2"/>
  <c r="C2015" i="2"/>
  <c r="B2015" i="2"/>
  <c r="A2015" i="2"/>
  <c r="H2014" i="2"/>
  <c r="G2014" i="2"/>
  <c r="F2014" i="2"/>
  <c r="E2014" i="2"/>
  <c r="D2014" i="2"/>
  <c r="C2014" i="2"/>
  <c r="B2014" i="2"/>
  <c r="A2014" i="2"/>
  <c r="H2013" i="2"/>
  <c r="G2013" i="2"/>
  <c r="F2013" i="2"/>
  <c r="E2013" i="2"/>
  <c r="D2013" i="2"/>
  <c r="C2013" i="2"/>
  <c r="B2013" i="2"/>
  <c r="A2013" i="2"/>
  <c r="H2012" i="2"/>
  <c r="G2012" i="2"/>
  <c r="F2012" i="2"/>
  <c r="E2012" i="2"/>
  <c r="D2012" i="2"/>
  <c r="C2012" i="2"/>
  <c r="B2012" i="2"/>
  <c r="A2012" i="2"/>
  <c r="H2011" i="2"/>
  <c r="G2011" i="2"/>
  <c r="F2011" i="2"/>
  <c r="E2011" i="2"/>
  <c r="D2011" i="2"/>
  <c r="C2011" i="2"/>
  <c r="B2011" i="2"/>
  <c r="A2011" i="2"/>
  <c r="H2010" i="2"/>
  <c r="G2010" i="2"/>
  <c r="F2010" i="2"/>
  <c r="E2010" i="2"/>
  <c r="D2010" i="2"/>
  <c r="C2010" i="2"/>
  <c r="B2010" i="2"/>
  <c r="A2010" i="2"/>
  <c r="H2009" i="2"/>
  <c r="G2009" i="2"/>
  <c r="F2009" i="2"/>
  <c r="E2009" i="2"/>
  <c r="D2009" i="2"/>
  <c r="C2009" i="2"/>
  <c r="B2009" i="2"/>
  <c r="A2009" i="2"/>
  <c r="H2008" i="2"/>
  <c r="G2008" i="2"/>
  <c r="F2008" i="2"/>
  <c r="E2008" i="2"/>
  <c r="D2008" i="2"/>
  <c r="C2008" i="2"/>
  <c r="B2008" i="2"/>
  <c r="A2008" i="2"/>
  <c r="H2007" i="2"/>
  <c r="G2007" i="2"/>
  <c r="F2007" i="2"/>
  <c r="E2007" i="2"/>
  <c r="D2007" i="2"/>
  <c r="C2007" i="2"/>
  <c r="B2007" i="2"/>
  <c r="A2007" i="2"/>
  <c r="H2006" i="2"/>
  <c r="G2006" i="2"/>
  <c r="F2006" i="2"/>
  <c r="E2006" i="2"/>
  <c r="D2006" i="2"/>
  <c r="C2006" i="2"/>
  <c r="B2006" i="2"/>
  <c r="A2006" i="2"/>
  <c r="H2005" i="2"/>
  <c r="G2005" i="2"/>
  <c r="F2005" i="2"/>
  <c r="E2005" i="2"/>
  <c r="D2005" i="2"/>
  <c r="C2005" i="2"/>
  <c r="B2005" i="2"/>
  <c r="A2005" i="2"/>
  <c r="H2004" i="2"/>
  <c r="G2004" i="2"/>
  <c r="F2004" i="2"/>
  <c r="E2004" i="2"/>
  <c r="D2004" i="2"/>
  <c r="C2004" i="2"/>
  <c r="B2004" i="2"/>
  <c r="A2004" i="2"/>
  <c r="H2003" i="2"/>
  <c r="G2003" i="2"/>
  <c r="F2003" i="2"/>
  <c r="E2003" i="2"/>
  <c r="D2003" i="2"/>
  <c r="C2003" i="2"/>
  <c r="B2003" i="2"/>
  <c r="A2003" i="2"/>
  <c r="H2002" i="2"/>
  <c r="G2002" i="2"/>
  <c r="F2002" i="2"/>
  <c r="E2002" i="2"/>
  <c r="D2002" i="2"/>
  <c r="C2002" i="2"/>
  <c r="B2002" i="2"/>
  <c r="A2002" i="2"/>
  <c r="H2001" i="2"/>
  <c r="G2001" i="2"/>
  <c r="F2001" i="2"/>
  <c r="E2001" i="2"/>
  <c r="D2001" i="2"/>
  <c r="C2001" i="2"/>
  <c r="B2001" i="2"/>
  <c r="A2001" i="2"/>
  <c r="H2000" i="2"/>
  <c r="G2000" i="2"/>
  <c r="F2000" i="2"/>
  <c r="E2000" i="2"/>
  <c r="D2000" i="2"/>
  <c r="C2000" i="2"/>
  <c r="B2000" i="2"/>
  <c r="A2000" i="2"/>
  <c r="H1999" i="2"/>
  <c r="G1999" i="2"/>
  <c r="F1999" i="2"/>
  <c r="E1999" i="2"/>
  <c r="D1999" i="2"/>
  <c r="C1999" i="2"/>
  <c r="B1999" i="2"/>
  <c r="A1999" i="2"/>
  <c r="H1998" i="2"/>
  <c r="G1998" i="2"/>
  <c r="F1998" i="2"/>
  <c r="E1998" i="2"/>
  <c r="D1998" i="2"/>
  <c r="C1998" i="2"/>
  <c r="B1998" i="2"/>
  <c r="A1998" i="2"/>
  <c r="H1997" i="2"/>
  <c r="G1997" i="2"/>
  <c r="F1997" i="2"/>
  <c r="E1997" i="2"/>
  <c r="D1997" i="2"/>
  <c r="C1997" i="2"/>
  <c r="B1997" i="2"/>
  <c r="A1997" i="2"/>
  <c r="H1996" i="2"/>
  <c r="G1996" i="2"/>
  <c r="F1996" i="2"/>
  <c r="E1996" i="2"/>
  <c r="D1996" i="2"/>
  <c r="C1996" i="2"/>
  <c r="B1996" i="2"/>
  <c r="A1996" i="2"/>
  <c r="H1995" i="2"/>
  <c r="G1995" i="2"/>
  <c r="F1995" i="2"/>
  <c r="E1995" i="2"/>
  <c r="D1995" i="2"/>
  <c r="C1995" i="2"/>
  <c r="B1995" i="2"/>
  <c r="A1995" i="2"/>
  <c r="H1994" i="2"/>
  <c r="G1994" i="2"/>
  <c r="F1994" i="2"/>
  <c r="E1994" i="2"/>
  <c r="D1994" i="2"/>
  <c r="C1994" i="2"/>
  <c r="B1994" i="2"/>
  <c r="A1994" i="2"/>
  <c r="H1993" i="2"/>
  <c r="G1993" i="2"/>
  <c r="F1993" i="2"/>
  <c r="E1993" i="2"/>
  <c r="D1993" i="2"/>
  <c r="C1993" i="2"/>
  <c r="B1993" i="2"/>
  <c r="A1993" i="2"/>
  <c r="H1992" i="2"/>
  <c r="G1992" i="2"/>
  <c r="F1992" i="2"/>
  <c r="E1992" i="2"/>
  <c r="D1992" i="2"/>
  <c r="C1992" i="2"/>
  <c r="B1992" i="2"/>
  <c r="A1992" i="2"/>
  <c r="H1991" i="2"/>
  <c r="G1991" i="2"/>
  <c r="F1991" i="2"/>
  <c r="E1991" i="2"/>
  <c r="D1991" i="2"/>
  <c r="C1991" i="2"/>
  <c r="B1991" i="2"/>
  <c r="A1991" i="2"/>
  <c r="H1990" i="2"/>
  <c r="G1990" i="2"/>
  <c r="F1990" i="2"/>
  <c r="E1990" i="2"/>
  <c r="D1990" i="2"/>
  <c r="C1990" i="2"/>
  <c r="B1990" i="2"/>
  <c r="A1990" i="2"/>
  <c r="H1989" i="2"/>
  <c r="G1989" i="2"/>
  <c r="F1989" i="2"/>
  <c r="E1989" i="2"/>
  <c r="D1989" i="2"/>
  <c r="C1989" i="2"/>
  <c r="B1989" i="2"/>
  <c r="A1989" i="2"/>
  <c r="H1988" i="2"/>
  <c r="G1988" i="2"/>
  <c r="F1988" i="2"/>
  <c r="E1988" i="2"/>
  <c r="D1988" i="2"/>
  <c r="C1988" i="2"/>
  <c r="B1988" i="2"/>
  <c r="A1988" i="2"/>
  <c r="H1987" i="2"/>
  <c r="G1987" i="2"/>
  <c r="F1987" i="2"/>
  <c r="E1987" i="2"/>
  <c r="D1987" i="2"/>
  <c r="C1987" i="2"/>
  <c r="B1987" i="2"/>
  <c r="A1987" i="2"/>
  <c r="H1986" i="2"/>
  <c r="G1986" i="2"/>
  <c r="F1986" i="2"/>
  <c r="E1986" i="2"/>
  <c r="D1986" i="2"/>
  <c r="C1986" i="2"/>
  <c r="B1986" i="2"/>
  <c r="A1986" i="2"/>
  <c r="H1985" i="2"/>
  <c r="G1985" i="2"/>
  <c r="F1985" i="2"/>
  <c r="E1985" i="2"/>
  <c r="D1985" i="2"/>
  <c r="C1985" i="2"/>
  <c r="B1985" i="2"/>
  <c r="A1985" i="2"/>
  <c r="H1984" i="2"/>
  <c r="G1984" i="2"/>
  <c r="F1984" i="2"/>
  <c r="E1984" i="2"/>
  <c r="D1984" i="2"/>
  <c r="C1984" i="2"/>
  <c r="B1984" i="2"/>
  <c r="A1984" i="2"/>
  <c r="H1983" i="2"/>
  <c r="G1983" i="2"/>
  <c r="F1983" i="2"/>
  <c r="E1983" i="2"/>
  <c r="D1983" i="2"/>
  <c r="C1983" i="2"/>
  <c r="B1983" i="2"/>
  <c r="A1983" i="2"/>
  <c r="H1982" i="2"/>
  <c r="G1982" i="2"/>
  <c r="F1982" i="2"/>
  <c r="E1982" i="2"/>
  <c r="D1982" i="2"/>
  <c r="C1982" i="2"/>
  <c r="B1982" i="2"/>
  <c r="A1982" i="2"/>
  <c r="H1981" i="2"/>
  <c r="G1981" i="2"/>
  <c r="F1981" i="2"/>
  <c r="E1981" i="2"/>
  <c r="D1981" i="2"/>
  <c r="C1981" i="2"/>
  <c r="B1981" i="2"/>
  <c r="A1981" i="2"/>
  <c r="H1980" i="2"/>
  <c r="G1980" i="2"/>
  <c r="F1980" i="2"/>
  <c r="E1980" i="2"/>
  <c r="D1980" i="2"/>
  <c r="C1980" i="2"/>
  <c r="B1980" i="2"/>
  <c r="A1980" i="2"/>
  <c r="H1979" i="2"/>
  <c r="G1979" i="2"/>
  <c r="F1979" i="2"/>
  <c r="E1979" i="2"/>
  <c r="D1979" i="2"/>
  <c r="C1979" i="2"/>
  <c r="B1979" i="2"/>
  <c r="A1979" i="2"/>
  <c r="H1978" i="2"/>
  <c r="G1978" i="2"/>
  <c r="F1978" i="2"/>
  <c r="E1978" i="2"/>
  <c r="D1978" i="2"/>
  <c r="C1978" i="2"/>
  <c r="B1978" i="2"/>
  <c r="A1978" i="2"/>
  <c r="H1977" i="2"/>
  <c r="G1977" i="2"/>
  <c r="F1977" i="2"/>
  <c r="E1977" i="2"/>
  <c r="D1977" i="2"/>
  <c r="C1977" i="2"/>
  <c r="B1977" i="2"/>
  <c r="A1977" i="2"/>
  <c r="H1976" i="2"/>
  <c r="G1976" i="2"/>
  <c r="F1976" i="2"/>
  <c r="E1976" i="2"/>
  <c r="D1976" i="2"/>
  <c r="C1976" i="2"/>
  <c r="B1976" i="2"/>
  <c r="A1976" i="2"/>
  <c r="H1975" i="2"/>
  <c r="G1975" i="2"/>
  <c r="F1975" i="2"/>
  <c r="E1975" i="2"/>
  <c r="D1975" i="2"/>
  <c r="C1975" i="2"/>
  <c r="B1975" i="2"/>
  <c r="A1975" i="2"/>
  <c r="H1974" i="2"/>
  <c r="G1974" i="2"/>
  <c r="F1974" i="2"/>
  <c r="E1974" i="2"/>
  <c r="D1974" i="2"/>
  <c r="C1974" i="2"/>
  <c r="B1974" i="2"/>
  <c r="A1974" i="2"/>
  <c r="H1973" i="2"/>
  <c r="G1973" i="2"/>
  <c r="F1973" i="2"/>
  <c r="E1973" i="2"/>
  <c r="D1973" i="2"/>
  <c r="C1973" i="2"/>
  <c r="B1973" i="2"/>
  <c r="A1973" i="2"/>
  <c r="H1972" i="2"/>
  <c r="G1972" i="2"/>
  <c r="F1972" i="2"/>
  <c r="E1972" i="2"/>
  <c r="D1972" i="2"/>
  <c r="C1972" i="2"/>
  <c r="B1972" i="2"/>
  <c r="A1972" i="2"/>
  <c r="H1971" i="2"/>
  <c r="G1971" i="2"/>
  <c r="F1971" i="2"/>
  <c r="E1971" i="2"/>
  <c r="D1971" i="2"/>
  <c r="C1971" i="2"/>
  <c r="B1971" i="2"/>
  <c r="A1971" i="2"/>
  <c r="H1970" i="2"/>
  <c r="G1970" i="2"/>
  <c r="F1970" i="2"/>
  <c r="E1970" i="2"/>
  <c r="D1970" i="2"/>
  <c r="C1970" i="2"/>
  <c r="B1970" i="2"/>
  <c r="A1970" i="2"/>
  <c r="H1969" i="2"/>
  <c r="G1969" i="2"/>
  <c r="F1969" i="2"/>
  <c r="E1969" i="2"/>
  <c r="D1969" i="2"/>
  <c r="C1969" i="2"/>
  <c r="B1969" i="2"/>
  <c r="A1969" i="2"/>
  <c r="H1968" i="2"/>
  <c r="G1968" i="2"/>
  <c r="F1968" i="2"/>
  <c r="E1968" i="2"/>
  <c r="D1968" i="2"/>
  <c r="C1968" i="2"/>
  <c r="B1968" i="2"/>
  <c r="A1968" i="2"/>
  <c r="H1967" i="2"/>
  <c r="G1967" i="2"/>
  <c r="F1967" i="2"/>
  <c r="E1967" i="2"/>
  <c r="D1967" i="2"/>
  <c r="C1967" i="2"/>
  <c r="B1967" i="2"/>
  <c r="A1967" i="2"/>
  <c r="H1966" i="2"/>
  <c r="G1966" i="2"/>
  <c r="F1966" i="2"/>
  <c r="E1966" i="2"/>
  <c r="D1966" i="2"/>
  <c r="C1966" i="2"/>
  <c r="B1966" i="2"/>
  <c r="A1966" i="2"/>
  <c r="H1965" i="2"/>
  <c r="G1965" i="2"/>
  <c r="F1965" i="2"/>
  <c r="E1965" i="2"/>
  <c r="D1965" i="2"/>
  <c r="C1965" i="2"/>
  <c r="B1965" i="2"/>
  <c r="A1965" i="2"/>
  <c r="H1964" i="2"/>
  <c r="G1964" i="2"/>
  <c r="F1964" i="2"/>
  <c r="E1964" i="2"/>
  <c r="D1964" i="2"/>
  <c r="C1964" i="2"/>
  <c r="B1964" i="2"/>
  <c r="A1964" i="2"/>
  <c r="H1963" i="2"/>
  <c r="G1963" i="2"/>
  <c r="F1963" i="2"/>
  <c r="E1963" i="2"/>
  <c r="D1963" i="2"/>
  <c r="C1963" i="2"/>
  <c r="B1963" i="2"/>
  <c r="A1963" i="2"/>
  <c r="H1962" i="2"/>
  <c r="G1962" i="2"/>
  <c r="F1962" i="2"/>
  <c r="E1962" i="2"/>
  <c r="D1962" i="2"/>
  <c r="C1962" i="2"/>
  <c r="B1962" i="2"/>
  <c r="A1962" i="2"/>
  <c r="H1961" i="2"/>
  <c r="G1961" i="2"/>
  <c r="F1961" i="2"/>
  <c r="E1961" i="2"/>
  <c r="D1961" i="2"/>
  <c r="C1961" i="2"/>
  <c r="B1961" i="2"/>
  <c r="A1961" i="2"/>
  <c r="H1960" i="2"/>
  <c r="G1960" i="2"/>
  <c r="F1960" i="2"/>
  <c r="E1960" i="2"/>
  <c r="D1960" i="2"/>
  <c r="C1960" i="2"/>
  <c r="B1960" i="2"/>
  <c r="A1960" i="2"/>
  <c r="H1959" i="2"/>
  <c r="G1959" i="2"/>
  <c r="F1959" i="2"/>
  <c r="E1959" i="2"/>
  <c r="D1959" i="2"/>
  <c r="C1959" i="2"/>
  <c r="B1959" i="2"/>
  <c r="A1959" i="2"/>
  <c r="H1958" i="2"/>
  <c r="G1958" i="2"/>
  <c r="F1958" i="2"/>
  <c r="E1958" i="2"/>
  <c r="D1958" i="2"/>
  <c r="C1958" i="2"/>
  <c r="B1958" i="2"/>
  <c r="A1958" i="2"/>
  <c r="H1957" i="2"/>
  <c r="G1957" i="2"/>
  <c r="F1957" i="2"/>
  <c r="E1957" i="2"/>
  <c r="D1957" i="2"/>
  <c r="C1957" i="2"/>
  <c r="B1957" i="2"/>
  <c r="A1957" i="2"/>
  <c r="H1956" i="2"/>
  <c r="G1956" i="2"/>
  <c r="F1956" i="2"/>
  <c r="E1956" i="2"/>
  <c r="D1956" i="2"/>
  <c r="C1956" i="2"/>
  <c r="B1956" i="2"/>
  <c r="A1956" i="2"/>
  <c r="H1955" i="2"/>
  <c r="G1955" i="2"/>
  <c r="F1955" i="2"/>
  <c r="E1955" i="2"/>
  <c r="D1955" i="2"/>
  <c r="C1955" i="2"/>
  <c r="B1955" i="2"/>
  <c r="A1955" i="2"/>
  <c r="H1954" i="2"/>
  <c r="G1954" i="2"/>
  <c r="F1954" i="2"/>
  <c r="E1954" i="2"/>
  <c r="D1954" i="2"/>
  <c r="C1954" i="2"/>
  <c r="B1954" i="2"/>
  <c r="A1954" i="2"/>
  <c r="H1953" i="2"/>
  <c r="G1953" i="2"/>
  <c r="F1953" i="2"/>
  <c r="E1953" i="2"/>
  <c r="D1953" i="2"/>
  <c r="C1953" i="2"/>
  <c r="B1953" i="2"/>
  <c r="A1953" i="2"/>
  <c r="H1952" i="2"/>
  <c r="G1952" i="2"/>
  <c r="F1952" i="2"/>
  <c r="E1952" i="2"/>
  <c r="D1952" i="2"/>
  <c r="C1952" i="2"/>
  <c r="B1952" i="2"/>
  <c r="A1952" i="2"/>
  <c r="H1951" i="2"/>
  <c r="G1951" i="2"/>
  <c r="F1951" i="2"/>
  <c r="E1951" i="2"/>
  <c r="D1951" i="2"/>
  <c r="C1951" i="2"/>
  <c r="B1951" i="2"/>
  <c r="A1951" i="2"/>
  <c r="H1950" i="2"/>
  <c r="G1950" i="2"/>
  <c r="F1950" i="2"/>
  <c r="E1950" i="2"/>
  <c r="D1950" i="2"/>
  <c r="C1950" i="2"/>
  <c r="B1950" i="2"/>
  <c r="A1950" i="2"/>
  <c r="H1949" i="2"/>
  <c r="G1949" i="2"/>
  <c r="F1949" i="2"/>
  <c r="E1949" i="2"/>
  <c r="D1949" i="2"/>
  <c r="C1949" i="2"/>
  <c r="B1949" i="2"/>
  <c r="A1949" i="2"/>
  <c r="H1948" i="2"/>
  <c r="G1948" i="2"/>
  <c r="F1948" i="2"/>
  <c r="E1948" i="2"/>
  <c r="D1948" i="2"/>
  <c r="C1948" i="2"/>
  <c r="B1948" i="2"/>
  <c r="A1948" i="2"/>
  <c r="H1947" i="2"/>
  <c r="G1947" i="2"/>
  <c r="F1947" i="2"/>
  <c r="E1947" i="2"/>
  <c r="D1947" i="2"/>
  <c r="C1947" i="2"/>
  <c r="B1947" i="2"/>
  <c r="A1947" i="2"/>
  <c r="H1946" i="2"/>
  <c r="G1946" i="2"/>
  <c r="F1946" i="2"/>
  <c r="E1946" i="2"/>
  <c r="D1946" i="2"/>
  <c r="C1946" i="2"/>
  <c r="B1946" i="2"/>
  <c r="A1946" i="2"/>
  <c r="H1945" i="2"/>
  <c r="G1945" i="2"/>
  <c r="F1945" i="2"/>
  <c r="E1945" i="2"/>
  <c r="D1945" i="2"/>
  <c r="C1945" i="2"/>
  <c r="B1945" i="2"/>
  <c r="A1945" i="2"/>
  <c r="H1944" i="2"/>
  <c r="G1944" i="2"/>
  <c r="F1944" i="2"/>
  <c r="E1944" i="2"/>
  <c r="D1944" i="2"/>
  <c r="C1944" i="2"/>
  <c r="B1944" i="2"/>
  <c r="A1944" i="2"/>
  <c r="H1943" i="2"/>
  <c r="G1943" i="2"/>
  <c r="F1943" i="2"/>
  <c r="E1943" i="2"/>
  <c r="D1943" i="2"/>
  <c r="C1943" i="2"/>
  <c r="B1943" i="2"/>
  <c r="A1943" i="2"/>
  <c r="H1942" i="2"/>
  <c r="G1942" i="2"/>
  <c r="F1942" i="2"/>
  <c r="E1942" i="2"/>
  <c r="D1942" i="2"/>
  <c r="C1942" i="2"/>
  <c r="B1942" i="2"/>
  <c r="A1942" i="2"/>
  <c r="H1941" i="2"/>
  <c r="G1941" i="2"/>
  <c r="F1941" i="2"/>
  <c r="E1941" i="2"/>
  <c r="D1941" i="2"/>
  <c r="C1941" i="2"/>
  <c r="B1941" i="2"/>
  <c r="A1941" i="2"/>
  <c r="H1940" i="2"/>
  <c r="G1940" i="2"/>
  <c r="F1940" i="2"/>
  <c r="E1940" i="2"/>
  <c r="D1940" i="2"/>
  <c r="C1940" i="2"/>
  <c r="B1940" i="2"/>
  <c r="A1940" i="2"/>
  <c r="H1939" i="2"/>
  <c r="G1939" i="2"/>
  <c r="F1939" i="2"/>
  <c r="E1939" i="2"/>
  <c r="D1939" i="2"/>
  <c r="C1939" i="2"/>
  <c r="B1939" i="2"/>
  <c r="A1939" i="2"/>
  <c r="H1938" i="2"/>
  <c r="G1938" i="2"/>
  <c r="F1938" i="2"/>
  <c r="E1938" i="2"/>
  <c r="D1938" i="2"/>
  <c r="C1938" i="2"/>
  <c r="B1938" i="2"/>
  <c r="A1938" i="2"/>
  <c r="H1937" i="2"/>
  <c r="G1937" i="2"/>
  <c r="F1937" i="2"/>
  <c r="E1937" i="2"/>
  <c r="D1937" i="2"/>
  <c r="C1937" i="2"/>
  <c r="B1937" i="2"/>
  <c r="A1937" i="2"/>
  <c r="H1936" i="2"/>
  <c r="G1936" i="2"/>
  <c r="F1936" i="2"/>
  <c r="E1936" i="2"/>
  <c r="D1936" i="2"/>
  <c r="C1936" i="2"/>
  <c r="B1936" i="2"/>
  <c r="A1936" i="2"/>
  <c r="H1935" i="2"/>
  <c r="G1935" i="2"/>
  <c r="F1935" i="2"/>
  <c r="E1935" i="2"/>
  <c r="D1935" i="2"/>
  <c r="C1935" i="2"/>
  <c r="B1935" i="2"/>
  <c r="A1935" i="2"/>
  <c r="H1934" i="2"/>
  <c r="G1934" i="2"/>
  <c r="F1934" i="2"/>
  <c r="E1934" i="2"/>
  <c r="D1934" i="2"/>
  <c r="C1934" i="2"/>
  <c r="B1934" i="2"/>
  <c r="A1934" i="2"/>
  <c r="H1933" i="2"/>
  <c r="G1933" i="2"/>
  <c r="F1933" i="2"/>
  <c r="E1933" i="2"/>
  <c r="D1933" i="2"/>
  <c r="C1933" i="2"/>
  <c r="B1933" i="2"/>
  <c r="A1933" i="2"/>
  <c r="H1932" i="2"/>
  <c r="G1932" i="2"/>
  <c r="F1932" i="2"/>
  <c r="E1932" i="2"/>
  <c r="D1932" i="2"/>
  <c r="C1932" i="2"/>
  <c r="B1932" i="2"/>
  <c r="A1932" i="2"/>
  <c r="H1931" i="2"/>
  <c r="G1931" i="2"/>
  <c r="F1931" i="2"/>
  <c r="E1931" i="2"/>
  <c r="D1931" i="2"/>
  <c r="C1931" i="2"/>
  <c r="B1931" i="2"/>
  <c r="A1931" i="2"/>
  <c r="H1930" i="2"/>
  <c r="G1930" i="2"/>
  <c r="F1930" i="2"/>
  <c r="E1930" i="2"/>
  <c r="D1930" i="2"/>
  <c r="C1930" i="2"/>
  <c r="B1930" i="2"/>
  <c r="A1930" i="2"/>
  <c r="H1929" i="2"/>
  <c r="G1929" i="2"/>
  <c r="F1929" i="2"/>
  <c r="E1929" i="2"/>
  <c r="D1929" i="2"/>
  <c r="C1929" i="2"/>
  <c r="B1929" i="2"/>
  <c r="A1929" i="2"/>
  <c r="H1928" i="2"/>
  <c r="G1928" i="2"/>
  <c r="F1928" i="2"/>
  <c r="E1928" i="2"/>
  <c r="D1928" i="2"/>
  <c r="C1928" i="2"/>
  <c r="B1928" i="2"/>
  <c r="A1928" i="2"/>
  <c r="H1927" i="2"/>
  <c r="G1927" i="2"/>
  <c r="F1927" i="2"/>
  <c r="E1927" i="2"/>
  <c r="D1927" i="2"/>
  <c r="C1927" i="2"/>
  <c r="B1927" i="2"/>
  <c r="A1927" i="2"/>
  <c r="H1926" i="2"/>
  <c r="G1926" i="2"/>
  <c r="F1926" i="2"/>
  <c r="E1926" i="2"/>
  <c r="D1926" i="2"/>
  <c r="C1926" i="2"/>
  <c r="B1926" i="2"/>
  <c r="A1926" i="2"/>
  <c r="H1925" i="2"/>
  <c r="G1925" i="2"/>
  <c r="F1925" i="2"/>
  <c r="E1925" i="2"/>
  <c r="D1925" i="2"/>
  <c r="C1925" i="2"/>
  <c r="B1925" i="2"/>
  <c r="A1925" i="2"/>
  <c r="H1924" i="2"/>
  <c r="G1924" i="2"/>
  <c r="F1924" i="2"/>
  <c r="E1924" i="2"/>
  <c r="D1924" i="2"/>
  <c r="C1924" i="2"/>
  <c r="B1924" i="2"/>
  <c r="A1924" i="2"/>
  <c r="H1923" i="2"/>
  <c r="G1923" i="2"/>
  <c r="F1923" i="2"/>
  <c r="E1923" i="2"/>
  <c r="D1923" i="2"/>
  <c r="C1923" i="2"/>
  <c r="B1923" i="2"/>
  <c r="A1923" i="2"/>
  <c r="H1922" i="2"/>
  <c r="G1922" i="2"/>
  <c r="F1922" i="2"/>
  <c r="E1922" i="2"/>
  <c r="D1922" i="2"/>
  <c r="C1922" i="2"/>
  <c r="B1922" i="2"/>
  <c r="A1922" i="2"/>
  <c r="H1921" i="2"/>
  <c r="G1921" i="2"/>
  <c r="F1921" i="2"/>
  <c r="E1921" i="2"/>
  <c r="D1921" i="2"/>
  <c r="C1921" i="2"/>
  <c r="B1921" i="2"/>
  <c r="A1921" i="2"/>
  <c r="H1920" i="2"/>
  <c r="G1920" i="2"/>
  <c r="F1920" i="2"/>
  <c r="E1920" i="2"/>
  <c r="D1920" i="2"/>
  <c r="C1920" i="2"/>
  <c r="B1920" i="2"/>
  <c r="A1920" i="2"/>
  <c r="H1919" i="2"/>
  <c r="G1919" i="2"/>
  <c r="F1919" i="2"/>
  <c r="E1919" i="2"/>
  <c r="D1919" i="2"/>
  <c r="C1919" i="2"/>
  <c r="B1919" i="2"/>
  <c r="A1919" i="2"/>
  <c r="H1918" i="2"/>
  <c r="G1918" i="2"/>
  <c r="F1918" i="2"/>
  <c r="E1918" i="2"/>
  <c r="D1918" i="2"/>
  <c r="C1918" i="2"/>
  <c r="B1918" i="2"/>
  <c r="A1918" i="2"/>
  <c r="H1917" i="2"/>
  <c r="G1917" i="2"/>
  <c r="F1917" i="2"/>
  <c r="E1917" i="2"/>
  <c r="D1917" i="2"/>
  <c r="C1917" i="2"/>
  <c r="B1917" i="2"/>
  <c r="A1917" i="2"/>
  <c r="H1916" i="2"/>
  <c r="G1916" i="2"/>
  <c r="F1916" i="2"/>
  <c r="E1916" i="2"/>
  <c r="D1916" i="2"/>
  <c r="C1916" i="2"/>
  <c r="B1916" i="2"/>
  <c r="A1916" i="2"/>
  <c r="H1915" i="2"/>
  <c r="G1915" i="2"/>
  <c r="F1915" i="2"/>
  <c r="E1915" i="2"/>
  <c r="D1915" i="2"/>
  <c r="C1915" i="2"/>
  <c r="B1915" i="2"/>
  <c r="A1915" i="2"/>
  <c r="H1914" i="2"/>
  <c r="G1914" i="2"/>
  <c r="F1914" i="2"/>
  <c r="E1914" i="2"/>
  <c r="D1914" i="2"/>
  <c r="C1914" i="2"/>
  <c r="B1914" i="2"/>
  <c r="A1914" i="2"/>
  <c r="H1913" i="2"/>
  <c r="G1913" i="2"/>
  <c r="F1913" i="2"/>
  <c r="E1913" i="2"/>
  <c r="D1913" i="2"/>
  <c r="C1913" i="2"/>
  <c r="B1913" i="2"/>
  <c r="A1913" i="2"/>
  <c r="H1912" i="2"/>
  <c r="G1912" i="2"/>
  <c r="F1912" i="2"/>
  <c r="E1912" i="2"/>
  <c r="D1912" i="2"/>
  <c r="C1912" i="2"/>
  <c r="B1912" i="2"/>
  <c r="A1912" i="2"/>
  <c r="H1911" i="2"/>
  <c r="G1911" i="2"/>
  <c r="F1911" i="2"/>
  <c r="E1911" i="2"/>
  <c r="D1911" i="2"/>
  <c r="C1911" i="2"/>
  <c r="B1911" i="2"/>
  <c r="A1911" i="2"/>
  <c r="H1910" i="2"/>
  <c r="G1910" i="2"/>
  <c r="F1910" i="2"/>
  <c r="E1910" i="2"/>
  <c r="D1910" i="2"/>
  <c r="C1910" i="2"/>
  <c r="B1910" i="2"/>
  <c r="A1910" i="2"/>
  <c r="H1909" i="2"/>
  <c r="G1909" i="2"/>
  <c r="F1909" i="2"/>
  <c r="E1909" i="2"/>
  <c r="D1909" i="2"/>
  <c r="C1909" i="2"/>
  <c r="B1909" i="2"/>
  <c r="A1909" i="2"/>
  <c r="H1908" i="2"/>
  <c r="G1908" i="2"/>
  <c r="F1908" i="2"/>
  <c r="E1908" i="2"/>
  <c r="D1908" i="2"/>
  <c r="C1908" i="2"/>
  <c r="B1908" i="2"/>
  <c r="A1908" i="2"/>
  <c r="H1907" i="2"/>
  <c r="G1907" i="2"/>
  <c r="F1907" i="2"/>
  <c r="E1907" i="2"/>
  <c r="D1907" i="2"/>
  <c r="C1907" i="2"/>
  <c r="B1907" i="2"/>
  <c r="A1907" i="2"/>
  <c r="H1906" i="2"/>
  <c r="G1906" i="2"/>
  <c r="F1906" i="2"/>
  <c r="E1906" i="2"/>
  <c r="D1906" i="2"/>
  <c r="C1906" i="2"/>
  <c r="B1906" i="2"/>
  <c r="A1906" i="2"/>
  <c r="H1905" i="2"/>
  <c r="G1905" i="2"/>
  <c r="F1905" i="2"/>
  <c r="E1905" i="2"/>
  <c r="D1905" i="2"/>
  <c r="C1905" i="2"/>
  <c r="B1905" i="2"/>
  <c r="A1905" i="2"/>
  <c r="H1904" i="2"/>
  <c r="G1904" i="2"/>
  <c r="F1904" i="2"/>
  <c r="E1904" i="2"/>
  <c r="D1904" i="2"/>
  <c r="C1904" i="2"/>
  <c r="B1904" i="2"/>
  <c r="A1904" i="2"/>
  <c r="H1903" i="2"/>
  <c r="G1903" i="2"/>
  <c r="F1903" i="2"/>
  <c r="E1903" i="2"/>
  <c r="D1903" i="2"/>
  <c r="C1903" i="2"/>
  <c r="B1903" i="2"/>
  <c r="A1903" i="2"/>
  <c r="H1902" i="2"/>
  <c r="G1902" i="2"/>
  <c r="F1902" i="2"/>
  <c r="E1902" i="2"/>
  <c r="D1902" i="2"/>
  <c r="C1902" i="2"/>
  <c r="B1902" i="2"/>
  <c r="A1902" i="2"/>
  <c r="H1901" i="2"/>
  <c r="G1901" i="2"/>
  <c r="F1901" i="2"/>
  <c r="E1901" i="2"/>
  <c r="D1901" i="2"/>
  <c r="C1901" i="2"/>
  <c r="B1901" i="2"/>
  <c r="A1901" i="2"/>
  <c r="H1900" i="2"/>
  <c r="G1900" i="2"/>
  <c r="F1900" i="2"/>
  <c r="E1900" i="2"/>
  <c r="D1900" i="2"/>
  <c r="C1900" i="2"/>
  <c r="B1900" i="2"/>
  <c r="A1900" i="2"/>
  <c r="H1899" i="2"/>
  <c r="G1899" i="2"/>
  <c r="F1899" i="2"/>
  <c r="E1899" i="2"/>
  <c r="D1899" i="2"/>
  <c r="C1899" i="2"/>
  <c r="B1899" i="2"/>
  <c r="A1899" i="2"/>
  <c r="H1898" i="2"/>
  <c r="G1898" i="2"/>
  <c r="F1898" i="2"/>
  <c r="E1898" i="2"/>
  <c r="D1898" i="2"/>
  <c r="C1898" i="2"/>
  <c r="B1898" i="2"/>
  <c r="A1898" i="2"/>
  <c r="H1897" i="2"/>
  <c r="G1897" i="2"/>
  <c r="F1897" i="2"/>
  <c r="E1897" i="2"/>
  <c r="D1897" i="2"/>
  <c r="C1897" i="2"/>
  <c r="B1897" i="2"/>
  <c r="A1897" i="2"/>
  <c r="H1896" i="2"/>
  <c r="G1896" i="2"/>
  <c r="F1896" i="2"/>
  <c r="E1896" i="2"/>
  <c r="D1896" i="2"/>
  <c r="C1896" i="2"/>
  <c r="B1896" i="2"/>
  <c r="A1896" i="2"/>
  <c r="H1895" i="2"/>
  <c r="G1895" i="2"/>
  <c r="F1895" i="2"/>
  <c r="E1895" i="2"/>
  <c r="D1895" i="2"/>
  <c r="C1895" i="2"/>
  <c r="B1895" i="2"/>
  <c r="A1895" i="2"/>
  <c r="H1894" i="2"/>
  <c r="G1894" i="2"/>
  <c r="F1894" i="2"/>
  <c r="E1894" i="2"/>
  <c r="D1894" i="2"/>
  <c r="C1894" i="2"/>
  <c r="B1894" i="2"/>
  <c r="A1894" i="2"/>
  <c r="H1893" i="2"/>
  <c r="G1893" i="2"/>
  <c r="F1893" i="2"/>
  <c r="E1893" i="2"/>
  <c r="D1893" i="2"/>
  <c r="C1893" i="2"/>
  <c r="B1893" i="2"/>
  <c r="A1893" i="2"/>
  <c r="H1892" i="2"/>
  <c r="G1892" i="2"/>
  <c r="F1892" i="2"/>
  <c r="E1892" i="2"/>
  <c r="D1892" i="2"/>
  <c r="C1892" i="2"/>
  <c r="B1892" i="2"/>
  <c r="A1892" i="2"/>
  <c r="H1891" i="2"/>
  <c r="G1891" i="2"/>
  <c r="F1891" i="2"/>
  <c r="E1891" i="2"/>
  <c r="D1891" i="2"/>
  <c r="C1891" i="2"/>
  <c r="B1891" i="2"/>
  <c r="A1891" i="2"/>
  <c r="H1890" i="2"/>
  <c r="G1890" i="2"/>
  <c r="F1890" i="2"/>
  <c r="E1890" i="2"/>
  <c r="D1890" i="2"/>
  <c r="C1890" i="2"/>
  <c r="B1890" i="2"/>
  <c r="A1890" i="2"/>
  <c r="H1889" i="2"/>
  <c r="G1889" i="2"/>
  <c r="F1889" i="2"/>
  <c r="E1889" i="2"/>
  <c r="D1889" i="2"/>
  <c r="C1889" i="2"/>
  <c r="B1889" i="2"/>
  <c r="A1889" i="2"/>
  <c r="H1888" i="2"/>
  <c r="G1888" i="2"/>
  <c r="F1888" i="2"/>
  <c r="E1888" i="2"/>
  <c r="D1888" i="2"/>
  <c r="C1888" i="2"/>
  <c r="B1888" i="2"/>
  <c r="A1888" i="2"/>
  <c r="H1887" i="2"/>
  <c r="G1887" i="2"/>
  <c r="F1887" i="2"/>
  <c r="E1887" i="2"/>
  <c r="D1887" i="2"/>
  <c r="C1887" i="2"/>
  <c r="B1887" i="2"/>
  <c r="A1887" i="2"/>
  <c r="H1886" i="2"/>
  <c r="G1886" i="2"/>
  <c r="F1886" i="2"/>
  <c r="E1886" i="2"/>
  <c r="D1886" i="2"/>
  <c r="C1886" i="2"/>
  <c r="B1886" i="2"/>
  <c r="A1886" i="2"/>
  <c r="H1885" i="2"/>
  <c r="G1885" i="2"/>
  <c r="F1885" i="2"/>
  <c r="E1885" i="2"/>
  <c r="D1885" i="2"/>
  <c r="C1885" i="2"/>
  <c r="B1885" i="2"/>
  <c r="A1885" i="2"/>
  <c r="H1884" i="2"/>
  <c r="G1884" i="2"/>
  <c r="F1884" i="2"/>
  <c r="E1884" i="2"/>
  <c r="D1884" i="2"/>
  <c r="C1884" i="2"/>
  <c r="B1884" i="2"/>
  <c r="A1884" i="2"/>
  <c r="H1883" i="2"/>
  <c r="G1883" i="2"/>
  <c r="F1883" i="2"/>
  <c r="E1883" i="2"/>
  <c r="D1883" i="2"/>
  <c r="C1883" i="2"/>
  <c r="B1883" i="2"/>
  <c r="A1883" i="2"/>
  <c r="H1882" i="2"/>
  <c r="G1882" i="2"/>
  <c r="F1882" i="2"/>
  <c r="E1882" i="2"/>
  <c r="D1882" i="2"/>
  <c r="C1882" i="2"/>
  <c r="B1882" i="2"/>
  <c r="A1882" i="2"/>
  <c r="H1881" i="2"/>
  <c r="G1881" i="2"/>
  <c r="F1881" i="2"/>
  <c r="E1881" i="2"/>
  <c r="D1881" i="2"/>
  <c r="C1881" i="2"/>
  <c r="B1881" i="2"/>
  <c r="A1881" i="2"/>
  <c r="H1880" i="2"/>
  <c r="G1880" i="2"/>
  <c r="F1880" i="2"/>
  <c r="E1880" i="2"/>
  <c r="D1880" i="2"/>
  <c r="C1880" i="2"/>
  <c r="B1880" i="2"/>
  <c r="A1880" i="2"/>
  <c r="H1879" i="2"/>
  <c r="G1879" i="2"/>
  <c r="F1879" i="2"/>
  <c r="E1879" i="2"/>
  <c r="D1879" i="2"/>
  <c r="C1879" i="2"/>
  <c r="B1879" i="2"/>
  <c r="A1879" i="2"/>
  <c r="H1878" i="2"/>
  <c r="G1878" i="2"/>
  <c r="F1878" i="2"/>
  <c r="E1878" i="2"/>
  <c r="D1878" i="2"/>
  <c r="C1878" i="2"/>
  <c r="B1878" i="2"/>
  <c r="A1878" i="2"/>
  <c r="H1877" i="2"/>
  <c r="G1877" i="2"/>
  <c r="F1877" i="2"/>
  <c r="E1877" i="2"/>
  <c r="D1877" i="2"/>
  <c r="C1877" i="2"/>
  <c r="B1877" i="2"/>
  <c r="A1877" i="2"/>
  <c r="H1876" i="2"/>
  <c r="G1876" i="2"/>
  <c r="F1876" i="2"/>
  <c r="E1876" i="2"/>
  <c r="D1876" i="2"/>
  <c r="C1876" i="2"/>
  <c r="B1876" i="2"/>
  <c r="A1876" i="2"/>
  <c r="H1875" i="2"/>
  <c r="G1875" i="2"/>
  <c r="F1875" i="2"/>
  <c r="E1875" i="2"/>
  <c r="D1875" i="2"/>
  <c r="C1875" i="2"/>
  <c r="B1875" i="2"/>
  <c r="A1875" i="2"/>
  <c r="H1874" i="2"/>
  <c r="G1874" i="2"/>
  <c r="F1874" i="2"/>
  <c r="E1874" i="2"/>
  <c r="D1874" i="2"/>
  <c r="C1874" i="2"/>
  <c r="B1874" i="2"/>
  <c r="A1874" i="2"/>
  <c r="H1873" i="2"/>
  <c r="G1873" i="2"/>
  <c r="F1873" i="2"/>
  <c r="E1873" i="2"/>
  <c r="D1873" i="2"/>
  <c r="C1873" i="2"/>
  <c r="B1873" i="2"/>
  <c r="A1873" i="2"/>
  <c r="H1872" i="2"/>
  <c r="G1872" i="2"/>
  <c r="F1872" i="2"/>
  <c r="E1872" i="2"/>
  <c r="D1872" i="2"/>
  <c r="C1872" i="2"/>
  <c r="B1872" i="2"/>
  <c r="A1872" i="2"/>
  <c r="H1871" i="2"/>
  <c r="G1871" i="2"/>
  <c r="F1871" i="2"/>
  <c r="E1871" i="2"/>
  <c r="D1871" i="2"/>
  <c r="C1871" i="2"/>
  <c r="B1871" i="2"/>
  <c r="A1871" i="2"/>
  <c r="H1870" i="2"/>
  <c r="G1870" i="2"/>
  <c r="F1870" i="2"/>
  <c r="E1870" i="2"/>
  <c r="D1870" i="2"/>
  <c r="C1870" i="2"/>
  <c r="B1870" i="2"/>
  <c r="A1870" i="2"/>
  <c r="H1869" i="2"/>
  <c r="G1869" i="2"/>
  <c r="F1869" i="2"/>
  <c r="E1869" i="2"/>
  <c r="D1869" i="2"/>
  <c r="C1869" i="2"/>
  <c r="B1869" i="2"/>
  <c r="A1869" i="2"/>
  <c r="H1868" i="2"/>
  <c r="G1868" i="2"/>
  <c r="F1868" i="2"/>
  <c r="E1868" i="2"/>
  <c r="D1868" i="2"/>
  <c r="C1868" i="2"/>
  <c r="B1868" i="2"/>
  <c r="A1868" i="2"/>
  <c r="H1867" i="2"/>
  <c r="G1867" i="2"/>
  <c r="F1867" i="2"/>
  <c r="E1867" i="2"/>
  <c r="D1867" i="2"/>
  <c r="C1867" i="2"/>
  <c r="B1867" i="2"/>
  <c r="A1867" i="2"/>
  <c r="H1866" i="2"/>
  <c r="G1866" i="2"/>
  <c r="F1866" i="2"/>
  <c r="E1866" i="2"/>
  <c r="D1866" i="2"/>
  <c r="C1866" i="2"/>
  <c r="B1866" i="2"/>
  <c r="A1866" i="2"/>
  <c r="H1865" i="2"/>
  <c r="G1865" i="2"/>
  <c r="F1865" i="2"/>
  <c r="E1865" i="2"/>
  <c r="D1865" i="2"/>
  <c r="C1865" i="2"/>
  <c r="B1865" i="2"/>
  <c r="A1865" i="2"/>
  <c r="H1864" i="2"/>
  <c r="G1864" i="2"/>
  <c r="F1864" i="2"/>
  <c r="E1864" i="2"/>
  <c r="D1864" i="2"/>
  <c r="C1864" i="2"/>
  <c r="B1864" i="2"/>
  <c r="A1864" i="2"/>
  <c r="H1863" i="2"/>
  <c r="G1863" i="2"/>
  <c r="F1863" i="2"/>
  <c r="E1863" i="2"/>
  <c r="D1863" i="2"/>
  <c r="C1863" i="2"/>
  <c r="B1863" i="2"/>
  <c r="A1863" i="2"/>
  <c r="H1862" i="2"/>
  <c r="G1862" i="2"/>
  <c r="F1862" i="2"/>
  <c r="E1862" i="2"/>
  <c r="D1862" i="2"/>
  <c r="C1862" i="2"/>
  <c r="B1862" i="2"/>
  <c r="A1862" i="2"/>
  <c r="H1861" i="2"/>
  <c r="G1861" i="2"/>
  <c r="F1861" i="2"/>
  <c r="E1861" i="2"/>
  <c r="D1861" i="2"/>
  <c r="C1861" i="2"/>
  <c r="B1861" i="2"/>
  <c r="A1861" i="2"/>
  <c r="H1860" i="2"/>
  <c r="G1860" i="2"/>
  <c r="F1860" i="2"/>
  <c r="E1860" i="2"/>
  <c r="D1860" i="2"/>
  <c r="C1860" i="2"/>
  <c r="B1860" i="2"/>
  <c r="A1860" i="2"/>
  <c r="H1859" i="2"/>
  <c r="G1859" i="2"/>
  <c r="F1859" i="2"/>
  <c r="E1859" i="2"/>
  <c r="D1859" i="2"/>
  <c r="C1859" i="2"/>
  <c r="B1859" i="2"/>
  <c r="A1859" i="2"/>
  <c r="H1858" i="2"/>
  <c r="G1858" i="2"/>
  <c r="F1858" i="2"/>
  <c r="E1858" i="2"/>
  <c r="D1858" i="2"/>
  <c r="C1858" i="2"/>
  <c r="B1858" i="2"/>
  <c r="A1858" i="2"/>
  <c r="H1857" i="2"/>
  <c r="G1857" i="2"/>
  <c r="F1857" i="2"/>
  <c r="E1857" i="2"/>
  <c r="D1857" i="2"/>
  <c r="C1857" i="2"/>
  <c r="B1857" i="2"/>
  <c r="A1857" i="2"/>
  <c r="H1856" i="2"/>
  <c r="G1856" i="2"/>
  <c r="F1856" i="2"/>
  <c r="E1856" i="2"/>
  <c r="D1856" i="2"/>
  <c r="C1856" i="2"/>
  <c r="B1856" i="2"/>
  <c r="A1856" i="2"/>
  <c r="H1855" i="2"/>
  <c r="G1855" i="2"/>
  <c r="F1855" i="2"/>
  <c r="E1855" i="2"/>
  <c r="D1855" i="2"/>
  <c r="C1855" i="2"/>
  <c r="B1855" i="2"/>
  <c r="A1855" i="2"/>
  <c r="H1854" i="2"/>
  <c r="G1854" i="2"/>
  <c r="F1854" i="2"/>
  <c r="E1854" i="2"/>
  <c r="D1854" i="2"/>
  <c r="C1854" i="2"/>
  <c r="B1854" i="2"/>
  <c r="A1854" i="2"/>
  <c r="H1853" i="2"/>
  <c r="G1853" i="2"/>
  <c r="F1853" i="2"/>
  <c r="E1853" i="2"/>
  <c r="D1853" i="2"/>
  <c r="C1853" i="2"/>
  <c r="B1853" i="2"/>
  <c r="A1853" i="2"/>
  <c r="H1852" i="2"/>
  <c r="G1852" i="2"/>
  <c r="F1852" i="2"/>
  <c r="E1852" i="2"/>
  <c r="D1852" i="2"/>
  <c r="C1852" i="2"/>
  <c r="B1852" i="2"/>
  <c r="A1852" i="2"/>
  <c r="H1851" i="2"/>
  <c r="G1851" i="2"/>
  <c r="F1851" i="2"/>
  <c r="E1851" i="2"/>
  <c r="D1851" i="2"/>
  <c r="C1851" i="2"/>
  <c r="B1851" i="2"/>
  <c r="A1851" i="2"/>
  <c r="H1850" i="2"/>
  <c r="G1850" i="2"/>
  <c r="F1850" i="2"/>
  <c r="E1850" i="2"/>
  <c r="D1850" i="2"/>
  <c r="C1850" i="2"/>
  <c r="B1850" i="2"/>
  <c r="A1850" i="2"/>
  <c r="H1849" i="2"/>
  <c r="G1849" i="2"/>
  <c r="F1849" i="2"/>
  <c r="E1849" i="2"/>
  <c r="D1849" i="2"/>
  <c r="C1849" i="2"/>
  <c r="B1849" i="2"/>
  <c r="A1849" i="2"/>
  <c r="H1848" i="2"/>
  <c r="G1848" i="2"/>
  <c r="F1848" i="2"/>
  <c r="E1848" i="2"/>
  <c r="D1848" i="2"/>
  <c r="C1848" i="2"/>
  <c r="B1848" i="2"/>
  <c r="A1848" i="2"/>
  <c r="H1847" i="2"/>
  <c r="G1847" i="2"/>
  <c r="F1847" i="2"/>
  <c r="E1847" i="2"/>
  <c r="D1847" i="2"/>
  <c r="C1847" i="2"/>
  <c r="B1847" i="2"/>
  <c r="A1847" i="2"/>
  <c r="H1846" i="2"/>
  <c r="G1846" i="2"/>
  <c r="F1846" i="2"/>
  <c r="E1846" i="2"/>
  <c r="D1846" i="2"/>
  <c r="C1846" i="2"/>
  <c r="B1846" i="2"/>
  <c r="A1846" i="2"/>
  <c r="H1845" i="2"/>
  <c r="G1845" i="2"/>
  <c r="F1845" i="2"/>
  <c r="E1845" i="2"/>
  <c r="D1845" i="2"/>
  <c r="C1845" i="2"/>
  <c r="B1845" i="2"/>
  <c r="A1845" i="2"/>
  <c r="H1844" i="2"/>
  <c r="G1844" i="2"/>
  <c r="F1844" i="2"/>
  <c r="E1844" i="2"/>
  <c r="D1844" i="2"/>
  <c r="C1844" i="2"/>
  <c r="B1844" i="2"/>
  <c r="A1844" i="2"/>
  <c r="H1843" i="2"/>
  <c r="G1843" i="2"/>
  <c r="F1843" i="2"/>
  <c r="E1843" i="2"/>
  <c r="D1843" i="2"/>
  <c r="C1843" i="2"/>
  <c r="B1843" i="2"/>
  <c r="A1843" i="2"/>
  <c r="H1842" i="2"/>
  <c r="G1842" i="2"/>
  <c r="F1842" i="2"/>
  <c r="E1842" i="2"/>
  <c r="D1842" i="2"/>
  <c r="C1842" i="2"/>
  <c r="B1842" i="2"/>
  <c r="A1842" i="2"/>
  <c r="H1841" i="2"/>
  <c r="G1841" i="2"/>
  <c r="F1841" i="2"/>
  <c r="E1841" i="2"/>
  <c r="D1841" i="2"/>
  <c r="C1841" i="2"/>
  <c r="B1841" i="2"/>
  <c r="A1841" i="2"/>
  <c r="H1840" i="2"/>
  <c r="G1840" i="2"/>
  <c r="F1840" i="2"/>
  <c r="E1840" i="2"/>
  <c r="D1840" i="2"/>
  <c r="C1840" i="2"/>
  <c r="B1840" i="2"/>
  <c r="A1840" i="2"/>
  <c r="H1839" i="2"/>
  <c r="G1839" i="2"/>
  <c r="F1839" i="2"/>
  <c r="E1839" i="2"/>
  <c r="D1839" i="2"/>
  <c r="C1839" i="2"/>
  <c r="B1839" i="2"/>
  <c r="A1839" i="2"/>
  <c r="H1838" i="2"/>
  <c r="G1838" i="2"/>
  <c r="F1838" i="2"/>
  <c r="E1838" i="2"/>
  <c r="D1838" i="2"/>
  <c r="C1838" i="2"/>
  <c r="B1838" i="2"/>
  <c r="A1838" i="2"/>
  <c r="H1837" i="2"/>
  <c r="G1837" i="2"/>
  <c r="F1837" i="2"/>
  <c r="E1837" i="2"/>
  <c r="D1837" i="2"/>
  <c r="C1837" i="2"/>
  <c r="B1837" i="2"/>
  <c r="A1837" i="2"/>
  <c r="H1836" i="2"/>
  <c r="G1836" i="2"/>
  <c r="F1836" i="2"/>
  <c r="E1836" i="2"/>
  <c r="D1836" i="2"/>
  <c r="C1836" i="2"/>
  <c r="B1836" i="2"/>
  <c r="A1836" i="2"/>
  <c r="H1835" i="2"/>
  <c r="G1835" i="2"/>
  <c r="F1835" i="2"/>
  <c r="E1835" i="2"/>
  <c r="D1835" i="2"/>
  <c r="C1835" i="2"/>
  <c r="B1835" i="2"/>
  <c r="A1835" i="2"/>
  <c r="H1834" i="2"/>
  <c r="G1834" i="2"/>
  <c r="F1834" i="2"/>
  <c r="E1834" i="2"/>
  <c r="D1834" i="2"/>
  <c r="C1834" i="2"/>
  <c r="B1834" i="2"/>
  <c r="A1834" i="2"/>
  <c r="H1833" i="2"/>
  <c r="G1833" i="2"/>
  <c r="F1833" i="2"/>
  <c r="E1833" i="2"/>
  <c r="D1833" i="2"/>
  <c r="C1833" i="2"/>
  <c r="B1833" i="2"/>
  <c r="A1833" i="2"/>
  <c r="H1832" i="2"/>
  <c r="G1832" i="2"/>
  <c r="F1832" i="2"/>
  <c r="E1832" i="2"/>
  <c r="D1832" i="2"/>
  <c r="C1832" i="2"/>
  <c r="B1832" i="2"/>
  <c r="A1832" i="2"/>
  <c r="H1831" i="2"/>
  <c r="G1831" i="2"/>
  <c r="F1831" i="2"/>
  <c r="E1831" i="2"/>
  <c r="D1831" i="2"/>
  <c r="C1831" i="2"/>
  <c r="B1831" i="2"/>
  <c r="A1831" i="2"/>
  <c r="H1830" i="2"/>
  <c r="G1830" i="2"/>
  <c r="F1830" i="2"/>
  <c r="E1830" i="2"/>
  <c r="D1830" i="2"/>
  <c r="C1830" i="2"/>
  <c r="B1830" i="2"/>
  <c r="A1830" i="2"/>
  <c r="H1829" i="2"/>
  <c r="G1829" i="2"/>
  <c r="F1829" i="2"/>
  <c r="E1829" i="2"/>
  <c r="D1829" i="2"/>
  <c r="C1829" i="2"/>
  <c r="B1829" i="2"/>
  <c r="A1829" i="2"/>
  <c r="H1828" i="2"/>
  <c r="G1828" i="2"/>
  <c r="F1828" i="2"/>
  <c r="E1828" i="2"/>
  <c r="D1828" i="2"/>
  <c r="C1828" i="2"/>
  <c r="B1828" i="2"/>
  <c r="A1828" i="2"/>
  <c r="H1827" i="2"/>
  <c r="G1827" i="2"/>
  <c r="F1827" i="2"/>
  <c r="E1827" i="2"/>
  <c r="D1827" i="2"/>
  <c r="C1827" i="2"/>
  <c r="B1827" i="2"/>
  <c r="A1827" i="2"/>
  <c r="H1826" i="2"/>
  <c r="G1826" i="2"/>
  <c r="F1826" i="2"/>
  <c r="E1826" i="2"/>
  <c r="D1826" i="2"/>
  <c r="C1826" i="2"/>
  <c r="B1826" i="2"/>
  <c r="A1826" i="2"/>
  <c r="H1825" i="2"/>
  <c r="G1825" i="2"/>
  <c r="F1825" i="2"/>
  <c r="E1825" i="2"/>
  <c r="D1825" i="2"/>
  <c r="C1825" i="2"/>
  <c r="B1825" i="2"/>
  <c r="A1825" i="2"/>
  <c r="H1824" i="2"/>
  <c r="G1824" i="2"/>
  <c r="F1824" i="2"/>
  <c r="E1824" i="2"/>
  <c r="D1824" i="2"/>
  <c r="C1824" i="2"/>
  <c r="B1824" i="2"/>
  <c r="A1824" i="2"/>
  <c r="H1823" i="2"/>
  <c r="G1823" i="2"/>
  <c r="F1823" i="2"/>
  <c r="E1823" i="2"/>
  <c r="D1823" i="2"/>
  <c r="C1823" i="2"/>
  <c r="B1823" i="2"/>
  <c r="A1823" i="2"/>
  <c r="H1822" i="2"/>
  <c r="G1822" i="2"/>
  <c r="F1822" i="2"/>
  <c r="E1822" i="2"/>
  <c r="D1822" i="2"/>
  <c r="C1822" i="2"/>
  <c r="B1822" i="2"/>
  <c r="A1822" i="2"/>
  <c r="H1821" i="2"/>
  <c r="G1821" i="2"/>
  <c r="F1821" i="2"/>
  <c r="E1821" i="2"/>
  <c r="D1821" i="2"/>
  <c r="C1821" i="2"/>
  <c r="B1821" i="2"/>
  <c r="A1821" i="2"/>
  <c r="H1820" i="2"/>
  <c r="G1820" i="2"/>
  <c r="F1820" i="2"/>
  <c r="E1820" i="2"/>
  <c r="D1820" i="2"/>
  <c r="C1820" i="2"/>
  <c r="B1820" i="2"/>
  <c r="A1820" i="2"/>
  <c r="H1819" i="2"/>
  <c r="G1819" i="2"/>
  <c r="F1819" i="2"/>
  <c r="E1819" i="2"/>
  <c r="D1819" i="2"/>
  <c r="C1819" i="2"/>
  <c r="B1819" i="2"/>
  <c r="A1819" i="2"/>
  <c r="H1818" i="2"/>
  <c r="G1818" i="2"/>
  <c r="F1818" i="2"/>
  <c r="E1818" i="2"/>
  <c r="D1818" i="2"/>
  <c r="C1818" i="2"/>
  <c r="B1818" i="2"/>
  <c r="A1818" i="2"/>
  <c r="H1817" i="2"/>
  <c r="G1817" i="2"/>
  <c r="F1817" i="2"/>
  <c r="E1817" i="2"/>
  <c r="D1817" i="2"/>
  <c r="C1817" i="2"/>
  <c r="B1817" i="2"/>
  <c r="A1817" i="2"/>
  <c r="H1816" i="2"/>
  <c r="G1816" i="2"/>
  <c r="F1816" i="2"/>
  <c r="E1816" i="2"/>
  <c r="D1816" i="2"/>
  <c r="C1816" i="2"/>
  <c r="B1816" i="2"/>
  <c r="A1816" i="2"/>
  <c r="H1815" i="2"/>
  <c r="G1815" i="2"/>
  <c r="F1815" i="2"/>
  <c r="E1815" i="2"/>
  <c r="D1815" i="2"/>
  <c r="C1815" i="2"/>
  <c r="B1815" i="2"/>
  <c r="A1815" i="2"/>
  <c r="H1814" i="2"/>
  <c r="G1814" i="2"/>
  <c r="F1814" i="2"/>
  <c r="E1814" i="2"/>
  <c r="D1814" i="2"/>
  <c r="C1814" i="2"/>
  <c r="B1814" i="2"/>
  <c r="A1814" i="2"/>
  <c r="H1813" i="2"/>
  <c r="G1813" i="2"/>
  <c r="F1813" i="2"/>
  <c r="E1813" i="2"/>
  <c r="D1813" i="2"/>
  <c r="C1813" i="2"/>
  <c r="B1813" i="2"/>
  <c r="A1813" i="2"/>
  <c r="H1812" i="2"/>
  <c r="G1812" i="2"/>
  <c r="F1812" i="2"/>
  <c r="E1812" i="2"/>
  <c r="D1812" i="2"/>
  <c r="C1812" i="2"/>
  <c r="B1812" i="2"/>
  <c r="A1812" i="2"/>
  <c r="H1811" i="2"/>
  <c r="G1811" i="2"/>
  <c r="F1811" i="2"/>
  <c r="E1811" i="2"/>
  <c r="D1811" i="2"/>
  <c r="C1811" i="2"/>
  <c r="B1811" i="2"/>
  <c r="A1811" i="2"/>
  <c r="H1810" i="2"/>
  <c r="G1810" i="2"/>
  <c r="F1810" i="2"/>
  <c r="E1810" i="2"/>
  <c r="D1810" i="2"/>
  <c r="C1810" i="2"/>
  <c r="B1810" i="2"/>
  <c r="A1810" i="2"/>
  <c r="H1809" i="2"/>
  <c r="G1809" i="2"/>
  <c r="F1809" i="2"/>
  <c r="E1809" i="2"/>
  <c r="D1809" i="2"/>
  <c r="C1809" i="2"/>
  <c r="B1809" i="2"/>
  <c r="A1809" i="2"/>
  <c r="H1808" i="2"/>
  <c r="G1808" i="2"/>
  <c r="F1808" i="2"/>
  <c r="E1808" i="2"/>
  <c r="D1808" i="2"/>
  <c r="C1808" i="2"/>
  <c r="B1808" i="2"/>
  <c r="A1808" i="2"/>
  <c r="H1807" i="2"/>
  <c r="G1807" i="2"/>
  <c r="F1807" i="2"/>
  <c r="E1807" i="2"/>
  <c r="D1807" i="2"/>
  <c r="C1807" i="2"/>
  <c r="B1807" i="2"/>
  <c r="A1807" i="2"/>
  <c r="H1806" i="2"/>
  <c r="G1806" i="2"/>
  <c r="F1806" i="2"/>
  <c r="E1806" i="2"/>
  <c r="D1806" i="2"/>
  <c r="C1806" i="2"/>
  <c r="B1806" i="2"/>
  <c r="A1806" i="2"/>
  <c r="H1805" i="2"/>
  <c r="G1805" i="2"/>
  <c r="F1805" i="2"/>
  <c r="E1805" i="2"/>
  <c r="D1805" i="2"/>
  <c r="C1805" i="2"/>
  <c r="B1805" i="2"/>
  <c r="A1805" i="2"/>
  <c r="H1804" i="2"/>
  <c r="G1804" i="2"/>
  <c r="F1804" i="2"/>
  <c r="E1804" i="2"/>
  <c r="D1804" i="2"/>
  <c r="C1804" i="2"/>
  <c r="B1804" i="2"/>
  <c r="A1804" i="2"/>
  <c r="H1803" i="2"/>
  <c r="G1803" i="2"/>
  <c r="F1803" i="2"/>
  <c r="E1803" i="2"/>
  <c r="D1803" i="2"/>
  <c r="C1803" i="2"/>
  <c r="B1803" i="2"/>
  <c r="A1803" i="2"/>
  <c r="H1802" i="2"/>
  <c r="G1802" i="2"/>
  <c r="F1802" i="2"/>
  <c r="E1802" i="2"/>
  <c r="D1802" i="2"/>
  <c r="C1802" i="2"/>
  <c r="B1802" i="2"/>
  <c r="A1802" i="2"/>
  <c r="H1801" i="2"/>
  <c r="G1801" i="2"/>
  <c r="F1801" i="2"/>
  <c r="E1801" i="2"/>
  <c r="D1801" i="2"/>
  <c r="C1801" i="2"/>
  <c r="B1801" i="2"/>
  <c r="A1801" i="2"/>
  <c r="H1800" i="2"/>
  <c r="G1800" i="2"/>
  <c r="F1800" i="2"/>
  <c r="E1800" i="2"/>
  <c r="D1800" i="2"/>
  <c r="C1800" i="2"/>
  <c r="B1800" i="2"/>
  <c r="A1800" i="2"/>
  <c r="H1799" i="2"/>
  <c r="G1799" i="2"/>
  <c r="F1799" i="2"/>
  <c r="E1799" i="2"/>
  <c r="D1799" i="2"/>
  <c r="C1799" i="2"/>
  <c r="B1799" i="2"/>
  <c r="A1799" i="2"/>
  <c r="H1798" i="2"/>
  <c r="G1798" i="2"/>
  <c r="F1798" i="2"/>
  <c r="E1798" i="2"/>
  <c r="D1798" i="2"/>
  <c r="C1798" i="2"/>
  <c r="B1798" i="2"/>
  <c r="A1798" i="2"/>
  <c r="H1797" i="2"/>
  <c r="G1797" i="2"/>
  <c r="F1797" i="2"/>
  <c r="E1797" i="2"/>
  <c r="D1797" i="2"/>
  <c r="C1797" i="2"/>
  <c r="B1797" i="2"/>
  <c r="A1797" i="2"/>
  <c r="H1796" i="2"/>
  <c r="G1796" i="2"/>
  <c r="F1796" i="2"/>
  <c r="E1796" i="2"/>
  <c r="D1796" i="2"/>
  <c r="C1796" i="2"/>
  <c r="B1796" i="2"/>
  <c r="A1796" i="2"/>
  <c r="H1795" i="2"/>
  <c r="G1795" i="2"/>
  <c r="F1795" i="2"/>
  <c r="E1795" i="2"/>
  <c r="D1795" i="2"/>
  <c r="C1795" i="2"/>
  <c r="B1795" i="2"/>
  <c r="A1795" i="2"/>
  <c r="H1794" i="2"/>
  <c r="G1794" i="2"/>
  <c r="F1794" i="2"/>
  <c r="E1794" i="2"/>
  <c r="D1794" i="2"/>
  <c r="C1794" i="2"/>
  <c r="B1794" i="2"/>
  <c r="A1794" i="2"/>
  <c r="H1793" i="2"/>
  <c r="G1793" i="2"/>
  <c r="F1793" i="2"/>
  <c r="E1793" i="2"/>
  <c r="D1793" i="2"/>
  <c r="C1793" i="2"/>
  <c r="B1793" i="2"/>
  <c r="A1793" i="2"/>
  <c r="H1792" i="2"/>
  <c r="G1792" i="2"/>
  <c r="F1792" i="2"/>
  <c r="E1792" i="2"/>
  <c r="D1792" i="2"/>
  <c r="C1792" i="2"/>
  <c r="B1792" i="2"/>
  <c r="A1792" i="2"/>
  <c r="H1791" i="2"/>
  <c r="G1791" i="2"/>
  <c r="F1791" i="2"/>
  <c r="E1791" i="2"/>
  <c r="D1791" i="2"/>
  <c r="C1791" i="2"/>
  <c r="B1791" i="2"/>
  <c r="A1791" i="2"/>
  <c r="H1790" i="2"/>
  <c r="G1790" i="2"/>
  <c r="F1790" i="2"/>
  <c r="E1790" i="2"/>
  <c r="D1790" i="2"/>
  <c r="C1790" i="2"/>
  <c r="B1790" i="2"/>
  <c r="A1790" i="2"/>
  <c r="H1789" i="2"/>
  <c r="G1789" i="2"/>
  <c r="F1789" i="2"/>
  <c r="E1789" i="2"/>
  <c r="D1789" i="2"/>
  <c r="C1789" i="2"/>
  <c r="B1789" i="2"/>
  <c r="A1789" i="2"/>
  <c r="H1788" i="2"/>
  <c r="G1788" i="2"/>
  <c r="F1788" i="2"/>
  <c r="E1788" i="2"/>
  <c r="D1788" i="2"/>
  <c r="C1788" i="2"/>
  <c r="B1788" i="2"/>
  <c r="A1788" i="2"/>
  <c r="H1787" i="2"/>
  <c r="G1787" i="2"/>
  <c r="F1787" i="2"/>
  <c r="E1787" i="2"/>
  <c r="D1787" i="2"/>
  <c r="C1787" i="2"/>
  <c r="B1787" i="2"/>
  <c r="A1787" i="2"/>
  <c r="H1786" i="2"/>
  <c r="G1786" i="2"/>
  <c r="F1786" i="2"/>
  <c r="E1786" i="2"/>
  <c r="D1786" i="2"/>
  <c r="C1786" i="2"/>
  <c r="B1786" i="2"/>
  <c r="A1786" i="2"/>
  <c r="H1785" i="2"/>
  <c r="G1785" i="2"/>
  <c r="F1785" i="2"/>
  <c r="E1785" i="2"/>
  <c r="D1785" i="2"/>
  <c r="C1785" i="2"/>
  <c r="B1785" i="2"/>
  <c r="A1785" i="2"/>
  <c r="H1784" i="2"/>
  <c r="G1784" i="2"/>
  <c r="F1784" i="2"/>
  <c r="E1784" i="2"/>
  <c r="D1784" i="2"/>
  <c r="C1784" i="2"/>
  <c r="B1784" i="2"/>
  <c r="A1784" i="2"/>
  <c r="H1783" i="2"/>
  <c r="G1783" i="2"/>
  <c r="F1783" i="2"/>
  <c r="E1783" i="2"/>
  <c r="D1783" i="2"/>
  <c r="C1783" i="2"/>
  <c r="B1783" i="2"/>
  <c r="A1783" i="2"/>
  <c r="H1782" i="2"/>
  <c r="G1782" i="2"/>
  <c r="F1782" i="2"/>
  <c r="E1782" i="2"/>
  <c r="D1782" i="2"/>
  <c r="C1782" i="2"/>
  <c r="B1782" i="2"/>
  <c r="A1782" i="2"/>
  <c r="H1781" i="2"/>
  <c r="G1781" i="2"/>
  <c r="F1781" i="2"/>
  <c r="E1781" i="2"/>
  <c r="D1781" i="2"/>
  <c r="C1781" i="2"/>
  <c r="B1781" i="2"/>
  <c r="A1781" i="2"/>
  <c r="H1780" i="2"/>
  <c r="G1780" i="2"/>
  <c r="F1780" i="2"/>
  <c r="E1780" i="2"/>
  <c r="D1780" i="2"/>
  <c r="C1780" i="2"/>
  <c r="B1780" i="2"/>
  <c r="A1780" i="2"/>
  <c r="H1779" i="2"/>
  <c r="G1779" i="2"/>
  <c r="F1779" i="2"/>
  <c r="E1779" i="2"/>
  <c r="D1779" i="2"/>
  <c r="C1779" i="2"/>
  <c r="B1779" i="2"/>
  <c r="A1779" i="2"/>
  <c r="H1778" i="2"/>
  <c r="G1778" i="2"/>
  <c r="F1778" i="2"/>
  <c r="E1778" i="2"/>
  <c r="D1778" i="2"/>
  <c r="C1778" i="2"/>
  <c r="B1778" i="2"/>
  <c r="A1778" i="2"/>
  <c r="H1777" i="2"/>
  <c r="G1777" i="2"/>
  <c r="F1777" i="2"/>
  <c r="E1777" i="2"/>
  <c r="D1777" i="2"/>
  <c r="C1777" i="2"/>
  <c r="B1777" i="2"/>
  <c r="A1777" i="2"/>
  <c r="H1776" i="2"/>
  <c r="G1776" i="2"/>
  <c r="F1776" i="2"/>
  <c r="E1776" i="2"/>
  <c r="D1776" i="2"/>
  <c r="C1776" i="2"/>
  <c r="B1776" i="2"/>
  <c r="A1776" i="2"/>
  <c r="H1775" i="2"/>
  <c r="G1775" i="2"/>
  <c r="F1775" i="2"/>
  <c r="E1775" i="2"/>
  <c r="D1775" i="2"/>
  <c r="C1775" i="2"/>
  <c r="B1775" i="2"/>
  <c r="A1775" i="2"/>
  <c r="H1774" i="2"/>
  <c r="G1774" i="2"/>
  <c r="F1774" i="2"/>
  <c r="E1774" i="2"/>
  <c r="D1774" i="2"/>
  <c r="C1774" i="2"/>
  <c r="B1774" i="2"/>
  <c r="A1774" i="2"/>
  <c r="H1773" i="2"/>
  <c r="G1773" i="2"/>
  <c r="F1773" i="2"/>
  <c r="E1773" i="2"/>
  <c r="D1773" i="2"/>
  <c r="C1773" i="2"/>
  <c r="B1773" i="2"/>
  <c r="A1773" i="2"/>
  <c r="H1772" i="2"/>
  <c r="G1772" i="2"/>
  <c r="F1772" i="2"/>
  <c r="E1772" i="2"/>
  <c r="D1772" i="2"/>
  <c r="C1772" i="2"/>
  <c r="B1772" i="2"/>
  <c r="A1772" i="2"/>
  <c r="H1771" i="2"/>
  <c r="G1771" i="2"/>
  <c r="F1771" i="2"/>
  <c r="E1771" i="2"/>
  <c r="D1771" i="2"/>
  <c r="C1771" i="2"/>
  <c r="B1771" i="2"/>
  <c r="A1771" i="2"/>
  <c r="H1770" i="2"/>
  <c r="G1770" i="2"/>
  <c r="F1770" i="2"/>
  <c r="E1770" i="2"/>
  <c r="D1770" i="2"/>
  <c r="C1770" i="2"/>
  <c r="B1770" i="2"/>
  <c r="A1770" i="2"/>
  <c r="H1769" i="2"/>
  <c r="G1769" i="2"/>
  <c r="F1769" i="2"/>
  <c r="E1769" i="2"/>
  <c r="D1769" i="2"/>
  <c r="C1769" i="2"/>
  <c r="B1769" i="2"/>
  <c r="A1769" i="2"/>
  <c r="H1768" i="2"/>
  <c r="G1768" i="2"/>
  <c r="F1768" i="2"/>
  <c r="E1768" i="2"/>
  <c r="D1768" i="2"/>
  <c r="C1768" i="2"/>
  <c r="B1768" i="2"/>
  <c r="A1768" i="2"/>
  <c r="H1767" i="2"/>
  <c r="G1767" i="2"/>
  <c r="F1767" i="2"/>
  <c r="E1767" i="2"/>
  <c r="D1767" i="2"/>
  <c r="C1767" i="2"/>
  <c r="B1767" i="2"/>
  <c r="A1767" i="2"/>
  <c r="H1766" i="2"/>
  <c r="G1766" i="2"/>
  <c r="F1766" i="2"/>
  <c r="E1766" i="2"/>
  <c r="D1766" i="2"/>
  <c r="C1766" i="2"/>
  <c r="B1766" i="2"/>
  <c r="A1766" i="2"/>
  <c r="H1765" i="2"/>
  <c r="G1765" i="2"/>
  <c r="F1765" i="2"/>
  <c r="E1765" i="2"/>
  <c r="D1765" i="2"/>
  <c r="C1765" i="2"/>
  <c r="B1765" i="2"/>
  <c r="A1765" i="2"/>
  <c r="H1764" i="2"/>
  <c r="G1764" i="2"/>
  <c r="F1764" i="2"/>
  <c r="E1764" i="2"/>
  <c r="D1764" i="2"/>
  <c r="C1764" i="2"/>
  <c r="B1764" i="2"/>
  <c r="A1764" i="2"/>
  <c r="H1763" i="2"/>
  <c r="G1763" i="2"/>
  <c r="F1763" i="2"/>
  <c r="E1763" i="2"/>
  <c r="D1763" i="2"/>
  <c r="C1763" i="2"/>
  <c r="B1763" i="2"/>
  <c r="A1763" i="2"/>
  <c r="H1762" i="2"/>
  <c r="G1762" i="2"/>
  <c r="F1762" i="2"/>
  <c r="E1762" i="2"/>
  <c r="D1762" i="2"/>
  <c r="C1762" i="2"/>
  <c r="B1762" i="2"/>
  <c r="A1762" i="2"/>
  <c r="H1761" i="2"/>
  <c r="G1761" i="2"/>
  <c r="F1761" i="2"/>
  <c r="E1761" i="2"/>
  <c r="D1761" i="2"/>
  <c r="C1761" i="2"/>
  <c r="B1761" i="2"/>
  <c r="A1761" i="2"/>
  <c r="H1760" i="2"/>
  <c r="G1760" i="2"/>
  <c r="F1760" i="2"/>
  <c r="E1760" i="2"/>
  <c r="D1760" i="2"/>
  <c r="C1760" i="2"/>
  <c r="B1760" i="2"/>
  <c r="A1760" i="2"/>
  <c r="H1759" i="2"/>
  <c r="G1759" i="2"/>
  <c r="F1759" i="2"/>
  <c r="E1759" i="2"/>
  <c r="D1759" i="2"/>
  <c r="C1759" i="2"/>
  <c r="B1759" i="2"/>
  <c r="A1759" i="2"/>
  <c r="H1758" i="2"/>
  <c r="G1758" i="2"/>
  <c r="F1758" i="2"/>
  <c r="E1758" i="2"/>
  <c r="D1758" i="2"/>
  <c r="C1758" i="2"/>
  <c r="B1758" i="2"/>
  <c r="A1758" i="2"/>
  <c r="H1757" i="2"/>
  <c r="G1757" i="2"/>
  <c r="F1757" i="2"/>
  <c r="E1757" i="2"/>
  <c r="D1757" i="2"/>
  <c r="C1757" i="2"/>
  <c r="B1757" i="2"/>
  <c r="A1757" i="2"/>
  <c r="H1756" i="2"/>
  <c r="G1756" i="2"/>
  <c r="F1756" i="2"/>
  <c r="E1756" i="2"/>
  <c r="D1756" i="2"/>
  <c r="C1756" i="2"/>
  <c r="B1756" i="2"/>
  <c r="A1756" i="2"/>
  <c r="H1755" i="2"/>
  <c r="G1755" i="2"/>
  <c r="F1755" i="2"/>
  <c r="E1755" i="2"/>
  <c r="D1755" i="2"/>
  <c r="C1755" i="2"/>
  <c r="B1755" i="2"/>
  <c r="A1755" i="2"/>
  <c r="H1754" i="2"/>
  <c r="G1754" i="2"/>
  <c r="F1754" i="2"/>
  <c r="E1754" i="2"/>
  <c r="D1754" i="2"/>
  <c r="C1754" i="2"/>
  <c r="B1754" i="2"/>
  <c r="A1754" i="2"/>
  <c r="H1753" i="2"/>
  <c r="G1753" i="2"/>
  <c r="F1753" i="2"/>
  <c r="E1753" i="2"/>
  <c r="D1753" i="2"/>
  <c r="C1753" i="2"/>
  <c r="B1753" i="2"/>
  <c r="A1753" i="2"/>
  <c r="H1752" i="2"/>
  <c r="G1752" i="2"/>
  <c r="F1752" i="2"/>
  <c r="E1752" i="2"/>
  <c r="D1752" i="2"/>
  <c r="C1752" i="2"/>
  <c r="B1752" i="2"/>
  <c r="A1752" i="2"/>
  <c r="H1751" i="2"/>
  <c r="G1751" i="2"/>
  <c r="F1751" i="2"/>
  <c r="E1751" i="2"/>
  <c r="D1751" i="2"/>
  <c r="C1751" i="2"/>
  <c r="B1751" i="2"/>
  <c r="A1751" i="2"/>
  <c r="H1750" i="2"/>
  <c r="G1750" i="2"/>
  <c r="F1750" i="2"/>
  <c r="E1750" i="2"/>
  <c r="D1750" i="2"/>
  <c r="C1750" i="2"/>
  <c r="B1750" i="2"/>
  <c r="A1750" i="2"/>
  <c r="H1749" i="2"/>
  <c r="G1749" i="2"/>
  <c r="F1749" i="2"/>
  <c r="E1749" i="2"/>
  <c r="D1749" i="2"/>
  <c r="C1749" i="2"/>
  <c r="B1749" i="2"/>
  <c r="A1749" i="2"/>
  <c r="H1748" i="2"/>
  <c r="G1748" i="2"/>
  <c r="F1748" i="2"/>
  <c r="E1748" i="2"/>
  <c r="D1748" i="2"/>
  <c r="C1748" i="2"/>
  <c r="B1748" i="2"/>
  <c r="A1748" i="2"/>
  <c r="H1747" i="2"/>
  <c r="G1747" i="2"/>
  <c r="F1747" i="2"/>
  <c r="E1747" i="2"/>
  <c r="D1747" i="2"/>
  <c r="C1747" i="2"/>
  <c r="B1747" i="2"/>
  <c r="A1747" i="2"/>
  <c r="H1746" i="2"/>
  <c r="G1746" i="2"/>
  <c r="F1746" i="2"/>
  <c r="E1746" i="2"/>
  <c r="D1746" i="2"/>
  <c r="C1746" i="2"/>
  <c r="B1746" i="2"/>
  <c r="A1746" i="2"/>
  <c r="H1745" i="2"/>
  <c r="G1745" i="2"/>
  <c r="F1745" i="2"/>
  <c r="E1745" i="2"/>
  <c r="D1745" i="2"/>
  <c r="C1745" i="2"/>
  <c r="B1745" i="2"/>
  <c r="A1745" i="2"/>
  <c r="H1744" i="2"/>
  <c r="G1744" i="2"/>
  <c r="F1744" i="2"/>
  <c r="E1744" i="2"/>
  <c r="D1744" i="2"/>
  <c r="C1744" i="2"/>
  <c r="B1744" i="2"/>
  <c r="A1744" i="2"/>
  <c r="H1743" i="2"/>
  <c r="G1743" i="2"/>
  <c r="F1743" i="2"/>
  <c r="E1743" i="2"/>
  <c r="D1743" i="2"/>
  <c r="C1743" i="2"/>
  <c r="B1743" i="2"/>
  <c r="A1743" i="2"/>
  <c r="H1742" i="2"/>
  <c r="G1742" i="2"/>
  <c r="F1742" i="2"/>
  <c r="E1742" i="2"/>
  <c r="D1742" i="2"/>
  <c r="C1742" i="2"/>
  <c r="B1742" i="2"/>
  <c r="A1742" i="2"/>
  <c r="H1741" i="2"/>
  <c r="G1741" i="2"/>
  <c r="F1741" i="2"/>
  <c r="E1741" i="2"/>
  <c r="D1741" i="2"/>
  <c r="C1741" i="2"/>
  <c r="B1741" i="2"/>
  <c r="A1741" i="2"/>
  <c r="H1740" i="2"/>
  <c r="G1740" i="2"/>
  <c r="F1740" i="2"/>
  <c r="E1740" i="2"/>
  <c r="D1740" i="2"/>
  <c r="C1740" i="2"/>
  <c r="B1740" i="2"/>
  <c r="A1740" i="2"/>
  <c r="H1739" i="2"/>
  <c r="G1739" i="2"/>
  <c r="F1739" i="2"/>
  <c r="E1739" i="2"/>
  <c r="D1739" i="2"/>
  <c r="C1739" i="2"/>
  <c r="B1739" i="2"/>
  <c r="A1739" i="2"/>
  <c r="H1738" i="2"/>
  <c r="G1738" i="2"/>
  <c r="F1738" i="2"/>
  <c r="E1738" i="2"/>
  <c r="D1738" i="2"/>
  <c r="C1738" i="2"/>
  <c r="B1738" i="2"/>
  <c r="A1738" i="2"/>
  <c r="H1737" i="2"/>
  <c r="G1737" i="2"/>
  <c r="F1737" i="2"/>
  <c r="E1737" i="2"/>
  <c r="D1737" i="2"/>
  <c r="C1737" i="2"/>
  <c r="B1737" i="2"/>
  <c r="A1737" i="2"/>
  <c r="H1736" i="2"/>
  <c r="G1736" i="2"/>
  <c r="F1736" i="2"/>
  <c r="E1736" i="2"/>
  <c r="D1736" i="2"/>
  <c r="C1736" i="2"/>
  <c r="B1736" i="2"/>
  <c r="A1736" i="2"/>
  <c r="H1735" i="2"/>
  <c r="G1735" i="2"/>
  <c r="F1735" i="2"/>
  <c r="E1735" i="2"/>
  <c r="D1735" i="2"/>
  <c r="C1735" i="2"/>
  <c r="B1735" i="2"/>
  <c r="A1735" i="2"/>
  <c r="H1734" i="2"/>
  <c r="G1734" i="2"/>
  <c r="F1734" i="2"/>
  <c r="E1734" i="2"/>
  <c r="D1734" i="2"/>
  <c r="C1734" i="2"/>
  <c r="B1734" i="2"/>
  <c r="A1734" i="2"/>
  <c r="H1733" i="2"/>
  <c r="G1733" i="2"/>
  <c r="F1733" i="2"/>
  <c r="E1733" i="2"/>
  <c r="D1733" i="2"/>
  <c r="C1733" i="2"/>
  <c r="B1733" i="2"/>
  <c r="A1733" i="2"/>
  <c r="H1732" i="2"/>
  <c r="G1732" i="2"/>
  <c r="F1732" i="2"/>
  <c r="E1732" i="2"/>
  <c r="D1732" i="2"/>
  <c r="C1732" i="2"/>
  <c r="B1732" i="2"/>
  <c r="A1732" i="2"/>
  <c r="H1731" i="2"/>
  <c r="G1731" i="2"/>
  <c r="F1731" i="2"/>
  <c r="E1731" i="2"/>
  <c r="D1731" i="2"/>
  <c r="C1731" i="2"/>
  <c r="B1731" i="2"/>
  <c r="A1731" i="2"/>
  <c r="H1730" i="2"/>
  <c r="G1730" i="2"/>
  <c r="F1730" i="2"/>
  <c r="E1730" i="2"/>
  <c r="D1730" i="2"/>
  <c r="C1730" i="2"/>
  <c r="B1730" i="2"/>
  <c r="A1730" i="2"/>
  <c r="H1729" i="2"/>
  <c r="G1729" i="2"/>
  <c r="F1729" i="2"/>
  <c r="E1729" i="2"/>
  <c r="D1729" i="2"/>
  <c r="C1729" i="2"/>
  <c r="B1729" i="2"/>
  <c r="A1729" i="2"/>
  <c r="H1728" i="2"/>
  <c r="G1728" i="2"/>
  <c r="F1728" i="2"/>
  <c r="E1728" i="2"/>
  <c r="D1728" i="2"/>
  <c r="C1728" i="2"/>
  <c r="B1728" i="2"/>
  <c r="A1728" i="2"/>
  <c r="H1727" i="2"/>
  <c r="G1727" i="2"/>
  <c r="F1727" i="2"/>
  <c r="E1727" i="2"/>
  <c r="D1727" i="2"/>
  <c r="C1727" i="2"/>
  <c r="B1727" i="2"/>
  <c r="A1727" i="2"/>
  <c r="H1726" i="2"/>
  <c r="G1726" i="2"/>
  <c r="F1726" i="2"/>
  <c r="E1726" i="2"/>
  <c r="D1726" i="2"/>
  <c r="C1726" i="2"/>
  <c r="B1726" i="2"/>
  <c r="A1726" i="2"/>
  <c r="H1725" i="2"/>
  <c r="G1725" i="2"/>
  <c r="F1725" i="2"/>
  <c r="E1725" i="2"/>
  <c r="D1725" i="2"/>
  <c r="C1725" i="2"/>
  <c r="B1725" i="2"/>
  <c r="A1725" i="2"/>
  <c r="H1724" i="2"/>
  <c r="G1724" i="2"/>
  <c r="F1724" i="2"/>
  <c r="E1724" i="2"/>
  <c r="D1724" i="2"/>
  <c r="C1724" i="2"/>
  <c r="B1724" i="2"/>
  <c r="A1724" i="2"/>
  <c r="H1723" i="2"/>
  <c r="G1723" i="2"/>
  <c r="F1723" i="2"/>
  <c r="E1723" i="2"/>
  <c r="D1723" i="2"/>
  <c r="C1723" i="2"/>
  <c r="B1723" i="2"/>
  <c r="A1723" i="2"/>
  <c r="H1722" i="2"/>
  <c r="G1722" i="2"/>
  <c r="F1722" i="2"/>
  <c r="E1722" i="2"/>
  <c r="D1722" i="2"/>
  <c r="C1722" i="2"/>
  <c r="B1722" i="2"/>
  <c r="A1722" i="2"/>
  <c r="H1721" i="2"/>
  <c r="G1721" i="2"/>
  <c r="F1721" i="2"/>
  <c r="E1721" i="2"/>
  <c r="D1721" i="2"/>
  <c r="C1721" i="2"/>
  <c r="B1721" i="2"/>
  <c r="A1721" i="2"/>
  <c r="H1720" i="2"/>
  <c r="G1720" i="2"/>
  <c r="F1720" i="2"/>
  <c r="E1720" i="2"/>
  <c r="D1720" i="2"/>
  <c r="C1720" i="2"/>
  <c r="B1720" i="2"/>
  <c r="A1720" i="2"/>
  <c r="H1719" i="2"/>
  <c r="G1719" i="2"/>
  <c r="F1719" i="2"/>
  <c r="E1719" i="2"/>
  <c r="D1719" i="2"/>
  <c r="C1719" i="2"/>
  <c r="B1719" i="2"/>
  <c r="A1719" i="2"/>
  <c r="H1718" i="2"/>
  <c r="G1718" i="2"/>
  <c r="F1718" i="2"/>
  <c r="E1718" i="2"/>
  <c r="D1718" i="2"/>
  <c r="C1718" i="2"/>
  <c r="B1718" i="2"/>
  <c r="A1718" i="2"/>
  <c r="H1717" i="2"/>
  <c r="G1717" i="2"/>
  <c r="F1717" i="2"/>
  <c r="E1717" i="2"/>
  <c r="D1717" i="2"/>
  <c r="C1717" i="2"/>
  <c r="B1717" i="2"/>
  <c r="A1717" i="2"/>
  <c r="H1716" i="2"/>
  <c r="G1716" i="2"/>
  <c r="F1716" i="2"/>
  <c r="E1716" i="2"/>
  <c r="D1716" i="2"/>
  <c r="C1716" i="2"/>
  <c r="B1716" i="2"/>
  <c r="A1716" i="2"/>
  <c r="H1715" i="2"/>
  <c r="G1715" i="2"/>
  <c r="F1715" i="2"/>
  <c r="E1715" i="2"/>
  <c r="D1715" i="2"/>
  <c r="C1715" i="2"/>
  <c r="B1715" i="2"/>
  <c r="A1715" i="2"/>
  <c r="H1714" i="2"/>
  <c r="G1714" i="2"/>
  <c r="F1714" i="2"/>
  <c r="E1714" i="2"/>
  <c r="D1714" i="2"/>
  <c r="C1714" i="2"/>
  <c r="B1714" i="2"/>
  <c r="A1714" i="2"/>
  <c r="H1713" i="2"/>
  <c r="G1713" i="2"/>
  <c r="F1713" i="2"/>
  <c r="E1713" i="2"/>
  <c r="D1713" i="2"/>
  <c r="C1713" i="2"/>
  <c r="B1713" i="2"/>
  <c r="A1713" i="2"/>
  <c r="H1712" i="2"/>
  <c r="G1712" i="2"/>
  <c r="F1712" i="2"/>
  <c r="E1712" i="2"/>
  <c r="D1712" i="2"/>
  <c r="C1712" i="2"/>
  <c r="B1712" i="2"/>
  <c r="A1712" i="2"/>
  <c r="H1711" i="2"/>
  <c r="G1711" i="2"/>
  <c r="F1711" i="2"/>
  <c r="E1711" i="2"/>
  <c r="D1711" i="2"/>
  <c r="C1711" i="2"/>
  <c r="B1711" i="2"/>
  <c r="A1711" i="2"/>
  <c r="H1710" i="2"/>
  <c r="G1710" i="2"/>
  <c r="F1710" i="2"/>
  <c r="E1710" i="2"/>
  <c r="D1710" i="2"/>
  <c r="C1710" i="2"/>
  <c r="B1710" i="2"/>
  <c r="A1710" i="2"/>
  <c r="H1709" i="2"/>
  <c r="G1709" i="2"/>
  <c r="F1709" i="2"/>
  <c r="E1709" i="2"/>
  <c r="D1709" i="2"/>
  <c r="C1709" i="2"/>
  <c r="B1709" i="2"/>
  <c r="A1709" i="2"/>
  <c r="H1708" i="2"/>
  <c r="G1708" i="2"/>
  <c r="F1708" i="2"/>
  <c r="E1708" i="2"/>
  <c r="D1708" i="2"/>
  <c r="C1708" i="2"/>
  <c r="B1708" i="2"/>
  <c r="A1708" i="2"/>
  <c r="H1707" i="2"/>
  <c r="G1707" i="2"/>
  <c r="F1707" i="2"/>
  <c r="E1707" i="2"/>
  <c r="D1707" i="2"/>
  <c r="C1707" i="2"/>
  <c r="B1707" i="2"/>
  <c r="A1707" i="2"/>
  <c r="H1706" i="2"/>
  <c r="G1706" i="2"/>
  <c r="F1706" i="2"/>
  <c r="E1706" i="2"/>
  <c r="D1706" i="2"/>
  <c r="C1706" i="2"/>
  <c r="B1706" i="2"/>
  <c r="A1706" i="2"/>
  <c r="H1705" i="2"/>
  <c r="G1705" i="2"/>
  <c r="F1705" i="2"/>
  <c r="E1705" i="2"/>
  <c r="D1705" i="2"/>
  <c r="C1705" i="2"/>
  <c r="B1705" i="2"/>
  <c r="A1705" i="2"/>
  <c r="H1704" i="2"/>
  <c r="G1704" i="2"/>
  <c r="F1704" i="2"/>
  <c r="E1704" i="2"/>
  <c r="D1704" i="2"/>
  <c r="C1704" i="2"/>
  <c r="B1704" i="2"/>
  <c r="A1704" i="2"/>
  <c r="H1703" i="2"/>
  <c r="G1703" i="2"/>
  <c r="F1703" i="2"/>
  <c r="E1703" i="2"/>
  <c r="D1703" i="2"/>
  <c r="C1703" i="2"/>
  <c r="B1703" i="2"/>
  <c r="A1703" i="2"/>
  <c r="H1702" i="2"/>
  <c r="G1702" i="2"/>
  <c r="F1702" i="2"/>
  <c r="E1702" i="2"/>
  <c r="D1702" i="2"/>
  <c r="C1702" i="2"/>
  <c r="B1702" i="2"/>
  <c r="A1702" i="2"/>
  <c r="H1701" i="2"/>
  <c r="G1701" i="2"/>
  <c r="F1701" i="2"/>
  <c r="E1701" i="2"/>
  <c r="D1701" i="2"/>
  <c r="C1701" i="2"/>
  <c r="B1701" i="2"/>
  <c r="A1701" i="2"/>
  <c r="H1700" i="2"/>
  <c r="G1700" i="2"/>
  <c r="F1700" i="2"/>
  <c r="E1700" i="2"/>
  <c r="D1700" i="2"/>
  <c r="C1700" i="2"/>
  <c r="B1700" i="2"/>
  <c r="A1700" i="2"/>
  <c r="H1699" i="2"/>
  <c r="G1699" i="2"/>
  <c r="F1699" i="2"/>
  <c r="E1699" i="2"/>
  <c r="D1699" i="2"/>
  <c r="C1699" i="2"/>
  <c r="B1699" i="2"/>
  <c r="A1699" i="2"/>
  <c r="H1698" i="2"/>
  <c r="G1698" i="2"/>
  <c r="F1698" i="2"/>
  <c r="E1698" i="2"/>
  <c r="D1698" i="2"/>
  <c r="C1698" i="2"/>
  <c r="B1698" i="2"/>
  <c r="A1698" i="2"/>
  <c r="H1697" i="2"/>
  <c r="G1697" i="2"/>
  <c r="F1697" i="2"/>
  <c r="E1697" i="2"/>
  <c r="D1697" i="2"/>
  <c r="C1697" i="2"/>
  <c r="B1697" i="2"/>
  <c r="A1697" i="2"/>
  <c r="H1696" i="2"/>
  <c r="G1696" i="2"/>
  <c r="F1696" i="2"/>
  <c r="E1696" i="2"/>
  <c r="D1696" i="2"/>
  <c r="C1696" i="2"/>
  <c r="B1696" i="2"/>
  <c r="A1696" i="2"/>
  <c r="H1695" i="2"/>
  <c r="G1695" i="2"/>
  <c r="F1695" i="2"/>
  <c r="E1695" i="2"/>
  <c r="D1695" i="2"/>
  <c r="C1695" i="2"/>
  <c r="B1695" i="2"/>
  <c r="A1695" i="2"/>
  <c r="H1694" i="2"/>
  <c r="G1694" i="2"/>
  <c r="F1694" i="2"/>
  <c r="E1694" i="2"/>
  <c r="D1694" i="2"/>
  <c r="C1694" i="2"/>
  <c r="B1694" i="2"/>
  <c r="A1694" i="2"/>
  <c r="H1693" i="2"/>
  <c r="G1693" i="2"/>
  <c r="F1693" i="2"/>
  <c r="E1693" i="2"/>
  <c r="D1693" i="2"/>
  <c r="C1693" i="2"/>
  <c r="B1693" i="2"/>
  <c r="A1693" i="2"/>
  <c r="H1692" i="2"/>
  <c r="G1692" i="2"/>
  <c r="F1692" i="2"/>
  <c r="E1692" i="2"/>
  <c r="D1692" i="2"/>
  <c r="C1692" i="2"/>
  <c r="B1692" i="2"/>
  <c r="A1692" i="2"/>
  <c r="H1691" i="2"/>
  <c r="G1691" i="2"/>
  <c r="F1691" i="2"/>
  <c r="E1691" i="2"/>
  <c r="D1691" i="2"/>
  <c r="C1691" i="2"/>
  <c r="B1691" i="2"/>
  <c r="A1691" i="2"/>
  <c r="H1690" i="2"/>
  <c r="G1690" i="2"/>
  <c r="F1690" i="2"/>
  <c r="E1690" i="2"/>
  <c r="D1690" i="2"/>
  <c r="C1690" i="2"/>
  <c r="B1690" i="2"/>
  <c r="A1690" i="2"/>
  <c r="H1689" i="2"/>
  <c r="G1689" i="2"/>
  <c r="F1689" i="2"/>
  <c r="E1689" i="2"/>
  <c r="D1689" i="2"/>
  <c r="C1689" i="2"/>
  <c r="B1689" i="2"/>
  <c r="A1689" i="2"/>
  <c r="H1688" i="2"/>
  <c r="G1688" i="2"/>
  <c r="F1688" i="2"/>
  <c r="E1688" i="2"/>
  <c r="D1688" i="2"/>
  <c r="C1688" i="2"/>
  <c r="B1688" i="2"/>
  <c r="A1688" i="2"/>
  <c r="H1687" i="2"/>
  <c r="G1687" i="2"/>
  <c r="F1687" i="2"/>
  <c r="E1687" i="2"/>
  <c r="D1687" i="2"/>
  <c r="C1687" i="2"/>
  <c r="B1687" i="2"/>
  <c r="A1687" i="2"/>
  <c r="H1686" i="2"/>
  <c r="G1686" i="2"/>
  <c r="F1686" i="2"/>
  <c r="E1686" i="2"/>
  <c r="D1686" i="2"/>
  <c r="C1686" i="2"/>
  <c r="B1686" i="2"/>
  <c r="A1686" i="2"/>
  <c r="H1685" i="2"/>
  <c r="G1685" i="2"/>
  <c r="F1685" i="2"/>
  <c r="E1685" i="2"/>
  <c r="D1685" i="2"/>
  <c r="C1685" i="2"/>
  <c r="B1685" i="2"/>
  <c r="A1685" i="2"/>
  <c r="H1684" i="2"/>
  <c r="G1684" i="2"/>
  <c r="F1684" i="2"/>
  <c r="E1684" i="2"/>
  <c r="D1684" i="2"/>
  <c r="C1684" i="2"/>
  <c r="B1684" i="2"/>
  <c r="A1684" i="2"/>
  <c r="H1683" i="2"/>
  <c r="G1683" i="2"/>
  <c r="F1683" i="2"/>
  <c r="E1683" i="2"/>
  <c r="D1683" i="2"/>
  <c r="C1683" i="2"/>
  <c r="B1683" i="2"/>
  <c r="A1683" i="2"/>
  <c r="H1682" i="2"/>
  <c r="G1682" i="2"/>
  <c r="F1682" i="2"/>
  <c r="E1682" i="2"/>
  <c r="D1682" i="2"/>
  <c r="C1682" i="2"/>
  <c r="B1682" i="2"/>
  <c r="A1682" i="2"/>
  <c r="H1681" i="2"/>
  <c r="G1681" i="2"/>
  <c r="F1681" i="2"/>
  <c r="E1681" i="2"/>
  <c r="D1681" i="2"/>
  <c r="C1681" i="2"/>
  <c r="B1681" i="2"/>
  <c r="A1681" i="2"/>
  <c r="H1680" i="2"/>
  <c r="G1680" i="2"/>
  <c r="F1680" i="2"/>
  <c r="E1680" i="2"/>
  <c r="D1680" i="2"/>
  <c r="C1680" i="2"/>
  <c r="B1680" i="2"/>
  <c r="A1680" i="2"/>
  <c r="H1679" i="2"/>
  <c r="G1679" i="2"/>
  <c r="F1679" i="2"/>
  <c r="E1679" i="2"/>
  <c r="D1679" i="2"/>
  <c r="C1679" i="2"/>
  <c r="B1679" i="2"/>
  <c r="A1679" i="2"/>
  <c r="H1678" i="2"/>
  <c r="G1678" i="2"/>
  <c r="F1678" i="2"/>
  <c r="E1678" i="2"/>
  <c r="D1678" i="2"/>
  <c r="C1678" i="2"/>
  <c r="B1678" i="2"/>
  <c r="A1678" i="2"/>
  <c r="H1677" i="2"/>
  <c r="G1677" i="2"/>
  <c r="F1677" i="2"/>
  <c r="E1677" i="2"/>
  <c r="D1677" i="2"/>
  <c r="C1677" i="2"/>
  <c r="B1677" i="2"/>
  <c r="A1677" i="2"/>
  <c r="H1676" i="2"/>
  <c r="G1676" i="2"/>
  <c r="F1676" i="2"/>
  <c r="E1676" i="2"/>
  <c r="D1676" i="2"/>
  <c r="C1676" i="2"/>
  <c r="B1676" i="2"/>
  <c r="A1676" i="2"/>
  <c r="H1675" i="2"/>
  <c r="G1675" i="2"/>
  <c r="F1675" i="2"/>
  <c r="E1675" i="2"/>
  <c r="D1675" i="2"/>
  <c r="C1675" i="2"/>
  <c r="B1675" i="2"/>
  <c r="A1675" i="2"/>
  <c r="H1674" i="2"/>
  <c r="G1674" i="2"/>
  <c r="F1674" i="2"/>
  <c r="E1674" i="2"/>
  <c r="D1674" i="2"/>
  <c r="C1674" i="2"/>
  <c r="B1674" i="2"/>
  <c r="A1674" i="2"/>
  <c r="H1673" i="2"/>
  <c r="G1673" i="2"/>
  <c r="F1673" i="2"/>
  <c r="E1673" i="2"/>
  <c r="D1673" i="2"/>
  <c r="C1673" i="2"/>
  <c r="B1673" i="2"/>
  <c r="A1673" i="2"/>
  <c r="H1672" i="2"/>
  <c r="G1672" i="2"/>
  <c r="F1672" i="2"/>
  <c r="E1672" i="2"/>
  <c r="D1672" i="2"/>
  <c r="C1672" i="2"/>
  <c r="B1672" i="2"/>
  <c r="A1672" i="2"/>
  <c r="H1671" i="2"/>
  <c r="G1671" i="2"/>
  <c r="F1671" i="2"/>
  <c r="E1671" i="2"/>
  <c r="D1671" i="2"/>
  <c r="C1671" i="2"/>
  <c r="B1671" i="2"/>
  <c r="A1671" i="2"/>
  <c r="H1670" i="2"/>
  <c r="G1670" i="2"/>
  <c r="F1670" i="2"/>
  <c r="E1670" i="2"/>
  <c r="D1670" i="2"/>
  <c r="C1670" i="2"/>
  <c r="B1670" i="2"/>
  <c r="A1670" i="2"/>
  <c r="H1669" i="2"/>
  <c r="G1669" i="2"/>
  <c r="F1669" i="2"/>
  <c r="E1669" i="2"/>
  <c r="D1669" i="2"/>
  <c r="C1669" i="2"/>
  <c r="B1669" i="2"/>
  <c r="A1669" i="2"/>
  <c r="H1668" i="2"/>
  <c r="G1668" i="2"/>
  <c r="F1668" i="2"/>
  <c r="E1668" i="2"/>
  <c r="D1668" i="2"/>
  <c r="C1668" i="2"/>
  <c r="B1668" i="2"/>
  <c r="A1668" i="2"/>
  <c r="H1667" i="2"/>
  <c r="G1667" i="2"/>
  <c r="F1667" i="2"/>
  <c r="E1667" i="2"/>
  <c r="D1667" i="2"/>
  <c r="C1667" i="2"/>
  <c r="B1667" i="2"/>
  <c r="A1667" i="2"/>
  <c r="H1666" i="2"/>
  <c r="G1666" i="2"/>
  <c r="F1666" i="2"/>
  <c r="E1666" i="2"/>
  <c r="D1666" i="2"/>
  <c r="C1666" i="2"/>
  <c r="B1666" i="2"/>
  <c r="A1666" i="2"/>
  <c r="H1665" i="2"/>
  <c r="G1665" i="2"/>
  <c r="F1665" i="2"/>
  <c r="E1665" i="2"/>
  <c r="D1665" i="2"/>
  <c r="C1665" i="2"/>
  <c r="B1665" i="2"/>
  <c r="A1665" i="2"/>
  <c r="H1664" i="2"/>
  <c r="G1664" i="2"/>
  <c r="F1664" i="2"/>
  <c r="E1664" i="2"/>
  <c r="D1664" i="2"/>
  <c r="C1664" i="2"/>
  <c r="B1664" i="2"/>
  <c r="A1664" i="2"/>
  <c r="H1663" i="2"/>
  <c r="G1663" i="2"/>
  <c r="F1663" i="2"/>
  <c r="E1663" i="2"/>
  <c r="D1663" i="2"/>
  <c r="C1663" i="2"/>
  <c r="B1663" i="2"/>
  <c r="A1663" i="2"/>
  <c r="H1662" i="2"/>
  <c r="G1662" i="2"/>
  <c r="F1662" i="2"/>
  <c r="E1662" i="2"/>
  <c r="D1662" i="2"/>
  <c r="C1662" i="2"/>
  <c r="B1662" i="2"/>
  <c r="A1662" i="2"/>
  <c r="H1661" i="2"/>
  <c r="G1661" i="2"/>
  <c r="F1661" i="2"/>
  <c r="E1661" i="2"/>
  <c r="D1661" i="2"/>
  <c r="C1661" i="2"/>
  <c r="B1661" i="2"/>
  <c r="A1661" i="2"/>
  <c r="H1660" i="2"/>
  <c r="G1660" i="2"/>
  <c r="F1660" i="2"/>
  <c r="E1660" i="2"/>
  <c r="D1660" i="2"/>
  <c r="C1660" i="2"/>
  <c r="B1660" i="2"/>
  <c r="A1660" i="2"/>
  <c r="H1659" i="2"/>
  <c r="G1659" i="2"/>
  <c r="F1659" i="2"/>
  <c r="E1659" i="2"/>
  <c r="D1659" i="2"/>
  <c r="C1659" i="2"/>
  <c r="B1659" i="2"/>
  <c r="A1659" i="2"/>
  <c r="H1658" i="2"/>
  <c r="G1658" i="2"/>
  <c r="F1658" i="2"/>
  <c r="E1658" i="2"/>
  <c r="D1658" i="2"/>
  <c r="C1658" i="2"/>
  <c r="B1658" i="2"/>
  <c r="A1658" i="2"/>
  <c r="H1657" i="2"/>
  <c r="G1657" i="2"/>
  <c r="F1657" i="2"/>
  <c r="E1657" i="2"/>
  <c r="D1657" i="2"/>
  <c r="C1657" i="2"/>
  <c r="B1657" i="2"/>
  <c r="A1657" i="2"/>
  <c r="H1656" i="2"/>
  <c r="G1656" i="2"/>
  <c r="F1656" i="2"/>
  <c r="E1656" i="2"/>
  <c r="D1656" i="2"/>
  <c r="C1656" i="2"/>
  <c r="B1656" i="2"/>
  <c r="A1656" i="2"/>
  <c r="H1655" i="2"/>
  <c r="G1655" i="2"/>
  <c r="F1655" i="2"/>
  <c r="E1655" i="2"/>
  <c r="D1655" i="2"/>
  <c r="C1655" i="2"/>
  <c r="B1655" i="2"/>
  <c r="A1655" i="2"/>
  <c r="H1654" i="2"/>
  <c r="G1654" i="2"/>
  <c r="F1654" i="2"/>
  <c r="E1654" i="2"/>
  <c r="D1654" i="2"/>
  <c r="C1654" i="2"/>
  <c r="B1654" i="2"/>
  <c r="A1654" i="2"/>
  <c r="H1653" i="2"/>
  <c r="G1653" i="2"/>
  <c r="F1653" i="2"/>
  <c r="E1653" i="2"/>
  <c r="D1653" i="2"/>
  <c r="C1653" i="2"/>
  <c r="B1653" i="2"/>
  <c r="A1653" i="2"/>
  <c r="H1652" i="2"/>
  <c r="G1652" i="2"/>
  <c r="F1652" i="2"/>
  <c r="E1652" i="2"/>
  <c r="D1652" i="2"/>
  <c r="C1652" i="2"/>
  <c r="B1652" i="2"/>
  <c r="A1652" i="2"/>
  <c r="H1651" i="2"/>
  <c r="G1651" i="2"/>
  <c r="F1651" i="2"/>
  <c r="E1651" i="2"/>
  <c r="D1651" i="2"/>
  <c r="C1651" i="2"/>
  <c r="B1651" i="2"/>
  <c r="A1651" i="2"/>
  <c r="H1650" i="2"/>
  <c r="G1650" i="2"/>
  <c r="F1650" i="2"/>
  <c r="E1650" i="2"/>
  <c r="D1650" i="2"/>
  <c r="C1650" i="2"/>
  <c r="B1650" i="2"/>
  <c r="A1650" i="2"/>
  <c r="H1649" i="2"/>
  <c r="G1649" i="2"/>
  <c r="F1649" i="2"/>
  <c r="E1649" i="2"/>
  <c r="D1649" i="2"/>
  <c r="C1649" i="2"/>
  <c r="B1649" i="2"/>
  <c r="A1649" i="2"/>
  <c r="H1648" i="2"/>
  <c r="G1648" i="2"/>
  <c r="F1648" i="2"/>
  <c r="E1648" i="2"/>
  <c r="D1648" i="2"/>
  <c r="C1648" i="2"/>
  <c r="B1648" i="2"/>
  <c r="A1648" i="2"/>
  <c r="H1647" i="2"/>
  <c r="G1647" i="2"/>
  <c r="F1647" i="2"/>
  <c r="E1647" i="2"/>
  <c r="D1647" i="2"/>
  <c r="C1647" i="2"/>
  <c r="B1647" i="2"/>
  <c r="A1647" i="2"/>
  <c r="H1646" i="2"/>
  <c r="G1646" i="2"/>
  <c r="F1646" i="2"/>
  <c r="E1646" i="2"/>
  <c r="D1646" i="2"/>
  <c r="C1646" i="2"/>
  <c r="B1646" i="2"/>
  <c r="A1646" i="2"/>
  <c r="H1645" i="2"/>
  <c r="G1645" i="2"/>
  <c r="F1645" i="2"/>
  <c r="E1645" i="2"/>
  <c r="D1645" i="2"/>
  <c r="C1645" i="2"/>
  <c r="B1645" i="2"/>
  <c r="A1645" i="2"/>
  <c r="H1644" i="2"/>
  <c r="G1644" i="2"/>
  <c r="F1644" i="2"/>
  <c r="E1644" i="2"/>
  <c r="D1644" i="2"/>
  <c r="C1644" i="2"/>
  <c r="B1644" i="2"/>
  <c r="A1644" i="2"/>
  <c r="H1643" i="2"/>
  <c r="G1643" i="2"/>
  <c r="F1643" i="2"/>
  <c r="E1643" i="2"/>
  <c r="D1643" i="2"/>
  <c r="C1643" i="2"/>
  <c r="B1643" i="2"/>
  <c r="A1643" i="2"/>
  <c r="H1642" i="2"/>
  <c r="G1642" i="2"/>
  <c r="F1642" i="2"/>
  <c r="E1642" i="2"/>
  <c r="D1642" i="2"/>
  <c r="C1642" i="2"/>
  <c r="B1642" i="2"/>
  <c r="A1642" i="2"/>
  <c r="H1641" i="2"/>
  <c r="G1641" i="2"/>
  <c r="F1641" i="2"/>
  <c r="E1641" i="2"/>
  <c r="D1641" i="2"/>
  <c r="C1641" i="2"/>
  <c r="B1641" i="2"/>
  <c r="A1641" i="2"/>
  <c r="H1640" i="2"/>
  <c r="G1640" i="2"/>
  <c r="F1640" i="2"/>
  <c r="E1640" i="2"/>
  <c r="D1640" i="2"/>
  <c r="C1640" i="2"/>
  <c r="B1640" i="2"/>
  <c r="A1640" i="2"/>
  <c r="H1639" i="2"/>
  <c r="G1639" i="2"/>
  <c r="F1639" i="2"/>
  <c r="E1639" i="2"/>
  <c r="D1639" i="2"/>
  <c r="C1639" i="2"/>
  <c r="B1639" i="2"/>
  <c r="A1639" i="2"/>
  <c r="H1638" i="2"/>
  <c r="G1638" i="2"/>
  <c r="F1638" i="2"/>
  <c r="E1638" i="2"/>
  <c r="D1638" i="2"/>
  <c r="C1638" i="2"/>
  <c r="B1638" i="2"/>
  <c r="A1638" i="2"/>
  <c r="H1637" i="2"/>
  <c r="G1637" i="2"/>
  <c r="F1637" i="2"/>
  <c r="E1637" i="2"/>
  <c r="D1637" i="2"/>
  <c r="C1637" i="2"/>
  <c r="B1637" i="2"/>
  <c r="A1637" i="2"/>
  <c r="H1636" i="2"/>
  <c r="G1636" i="2"/>
  <c r="F1636" i="2"/>
  <c r="E1636" i="2"/>
  <c r="D1636" i="2"/>
  <c r="C1636" i="2"/>
  <c r="B1636" i="2"/>
  <c r="A1636" i="2"/>
  <c r="H1635" i="2"/>
  <c r="G1635" i="2"/>
  <c r="F1635" i="2"/>
  <c r="E1635" i="2"/>
  <c r="D1635" i="2"/>
  <c r="C1635" i="2"/>
  <c r="B1635" i="2"/>
  <c r="A1635" i="2"/>
  <c r="H1634" i="2"/>
  <c r="G1634" i="2"/>
  <c r="F1634" i="2"/>
  <c r="E1634" i="2"/>
  <c r="D1634" i="2"/>
  <c r="C1634" i="2"/>
  <c r="B1634" i="2"/>
  <c r="A1634" i="2"/>
  <c r="H1633" i="2"/>
  <c r="G1633" i="2"/>
  <c r="F1633" i="2"/>
  <c r="E1633" i="2"/>
  <c r="D1633" i="2"/>
  <c r="C1633" i="2"/>
  <c r="B1633" i="2"/>
  <c r="A1633" i="2"/>
  <c r="H1632" i="2"/>
  <c r="G1632" i="2"/>
  <c r="F1632" i="2"/>
  <c r="E1632" i="2"/>
  <c r="D1632" i="2"/>
  <c r="C1632" i="2"/>
  <c r="B1632" i="2"/>
  <c r="A1632" i="2"/>
  <c r="H1631" i="2"/>
  <c r="G1631" i="2"/>
  <c r="F1631" i="2"/>
  <c r="E1631" i="2"/>
  <c r="D1631" i="2"/>
  <c r="C1631" i="2"/>
  <c r="B1631" i="2"/>
  <c r="A1631" i="2"/>
  <c r="H1630" i="2"/>
  <c r="G1630" i="2"/>
  <c r="F1630" i="2"/>
  <c r="E1630" i="2"/>
  <c r="D1630" i="2"/>
  <c r="C1630" i="2"/>
  <c r="B1630" i="2"/>
  <c r="A1630" i="2"/>
  <c r="H1629" i="2"/>
  <c r="G1629" i="2"/>
  <c r="F1629" i="2"/>
  <c r="E1629" i="2"/>
  <c r="D1629" i="2"/>
  <c r="C1629" i="2"/>
  <c r="B1629" i="2"/>
  <c r="A1629" i="2"/>
  <c r="H1628" i="2"/>
  <c r="G1628" i="2"/>
  <c r="F1628" i="2"/>
  <c r="E1628" i="2"/>
  <c r="D1628" i="2"/>
  <c r="C1628" i="2"/>
  <c r="B1628" i="2"/>
  <c r="A1628" i="2"/>
  <c r="H1627" i="2"/>
  <c r="G1627" i="2"/>
  <c r="F1627" i="2"/>
  <c r="E1627" i="2"/>
  <c r="D1627" i="2"/>
  <c r="C1627" i="2"/>
  <c r="B1627" i="2"/>
  <c r="A1627" i="2"/>
  <c r="H1626" i="2"/>
  <c r="G1626" i="2"/>
  <c r="F1626" i="2"/>
  <c r="E1626" i="2"/>
  <c r="D1626" i="2"/>
  <c r="C1626" i="2"/>
  <c r="B1626" i="2"/>
  <c r="A1626" i="2"/>
  <c r="H1625" i="2"/>
  <c r="G1625" i="2"/>
  <c r="F1625" i="2"/>
  <c r="E1625" i="2"/>
  <c r="D1625" i="2"/>
  <c r="C1625" i="2"/>
  <c r="B1625" i="2"/>
  <c r="A1625" i="2"/>
  <c r="H1624" i="2"/>
  <c r="G1624" i="2"/>
  <c r="F1624" i="2"/>
  <c r="E1624" i="2"/>
  <c r="D1624" i="2"/>
  <c r="C1624" i="2"/>
  <c r="B1624" i="2"/>
  <c r="A1624" i="2"/>
  <c r="H1623" i="2"/>
  <c r="G1623" i="2"/>
  <c r="F1623" i="2"/>
  <c r="E1623" i="2"/>
  <c r="D1623" i="2"/>
  <c r="C1623" i="2"/>
  <c r="B1623" i="2"/>
  <c r="A1623" i="2"/>
  <c r="H1622" i="2"/>
  <c r="G1622" i="2"/>
  <c r="F1622" i="2"/>
  <c r="E1622" i="2"/>
  <c r="D1622" i="2"/>
  <c r="C1622" i="2"/>
  <c r="B1622" i="2"/>
  <c r="A1622" i="2"/>
  <c r="H1621" i="2"/>
  <c r="G1621" i="2"/>
  <c r="F1621" i="2"/>
  <c r="E1621" i="2"/>
  <c r="D1621" i="2"/>
  <c r="C1621" i="2"/>
  <c r="B1621" i="2"/>
  <c r="A1621" i="2"/>
  <c r="H1620" i="2"/>
  <c r="G1620" i="2"/>
  <c r="F1620" i="2"/>
  <c r="E1620" i="2"/>
  <c r="D1620" i="2"/>
  <c r="C1620" i="2"/>
  <c r="B1620" i="2"/>
  <c r="A1620" i="2"/>
  <c r="H1619" i="2"/>
  <c r="G1619" i="2"/>
  <c r="F1619" i="2"/>
  <c r="E1619" i="2"/>
  <c r="D1619" i="2"/>
  <c r="C1619" i="2"/>
  <c r="B1619" i="2"/>
  <c r="A1619" i="2"/>
  <c r="H1618" i="2"/>
  <c r="G1618" i="2"/>
  <c r="F1618" i="2"/>
  <c r="E1618" i="2"/>
  <c r="D1618" i="2"/>
  <c r="C1618" i="2"/>
  <c r="B1618" i="2"/>
  <c r="A1618" i="2"/>
  <c r="H1617" i="2"/>
  <c r="G1617" i="2"/>
  <c r="F1617" i="2"/>
  <c r="E1617" i="2"/>
  <c r="D1617" i="2"/>
  <c r="C1617" i="2"/>
  <c r="B1617" i="2"/>
  <c r="A1617" i="2"/>
  <c r="H1616" i="2"/>
  <c r="G1616" i="2"/>
  <c r="F1616" i="2"/>
  <c r="E1616" i="2"/>
  <c r="D1616" i="2"/>
  <c r="C1616" i="2"/>
  <c r="B1616" i="2"/>
  <c r="A1616" i="2"/>
  <c r="H1615" i="2"/>
  <c r="G1615" i="2"/>
  <c r="F1615" i="2"/>
  <c r="E1615" i="2"/>
  <c r="D1615" i="2"/>
  <c r="C1615" i="2"/>
  <c r="B1615" i="2"/>
  <c r="A1615" i="2"/>
  <c r="H1614" i="2"/>
  <c r="G1614" i="2"/>
  <c r="F1614" i="2"/>
  <c r="E1614" i="2"/>
  <c r="D1614" i="2"/>
  <c r="C1614" i="2"/>
  <c r="B1614" i="2"/>
  <c r="A1614" i="2"/>
  <c r="H1613" i="2"/>
  <c r="G1613" i="2"/>
  <c r="F1613" i="2"/>
  <c r="E1613" i="2"/>
  <c r="D1613" i="2"/>
  <c r="C1613" i="2"/>
  <c r="B1613" i="2"/>
  <c r="A1613" i="2"/>
  <c r="H1612" i="2"/>
  <c r="G1612" i="2"/>
  <c r="F1612" i="2"/>
  <c r="E1612" i="2"/>
  <c r="D1612" i="2"/>
  <c r="C1612" i="2"/>
  <c r="B1612" i="2"/>
  <c r="A1612" i="2"/>
  <c r="H1611" i="2"/>
  <c r="G1611" i="2"/>
  <c r="F1611" i="2"/>
  <c r="E1611" i="2"/>
  <c r="D1611" i="2"/>
  <c r="C1611" i="2"/>
  <c r="B1611" i="2"/>
  <c r="A1611" i="2"/>
  <c r="H1610" i="2"/>
  <c r="G1610" i="2"/>
  <c r="F1610" i="2"/>
  <c r="E1610" i="2"/>
  <c r="D1610" i="2"/>
  <c r="C1610" i="2"/>
  <c r="B1610" i="2"/>
  <c r="A1610" i="2"/>
  <c r="H1609" i="2"/>
  <c r="G1609" i="2"/>
  <c r="F1609" i="2"/>
  <c r="E1609" i="2"/>
  <c r="D1609" i="2"/>
  <c r="C1609" i="2"/>
  <c r="B1609" i="2"/>
  <c r="A1609" i="2"/>
  <c r="H1608" i="2"/>
  <c r="G1608" i="2"/>
  <c r="F1608" i="2"/>
  <c r="E1608" i="2"/>
  <c r="D1608" i="2"/>
  <c r="C1608" i="2"/>
  <c r="B1608" i="2"/>
  <c r="A1608" i="2"/>
  <c r="H1607" i="2"/>
  <c r="G1607" i="2"/>
  <c r="F1607" i="2"/>
  <c r="E1607" i="2"/>
  <c r="D1607" i="2"/>
  <c r="C1607" i="2"/>
  <c r="B1607" i="2"/>
  <c r="A1607" i="2"/>
  <c r="H1606" i="2"/>
  <c r="G1606" i="2"/>
  <c r="F1606" i="2"/>
  <c r="E1606" i="2"/>
  <c r="D1606" i="2"/>
  <c r="C1606" i="2"/>
  <c r="B1606" i="2"/>
  <c r="A1606" i="2"/>
  <c r="H1605" i="2"/>
  <c r="G1605" i="2"/>
  <c r="F1605" i="2"/>
  <c r="E1605" i="2"/>
  <c r="D1605" i="2"/>
  <c r="C1605" i="2"/>
  <c r="B1605" i="2"/>
  <c r="A1605" i="2"/>
  <c r="H1604" i="2"/>
  <c r="G1604" i="2"/>
  <c r="F1604" i="2"/>
  <c r="E1604" i="2"/>
  <c r="D1604" i="2"/>
  <c r="C1604" i="2"/>
  <c r="B1604" i="2"/>
  <c r="A1604" i="2"/>
  <c r="H1603" i="2"/>
  <c r="G1603" i="2"/>
  <c r="F1603" i="2"/>
  <c r="E1603" i="2"/>
  <c r="D1603" i="2"/>
  <c r="C1603" i="2"/>
  <c r="B1603" i="2"/>
  <c r="A1603" i="2"/>
  <c r="H1602" i="2"/>
  <c r="G1602" i="2"/>
  <c r="F1602" i="2"/>
  <c r="E1602" i="2"/>
  <c r="D1602" i="2"/>
  <c r="C1602" i="2"/>
  <c r="B1602" i="2"/>
  <c r="A1602" i="2"/>
  <c r="H1601" i="2"/>
  <c r="G1601" i="2"/>
  <c r="F1601" i="2"/>
  <c r="E1601" i="2"/>
  <c r="D1601" i="2"/>
  <c r="C1601" i="2"/>
  <c r="B1601" i="2"/>
  <c r="A1601" i="2"/>
  <c r="H1600" i="2"/>
  <c r="G1600" i="2"/>
  <c r="F1600" i="2"/>
  <c r="E1600" i="2"/>
  <c r="D1600" i="2"/>
  <c r="C1600" i="2"/>
  <c r="B1600" i="2"/>
  <c r="A1600" i="2"/>
  <c r="H1599" i="2"/>
  <c r="G1599" i="2"/>
  <c r="F1599" i="2"/>
  <c r="E1599" i="2"/>
  <c r="D1599" i="2"/>
  <c r="C1599" i="2"/>
  <c r="B1599" i="2"/>
  <c r="A1599" i="2"/>
  <c r="H1598" i="2"/>
  <c r="G1598" i="2"/>
  <c r="F1598" i="2"/>
  <c r="E1598" i="2"/>
  <c r="D1598" i="2"/>
  <c r="C1598" i="2"/>
  <c r="B1598" i="2"/>
  <c r="A1598" i="2"/>
  <c r="H1597" i="2"/>
  <c r="G1597" i="2"/>
  <c r="F1597" i="2"/>
  <c r="E1597" i="2"/>
  <c r="D1597" i="2"/>
  <c r="C1597" i="2"/>
  <c r="B1597" i="2"/>
  <c r="A1597" i="2"/>
  <c r="H1596" i="2"/>
  <c r="G1596" i="2"/>
  <c r="F1596" i="2"/>
  <c r="E1596" i="2"/>
  <c r="D1596" i="2"/>
  <c r="C1596" i="2"/>
  <c r="B1596" i="2"/>
  <c r="A1596" i="2"/>
  <c r="H1595" i="2"/>
  <c r="G1595" i="2"/>
  <c r="F1595" i="2"/>
  <c r="E1595" i="2"/>
  <c r="D1595" i="2"/>
  <c r="C1595" i="2"/>
  <c r="B1595" i="2"/>
  <c r="A1595" i="2"/>
  <c r="H1594" i="2"/>
  <c r="G1594" i="2"/>
  <c r="F1594" i="2"/>
  <c r="E1594" i="2"/>
  <c r="D1594" i="2"/>
  <c r="C1594" i="2"/>
  <c r="B1594" i="2"/>
  <c r="A1594" i="2"/>
  <c r="H1593" i="2"/>
  <c r="G1593" i="2"/>
  <c r="F1593" i="2"/>
  <c r="E1593" i="2"/>
  <c r="D1593" i="2"/>
  <c r="C1593" i="2"/>
  <c r="B1593" i="2"/>
  <c r="A1593" i="2"/>
  <c r="H1592" i="2"/>
  <c r="G1592" i="2"/>
  <c r="F1592" i="2"/>
  <c r="E1592" i="2"/>
  <c r="D1592" i="2"/>
  <c r="C1592" i="2"/>
  <c r="B1592" i="2"/>
  <c r="A1592" i="2"/>
  <c r="H1591" i="2"/>
  <c r="G1591" i="2"/>
  <c r="F1591" i="2"/>
  <c r="E1591" i="2"/>
  <c r="D1591" i="2"/>
  <c r="C1591" i="2"/>
  <c r="B1591" i="2"/>
  <c r="A1591" i="2"/>
  <c r="H1590" i="2"/>
  <c r="G1590" i="2"/>
  <c r="F1590" i="2"/>
  <c r="E1590" i="2"/>
  <c r="D1590" i="2"/>
  <c r="C1590" i="2"/>
  <c r="B1590" i="2"/>
  <c r="A1590" i="2"/>
  <c r="H1589" i="2"/>
  <c r="G1589" i="2"/>
  <c r="F1589" i="2"/>
  <c r="E1589" i="2"/>
  <c r="D1589" i="2"/>
  <c r="C1589" i="2"/>
  <c r="B1589" i="2"/>
  <c r="A1589" i="2"/>
  <c r="H1588" i="2"/>
  <c r="G1588" i="2"/>
  <c r="F1588" i="2"/>
  <c r="E1588" i="2"/>
  <c r="D1588" i="2"/>
  <c r="C1588" i="2"/>
  <c r="B1588" i="2"/>
  <c r="A1588" i="2"/>
  <c r="H1587" i="2"/>
  <c r="G1587" i="2"/>
  <c r="F1587" i="2"/>
  <c r="E1587" i="2"/>
  <c r="D1587" i="2"/>
  <c r="C1587" i="2"/>
  <c r="B1587" i="2"/>
  <c r="A1587" i="2"/>
  <c r="H1586" i="2"/>
  <c r="G1586" i="2"/>
  <c r="F1586" i="2"/>
  <c r="E1586" i="2"/>
  <c r="D1586" i="2"/>
  <c r="C1586" i="2"/>
  <c r="B1586" i="2"/>
  <c r="A1586" i="2"/>
  <c r="H1585" i="2"/>
  <c r="G1585" i="2"/>
  <c r="F1585" i="2"/>
  <c r="E1585" i="2"/>
  <c r="D1585" i="2"/>
  <c r="C1585" i="2"/>
  <c r="B1585" i="2"/>
  <c r="A1585" i="2"/>
  <c r="H1584" i="2"/>
  <c r="G1584" i="2"/>
  <c r="F1584" i="2"/>
  <c r="E1584" i="2"/>
  <c r="D1584" i="2"/>
  <c r="C1584" i="2"/>
  <c r="B1584" i="2"/>
  <c r="A1584" i="2"/>
  <c r="H1583" i="2"/>
  <c r="G1583" i="2"/>
  <c r="F1583" i="2"/>
  <c r="E1583" i="2"/>
  <c r="D1583" i="2"/>
  <c r="C1583" i="2"/>
  <c r="B1583" i="2"/>
  <c r="A1583" i="2"/>
  <c r="H1582" i="2"/>
  <c r="G1582" i="2"/>
  <c r="F1582" i="2"/>
  <c r="E1582" i="2"/>
  <c r="D1582" i="2"/>
  <c r="C1582" i="2"/>
  <c r="B1582" i="2"/>
  <c r="A1582" i="2"/>
  <c r="H1581" i="2"/>
  <c r="G1581" i="2"/>
  <c r="F1581" i="2"/>
  <c r="E1581" i="2"/>
  <c r="D1581" i="2"/>
  <c r="C1581" i="2"/>
  <c r="B1581" i="2"/>
  <c r="A1581" i="2"/>
  <c r="H1580" i="2"/>
  <c r="G1580" i="2"/>
  <c r="F1580" i="2"/>
  <c r="E1580" i="2"/>
  <c r="D1580" i="2"/>
  <c r="C1580" i="2"/>
  <c r="B1580" i="2"/>
  <c r="A1580" i="2"/>
  <c r="H1579" i="2"/>
  <c r="G1579" i="2"/>
  <c r="F1579" i="2"/>
  <c r="E1579" i="2"/>
  <c r="D1579" i="2"/>
  <c r="C1579" i="2"/>
  <c r="B1579" i="2"/>
  <c r="A1579" i="2"/>
  <c r="H1578" i="2"/>
  <c r="G1578" i="2"/>
  <c r="F1578" i="2"/>
  <c r="E1578" i="2"/>
  <c r="D1578" i="2"/>
  <c r="C1578" i="2"/>
  <c r="B1578" i="2"/>
  <c r="A1578" i="2"/>
  <c r="H1577" i="2"/>
  <c r="G1577" i="2"/>
  <c r="F1577" i="2"/>
  <c r="E1577" i="2"/>
  <c r="D1577" i="2"/>
  <c r="C1577" i="2"/>
  <c r="B1577" i="2"/>
  <c r="A1577" i="2"/>
  <c r="H1576" i="2"/>
  <c r="G1576" i="2"/>
  <c r="F1576" i="2"/>
  <c r="E1576" i="2"/>
  <c r="D1576" i="2"/>
  <c r="C1576" i="2"/>
  <c r="B1576" i="2"/>
  <c r="A1576" i="2"/>
  <c r="H1575" i="2"/>
  <c r="G1575" i="2"/>
  <c r="F1575" i="2"/>
  <c r="E1575" i="2"/>
  <c r="D1575" i="2"/>
  <c r="C1575" i="2"/>
  <c r="B1575" i="2"/>
  <c r="A1575" i="2"/>
  <c r="H1574" i="2"/>
  <c r="G1574" i="2"/>
  <c r="F1574" i="2"/>
  <c r="E1574" i="2"/>
  <c r="D1574" i="2"/>
  <c r="C1574" i="2"/>
  <c r="B1574" i="2"/>
  <c r="A1574" i="2"/>
  <c r="H1573" i="2"/>
  <c r="G1573" i="2"/>
  <c r="F1573" i="2"/>
  <c r="E1573" i="2"/>
  <c r="D1573" i="2"/>
  <c r="C1573" i="2"/>
  <c r="B1573" i="2"/>
  <c r="A1573" i="2"/>
  <c r="H1572" i="2"/>
  <c r="G1572" i="2"/>
  <c r="F1572" i="2"/>
  <c r="E1572" i="2"/>
  <c r="D1572" i="2"/>
  <c r="C1572" i="2"/>
  <c r="B1572" i="2"/>
  <c r="A1572" i="2"/>
  <c r="H1571" i="2"/>
  <c r="G1571" i="2"/>
  <c r="F1571" i="2"/>
  <c r="E1571" i="2"/>
  <c r="D1571" i="2"/>
  <c r="C1571" i="2"/>
  <c r="B1571" i="2"/>
  <c r="A1571" i="2"/>
  <c r="H1570" i="2"/>
  <c r="G1570" i="2"/>
  <c r="F1570" i="2"/>
  <c r="E1570" i="2"/>
  <c r="D1570" i="2"/>
  <c r="C1570" i="2"/>
  <c r="B1570" i="2"/>
  <c r="A1570" i="2"/>
  <c r="H1569" i="2"/>
  <c r="G1569" i="2"/>
  <c r="F1569" i="2"/>
  <c r="E1569" i="2"/>
  <c r="D1569" i="2"/>
  <c r="C1569" i="2"/>
  <c r="B1569" i="2"/>
  <c r="A1569" i="2"/>
  <c r="H1568" i="2"/>
  <c r="G1568" i="2"/>
  <c r="F1568" i="2"/>
  <c r="E1568" i="2"/>
  <c r="D1568" i="2"/>
  <c r="C1568" i="2"/>
  <c r="B1568" i="2"/>
  <c r="A1568" i="2"/>
  <c r="H1567" i="2"/>
  <c r="G1567" i="2"/>
  <c r="F1567" i="2"/>
  <c r="E1567" i="2"/>
  <c r="D1567" i="2"/>
  <c r="C1567" i="2"/>
  <c r="B1567" i="2"/>
  <c r="A1567" i="2"/>
  <c r="H1566" i="2"/>
  <c r="G1566" i="2"/>
  <c r="F1566" i="2"/>
  <c r="E1566" i="2"/>
  <c r="D1566" i="2"/>
  <c r="C1566" i="2"/>
  <c r="B1566" i="2"/>
  <c r="A1566" i="2"/>
  <c r="H1565" i="2"/>
  <c r="G1565" i="2"/>
  <c r="F1565" i="2"/>
  <c r="E1565" i="2"/>
  <c r="D1565" i="2"/>
  <c r="C1565" i="2"/>
  <c r="B1565" i="2"/>
  <c r="A1565" i="2"/>
  <c r="H1564" i="2"/>
  <c r="G1564" i="2"/>
  <c r="F1564" i="2"/>
  <c r="E1564" i="2"/>
  <c r="D1564" i="2"/>
  <c r="C1564" i="2"/>
  <c r="B1564" i="2"/>
  <c r="A1564" i="2"/>
  <c r="H1563" i="2"/>
  <c r="G1563" i="2"/>
  <c r="F1563" i="2"/>
  <c r="E1563" i="2"/>
  <c r="D1563" i="2"/>
  <c r="C1563" i="2"/>
  <c r="B1563" i="2"/>
  <c r="A1563" i="2"/>
  <c r="H1562" i="2"/>
  <c r="G1562" i="2"/>
  <c r="F1562" i="2"/>
  <c r="E1562" i="2"/>
  <c r="D1562" i="2"/>
  <c r="C1562" i="2"/>
  <c r="B1562" i="2"/>
  <c r="A1562" i="2"/>
  <c r="H1561" i="2"/>
  <c r="G1561" i="2"/>
  <c r="F1561" i="2"/>
  <c r="E1561" i="2"/>
  <c r="D1561" i="2"/>
  <c r="C1561" i="2"/>
  <c r="B1561" i="2"/>
  <c r="A1561" i="2"/>
  <c r="H1560" i="2"/>
  <c r="G1560" i="2"/>
  <c r="F1560" i="2"/>
  <c r="E1560" i="2"/>
  <c r="D1560" i="2"/>
  <c r="C1560" i="2"/>
  <c r="B1560" i="2"/>
  <c r="A1560" i="2"/>
  <c r="H1559" i="2"/>
  <c r="G1559" i="2"/>
  <c r="F1559" i="2"/>
  <c r="E1559" i="2"/>
  <c r="D1559" i="2"/>
  <c r="C1559" i="2"/>
  <c r="B1559" i="2"/>
  <c r="A1559" i="2"/>
  <c r="H1558" i="2"/>
  <c r="G1558" i="2"/>
  <c r="F1558" i="2"/>
  <c r="E1558" i="2"/>
  <c r="D1558" i="2"/>
  <c r="C1558" i="2"/>
  <c r="B1558" i="2"/>
  <c r="A1558" i="2"/>
  <c r="H1557" i="2"/>
  <c r="G1557" i="2"/>
  <c r="F1557" i="2"/>
  <c r="E1557" i="2"/>
  <c r="D1557" i="2"/>
  <c r="C1557" i="2"/>
  <c r="B1557" i="2"/>
  <c r="A1557" i="2"/>
  <c r="H1556" i="2"/>
  <c r="G1556" i="2"/>
  <c r="F1556" i="2"/>
  <c r="E1556" i="2"/>
  <c r="D1556" i="2"/>
  <c r="C1556" i="2"/>
  <c r="B1556" i="2"/>
  <c r="A1556" i="2"/>
  <c r="H1555" i="2"/>
  <c r="G1555" i="2"/>
  <c r="F1555" i="2"/>
  <c r="E1555" i="2"/>
  <c r="D1555" i="2"/>
  <c r="C1555" i="2"/>
  <c r="B1555" i="2"/>
  <c r="A1555" i="2"/>
  <c r="H1554" i="2"/>
  <c r="G1554" i="2"/>
  <c r="F1554" i="2"/>
  <c r="E1554" i="2"/>
  <c r="D1554" i="2"/>
  <c r="C1554" i="2"/>
  <c r="B1554" i="2"/>
  <c r="A1554" i="2"/>
  <c r="H1553" i="2"/>
  <c r="G1553" i="2"/>
  <c r="F1553" i="2"/>
  <c r="E1553" i="2"/>
  <c r="D1553" i="2"/>
  <c r="C1553" i="2"/>
  <c r="B1553" i="2"/>
  <c r="A1553" i="2"/>
  <c r="H1552" i="2"/>
  <c r="G1552" i="2"/>
  <c r="F1552" i="2"/>
  <c r="E1552" i="2"/>
  <c r="D1552" i="2"/>
  <c r="C1552" i="2"/>
  <c r="B1552" i="2"/>
  <c r="A1552" i="2"/>
  <c r="H1551" i="2"/>
  <c r="G1551" i="2"/>
  <c r="F1551" i="2"/>
  <c r="E1551" i="2"/>
  <c r="D1551" i="2"/>
  <c r="C1551" i="2"/>
  <c r="B1551" i="2"/>
  <c r="A1551" i="2"/>
  <c r="H1550" i="2"/>
  <c r="G1550" i="2"/>
  <c r="F1550" i="2"/>
  <c r="E1550" i="2"/>
  <c r="D1550" i="2"/>
  <c r="C1550" i="2"/>
  <c r="B1550" i="2"/>
  <c r="A1550" i="2"/>
  <c r="H1549" i="2"/>
  <c r="G1549" i="2"/>
  <c r="F1549" i="2"/>
  <c r="E1549" i="2"/>
  <c r="D1549" i="2"/>
  <c r="C1549" i="2"/>
  <c r="B1549" i="2"/>
  <c r="A1549" i="2"/>
  <c r="H1548" i="2"/>
  <c r="G1548" i="2"/>
  <c r="F1548" i="2"/>
  <c r="E1548" i="2"/>
  <c r="D1548" i="2"/>
  <c r="C1548" i="2"/>
  <c r="B1548" i="2"/>
  <c r="A1548" i="2"/>
  <c r="H1547" i="2"/>
  <c r="G1547" i="2"/>
  <c r="F1547" i="2"/>
  <c r="E1547" i="2"/>
  <c r="D1547" i="2"/>
  <c r="C1547" i="2"/>
  <c r="B1547" i="2"/>
  <c r="A1547" i="2"/>
  <c r="H1546" i="2"/>
  <c r="G1546" i="2"/>
  <c r="F1546" i="2"/>
  <c r="E1546" i="2"/>
  <c r="D1546" i="2"/>
  <c r="C1546" i="2"/>
  <c r="B1546" i="2"/>
  <c r="A1546" i="2"/>
  <c r="H1545" i="2"/>
  <c r="G1545" i="2"/>
  <c r="F1545" i="2"/>
  <c r="E1545" i="2"/>
  <c r="D1545" i="2"/>
  <c r="C1545" i="2"/>
  <c r="B1545" i="2"/>
  <c r="A1545" i="2"/>
  <c r="H1544" i="2"/>
  <c r="G1544" i="2"/>
  <c r="F1544" i="2"/>
  <c r="E1544" i="2"/>
  <c r="D1544" i="2"/>
  <c r="C1544" i="2"/>
  <c r="B1544" i="2"/>
  <c r="A1544" i="2"/>
  <c r="H1543" i="2"/>
  <c r="G1543" i="2"/>
  <c r="F1543" i="2"/>
  <c r="E1543" i="2"/>
  <c r="D1543" i="2"/>
  <c r="C1543" i="2"/>
  <c r="B1543" i="2"/>
  <c r="A1543" i="2"/>
  <c r="H1542" i="2"/>
  <c r="G1542" i="2"/>
  <c r="F1542" i="2"/>
  <c r="E1542" i="2"/>
  <c r="D1542" i="2"/>
  <c r="C1542" i="2"/>
  <c r="B1542" i="2"/>
  <c r="A1542" i="2"/>
  <c r="H1541" i="2"/>
  <c r="G1541" i="2"/>
  <c r="F1541" i="2"/>
  <c r="E1541" i="2"/>
  <c r="D1541" i="2"/>
  <c r="C1541" i="2"/>
  <c r="B1541" i="2"/>
  <c r="A1541" i="2"/>
  <c r="H1540" i="2"/>
  <c r="G1540" i="2"/>
  <c r="F1540" i="2"/>
  <c r="E1540" i="2"/>
  <c r="D1540" i="2"/>
  <c r="C1540" i="2"/>
  <c r="B1540" i="2"/>
  <c r="A1540" i="2"/>
  <c r="H1539" i="2"/>
  <c r="G1539" i="2"/>
  <c r="F1539" i="2"/>
  <c r="E1539" i="2"/>
  <c r="D1539" i="2"/>
  <c r="C1539" i="2"/>
  <c r="B1539" i="2"/>
  <c r="A1539" i="2"/>
  <c r="H1538" i="2"/>
  <c r="G1538" i="2"/>
  <c r="F1538" i="2"/>
  <c r="E1538" i="2"/>
  <c r="D1538" i="2"/>
  <c r="C1538" i="2"/>
  <c r="B1538" i="2"/>
  <c r="A1538" i="2"/>
  <c r="H1537" i="2"/>
  <c r="G1537" i="2"/>
  <c r="F1537" i="2"/>
  <c r="E1537" i="2"/>
  <c r="D1537" i="2"/>
  <c r="C1537" i="2"/>
  <c r="B1537" i="2"/>
  <c r="A1537" i="2"/>
  <c r="H1536" i="2"/>
  <c r="G1536" i="2"/>
  <c r="F1536" i="2"/>
  <c r="E1536" i="2"/>
  <c r="D1536" i="2"/>
  <c r="C1536" i="2"/>
  <c r="B1536" i="2"/>
  <c r="A1536" i="2"/>
  <c r="H1535" i="2"/>
  <c r="G1535" i="2"/>
  <c r="F1535" i="2"/>
  <c r="E1535" i="2"/>
  <c r="D1535" i="2"/>
  <c r="C1535" i="2"/>
  <c r="B1535" i="2"/>
  <c r="A1535" i="2"/>
  <c r="H1534" i="2"/>
  <c r="G1534" i="2"/>
  <c r="F1534" i="2"/>
  <c r="E1534" i="2"/>
  <c r="D1534" i="2"/>
  <c r="C1534" i="2"/>
  <c r="B1534" i="2"/>
  <c r="A1534" i="2"/>
  <c r="H1533" i="2"/>
  <c r="G1533" i="2"/>
  <c r="F1533" i="2"/>
  <c r="E1533" i="2"/>
  <c r="D1533" i="2"/>
  <c r="C1533" i="2"/>
  <c r="B1533" i="2"/>
  <c r="A1533" i="2"/>
  <c r="H1532" i="2"/>
  <c r="G1532" i="2"/>
  <c r="F1532" i="2"/>
  <c r="E1532" i="2"/>
  <c r="D1532" i="2"/>
  <c r="C1532" i="2"/>
  <c r="B1532" i="2"/>
  <c r="A1532" i="2"/>
  <c r="H1531" i="2"/>
  <c r="G1531" i="2"/>
  <c r="F1531" i="2"/>
  <c r="E1531" i="2"/>
  <c r="D1531" i="2"/>
  <c r="C1531" i="2"/>
  <c r="B1531" i="2"/>
  <c r="A1531" i="2"/>
  <c r="H1530" i="2"/>
  <c r="G1530" i="2"/>
  <c r="F1530" i="2"/>
  <c r="E1530" i="2"/>
  <c r="D1530" i="2"/>
  <c r="C1530" i="2"/>
  <c r="B1530" i="2"/>
  <c r="A1530" i="2"/>
  <c r="H1529" i="2"/>
  <c r="G1529" i="2"/>
  <c r="F1529" i="2"/>
  <c r="E1529" i="2"/>
  <c r="D1529" i="2"/>
  <c r="C1529" i="2"/>
  <c r="B1529" i="2"/>
  <c r="A1529" i="2"/>
  <c r="H1528" i="2"/>
  <c r="G1528" i="2"/>
  <c r="F1528" i="2"/>
  <c r="E1528" i="2"/>
  <c r="D1528" i="2"/>
  <c r="C1528" i="2"/>
  <c r="B1528" i="2"/>
  <c r="A1528" i="2"/>
  <c r="H1527" i="2"/>
  <c r="G1527" i="2"/>
  <c r="F1527" i="2"/>
  <c r="E1527" i="2"/>
  <c r="D1527" i="2"/>
  <c r="C1527" i="2"/>
  <c r="B1527" i="2"/>
  <c r="A1527" i="2"/>
  <c r="H1526" i="2"/>
  <c r="G1526" i="2"/>
  <c r="F1526" i="2"/>
  <c r="E1526" i="2"/>
  <c r="D1526" i="2"/>
  <c r="C1526" i="2"/>
  <c r="B1526" i="2"/>
  <c r="A1526" i="2"/>
  <c r="H1525" i="2"/>
  <c r="G1525" i="2"/>
  <c r="F1525" i="2"/>
  <c r="E1525" i="2"/>
  <c r="D1525" i="2"/>
  <c r="C1525" i="2"/>
  <c r="B1525" i="2"/>
  <c r="A1525" i="2"/>
  <c r="H1524" i="2"/>
  <c r="G1524" i="2"/>
  <c r="F1524" i="2"/>
  <c r="E1524" i="2"/>
  <c r="D1524" i="2"/>
  <c r="C1524" i="2"/>
  <c r="B1524" i="2"/>
  <c r="A1524" i="2"/>
  <c r="H1523" i="2"/>
  <c r="G1523" i="2"/>
  <c r="F1523" i="2"/>
  <c r="E1523" i="2"/>
  <c r="D1523" i="2"/>
  <c r="C1523" i="2"/>
  <c r="B1523" i="2"/>
  <c r="A1523" i="2"/>
  <c r="H1522" i="2"/>
  <c r="G1522" i="2"/>
  <c r="F1522" i="2"/>
  <c r="E1522" i="2"/>
  <c r="D1522" i="2"/>
  <c r="C1522" i="2"/>
  <c r="B1522" i="2"/>
  <c r="A1522" i="2"/>
  <c r="H1521" i="2"/>
  <c r="G1521" i="2"/>
  <c r="F1521" i="2"/>
  <c r="E1521" i="2"/>
  <c r="D1521" i="2"/>
  <c r="C1521" i="2"/>
  <c r="B1521" i="2"/>
  <c r="A1521" i="2"/>
  <c r="H1520" i="2"/>
  <c r="G1520" i="2"/>
  <c r="F1520" i="2"/>
  <c r="E1520" i="2"/>
  <c r="D1520" i="2"/>
  <c r="C1520" i="2"/>
  <c r="B1520" i="2"/>
  <c r="A1520" i="2"/>
  <c r="H1519" i="2"/>
  <c r="G1519" i="2"/>
  <c r="F1519" i="2"/>
  <c r="E1519" i="2"/>
  <c r="D1519" i="2"/>
  <c r="C1519" i="2"/>
  <c r="B1519" i="2"/>
  <c r="A1519" i="2"/>
  <c r="H1518" i="2"/>
  <c r="G1518" i="2"/>
  <c r="F1518" i="2"/>
  <c r="E1518" i="2"/>
  <c r="D1518" i="2"/>
  <c r="C1518" i="2"/>
  <c r="B1518" i="2"/>
  <c r="A1518" i="2"/>
  <c r="H1517" i="2"/>
  <c r="G1517" i="2"/>
  <c r="F1517" i="2"/>
  <c r="E1517" i="2"/>
  <c r="D1517" i="2"/>
  <c r="C1517" i="2"/>
  <c r="B1517" i="2"/>
  <c r="A1517" i="2"/>
  <c r="H1516" i="2"/>
  <c r="G1516" i="2"/>
  <c r="F1516" i="2"/>
  <c r="E1516" i="2"/>
  <c r="D1516" i="2"/>
  <c r="C1516" i="2"/>
  <c r="B1516" i="2"/>
  <c r="A1516" i="2"/>
  <c r="H1515" i="2"/>
  <c r="G1515" i="2"/>
  <c r="F1515" i="2"/>
  <c r="E1515" i="2"/>
  <c r="D1515" i="2"/>
  <c r="C1515" i="2"/>
  <c r="B1515" i="2"/>
  <c r="A1515" i="2"/>
  <c r="H1514" i="2"/>
  <c r="G1514" i="2"/>
  <c r="F1514" i="2"/>
  <c r="E1514" i="2"/>
  <c r="D1514" i="2"/>
  <c r="C1514" i="2"/>
  <c r="B1514" i="2"/>
  <c r="A1514" i="2"/>
  <c r="H1513" i="2"/>
  <c r="G1513" i="2"/>
  <c r="F1513" i="2"/>
  <c r="E1513" i="2"/>
  <c r="D1513" i="2"/>
  <c r="C1513" i="2"/>
  <c r="B1513" i="2"/>
  <c r="A1513" i="2"/>
  <c r="H1512" i="2"/>
  <c r="G1512" i="2"/>
  <c r="F1512" i="2"/>
  <c r="E1512" i="2"/>
  <c r="D1512" i="2"/>
  <c r="C1512" i="2"/>
  <c r="B1512" i="2"/>
  <c r="A1512" i="2"/>
  <c r="H1511" i="2"/>
  <c r="G1511" i="2"/>
  <c r="F1511" i="2"/>
  <c r="E1511" i="2"/>
  <c r="D1511" i="2"/>
  <c r="C1511" i="2"/>
  <c r="B1511" i="2"/>
  <c r="A1511" i="2"/>
  <c r="H1510" i="2"/>
  <c r="G1510" i="2"/>
  <c r="F1510" i="2"/>
  <c r="E1510" i="2"/>
  <c r="D1510" i="2"/>
  <c r="C1510" i="2"/>
  <c r="B1510" i="2"/>
  <c r="A1510" i="2"/>
  <c r="H1509" i="2"/>
  <c r="G1509" i="2"/>
  <c r="F1509" i="2"/>
  <c r="E1509" i="2"/>
  <c r="D1509" i="2"/>
  <c r="C1509" i="2"/>
  <c r="B1509" i="2"/>
  <c r="A1509" i="2"/>
  <c r="H1508" i="2"/>
  <c r="G1508" i="2"/>
  <c r="F1508" i="2"/>
  <c r="E1508" i="2"/>
  <c r="D1508" i="2"/>
  <c r="C1508" i="2"/>
  <c r="B1508" i="2"/>
  <c r="A1508" i="2"/>
  <c r="H1507" i="2"/>
  <c r="G1507" i="2"/>
  <c r="F1507" i="2"/>
  <c r="E1507" i="2"/>
  <c r="D1507" i="2"/>
  <c r="C1507" i="2"/>
  <c r="B1507" i="2"/>
  <c r="A1507" i="2"/>
  <c r="H1506" i="2"/>
  <c r="G1506" i="2"/>
  <c r="F1506" i="2"/>
  <c r="E1506" i="2"/>
  <c r="D1506" i="2"/>
  <c r="C1506" i="2"/>
  <c r="B1506" i="2"/>
  <c r="A1506" i="2"/>
  <c r="H1505" i="2"/>
  <c r="G1505" i="2"/>
  <c r="F1505" i="2"/>
  <c r="E1505" i="2"/>
  <c r="D1505" i="2"/>
  <c r="C1505" i="2"/>
  <c r="B1505" i="2"/>
  <c r="A1505" i="2"/>
  <c r="H1504" i="2"/>
  <c r="G1504" i="2"/>
  <c r="F1504" i="2"/>
  <c r="E1504" i="2"/>
  <c r="D1504" i="2"/>
  <c r="C1504" i="2"/>
  <c r="B1504" i="2"/>
  <c r="A1504" i="2"/>
  <c r="H1503" i="2"/>
  <c r="G1503" i="2"/>
  <c r="F1503" i="2"/>
  <c r="E1503" i="2"/>
  <c r="D1503" i="2"/>
  <c r="C1503" i="2"/>
  <c r="B1503" i="2"/>
  <c r="A1503" i="2"/>
  <c r="H1502" i="2"/>
  <c r="G1502" i="2"/>
  <c r="F1502" i="2"/>
  <c r="E1502" i="2"/>
  <c r="D1502" i="2"/>
  <c r="C1502" i="2"/>
  <c r="B1502" i="2"/>
  <c r="A1502" i="2"/>
  <c r="H1501" i="2"/>
  <c r="G1501" i="2"/>
  <c r="F1501" i="2"/>
  <c r="E1501" i="2"/>
  <c r="D1501" i="2"/>
  <c r="C1501" i="2"/>
  <c r="B1501" i="2"/>
  <c r="A1501" i="2"/>
  <c r="H1500" i="2"/>
  <c r="G1500" i="2"/>
  <c r="F1500" i="2"/>
  <c r="E1500" i="2"/>
  <c r="D1500" i="2"/>
  <c r="C1500" i="2"/>
  <c r="B1500" i="2"/>
  <c r="A1500" i="2"/>
  <c r="H1499" i="2"/>
  <c r="G1499" i="2"/>
  <c r="F1499" i="2"/>
  <c r="E1499" i="2"/>
  <c r="D1499" i="2"/>
  <c r="C1499" i="2"/>
  <c r="B1499" i="2"/>
  <c r="A1499" i="2"/>
  <c r="H1498" i="2"/>
  <c r="G1498" i="2"/>
  <c r="F1498" i="2"/>
  <c r="E1498" i="2"/>
  <c r="D1498" i="2"/>
  <c r="C1498" i="2"/>
  <c r="B1498" i="2"/>
  <c r="A1498" i="2"/>
  <c r="H1497" i="2"/>
  <c r="G1497" i="2"/>
  <c r="F1497" i="2"/>
  <c r="E1497" i="2"/>
  <c r="D1497" i="2"/>
  <c r="C1497" i="2"/>
  <c r="B1497" i="2"/>
  <c r="A1497" i="2"/>
  <c r="H1496" i="2"/>
  <c r="G1496" i="2"/>
  <c r="F1496" i="2"/>
  <c r="E1496" i="2"/>
  <c r="D1496" i="2"/>
  <c r="C1496" i="2"/>
  <c r="B1496" i="2"/>
  <c r="A1496" i="2"/>
  <c r="H1495" i="2"/>
  <c r="G1495" i="2"/>
  <c r="F1495" i="2"/>
  <c r="E1495" i="2"/>
  <c r="D1495" i="2"/>
  <c r="C1495" i="2"/>
  <c r="B1495" i="2"/>
  <c r="A1495" i="2"/>
  <c r="H1494" i="2"/>
  <c r="G1494" i="2"/>
  <c r="F1494" i="2"/>
  <c r="E1494" i="2"/>
  <c r="D1494" i="2"/>
  <c r="C1494" i="2"/>
  <c r="B1494" i="2"/>
  <c r="A1494" i="2"/>
  <c r="H1493" i="2"/>
  <c r="G1493" i="2"/>
  <c r="F1493" i="2"/>
  <c r="E1493" i="2"/>
  <c r="D1493" i="2"/>
  <c r="C1493" i="2"/>
  <c r="B1493" i="2"/>
  <c r="A1493" i="2"/>
  <c r="H1492" i="2"/>
  <c r="G1492" i="2"/>
  <c r="F1492" i="2"/>
  <c r="E1492" i="2"/>
  <c r="D1492" i="2"/>
  <c r="C1492" i="2"/>
  <c r="B1492" i="2"/>
  <c r="A1492" i="2"/>
  <c r="H1491" i="2"/>
  <c r="G1491" i="2"/>
  <c r="F1491" i="2"/>
  <c r="E1491" i="2"/>
  <c r="D1491" i="2"/>
  <c r="C1491" i="2"/>
  <c r="B1491" i="2"/>
  <c r="A1491" i="2"/>
  <c r="H1490" i="2"/>
  <c r="G1490" i="2"/>
  <c r="F1490" i="2"/>
  <c r="E1490" i="2"/>
  <c r="D1490" i="2"/>
  <c r="C1490" i="2"/>
  <c r="B1490" i="2"/>
  <c r="A1490" i="2"/>
  <c r="H1489" i="2"/>
  <c r="G1489" i="2"/>
  <c r="F1489" i="2"/>
  <c r="E1489" i="2"/>
  <c r="D1489" i="2"/>
  <c r="C1489" i="2"/>
  <c r="B1489" i="2"/>
  <c r="A1489" i="2"/>
  <c r="H1488" i="2"/>
  <c r="G1488" i="2"/>
  <c r="F1488" i="2"/>
  <c r="E1488" i="2"/>
  <c r="D1488" i="2"/>
  <c r="C1488" i="2"/>
  <c r="B1488" i="2"/>
  <c r="A1488" i="2"/>
  <c r="H1487" i="2"/>
  <c r="G1487" i="2"/>
  <c r="F1487" i="2"/>
  <c r="E1487" i="2"/>
  <c r="D1487" i="2"/>
  <c r="C1487" i="2"/>
  <c r="B1487" i="2"/>
  <c r="A1487" i="2"/>
  <c r="H1486" i="2"/>
  <c r="G1486" i="2"/>
  <c r="F1486" i="2"/>
  <c r="E1486" i="2"/>
  <c r="D1486" i="2"/>
  <c r="C1486" i="2"/>
  <c r="B1486" i="2"/>
  <c r="A1486" i="2"/>
  <c r="H1485" i="2"/>
  <c r="G1485" i="2"/>
  <c r="F1485" i="2"/>
  <c r="E1485" i="2"/>
  <c r="D1485" i="2"/>
  <c r="C1485" i="2"/>
  <c r="B1485" i="2"/>
  <c r="A1485" i="2"/>
  <c r="H1484" i="2"/>
  <c r="G1484" i="2"/>
  <c r="F1484" i="2"/>
  <c r="E1484" i="2"/>
  <c r="D1484" i="2"/>
  <c r="C1484" i="2"/>
  <c r="B1484" i="2"/>
  <c r="A1484" i="2"/>
  <c r="H1483" i="2"/>
  <c r="G1483" i="2"/>
  <c r="F1483" i="2"/>
  <c r="E1483" i="2"/>
  <c r="D1483" i="2"/>
  <c r="C1483" i="2"/>
  <c r="B1483" i="2"/>
  <c r="A1483" i="2"/>
  <c r="H1482" i="2"/>
  <c r="G1482" i="2"/>
  <c r="F1482" i="2"/>
  <c r="E1482" i="2"/>
  <c r="D1482" i="2"/>
  <c r="C1482" i="2"/>
  <c r="B1482" i="2"/>
  <c r="A1482" i="2"/>
  <c r="H1481" i="2"/>
  <c r="G1481" i="2"/>
  <c r="F1481" i="2"/>
  <c r="E1481" i="2"/>
  <c r="D1481" i="2"/>
  <c r="C1481" i="2"/>
  <c r="B1481" i="2"/>
  <c r="A1481" i="2"/>
  <c r="H1480" i="2"/>
  <c r="G1480" i="2"/>
  <c r="F1480" i="2"/>
  <c r="E1480" i="2"/>
  <c r="D1480" i="2"/>
  <c r="C1480" i="2"/>
  <c r="B1480" i="2"/>
  <c r="A1480" i="2"/>
  <c r="H1479" i="2"/>
  <c r="G1479" i="2"/>
  <c r="F1479" i="2"/>
  <c r="E1479" i="2"/>
  <c r="D1479" i="2"/>
  <c r="C1479" i="2"/>
  <c r="B1479" i="2"/>
  <c r="A1479" i="2"/>
  <c r="H1478" i="2"/>
  <c r="G1478" i="2"/>
  <c r="F1478" i="2"/>
  <c r="E1478" i="2"/>
  <c r="D1478" i="2"/>
  <c r="C1478" i="2"/>
  <c r="B1478" i="2"/>
  <c r="A1478" i="2"/>
  <c r="H1477" i="2"/>
  <c r="G1477" i="2"/>
  <c r="F1477" i="2"/>
  <c r="E1477" i="2"/>
  <c r="D1477" i="2"/>
  <c r="C1477" i="2"/>
  <c r="B1477" i="2"/>
  <c r="A1477" i="2"/>
  <c r="H1476" i="2"/>
  <c r="G1476" i="2"/>
  <c r="F1476" i="2"/>
  <c r="E1476" i="2"/>
  <c r="D1476" i="2"/>
  <c r="C1476" i="2"/>
  <c r="B1476" i="2"/>
  <c r="A1476" i="2"/>
  <c r="H1475" i="2"/>
  <c r="G1475" i="2"/>
  <c r="F1475" i="2"/>
  <c r="E1475" i="2"/>
  <c r="D1475" i="2"/>
  <c r="C1475" i="2"/>
  <c r="B1475" i="2"/>
  <c r="A1475" i="2"/>
  <c r="H1474" i="2"/>
  <c r="G1474" i="2"/>
  <c r="F1474" i="2"/>
  <c r="E1474" i="2"/>
  <c r="D1474" i="2"/>
  <c r="C1474" i="2"/>
  <c r="B1474" i="2"/>
  <c r="A1474" i="2"/>
  <c r="H1473" i="2"/>
  <c r="G1473" i="2"/>
  <c r="F1473" i="2"/>
  <c r="E1473" i="2"/>
  <c r="D1473" i="2"/>
  <c r="C1473" i="2"/>
  <c r="B1473" i="2"/>
  <c r="A1473" i="2"/>
  <c r="H1472" i="2"/>
  <c r="G1472" i="2"/>
  <c r="F1472" i="2"/>
  <c r="E1472" i="2"/>
  <c r="D1472" i="2"/>
  <c r="C1472" i="2"/>
  <c r="B1472" i="2"/>
  <c r="A1472" i="2"/>
  <c r="H1471" i="2"/>
  <c r="G1471" i="2"/>
  <c r="F1471" i="2"/>
  <c r="E1471" i="2"/>
  <c r="D1471" i="2"/>
  <c r="C1471" i="2"/>
  <c r="B1471" i="2"/>
  <c r="A1471" i="2"/>
  <c r="H1470" i="2"/>
  <c r="G1470" i="2"/>
  <c r="F1470" i="2"/>
  <c r="E1470" i="2"/>
  <c r="D1470" i="2"/>
  <c r="C1470" i="2"/>
  <c r="B1470" i="2"/>
  <c r="A1470" i="2"/>
  <c r="H1469" i="2"/>
  <c r="G1469" i="2"/>
  <c r="F1469" i="2"/>
  <c r="E1469" i="2"/>
  <c r="D1469" i="2"/>
  <c r="C1469" i="2"/>
  <c r="B1469" i="2"/>
  <c r="A1469" i="2"/>
  <c r="H1468" i="2"/>
  <c r="G1468" i="2"/>
  <c r="F1468" i="2"/>
  <c r="E1468" i="2"/>
  <c r="D1468" i="2"/>
  <c r="C1468" i="2"/>
  <c r="B1468" i="2"/>
  <c r="A1468" i="2"/>
  <c r="H1467" i="2"/>
  <c r="G1467" i="2"/>
  <c r="F1467" i="2"/>
  <c r="E1467" i="2"/>
  <c r="D1467" i="2"/>
  <c r="C1467" i="2"/>
  <c r="B1467" i="2"/>
  <c r="A1467" i="2"/>
  <c r="H1466" i="2"/>
  <c r="G1466" i="2"/>
  <c r="F1466" i="2"/>
  <c r="E1466" i="2"/>
  <c r="D1466" i="2"/>
  <c r="C1466" i="2"/>
  <c r="B1466" i="2"/>
  <c r="A1466" i="2"/>
  <c r="H1465" i="2"/>
  <c r="G1465" i="2"/>
  <c r="F1465" i="2"/>
  <c r="E1465" i="2"/>
  <c r="D1465" i="2"/>
  <c r="C1465" i="2"/>
  <c r="B1465" i="2"/>
  <c r="A1465" i="2"/>
  <c r="H1464" i="2"/>
  <c r="G1464" i="2"/>
  <c r="F1464" i="2"/>
  <c r="E1464" i="2"/>
  <c r="D1464" i="2"/>
  <c r="C1464" i="2"/>
  <c r="B1464" i="2"/>
  <c r="A1464" i="2"/>
  <c r="H1463" i="2"/>
  <c r="G1463" i="2"/>
  <c r="F1463" i="2"/>
  <c r="E1463" i="2"/>
  <c r="D1463" i="2"/>
  <c r="C1463" i="2"/>
  <c r="B1463" i="2"/>
  <c r="A1463" i="2"/>
  <c r="H1462" i="2"/>
  <c r="G1462" i="2"/>
  <c r="F1462" i="2"/>
  <c r="E1462" i="2"/>
  <c r="D1462" i="2"/>
  <c r="C1462" i="2"/>
  <c r="B1462" i="2"/>
  <c r="A1462" i="2"/>
  <c r="H1461" i="2"/>
  <c r="G1461" i="2"/>
  <c r="F1461" i="2"/>
  <c r="E1461" i="2"/>
  <c r="D1461" i="2"/>
  <c r="C1461" i="2"/>
  <c r="B1461" i="2"/>
  <c r="A1461" i="2"/>
  <c r="H1460" i="2"/>
  <c r="G1460" i="2"/>
  <c r="F1460" i="2"/>
  <c r="E1460" i="2"/>
  <c r="D1460" i="2"/>
  <c r="C1460" i="2"/>
  <c r="B1460" i="2"/>
  <c r="A1460" i="2"/>
  <c r="H1459" i="2"/>
  <c r="G1459" i="2"/>
  <c r="F1459" i="2"/>
  <c r="E1459" i="2"/>
  <c r="D1459" i="2"/>
  <c r="C1459" i="2"/>
  <c r="B1459" i="2"/>
  <c r="A1459" i="2"/>
  <c r="H1458" i="2"/>
  <c r="G1458" i="2"/>
  <c r="F1458" i="2"/>
  <c r="E1458" i="2"/>
  <c r="D1458" i="2"/>
  <c r="C1458" i="2"/>
  <c r="B1458" i="2"/>
  <c r="A1458" i="2"/>
  <c r="H1457" i="2"/>
  <c r="G1457" i="2"/>
  <c r="F1457" i="2"/>
  <c r="E1457" i="2"/>
  <c r="D1457" i="2"/>
  <c r="C1457" i="2"/>
  <c r="B1457" i="2"/>
  <c r="A1457" i="2"/>
  <c r="H1456" i="2"/>
  <c r="G1456" i="2"/>
  <c r="F1456" i="2"/>
  <c r="E1456" i="2"/>
  <c r="D1456" i="2"/>
  <c r="C1456" i="2"/>
  <c r="B1456" i="2"/>
  <c r="A1456" i="2"/>
  <c r="H1455" i="2"/>
  <c r="G1455" i="2"/>
  <c r="F1455" i="2"/>
  <c r="E1455" i="2"/>
  <c r="D1455" i="2"/>
  <c r="C1455" i="2"/>
  <c r="B1455" i="2"/>
  <c r="A1455" i="2"/>
  <c r="H1454" i="2"/>
  <c r="G1454" i="2"/>
  <c r="F1454" i="2"/>
  <c r="E1454" i="2"/>
  <c r="D1454" i="2"/>
  <c r="C1454" i="2"/>
  <c r="B1454" i="2"/>
  <c r="A1454" i="2"/>
  <c r="H1453" i="2"/>
  <c r="G1453" i="2"/>
  <c r="F1453" i="2"/>
  <c r="E1453" i="2"/>
  <c r="D1453" i="2"/>
  <c r="C1453" i="2"/>
  <c r="B1453" i="2"/>
  <c r="A1453" i="2"/>
  <c r="H1452" i="2"/>
  <c r="G1452" i="2"/>
  <c r="F1452" i="2"/>
  <c r="E1452" i="2"/>
  <c r="D1452" i="2"/>
  <c r="C1452" i="2"/>
  <c r="B1452" i="2"/>
  <c r="A1452" i="2"/>
  <c r="H1451" i="2"/>
  <c r="G1451" i="2"/>
  <c r="F1451" i="2"/>
  <c r="E1451" i="2"/>
  <c r="D1451" i="2"/>
  <c r="C1451" i="2"/>
  <c r="B1451" i="2"/>
  <c r="A1451" i="2"/>
  <c r="H1450" i="2"/>
  <c r="G1450" i="2"/>
  <c r="F1450" i="2"/>
  <c r="E1450" i="2"/>
  <c r="D1450" i="2"/>
  <c r="C1450" i="2"/>
  <c r="B1450" i="2"/>
  <c r="A1450" i="2"/>
  <c r="H1449" i="2"/>
  <c r="G1449" i="2"/>
  <c r="F1449" i="2"/>
  <c r="E1449" i="2"/>
  <c r="D1449" i="2"/>
  <c r="C1449" i="2"/>
  <c r="B1449" i="2"/>
  <c r="A1449" i="2"/>
  <c r="H1448" i="2"/>
  <c r="G1448" i="2"/>
  <c r="F1448" i="2"/>
  <c r="E1448" i="2"/>
  <c r="D1448" i="2"/>
  <c r="C1448" i="2"/>
  <c r="B1448" i="2"/>
  <c r="A1448" i="2"/>
  <c r="H1447" i="2"/>
  <c r="G1447" i="2"/>
  <c r="F1447" i="2"/>
  <c r="E1447" i="2"/>
  <c r="D1447" i="2"/>
  <c r="C1447" i="2"/>
  <c r="B1447" i="2"/>
  <c r="A1447" i="2"/>
  <c r="H1446" i="2"/>
  <c r="G1446" i="2"/>
  <c r="F1446" i="2"/>
  <c r="E1446" i="2"/>
  <c r="D1446" i="2"/>
  <c r="C1446" i="2"/>
  <c r="B1446" i="2"/>
  <c r="A1446" i="2"/>
  <c r="H1445" i="2"/>
  <c r="G1445" i="2"/>
  <c r="F1445" i="2"/>
  <c r="E1445" i="2"/>
  <c r="D1445" i="2"/>
  <c r="C1445" i="2"/>
  <c r="B1445" i="2"/>
  <c r="A1445" i="2"/>
  <c r="H1444" i="2"/>
  <c r="G1444" i="2"/>
  <c r="F1444" i="2"/>
  <c r="E1444" i="2"/>
  <c r="D1444" i="2"/>
  <c r="C1444" i="2"/>
  <c r="B1444" i="2"/>
  <c r="A1444" i="2"/>
  <c r="H1443" i="2"/>
  <c r="G1443" i="2"/>
  <c r="F1443" i="2"/>
  <c r="E1443" i="2"/>
  <c r="D1443" i="2"/>
  <c r="C1443" i="2"/>
  <c r="B1443" i="2"/>
  <c r="A1443" i="2"/>
  <c r="H1442" i="2"/>
  <c r="G1442" i="2"/>
  <c r="F1442" i="2"/>
  <c r="E1442" i="2"/>
  <c r="D1442" i="2"/>
  <c r="C1442" i="2"/>
  <c r="B1442" i="2"/>
  <c r="A1442" i="2"/>
  <c r="H1441" i="2"/>
  <c r="G1441" i="2"/>
  <c r="F1441" i="2"/>
  <c r="E1441" i="2"/>
  <c r="D1441" i="2"/>
  <c r="C1441" i="2"/>
  <c r="B1441" i="2"/>
  <c r="A1441" i="2"/>
  <c r="H1440" i="2"/>
  <c r="G1440" i="2"/>
  <c r="F1440" i="2"/>
  <c r="E1440" i="2"/>
  <c r="D1440" i="2"/>
  <c r="C1440" i="2"/>
  <c r="B1440" i="2"/>
  <c r="A1440" i="2"/>
  <c r="H1439" i="2"/>
  <c r="G1439" i="2"/>
  <c r="F1439" i="2"/>
  <c r="E1439" i="2"/>
  <c r="D1439" i="2"/>
  <c r="C1439" i="2"/>
  <c r="B1439" i="2"/>
  <c r="A1439" i="2"/>
  <c r="H1438" i="2"/>
  <c r="G1438" i="2"/>
  <c r="F1438" i="2"/>
  <c r="E1438" i="2"/>
  <c r="D1438" i="2"/>
  <c r="C1438" i="2"/>
  <c r="B1438" i="2"/>
  <c r="A1438" i="2"/>
  <c r="H1437" i="2"/>
  <c r="G1437" i="2"/>
  <c r="F1437" i="2"/>
  <c r="E1437" i="2"/>
  <c r="D1437" i="2"/>
  <c r="C1437" i="2"/>
  <c r="B1437" i="2"/>
  <c r="A1437" i="2"/>
  <c r="H1436" i="2"/>
  <c r="G1436" i="2"/>
  <c r="F1436" i="2"/>
  <c r="E1436" i="2"/>
  <c r="D1436" i="2"/>
  <c r="C1436" i="2"/>
  <c r="B1436" i="2"/>
  <c r="A1436" i="2"/>
  <c r="H1435" i="2"/>
  <c r="G1435" i="2"/>
  <c r="F1435" i="2"/>
  <c r="E1435" i="2"/>
  <c r="D1435" i="2"/>
  <c r="C1435" i="2"/>
  <c r="B1435" i="2"/>
  <c r="A1435" i="2"/>
  <c r="H1434" i="2"/>
  <c r="G1434" i="2"/>
  <c r="F1434" i="2"/>
  <c r="E1434" i="2"/>
  <c r="D1434" i="2"/>
  <c r="C1434" i="2"/>
  <c r="B1434" i="2"/>
  <c r="A1434" i="2"/>
  <c r="H1433" i="2"/>
  <c r="G1433" i="2"/>
  <c r="F1433" i="2"/>
  <c r="E1433" i="2"/>
  <c r="D1433" i="2"/>
  <c r="C1433" i="2"/>
  <c r="B1433" i="2"/>
  <c r="A1433" i="2"/>
  <c r="H1432" i="2"/>
  <c r="G1432" i="2"/>
  <c r="F1432" i="2"/>
  <c r="E1432" i="2"/>
  <c r="D1432" i="2"/>
  <c r="C1432" i="2"/>
  <c r="B1432" i="2"/>
  <c r="A1432" i="2"/>
  <c r="H1431" i="2"/>
  <c r="G1431" i="2"/>
  <c r="F1431" i="2"/>
  <c r="E1431" i="2"/>
  <c r="D1431" i="2"/>
  <c r="C1431" i="2"/>
  <c r="B1431" i="2"/>
  <c r="A1431" i="2"/>
  <c r="H1430" i="2"/>
  <c r="G1430" i="2"/>
  <c r="F1430" i="2"/>
  <c r="E1430" i="2"/>
  <c r="D1430" i="2"/>
  <c r="C1430" i="2"/>
  <c r="B1430" i="2"/>
  <c r="A1430" i="2"/>
  <c r="H1429" i="2"/>
  <c r="G1429" i="2"/>
  <c r="F1429" i="2"/>
  <c r="E1429" i="2"/>
  <c r="D1429" i="2"/>
  <c r="C1429" i="2"/>
  <c r="B1429" i="2"/>
  <c r="A1429" i="2"/>
  <c r="H1428" i="2"/>
  <c r="G1428" i="2"/>
  <c r="F1428" i="2"/>
  <c r="E1428" i="2"/>
  <c r="D1428" i="2"/>
  <c r="C1428" i="2"/>
  <c r="B1428" i="2"/>
  <c r="A1428" i="2"/>
  <c r="H1427" i="2"/>
  <c r="G1427" i="2"/>
  <c r="F1427" i="2"/>
  <c r="E1427" i="2"/>
  <c r="D1427" i="2"/>
  <c r="C1427" i="2"/>
  <c r="B1427" i="2"/>
  <c r="A1427" i="2"/>
  <c r="H1426" i="2"/>
  <c r="G1426" i="2"/>
  <c r="F1426" i="2"/>
  <c r="E1426" i="2"/>
  <c r="D1426" i="2"/>
  <c r="C1426" i="2"/>
  <c r="B1426" i="2"/>
  <c r="A1426" i="2"/>
  <c r="H1425" i="2"/>
  <c r="G1425" i="2"/>
  <c r="F1425" i="2"/>
  <c r="E1425" i="2"/>
  <c r="D1425" i="2"/>
  <c r="C1425" i="2"/>
  <c r="B1425" i="2"/>
  <c r="A1425" i="2"/>
  <c r="H1424" i="2"/>
  <c r="G1424" i="2"/>
  <c r="F1424" i="2"/>
  <c r="E1424" i="2"/>
  <c r="D1424" i="2"/>
  <c r="C1424" i="2"/>
  <c r="B1424" i="2"/>
  <c r="A1424" i="2"/>
  <c r="H1423" i="2"/>
  <c r="G1423" i="2"/>
  <c r="F1423" i="2"/>
  <c r="E1423" i="2"/>
  <c r="D1423" i="2"/>
  <c r="C1423" i="2"/>
  <c r="B1423" i="2"/>
  <c r="A1423" i="2"/>
  <c r="H1422" i="2"/>
  <c r="G1422" i="2"/>
  <c r="F1422" i="2"/>
  <c r="E1422" i="2"/>
  <c r="D1422" i="2"/>
  <c r="C1422" i="2"/>
  <c r="B1422" i="2"/>
  <c r="A1422" i="2"/>
  <c r="H1421" i="2"/>
  <c r="G1421" i="2"/>
  <c r="F1421" i="2"/>
  <c r="E1421" i="2"/>
  <c r="D1421" i="2"/>
  <c r="C1421" i="2"/>
  <c r="B1421" i="2"/>
  <c r="A1421" i="2"/>
  <c r="H1420" i="2"/>
  <c r="G1420" i="2"/>
  <c r="F1420" i="2"/>
  <c r="E1420" i="2"/>
  <c r="D1420" i="2"/>
  <c r="C1420" i="2"/>
  <c r="B1420" i="2"/>
  <c r="A1420" i="2"/>
  <c r="H1419" i="2"/>
  <c r="G1419" i="2"/>
  <c r="F1419" i="2"/>
  <c r="E1419" i="2"/>
  <c r="D1419" i="2"/>
  <c r="C1419" i="2"/>
  <c r="B1419" i="2"/>
  <c r="A1419" i="2"/>
  <c r="H1418" i="2"/>
  <c r="G1418" i="2"/>
  <c r="F1418" i="2"/>
  <c r="E1418" i="2"/>
  <c r="D1418" i="2"/>
  <c r="C1418" i="2"/>
  <c r="B1418" i="2"/>
  <c r="A1418" i="2"/>
  <c r="H1417" i="2"/>
  <c r="G1417" i="2"/>
  <c r="F1417" i="2"/>
  <c r="E1417" i="2"/>
  <c r="D1417" i="2"/>
  <c r="C1417" i="2"/>
  <c r="B1417" i="2"/>
  <c r="A1417" i="2"/>
  <c r="H1416" i="2"/>
  <c r="G1416" i="2"/>
  <c r="F1416" i="2"/>
  <c r="E1416" i="2"/>
  <c r="D1416" i="2"/>
  <c r="C1416" i="2"/>
  <c r="B1416" i="2"/>
  <c r="A1416" i="2"/>
  <c r="H1415" i="2"/>
  <c r="G1415" i="2"/>
  <c r="F1415" i="2"/>
  <c r="E1415" i="2"/>
  <c r="D1415" i="2"/>
  <c r="C1415" i="2"/>
  <c r="B1415" i="2"/>
  <c r="A1415" i="2"/>
  <c r="H1414" i="2"/>
  <c r="G1414" i="2"/>
  <c r="F1414" i="2"/>
  <c r="E1414" i="2"/>
  <c r="D1414" i="2"/>
  <c r="C1414" i="2"/>
  <c r="B1414" i="2"/>
  <c r="A1414" i="2"/>
  <c r="H1413" i="2"/>
  <c r="G1413" i="2"/>
  <c r="F1413" i="2"/>
  <c r="E1413" i="2"/>
  <c r="D1413" i="2"/>
  <c r="C1413" i="2"/>
  <c r="B1413" i="2"/>
  <c r="A1413" i="2"/>
  <c r="H1412" i="2"/>
  <c r="G1412" i="2"/>
  <c r="F1412" i="2"/>
  <c r="E1412" i="2"/>
  <c r="D1412" i="2"/>
  <c r="C1412" i="2"/>
  <c r="B1412" i="2"/>
  <c r="A1412" i="2"/>
  <c r="H1411" i="2"/>
  <c r="G1411" i="2"/>
  <c r="F1411" i="2"/>
  <c r="E1411" i="2"/>
  <c r="D1411" i="2"/>
  <c r="C1411" i="2"/>
  <c r="B1411" i="2"/>
  <c r="A1411" i="2"/>
  <c r="H1410" i="2"/>
  <c r="G1410" i="2"/>
  <c r="F1410" i="2"/>
  <c r="E1410" i="2"/>
  <c r="D1410" i="2"/>
  <c r="C1410" i="2"/>
  <c r="B1410" i="2"/>
  <c r="A1410" i="2"/>
  <c r="H1409" i="2"/>
  <c r="G1409" i="2"/>
  <c r="F1409" i="2"/>
  <c r="E1409" i="2"/>
  <c r="D1409" i="2"/>
  <c r="C1409" i="2"/>
  <c r="B1409" i="2"/>
  <c r="A1409" i="2"/>
  <c r="H1408" i="2"/>
  <c r="G1408" i="2"/>
  <c r="F1408" i="2"/>
  <c r="E1408" i="2"/>
  <c r="D1408" i="2"/>
  <c r="C1408" i="2"/>
  <c r="B1408" i="2"/>
  <c r="A1408" i="2"/>
  <c r="H1407" i="2"/>
  <c r="G1407" i="2"/>
  <c r="F1407" i="2"/>
  <c r="E1407" i="2"/>
  <c r="D1407" i="2"/>
  <c r="C1407" i="2"/>
  <c r="B1407" i="2"/>
  <c r="A1407" i="2"/>
  <c r="H1406" i="2"/>
  <c r="G1406" i="2"/>
  <c r="F1406" i="2"/>
  <c r="E1406" i="2"/>
  <c r="D1406" i="2"/>
  <c r="C1406" i="2"/>
  <c r="B1406" i="2"/>
  <c r="A1406" i="2"/>
  <c r="H1405" i="2"/>
  <c r="G1405" i="2"/>
  <c r="F1405" i="2"/>
  <c r="E1405" i="2"/>
  <c r="D1405" i="2"/>
  <c r="C1405" i="2"/>
  <c r="B1405" i="2"/>
  <c r="A1405" i="2"/>
  <c r="H1404" i="2"/>
  <c r="G1404" i="2"/>
  <c r="F1404" i="2"/>
  <c r="E1404" i="2"/>
  <c r="D1404" i="2"/>
  <c r="C1404" i="2"/>
  <c r="B1404" i="2"/>
  <c r="A1404" i="2"/>
  <c r="H1403" i="2"/>
  <c r="G1403" i="2"/>
  <c r="F1403" i="2"/>
  <c r="E1403" i="2"/>
  <c r="D1403" i="2"/>
  <c r="C1403" i="2"/>
  <c r="B1403" i="2"/>
  <c r="A1403" i="2"/>
  <c r="H1402" i="2"/>
  <c r="G1402" i="2"/>
  <c r="F1402" i="2"/>
  <c r="E1402" i="2"/>
  <c r="D1402" i="2"/>
  <c r="C1402" i="2"/>
  <c r="B1402" i="2"/>
  <c r="A1402" i="2"/>
  <c r="H1401" i="2"/>
  <c r="G1401" i="2"/>
  <c r="F1401" i="2"/>
  <c r="E1401" i="2"/>
  <c r="D1401" i="2"/>
  <c r="C1401" i="2"/>
  <c r="B1401" i="2"/>
  <c r="A1401" i="2"/>
  <c r="H1400" i="2"/>
  <c r="G1400" i="2"/>
  <c r="F1400" i="2"/>
  <c r="E1400" i="2"/>
  <c r="D1400" i="2"/>
  <c r="C1400" i="2"/>
  <c r="B1400" i="2"/>
  <c r="A1400" i="2"/>
  <c r="H1399" i="2"/>
  <c r="G1399" i="2"/>
  <c r="F1399" i="2"/>
  <c r="E1399" i="2"/>
  <c r="D1399" i="2"/>
  <c r="C1399" i="2"/>
  <c r="B1399" i="2"/>
  <c r="A1399" i="2"/>
  <c r="H1398" i="2"/>
  <c r="G1398" i="2"/>
  <c r="F1398" i="2"/>
  <c r="E1398" i="2"/>
  <c r="D1398" i="2"/>
  <c r="C1398" i="2"/>
  <c r="B1398" i="2"/>
  <c r="A1398" i="2"/>
  <c r="H1397" i="2"/>
  <c r="G1397" i="2"/>
  <c r="F1397" i="2"/>
  <c r="E1397" i="2"/>
  <c r="D1397" i="2"/>
  <c r="C1397" i="2"/>
  <c r="B1397" i="2"/>
  <c r="A1397" i="2"/>
  <c r="H1396" i="2"/>
  <c r="G1396" i="2"/>
  <c r="F1396" i="2"/>
  <c r="E1396" i="2"/>
  <c r="D1396" i="2"/>
  <c r="C1396" i="2"/>
  <c r="B1396" i="2"/>
  <c r="A1396" i="2"/>
  <c r="H1395" i="2"/>
  <c r="G1395" i="2"/>
  <c r="F1395" i="2"/>
  <c r="E1395" i="2"/>
  <c r="D1395" i="2"/>
  <c r="C1395" i="2"/>
  <c r="B1395" i="2"/>
  <c r="A1395" i="2"/>
  <c r="H1394" i="2"/>
  <c r="G1394" i="2"/>
  <c r="F1394" i="2"/>
  <c r="E1394" i="2"/>
  <c r="D1394" i="2"/>
  <c r="C1394" i="2"/>
  <c r="B1394" i="2"/>
  <c r="A1394" i="2"/>
  <c r="H1393" i="2"/>
  <c r="G1393" i="2"/>
  <c r="F1393" i="2"/>
  <c r="E1393" i="2"/>
  <c r="D1393" i="2"/>
  <c r="C1393" i="2"/>
  <c r="B1393" i="2"/>
  <c r="A1393" i="2"/>
  <c r="H1392" i="2"/>
  <c r="G1392" i="2"/>
  <c r="F1392" i="2"/>
  <c r="E1392" i="2"/>
  <c r="D1392" i="2"/>
  <c r="C1392" i="2"/>
  <c r="B1392" i="2"/>
  <c r="A1392" i="2"/>
  <c r="H1391" i="2"/>
  <c r="G1391" i="2"/>
  <c r="F1391" i="2"/>
  <c r="E1391" i="2"/>
  <c r="D1391" i="2"/>
  <c r="C1391" i="2"/>
  <c r="B1391" i="2"/>
  <c r="A1391" i="2"/>
  <c r="H1390" i="2"/>
  <c r="G1390" i="2"/>
  <c r="F1390" i="2"/>
  <c r="E1390" i="2"/>
  <c r="D1390" i="2"/>
  <c r="C1390" i="2"/>
  <c r="B1390" i="2"/>
  <c r="A1390" i="2"/>
  <c r="H1389" i="2"/>
  <c r="G1389" i="2"/>
  <c r="F1389" i="2"/>
  <c r="E1389" i="2"/>
  <c r="D1389" i="2"/>
  <c r="C1389" i="2"/>
  <c r="B1389" i="2"/>
  <c r="A1389" i="2"/>
  <c r="H1388" i="2"/>
  <c r="G1388" i="2"/>
  <c r="F1388" i="2"/>
  <c r="E1388" i="2"/>
  <c r="D1388" i="2"/>
  <c r="C1388" i="2"/>
  <c r="B1388" i="2"/>
  <c r="A1388" i="2"/>
  <c r="H1387" i="2"/>
  <c r="G1387" i="2"/>
  <c r="F1387" i="2"/>
  <c r="E1387" i="2"/>
  <c r="D1387" i="2"/>
  <c r="C1387" i="2"/>
  <c r="B1387" i="2"/>
  <c r="A1387" i="2"/>
  <c r="H1386" i="2"/>
  <c r="G1386" i="2"/>
  <c r="F1386" i="2"/>
  <c r="E1386" i="2"/>
  <c r="D1386" i="2"/>
  <c r="C1386" i="2"/>
  <c r="B1386" i="2"/>
  <c r="A1386" i="2"/>
  <c r="H1385" i="2"/>
  <c r="G1385" i="2"/>
  <c r="F1385" i="2"/>
  <c r="E1385" i="2"/>
  <c r="D1385" i="2"/>
  <c r="C1385" i="2"/>
  <c r="B1385" i="2"/>
  <c r="A1385" i="2"/>
  <c r="H1384" i="2"/>
  <c r="G1384" i="2"/>
  <c r="F1384" i="2"/>
  <c r="E1384" i="2"/>
  <c r="D1384" i="2"/>
  <c r="C1384" i="2"/>
  <c r="B1384" i="2"/>
  <c r="A1384" i="2"/>
  <c r="H1383" i="2"/>
  <c r="G1383" i="2"/>
  <c r="F1383" i="2"/>
  <c r="E1383" i="2"/>
  <c r="D1383" i="2"/>
  <c r="C1383" i="2"/>
  <c r="B1383" i="2"/>
  <c r="A1383" i="2"/>
  <c r="H1382" i="2"/>
  <c r="G1382" i="2"/>
  <c r="F1382" i="2"/>
  <c r="E1382" i="2"/>
  <c r="D1382" i="2"/>
  <c r="C1382" i="2"/>
  <c r="B1382" i="2"/>
  <c r="A1382" i="2"/>
  <c r="H1381" i="2"/>
  <c r="G1381" i="2"/>
  <c r="F1381" i="2"/>
  <c r="E1381" i="2"/>
  <c r="D1381" i="2"/>
  <c r="C1381" i="2"/>
  <c r="B1381" i="2"/>
  <c r="A1381" i="2"/>
  <c r="H1380" i="2"/>
  <c r="G1380" i="2"/>
  <c r="F1380" i="2"/>
  <c r="E1380" i="2"/>
  <c r="D1380" i="2"/>
  <c r="C1380" i="2"/>
  <c r="B1380" i="2"/>
  <c r="A1380" i="2"/>
  <c r="H1379" i="2"/>
  <c r="G1379" i="2"/>
  <c r="F1379" i="2"/>
  <c r="E1379" i="2"/>
  <c r="D1379" i="2"/>
  <c r="C1379" i="2"/>
  <c r="B1379" i="2"/>
  <c r="A1379" i="2"/>
  <c r="H1378" i="2"/>
  <c r="G1378" i="2"/>
  <c r="F1378" i="2"/>
  <c r="E1378" i="2"/>
  <c r="D1378" i="2"/>
  <c r="C1378" i="2"/>
  <c r="B1378" i="2"/>
  <c r="A1378" i="2"/>
  <c r="H1377" i="2"/>
  <c r="G1377" i="2"/>
  <c r="F1377" i="2"/>
  <c r="E1377" i="2"/>
  <c r="D1377" i="2"/>
  <c r="C1377" i="2"/>
  <c r="B1377" i="2"/>
  <c r="A1377" i="2"/>
  <c r="H1376" i="2"/>
  <c r="G1376" i="2"/>
  <c r="F1376" i="2"/>
  <c r="E1376" i="2"/>
  <c r="D1376" i="2"/>
  <c r="C1376" i="2"/>
  <c r="B1376" i="2"/>
  <c r="A1376" i="2"/>
  <c r="H1375" i="2"/>
  <c r="G1375" i="2"/>
  <c r="F1375" i="2"/>
  <c r="E1375" i="2"/>
  <c r="D1375" i="2"/>
  <c r="C1375" i="2"/>
  <c r="B1375" i="2"/>
  <c r="A1375" i="2"/>
  <c r="H1374" i="2"/>
  <c r="G1374" i="2"/>
  <c r="F1374" i="2"/>
  <c r="E1374" i="2"/>
  <c r="D1374" i="2"/>
  <c r="C1374" i="2"/>
  <c r="B1374" i="2"/>
  <c r="A1374" i="2"/>
  <c r="H1373" i="2"/>
  <c r="G1373" i="2"/>
  <c r="F1373" i="2"/>
  <c r="E1373" i="2"/>
  <c r="D1373" i="2"/>
  <c r="C1373" i="2"/>
  <c r="B1373" i="2"/>
  <c r="A1373" i="2"/>
  <c r="H1372" i="2"/>
  <c r="G1372" i="2"/>
  <c r="F1372" i="2"/>
  <c r="E1372" i="2"/>
  <c r="D1372" i="2"/>
  <c r="C1372" i="2"/>
  <c r="B1372" i="2"/>
  <c r="A1372" i="2"/>
  <c r="H1371" i="2"/>
  <c r="G1371" i="2"/>
  <c r="F1371" i="2"/>
  <c r="E1371" i="2"/>
  <c r="D1371" i="2"/>
  <c r="C1371" i="2"/>
  <c r="B1371" i="2"/>
  <c r="A1371" i="2"/>
  <c r="H1370" i="2"/>
  <c r="G1370" i="2"/>
  <c r="F1370" i="2"/>
  <c r="E1370" i="2"/>
  <c r="D1370" i="2"/>
  <c r="C1370" i="2"/>
  <c r="B1370" i="2"/>
  <c r="A1370" i="2"/>
  <c r="H1369" i="2"/>
  <c r="G1369" i="2"/>
  <c r="F1369" i="2"/>
  <c r="E1369" i="2"/>
  <c r="D1369" i="2"/>
  <c r="C1369" i="2"/>
  <c r="B1369" i="2"/>
  <c r="A1369" i="2"/>
  <c r="H1368" i="2"/>
  <c r="G1368" i="2"/>
  <c r="F1368" i="2"/>
  <c r="E1368" i="2"/>
  <c r="D1368" i="2"/>
  <c r="C1368" i="2"/>
  <c r="B1368" i="2"/>
  <c r="A1368" i="2"/>
  <c r="H1367" i="2"/>
  <c r="G1367" i="2"/>
  <c r="F1367" i="2"/>
  <c r="E1367" i="2"/>
  <c r="D1367" i="2"/>
  <c r="C1367" i="2"/>
  <c r="B1367" i="2"/>
  <c r="A1367" i="2"/>
  <c r="H1366" i="2"/>
  <c r="G1366" i="2"/>
  <c r="F1366" i="2"/>
  <c r="E1366" i="2"/>
  <c r="D1366" i="2"/>
  <c r="C1366" i="2"/>
  <c r="B1366" i="2"/>
  <c r="A1366" i="2"/>
  <c r="H1365" i="2"/>
  <c r="G1365" i="2"/>
  <c r="F1365" i="2"/>
  <c r="E1365" i="2"/>
  <c r="D1365" i="2"/>
  <c r="C1365" i="2"/>
  <c r="B1365" i="2"/>
  <c r="A1365" i="2"/>
  <c r="H1364" i="2"/>
  <c r="G1364" i="2"/>
  <c r="F1364" i="2"/>
  <c r="E1364" i="2"/>
  <c r="D1364" i="2"/>
  <c r="C1364" i="2"/>
  <c r="B1364" i="2"/>
  <c r="A1364" i="2"/>
  <c r="H1363" i="2"/>
  <c r="G1363" i="2"/>
  <c r="F1363" i="2"/>
  <c r="E1363" i="2"/>
  <c r="D1363" i="2"/>
  <c r="C1363" i="2"/>
  <c r="B1363" i="2"/>
  <c r="A1363" i="2"/>
  <c r="H1362" i="2"/>
  <c r="G1362" i="2"/>
  <c r="F1362" i="2"/>
  <c r="E1362" i="2"/>
  <c r="D1362" i="2"/>
  <c r="C1362" i="2"/>
  <c r="B1362" i="2"/>
  <c r="A1362" i="2"/>
  <c r="H1361" i="2"/>
  <c r="G1361" i="2"/>
  <c r="F1361" i="2"/>
  <c r="E1361" i="2"/>
  <c r="D1361" i="2"/>
  <c r="C1361" i="2"/>
  <c r="B1361" i="2"/>
  <c r="A1361" i="2"/>
  <c r="H1360" i="2"/>
  <c r="G1360" i="2"/>
  <c r="F1360" i="2"/>
  <c r="E1360" i="2"/>
  <c r="D1360" i="2"/>
  <c r="C1360" i="2"/>
  <c r="B1360" i="2"/>
  <c r="A1360" i="2"/>
  <c r="H1359" i="2"/>
  <c r="G1359" i="2"/>
  <c r="F1359" i="2"/>
  <c r="E1359" i="2"/>
  <c r="D1359" i="2"/>
  <c r="C1359" i="2"/>
  <c r="B1359" i="2"/>
  <c r="A1359" i="2"/>
  <c r="H1358" i="2"/>
  <c r="G1358" i="2"/>
  <c r="F1358" i="2"/>
  <c r="E1358" i="2"/>
  <c r="D1358" i="2"/>
  <c r="C1358" i="2"/>
  <c r="B1358" i="2"/>
  <c r="A1358" i="2"/>
  <c r="H1357" i="2"/>
  <c r="G1357" i="2"/>
  <c r="F1357" i="2"/>
  <c r="E1357" i="2"/>
  <c r="D1357" i="2"/>
  <c r="C1357" i="2"/>
  <c r="B1357" i="2"/>
  <c r="A1357" i="2"/>
  <c r="H1356" i="2"/>
  <c r="G1356" i="2"/>
  <c r="F1356" i="2"/>
  <c r="E1356" i="2"/>
  <c r="D1356" i="2"/>
  <c r="C1356" i="2"/>
  <c r="B1356" i="2"/>
  <c r="A1356" i="2"/>
  <c r="H1355" i="2"/>
  <c r="G1355" i="2"/>
  <c r="F1355" i="2"/>
  <c r="E1355" i="2"/>
  <c r="D1355" i="2"/>
  <c r="C1355" i="2"/>
  <c r="B1355" i="2"/>
  <c r="A1355" i="2"/>
  <c r="H1354" i="2"/>
  <c r="G1354" i="2"/>
  <c r="F1354" i="2"/>
  <c r="E1354" i="2"/>
  <c r="D1354" i="2"/>
  <c r="C1354" i="2"/>
  <c r="B1354" i="2"/>
  <c r="A1354" i="2"/>
  <c r="H1353" i="2"/>
  <c r="G1353" i="2"/>
  <c r="F1353" i="2"/>
  <c r="E1353" i="2"/>
  <c r="D1353" i="2"/>
  <c r="C1353" i="2"/>
  <c r="B1353" i="2"/>
  <c r="A1353" i="2"/>
  <c r="H1352" i="2"/>
  <c r="G1352" i="2"/>
  <c r="F1352" i="2"/>
  <c r="E1352" i="2"/>
  <c r="D1352" i="2"/>
  <c r="C1352" i="2"/>
  <c r="B1352" i="2"/>
  <c r="A1352" i="2"/>
  <c r="H1351" i="2"/>
  <c r="G1351" i="2"/>
  <c r="F1351" i="2"/>
  <c r="E1351" i="2"/>
  <c r="D1351" i="2"/>
  <c r="C1351" i="2"/>
  <c r="B1351" i="2"/>
  <c r="A1351" i="2"/>
  <c r="H1350" i="2"/>
  <c r="G1350" i="2"/>
  <c r="F1350" i="2"/>
  <c r="E1350" i="2"/>
  <c r="D1350" i="2"/>
  <c r="C1350" i="2"/>
  <c r="B1350" i="2"/>
  <c r="A1350" i="2"/>
  <c r="H1349" i="2"/>
  <c r="G1349" i="2"/>
  <c r="F1349" i="2"/>
  <c r="E1349" i="2"/>
  <c r="D1349" i="2"/>
  <c r="C1349" i="2"/>
  <c r="B1349" i="2"/>
  <c r="A1349" i="2"/>
  <c r="H1348" i="2"/>
  <c r="G1348" i="2"/>
  <c r="F1348" i="2"/>
  <c r="E1348" i="2"/>
  <c r="D1348" i="2"/>
  <c r="C1348" i="2"/>
  <c r="B1348" i="2"/>
  <c r="A1348" i="2"/>
  <c r="H1347" i="2"/>
  <c r="G1347" i="2"/>
  <c r="F1347" i="2"/>
  <c r="E1347" i="2"/>
  <c r="D1347" i="2"/>
  <c r="C1347" i="2"/>
  <c r="B1347" i="2"/>
  <c r="A1347" i="2"/>
  <c r="H1346" i="2"/>
  <c r="G1346" i="2"/>
  <c r="F1346" i="2"/>
  <c r="E1346" i="2"/>
  <c r="D1346" i="2"/>
  <c r="C1346" i="2"/>
  <c r="B1346" i="2"/>
  <c r="A1346" i="2"/>
  <c r="H1345" i="2"/>
  <c r="G1345" i="2"/>
  <c r="F1345" i="2"/>
  <c r="E1345" i="2"/>
  <c r="D1345" i="2"/>
  <c r="C1345" i="2"/>
  <c r="B1345" i="2"/>
  <c r="A1345" i="2"/>
  <c r="H1344" i="2"/>
  <c r="G1344" i="2"/>
  <c r="F1344" i="2"/>
  <c r="E1344" i="2"/>
  <c r="D1344" i="2"/>
  <c r="C1344" i="2"/>
  <c r="B1344" i="2"/>
  <c r="A1344" i="2"/>
  <c r="H1343" i="2"/>
  <c r="G1343" i="2"/>
  <c r="F1343" i="2"/>
  <c r="E1343" i="2"/>
  <c r="D1343" i="2"/>
  <c r="C1343" i="2"/>
  <c r="B1343" i="2"/>
  <c r="A1343" i="2"/>
  <c r="H1342" i="2"/>
  <c r="G1342" i="2"/>
  <c r="F1342" i="2"/>
  <c r="E1342" i="2"/>
  <c r="D1342" i="2"/>
  <c r="C1342" i="2"/>
  <c r="B1342" i="2"/>
  <c r="A1342" i="2"/>
  <c r="H1341" i="2"/>
  <c r="G1341" i="2"/>
  <c r="F1341" i="2"/>
  <c r="E1341" i="2"/>
  <c r="D1341" i="2"/>
  <c r="C1341" i="2"/>
  <c r="B1341" i="2"/>
  <c r="A1341" i="2"/>
  <c r="H1340" i="2"/>
  <c r="G1340" i="2"/>
  <c r="F1340" i="2"/>
  <c r="E1340" i="2"/>
  <c r="D1340" i="2"/>
  <c r="C1340" i="2"/>
  <c r="B1340" i="2"/>
  <c r="A1340" i="2"/>
  <c r="H1339" i="2"/>
  <c r="G1339" i="2"/>
  <c r="F1339" i="2"/>
  <c r="E1339" i="2"/>
  <c r="D1339" i="2"/>
  <c r="C1339" i="2"/>
  <c r="B1339" i="2"/>
  <c r="A1339" i="2"/>
  <c r="H1338" i="2"/>
  <c r="G1338" i="2"/>
  <c r="F1338" i="2"/>
  <c r="E1338" i="2"/>
  <c r="D1338" i="2"/>
  <c r="C1338" i="2"/>
  <c r="B1338" i="2"/>
  <c r="A1338" i="2"/>
  <c r="H1337" i="2"/>
  <c r="G1337" i="2"/>
  <c r="F1337" i="2"/>
  <c r="E1337" i="2"/>
  <c r="D1337" i="2"/>
  <c r="C1337" i="2"/>
  <c r="B1337" i="2"/>
  <c r="A1337" i="2"/>
  <c r="H1336" i="2"/>
  <c r="G1336" i="2"/>
  <c r="F1336" i="2"/>
  <c r="E1336" i="2"/>
  <c r="D1336" i="2"/>
  <c r="C1336" i="2"/>
  <c r="B1336" i="2"/>
  <c r="A1336" i="2"/>
  <c r="H1335" i="2"/>
  <c r="G1335" i="2"/>
  <c r="F1335" i="2"/>
  <c r="E1335" i="2"/>
  <c r="D1335" i="2"/>
  <c r="C1335" i="2"/>
  <c r="B1335" i="2"/>
  <c r="A1335" i="2"/>
  <c r="H1334" i="2"/>
  <c r="G1334" i="2"/>
  <c r="F1334" i="2"/>
  <c r="E1334" i="2"/>
  <c r="D1334" i="2"/>
  <c r="C1334" i="2"/>
  <c r="B1334" i="2"/>
  <c r="A1334" i="2"/>
  <c r="H1333" i="2"/>
  <c r="G1333" i="2"/>
  <c r="F1333" i="2"/>
  <c r="E1333" i="2"/>
  <c r="D1333" i="2"/>
  <c r="C1333" i="2"/>
  <c r="B1333" i="2"/>
  <c r="A1333" i="2"/>
  <c r="H1332" i="2"/>
  <c r="G1332" i="2"/>
  <c r="F1332" i="2"/>
  <c r="E1332" i="2"/>
  <c r="D1332" i="2"/>
  <c r="C1332" i="2"/>
  <c r="B1332" i="2"/>
  <c r="A1332" i="2"/>
  <c r="H1331" i="2"/>
  <c r="G1331" i="2"/>
  <c r="F1331" i="2"/>
  <c r="E1331" i="2"/>
  <c r="D1331" i="2"/>
  <c r="C1331" i="2"/>
  <c r="B1331" i="2"/>
  <c r="A1331" i="2"/>
  <c r="H1330" i="2"/>
  <c r="G1330" i="2"/>
  <c r="F1330" i="2"/>
  <c r="E1330" i="2"/>
  <c r="D1330" i="2"/>
  <c r="C1330" i="2"/>
  <c r="B1330" i="2"/>
  <c r="A1330" i="2"/>
  <c r="H1329" i="2"/>
  <c r="G1329" i="2"/>
  <c r="F1329" i="2"/>
  <c r="E1329" i="2"/>
  <c r="D1329" i="2"/>
  <c r="C1329" i="2"/>
  <c r="B1329" i="2"/>
  <c r="A1329" i="2"/>
  <c r="H1328" i="2"/>
  <c r="G1328" i="2"/>
  <c r="F1328" i="2"/>
  <c r="E1328" i="2"/>
  <c r="D1328" i="2"/>
  <c r="C1328" i="2"/>
  <c r="B1328" i="2"/>
  <c r="A1328" i="2"/>
  <c r="H1327" i="2"/>
  <c r="G1327" i="2"/>
  <c r="F1327" i="2"/>
  <c r="E1327" i="2"/>
  <c r="D1327" i="2"/>
  <c r="C1327" i="2"/>
  <c r="B1327" i="2"/>
  <c r="A1327" i="2"/>
  <c r="H1326" i="2"/>
  <c r="G1326" i="2"/>
  <c r="F1326" i="2"/>
  <c r="E1326" i="2"/>
  <c r="D1326" i="2"/>
  <c r="C1326" i="2"/>
  <c r="B1326" i="2"/>
  <c r="A1326" i="2"/>
  <c r="H1325" i="2"/>
  <c r="G1325" i="2"/>
  <c r="F1325" i="2"/>
  <c r="E1325" i="2"/>
  <c r="D1325" i="2"/>
  <c r="C1325" i="2"/>
  <c r="B1325" i="2"/>
  <c r="A1325" i="2"/>
  <c r="H1324" i="2"/>
  <c r="G1324" i="2"/>
  <c r="F1324" i="2"/>
  <c r="E1324" i="2"/>
  <c r="D1324" i="2"/>
  <c r="C1324" i="2"/>
  <c r="B1324" i="2"/>
  <c r="A1324" i="2"/>
  <c r="H1323" i="2"/>
  <c r="G1323" i="2"/>
  <c r="F1323" i="2"/>
  <c r="E1323" i="2"/>
  <c r="D1323" i="2"/>
  <c r="C1323" i="2"/>
  <c r="B1323" i="2"/>
  <c r="A1323" i="2"/>
  <c r="H1322" i="2"/>
  <c r="G1322" i="2"/>
  <c r="F1322" i="2"/>
  <c r="E1322" i="2"/>
  <c r="D1322" i="2"/>
  <c r="C1322" i="2"/>
  <c r="B1322" i="2"/>
  <c r="A1322" i="2"/>
  <c r="H1321" i="2"/>
  <c r="G1321" i="2"/>
  <c r="F1321" i="2"/>
  <c r="E1321" i="2"/>
  <c r="D1321" i="2"/>
  <c r="C1321" i="2"/>
  <c r="B1321" i="2"/>
  <c r="A1321" i="2"/>
  <c r="H1320" i="2"/>
  <c r="G1320" i="2"/>
  <c r="F1320" i="2"/>
  <c r="E1320" i="2"/>
  <c r="D1320" i="2"/>
  <c r="C1320" i="2"/>
  <c r="B1320" i="2"/>
  <c r="A1320" i="2"/>
  <c r="H1319" i="2"/>
  <c r="G1319" i="2"/>
  <c r="F1319" i="2"/>
  <c r="E1319" i="2"/>
  <c r="D1319" i="2"/>
  <c r="C1319" i="2"/>
  <c r="B1319" i="2"/>
  <c r="A1319" i="2"/>
  <c r="H1318" i="2"/>
  <c r="G1318" i="2"/>
  <c r="F1318" i="2"/>
  <c r="E1318" i="2"/>
  <c r="D1318" i="2"/>
  <c r="C1318" i="2"/>
  <c r="B1318" i="2"/>
  <c r="A1318" i="2"/>
  <c r="H1317" i="2"/>
  <c r="G1317" i="2"/>
  <c r="F1317" i="2"/>
  <c r="E1317" i="2"/>
  <c r="D1317" i="2"/>
  <c r="C1317" i="2"/>
  <c r="B1317" i="2"/>
  <c r="A1317" i="2"/>
  <c r="H1316" i="2"/>
  <c r="G1316" i="2"/>
  <c r="F1316" i="2"/>
  <c r="E1316" i="2"/>
  <c r="D1316" i="2"/>
  <c r="C1316" i="2"/>
  <c r="B1316" i="2"/>
  <c r="A1316" i="2"/>
  <c r="H1315" i="2"/>
  <c r="G1315" i="2"/>
  <c r="F1315" i="2"/>
  <c r="E1315" i="2"/>
  <c r="D1315" i="2"/>
  <c r="C1315" i="2"/>
  <c r="B1315" i="2"/>
  <c r="A1315" i="2"/>
  <c r="H1314" i="2"/>
  <c r="G1314" i="2"/>
  <c r="F1314" i="2"/>
  <c r="E1314" i="2"/>
  <c r="D1314" i="2"/>
  <c r="C1314" i="2"/>
  <c r="B1314" i="2"/>
  <c r="A1314" i="2"/>
  <c r="H1313" i="2"/>
  <c r="G1313" i="2"/>
  <c r="F1313" i="2"/>
  <c r="E1313" i="2"/>
  <c r="D1313" i="2"/>
  <c r="C1313" i="2"/>
  <c r="B1313" i="2"/>
  <c r="A1313" i="2"/>
  <c r="H1312" i="2"/>
  <c r="G1312" i="2"/>
  <c r="F1312" i="2"/>
  <c r="E1312" i="2"/>
  <c r="D1312" i="2"/>
  <c r="C1312" i="2"/>
  <c r="B1312" i="2"/>
  <c r="A1312" i="2"/>
  <c r="H1311" i="2"/>
  <c r="G1311" i="2"/>
  <c r="F1311" i="2"/>
  <c r="E1311" i="2"/>
  <c r="D1311" i="2"/>
  <c r="C1311" i="2"/>
  <c r="B1311" i="2"/>
  <c r="A1311" i="2"/>
  <c r="H1310" i="2"/>
  <c r="G1310" i="2"/>
  <c r="F1310" i="2"/>
  <c r="E1310" i="2"/>
  <c r="D1310" i="2"/>
  <c r="C1310" i="2"/>
  <c r="B1310" i="2"/>
  <c r="A1310" i="2"/>
  <c r="H1309" i="2"/>
  <c r="G1309" i="2"/>
  <c r="F1309" i="2"/>
  <c r="E1309" i="2"/>
  <c r="D1309" i="2"/>
  <c r="C1309" i="2"/>
  <c r="B1309" i="2"/>
  <c r="A1309" i="2"/>
  <c r="H1308" i="2"/>
  <c r="G1308" i="2"/>
  <c r="F1308" i="2"/>
  <c r="E1308" i="2"/>
  <c r="D1308" i="2"/>
  <c r="C1308" i="2"/>
  <c r="B1308" i="2"/>
  <c r="A1308" i="2"/>
  <c r="H1307" i="2"/>
  <c r="G1307" i="2"/>
  <c r="F1307" i="2"/>
  <c r="E1307" i="2"/>
  <c r="D1307" i="2"/>
  <c r="C1307" i="2"/>
  <c r="B1307" i="2"/>
  <c r="A1307" i="2"/>
  <c r="H1306" i="2"/>
  <c r="G1306" i="2"/>
  <c r="F1306" i="2"/>
  <c r="E1306" i="2"/>
  <c r="D1306" i="2"/>
  <c r="C1306" i="2"/>
  <c r="B1306" i="2"/>
  <c r="A1306" i="2"/>
  <c r="H1305" i="2"/>
  <c r="G1305" i="2"/>
  <c r="F1305" i="2"/>
  <c r="E1305" i="2"/>
  <c r="D1305" i="2"/>
  <c r="C1305" i="2"/>
  <c r="B1305" i="2"/>
  <c r="A1305" i="2"/>
  <c r="H1304" i="2"/>
  <c r="G1304" i="2"/>
  <c r="F1304" i="2"/>
  <c r="E1304" i="2"/>
  <c r="D1304" i="2"/>
  <c r="C1304" i="2"/>
  <c r="B1304" i="2"/>
  <c r="A1304" i="2"/>
  <c r="H1303" i="2"/>
  <c r="G1303" i="2"/>
  <c r="F1303" i="2"/>
  <c r="E1303" i="2"/>
  <c r="D1303" i="2"/>
  <c r="C1303" i="2"/>
  <c r="B1303" i="2"/>
  <c r="A1303" i="2"/>
  <c r="H1302" i="2"/>
  <c r="G1302" i="2"/>
  <c r="F1302" i="2"/>
  <c r="E1302" i="2"/>
  <c r="D1302" i="2"/>
  <c r="C1302" i="2"/>
  <c r="B1302" i="2"/>
  <c r="A1302" i="2"/>
  <c r="H1301" i="2"/>
  <c r="G1301" i="2"/>
  <c r="F1301" i="2"/>
  <c r="E1301" i="2"/>
  <c r="D1301" i="2"/>
  <c r="C1301" i="2"/>
  <c r="B1301" i="2"/>
  <c r="A1301" i="2"/>
  <c r="H1300" i="2"/>
  <c r="G1300" i="2"/>
  <c r="F1300" i="2"/>
  <c r="E1300" i="2"/>
  <c r="D1300" i="2"/>
  <c r="C1300" i="2"/>
  <c r="B1300" i="2"/>
  <c r="A1300" i="2"/>
  <c r="H1299" i="2"/>
  <c r="G1299" i="2"/>
  <c r="F1299" i="2"/>
  <c r="E1299" i="2"/>
  <c r="D1299" i="2"/>
  <c r="C1299" i="2"/>
  <c r="B1299" i="2"/>
  <c r="A1299" i="2"/>
  <c r="H1298" i="2"/>
  <c r="G1298" i="2"/>
  <c r="F1298" i="2"/>
  <c r="E1298" i="2"/>
  <c r="D1298" i="2"/>
  <c r="C1298" i="2"/>
  <c r="B1298" i="2"/>
  <c r="A1298" i="2"/>
  <c r="H1297" i="2"/>
  <c r="G1297" i="2"/>
  <c r="F1297" i="2"/>
  <c r="E1297" i="2"/>
  <c r="D1297" i="2"/>
  <c r="C1297" i="2"/>
  <c r="B1297" i="2"/>
  <c r="A1297" i="2"/>
  <c r="H1296" i="2"/>
  <c r="G1296" i="2"/>
  <c r="F1296" i="2"/>
  <c r="E1296" i="2"/>
  <c r="D1296" i="2"/>
  <c r="C1296" i="2"/>
  <c r="B1296" i="2"/>
  <c r="A1296" i="2"/>
  <c r="H1295" i="2"/>
  <c r="G1295" i="2"/>
  <c r="F1295" i="2"/>
  <c r="E1295" i="2"/>
  <c r="D1295" i="2"/>
  <c r="C1295" i="2"/>
  <c r="B1295" i="2"/>
  <c r="A1295" i="2"/>
  <c r="H1294" i="2"/>
  <c r="G1294" i="2"/>
  <c r="F1294" i="2"/>
  <c r="E1294" i="2"/>
  <c r="D1294" i="2"/>
  <c r="C1294" i="2"/>
  <c r="B1294" i="2"/>
  <c r="A1294" i="2"/>
  <c r="H1293" i="2"/>
  <c r="G1293" i="2"/>
  <c r="F1293" i="2"/>
  <c r="E1293" i="2"/>
  <c r="D1293" i="2"/>
  <c r="C1293" i="2"/>
  <c r="B1293" i="2"/>
  <c r="A1293" i="2"/>
  <c r="H1292" i="2"/>
  <c r="G1292" i="2"/>
  <c r="F1292" i="2"/>
  <c r="E1292" i="2"/>
  <c r="D1292" i="2"/>
  <c r="C1292" i="2"/>
  <c r="B1292" i="2"/>
  <c r="A1292" i="2"/>
  <c r="H1291" i="2"/>
  <c r="G1291" i="2"/>
  <c r="F1291" i="2"/>
  <c r="E1291" i="2"/>
  <c r="D1291" i="2"/>
  <c r="C1291" i="2"/>
  <c r="B1291" i="2"/>
  <c r="A1291" i="2"/>
  <c r="H1290" i="2"/>
  <c r="G1290" i="2"/>
  <c r="F1290" i="2"/>
  <c r="E1290" i="2"/>
  <c r="D1290" i="2"/>
  <c r="C1290" i="2"/>
  <c r="B1290" i="2"/>
  <c r="A1290" i="2"/>
  <c r="H1289" i="2"/>
  <c r="G1289" i="2"/>
  <c r="F1289" i="2"/>
  <c r="E1289" i="2"/>
  <c r="D1289" i="2"/>
  <c r="C1289" i="2"/>
  <c r="B1289" i="2"/>
  <c r="A1289" i="2"/>
  <c r="H1288" i="2"/>
  <c r="G1288" i="2"/>
  <c r="F1288" i="2"/>
  <c r="E1288" i="2"/>
  <c r="D1288" i="2"/>
  <c r="C1288" i="2"/>
  <c r="B1288" i="2"/>
  <c r="A1288" i="2"/>
  <c r="H1287" i="2"/>
  <c r="G1287" i="2"/>
  <c r="F1287" i="2"/>
  <c r="E1287" i="2"/>
  <c r="D1287" i="2"/>
  <c r="C1287" i="2"/>
  <c r="B1287" i="2"/>
  <c r="A1287" i="2"/>
  <c r="H1286" i="2"/>
  <c r="G1286" i="2"/>
  <c r="F1286" i="2"/>
  <c r="E1286" i="2"/>
  <c r="D1286" i="2"/>
  <c r="C1286" i="2"/>
  <c r="B1286" i="2"/>
  <c r="A1286" i="2"/>
  <c r="H1285" i="2"/>
  <c r="G1285" i="2"/>
  <c r="F1285" i="2"/>
  <c r="E1285" i="2"/>
  <c r="D1285" i="2"/>
  <c r="C1285" i="2"/>
  <c r="B1285" i="2"/>
  <c r="A1285" i="2"/>
  <c r="H1284" i="2"/>
  <c r="G1284" i="2"/>
  <c r="F1284" i="2"/>
  <c r="E1284" i="2"/>
  <c r="D1284" i="2"/>
  <c r="C1284" i="2"/>
  <c r="B1284" i="2"/>
  <c r="A1284" i="2"/>
  <c r="H1283" i="2"/>
  <c r="G1283" i="2"/>
  <c r="F1283" i="2"/>
  <c r="E1283" i="2"/>
  <c r="D1283" i="2"/>
  <c r="C1283" i="2"/>
  <c r="B1283" i="2"/>
  <c r="A1283" i="2"/>
  <c r="H1282" i="2"/>
  <c r="G1282" i="2"/>
  <c r="F1282" i="2"/>
  <c r="E1282" i="2"/>
  <c r="D1282" i="2"/>
  <c r="C1282" i="2"/>
  <c r="B1282" i="2"/>
  <c r="A1282" i="2"/>
  <c r="H1281" i="2"/>
  <c r="G1281" i="2"/>
  <c r="F1281" i="2"/>
  <c r="E1281" i="2"/>
  <c r="D1281" i="2"/>
  <c r="C1281" i="2"/>
  <c r="B1281" i="2"/>
  <c r="A1281" i="2"/>
  <c r="H1280" i="2"/>
  <c r="G1280" i="2"/>
  <c r="F1280" i="2"/>
  <c r="E1280" i="2"/>
  <c r="D1280" i="2"/>
  <c r="C1280" i="2"/>
  <c r="B1280" i="2"/>
  <c r="A1280" i="2"/>
  <c r="H1279" i="2"/>
  <c r="G1279" i="2"/>
  <c r="F1279" i="2"/>
  <c r="E1279" i="2"/>
  <c r="D1279" i="2"/>
  <c r="C1279" i="2"/>
  <c r="B1279" i="2"/>
  <c r="A1279" i="2"/>
  <c r="H1278" i="2"/>
  <c r="G1278" i="2"/>
  <c r="F1278" i="2"/>
  <c r="E1278" i="2"/>
  <c r="D1278" i="2"/>
  <c r="C1278" i="2"/>
  <c r="B1278" i="2"/>
  <c r="A1278" i="2"/>
  <c r="H1277" i="2"/>
  <c r="G1277" i="2"/>
  <c r="F1277" i="2"/>
  <c r="E1277" i="2"/>
  <c r="D1277" i="2"/>
  <c r="C1277" i="2"/>
  <c r="B1277" i="2"/>
  <c r="A1277" i="2"/>
  <c r="H1276" i="2"/>
  <c r="G1276" i="2"/>
  <c r="F1276" i="2"/>
  <c r="E1276" i="2"/>
  <c r="D1276" i="2"/>
  <c r="C1276" i="2"/>
  <c r="B1276" i="2"/>
  <c r="A1276" i="2"/>
  <c r="H1275" i="2"/>
  <c r="G1275" i="2"/>
  <c r="F1275" i="2"/>
  <c r="E1275" i="2"/>
  <c r="D1275" i="2"/>
  <c r="C1275" i="2"/>
  <c r="B1275" i="2"/>
  <c r="A1275" i="2"/>
  <c r="H1274" i="2"/>
  <c r="G1274" i="2"/>
  <c r="F1274" i="2"/>
  <c r="E1274" i="2"/>
  <c r="D1274" i="2"/>
  <c r="C1274" i="2"/>
  <c r="B1274" i="2"/>
  <c r="A1274" i="2"/>
  <c r="H1273" i="2"/>
  <c r="G1273" i="2"/>
  <c r="F1273" i="2"/>
  <c r="E1273" i="2"/>
  <c r="D1273" i="2"/>
  <c r="C1273" i="2"/>
  <c r="B1273" i="2"/>
  <c r="A1273" i="2"/>
  <c r="H1272" i="2"/>
  <c r="G1272" i="2"/>
  <c r="F1272" i="2"/>
  <c r="E1272" i="2"/>
  <c r="D1272" i="2"/>
  <c r="C1272" i="2"/>
  <c r="B1272" i="2"/>
  <c r="A1272" i="2"/>
  <c r="H1271" i="2"/>
  <c r="G1271" i="2"/>
  <c r="F1271" i="2"/>
  <c r="E1271" i="2"/>
  <c r="D1271" i="2"/>
  <c r="C1271" i="2"/>
  <c r="B1271" i="2"/>
  <c r="A1271" i="2"/>
  <c r="H1270" i="2"/>
  <c r="G1270" i="2"/>
  <c r="F1270" i="2"/>
  <c r="E1270" i="2"/>
  <c r="D1270" i="2"/>
  <c r="C1270" i="2"/>
  <c r="B1270" i="2"/>
  <c r="A1270" i="2"/>
  <c r="H1269" i="2"/>
  <c r="G1269" i="2"/>
  <c r="F1269" i="2"/>
  <c r="E1269" i="2"/>
  <c r="D1269" i="2"/>
  <c r="C1269" i="2"/>
  <c r="B1269" i="2"/>
  <c r="A1269" i="2"/>
  <c r="H1268" i="2"/>
  <c r="G1268" i="2"/>
  <c r="F1268" i="2"/>
  <c r="E1268" i="2"/>
  <c r="D1268" i="2"/>
  <c r="C1268" i="2"/>
  <c r="B1268" i="2"/>
  <c r="A1268" i="2"/>
  <c r="H1267" i="2"/>
  <c r="G1267" i="2"/>
  <c r="F1267" i="2"/>
  <c r="E1267" i="2"/>
  <c r="D1267" i="2"/>
  <c r="C1267" i="2"/>
  <c r="B1267" i="2"/>
  <c r="A1267" i="2"/>
  <c r="H1266" i="2"/>
  <c r="G1266" i="2"/>
  <c r="F1266" i="2"/>
  <c r="E1266" i="2"/>
  <c r="D1266" i="2"/>
  <c r="C1266" i="2"/>
  <c r="B1266" i="2"/>
  <c r="A1266" i="2"/>
  <c r="H1265" i="2"/>
  <c r="G1265" i="2"/>
  <c r="F1265" i="2"/>
  <c r="E1265" i="2"/>
  <c r="D1265" i="2"/>
  <c r="C1265" i="2"/>
  <c r="B1265" i="2"/>
  <c r="A1265" i="2"/>
  <c r="H1264" i="2"/>
  <c r="G1264" i="2"/>
  <c r="F1264" i="2"/>
  <c r="E1264" i="2"/>
  <c r="D1264" i="2"/>
  <c r="C1264" i="2"/>
  <c r="B1264" i="2"/>
  <c r="A1264" i="2"/>
  <c r="H1263" i="2"/>
  <c r="G1263" i="2"/>
  <c r="F1263" i="2"/>
  <c r="E1263" i="2"/>
  <c r="D1263" i="2"/>
  <c r="C1263" i="2"/>
  <c r="B1263" i="2"/>
  <c r="A1263" i="2"/>
  <c r="H1262" i="2"/>
  <c r="G1262" i="2"/>
  <c r="F1262" i="2"/>
  <c r="E1262" i="2"/>
  <c r="D1262" i="2"/>
  <c r="C1262" i="2"/>
  <c r="B1262" i="2"/>
  <c r="A1262" i="2"/>
  <c r="H1261" i="2"/>
  <c r="G1261" i="2"/>
  <c r="F1261" i="2"/>
  <c r="E1261" i="2"/>
  <c r="D1261" i="2"/>
  <c r="C1261" i="2"/>
  <c r="B1261" i="2"/>
  <c r="A1261" i="2"/>
  <c r="H1260" i="2"/>
  <c r="G1260" i="2"/>
  <c r="F1260" i="2"/>
  <c r="E1260" i="2"/>
  <c r="D1260" i="2"/>
  <c r="C1260" i="2"/>
  <c r="B1260" i="2"/>
  <c r="A1260" i="2"/>
  <c r="H1259" i="2"/>
  <c r="G1259" i="2"/>
  <c r="F1259" i="2"/>
  <c r="E1259" i="2"/>
  <c r="D1259" i="2"/>
  <c r="C1259" i="2"/>
  <c r="B1259" i="2"/>
  <c r="A1259" i="2"/>
  <c r="H1258" i="2"/>
  <c r="G1258" i="2"/>
  <c r="F1258" i="2"/>
  <c r="E1258" i="2"/>
  <c r="D1258" i="2"/>
  <c r="C1258" i="2"/>
  <c r="B1258" i="2"/>
  <c r="A1258" i="2"/>
  <c r="H1257" i="2"/>
  <c r="G1257" i="2"/>
  <c r="F1257" i="2"/>
  <c r="E1257" i="2"/>
  <c r="D1257" i="2"/>
  <c r="C1257" i="2"/>
  <c r="B1257" i="2"/>
  <c r="A1257" i="2"/>
  <c r="H1256" i="2"/>
  <c r="G1256" i="2"/>
  <c r="F1256" i="2"/>
  <c r="E1256" i="2"/>
  <c r="D1256" i="2"/>
  <c r="C1256" i="2"/>
  <c r="B1256" i="2"/>
  <c r="A1256" i="2"/>
  <c r="H1255" i="2"/>
  <c r="G1255" i="2"/>
  <c r="F1255" i="2"/>
  <c r="E1255" i="2"/>
  <c r="D1255" i="2"/>
  <c r="C1255" i="2"/>
  <c r="B1255" i="2"/>
  <c r="A1255" i="2"/>
  <c r="H1254" i="2"/>
  <c r="G1254" i="2"/>
  <c r="F1254" i="2"/>
  <c r="E1254" i="2"/>
  <c r="D1254" i="2"/>
  <c r="C1254" i="2"/>
  <c r="B1254" i="2"/>
  <c r="A1254" i="2"/>
  <c r="H1253" i="2"/>
  <c r="G1253" i="2"/>
  <c r="F1253" i="2"/>
  <c r="E1253" i="2"/>
  <c r="D1253" i="2"/>
  <c r="C1253" i="2"/>
  <c r="B1253" i="2"/>
  <c r="A1253" i="2"/>
  <c r="H1252" i="2"/>
  <c r="G1252" i="2"/>
  <c r="F1252" i="2"/>
  <c r="E1252" i="2"/>
  <c r="D1252" i="2"/>
  <c r="C1252" i="2"/>
  <c r="B1252" i="2"/>
  <c r="A1252" i="2"/>
  <c r="H1251" i="2"/>
  <c r="G1251" i="2"/>
  <c r="F1251" i="2"/>
  <c r="E1251" i="2"/>
  <c r="D1251" i="2"/>
  <c r="C1251" i="2"/>
  <c r="B1251" i="2"/>
  <c r="A1251" i="2"/>
  <c r="H1250" i="2"/>
  <c r="G1250" i="2"/>
  <c r="F1250" i="2"/>
  <c r="E1250" i="2"/>
  <c r="D1250" i="2"/>
  <c r="C1250" i="2"/>
  <c r="B1250" i="2"/>
  <c r="A1250" i="2"/>
  <c r="H1249" i="2"/>
  <c r="G1249" i="2"/>
  <c r="F1249" i="2"/>
  <c r="E1249" i="2"/>
  <c r="D1249" i="2"/>
  <c r="C1249" i="2"/>
  <c r="B1249" i="2"/>
  <c r="A1249" i="2"/>
  <c r="H1248" i="2"/>
  <c r="G1248" i="2"/>
  <c r="F1248" i="2"/>
  <c r="E1248" i="2"/>
  <c r="D1248" i="2"/>
  <c r="C1248" i="2"/>
  <c r="B1248" i="2"/>
  <c r="A1248" i="2"/>
  <c r="H1247" i="2"/>
  <c r="G1247" i="2"/>
  <c r="F1247" i="2"/>
  <c r="E1247" i="2"/>
  <c r="D1247" i="2"/>
  <c r="C1247" i="2"/>
  <c r="B1247" i="2"/>
  <c r="A1247" i="2"/>
  <c r="H1246" i="2"/>
  <c r="G1246" i="2"/>
  <c r="F1246" i="2"/>
  <c r="E1246" i="2"/>
  <c r="D1246" i="2"/>
  <c r="C1246" i="2"/>
  <c r="B1246" i="2"/>
  <c r="A1246" i="2"/>
  <c r="H1245" i="2"/>
  <c r="G1245" i="2"/>
  <c r="F1245" i="2"/>
  <c r="E1245" i="2"/>
  <c r="D1245" i="2"/>
  <c r="C1245" i="2"/>
  <c r="B1245" i="2"/>
  <c r="A1245" i="2"/>
  <c r="H1244" i="2"/>
  <c r="G1244" i="2"/>
  <c r="F1244" i="2"/>
  <c r="E1244" i="2"/>
  <c r="D1244" i="2"/>
  <c r="C1244" i="2"/>
  <c r="B1244" i="2"/>
  <c r="A1244" i="2"/>
  <c r="H1243" i="2"/>
  <c r="G1243" i="2"/>
  <c r="F1243" i="2"/>
  <c r="E1243" i="2"/>
  <c r="D1243" i="2"/>
  <c r="C1243" i="2"/>
  <c r="B1243" i="2"/>
  <c r="A1243" i="2"/>
  <c r="H1242" i="2"/>
  <c r="G1242" i="2"/>
  <c r="F1242" i="2"/>
  <c r="E1242" i="2"/>
  <c r="D1242" i="2"/>
  <c r="C1242" i="2"/>
  <c r="B1242" i="2"/>
  <c r="A1242" i="2"/>
  <c r="H1241" i="2"/>
  <c r="G1241" i="2"/>
  <c r="F1241" i="2"/>
  <c r="E1241" i="2"/>
  <c r="D1241" i="2"/>
  <c r="C1241" i="2"/>
  <c r="B1241" i="2"/>
  <c r="A1241" i="2"/>
  <c r="H1240" i="2"/>
  <c r="G1240" i="2"/>
  <c r="F1240" i="2"/>
  <c r="E1240" i="2"/>
  <c r="D1240" i="2"/>
  <c r="C1240" i="2"/>
  <c r="B1240" i="2"/>
  <c r="A1240" i="2"/>
  <c r="H1239" i="2"/>
  <c r="G1239" i="2"/>
  <c r="F1239" i="2"/>
  <c r="E1239" i="2"/>
  <c r="D1239" i="2"/>
  <c r="C1239" i="2"/>
  <c r="B1239" i="2"/>
  <c r="A1239" i="2"/>
  <c r="H1238" i="2"/>
  <c r="G1238" i="2"/>
  <c r="F1238" i="2"/>
  <c r="E1238" i="2"/>
  <c r="D1238" i="2"/>
  <c r="C1238" i="2"/>
  <c r="B1238" i="2"/>
  <c r="A1238" i="2"/>
  <c r="H1237" i="2"/>
  <c r="G1237" i="2"/>
  <c r="F1237" i="2"/>
  <c r="E1237" i="2"/>
  <c r="D1237" i="2"/>
  <c r="C1237" i="2"/>
  <c r="B1237" i="2"/>
  <c r="A1237" i="2"/>
  <c r="H1236" i="2"/>
  <c r="G1236" i="2"/>
  <c r="F1236" i="2"/>
  <c r="E1236" i="2"/>
  <c r="D1236" i="2"/>
  <c r="C1236" i="2"/>
  <c r="B1236" i="2"/>
  <c r="A1236" i="2"/>
  <c r="H1235" i="2"/>
  <c r="G1235" i="2"/>
  <c r="F1235" i="2"/>
  <c r="E1235" i="2"/>
  <c r="D1235" i="2"/>
  <c r="C1235" i="2"/>
  <c r="B1235" i="2"/>
  <c r="A1235" i="2"/>
  <c r="H1234" i="2"/>
  <c r="G1234" i="2"/>
  <c r="F1234" i="2"/>
  <c r="E1234" i="2"/>
  <c r="D1234" i="2"/>
  <c r="C1234" i="2"/>
  <c r="B1234" i="2"/>
  <c r="A1234" i="2"/>
  <c r="H1233" i="2"/>
  <c r="G1233" i="2"/>
  <c r="F1233" i="2"/>
  <c r="E1233" i="2"/>
  <c r="D1233" i="2"/>
  <c r="C1233" i="2"/>
  <c r="B1233" i="2"/>
  <c r="A1233" i="2"/>
  <c r="H1232" i="2"/>
  <c r="G1232" i="2"/>
  <c r="F1232" i="2"/>
  <c r="E1232" i="2"/>
  <c r="D1232" i="2"/>
  <c r="C1232" i="2"/>
  <c r="B1232" i="2"/>
  <c r="A1232" i="2"/>
  <c r="H1231" i="2"/>
  <c r="G1231" i="2"/>
  <c r="F1231" i="2"/>
  <c r="E1231" i="2"/>
  <c r="D1231" i="2"/>
  <c r="C1231" i="2"/>
  <c r="B1231" i="2"/>
  <c r="A1231" i="2"/>
  <c r="H1230" i="2"/>
  <c r="G1230" i="2"/>
  <c r="F1230" i="2"/>
  <c r="E1230" i="2"/>
  <c r="D1230" i="2"/>
  <c r="C1230" i="2"/>
  <c r="B1230" i="2"/>
  <c r="A1230" i="2"/>
  <c r="H1229" i="2"/>
  <c r="G1229" i="2"/>
  <c r="F1229" i="2"/>
  <c r="E1229" i="2"/>
  <c r="D1229" i="2"/>
  <c r="C1229" i="2"/>
  <c r="B1229" i="2"/>
  <c r="A1229" i="2"/>
  <c r="H1228" i="2"/>
  <c r="G1228" i="2"/>
  <c r="F1228" i="2"/>
  <c r="E1228" i="2"/>
  <c r="D1228" i="2"/>
  <c r="C1228" i="2"/>
  <c r="B1228" i="2"/>
  <c r="A1228" i="2"/>
  <c r="H1227" i="2"/>
  <c r="G1227" i="2"/>
  <c r="F1227" i="2"/>
  <c r="E1227" i="2"/>
  <c r="D1227" i="2"/>
  <c r="C1227" i="2"/>
  <c r="B1227" i="2"/>
  <c r="A1227" i="2"/>
  <c r="H1226" i="2"/>
  <c r="G1226" i="2"/>
  <c r="F1226" i="2"/>
  <c r="E1226" i="2"/>
  <c r="D1226" i="2"/>
  <c r="C1226" i="2"/>
  <c r="B1226" i="2"/>
  <c r="A1226" i="2"/>
  <c r="H1225" i="2"/>
  <c r="G1225" i="2"/>
  <c r="F1225" i="2"/>
  <c r="E1225" i="2"/>
  <c r="D1225" i="2"/>
  <c r="C1225" i="2"/>
  <c r="B1225" i="2"/>
  <c r="A1225" i="2"/>
  <c r="H1224" i="2"/>
  <c r="G1224" i="2"/>
  <c r="F1224" i="2"/>
  <c r="E1224" i="2"/>
  <c r="D1224" i="2"/>
  <c r="C1224" i="2"/>
  <c r="B1224" i="2"/>
  <c r="A1224" i="2"/>
  <c r="H1223" i="2"/>
  <c r="G1223" i="2"/>
  <c r="F1223" i="2"/>
  <c r="E1223" i="2"/>
  <c r="D1223" i="2"/>
  <c r="C1223" i="2"/>
  <c r="B1223" i="2"/>
  <c r="A1223" i="2"/>
  <c r="H1222" i="2"/>
  <c r="G1222" i="2"/>
  <c r="F1222" i="2"/>
  <c r="E1222" i="2"/>
  <c r="D1222" i="2"/>
  <c r="C1222" i="2"/>
  <c r="B1222" i="2"/>
  <c r="A1222" i="2"/>
  <c r="H1221" i="2"/>
  <c r="G1221" i="2"/>
  <c r="F1221" i="2"/>
  <c r="E1221" i="2"/>
  <c r="D1221" i="2"/>
  <c r="C1221" i="2"/>
  <c r="B1221" i="2"/>
  <c r="A1221" i="2"/>
  <c r="H1220" i="2"/>
  <c r="G1220" i="2"/>
  <c r="F1220" i="2"/>
  <c r="E1220" i="2"/>
  <c r="D1220" i="2"/>
  <c r="C1220" i="2"/>
  <c r="B1220" i="2"/>
  <c r="A1220" i="2"/>
  <c r="H1219" i="2"/>
  <c r="G1219" i="2"/>
  <c r="F1219" i="2"/>
  <c r="E1219" i="2"/>
  <c r="D1219" i="2"/>
  <c r="C1219" i="2"/>
  <c r="B1219" i="2"/>
  <c r="A1219" i="2"/>
  <c r="H1218" i="2"/>
  <c r="G1218" i="2"/>
  <c r="F1218" i="2"/>
  <c r="E1218" i="2"/>
  <c r="D1218" i="2"/>
  <c r="C1218" i="2"/>
  <c r="B1218" i="2"/>
  <c r="A1218" i="2"/>
  <c r="H1217" i="2"/>
  <c r="G1217" i="2"/>
  <c r="F1217" i="2"/>
  <c r="E1217" i="2"/>
  <c r="D1217" i="2"/>
  <c r="C1217" i="2"/>
  <c r="B1217" i="2"/>
  <c r="A1217" i="2"/>
  <c r="H1216" i="2"/>
  <c r="G1216" i="2"/>
  <c r="F1216" i="2"/>
  <c r="E1216" i="2"/>
  <c r="D1216" i="2"/>
  <c r="C1216" i="2"/>
  <c r="B1216" i="2"/>
  <c r="A1216" i="2"/>
  <c r="H1215" i="2"/>
  <c r="G1215" i="2"/>
  <c r="F1215" i="2"/>
  <c r="E1215" i="2"/>
  <c r="D1215" i="2"/>
  <c r="C1215" i="2"/>
  <c r="B1215" i="2"/>
  <c r="A1215" i="2"/>
  <c r="H1214" i="2"/>
  <c r="G1214" i="2"/>
  <c r="F1214" i="2"/>
  <c r="E1214" i="2"/>
  <c r="D1214" i="2"/>
  <c r="C1214" i="2"/>
  <c r="B1214" i="2"/>
  <c r="A1214" i="2"/>
  <c r="H1213" i="2"/>
  <c r="G1213" i="2"/>
  <c r="F1213" i="2"/>
  <c r="E1213" i="2"/>
  <c r="D1213" i="2"/>
  <c r="C1213" i="2"/>
  <c r="B1213" i="2"/>
  <c r="A1213" i="2"/>
  <c r="H1212" i="2"/>
  <c r="G1212" i="2"/>
  <c r="F1212" i="2"/>
  <c r="E1212" i="2"/>
  <c r="D1212" i="2"/>
  <c r="C1212" i="2"/>
  <c r="B1212" i="2"/>
  <c r="A1212" i="2"/>
  <c r="H1211" i="2"/>
  <c r="G1211" i="2"/>
  <c r="F1211" i="2"/>
  <c r="E1211" i="2"/>
  <c r="D1211" i="2"/>
  <c r="C1211" i="2"/>
  <c r="B1211" i="2"/>
  <c r="A1211" i="2"/>
  <c r="H1210" i="2"/>
  <c r="G1210" i="2"/>
  <c r="F1210" i="2"/>
  <c r="E1210" i="2"/>
  <c r="D1210" i="2"/>
  <c r="C1210" i="2"/>
  <c r="B1210" i="2"/>
  <c r="A1210" i="2"/>
  <c r="H1209" i="2"/>
  <c r="G1209" i="2"/>
  <c r="F1209" i="2"/>
  <c r="E1209" i="2"/>
  <c r="D1209" i="2"/>
  <c r="C1209" i="2"/>
  <c r="B1209" i="2"/>
  <c r="A1209" i="2"/>
  <c r="H1208" i="2"/>
  <c r="G1208" i="2"/>
  <c r="F1208" i="2"/>
  <c r="E1208" i="2"/>
  <c r="D1208" i="2"/>
  <c r="C1208" i="2"/>
  <c r="B1208" i="2"/>
  <c r="A1208" i="2"/>
  <c r="H1207" i="2"/>
  <c r="G1207" i="2"/>
  <c r="F1207" i="2"/>
  <c r="E1207" i="2"/>
  <c r="D1207" i="2"/>
  <c r="C1207" i="2"/>
  <c r="B1207" i="2"/>
  <c r="A1207" i="2"/>
  <c r="H1206" i="2"/>
  <c r="G1206" i="2"/>
  <c r="F1206" i="2"/>
  <c r="E1206" i="2"/>
  <c r="D1206" i="2"/>
  <c r="C1206" i="2"/>
  <c r="B1206" i="2"/>
  <c r="A1206" i="2"/>
  <c r="H1205" i="2"/>
  <c r="G1205" i="2"/>
  <c r="F1205" i="2"/>
  <c r="E1205" i="2"/>
  <c r="D1205" i="2"/>
  <c r="C1205" i="2"/>
  <c r="B1205" i="2"/>
  <c r="A1205" i="2"/>
  <c r="H1204" i="2"/>
  <c r="G1204" i="2"/>
  <c r="F1204" i="2"/>
  <c r="E1204" i="2"/>
  <c r="D1204" i="2"/>
  <c r="C1204" i="2"/>
  <c r="B1204" i="2"/>
  <c r="A1204" i="2"/>
  <c r="H1203" i="2"/>
  <c r="G1203" i="2"/>
  <c r="F1203" i="2"/>
  <c r="E1203" i="2"/>
  <c r="D1203" i="2"/>
  <c r="C1203" i="2"/>
  <c r="B1203" i="2"/>
  <c r="A1203" i="2"/>
  <c r="H1202" i="2"/>
  <c r="G1202" i="2"/>
  <c r="F1202" i="2"/>
  <c r="E1202" i="2"/>
  <c r="D1202" i="2"/>
  <c r="C1202" i="2"/>
  <c r="B1202" i="2"/>
  <c r="A1202" i="2"/>
  <c r="H1201" i="2"/>
  <c r="G1201" i="2"/>
  <c r="F1201" i="2"/>
  <c r="E1201" i="2"/>
  <c r="D1201" i="2"/>
  <c r="C1201" i="2"/>
  <c r="B1201" i="2"/>
  <c r="A1201" i="2"/>
  <c r="H1200" i="2"/>
  <c r="G1200" i="2"/>
  <c r="F1200" i="2"/>
  <c r="E1200" i="2"/>
  <c r="D1200" i="2"/>
  <c r="C1200" i="2"/>
  <c r="B1200" i="2"/>
  <c r="A1200" i="2"/>
  <c r="H1199" i="2"/>
  <c r="G1199" i="2"/>
  <c r="F1199" i="2"/>
  <c r="E1199" i="2"/>
  <c r="D1199" i="2"/>
  <c r="C1199" i="2"/>
  <c r="B1199" i="2"/>
  <c r="A1199" i="2"/>
  <c r="H1198" i="2"/>
  <c r="G1198" i="2"/>
  <c r="F1198" i="2"/>
  <c r="E1198" i="2"/>
  <c r="D1198" i="2"/>
  <c r="C1198" i="2"/>
  <c r="B1198" i="2"/>
  <c r="A1198" i="2"/>
  <c r="H1197" i="2"/>
  <c r="G1197" i="2"/>
  <c r="F1197" i="2"/>
  <c r="E1197" i="2"/>
  <c r="D1197" i="2"/>
  <c r="C1197" i="2"/>
  <c r="B1197" i="2"/>
  <c r="A1197" i="2"/>
  <c r="H1196" i="2"/>
  <c r="G1196" i="2"/>
  <c r="F1196" i="2"/>
  <c r="E1196" i="2"/>
  <c r="D1196" i="2"/>
  <c r="C1196" i="2"/>
  <c r="B1196" i="2"/>
  <c r="A1196" i="2"/>
  <c r="H1195" i="2"/>
  <c r="G1195" i="2"/>
  <c r="F1195" i="2"/>
  <c r="E1195" i="2"/>
  <c r="D1195" i="2"/>
  <c r="C1195" i="2"/>
  <c r="B1195" i="2"/>
  <c r="A1195" i="2"/>
  <c r="H1194" i="2"/>
  <c r="G1194" i="2"/>
  <c r="F1194" i="2"/>
  <c r="E1194" i="2"/>
  <c r="D1194" i="2"/>
  <c r="C1194" i="2"/>
  <c r="B1194" i="2"/>
  <c r="A1194" i="2"/>
  <c r="H1193" i="2"/>
  <c r="G1193" i="2"/>
  <c r="F1193" i="2"/>
  <c r="E1193" i="2"/>
  <c r="D1193" i="2"/>
  <c r="C1193" i="2"/>
  <c r="B1193" i="2"/>
  <c r="A1193" i="2"/>
  <c r="H1192" i="2"/>
  <c r="G1192" i="2"/>
  <c r="F1192" i="2"/>
  <c r="E1192" i="2"/>
  <c r="D1192" i="2"/>
  <c r="C1192" i="2"/>
  <c r="B1192" i="2"/>
  <c r="A1192" i="2"/>
  <c r="H1191" i="2"/>
  <c r="G1191" i="2"/>
  <c r="F1191" i="2"/>
  <c r="E1191" i="2"/>
  <c r="D1191" i="2"/>
  <c r="C1191" i="2"/>
  <c r="B1191" i="2"/>
  <c r="A1191" i="2"/>
  <c r="H1190" i="2"/>
  <c r="G1190" i="2"/>
  <c r="F1190" i="2"/>
  <c r="E1190" i="2"/>
  <c r="D1190" i="2"/>
  <c r="C1190" i="2"/>
  <c r="B1190" i="2"/>
  <c r="A1190" i="2"/>
  <c r="H1189" i="2"/>
  <c r="G1189" i="2"/>
  <c r="F1189" i="2"/>
  <c r="E1189" i="2"/>
  <c r="D1189" i="2"/>
  <c r="C1189" i="2"/>
  <c r="B1189" i="2"/>
  <c r="A1189" i="2"/>
  <c r="H1188" i="2"/>
  <c r="G1188" i="2"/>
  <c r="F1188" i="2"/>
  <c r="E1188" i="2"/>
  <c r="D1188" i="2"/>
  <c r="C1188" i="2"/>
  <c r="B1188" i="2"/>
  <c r="A1188" i="2"/>
  <c r="H1187" i="2"/>
  <c r="G1187" i="2"/>
  <c r="F1187" i="2"/>
  <c r="E1187" i="2"/>
  <c r="D1187" i="2"/>
  <c r="C1187" i="2"/>
  <c r="B1187" i="2"/>
  <c r="A1187" i="2"/>
  <c r="H1186" i="2"/>
  <c r="G1186" i="2"/>
  <c r="F1186" i="2"/>
  <c r="E1186" i="2"/>
  <c r="D1186" i="2"/>
  <c r="C1186" i="2"/>
  <c r="B1186" i="2"/>
  <c r="A1186" i="2"/>
  <c r="H1185" i="2"/>
  <c r="G1185" i="2"/>
  <c r="F1185" i="2"/>
  <c r="E1185" i="2"/>
  <c r="D1185" i="2"/>
  <c r="C1185" i="2"/>
  <c r="B1185" i="2"/>
  <c r="A1185" i="2"/>
  <c r="H1184" i="2"/>
  <c r="G1184" i="2"/>
  <c r="F1184" i="2"/>
  <c r="E1184" i="2"/>
  <c r="D1184" i="2"/>
  <c r="C1184" i="2"/>
  <c r="B1184" i="2"/>
  <c r="A1184" i="2"/>
  <c r="H1183" i="2"/>
  <c r="G1183" i="2"/>
  <c r="F1183" i="2"/>
  <c r="E1183" i="2"/>
  <c r="D1183" i="2"/>
  <c r="C1183" i="2"/>
  <c r="B1183" i="2"/>
  <c r="A1183" i="2"/>
  <c r="H1182" i="2"/>
  <c r="G1182" i="2"/>
  <c r="F1182" i="2"/>
  <c r="E1182" i="2"/>
  <c r="D1182" i="2"/>
  <c r="C1182" i="2"/>
  <c r="B1182" i="2"/>
  <c r="A1182" i="2"/>
  <c r="H1181" i="2"/>
  <c r="G1181" i="2"/>
  <c r="F1181" i="2"/>
  <c r="E1181" i="2"/>
  <c r="D1181" i="2"/>
  <c r="C1181" i="2"/>
  <c r="B1181" i="2"/>
  <c r="A1181" i="2"/>
  <c r="H1180" i="2"/>
  <c r="G1180" i="2"/>
  <c r="F1180" i="2"/>
  <c r="E1180" i="2"/>
  <c r="D1180" i="2"/>
  <c r="C1180" i="2"/>
  <c r="B1180" i="2"/>
  <c r="A1180" i="2"/>
  <c r="H1179" i="2"/>
  <c r="G1179" i="2"/>
  <c r="F1179" i="2"/>
  <c r="E1179" i="2"/>
  <c r="D1179" i="2"/>
  <c r="C1179" i="2"/>
  <c r="B1179" i="2"/>
  <c r="A1179" i="2"/>
  <c r="H1178" i="2"/>
  <c r="G1178" i="2"/>
  <c r="F1178" i="2"/>
  <c r="E1178" i="2"/>
  <c r="D1178" i="2"/>
  <c r="C1178" i="2"/>
  <c r="B1178" i="2"/>
  <c r="A1178" i="2"/>
  <c r="H1177" i="2"/>
  <c r="G1177" i="2"/>
  <c r="F1177" i="2"/>
  <c r="E1177" i="2"/>
  <c r="D1177" i="2"/>
  <c r="C1177" i="2"/>
  <c r="B1177" i="2"/>
  <c r="A1177" i="2"/>
  <c r="H1176" i="2"/>
  <c r="G1176" i="2"/>
  <c r="F1176" i="2"/>
  <c r="E1176" i="2"/>
  <c r="D1176" i="2"/>
  <c r="C1176" i="2"/>
  <c r="B1176" i="2"/>
  <c r="A1176" i="2"/>
  <c r="H1175" i="2"/>
  <c r="G1175" i="2"/>
  <c r="F1175" i="2"/>
  <c r="E1175" i="2"/>
  <c r="D1175" i="2"/>
  <c r="C1175" i="2"/>
  <c r="B1175" i="2"/>
  <c r="A1175" i="2"/>
  <c r="H1174" i="2"/>
  <c r="G1174" i="2"/>
  <c r="F1174" i="2"/>
  <c r="E1174" i="2"/>
  <c r="D1174" i="2"/>
  <c r="C1174" i="2"/>
  <c r="B1174" i="2"/>
  <c r="A1174" i="2"/>
  <c r="H1173" i="2"/>
  <c r="G1173" i="2"/>
  <c r="F1173" i="2"/>
  <c r="E1173" i="2"/>
  <c r="D1173" i="2"/>
  <c r="C1173" i="2"/>
  <c r="B1173" i="2"/>
  <c r="A1173" i="2"/>
  <c r="H1172" i="2"/>
  <c r="G1172" i="2"/>
  <c r="F1172" i="2"/>
  <c r="E1172" i="2"/>
  <c r="D1172" i="2"/>
  <c r="C1172" i="2"/>
  <c r="B1172" i="2"/>
  <c r="A1172" i="2"/>
  <c r="H1171" i="2"/>
  <c r="G1171" i="2"/>
  <c r="F1171" i="2"/>
  <c r="E1171" i="2"/>
  <c r="D1171" i="2"/>
  <c r="C1171" i="2"/>
  <c r="B1171" i="2"/>
  <c r="A1171" i="2"/>
  <c r="H1170" i="2"/>
  <c r="G1170" i="2"/>
  <c r="F1170" i="2"/>
  <c r="E1170" i="2"/>
  <c r="D1170" i="2"/>
  <c r="C1170" i="2"/>
  <c r="B1170" i="2"/>
  <c r="A1170" i="2"/>
  <c r="H1169" i="2"/>
  <c r="G1169" i="2"/>
  <c r="F1169" i="2"/>
  <c r="E1169" i="2"/>
  <c r="D1169" i="2"/>
  <c r="C1169" i="2"/>
  <c r="B1169" i="2"/>
  <c r="A1169" i="2"/>
  <c r="H1168" i="2"/>
  <c r="G1168" i="2"/>
  <c r="F1168" i="2"/>
  <c r="E1168" i="2"/>
  <c r="D1168" i="2"/>
  <c r="C1168" i="2"/>
  <c r="B1168" i="2"/>
  <c r="A1168" i="2"/>
  <c r="H1167" i="2"/>
  <c r="G1167" i="2"/>
  <c r="F1167" i="2"/>
  <c r="E1167" i="2"/>
  <c r="D1167" i="2"/>
  <c r="C1167" i="2"/>
  <c r="B1167" i="2"/>
  <c r="A1167" i="2"/>
  <c r="H1166" i="2"/>
  <c r="G1166" i="2"/>
  <c r="F1166" i="2"/>
  <c r="E1166" i="2"/>
  <c r="D1166" i="2"/>
  <c r="C1166" i="2"/>
  <c r="B1166" i="2"/>
  <c r="A1166" i="2"/>
  <c r="H1165" i="2"/>
  <c r="G1165" i="2"/>
  <c r="F1165" i="2"/>
  <c r="E1165" i="2"/>
  <c r="D1165" i="2"/>
  <c r="C1165" i="2"/>
  <c r="B1165" i="2"/>
  <c r="A1165" i="2"/>
  <c r="H1164" i="2"/>
  <c r="G1164" i="2"/>
  <c r="F1164" i="2"/>
  <c r="E1164" i="2"/>
  <c r="D1164" i="2"/>
  <c r="C1164" i="2"/>
  <c r="B1164" i="2"/>
  <c r="A1164" i="2"/>
  <c r="H1163" i="2"/>
  <c r="G1163" i="2"/>
  <c r="F1163" i="2"/>
  <c r="E1163" i="2"/>
  <c r="D1163" i="2"/>
  <c r="C1163" i="2"/>
  <c r="B1163" i="2"/>
  <c r="A1163" i="2"/>
  <c r="H1162" i="2"/>
  <c r="G1162" i="2"/>
  <c r="F1162" i="2"/>
  <c r="E1162" i="2"/>
  <c r="D1162" i="2"/>
  <c r="C1162" i="2"/>
  <c r="B1162" i="2"/>
  <c r="A1162" i="2"/>
  <c r="H1161" i="2"/>
  <c r="G1161" i="2"/>
  <c r="F1161" i="2"/>
  <c r="E1161" i="2"/>
  <c r="D1161" i="2"/>
  <c r="C1161" i="2"/>
  <c r="B1161" i="2"/>
  <c r="A1161" i="2"/>
  <c r="H1160" i="2"/>
  <c r="G1160" i="2"/>
  <c r="F1160" i="2"/>
  <c r="E1160" i="2"/>
  <c r="D1160" i="2"/>
  <c r="C1160" i="2"/>
  <c r="B1160" i="2"/>
  <c r="A1160" i="2"/>
  <c r="H1159" i="2"/>
  <c r="G1159" i="2"/>
  <c r="F1159" i="2"/>
  <c r="E1159" i="2"/>
  <c r="D1159" i="2"/>
  <c r="C1159" i="2"/>
  <c r="B1159" i="2"/>
  <c r="A1159" i="2"/>
  <c r="H1158" i="2"/>
  <c r="G1158" i="2"/>
  <c r="F1158" i="2"/>
  <c r="E1158" i="2"/>
  <c r="D1158" i="2"/>
  <c r="C1158" i="2"/>
  <c r="B1158" i="2"/>
  <c r="A1158" i="2"/>
  <c r="H1157" i="2"/>
  <c r="G1157" i="2"/>
  <c r="F1157" i="2"/>
  <c r="E1157" i="2"/>
  <c r="D1157" i="2"/>
  <c r="C1157" i="2"/>
  <c r="B1157" i="2"/>
  <c r="A1157" i="2"/>
  <c r="H1156" i="2"/>
  <c r="G1156" i="2"/>
  <c r="F1156" i="2"/>
  <c r="E1156" i="2"/>
  <c r="D1156" i="2"/>
  <c r="C1156" i="2"/>
  <c r="B1156" i="2"/>
  <c r="A1156" i="2"/>
  <c r="H1155" i="2"/>
  <c r="G1155" i="2"/>
  <c r="F1155" i="2"/>
  <c r="E1155" i="2"/>
  <c r="D1155" i="2"/>
  <c r="C1155" i="2"/>
  <c r="B1155" i="2"/>
  <c r="A1155" i="2"/>
  <c r="H1154" i="2"/>
  <c r="G1154" i="2"/>
  <c r="F1154" i="2"/>
  <c r="E1154" i="2"/>
  <c r="D1154" i="2"/>
  <c r="C1154" i="2"/>
  <c r="B1154" i="2"/>
  <c r="A1154" i="2"/>
  <c r="H1153" i="2"/>
  <c r="G1153" i="2"/>
  <c r="F1153" i="2"/>
  <c r="E1153" i="2"/>
  <c r="D1153" i="2"/>
  <c r="C1153" i="2"/>
  <c r="B1153" i="2"/>
  <c r="A1153" i="2"/>
  <c r="H1152" i="2"/>
  <c r="G1152" i="2"/>
  <c r="F1152" i="2"/>
  <c r="E1152" i="2"/>
  <c r="D1152" i="2"/>
  <c r="C1152" i="2"/>
  <c r="B1152" i="2"/>
  <c r="A1152" i="2"/>
  <c r="H1151" i="2"/>
  <c r="G1151" i="2"/>
  <c r="F1151" i="2"/>
  <c r="E1151" i="2"/>
  <c r="D1151" i="2"/>
  <c r="C1151" i="2"/>
  <c r="B1151" i="2"/>
  <c r="A1151" i="2"/>
  <c r="H1150" i="2"/>
  <c r="G1150" i="2"/>
  <c r="F1150" i="2"/>
  <c r="E1150" i="2"/>
  <c r="D1150" i="2"/>
  <c r="C1150" i="2"/>
  <c r="B1150" i="2"/>
  <c r="A1150" i="2"/>
  <c r="H1149" i="2"/>
  <c r="G1149" i="2"/>
  <c r="F1149" i="2"/>
  <c r="E1149" i="2"/>
  <c r="D1149" i="2"/>
  <c r="C1149" i="2"/>
  <c r="B1149" i="2"/>
  <c r="A1149" i="2"/>
  <c r="H1148" i="2"/>
  <c r="G1148" i="2"/>
  <c r="F1148" i="2"/>
  <c r="E1148" i="2"/>
  <c r="D1148" i="2"/>
  <c r="C1148" i="2"/>
  <c r="B1148" i="2"/>
  <c r="A1148" i="2"/>
  <c r="H1147" i="2"/>
  <c r="G1147" i="2"/>
  <c r="F1147" i="2"/>
  <c r="E1147" i="2"/>
  <c r="D1147" i="2"/>
  <c r="C1147" i="2"/>
  <c r="B1147" i="2"/>
  <c r="A1147" i="2"/>
  <c r="H1146" i="2"/>
  <c r="G1146" i="2"/>
  <c r="F1146" i="2"/>
  <c r="E1146" i="2"/>
  <c r="D1146" i="2"/>
  <c r="C1146" i="2"/>
  <c r="B1146" i="2"/>
  <c r="A1146" i="2"/>
  <c r="H1145" i="2"/>
  <c r="G1145" i="2"/>
  <c r="F1145" i="2"/>
  <c r="E1145" i="2"/>
  <c r="D1145" i="2"/>
  <c r="C1145" i="2"/>
  <c r="B1145" i="2"/>
  <c r="A1145" i="2"/>
  <c r="H1144" i="2"/>
  <c r="G1144" i="2"/>
  <c r="F1144" i="2"/>
  <c r="E1144" i="2"/>
  <c r="D1144" i="2"/>
  <c r="C1144" i="2"/>
  <c r="B1144" i="2"/>
  <c r="A1144" i="2"/>
  <c r="H1143" i="2"/>
  <c r="G1143" i="2"/>
  <c r="F1143" i="2"/>
  <c r="E1143" i="2"/>
  <c r="D1143" i="2"/>
  <c r="C1143" i="2"/>
  <c r="B1143" i="2"/>
  <c r="A1143" i="2"/>
  <c r="H1142" i="2"/>
  <c r="G1142" i="2"/>
  <c r="F1142" i="2"/>
  <c r="E1142" i="2"/>
  <c r="D1142" i="2"/>
  <c r="C1142" i="2"/>
  <c r="B1142" i="2"/>
  <c r="A1142" i="2"/>
  <c r="H1141" i="2"/>
  <c r="G1141" i="2"/>
  <c r="F1141" i="2"/>
  <c r="E1141" i="2"/>
  <c r="D1141" i="2"/>
  <c r="C1141" i="2"/>
  <c r="B1141" i="2"/>
  <c r="A1141" i="2"/>
  <c r="H1140" i="2"/>
  <c r="G1140" i="2"/>
  <c r="F1140" i="2"/>
  <c r="E1140" i="2"/>
  <c r="D1140" i="2"/>
  <c r="C1140" i="2"/>
  <c r="B1140" i="2"/>
  <c r="A1140" i="2"/>
  <c r="H1139" i="2"/>
  <c r="G1139" i="2"/>
  <c r="F1139" i="2"/>
  <c r="E1139" i="2"/>
  <c r="D1139" i="2"/>
  <c r="C1139" i="2"/>
  <c r="B1139" i="2"/>
  <c r="A1139" i="2"/>
  <c r="H1138" i="2"/>
  <c r="G1138" i="2"/>
  <c r="F1138" i="2"/>
  <c r="E1138" i="2"/>
  <c r="D1138" i="2"/>
  <c r="C1138" i="2"/>
  <c r="B1138" i="2"/>
  <c r="A1138" i="2"/>
  <c r="H1137" i="2"/>
  <c r="G1137" i="2"/>
  <c r="F1137" i="2"/>
  <c r="E1137" i="2"/>
  <c r="D1137" i="2"/>
  <c r="C1137" i="2"/>
  <c r="B1137" i="2"/>
  <c r="A1137" i="2"/>
  <c r="H1136" i="2"/>
  <c r="G1136" i="2"/>
  <c r="F1136" i="2"/>
  <c r="E1136" i="2"/>
  <c r="D1136" i="2"/>
  <c r="C1136" i="2"/>
  <c r="B1136" i="2"/>
  <c r="A1136" i="2"/>
  <c r="H1135" i="2"/>
  <c r="G1135" i="2"/>
  <c r="F1135" i="2"/>
  <c r="E1135" i="2"/>
  <c r="D1135" i="2"/>
  <c r="C1135" i="2"/>
  <c r="B1135" i="2"/>
  <c r="A1135" i="2"/>
  <c r="H1134" i="2"/>
  <c r="G1134" i="2"/>
  <c r="F1134" i="2"/>
  <c r="E1134" i="2"/>
  <c r="D1134" i="2"/>
  <c r="C1134" i="2"/>
  <c r="B1134" i="2"/>
  <c r="A1134" i="2"/>
  <c r="H1133" i="2"/>
  <c r="G1133" i="2"/>
  <c r="F1133" i="2"/>
  <c r="E1133" i="2"/>
  <c r="D1133" i="2"/>
  <c r="C1133" i="2"/>
  <c r="B1133" i="2"/>
  <c r="A1133" i="2"/>
  <c r="H1132" i="2"/>
  <c r="G1132" i="2"/>
  <c r="F1132" i="2"/>
  <c r="E1132" i="2"/>
  <c r="D1132" i="2"/>
  <c r="C1132" i="2"/>
  <c r="B1132" i="2"/>
  <c r="A1132" i="2"/>
  <c r="H1131" i="2"/>
  <c r="G1131" i="2"/>
  <c r="F1131" i="2"/>
  <c r="E1131" i="2"/>
  <c r="D1131" i="2"/>
  <c r="C1131" i="2"/>
  <c r="B1131" i="2"/>
  <c r="A1131" i="2"/>
  <c r="H1130" i="2"/>
  <c r="G1130" i="2"/>
  <c r="F1130" i="2"/>
  <c r="E1130" i="2"/>
  <c r="D1130" i="2"/>
  <c r="C1130" i="2"/>
  <c r="B1130" i="2"/>
  <c r="A1130" i="2"/>
  <c r="H1129" i="2"/>
  <c r="G1129" i="2"/>
  <c r="F1129" i="2"/>
  <c r="E1129" i="2"/>
  <c r="D1129" i="2"/>
  <c r="C1129" i="2"/>
  <c r="B1129" i="2"/>
  <c r="A1129" i="2"/>
  <c r="H1128" i="2"/>
  <c r="G1128" i="2"/>
  <c r="F1128" i="2"/>
  <c r="E1128" i="2"/>
  <c r="D1128" i="2"/>
  <c r="C1128" i="2"/>
  <c r="B1128" i="2"/>
  <c r="A1128" i="2"/>
  <c r="H1127" i="2"/>
  <c r="G1127" i="2"/>
  <c r="F1127" i="2"/>
  <c r="E1127" i="2"/>
  <c r="D1127" i="2"/>
  <c r="C1127" i="2"/>
  <c r="B1127" i="2"/>
  <c r="A1127" i="2"/>
  <c r="H1126" i="2"/>
  <c r="G1126" i="2"/>
  <c r="F1126" i="2"/>
  <c r="E1126" i="2"/>
  <c r="D1126" i="2"/>
  <c r="C1126" i="2"/>
  <c r="B1126" i="2"/>
  <c r="A1126" i="2"/>
  <c r="H1125" i="2"/>
  <c r="G1125" i="2"/>
  <c r="F1125" i="2"/>
  <c r="E1125" i="2"/>
  <c r="D1125" i="2"/>
  <c r="C1125" i="2"/>
  <c r="B1125" i="2"/>
  <c r="A1125" i="2"/>
  <c r="H1124" i="2"/>
  <c r="G1124" i="2"/>
  <c r="F1124" i="2"/>
  <c r="E1124" i="2"/>
  <c r="D1124" i="2"/>
  <c r="C1124" i="2"/>
  <c r="B1124" i="2"/>
  <c r="A1124" i="2"/>
  <c r="H1123" i="2"/>
  <c r="G1123" i="2"/>
  <c r="F1123" i="2"/>
  <c r="E1123" i="2"/>
  <c r="D1123" i="2"/>
  <c r="C1123" i="2"/>
  <c r="B1123" i="2"/>
  <c r="A1123" i="2"/>
  <c r="H1122" i="2"/>
  <c r="G1122" i="2"/>
  <c r="F1122" i="2"/>
  <c r="E1122" i="2"/>
  <c r="D1122" i="2"/>
  <c r="C1122" i="2"/>
  <c r="B1122" i="2"/>
  <c r="A1122" i="2"/>
  <c r="H1121" i="2"/>
  <c r="G1121" i="2"/>
  <c r="F1121" i="2"/>
  <c r="E1121" i="2"/>
  <c r="D1121" i="2"/>
  <c r="C1121" i="2"/>
  <c r="B1121" i="2"/>
  <c r="A1121" i="2"/>
  <c r="H1120" i="2"/>
  <c r="G1120" i="2"/>
  <c r="F1120" i="2"/>
  <c r="E1120" i="2"/>
  <c r="D1120" i="2"/>
  <c r="C1120" i="2"/>
  <c r="B1120" i="2"/>
  <c r="A1120" i="2"/>
  <c r="H1119" i="2"/>
  <c r="G1119" i="2"/>
  <c r="F1119" i="2"/>
  <c r="E1119" i="2"/>
  <c r="D1119" i="2"/>
  <c r="C1119" i="2"/>
  <c r="B1119" i="2"/>
  <c r="A1119" i="2"/>
  <c r="H1118" i="2"/>
  <c r="G1118" i="2"/>
  <c r="F1118" i="2"/>
  <c r="E1118" i="2"/>
  <c r="D1118" i="2"/>
  <c r="C1118" i="2"/>
  <c r="B1118" i="2"/>
  <c r="A1118" i="2"/>
  <c r="H1117" i="2"/>
  <c r="G1117" i="2"/>
  <c r="F1117" i="2"/>
  <c r="E1117" i="2"/>
  <c r="D1117" i="2"/>
  <c r="C1117" i="2"/>
  <c r="B1117" i="2"/>
  <c r="A1117" i="2"/>
  <c r="H1116" i="2"/>
  <c r="G1116" i="2"/>
  <c r="F1116" i="2"/>
  <c r="E1116" i="2"/>
  <c r="D1116" i="2"/>
  <c r="C1116" i="2"/>
  <c r="B1116" i="2"/>
  <c r="A1116" i="2"/>
  <c r="H1115" i="2"/>
  <c r="G1115" i="2"/>
  <c r="F1115" i="2"/>
  <c r="E1115" i="2"/>
  <c r="D1115" i="2"/>
  <c r="C1115" i="2"/>
  <c r="B1115" i="2"/>
  <c r="A1115" i="2"/>
  <c r="H1114" i="2"/>
  <c r="G1114" i="2"/>
  <c r="F1114" i="2"/>
  <c r="E1114" i="2"/>
  <c r="D1114" i="2"/>
  <c r="C1114" i="2"/>
  <c r="B1114" i="2"/>
  <c r="A1114" i="2"/>
  <c r="H1113" i="2"/>
  <c r="G1113" i="2"/>
  <c r="F1113" i="2"/>
  <c r="E1113" i="2"/>
  <c r="D1113" i="2"/>
  <c r="C1113" i="2"/>
  <c r="B1113" i="2"/>
  <c r="A1113" i="2"/>
  <c r="H1112" i="2"/>
  <c r="G1112" i="2"/>
  <c r="F1112" i="2"/>
  <c r="E1112" i="2"/>
  <c r="D1112" i="2"/>
  <c r="C1112" i="2"/>
  <c r="B1112" i="2"/>
  <c r="A1112" i="2"/>
  <c r="H1111" i="2"/>
  <c r="G1111" i="2"/>
  <c r="F1111" i="2"/>
  <c r="E1111" i="2"/>
  <c r="D1111" i="2"/>
  <c r="C1111" i="2"/>
  <c r="B1111" i="2"/>
  <c r="A1111" i="2"/>
  <c r="H1110" i="2"/>
  <c r="G1110" i="2"/>
  <c r="F1110" i="2"/>
  <c r="E1110" i="2"/>
  <c r="D1110" i="2"/>
  <c r="C1110" i="2"/>
  <c r="B1110" i="2"/>
  <c r="A1110" i="2"/>
  <c r="H1109" i="2"/>
  <c r="G1109" i="2"/>
  <c r="F1109" i="2"/>
  <c r="E1109" i="2"/>
  <c r="D1109" i="2"/>
  <c r="C1109" i="2"/>
  <c r="B1109" i="2"/>
  <c r="A1109" i="2"/>
  <c r="H1108" i="2"/>
  <c r="G1108" i="2"/>
  <c r="F1108" i="2"/>
  <c r="E1108" i="2"/>
  <c r="D1108" i="2"/>
  <c r="C1108" i="2"/>
  <c r="B1108" i="2"/>
  <c r="A1108" i="2"/>
  <c r="H1107" i="2"/>
  <c r="G1107" i="2"/>
  <c r="F1107" i="2"/>
  <c r="E1107" i="2"/>
  <c r="D1107" i="2"/>
  <c r="C1107" i="2"/>
  <c r="B1107" i="2"/>
  <c r="A1107" i="2"/>
  <c r="H1106" i="2"/>
  <c r="G1106" i="2"/>
  <c r="F1106" i="2"/>
  <c r="E1106" i="2"/>
  <c r="D1106" i="2"/>
  <c r="C1106" i="2"/>
  <c r="B1106" i="2"/>
  <c r="A1106" i="2"/>
  <c r="H1105" i="2"/>
  <c r="G1105" i="2"/>
  <c r="F1105" i="2"/>
  <c r="E1105" i="2"/>
  <c r="D1105" i="2"/>
  <c r="C1105" i="2"/>
  <c r="B1105" i="2"/>
  <c r="A1105" i="2"/>
  <c r="H1104" i="2"/>
  <c r="G1104" i="2"/>
  <c r="F1104" i="2"/>
  <c r="E1104" i="2"/>
  <c r="D1104" i="2"/>
  <c r="C1104" i="2"/>
  <c r="B1104" i="2"/>
  <c r="A1104" i="2"/>
  <c r="H1103" i="2"/>
  <c r="G1103" i="2"/>
  <c r="F1103" i="2"/>
  <c r="E1103" i="2"/>
  <c r="D1103" i="2"/>
  <c r="C1103" i="2"/>
  <c r="B1103" i="2"/>
  <c r="A1103" i="2"/>
  <c r="H1102" i="2"/>
  <c r="G1102" i="2"/>
  <c r="F1102" i="2"/>
  <c r="E1102" i="2"/>
  <c r="D1102" i="2"/>
  <c r="C1102" i="2"/>
  <c r="B1102" i="2"/>
  <c r="A1102" i="2"/>
  <c r="H1101" i="2"/>
  <c r="G1101" i="2"/>
  <c r="F1101" i="2"/>
  <c r="E1101" i="2"/>
  <c r="D1101" i="2"/>
  <c r="C1101" i="2"/>
  <c r="B1101" i="2"/>
  <c r="A1101" i="2"/>
  <c r="H1100" i="2"/>
  <c r="G1100" i="2"/>
  <c r="F1100" i="2"/>
  <c r="E1100" i="2"/>
  <c r="D1100" i="2"/>
  <c r="C1100" i="2"/>
  <c r="B1100" i="2"/>
  <c r="A1100" i="2"/>
  <c r="H1099" i="2"/>
  <c r="G1099" i="2"/>
  <c r="F1099" i="2"/>
  <c r="E1099" i="2"/>
  <c r="D1099" i="2"/>
  <c r="C1099" i="2"/>
  <c r="B1099" i="2"/>
  <c r="A1099" i="2"/>
  <c r="H1098" i="2"/>
  <c r="G1098" i="2"/>
  <c r="F1098" i="2"/>
  <c r="E1098" i="2"/>
  <c r="D1098" i="2"/>
  <c r="C1098" i="2"/>
  <c r="B1098" i="2"/>
  <c r="A1098" i="2"/>
  <c r="H1097" i="2"/>
  <c r="G1097" i="2"/>
  <c r="F1097" i="2"/>
  <c r="E1097" i="2"/>
  <c r="D1097" i="2"/>
  <c r="C1097" i="2"/>
  <c r="B1097" i="2"/>
  <c r="A1097" i="2"/>
  <c r="H1096" i="2"/>
  <c r="G1096" i="2"/>
  <c r="F1096" i="2"/>
  <c r="E1096" i="2"/>
  <c r="D1096" i="2"/>
  <c r="C1096" i="2"/>
  <c r="B1096" i="2"/>
  <c r="A1096" i="2"/>
  <c r="H1095" i="2"/>
  <c r="G1095" i="2"/>
  <c r="F1095" i="2"/>
  <c r="E1095" i="2"/>
  <c r="D1095" i="2"/>
  <c r="C1095" i="2"/>
  <c r="B1095" i="2"/>
  <c r="A1095" i="2"/>
  <c r="H1094" i="2"/>
  <c r="G1094" i="2"/>
  <c r="F1094" i="2"/>
  <c r="E1094" i="2"/>
  <c r="D1094" i="2"/>
  <c r="C1094" i="2"/>
  <c r="B1094" i="2"/>
  <c r="A1094" i="2"/>
  <c r="H1093" i="2"/>
  <c r="G1093" i="2"/>
  <c r="F1093" i="2"/>
  <c r="E1093" i="2"/>
  <c r="D1093" i="2"/>
  <c r="C1093" i="2"/>
  <c r="B1093" i="2"/>
  <c r="A1093" i="2"/>
  <c r="H1092" i="2"/>
  <c r="G1092" i="2"/>
  <c r="F1092" i="2"/>
  <c r="E1092" i="2"/>
  <c r="D1092" i="2"/>
  <c r="C1092" i="2"/>
  <c r="B1092" i="2"/>
  <c r="A1092" i="2"/>
  <c r="H1091" i="2"/>
  <c r="G1091" i="2"/>
  <c r="F1091" i="2"/>
  <c r="E1091" i="2"/>
  <c r="D1091" i="2"/>
  <c r="C1091" i="2"/>
  <c r="B1091" i="2"/>
  <c r="A1091" i="2"/>
  <c r="H1090" i="2"/>
  <c r="G1090" i="2"/>
  <c r="F1090" i="2"/>
  <c r="E1090" i="2"/>
  <c r="D1090" i="2"/>
  <c r="C1090" i="2"/>
  <c r="B1090" i="2"/>
  <c r="A1090" i="2"/>
  <c r="H1089" i="2"/>
  <c r="G1089" i="2"/>
  <c r="F1089" i="2"/>
  <c r="E1089" i="2"/>
  <c r="D1089" i="2"/>
  <c r="C1089" i="2"/>
  <c r="B1089" i="2"/>
  <c r="A1089" i="2"/>
  <c r="H1088" i="2"/>
  <c r="G1088" i="2"/>
  <c r="F1088" i="2"/>
  <c r="E1088" i="2"/>
  <c r="D1088" i="2"/>
  <c r="C1088" i="2"/>
  <c r="B1088" i="2"/>
  <c r="A1088" i="2"/>
  <c r="H1087" i="2"/>
  <c r="G1087" i="2"/>
  <c r="F1087" i="2"/>
  <c r="E1087" i="2"/>
  <c r="D1087" i="2"/>
  <c r="C1087" i="2"/>
  <c r="B1087" i="2"/>
  <c r="A1087" i="2"/>
  <c r="H1086" i="2"/>
  <c r="G1086" i="2"/>
  <c r="F1086" i="2"/>
  <c r="E1086" i="2"/>
  <c r="D1086" i="2"/>
  <c r="C1086" i="2"/>
  <c r="B1086" i="2"/>
  <c r="A1086" i="2"/>
  <c r="H1085" i="2"/>
  <c r="G1085" i="2"/>
  <c r="F1085" i="2"/>
  <c r="E1085" i="2"/>
  <c r="D1085" i="2"/>
  <c r="C1085" i="2"/>
  <c r="B1085" i="2"/>
  <c r="A1085" i="2"/>
  <c r="H1084" i="2"/>
  <c r="G1084" i="2"/>
  <c r="F1084" i="2"/>
  <c r="E1084" i="2"/>
  <c r="D1084" i="2"/>
  <c r="C1084" i="2"/>
  <c r="B1084" i="2"/>
  <c r="A1084" i="2"/>
  <c r="H1083" i="2"/>
  <c r="G1083" i="2"/>
  <c r="F1083" i="2"/>
  <c r="E1083" i="2"/>
  <c r="D1083" i="2"/>
  <c r="C1083" i="2"/>
  <c r="B1083" i="2"/>
  <c r="A1083" i="2"/>
  <c r="H1082" i="2"/>
  <c r="G1082" i="2"/>
  <c r="F1082" i="2"/>
  <c r="E1082" i="2"/>
  <c r="D1082" i="2"/>
  <c r="C1082" i="2"/>
  <c r="B1082" i="2"/>
  <c r="A1082" i="2"/>
  <c r="H1081" i="2"/>
  <c r="G1081" i="2"/>
  <c r="F1081" i="2"/>
  <c r="E1081" i="2"/>
  <c r="D1081" i="2"/>
  <c r="C1081" i="2"/>
  <c r="B1081" i="2"/>
  <c r="A1081" i="2"/>
  <c r="H1080" i="2"/>
  <c r="G1080" i="2"/>
  <c r="F1080" i="2"/>
  <c r="E1080" i="2"/>
  <c r="D1080" i="2"/>
  <c r="C1080" i="2"/>
  <c r="B1080" i="2"/>
  <c r="A1080" i="2"/>
  <c r="H1079" i="2"/>
  <c r="G1079" i="2"/>
  <c r="F1079" i="2"/>
  <c r="E1079" i="2"/>
  <c r="D1079" i="2"/>
  <c r="C1079" i="2"/>
  <c r="B1079" i="2"/>
  <c r="A1079" i="2"/>
  <c r="H1078" i="2"/>
  <c r="G1078" i="2"/>
  <c r="F1078" i="2"/>
  <c r="E1078" i="2"/>
  <c r="D1078" i="2"/>
  <c r="C1078" i="2"/>
  <c r="B1078" i="2"/>
  <c r="A1078" i="2"/>
  <c r="H1077" i="2"/>
  <c r="G1077" i="2"/>
  <c r="F1077" i="2"/>
  <c r="E1077" i="2"/>
  <c r="D1077" i="2"/>
  <c r="C1077" i="2"/>
  <c r="B1077" i="2"/>
  <c r="A1077" i="2"/>
  <c r="H1076" i="2"/>
  <c r="G1076" i="2"/>
  <c r="F1076" i="2"/>
  <c r="E1076" i="2"/>
  <c r="D1076" i="2"/>
  <c r="C1076" i="2"/>
  <c r="B1076" i="2"/>
  <c r="A1076" i="2"/>
  <c r="H1075" i="2"/>
  <c r="G1075" i="2"/>
  <c r="F1075" i="2"/>
  <c r="E1075" i="2"/>
  <c r="D1075" i="2"/>
  <c r="C1075" i="2"/>
  <c r="B1075" i="2"/>
  <c r="A1075" i="2"/>
  <c r="H1074" i="2"/>
  <c r="G1074" i="2"/>
  <c r="F1074" i="2"/>
  <c r="E1074" i="2"/>
  <c r="D1074" i="2"/>
  <c r="C1074" i="2"/>
  <c r="B1074" i="2"/>
  <c r="A1074" i="2"/>
  <c r="H1073" i="2"/>
  <c r="G1073" i="2"/>
  <c r="F1073" i="2"/>
  <c r="E1073" i="2"/>
  <c r="D1073" i="2"/>
  <c r="C1073" i="2"/>
  <c r="B1073" i="2"/>
  <c r="A1073" i="2"/>
  <c r="H1072" i="2"/>
  <c r="G1072" i="2"/>
  <c r="F1072" i="2"/>
  <c r="E1072" i="2"/>
  <c r="D1072" i="2"/>
  <c r="C1072" i="2"/>
  <c r="B1072" i="2"/>
  <c r="A1072" i="2"/>
  <c r="H1071" i="2"/>
  <c r="G1071" i="2"/>
  <c r="F1071" i="2"/>
  <c r="E1071" i="2"/>
  <c r="D1071" i="2"/>
  <c r="C1071" i="2"/>
  <c r="B1071" i="2"/>
  <c r="A1071" i="2"/>
  <c r="H1070" i="2"/>
  <c r="G1070" i="2"/>
  <c r="F1070" i="2"/>
  <c r="E1070" i="2"/>
  <c r="D1070" i="2"/>
  <c r="C1070" i="2"/>
  <c r="B1070" i="2"/>
  <c r="A1070" i="2"/>
  <c r="H1069" i="2"/>
  <c r="G1069" i="2"/>
  <c r="F1069" i="2"/>
  <c r="E1069" i="2"/>
  <c r="D1069" i="2"/>
  <c r="C1069" i="2"/>
  <c r="B1069" i="2"/>
  <c r="A1069" i="2"/>
  <c r="H1068" i="2"/>
  <c r="G1068" i="2"/>
  <c r="F1068" i="2"/>
  <c r="E1068" i="2"/>
  <c r="D1068" i="2"/>
  <c r="C1068" i="2"/>
  <c r="B1068" i="2"/>
  <c r="A1068" i="2"/>
  <c r="H1067" i="2"/>
  <c r="G1067" i="2"/>
  <c r="F1067" i="2"/>
  <c r="E1067" i="2"/>
  <c r="D1067" i="2"/>
  <c r="C1067" i="2"/>
  <c r="B1067" i="2"/>
  <c r="A1067" i="2"/>
  <c r="H1066" i="2"/>
  <c r="G1066" i="2"/>
  <c r="F1066" i="2"/>
  <c r="E1066" i="2"/>
  <c r="D1066" i="2"/>
  <c r="C1066" i="2"/>
  <c r="B1066" i="2"/>
  <c r="A1066" i="2"/>
  <c r="H1065" i="2"/>
  <c r="G1065" i="2"/>
  <c r="F1065" i="2"/>
  <c r="E1065" i="2"/>
  <c r="D1065" i="2"/>
  <c r="C1065" i="2"/>
  <c r="B1065" i="2"/>
  <c r="A1065" i="2"/>
  <c r="H1064" i="2"/>
  <c r="G1064" i="2"/>
  <c r="F1064" i="2"/>
  <c r="E1064" i="2"/>
  <c r="D1064" i="2"/>
  <c r="C1064" i="2"/>
  <c r="B1064" i="2"/>
  <c r="A1064" i="2"/>
  <c r="H1063" i="2"/>
  <c r="G1063" i="2"/>
  <c r="F1063" i="2"/>
  <c r="E1063" i="2"/>
  <c r="D1063" i="2"/>
  <c r="C1063" i="2"/>
  <c r="B1063" i="2"/>
  <c r="A1063" i="2"/>
  <c r="H1062" i="2"/>
  <c r="G1062" i="2"/>
  <c r="F1062" i="2"/>
  <c r="E1062" i="2"/>
  <c r="D1062" i="2"/>
  <c r="C1062" i="2"/>
  <c r="B1062" i="2"/>
  <c r="A1062" i="2"/>
  <c r="H1061" i="2"/>
  <c r="G1061" i="2"/>
  <c r="F1061" i="2"/>
  <c r="E1061" i="2"/>
  <c r="D1061" i="2"/>
  <c r="C1061" i="2"/>
  <c r="B1061" i="2"/>
  <c r="A1061" i="2"/>
  <c r="H1060" i="2"/>
  <c r="G1060" i="2"/>
  <c r="F1060" i="2"/>
  <c r="E1060" i="2"/>
  <c r="D1060" i="2"/>
  <c r="C1060" i="2"/>
  <c r="B1060" i="2"/>
  <c r="A1060" i="2"/>
  <c r="H1059" i="2"/>
  <c r="G1059" i="2"/>
  <c r="F1059" i="2"/>
  <c r="E1059" i="2"/>
  <c r="D1059" i="2"/>
  <c r="C1059" i="2"/>
  <c r="B1059" i="2"/>
  <c r="A1059" i="2"/>
  <c r="H1058" i="2"/>
  <c r="G1058" i="2"/>
  <c r="F1058" i="2"/>
  <c r="E1058" i="2"/>
  <c r="D1058" i="2"/>
  <c r="C1058" i="2"/>
  <c r="B1058" i="2"/>
  <c r="A1058" i="2"/>
  <c r="H1057" i="2"/>
  <c r="G1057" i="2"/>
  <c r="F1057" i="2"/>
  <c r="E1057" i="2"/>
  <c r="D1057" i="2"/>
  <c r="C1057" i="2"/>
  <c r="B1057" i="2"/>
  <c r="A1057" i="2"/>
  <c r="H1056" i="2"/>
  <c r="G1056" i="2"/>
  <c r="F1056" i="2"/>
  <c r="E1056" i="2"/>
  <c r="D1056" i="2"/>
  <c r="C1056" i="2"/>
  <c r="B1056" i="2"/>
  <c r="A1056" i="2"/>
  <c r="H1055" i="2"/>
  <c r="G1055" i="2"/>
  <c r="F1055" i="2"/>
  <c r="E1055" i="2"/>
  <c r="D1055" i="2"/>
  <c r="C1055" i="2"/>
  <c r="B1055" i="2"/>
  <c r="A1055" i="2"/>
  <c r="H1054" i="2"/>
  <c r="G1054" i="2"/>
  <c r="F1054" i="2"/>
  <c r="E1054" i="2"/>
  <c r="D1054" i="2"/>
  <c r="C1054" i="2"/>
  <c r="B1054" i="2"/>
  <c r="A1054" i="2"/>
  <c r="H1053" i="2"/>
  <c r="G1053" i="2"/>
  <c r="F1053" i="2"/>
  <c r="E1053" i="2"/>
  <c r="D1053" i="2"/>
  <c r="C1053" i="2"/>
  <c r="B1053" i="2"/>
  <c r="A1053" i="2"/>
  <c r="H1052" i="2"/>
  <c r="G1052" i="2"/>
  <c r="F1052" i="2"/>
  <c r="E1052" i="2"/>
  <c r="D1052" i="2"/>
  <c r="C1052" i="2"/>
  <c r="B1052" i="2"/>
  <c r="A1052" i="2"/>
  <c r="H1051" i="2"/>
  <c r="G1051" i="2"/>
  <c r="F1051" i="2"/>
  <c r="E1051" i="2"/>
  <c r="D1051" i="2"/>
  <c r="C1051" i="2"/>
  <c r="B1051" i="2"/>
  <c r="A1051" i="2"/>
  <c r="H1050" i="2"/>
  <c r="G1050" i="2"/>
  <c r="F1050" i="2"/>
  <c r="E1050" i="2"/>
  <c r="D1050" i="2"/>
  <c r="C1050" i="2"/>
  <c r="B1050" i="2"/>
  <c r="A1050" i="2"/>
  <c r="H1049" i="2"/>
  <c r="G1049" i="2"/>
  <c r="F1049" i="2"/>
  <c r="E1049" i="2"/>
  <c r="D1049" i="2"/>
  <c r="C1049" i="2"/>
  <c r="B1049" i="2"/>
  <c r="A1049" i="2"/>
  <c r="H1048" i="2"/>
  <c r="G1048" i="2"/>
  <c r="F1048" i="2"/>
  <c r="E1048" i="2"/>
  <c r="D1048" i="2"/>
  <c r="C1048" i="2"/>
  <c r="B1048" i="2"/>
  <c r="A1048" i="2"/>
  <c r="H1047" i="2"/>
  <c r="G1047" i="2"/>
  <c r="F1047" i="2"/>
  <c r="E1047" i="2"/>
  <c r="D1047" i="2"/>
  <c r="C1047" i="2"/>
  <c r="B1047" i="2"/>
  <c r="A1047" i="2"/>
  <c r="H1046" i="2"/>
  <c r="G1046" i="2"/>
  <c r="F1046" i="2"/>
  <c r="E1046" i="2"/>
  <c r="D1046" i="2"/>
  <c r="C1046" i="2"/>
  <c r="B1046" i="2"/>
  <c r="A1046" i="2"/>
  <c r="H1045" i="2"/>
  <c r="G1045" i="2"/>
  <c r="F1045" i="2"/>
  <c r="E1045" i="2"/>
  <c r="D1045" i="2"/>
  <c r="C1045" i="2"/>
  <c r="B1045" i="2"/>
  <c r="A1045" i="2"/>
  <c r="H1044" i="2"/>
  <c r="G1044" i="2"/>
  <c r="F1044" i="2"/>
  <c r="E1044" i="2"/>
  <c r="D1044" i="2"/>
  <c r="C1044" i="2"/>
  <c r="B1044" i="2"/>
  <c r="A1044" i="2"/>
  <c r="H1043" i="2"/>
  <c r="G1043" i="2"/>
  <c r="F1043" i="2"/>
  <c r="E1043" i="2"/>
  <c r="D1043" i="2"/>
  <c r="C1043" i="2"/>
  <c r="B1043" i="2"/>
  <c r="A1043" i="2"/>
  <c r="H1042" i="2"/>
  <c r="G1042" i="2"/>
  <c r="F1042" i="2"/>
  <c r="E1042" i="2"/>
  <c r="D1042" i="2"/>
  <c r="C1042" i="2"/>
  <c r="B1042" i="2"/>
  <c r="A1042" i="2"/>
  <c r="H1041" i="2"/>
  <c r="G1041" i="2"/>
  <c r="F1041" i="2"/>
  <c r="E1041" i="2"/>
  <c r="D1041" i="2"/>
  <c r="C1041" i="2"/>
  <c r="B1041" i="2"/>
  <c r="A1041" i="2"/>
  <c r="H1040" i="2"/>
  <c r="G1040" i="2"/>
  <c r="F1040" i="2"/>
  <c r="E1040" i="2"/>
  <c r="D1040" i="2"/>
  <c r="C1040" i="2"/>
  <c r="B1040" i="2"/>
  <c r="A1040" i="2"/>
  <c r="H1039" i="2"/>
  <c r="G1039" i="2"/>
  <c r="F1039" i="2"/>
  <c r="E1039" i="2"/>
  <c r="D1039" i="2"/>
  <c r="C1039" i="2"/>
  <c r="B1039" i="2"/>
  <c r="A1039" i="2"/>
  <c r="H1038" i="2"/>
  <c r="G1038" i="2"/>
  <c r="F1038" i="2"/>
  <c r="E1038" i="2"/>
  <c r="D1038" i="2"/>
  <c r="C1038" i="2"/>
  <c r="B1038" i="2"/>
  <c r="A1038" i="2"/>
  <c r="H1037" i="2"/>
  <c r="G1037" i="2"/>
  <c r="F1037" i="2"/>
  <c r="E1037" i="2"/>
  <c r="D1037" i="2"/>
  <c r="C1037" i="2"/>
  <c r="B1037" i="2"/>
  <c r="A1037" i="2"/>
  <c r="H1036" i="2"/>
  <c r="G1036" i="2"/>
  <c r="F1036" i="2"/>
  <c r="E1036" i="2"/>
  <c r="D1036" i="2"/>
  <c r="C1036" i="2"/>
  <c r="B1036" i="2"/>
  <c r="A1036" i="2"/>
  <c r="H1035" i="2"/>
  <c r="G1035" i="2"/>
  <c r="F1035" i="2"/>
  <c r="E1035" i="2"/>
  <c r="D1035" i="2"/>
  <c r="C1035" i="2"/>
  <c r="B1035" i="2"/>
  <c r="A1035" i="2"/>
  <c r="H1034" i="2"/>
  <c r="G1034" i="2"/>
  <c r="F1034" i="2"/>
  <c r="E1034" i="2"/>
  <c r="D1034" i="2"/>
  <c r="C1034" i="2"/>
  <c r="B1034" i="2"/>
  <c r="A1034" i="2"/>
  <c r="H1033" i="2"/>
  <c r="G1033" i="2"/>
  <c r="F1033" i="2"/>
  <c r="E1033" i="2"/>
  <c r="D1033" i="2"/>
  <c r="C1033" i="2"/>
  <c r="B1033" i="2"/>
  <c r="A1033" i="2"/>
  <c r="H1032" i="2"/>
  <c r="G1032" i="2"/>
  <c r="F1032" i="2"/>
  <c r="E1032" i="2"/>
  <c r="D1032" i="2"/>
  <c r="C1032" i="2"/>
  <c r="B1032" i="2"/>
  <c r="A1032" i="2"/>
  <c r="H1031" i="2"/>
  <c r="G1031" i="2"/>
  <c r="F1031" i="2"/>
  <c r="E1031" i="2"/>
  <c r="D1031" i="2"/>
  <c r="C1031" i="2"/>
  <c r="B1031" i="2"/>
  <c r="A1031" i="2"/>
  <c r="H1030" i="2"/>
  <c r="G1030" i="2"/>
  <c r="F1030" i="2"/>
  <c r="E1030" i="2"/>
  <c r="D1030" i="2"/>
  <c r="C1030" i="2"/>
  <c r="B1030" i="2"/>
  <c r="A1030" i="2"/>
  <c r="H1029" i="2"/>
  <c r="G1029" i="2"/>
  <c r="F1029" i="2"/>
  <c r="E1029" i="2"/>
  <c r="D1029" i="2"/>
  <c r="C1029" i="2"/>
  <c r="B1029" i="2"/>
  <c r="A1029" i="2"/>
  <c r="H1028" i="2"/>
  <c r="G1028" i="2"/>
  <c r="F1028" i="2"/>
  <c r="E1028" i="2"/>
  <c r="D1028" i="2"/>
  <c r="C1028" i="2"/>
  <c r="B1028" i="2"/>
  <c r="A1028" i="2"/>
  <c r="H1027" i="2"/>
  <c r="G1027" i="2"/>
  <c r="F1027" i="2"/>
  <c r="E1027" i="2"/>
  <c r="D1027" i="2"/>
  <c r="C1027" i="2"/>
  <c r="B1027" i="2"/>
  <c r="A1027" i="2"/>
  <c r="H1026" i="2"/>
  <c r="G1026" i="2"/>
  <c r="F1026" i="2"/>
  <c r="E1026" i="2"/>
  <c r="D1026" i="2"/>
  <c r="C1026" i="2"/>
  <c r="B1026" i="2"/>
  <c r="A1026" i="2"/>
  <c r="H1025" i="2"/>
  <c r="G1025" i="2"/>
  <c r="F1025" i="2"/>
  <c r="E1025" i="2"/>
  <c r="D1025" i="2"/>
  <c r="C1025" i="2"/>
  <c r="B1025" i="2"/>
  <c r="A1025" i="2"/>
  <c r="H1024" i="2"/>
  <c r="G1024" i="2"/>
  <c r="F1024" i="2"/>
  <c r="E1024" i="2"/>
  <c r="D1024" i="2"/>
  <c r="C1024" i="2"/>
  <c r="B1024" i="2"/>
  <c r="A1024" i="2"/>
  <c r="H1023" i="2"/>
  <c r="G1023" i="2"/>
  <c r="F1023" i="2"/>
  <c r="E1023" i="2"/>
  <c r="D1023" i="2"/>
  <c r="C1023" i="2"/>
  <c r="B1023" i="2"/>
  <c r="A1023" i="2"/>
  <c r="H1022" i="2"/>
  <c r="G1022" i="2"/>
  <c r="F1022" i="2"/>
  <c r="E1022" i="2"/>
  <c r="D1022" i="2"/>
  <c r="C1022" i="2"/>
  <c r="B1022" i="2"/>
  <c r="A1022" i="2"/>
  <c r="H1021" i="2"/>
  <c r="G1021" i="2"/>
  <c r="F1021" i="2"/>
  <c r="E1021" i="2"/>
  <c r="D1021" i="2"/>
  <c r="C1021" i="2"/>
  <c r="B1021" i="2"/>
  <c r="A1021" i="2"/>
  <c r="H1020" i="2"/>
  <c r="G1020" i="2"/>
  <c r="F1020" i="2"/>
  <c r="E1020" i="2"/>
  <c r="D1020" i="2"/>
  <c r="C1020" i="2"/>
  <c r="B1020" i="2"/>
  <c r="A1020" i="2"/>
  <c r="H1019" i="2"/>
  <c r="G1019" i="2"/>
  <c r="F1019" i="2"/>
  <c r="E1019" i="2"/>
  <c r="D1019" i="2"/>
  <c r="C1019" i="2"/>
  <c r="B1019" i="2"/>
  <c r="A1019" i="2"/>
  <c r="H1018" i="2"/>
  <c r="G1018" i="2"/>
  <c r="F1018" i="2"/>
  <c r="E1018" i="2"/>
  <c r="D1018" i="2"/>
  <c r="C1018" i="2"/>
  <c r="B1018" i="2"/>
  <c r="A1018" i="2"/>
  <c r="H1017" i="2"/>
  <c r="G1017" i="2"/>
  <c r="F1017" i="2"/>
  <c r="E1017" i="2"/>
  <c r="D1017" i="2"/>
  <c r="C1017" i="2"/>
  <c r="B1017" i="2"/>
  <c r="A1017" i="2"/>
  <c r="H1016" i="2"/>
  <c r="G1016" i="2"/>
  <c r="F1016" i="2"/>
  <c r="E1016" i="2"/>
  <c r="D1016" i="2"/>
  <c r="C1016" i="2"/>
  <c r="B1016" i="2"/>
  <c r="A1016" i="2"/>
  <c r="H1015" i="2"/>
  <c r="G1015" i="2"/>
  <c r="F1015" i="2"/>
  <c r="E1015" i="2"/>
  <c r="D1015" i="2"/>
  <c r="C1015" i="2"/>
  <c r="B1015" i="2"/>
  <c r="A1015" i="2"/>
  <c r="H1014" i="2"/>
  <c r="G1014" i="2"/>
  <c r="F1014" i="2"/>
  <c r="E1014" i="2"/>
  <c r="D1014" i="2"/>
  <c r="C1014" i="2"/>
  <c r="B1014" i="2"/>
  <c r="A1014" i="2"/>
  <c r="H1013" i="2"/>
  <c r="G1013" i="2"/>
  <c r="F1013" i="2"/>
  <c r="E1013" i="2"/>
  <c r="D1013" i="2"/>
  <c r="C1013" i="2"/>
  <c r="B1013" i="2"/>
  <c r="A1013" i="2"/>
  <c r="H1012" i="2"/>
  <c r="G1012" i="2"/>
  <c r="F1012" i="2"/>
  <c r="E1012" i="2"/>
  <c r="D1012" i="2"/>
  <c r="C1012" i="2"/>
  <c r="B1012" i="2"/>
  <c r="A1012" i="2"/>
  <c r="H1011" i="2"/>
  <c r="G1011" i="2"/>
  <c r="F1011" i="2"/>
  <c r="E1011" i="2"/>
  <c r="D1011" i="2"/>
  <c r="C1011" i="2"/>
  <c r="B1011" i="2"/>
  <c r="A1011" i="2"/>
  <c r="H1010" i="2"/>
  <c r="G1010" i="2"/>
  <c r="F1010" i="2"/>
  <c r="E1010" i="2"/>
  <c r="D1010" i="2"/>
  <c r="C1010" i="2"/>
  <c r="B1010" i="2"/>
  <c r="A1010" i="2"/>
  <c r="H1009" i="2"/>
  <c r="G1009" i="2"/>
  <c r="F1009" i="2"/>
  <c r="E1009" i="2"/>
  <c r="D1009" i="2"/>
  <c r="C1009" i="2"/>
  <c r="B1009" i="2"/>
  <c r="A1009" i="2"/>
  <c r="H1008" i="2"/>
  <c r="G1008" i="2"/>
  <c r="F1008" i="2"/>
  <c r="E1008" i="2"/>
  <c r="D1008" i="2"/>
  <c r="C1008" i="2"/>
  <c r="B1008" i="2"/>
  <c r="A1008" i="2"/>
  <c r="H1007" i="2"/>
  <c r="G1007" i="2"/>
  <c r="F1007" i="2"/>
  <c r="E1007" i="2"/>
  <c r="D1007" i="2"/>
  <c r="C1007" i="2"/>
  <c r="B1007" i="2"/>
  <c r="A1007" i="2"/>
  <c r="H1006" i="2"/>
  <c r="G1006" i="2"/>
  <c r="F1006" i="2"/>
  <c r="E1006" i="2"/>
  <c r="D1006" i="2"/>
  <c r="C1006" i="2"/>
  <c r="B1006" i="2"/>
  <c r="A1006" i="2"/>
  <c r="H1005" i="2"/>
  <c r="G1005" i="2"/>
  <c r="F1005" i="2"/>
  <c r="E1005" i="2"/>
  <c r="D1005" i="2"/>
  <c r="C1005" i="2"/>
  <c r="B1005" i="2"/>
  <c r="A1005" i="2"/>
  <c r="H1004" i="2"/>
  <c r="G1004" i="2"/>
  <c r="F1004" i="2"/>
  <c r="E1004" i="2"/>
  <c r="D1004" i="2"/>
  <c r="C1004" i="2"/>
  <c r="B1004" i="2"/>
  <c r="A1004" i="2"/>
  <c r="H1003" i="2"/>
  <c r="G1003" i="2"/>
  <c r="F1003" i="2"/>
  <c r="E1003" i="2"/>
  <c r="D1003" i="2"/>
  <c r="C1003" i="2"/>
  <c r="B1003" i="2"/>
  <c r="A1003" i="2"/>
  <c r="H1002" i="2"/>
  <c r="G1002" i="2"/>
  <c r="F1002" i="2"/>
  <c r="E1002" i="2"/>
  <c r="D1002" i="2"/>
  <c r="C1002" i="2"/>
  <c r="B1002" i="2"/>
  <c r="A1002" i="2"/>
  <c r="H1001" i="2"/>
  <c r="G1001" i="2"/>
  <c r="F1001" i="2"/>
  <c r="E1001" i="2"/>
  <c r="D1001" i="2"/>
  <c r="C1001" i="2"/>
  <c r="B1001" i="2"/>
  <c r="A1001" i="2"/>
  <c r="H1000" i="2"/>
  <c r="G1000" i="2"/>
  <c r="F1000" i="2"/>
  <c r="E1000" i="2"/>
  <c r="D1000" i="2"/>
  <c r="C1000" i="2"/>
  <c r="B1000" i="2"/>
  <c r="A1000" i="2"/>
  <c r="H999" i="2"/>
  <c r="G999" i="2"/>
  <c r="F999" i="2"/>
  <c r="E999" i="2"/>
  <c r="D999" i="2"/>
  <c r="C999" i="2"/>
  <c r="B999" i="2"/>
  <c r="A999" i="2"/>
  <c r="H998" i="2"/>
  <c r="G998" i="2"/>
  <c r="F998" i="2"/>
  <c r="E998" i="2"/>
  <c r="D998" i="2"/>
  <c r="C998" i="2"/>
  <c r="B998" i="2"/>
  <c r="A998" i="2"/>
  <c r="H997" i="2"/>
  <c r="G997" i="2"/>
  <c r="F997" i="2"/>
  <c r="E997" i="2"/>
  <c r="D997" i="2"/>
  <c r="C997" i="2"/>
  <c r="B997" i="2"/>
  <c r="A997" i="2"/>
  <c r="H996" i="2"/>
  <c r="G996" i="2"/>
  <c r="F996" i="2"/>
  <c r="E996" i="2"/>
  <c r="D996" i="2"/>
  <c r="C996" i="2"/>
  <c r="B996" i="2"/>
  <c r="A996" i="2"/>
  <c r="H995" i="2"/>
  <c r="G995" i="2"/>
  <c r="F995" i="2"/>
  <c r="E995" i="2"/>
  <c r="D995" i="2"/>
  <c r="C995" i="2"/>
  <c r="B995" i="2"/>
  <c r="A995" i="2"/>
  <c r="H994" i="2"/>
  <c r="G994" i="2"/>
  <c r="F994" i="2"/>
  <c r="E994" i="2"/>
  <c r="D994" i="2"/>
  <c r="C994" i="2"/>
  <c r="B994" i="2"/>
  <c r="A994" i="2"/>
  <c r="H993" i="2"/>
  <c r="G993" i="2"/>
  <c r="F993" i="2"/>
  <c r="E993" i="2"/>
  <c r="D993" i="2"/>
  <c r="C993" i="2"/>
  <c r="B993" i="2"/>
  <c r="A993" i="2"/>
  <c r="H992" i="2"/>
  <c r="G992" i="2"/>
  <c r="F992" i="2"/>
  <c r="E992" i="2"/>
  <c r="D992" i="2"/>
  <c r="C992" i="2"/>
  <c r="B992" i="2"/>
  <c r="A992" i="2"/>
  <c r="H991" i="2"/>
  <c r="G991" i="2"/>
  <c r="F991" i="2"/>
  <c r="E991" i="2"/>
  <c r="D991" i="2"/>
  <c r="C991" i="2"/>
  <c r="B991" i="2"/>
  <c r="A991" i="2"/>
  <c r="H990" i="2"/>
  <c r="G990" i="2"/>
  <c r="F990" i="2"/>
  <c r="E990" i="2"/>
  <c r="D990" i="2"/>
  <c r="C990" i="2"/>
  <c r="B990" i="2"/>
  <c r="A990" i="2"/>
  <c r="H989" i="2"/>
  <c r="G989" i="2"/>
  <c r="F989" i="2"/>
  <c r="E989" i="2"/>
  <c r="D989" i="2"/>
  <c r="C989" i="2"/>
  <c r="B989" i="2"/>
  <c r="A989" i="2"/>
  <c r="H988" i="2"/>
  <c r="G988" i="2"/>
  <c r="F988" i="2"/>
  <c r="E988" i="2"/>
  <c r="D988" i="2"/>
  <c r="C988" i="2"/>
  <c r="B988" i="2"/>
  <c r="A988" i="2"/>
  <c r="H987" i="2"/>
  <c r="G987" i="2"/>
  <c r="F987" i="2"/>
  <c r="E987" i="2"/>
  <c r="D987" i="2"/>
  <c r="C987" i="2"/>
  <c r="B987" i="2"/>
  <c r="A987" i="2"/>
  <c r="H986" i="2"/>
  <c r="G986" i="2"/>
  <c r="F986" i="2"/>
  <c r="E986" i="2"/>
  <c r="D986" i="2"/>
  <c r="C986" i="2"/>
  <c r="B986" i="2"/>
  <c r="A986" i="2"/>
  <c r="H985" i="2"/>
  <c r="G985" i="2"/>
  <c r="F985" i="2"/>
  <c r="E985" i="2"/>
  <c r="D985" i="2"/>
  <c r="C985" i="2"/>
  <c r="B985" i="2"/>
  <c r="A985" i="2"/>
  <c r="H984" i="2"/>
  <c r="G984" i="2"/>
  <c r="F984" i="2"/>
  <c r="E984" i="2"/>
  <c r="D984" i="2"/>
  <c r="C984" i="2"/>
  <c r="B984" i="2"/>
  <c r="A984" i="2"/>
  <c r="H983" i="2"/>
  <c r="G983" i="2"/>
  <c r="F983" i="2"/>
  <c r="E983" i="2"/>
  <c r="D983" i="2"/>
  <c r="C983" i="2"/>
  <c r="B983" i="2"/>
  <c r="A983" i="2"/>
  <c r="H982" i="2"/>
  <c r="G982" i="2"/>
  <c r="F982" i="2"/>
  <c r="E982" i="2"/>
  <c r="D982" i="2"/>
  <c r="C982" i="2"/>
  <c r="B982" i="2"/>
  <c r="A982" i="2"/>
  <c r="H981" i="2"/>
  <c r="G981" i="2"/>
  <c r="F981" i="2"/>
  <c r="E981" i="2"/>
  <c r="D981" i="2"/>
  <c r="C981" i="2"/>
  <c r="B981" i="2"/>
  <c r="A981" i="2"/>
  <c r="H980" i="2"/>
  <c r="G980" i="2"/>
  <c r="F980" i="2"/>
  <c r="E980" i="2"/>
  <c r="D980" i="2"/>
  <c r="C980" i="2"/>
  <c r="B980" i="2"/>
  <c r="A980" i="2"/>
  <c r="H979" i="2"/>
  <c r="G979" i="2"/>
  <c r="F979" i="2"/>
  <c r="E979" i="2"/>
  <c r="D979" i="2"/>
  <c r="C979" i="2"/>
  <c r="B979" i="2"/>
  <c r="A979" i="2"/>
  <c r="H978" i="2"/>
  <c r="G978" i="2"/>
  <c r="F978" i="2"/>
  <c r="E978" i="2"/>
  <c r="D978" i="2"/>
  <c r="C978" i="2"/>
  <c r="B978" i="2"/>
  <c r="A978" i="2"/>
  <c r="H977" i="2"/>
  <c r="G977" i="2"/>
  <c r="F977" i="2"/>
  <c r="E977" i="2"/>
  <c r="D977" i="2"/>
  <c r="C977" i="2"/>
  <c r="B977" i="2"/>
  <c r="A977" i="2"/>
  <c r="H976" i="2"/>
  <c r="G976" i="2"/>
  <c r="F976" i="2"/>
  <c r="E976" i="2"/>
  <c r="D976" i="2"/>
  <c r="C976" i="2"/>
  <c r="B976" i="2"/>
  <c r="A976" i="2"/>
  <c r="H975" i="2"/>
  <c r="G975" i="2"/>
  <c r="F975" i="2"/>
  <c r="E975" i="2"/>
  <c r="D975" i="2"/>
  <c r="C975" i="2"/>
  <c r="B975" i="2"/>
  <c r="A975" i="2"/>
  <c r="H974" i="2"/>
  <c r="G974" i="2"/>
  <c r="F974" i="2"/>
  <c r="E974" i="2"/>
  <c r="D974" i="2"/>
  <c r="C974" i="2"/>
  <c r="B974" i="2"/>
  <c r="A974" i="2"/>
  <c r="H973" i="2"/>
  <c r="G973" i="2"/>
  <c r="F973" i="2"/>
  <c r="E973" i="2"/>
  <c r="D973" i="2"/>
  <c r="C973" i="2"/>
  <c r="B973" i="2"/>
  <c r="A973" i="2"/>
  <c r="H972" i="2"/>
  <c r="G972" i="2"/>
  <c r="F972" i="2"/>
  <c r="E972" i="2"/>
  <c r="D972" i="2"/>
  <c r="C972" i="2"/>
  <c r="B972" i="2"/>
  <c r="A972" i="2"/>
  <c r="H971" i="2"/>
  <c r="G971" i="2"/>
  <c r="F971" i="2"/>
  <c r="E971" i="2"/>
  <c r="D971" i="2"/>
  <c r="C971" i="2"/>
  <c r="B971" i="2"/>
  <c r="A971" i="2"/>
  <c r="H970" i="2"/>
  <c r="G970" i="2"/>
  <c r="F970" i="2"/>
  <c r="E970" i="2"/>
  <c r="D970" i="2"/>
  <c r="C970" i="2"/>
  <c r="B970" i="2"/>
  <c r="A970" i="2"/>
  <c r="H969" i="2"/>
  <c r="G969" i="2"/>
  <c r="F969" i="2"/>
  <c r="E969" i="2"/>
  <c r="D969" i="2"/>
  <c r="C969" i="2"/>
  <c r="B969" i="2"/>
  <c r="A969" i="2"/>
  <c r="H968" i="2"/>
  <c r="G968" i="2"/>
  <c r="F968" i="2"/>
  <c r="E968" i="2"/>
  <c r="D968" i="2"/>
  <c r="C968" i="2"/>
  <c r="B968" i="2"/>
  <c r="A968" i="2"/>
  <c r="H967" i="2"/>
  <c r="G967" i="2"/>
  <c r="F967" i="2"/>
  <c r="E967" i="2"/>
  <c r="D967" i="2"/>
  <c r="C967" i="2"/>
  <c r="B967" i="2"/>
  <c r="A967" i="2"/>
  <c r="H966" i="2"/>
  <c r="G966" i="2"/>
  <c r="F966" i="2"/>
  <c r="E966" i="2"/>
  <c r="D966" i="2"/>
  <c r="C966" i="2"/>
  <c r="B966" i="2"/>
  <c r="A966" i="2"/>
  <c r="H965" i="2"/>
  <c r="G965" i="2"/>
  <c r="F965" i="2"/>
  <c r="E965" i="2"/>
  <c r="D965" i="2"/>
  <c r="C965" i="2"/>
  <c r="B965" i="2"/>
  <c r="A965" i="2"/>
  <c r="H964" i="2"/>
  <c r="G964" i="2"/>
  <c r="F964" i="2"/>
  <c r="E964" i="2"/>
  <c r="D964" i="2"/>
  <c r="C964" i="2"/>
  <c r="B964" i="2"/>
  <c r="A964" i="2"/>
  <c r="H963" i="2"/>
  <c r="G963" i="2"/>
  <c r="F963" i="2"/>
  <c r="E963" i="2"/>
  <c r="D963" i="2"/>
  <c r="C963" i="2"/>
  <c r="B963" i="2"/>
  <c r="A963" i="2"/>
  <c r="H962" i="2"/>
  <c r="G962" i="2"/>
  <c r="F962" i="2"/>
  <c r="E962" i="2"/>
  <c r="D962" i="2"/>
  <c r="C962" i="2"/>
  <c r="B962" i="2"/>
  <c r="A962" i="2"/>
  <c r="H961" i="2"/>
  <c r="G961" i="2"/>
  <c r="F961" i="2"/>
  <c r="E961" i="2"/>
  <c r="D961" i="2"/>
  <c r="C961" i="2"/>
  <c r="B961" i="2"/>
  <c r="A961" i="2"/>
  <c r="H960" i="2"/>
  <c r="G960" i="2"/>
  <c r="F960" i="2"/>
  <c r="E960" i="2"/>
  <c r="D960" i="2"/>
  <c r="C960" i="2"/>
  <c r="B960" i="2"/>
  <c r="A960" i="2"/>
  <c r="H959" i="2"/>
  <c r="G959" i="2"/>
  <c r="F959" i="2"/>
  <c r="E959" i="2"/>
  <c r="D959" i="2"/>
  <c r="C959" i="2"/>
  <c r="B959" i="2"/>
  <c r="A959" i="2"/>
  <c r="H958" i="2"/>
  <c r="G958" i="2"/>
  <c r="F958" i="2"/>
  <c r="E958" i="2"/>
  <c r="D958" i="2"/>
  <c r="C958" i="2"/>
  <c r="B958" i="2"/>
  <c r="A958" i="2"/>
  <c r="H957" i="2"/>
  <c r="G957" i="2"/>
  <c r="F957" i="2"/>
  <c r="E957" i="2"/>
  <c r="D957" i="2"/>
  <c r="C957" i="2"/>
  <c r="B957" i="2"/>
  <c r="A957" i="2"/>
  <c r="H956" i="2"/>
  <c r="G956" i="2"/>
  <c r="F956" i="2"/>
  <c r="E956" i="2"/>
  <c r="D956" i="2"/>
  <c r="C956" i="2"/>
  <c r="B956" i="2"/>
  <c r="A956" i="2"/>
  <c r="H955" i="2"/>
  <c r="G955" i="2"/>
  <c r="F955" i="2"/>
  <c r="E955" i="2"/>
  <c r="D955" i="2"/>
  <c r="C955" i="2"/>
  <c r="B955" i="2"/>
  <c r="A955" i="2"/>
  <c r="H954" i="2"/>
  <c r="G954" i="2"/>
  <c r="F954" i="2"/>
  <c r="E954" i="2"/>
  <c r="D954" i="2"/>
  <c r="C954" i="2"/>
  <c r="B954" i="2"/>
  <c r="A954" i="2"/>
  <c r="H953" i="2"/>
  <c r="G953" i="2"/>
  <c r="F953" i="2"/>
  <c r="E953" i="2"/>
  <c r="D953" i="2"/>
  <c r="C953" i="2"/>
  <c r="B953" i="2"/>
  <c r="A953" i="2"/>
  <c r="H952" i="2"/>
  <c r="G952" i="2"/>
  <c r="F952" i="2"/>
  <c r="E952" i="2"/>
  <c r="D952" i="2"/>
  <c r="C952" i="2"/>
  <c r="B952" i="2"/>
  <c r="A952" i="2"/>
  <c r="H951" i="2"/>
  <c r="G951" i="2"/>
  <c r="F951" i="2"/>
  <c r="E951" i="2"/>
  <c r="D951" i="2"/>
  <c r="C951" i="2"/>
  <c r="B951" i="2"/>
  <c r="A951" i="2"/>
  <c r="H950" i="2"/>
  <c r="G950" i="2"/>
  <c r="F950" i="2"/>
  <c r="E950" i="2"/>
  <c r="D950" i="2"/>
  <c r="C950" i="2"/>
  <c r="B950" i="2"/>
  <c r="A950" i="2"/>
  <c r="H949" i="2"/>
  <c r="G949" i="2"/>
  <c r="F949" i="2"/>
  <c r="E949" i="2"/>
  <c r="D949" i="2"/>
  <c r="C949" i="2"/>
  <c r="B949" i="2"/>
  <c r="A949" i="2"/>
  <c r="H948" i="2"/>
  <c r="G948" i="2"/>
  <c r="F948" i="2"/>
  <c r="E948" i="2"/>
  <c r="D948" i="2"/>
  <c r="C948" i="2"/>
  <c r="B948" i="2"/>
  <c r="A948" i="2"/>
  <c r="H947" i="2"/>
  <c r="G947" i="2"/>
  <c r="F947" i="2"/>
  <c r="E947" i="2"/>
  <c r="D947" i="2"/>
  <c r="C947" i="2"/>
  <c r="B947" i="2"/>
  <c r="A947" i="2"/>
  <c r="H946" i="2"/>
  <c r="G946" i="2"/>
  <c r="F946" i="2"/>
  <c r="E946" i="2"/>
  <c r="D946" i="2"/>
  <c r="C946" i="2"/>
  <c r="B946" i="2"/>
  <c r="A946" i="2"/>
  <c r="H945" i="2"/>
  <c r="G945" i="2"/>
  <c r="F945" i="2"/>
  <c r="E945" i="2"/>
  <c r="D945" i="2"/>
  <c r="C945" i="2"/>
  <c r="B945" i="2"/>
  <c r="A945" i="2"/>
  <c r="H944" i="2"/>
  <c r="G944" i="2"/>
  <c r="F944" i="2"/>
  <c r="E944" i="2"/>
  <c r="D944" i="2"/>
  <c r="C944" i="2"/>
  <c r="B944" i="2"/>
  <c r="A944" i="2"/>
  <c r="H943" i="2"/>
  <c r="G943" i="2"/>
  <c r="F943" i="2"/>
  <c r="E943" i="2"/>
  <c r="D943" i="2"/>
  <c r="C943" i="2"/>
  <c r="B943" i="2"/>
  <c r="A943" i="2"/>
  <c r="H942" i="2"/>
  <c r="G942" i="2"/>
  <c r="F942" i="2"/>
  <c r="E942" i="2"/>
  <c r="D942" i="2"/>
  <c r="C942" i="2"/>
  <c r="B942" i="2"/>
  <c r="A942" i="2"/>
  <c r="H941" i="2"/>
  <c r="G941" i="2"/>
  <c r="F941" i="2"/>
  <c r="E941" i="2"/>
  <c r="D941" i="2"/>
  <c r="C941" i="2"/>
  <c r="B941" i="2"/>
  <c r="A941" i="2"/>
  <c r="H940" i="2"/>
  <c r="G940" i="2"/>
  <c r="F940" i="2"/>
  <c r="E940" i="2"/>
  <c r="D940" i="2"/>
  <c r="C940" i="2"/>
  <c r="B940" i="2"/>
  <c r="A940" i="2"/>
  <c r="H939" i="2"/>
  <c r="G939" i="2"/>
  <c r="F939" i="2"/>
  <c r="E939" i="2"/>
  <c r="D939" i="2"/>
  <c r="C939" i="2"/>
  <c r="B939" i="2"/>
  <c r="A939" i="2"/>
  <c r="H938" i="2"/>
  <c r="G938" i="2"/>
  <c r="F938" i="2"/>
  <c r="E938" i="2"/>
  <c r="D938" i="2"/>
  <c r="C938" i="2"/>
  <c r="B938" i="2"/>
  <c r="A938" i="2"/>
  <c r="H937" i="2"/>
  <c r="G937" i="2"/>
  <c r="F937" i="2"/>
  <c r="E937" i="2"/>
  <c r="D937" i="2"/>
  <c r="C937" i="2"/>
  <c r="B937" i="2"/>
  <c r="A937" i="2"/>
  <c r="H936" i="2"/>
  <c r="G936" i="2"/>
  <c r="F936" i="2"/>
  <c r="E936" i="2"/>
  <c r="D936" i="2"/>
  <c r="C936" i="2"/>
  <c r="B936" i="2"/>
  <c r="A936" i="2"/>
  <c r="H935" i="2"/>
  <c r="G935" i="2"/>
  <c r="F935" i="2"/>
  <c r="E935" i="2"/>
  <c r="D935" i="2"/>
  <c r="C935" i="2"/>
  <c r="B935" i="2"/>
  <c r="A935" i="2"/>
  <c r="H934" i="2"/>
  <c r="G934" i="2"/>
  <c r="F934" i="2"/>
  <c r="E934" i="2"/>
  <c r="D934" i="2"/>
  <c r="C934" i="2"/>
  <c r="B934" i="2"/>
  <c r="A934" i="2"/>
  <c r="H933" i="2"/>
  <c r="G933" i="2"/>
  <c r="F933" i="2"/>
  <c r="E933" i="2"/>
  <c r="D933" i="2"/>
  <c r="C933" i="2"/>
  <c r="B933" i="2"/>
  <c r="A933" i="2"/>
  <c r="H932" i="2"/>
  <c r="G932" i="2"/>
  <c r="F932" i="2"/>
  <c r="E932" i="2"/>
  <c r="D932" i="2"/>
  <c r="C932" i="2"/>
  <c r="B932" i="2"/>
  <c r="A932" i="2"/>
  <c r="H931" i="2"/>
  <c r="G931" i="2"/>
  <c r="F931" i="2"/>
  <c r="E931" i="2"/>
  <c r="D931" i="2"/>
  <c r="C931" i="2"/>
  <c r="B931" i="2"/>
  <c r="A931" i="2"/>
  <c r="H930" i="2"/>
  <c r="G930" i="2"/>
  <c r="F930" i="2"/>
  <c r="E930" i="2"/>
  <c r="D930" i="2"/>
  <c r="C930" i="2"/>
  <c r="B930" i="2"/>
  <c r="A930" i="2"/>
  <c r="H929" i="2"/>
  <c r="G929" i="2"/>
  <c r="F929" i="2"/>
  <c r="E929" i="2"/>
  <c r="D929" i="2"/>
  <c r="C929" i="2"/>
  <c r="B929" i="2"/>
  <c r="A929" i="2"/>
  <c r="H928" i="2"/>
  <c r="G928" i="2"/>
  <c r="F928" i="2"/>
  <c r="E928" i="2"/>
  <c r="D928" i="2"/>
  <c r="C928" i="2"/>
  <c r="B928" i="2"/>
  <c r="A928" i="2"/>
  <c r="H927" i="2"/>
  <c r="G927" i="2"/>
  <c r="F927" i="2"/>
  <c r="E927" i="2"/>
  <c r="D927" i="2"/>
  <c r="C927" i="2"/>
  <c r="B927" i="2"/>
  <c r="A927" i="2"/>
  <c r="H926" i="2"/>
  <c r="G926" i="2"/>
  <c r="F926" i="2"/>
  <c r="E926" i="2"/>
  <c r="D926" i="2"/>
  <c r="C926" i="2"/>
  <c r="B926" i="2"/>
  <c r="A926" i="2"/>
  <c r="H925" i="2"/>
  <c r="G925" i="2"/>
  <c r="F925" i="2"/>
  <c r="E925" i="2"/>
  <c r="D925" i="2"/>
  <c r="C925" i="2"/>
  <c r="B925" i="2"/>
  <c r="A925" i="2"/>
  <c r="H924" i="2"/>
  <c r="G924" i="2"/>
  <c r="F924" i="2"/>
  <c r="E924" i="2"/>
  <c r="D924" i="2"/>
  <c r="C924" i="2"/>
  <c r="B924" i="2"/>
  <c r="A924" i="2"/>
  <c r="H923" i="2"/>
  <c r="G923" i="2"/>
  <c r="F923" i="2"/>
  <c r="E923" i="2"/>
  <c r="D923" i="2"/>
  <c r="C923" i="2"/>
  <c r="B923" i="2"/>
  <c r="A923" i="2"/>
  <c r="H922" i="2"/>
  <c r="G922" i="2"/>
  <c r="F922" i="2"/>
  <c r="E922" i="2"/>
  <c r="D922" i="2"/>
  <c r="C922" i="2"/>
  <c r="B922" i="2"/>
  <c r="A922" i="2"/>
  <c r="H921" i="2"/>
  <c r="G921" i="2"/>
  <c r="F921" i="2"/>
  <c r="E921" i="2"/>
  <c r="D921" i="2"/>
  <c r="C921" i="2"/>
  <c r="B921" i="2"/>
  <c r="A921" i="2"/>
  <c r="H920" i="2"/>
  <c r="G920" i="2"/>
  <c r="F920" i="2"/>
  <c r="E920" i="2"/>
  <c r="D920" i="2"/>
  <c r="C920" i="2"/>
  <c r="B920" i="2"/>
  <c r="A920" i="2"/>
  <c r="H919" i="2"/>
  <c r="G919" i="2"/>
  <c r="F919" i="2"/>
  <c r="E919" i="2"/>
  <c r="D919" i="2"/>
  <c r="C919" i="2"/>
  <c r="B919" i="2"/>
  <c r="A919" i="2"/>
  <c r="H918" i="2"/>
  <c r="G918" i="2"/>
  <c r="F918" i="2"/>
  <c r="E918" i="2"/>
  <c r="D918" i="2"/>
  <c r="C918" i="2"/>
  <c r="B918" i="2"/>
  <c r="A918" i="2"/>
  <c r="H917" i="2"/>
  <c r="G917" i="2"/>
  <c r="F917" i="2"/>
  <c r="E917" i="2"/>
  <c r="D917" i="2"/>
  <c r="C917" i="2"/>
  <c r="B917" i="2"/>
  <c r="A917" i="2"/>
  <c r="H916" i="2"/>
  <c r="G916" i="2"/>
  <c r="F916" i="2"/>
  <c r="E916" i="2"/>
  <c r="D916" i="2"/>
  <c r="C916" i="2"/>
  <c r="B916" i="2"/>
  <c r="A916" i="2"/>
  <c r="H915" i="2"/>
  <c r="G915" i="2"/>
  <c r="F915" i="2"/>
  <c r="E915" i="2"/>
  <c r="D915" i="2"/>
  <c r="C915" i="2"/>
  <c r="B915" i="2"/>
  <c r="A915" i="2"/>
  <c r="H914" i="2"/>
  <c r="G914" i="2"/>
  <c r="F914" i="2"/>
  <c r="E914" i="2"/>
  <c r="D914" i="2"/>
  <c r="C914" i="2"/>
  <c r="B914" i="2"/>
  <c r="A914" i="2"/>
  <c r="H913" i="2"/>
  <c r="G913" i="2"/>
  <c r="F913" i="2"/>
  <c r="E913" i="2"/>
  <c r="D913" i="2"/>
  <c r="C913" i="2"/>
  <c r="B913" i="2"/>
  <c r="A913" i="2"/>
  <c r="H912" i="2"/>
  <c r="G912" i="2"/>
  <c r="F912" i="2"/>
  <c r="E912" i="2"/>
  <c r="D912" i="2"/>
  <c r="C912" i="2"/>
  <c r="B912" i="2"/>
  <c r="A912" i="2"/>
  <c r="H911" i="2"/>
  <c r="G911" i="2"/>
  <c r="F911" i="2"/>
  <c r="E911" i="2"/>
  <c r="D911" i="2"/>
  <c r="C911" i="2"/>
  <c r="B911" i="2"/>
  <c r="A911" i="2"/>
  <c r="H910" i="2"/>
  <c r="G910" i="2"/>
  <c r="F910" i="2"/>
  <c r="E910" i="2"/>
  <c r="D910" i="2"/>
  <c r="C910" i="2"/>
  <c r="B910" i="2"/>
  <c r="A910" i="2"/>
  <c r="H909" i="2"/>
  <c r="G909" i="2"/>
  <c r="F909" i="2"/>
  <c r="E909" i="2"/>
  <c r="D909" i="2"/>
  <c r="C909" i="2"/>
  <c r="B909" i="2"/>
  <c r="A909" i="2"/>
  <c r="H908" i="2"/>
  <c r="G908" i="2"/>
  <c r="F908" i="2"/>
  <c r="E908" i="2"/>
  <c r="D908" i="2"/>
  <c r="C908" i="2"/>
  <c r="B908" i="2"/>
  <c r="A908" i="2"/>
  <c r="H907" i="2"/>
  <c r="G907" i="2"/>
  <c r="F907" i="2"/>
  <c r="E907" i="2"/>
  <c r="D907" i="2"/>
  <c r="C907" i="2"/>
  <c r="B907" i="2"/>
  <c r="A907" i="2"/>
  <c r="H906" i="2"/>
  <c r="G906" i="2"/>
  <c r="F906" i="2"/>
  <c r="E906" i="2"/>
  <c r="D906" i="2"/>
  <c r="C906" i="2"/>
  <c r="B906" i="2"/>
  <c r="A906" i="2"/>
  <c r="H905" i="2"/>
  <c r="G905" i="2"/>
  <c r="F905" i="2"/>
  <c r="E905" i="2"/>
  <c r="D905" i="2"/>
  <c r="C905" i="2"/>
  <c r="B905" i="2"/>
  <c r="A905" i="2"/>
  <c r="H904" i="2"/>
  <c r="G904" i="2"/>
  <c r="F904" i="2"/>
  <c r="E904" i="2"/>
  <c r="D904" i="2"/>
  <c r="C904" i="2"/>
  <c r="B904" i="2"/>
  <c r="A904" i="2"/>
  <c r="H903" i="2"/>
  <c r="G903" i="2"/>
  <c r="F903" i="2"/>
  <c r="E903" i="2"/>
  <c r="D903" i="2"/>
  <c r="C903" i="2"/>
  <c r="B903" i="2"/>
  <c r="A903" i="2"/>
  <c r="H902" i="2"/>
  <c r="G902" i="2"/>
  <c r="F902" i="2"/>
  <c r="E902" i="2"/>
  <c r="D902" i="2"/>
  <c r="C902" i="2"/>
  <c r="B902" i="2"/>
  <c r="A902" i="2"/>
  <c r="H901" i="2"/>
  <c r="G901" i="2"/>
  <c r="F901" i="2"/>
  <c r="E901" i="2"/>
  <c r="D901" i="2"/>
  <c r="C901" i="2"/>
  <c r="B901" i="2"/>
  <c r="A901" i="2"/>
  <c r="H900" i="2"/>
  <c r="G900" i="2"/>
  <c r="F900" i="2"/>
  <c r="E900" i="2"/>
  <c r="D900" i="2"/>
  <c r="C900" i="2"/>
  <c r="B900" i="2"/>
  <c r="A900" i="2"/>
  <c r="H899" i="2"/>
  <c r="G899" i="2"/>
  <c r="F899" i="2"/>
  <c r="E899" i="2"/>
  <c r="D899" i="2"/>
  <c r="C899" i="2"/>
  <c r="B899" i="2"/>
  <c r="A899" i="2"/>
  <c r="H898" i="2"/>
  <c r="G898" i="2"/>
  <c r="F898" i="2"/>
  <c r="E898" i="2"/>
  <c r="D898" i="2"/>
  <c r="C898" i="2"/>
  <c r="B898" i="2"/>
  <c r="A898" i="2"/>
  <c r="H897" i="2"/>
  <c r="G897" i="2"/>
  <c r="F897" i="2"/>
  <c r="E897" i="2"/>
  <c r="D897" i="2"/>
  <c r="C897" i="2"/>
  <c r="B897" i="2"/>
  <c r="A897" i="2"/>
  <c r="H896" i="2"/>
  <c r="G896" i="2"/>
  <c r="F896" i="2"/>
  <c r="E896" i="2"/>
  <c r="D896" i="2"/>
  <c r="C896" i="2"/>
  <c r="B896" i="2"/>
  <c r="A896" i="2"/>
  <c r="H895" i="2"/>
  <c r="G895" i="2"/>
  <c r="F895" i="2"/>
  <c r="E895" i="2"/>
  <c r="D895" i="2"/>
  <c r="C895" i="2"/>
  <c r="B895" i="2"/>
  <c r="A895" i="2"/>
  <c r="H894" i="2"/>
  <c r="G894" i="2"/>
  <c r="F894" i="2"/>
  <c r="E894" i="2"/>
  <c r="D894" i="2"/>
  <c r="C894" i="2"/>
  <c r="B894" i="2"/>
  <c r="A894" i="2"/>
  <c r="H893" i="2"/>
  <c r="G893" i="2"/>
  <c r="F893" i="2"/>
  <c r="E893" i="2"/>
  <c r="D893" i="2"/>
  <c r="C893" i="2"/>
  <c r="B893" i="2"/>
  <c r="A893" i="2"/>
  <c r="H892" i="2"/>
  <c r="G892" i="2"/>
  <c r="F892" i="2"/>
  <c r="E892" i="2"/>
  <c r="D892" i="2"/>
  <c r="C892" i="2"/>
  <c r="B892" i="2"/>
  <c r="A892" i="2"/>
  <c r="H891" i="2"/>
  <c r="G891" i="2"/>
  <c r="F891" i="2"/>
  <c r="E891" i="2"/>
  <c r="D891" i="2"/>
  <c r="C891" i="2"/>
  <c r="B891" i="2"/>
  <c r="A891" i="2"/>
  <c r="H890" i="2"/>
  <c r="G890" i="2"/>
  <c r="F890" i="2"/>
  <c r="E890" i="2"/>
  <c r="D890" i="2"/>
  <c r="C890" i="2"/>
  <c r="B890" i="2"/>
  <c r="A890" i="2"/>
  <c r="H889" i="2"/>
  <c r="G889" i="2"/>
  <c r="F889" i="2"/>
  <c r="E889" i="2"/>
  <c r="D889" i="2"/>
  <c r="C889" i="2"/>
  <c r="B889" i="2"/>
  <c r="A889" i="2"/>
  <c r="H888" i="2"/>
  <c r="G888" i="2"/>
  <c r="F888" i="2"/>
  <c r="E888" i="2"/>
  <c r="D888" i="2"/>
  <c r="C888" i="2"/>
  <c r="B888" i="2"/>
  <c r="A888" i="2"/>
  <c r="H887" i="2"/>
  <c r="G887" i="2"/>
  <c r="F887" i="2"/>
  <c r="E887" i="2"/>
  <c r="D887" i="2"/>
  <c r="C887" i="2"/>
  <c r="B887" i="2"/>
  <c r="A887" i="2"/>
  <c r="H886" i="2"/>
  <c r="G886" i="2"/>
  <c r="F886" i="2"/>
  <c r="E886" i="2"/>
  <c r="D886" i="2"/>
  <c r="C886" i="2"/>
  <c r="B886" i="2"/>
  <c r="A886" i="2"/>
  <c r="H885" i="2"/>
  <c r="G885" i="2"/>
  <c r="F885" i="2"/>
  <c r="E885" i="2"/>
  <c r="D885" i="2"/>
  <c r="C885" i="2"/>
  <c r="B885" i="2"/>
  <c r="A885" i="2"/>
  <c r="H884" i="2"/>
  <c r="G884" i="2"/>
  <c r="F884" i="2"/>
  <c r="E884" i="2"/>
  <c r="D884" i="2"/>
  <c r="C884" i="2"/>
  <c r="B884" i="2"/>
  <c r="A884" i="2"/>
  <c r="H883" i="2"/>
  <c r="G883" i="2"/>
  <c r="F883" i="2"/>
  <c r="E883" i="2"/>
  <c r="D883" i="2"/>
  <c r="C883" i="2"/>
  <c r="B883" i="2"/>
  <c r="A883" i="2"/>
  <c r="H882" i="2"/>
  <c r="G882" i="2"/>
  <c r="F882" i="2"/>
  <c r="E882" i="2"/>
  <c r="D882" i="2"/>
  <c r="C882" i="2"/>
  <c r="B882" i="2"/>
  <c r="A882" i="2"/>
  <c r="H881" i="2"/>
  <c r="G881" i="2"/>
  <c r="F881" i="2"/>
  <c r="E881" i="2"/>
  <c r="D881" i="2"/>
  <c r="C881" i="2"/>
  <c r="B881" i="2"/>
  <c r="A881" i="2"/>
  <c r="H880" i="2"/>
  <c r="G880" i="2"/>
  <c r="F880" i="2"/>
  <c r="E880" i="2"/>
  <c r="D880" i="2"/>
  <c r="C880" i="2"/>
  <c r="B880" i="2"/>
  <c r="A880" i="2"/>
  <c r="H879" i="2"/>
  <c r="G879" i="2"/>
  <c r="F879" i="2"/>
  <c r="E879" i="2"/>
  <c r="D879" i="2"/>
  <c r="C879" i="2"/>
  <c r="B879" i="2"/>
  <c r="A879" i="2"/>
  <c r="H878" i="2"/>
  <c r="G878" i="2"/>
  <c r="F878" i="2"/>
  <c r="E878" i="2"/>
  <c r="D878" i="2"/>
  <c r="C878" i="2"/>
  <c r="B878" i="2"/>
  <c r="A878" i="2"/>
  <c r="H877" i="2"/>
  <c r="G877" i="2"/>
  <c r="F877" i="2"/>
  <c r="E877" i="2"/>
  <c r="D877" i="2"/>
  <c r="C877" i="2"/>
  <c r="B877" i="2"/>
  <c r="A877" i="2"/>
  <c r="H876" i="2"/>
  <c r="G876" i="2"/>
  <c r="F876" i="2"/>
  <c r="E876" i="2"/>
  <c r="D876" i="2"/>
  <c r="C876" i="2"/>
  <c r="B876" i="2"/>
  <c r="A876" i="2"/>
  <c r="H875" i="2"/>
  <c r="G875" i="2"/>
  <c r="F875" i="2"/>
  <c r="E875" i="2"/>
  <c r="D875" i="2"/>
  <c r="C875" i="2"/>
  <c r="B875" i="2"/>
  <c r="A875" i="2"/>
  <c r="H874" i="2"/>
  <c r="G874" i="2"/>
  <c r="F874" i="2"/>
  <c r="E874" i="2"/>
  <c r="D874" i="2"/>
  <c r="C874" i="2"/>
  <c r="B874" i="2"/>
  <c r="A874" i="2"/>
  <c r="H873" i="2"/>
  <c r="G873" i="2"/>
  <c r="F873" i="2"/>
  <c r="E873" i="2"/>
  <c r="D873" i="2"/>
  <c r="C873" i="2"/>
  <c r="B873" i="2"/>
  <c r="A873" i="2"/>
  <c r="H872" i="2"/>
  <c r="G872" i="2"/>
  <c r="F872" i="2"/>
  <c r="E872" i="2"/>
  <c r="D872" i="2"/>
  <c r="C872" i="2"/>
  <c r="B872" i="2"/>
  <c r="A872" i="2"/>
  <c r="H871" i="2"/>
  <c r="G871" i="2"/>
  <c r="F871" i="2"/>
  <c r="E871" i="2"/>
  <c r="D871" i="2"/>
  <c r="C871" i="2"/>
  <c r="B871" i="2"/>
  <c r="A871" i="2"/>
  <c r="H870" i="2"/>
  <c r="G870" i="2"/>
  <c r="F870" i="2"/>
  <c r="E870" i="2"/>
  <c r="D870" i="2"/>
  <c r="C870" i="2"/>
  <c r="B870" i="2"/>
  <c r="A870" i="2"/>
  <c r="H869" i="2"/>
  <c r="G869" i="2"/>
  <c r="F869" i="2"/>
  <c r="E869" i="2"/>
  <c r="D869" i="2"/>
  <c r="C869" i="2"/>
  <c r="B869" i="2"/>
  <c r="A869" i="2"/>
  <c r="H868" i="2"/>
  <c r="G868" i="2"/>
  <c r="F868" i="2"/>
  <c r="E868" i="2"/>
  <c r="D868" i="2"/>
  <c r="C868" i="2"/>
  <c r="B868" i="2"/>
  <c r="A868" i="2"/>
  <c r="H867" i="2"/>
  <c r="G867" i="2"/>
  <c r="F867" i="2"/>
  <c r="E867" i="2"/>
  <c r="D867" i="2"/>
  <c r="C867" i="2"/>
  <c r="B867" i="2"/>
  <c r="A867" i="2"/>
  <c r="H866" i="2"/>
  <c r="G866" i="2"/>
  <c r="F866" i="2"/>
  <c r="E866" i="2"/>
  <c r="D866" i="2"/>
  <c r="C866" i="2"/>
  <c r="B866" i="2"/>
  <c r="A866" i="2"/>
  <c r="H865" i="2"/>
  <c r="G865" i="2"/>
  <c r="F865" i="2"/>
  <c r="E865" i="2"/>
  <c r="D865" i="2"/>
  <c r="C865" i="2"/>
  <c r="B865" i="2"/>
  <c r="A865" i="2"/>
  <c r="H864" i="2"/>
  <c r="G864" i="2"/>
  <c r="F864" i="2"/>
  <c r="E864" i="2"/>
  <c r="D864" i="2"/>
  <c r="C864" i="2"/>
  <c r="B864" i="2"/>
  <c r="A864" i="2"/>
  <c r="H863" i="2"/>
  <c r="G863" i="2"/>
  <c r="F863" i="2"/>
  <c r="E863" i="2"/>
  <c r="D863" i="2"/>
  <c r="C863" i="2"/>
  <c r="B863" i="2"/>
  <c r="A863" i="2"/>
  <c r="H862" i="2"/>
  <c r="G862" i="2"/>
  <c r="F862" i="2"/>
  <c r="E862" i="2"/>
  <c r="D862" i="2"/>
  <c r="C862" i="2"/>
  <c r="B862" i="2"/>
  <c r="A862" i="2"/>
  <c r="H861" i="2"/>
  <c r="G861" i="2"/>
  <c r="F861" i="2"/>
  <c r="E861" i="2"/>
  <c r="D861" i="2"/>
  <c r="C861" i="2"/>
  <c r="B861" i="2"/>
  <c r="A861" i="2"/>
  <c r="H860" i="2"/>
  <c r="G860" i="2"/>
  <c r="F860" i="2"/>
  <c r="E860" i="2"/>
  <c r="D860" i="2"/>
  <c r="C860" i="2"/>
  <c r="B860" i="2"/>
  <c r="A860" i="2"/>
  <c r="H859" i="2"/>
  <c r="G859" i="2"/>
  <c r="F859" i="2"/>
  <c r="E859" i="2"/>
  <c r="D859" i="2"/>
  <c r="C859" i="2"/>
  <c r="B859" i="2"/>
  <c r="A859" i="2"/>
  <c r="H858" i="2"/>
  <c r="G858" i="2"/>
  <c r="F858" i="2"/>
  <c r="E858" i="2"/>
  <c r="D858" i="2"/>
  <c r="C858" i="2"/>
  <c r="B858" i="2"/>
  <c r="A858" i="2"/>
  <c r="H857" i="2"/>
  <c r="G857" i="2"/>
  <c r="F857" i="2"/>
  <c r="E857" i="2"/>
  <c r="D857" i="2"/>
  <c r="C857" i="2"/>
  <c r="B857" i="2"/>
  <c r="A857" i="2"/>
  <c r="H856" i="2"/>
  <c r="G856" i="2"/>
  <c r="F856" i="2"/>
  <c r="E856" i="2"/>
  <c r="D856" i="2"/>
  <c r="C856" i="2"/>
  <c r="B856" i="2"/>
  <c r="A856" i="2"/>
  <c r="H855" i="2"/>
  <c r="G855" i="2"/>
  <c r="F855" i="2"/>
  <c r="E855" i="2"/>
  <c r="D855" i="2"/>
  <c r="C855" i="2"/>
  <c r="B855" i="2"/>
  <c r="A855" i="2"/>
  <c r="H854" i="2"/>
  <c r="G854" i="2"/>
  <c r="F854" i="2"/>
  <c r="E854" i="2"/>
  <c r="D854" i="2"/>
  <c r="C854" i="2"/>
  <c r="B854" i="2"/>
  <c r="A854" i="2"/>
  <c r="H853" i="2"/>
  <c r="G853" i="2"/>
  <c r="F853" i="2"/>
  <c r="E853" i="2"/>
  <c r="D853" i="2"/>
  <c r="C853" i="2"/>
  <c r="B853" i="2"/>
  <c r="A853" i="2"/>
  <c r="H852" i="2"/>
  <c r="G852" i="2"/>
  <c r="F852" i="2"/>
  <c r="E852" i="2"/>
  <c r="D852" i="2"/>
  <c r="C852" i="2"/>
  <c r="B852" i="2"/>
  <c r="A852" i="2"/>
  <c r="H851" i="2"/>
  <c r="G851" i="2"/>
  <c r="F851" i="2"/>
  <c r="E851" i="2"/>
  <c r="D851" i="2"/>
  <c r="C851" i="2"/>
  <c r="B851" i="2"/>
  <c r="A851" i="2"/>
  <c r="H850" i="2"/>
  <c r="G850" i="2"/>
  <c r="F850" i="2"/>
  <c r="E850" i="2"/>
  <c r="D850" i="2"/>
  <c r="C850" i="2"/>
  <c r="B850" i="2"/>
  <c r="A850" i="2"/>
  <c r="H849" i="2"/>
  <c r="G849" i="2"/>
  <c r="F849" i="2"/>
  <c r="E849" i="2"/>
  <c r="D849" i="2"/>
  <c r="C849" i="2"/>
  <c r="B849" i="2"/>
  <c r="A849" i="2"/>
  <c r="H848" i="2"/>
  <c r="G848" i="2"/>
  <c r="F848" i="2"/>
  <c r="E848" i="2"/>
  <c r="D848" i="2"/>
  <c r="C848" i="2"/>
  <c r="B848" i="2"/>
  <c r="A848" i="2"/>
  <c r="H847" i="2"/>
  <c r="G847" i="2"/>
  <c r="F847" i="2"/>
  <c r="E847" i="2"/>
  <c r="D847" i="2"/>
  <c r="C847" i="2"/>
  <c r="B847" i="2"/>
  <c r="A847" i="2"/>
  <c r="H846" i="2"/>
  <c r="G846" i="2"/>
  <c r="F846" i="2"/>
  <c r="E846" i="2"/>
  <c r="D846" i="2"/>
  <c r="C846" i="2"/>
  <c r="B846" i="2"/>
  <c r="A846" i="2"/>
  <c r="H845" i="2"/>
  <c r="G845" i="2"/>
  <c r="F845" i="2"/>
  <c r="E845" i="2"/>
  <c r="D845" i="2"/>
  <c r="C845" i="2"/>
  <c r="B845" i="2"/>
  <c r="A845" i="2"/>
  <c r="H844" i="2"/>
  <c r="G844" i="2"/>
  <c r="F844" i="2"/>
  <c r="E844" i="2"/>
  <c r="D844" i="2"/>
  <c r="C844" i="2"/>
  <c r="B844" i="2"/>
  <c r="A844" i="2"/>
  <c r="H843" i="2"/>
  <c r="G843" i="2"/>
  <c r="F843" i="2"/>
  <c r="E843" i="2"/>
  <c r="D843" i="2"/>
  <c r="C843" i="2"/>
  <c r="B843" i="2"/>
  <c r="A843" i="2"/>
  <c r="H842" i="2"/>
  <c r="G842" i="2"/>
  <c r="F842" i="2"/>
  <c r="E842" i="2"/>
  <c r="D842" i="2"/>
  <c r="C842" i="2"/>
  <c r="B842" i="2"/>
  <c r="A842" i="2"/>
  <c r="H841" i="2"/>
  <c r="G841" i="2"/>
  <c r="F841" i="2"/>
  <c r="E841" i="2"/>
  <c r="D841" i="2"/>
  <c r="C841" i="2"/>
  <c r="B841" i="2"/>
  <c r="A841" i="2"/>
  <c r="H840" i="2"/>
  <c r="G840" i="2"/>
  <c r="F840" i="2"/>
  <c r="E840" i="2"/>
  <c r="D840" i="2"/>
  <c r="C840" i="2"/>
  <c r="B840" i="2"/>
  <c r="A840" i="2"/>
  <c r="H839" i="2"/>
  <c r="G839" i="2"/>
  <c r="F839" i="2"/>
  <c r="E839" i="2"/>
  <c r="D839" i="2"/>
  <c r="C839" i="2"/>
  <c r="B839" i="2"/>
  <c r="A839" i="2"/>
  <c r="H838" i="2"/>
  <c r="G838" i="2"/>
  <c r="F838" i="2"/>
  <c r="E838" i="2"/>
  <c r="D838" i="2"/>
  <c r="C838" i="2"/>
  <c r="B838" i="2"/>
  <c r="A838" i="2"/>
  <c r="H837" i="2"/>
  <c r="G837" i="2"/>
  <c r="F837" i="2"/>
  <c r="E837" i="2"/>
  <c r="D837" i="2"/>
  <c r="C837" i="2"/>
  <c r="B837" i="2"/>
  <c r="A837" i="2"/>
  <c r="H836" i="2"/>
  <c r="G836" i="2"/>
  <c r="F836" i="2"/>
  <c r="E836" i="2"/>
  <c r="D836" i="2"/>
  <c r="C836" i="2"/>
  <c r="B836" i="2"/>
  <c r="A836" i="2"/>
  <c r="H835" i="2"/>
  <c r="G835" i="2"/>
  <c r="F835" i="2"/>
  <c r="E835" i="2"/>
  <c r="D835" i="2"/>
  <c r="C835" i="2"/>
  <c r="B835" i="2"/>
  <c r="A835" i="2"/>
  <c r="H834" i="2"/>
  <c r="G834" i="2"/>
  <c r="F834" i="2"/>
  <c r="E834" i="2"/>
  <c r="D834" i="2"/>
  <c r="C834" i="2"/>
  <c r="B834" i="2"/>
  <c r="A834" i="2"/>
  <c r="H833" i="2"/>
  <c r="G833" i="2"/>
  <c r="F833" i="2"/>
  <c r="E833" i="2"/>
  <c r="D833" i="2"/>
  <c r="C833" i="2"/>
  <c r="B833" i="2"/>
  <c r="A833" i="2"/>
  <c r="H832" i="2"/>
  <c r="G832" i="2"/>
  <c r="F832" i="2"/>
  <c r="E832" i="2"/>
  <c r="D832" i="2"/>
  <c r="C832" i="2"/>
  <c r="B832" i="2"/>
  <c r="A832" i="2"/>
  <c r="H831" i="2"/>
  <c r="G831" i="2"/>
  <c r="F831" i="2"/>
  <c r="E831" i="2"/>
  <c r="D831" i="2"/>
  <c r="C831" i="2"/>
  <c r="B831" i="2"/>
  <c r="A831" i="2"/>
  <c r="H830" i="2"/>
  <c r="G830" i="2"/>
  <c r="F830" i="2"/>
  <c r="E830" i="2"/>
  <c r="D830" i="2"/>
  <c r="C830" i="2"/>
  <c r="B830" i="2"/>
  <c r="A830" i="2"/>
  <c r="H829" i="2"/>
  <c r="G829" i="2"/>
  <c r="F829" i="2"/>
  <c r="E829" i="2"/>
  <c r="D829" i="2"/>
  <c r="C829" i="2"/>
  <c r="B829" i="2"/>
  <c r="A829" i="2"/>
  <c r="H828" i="2"/>
  <c r="G828" i="2"/>
  <c r="F828" i="2"/>
  <c r="E828" i="2"/>
  <c r="D828" i="2"/>
  <c r="C828" i="2"/>
  <c r="B828" i="2"/>
  <c r="A828" i="2"/>
  <c r="H827" i="2"/>
  <c r="G827" i="2"/>
  <c r="F827" i="2"/>
  <c r="E827" i="2"/>
  <c r="D827" i="2"/>
  <c r="C827" i="2"/>
  <c r="B827" i="2"/>
  <c r="A827" i="2"/>
  <c r="H826" i="2"/>
  <c r="G826" i="2"/>
  <c r="F826" i="2"/>
  <c r="E826" i="2"/>
  <c r="D826" i="2"/>
  <c r="C826" i="2"/>
  <c r="B826" i="2"/>
  <c r="A826" i="2"/>
  <c r="H825" i="2"/>
  <c r="G825" i="2"/>
  <c r="F825" i="2"/>
  <c r="E825" i="2"/>
  <c r="D825" i="2"/>
  <c r="C825" i="2"/>
  <c r="B825" i="2"/>
  <c r="A825" i="2"/>
  <c r="H824" i="2"/>
  <c r="G824" i="2"/>
  <c r="F824" i="2"/>
  <c r="E824" i="2"/>
  <c r="D824" i="2"/>
  <c r="C824" i="2"/>
  <c r="B824" i="2"/>
  <c r="A824" i="2"/>
  <c r="H823" i="2"/>
  <c r="G823" i="2"/>
  <c r="F823" i="2"/>
  <c r="E823" i="2"/>
  <c r="D823" i="2"/>
  <c r="C823" i="2"/>
  <c r="B823" i="2"/>
  <c r="A823" i="2"/>
  <c r="H822" i="2"/>
  <c r="G822" i="2"/>
  <c r="F822" i="2"/>
  <c r="E822" i="2"/>
  <c r="D822" i="2"/>
  <c r="C822" i="2"/>
  <c r="B822" i="2"/>
  <c r="A822" i="2"/>
  <c r="H821" i="2"/>
  <c r="G821" i="2"/>
  <c r="F821" i="2"/>
  <c r="E821" i="2"/>
  <c r="D821" i="2"/>
  <c r="C821" i="2"/>
  <c r="B821" i="2"/>
  <c r="A821" i="2"/>
  <c r="H820" i="2"/>
  <c r="G820" i="2"/>
  <c r="F820" i="2"/>
  <c r="E820" i="2"/>
  <c r="D820" i="2"/>
  <c r="C820" i="2"/>
  <c r="B820" i="2"/>
  <c r="A820" i="2"/>
  <c r="H819" i="2"/>
  <c r="G819" i="2"/>
  <c r="F819" i="2"/>
  <c r="E819" i="2"/>
  <c r="D819" i="2"/>
  <c r="C819" i="2"/>
  <c r="B819" i="2"/>
  <c r="A819" i="2"/>
  <c r="H818" i="2"/>
  <c r="G818" i="2"/>
  <c r="F818" i="2"/>
  <c r="E818" i="2"/>
  <c r="D818" i="2"/>
  <c r="C818" i="2"/>
  <c r="B818" i="2"/>
  <c r="A818" i="2"/>
  <c r="H817" i="2"/>
  <c r="G817" i="2"/>
  <c r="F817" i="2"/>
  <c r="E817" i="2"/>
  <c r="D817" i="2"/>
  <c r="C817" i="2"/>
  <c r="B817" i="2"/>
  <c r="A817" i="2"/>
  <c r="H816" i="2"/>
  <c r="G816" i="2"/>
  <c r="F816" i="2"/>
  <c r="E816" i="2"/>
  <c r="D816" i="2"/>
  <c r="C816" i="2"/>
  <c r="B816" i="2"/>
  <c r="A816" i="2"/>
  <c r="H815" i="2"/>
  <c r="G815" i="2"/>
  <c r="F815" i="2"/>
  <c r="E815" i="2"/>
  <c r="D815" i="2"/>
  <c r="C815" i="2"/>
  <c r="B815" i="2"/>
  <c r="A815" i="2"/>
  <c r="H814" i="2"/>
  <c r="G814" i="2"/>
  <c r="F814" i="2"/>
  <c r="E814" i="2"/>
  <c r="D814" i="2"/>
  <c r="C814" i="2"/>
  <c r="B814" i="2"/>
  <c r="A814" i="2"/>
  <c r="H813" i="2"/>
  <c r="G813" i="2"/>
  <c r="F813" i="2"/>
  <c r="E813" i="2"/>
  <c r="D813" i="2"/>
  <c r="C813" i="2"/>
  <c r="B813" i="2"/>
  <c r="A813" i="2"/>
  <c r="H812" i="2"/>
  <c r="G812" i="2"/>
  <c r="F812" i="2"/>
  <c r="E812" i="2"/>
  <c r="D812" i="2"/>
  <c r="C812" i="2"/>
  <c r="B812" i="2"/>
  <c r="A812" i="2"/>
  <c r="H811" i="2"/>
  <c r="G811" i="2"/>
  <c r="F811" i="2"/>
  <c r="E811" i="2"/>
  <c r="D811" i="2"/>
  <c r="C811" i="2"/>
  <c r="B811" i="2"/>
  <c r="A811" i="2"/>
  <c r="H810" i="2"/>
  <c r="G810" i="2"/>
  <c r="F810" i="2"/>
  <c r="E810" i="2"/>
  <c r="D810" i="2"/>
  <c r="C810" i="2"/>
  <c r="B810" i="2"/>
  <c r="A810" i="2"/>
  <c r="H809" i="2"/>
  <c r="G809" i="2"/>
  <c r="F809" i="2"/>
  <c r="E809" i="2"/>
  <c r="D809" i="2"/>
  <c r="C809" i="2"/>
  <c r="B809" i="2"/>
  <c r="A809" i="2"/>
  <c r="H808" i="2"/>
  <c r="G808" i="2"/>
  <c r="F808" i="2"/>
  <c r="E808" i="2"/>
  <c r="D808" i="2"/>
  <c r="C808" i="2"/>
  <c r="B808" i="2"/>
  <c r="A808" i="2"/>
  <c r="H807" i="2"/>
  <c r="G807" i="2"/>
  <c r="F807" i="2"/>
  <c r="E807" i="2"/>
  <c r="D807" i="2"/>
  <c r="C807" i="2"/>
  <c r="B807" i="2"/>
  <c r="A807" i="2"/>
  <c r="H806" i="2"/>
  <c r="G806" i="2"/>
  <c r="F806" i="2"/>
  <c r="E806" i="2"/>
  <c r="D806" i="2"/>
  <c r="C806" i="2"/>
  <c r="B806" i="2"/>
  <c r="A806" i="2"/>
  <c r="H805" i="2"/>
  <c r="G805" i="2"/>
  <c r="F805" i="2"/>
  <c r="E805" i="2"/>
  <c r="D805" i="2"/>
  <c r="C805" i="2"/>
  <c r="B805" i="2"/>
  <c r="A805" i="2"/>
  <c r="H804" i="2"/>
  <c r="G804" i="2"/>
  <c r="F804" i="2"/>
  <c r="E804" i="2"/>
  <c r="D804" i="2"/>
  <c r="C804" i="2"/>
  <c r="B804" i="2"/>
  <c r="A804" i="2"/>
  <c r="H803" i="2"/>
  <c r="G803" i="2"/>
  <c r="F803" i="2"/>
  <c r="E803" i="2"/>
  <c r="D803" i="2"/>
  <c r="C803" i="2"/>
  <c r="B803" i="2"/>
  <c r="A803" i="2"/>
  <c r="H802" i="2"/>
  <c r="G802" i="2"/>
  <c r="F802" i="2"/>
  <c r="E802" i="2"/>
  <c r="D802" i="2"/>
  <c r="C802" i="2"/>
  <c r="B802" i="2"/>
  <c r="A802" i="2"/>
  <c r="H801" i="2"/>
  <c r="G801" i="2"/>
  <c r="F801" i="2"/>
  <c r="E801" i="2"/>
  <c r="D801" i="2"/>
  <c r="C801" i="2"/>
  <c r="B801" i="2"/>
  <c r="A801" i="2"/>
  <c r="H800" i="2"/>
  <c r="G800" i="2"/>
  <c r="F800" i="2"/>
  <c r="E800" i="2"/>
  <c r="D800" i="2"/>
  <c r="C800" i="2"/>
  <c r="B800" i="2"/>
  <c r="A800" i="2"/>
  <c r="H799" i="2"/>
  <c r="G799" i="2"/>
  <c r="F799" i="2"/>
  <c r="E799" i="2"/>
  <c r="D799" i="2"/>
  <c r="C799" i="2"/>
  <c r="B799" i="2"/>
  <c r="A799" i="2"/>
  <c r="H798" i="2"/>
  <c r="G798" i="2"/>
  <c r="F798" i="2"/>
  <c r="E798" i="2"/>
  <c r="D798" i="2"/>
  <c r="C798" i="2"/>
  <c r="B798" i="2"/>
  <c r="A798" i="2"/>
  <c r="H797" i="2"/>
  <c r="G797" i="2"/>
  <c r="F797" i="2"/>
  <c r="E797" i="2"/>
  <c r="D797" i="2"/>
  <c r="C797" i="2"/>
  <c r="B797" i="2"/>
  <c r="A797" i="2"/>
  <c r="H796" i="2"/>
  <c r="G796" i="2"/>
  <c r="F796" i="2"/>
  <c r="E796" i="2"/>
  <c r="D796" i="2"/>
  <c r="C796" i="2"/>
  <c r="B796" i="2"/>
  <c r="A796" i="2"/>
  <c r="H795" i="2"/>
  <c r="G795" i="2"/>
  <c r="F795" i="2"/>
  <c r="E795" i="2"/>
  <c r="D795" i="2"/>
  <c r="C795" i="2"/>
  <c r="B795" i="2"/>
  <c r="A795" i="2"/>
  <c r="H794" i="2"/>
  <c r="G794" i="2"/>
  <c r="F794" i="2"/>
  <c r="E794" i="2"/>
  <c r="D794" i="2"/>
  <c r="C794" i="2"/>
  <c r="B794" i="2"/>
  <c r="A794" i="2"/>
  <c r="H793" i="2"/>
  <c r="G793" i="2"/>
  <c r="F793" i="2"/>
  <c r="E793" i="2"/>
  <c r="D793" i="2"/>
  <c r="C793" i="2"/>
  <c r="B793" i="2"/>
  <c r="A793" i="2"/>
  <c r="H792" i="2"/>
  <c r="G792" i="2"/>
  <c r="F792" i="2"/>
  <c r="E792" i="2"/>
  <c r="D792" i="2"/>
  <c r="C792" i="2"/>
  <c r="B792" i="2"/>
  <c r="A792" i="2"/>
  <c r="H791" i="2"/>
  <c r="G791" i="2"/>
  <c r="F791" i="2"/>
  <c r="E791" i="2"/>
  <c r="D791" i="2"/>
  <c r="C791" i="2"/>
  <c r="B791" i="2"/>
  <c r="A791" i="2"/>
  <c r="H790" i="2"/>
  <c r="G790" i="2"/>
  <c r="F790" i="2"/>
  <c r="E790" i="2"/>
  <c r="D790" i="2"/>
  <c r="C790" i="2"/>
  <c r="B790" i="2"/>
  <c r="A790" i="2"/>
  <c r="H789" i="2"/>
  <c r="G789" i="2"/>
  <c r="F789" i="2"/>
  <c r="E789" i="2"/>
  <c r="D789" i="2"/>
  <c r="C789" i="2"/>
  <c r="B789" i="2"/>
  <c r="A789" i="2"/>
  <c r="H788" i="2"/>
  <c r="G788" i="2"/>
  <c r="F788" i="2"/>
  <c r="E788" i="2"/>
  <c r="D788" i="2"/>
  <c r="C788" i="2"/>
  <c r="B788" i="2"/>
  <c r="A788" i="2"/>
  <c r="H787" i="2"/>
  <c r="G787" i="2"/>
  <c r="F787" i="2"/>
  <c r="E787" i="2"/>
  <c r="D787" i="2"/>
  <c r="C787" i="2"/>
  <c r="B787" i="2"/>
  <c r="A787" i="2"/>
  <c r="H786" i="2"/>
  <c r="G786" i="2"/>
  <c r="F786" i="2"/>
  <c r="E786" i="2"/>
  <c r="D786" i="2"/>
  <c r="C786" i="2"/>
  <c r="B786" i="2"/>
  <c r="A786" i="2"/>
  <c r="H785" i="2"/>
  <c r="G785" i="2"/>
  <c r="F785" i="2"/>
  <c r="E785" i="2"/>
  <c r="D785" i="2"/>
  <c r="C785" i="2"/>
  <c r="B785" i="2"/>
  <c r="A785" i="2"/>
  <c r="H784" i="2"/>
  <c r="G784" i="2"/>
  <c r="F784" i="2"/>
  <c r="E784" i="2"/>
  <c r="D784" i="2"/>
  <c r="C784" i="2"/>
  <c r="B784" i="2"/>
  <c r="A784" i="2"/>
  <c r="H783" i="2"/>
  <c r="G783" i="2"/>
  <c r="F783" i="2"/>
  <c r="E783" i="2"/>
  <c r="D783" i="2"/>
  <c r="C783" i="2"/>
  <c r="B783" i="2"/>
  <c r="A783" i="2"/>
  <c r="H782" i="2"/>
  <c r="G782" i="2"/>
  <c r="F782" i="2"/>
  <c r="E782" i="2"/>
  <c r="D782" i="2"/>
  <c r="C782" i="2"/>
  <c r="B782" i="2"/>
  <c r="A782" i="2"/>
  <c r="H781" i="2"/>
  <c r="G781" i="2"/>
  <c r="F781" i="2"/>
  <c r="E781" i="2"/>
  <c r="D781" i="2"/>
  <c r="C781" i="2"/>
  <c r="B781" i="2"/>
  <c r="A781" i="2"/>
  <c r="H780" i="2"/>
  <c r="G780" i="2"/>
  <c r="F780" i="2"/>
  <c r="E780" i="2"/>
  <c r="D780" i="2"/>
  <c r="C780" i="2"/>
  <c r="B780" i="2"/>
  <c r="A780" i="2"/>
  <c r="H779" i="2"/>
  <c r="G779" i="2"/>
  <c r="F779" i="2"/>
  <c r="E779" i="2"/>
  <c r="D779" i="2"/>
  <c r="C779" i="2"/>
  <c r="B779" i="2"/>
  <c r="A779" i="2"/>
  <c r="H778" i="2"/>
  <c r="G778" i="2"/>
  <c r="F778" i="2"/>
  <c r="E778" i="2"/>
  <c r="D778" i="2"/>
  <c r="C778" i="2"/>
  <c r="B778" i="2"/>
  <c r="A778" i="2"/>
  <c r="H777" i="2"/>
  <c r="G777" i="2"/>
  <c r="F777" i="2"/>
  <c r="E777" i="2"/>
  <c r="D777" i="2"/>
  <c r="C777" i="2"/>
  <c r="B777" i="2"/>
  <c r="A777" i="2"/>
  <c r="H776" i="2"/>
  <c r="G776" i="2"/>
  <c r="F776" i="2"/>
  <c r="E776" i="2"/>
  <c r="D776" i="2"/>
  <c r="C776" i="2"/>
  <c r="B776" i="2"/>
  <c r="A776" i="2"/>
  <c r="H775" i="2"/>
  <c r="G775" i="2"/>
  <c r="F775" i="2"/>
  <c r="E775" i="2"/>
  <c r="D775" i="2"/>
  <c r="C775" i="2"/>
  <c r="B775" i="2"/>
  <c r="A775" i="2"/>
  <c r="H774" i="2"/>
  <c r="G774" i="2"/>
  <c r="F774" i="2"/>
  <c r="E774" i="2"/>
  <c r="D774" i="2"/>
  <c r="C774" i="2"/>
  <c r="B774" i="2"/>
  <c r="A774" i="2"/>
  <c r="H773" i="2"/>
  <c r="G773" i="2"/>
  <c r="F773" i="2"/>
  <c r="E773" i="2"/>
  <c r="D773" i="2"/>
  <c r="C773" i="2"/>
  <c r="B773" i="2"/>
  <c r="A773" i="2"/>
  <c r="H772" i="2"/>
  <c r="G772" i="2"/>
  <c r="F772" i="2"/>
  <c r="E772" i="2"/>
  <c r="D772" i="2"/>
  <c r="C772" i="2"/>
  <c r="B772" i="2"/>
  <c r="A772" i="2"/>
  <c r="H771" i="2"/>
  <c r="G771" i="2"/>
  <c r="F771" i="2"/>
  <c r="E771" i="2"/>
  <c r="D771" i="2"/>
  <c r="C771" i="2"/>
  <c r="B771" i="2"/>
  <c r="A771" i="2"/>
  <c r="H770" i="2"/>
  <c r="G770" i="2"/>
  <c r="F770" i="2"/>
  <c r="E770" i="2"/>
  <c r="D770" i="2"/>
  <c r="C770" i="2"/>
  <c r="B770" i="2"/>
  <c r="A770" i="2"/>
  <c r="H769" i="2"/>
  <c r="G769" i="2"/>
  <c r="F769" i="2"/>
  <c r="E769" i="2"/>
  <c r="D769" i="2"/>
  <c r="C769" i="2"/>
  <c r="B769" i="2"/>
  <c r="A769" i="2"/>
  <c r="H768" i="2"/>
  <c r="G768" i="2"/>
  <c r="F768" i="2"/>
  <c r="E768" i="2"/>
  <c r="D768" i="2"/>
  <c r="C768" i="2"/>
  <c r="B768" i="2"/>
  <c r="A768" i="2"/>
  <c r="H767" i="2"/>
  <c r="G767" i="2"/>
  <c r="F767" i="2"/>
  <c r="E767" i="2"/>
  <c r="D767" i="2"/>
  <c r="C767" i="2"/>
  <c r="B767" i="2"/>
  <c r="A767" i="2"/>
  <c r="H766" i="2"/>
  <c r="G766" i="2"/>
  <c r="F766" i="2"/>
  <c r="E766" i="2"/>
  <c r="D766" i="2"/>
  <c r="C766" i="2"/>
  <c r="B766" i="2"/>
  <c r="A766" i="2"/>
  <c r="H765" i="2"/>
  <c r="G765" i="2"/>
  <c r="F765" i="2"/>
  <c r="E765" i="2"/>
  <c r="D765" i="2"/>
  <c r="C765" i="2"/>
  <c r="B765" i="2"/>
  <c r="A765" i="2"/>
  <c r="H764" i="2"/>
  <c r="G764" i="2"/>
  <c r="F764" i="2"/>
  <c r="E764" i="2"/>
  <c r="D764" i="2"/>
  <c r="C764" i="2"/>
  <c r="B764" i="2"/>
  <c r="A764" i="2"/>
  <c r="H763" i="2"/>
  <c r="G763" i="2"/>
  <c r="F763" i="2"/>
  <c r="E763" i="2"/>
  <c r="D763" i="2"/>
  <c r="C763" i="2"/>
  <c r="B763" i="2"/>
  <c r="A763" i="2"/>
  <c r="H762" i="2"/>
  <c r="G762" i="2"/>
  <c r="F762" i="2"/>
  <c r="E762" i="2"/>
  <c r="D762" i="2"/>
  <c r="C762" i="2"/>
  <c r="B762" i="2"/>
  <c r="A762" i="2"/>
  <c r="H761" i="2"/>
  <c r="G761" i="2"/>
  <c r="F761" i="2"/>
  <c r="E761" i="2"/>
  <c r="D761" i="2"/>
  <c r="C761" i="2"/>
  <c r="B761" i="2"/>
  <c r="A761" i="2"/>
  <c r="H760" i="2"/>
  <c r="G760" i="2"/>
  <c r="F760" i="2"/>
  <c r="E760" i="2"/>
  <c r="D760" i="2"/>
  <c r="C760" i="2"/>
  <c r="B760" i="2"/>
  <c r="A760" i="2"/>
  <c r="H759" i="2"/>
  <c r="G759" i="2"/>
  <c r="F759" i="2"/>
  <c r="E759" i="2"/>
  <c r="D759" i="2"/>
  <c r="C759" i="2"/>
  <c r="B759" i="2"/>
  <c r="A759" i="2"/>
  <c r="H758" i="2"/>
  <c r="G758" i="2"/>
  <c r="F758" i="2"/>
  <c r="E758" i="2"/>
  <c r="D758" i="2"/>
  <c r="C758" i="2"/>
  <c r="B758" i="2"/>
  <c r="A758" i="2"/>
  <c r="H757" i="2"/>
  <c r="G757" i="2"/>
  <c r="F757" i="2"/>
  <c r="E757" i="2"/>
  <c r="D757" i="2"/>
  <c r="C757" i="2"/>
  <c r="B757" i="2"/>
  <c r="A757" i="2"/>
  <c r="H756" i="2"/>
  <c r="G756" i="2"/>
  <c r="F756" i="2"/>
  <c r="E756" i="2"/>
  <c r="D756" i="2"/>
  <c r="C756" i="2"/>
  <c r="B756" i="2"/>
  <c r="A756" i="2"/>
  <c r="H755" i="2"/>
  <c r="G755" i="2"/>
  <c r="F755" i="2"/>
  <c r="E755" i="2"/>
  <c r="D755" i="2"/>
  <c r="C755" i="2"/>
  <c r="B755" i="2"/>
  <c r="A755" i="2"/>
  <c r="H754" i="2"/>
  <c r="G754" i="2"/>
  <c r="F754" i="2"/>
  <c r="E754" i="2"/>
  <c r="D754" i="2"/>
  <c r="C754" i="2"/>
  <c r="B754" i="2"/>
  <c r="A754" i="2"/>
  <c r="H753" i="2"/>
  <c r="G753" i="2"/>
  <c r="F753" i="2"/>
  <c r="E753" i="2"/>
  <c r="D753" i="2"/>
  <c r="C753" i="2"/>
  <c r="B753" i="2"/>
  <c r="A753" i="2"/>
  <c r="H752" i="2"/>
  <c r="G752" i="2"/>
  <c r="F752" i="2"/>
  <c r="E752" i="2"/>
  <c r="D752" i="2"/>
  <c r="C752" i="2"/>
  <c r="B752" i="2"/>
  <c r="A752" i="2"/>
  <c r="H751" i="2"/>
  <c r="G751" i="2"/>
  <c r="F751" i="2"/>
  <c r="E751" i="2"/>
  <c r="D751" i="2"/>
  <c r="C751" i="2"/>
  <c r="B751" i="2"/>
  <c r="A751" i="2"/>
  <c r="H750" i="2"/>
  <c r="G750" i="2"/>
  <c r="F750" i="2"/>
  <c r="E750" i="2"/>
  <c r="D750" i="2"/>
  <c r="C750" i="2"/>
  <c r="B750" i="2"/>
  <c r="A750" i="2"/>
  <c r="H749" i="2"/>
  <c r="G749" i="2"/>
  <c r="F749" i="2"/>
  <c r="E749" i="2"/>
  <c r="D749" i="2"/>
  <c r="C749" i="2"/>
  <c r="B749" i="2"/>
  <c r="A749" i="2"/>
  <c r="H748" i="2"/>
  <c r="G748" i="2"/>
  <c r="F748" i="2"/>
  <c r="E748" i="2"/>
  <c r="D748" i="2"/>
  <c r="C748" i="2"/>
  <c r="B748" i="2"/>
  <c r="A748" i="2"/>
  <c r="H747" i="2"/>
  <c r="G747" i="2"/>
  <c r="F747" i="2"/>
  <c r="E747" i="2"/>
  <c r="D747" i="2"/>
  <c r="C747" i="2"/>
  <c r="B747" i="2"/>
  <c r="A747" i="2"/>
  <c r="H746" i="2"/>
  <c r="G746" i="2"/>
  <c r="F746" i="2"/>
  <c r="E746" i="2"/>
  <c r="D746" i="2"/>
  <c r="C746" i="2"/>
  <c r="B746" i="2"/>
  <c r="A746" i="2"/>
  <c r="H745" i="2"/>
  <c r="G745" i="2"/>
  <c r="F745" i="2"/>
  <c r="E745" i="2"/>
  <c r="D745" i="2"/>
  <c r="C745" i="2"/>
  <c r="B745" i="2"/>
  <c r="A745" i="2"/>
  <c r="H744" i="2"/>
  <c r="G744" i="2"/>
  <c r="F744" i="2"/>
  <c r="E744" i="2"/>
  <c r="D744" i="2"/>
  <c r="C744" i="2"/>
  <c r="B744" i="2"/>
  <c r="A744" i="2"/>
  <c r="H743" i="2"/>
  <c r="G743" i="2"/>
  <c r="F743" i="2"/>
  <c r="E743" i="2"/>
  <c r="D743" i="2"/>
  <c r="C743" i="2"/>
  <c r="B743" i="2"/>
  <c r="A743" i="2"/>
  <c r="H742" i="2"/>
  <c r="G742" i="2"/>
  <c r="F742" i="2"/>
  <c r="E742" i="2"/>
  <c r="D742" i="2"/>
  <c r="C742" i="2"/>
  <c r="B742" i="2"/>
  <c r="A742" i="2"/>
  <c r="H741" i="2"/>
  <c r="G741" i="2"/>
  <c r="F741" i="2"/>
  <c r="E741" i="2"/>
  <c r="D741" i="2"/>
  <c r="C741" i="2"/>
  <c r="B741" i="2"/>
  <c r="A741" i="2"/>
  <c r="H740" i="2"/>
  <c r="G740" i="2"/>
  <c r="F740" i="2"/>
  <c r="E740" i="2"/>
  <c r="D740" i="2"/>
  <c r="C740" i="2"/>
  <c r="B740" i="2"/>
  <c r="A740" i="2"/>
  <c r="H739" i="2"/>
  <c r="G739" i="2"/>
  <c r="F739" i="2"/>
  <c r="E739" i="2"/>
  <c r="D739" i="2"/>
  <c r="C739" i="2"/>
  <c r="B739" i="2"/>
  <c r="A739" i="2"/>
  <c r="H738" i="2"/>
  <c r="G738" i="2"/>
  <c r="F738" i="2"/>
  <c r="E738" i="2"/>
  <c r="D738" i="2"/>
  <c r="C738" i="2"/>
  <c r="B738" i="2"/>
  <c r="A738" i="2"/>
  <c r="H737" i="2"/>
  <c r="G737" i="2"/>
  <c r="F737" i="2"/>
  <c r="E737" i="2"/>
  <c r="D737" i="2"/>
  <c r="C737" i="2"/>
  <c r="B737" i="2"/>
  <c r="A737" i="2"/>
  <c r="H736" i="2"/>
  <c r="G736" i="2"/>
  <c r="F736" i="2"/>
  <c r="E736" i="2"/>
  <c r="D736" i="2"/>
  <c r="C736" i="2"/>
  <c r="B736" i="2"/>
  <c r="A736" i="2"/>
  <c r="H735" i="2"/>
  <c r="G735" i="2"/>
  <c r="F735" i="2"/>
  <c r="E735" i="2"/>
  <c r="D735" i="2"/>
  <c r="C735" i="2"/>
  <c r="B735" i="2"/>
  <c r="A735" i="2"/>
  <c r="H734" i="2"/>
  <c r="G734" i="2"/>
  <c r="F734" i="2"/>
  <c r="E734" i="2"/>
  <c r="D734" i="2"/>
  <c r="C734" i="2"/>
  <c r="B734" i="2"/>
  <c r="A734" i="2"/>
  <c r="H733" i="2"/>
  <c r="G733" i="2"/>
  <c r="F733" i="2"/>
  <c r="E733" i="2"/>
  <c r="D733" i="2"/>
  <c r="C733" i="2"/>
  <c r="B733" i="2"/>
  <c r="A733" i="2"/>
  <c r="H732" i="2"/>
  <c r="G732" i="2"/>
  <c r="F732" i="2"/>
  <c r="E732" i="2"/>
  <c r="D732" i="2"/>
  <c r="C732" i="2"/>
  <c r="B732" i="2"/>
  <c r="A732" i="2"/>
  <c r="H731" i="2"/>
  <c r="G731" i="2"/>
  <c r="F731" i="2"/>
  <c r="E731" i="2"/>
  <c r="D731" i="2"/>
  <c r="C731" i="2"/>
  <c r="B731" i="2"/>
  <c r="A731" i="2"/>
  <c r="H730" i="2"/>
  <c r="G730" i="2"/>
  <c r="F730" i="2"/>
  <c r="E730" i="2"/>
  <c r="D730" i="2"/>
  <c r="C730" i="2"/>
  <c r="B730" i="2"/>
  <c r="A730" i="2"/>
  <c r="H729" i="2"/>
  <c r="G729" i="2"/>
  <c r="F729" i="2"/>
  <c r="E729" i="2"/>
  <c r="D729" i="2"/>
  <c r="C729" i="2"/>
  <c r="B729" i="2"/>
  <c r="A729" i="2"/>
  <c r="H728" i="2"/>
  <c r="G728" i="2"/>
  <c r="F728" i="2"/>
  <c r="E728" i="2"/>
  <c r="D728" i="2"/>
  <c r="C728" i="2"/>
  <c r="B728" i="2"/>
  <c r="A728" i="2"/>
  <c r="H727" i="2"/>
  <c r="G727" i="2"/>
  <c r="F727" i="2"/>
  <c r="E727" i="2"/>
  <c r="D727" i="2"/>
  <c r="C727" i="2"/>
  <c r="B727" i="2"/>
  <c r="A727" i="2"/>
  <c r="H726" i="2"/>
  <c r="G726" i="2"/>
  <c r="F726" i="2"/>
  <c r="E726" i="2"/>
  <c r="D726" i="2"/>
  <c r="C726" i="2"/>
  <c r="B726" i="2"/>
  <c r="A726" i="2"/>
  <c r="H725" i="2"/>
  <c r="G725" i="2"/>
  <c r="F725" i="2"/>
  <c r="E725" i="2"/>
  <c r="D725" i="2"/>
  <c r="C725" i="2"/>
  <c r="B725" i="2"/>
  <c r="A725" i="2"/>
  <c r="H724" i="2"/>
  <c r="G724" i="2"/>
  <c r="F724" i="2"/>
  <c r="E724" i="2"/>
  <c r="D724" i="2"/>
  <c r="C724" i="2"/>
  <c r="B724" i="2"/>
  <c r="A724" i="2"/>
  <c r="H723" i="2"/>
  <c r="G723" i="2"/>
  <c r="F723" i="2"/>
  <c r="E723" i="2"/>
  <c r="D723" i="2"/>
  <c r="C723" i="2"/>
  <c r="B723" i="2"/>
  <c r="A723" i="2"/>
  <c r="H722" i="2"/>
  <c r="G722" i="2"/>
  <c r="F722" i="2"/>
  <c r="E722" i="2"/>
  <c r="D722" i="2"/>
  <c r="C722" i="2"/>
  <c r="B722" i="2"/>
  <c r="A722" i="2"/>
  <c r="H721" i="2"/>
  <c r="G721" i="2"/>
  <c r="F721" i="2"/>
  <c r="E721" i="2"/>
  <c r="D721" i="2"/>
  <c r="C721" i="2"/>
  <c r="B721" i="2"/>
  <c r="A721" i="2"/>
  <c r="H720" i="2"/>
  <c r="G720" i="2"/>
  <c r="F720" i="2"/>
  <c r="E720" i="2"/>
  <c r="D720" i="2"/>
  <c r="C720" i="2"/>
  <c r="B720" i="2"/>
  <c r="A720" i="2"/>
  <c r="H719" i="2"/>
  <c r="G719" i="2"/>
  <c r="F719" i="2"/>
  <c r="E719" i="2"/>
  <c r="D719" i="2"/>
  <c r="C719" i="2"/>
  <c r="B719" i="2"/>
  <c r="A719" i="2"/>
  <c r="H718" i="2"/>
  <c r="G718" i="2"/>
  <c r="F718" i="2"/>
  <c r="E718" i="2"/>
  <c r="D718" i="2"/>
  <c r="C718" i="2"/>
  <c r="B718" i="2"/>
  <c r="A718" i="2"/>
  <c r="H717" i="2"/>
  <c r="G717" i="2"/>
  <c r="F717" i="2"/>
  <c r="E717" i="2"/>
  <c r="D717" i="2"/>
  <c r="C717" i="2"/>
  <c r="B717" i="2"/>
  <c r="A717" i="2"/>
  <c r="H716" i="2"/>
  <c r="G716" i="2"/>
  <c r="F716" i="2"/>
  <c r="E716" i="2"/>
  <c r="D716" i="2"/>
  <c r="C716" i="2"/>
  <c r="B716" i="2"/>
  <c r="A716" i="2"/>
  <c r="H715" i="2"/>
  <c r="G715" i="2"/>
  <c r="F715" i="2"/>
  <c r="E715" i="2"/>
  <c r="D715" i="2"/>
  <c r="C715" i="2"/>
  <c r="B715" i="2"/>
  <c r="A715" i="2"/>
  <c r="H714" i="2"/>
  <c r="G714" i="2"/>
  <c r="F714" i="2"/>
  <c r="E714" i="2"/>
  <c r="D714" i="2"/>
  <c r="C714" i="2"/>
  <c r="B714" i="2"/>
  <c r="A714" i="2"/>
  <c r="H713" i="2"/>
  <c r="G713" i="2"/>
  <c r="F713" i="2"/>
  <c r="E713" i="2"/>
  <c r="D713" i="2"/>
  <c r="C713" i="2"/>
  <c r="B713" i="2"/>
  <c r="A713" i="2"/>
  <c r="H712" i="2"/>
  <c r="G712" i="2"/>
  <c r="F712" i="2"/>
  <c r="E712" i="2"/>
  <c r="D712" i="2"/>
  <c r="C712" i="2"/>
  <c r="B712" i="2"/>
  <c r="A712" i="2"/>
  <c r="H711" i="2"/>
  <c r="G711" i="2"/>
  <c r="F711" i="2"/>
  <c r="E711" i="2"/>
  <c r="D711" i="2"/>
  <c r="C711" i="2"/>
  <c r="B711" i="2"/>
  <c r="A711" i="2"/>
  <c r="H710" i="2"/>
  <c r="G710" i="2"/>
  <c r="F710" i="2"/>
  <c r="E710" i="2"/>
  <c r="D710" i="2"/>
  <c r="C710" i="2"/>
  <c r="B710" i="2"/>
  <c r="A710" i="2"/>
  <c r="H709" i="2"/>
  <c r="G709" i="2"/>
  <c r="F709" i="2"/>
  <c r="E709" i="2"/>
  <c r="D709" i="2"/>
  <c r="C709" i="2"/>
  <c r="B709" i="2"/>
  <c r="A709" i="2"/>
  <c r="H708" i="2"/>
  <c r="G708" i="2"/>
  <c r="F708" i="2"/>
  <c r="E708" i="2"/>
  <c r="D708" i="2"/>
  <c r="C708" i="2"/>
  <c r="B708" i="2"/>
  <c r="A708" i="2"/>
  <c r="H707" i="2"/>
  <c r="G707" i="2"/>
  <c r="F707" i="2"/>
  <c r="E707" i="2"/>
  <c r="D707" i="2"/>
  <c r="C707" i="2"/>
  <c r="B707" i="2"/>
  <c r="A707" i="2"/>
  <c r="H706" i="2"/>
  <c r="G706" i="2"/>
  <c r="F706" i="2"/>
  <c r="E706" i="2"/>
  <c r="D706" i="2"/>
  <c r="C706" i="2"/>
  <c r="B706" i="2"/>
  <c r="A706" i="2"/>
  <c r="H705" i="2"/>
  <c r="G705" i="2"/>
  <c r="F705" i="2"/>
  <c r="E705" i="2"/>
  <c r="D705" i="2"/>
  <c r="C705" i="2"/>
  <c r="B705" i="2"/>
  <c r="A705" i="2"/>
  <c r="H704" i="2"/>
  <c r="G704" i="2"/>
  <c r="F704" i="2"/>
  <c r="E704" i="2"/>
  <c r="D704" i="2"/>
  <c r="C704" i="2"/>
  <c r="B704" i="2"/>
  <c r="A704" i="2"/>
  <c r="H703" i="2"/>
  <c r="G703" i="2"/>
  <c r="F703" i="2"/>
  <c r="E703" i="2"/>
  <c r="D703" i="2"/>
  <c r="C703" i="2"/>
  <c r="B703" i="2"/>
  <c r="A703" i="2"/>
  <c r="H702" i="2"/>
  <c r="G702" i="2"/>
  <c r="F702" i="2"/>
  <c r="E702" i="2"/>
  <c r="D702" i="2"/>
  <c r="C702" i="2"/>
  <c r="B702" i="2"/>
  <c r="A702" i="2"/>
  <c r="H701" i="2"/>
  <c r="G701" i="2"/>
  <c r="F701" i="2"/>
  <c r="E701" i="2"/>
  <c r="D701" i="2"/>
  <c r="C701" i="2"/>
  <c r="B701" i="2"/>
  <c r="A701" i="2"/>
  <c r="H700" i="2"/>
  <c r="G700" i="2"/>
  <c r="F700" i="2"/>
  <c r="E700" i="2"/>
  <c r="D700" i="2"/>
  <c r="C700" i="2"/>
  <c r="B700" i="2"/>
  <c r="A700" i="2"/>
  <c r="H699" i="2"/>
  <c r="G699" i="2"/>
  <c r="F699" i="2"/>
  <c r="E699" i="2"/>
  <c r="D699" i="2"/>
  <c r="C699" i="2"/>
  <c r="B699" i="2"/>
  <c r="A699" i="2"/>
  <c r="H698" i="2"/>
  <c r="G698" i="2"/>
  <c r="F698" i="2"/>
  <c r="E698" i="2"/>
  <c r="D698" i="2"/>
  <c r="C698" i="2"/>
  <c r="B698" i="2"/>
  <c r="A698" i="2"/>
  <c r="H697" i="2"/>
  <c r="G697" i="2"/>
  <c r="F697" i="2"/>
  <c r="E697" i="2"/>
  <c r="D697" i="2"/>
  <c r="C697" i="2"/>
  <c r="B697" i="2"/>
  <c r="A697" i="2"/>
  <c r="H696" i="2"/>
  <c r="G696" i="2"/>
  <c r="F696" i="2"/>
  <c r="E696" i="2"/>
  <c r="D696" i="2"/>
  <c r="C696" i="2"/>
  <c r="B696" i="2"/>
  <c r="A696" i="2"/>
  <c r="H695" i="2"/>
  <c r="G695" i="2"/>
  <c r="F695" i="2"/>
  <c r="E695" i="2"/>
  <c r="D695" i="2"/>
  <c r="C695" i="2"/>
  <c r="B695" i="2"/>
  <c r="A695" i="2"/>
  <c r="H694" i="2"/>
  <c r="G694" i="2"/>
  <c r="F694" i="2"/>
  <c r="E694" i="2"/>
  <c r="D694" i="2"/>
  <c r="C694" i="2"/>
  <c r="B694" i="2"/>
  <c r="A694" i="2"/>
  <c r="H693" i="2"/>
  <c r="G693" i="2"/>
  <c r="F693" i="2"/>
  <c r="E693" i="2"/>
  <c r="D693" i="2"/>
  <c r="C693" i="2"/>
  <c r="B693" i="2"/>
  <c r="A693" i="2"/>
  <c r="H692" i="2"/>
  <c r="G692" i="2"/>
  <c r="F692" i="2"/>
  <c r="E692" i="2"/>
  <c r="D692" i="2"/>
  <c r="C692" i="2"/>
  <c r="B692" i="2"/>
  <c r="A692" i="2"/>
  <c r="H691" i="2"/>
  <c r="G691" i="2"/>
  <c r="F691" i="2"/>
  <c r="E691" i="2"/>
  <c r="D691" i="2"/>
  <c r="C691" i="2"/>
  <c r="B691" i="2"/>
  <c r="A691" i="2"/>
  <c r="H690" i="2"/>
  <c r="G690" i="2"/>
  <c r="F690" i="2"/>
  <c r="E690" i="2"/>
  <c r="D690" i="2"/>
  <c r="C690" i="2"/>
  <c r="B690" i="2"/>
  <c r="A690" i="2"/>
  <c r="H689" i="2"/>
  <c r="G689" i="2"/>
  <c r="F689" i="2"/>
  <c r="E689" i="2"/>
  <c r="D689" i="2"/>
  <c r="C689" i="2"/>
  <c r="B689" i="2"/>
  <c r="A689" i="2"/>
  <c r="H688" i="2"/>
  <c r="G688" i="2"/>
  <c r="F688" i="2"/>
  <c r="E688" i="2"/>
  <c r="D688" i="2"/>
  <c r="C688" i="2"/>
  <c r="B688" i="2"/>
  <c r="A688" i="2"/>
  <c r="H687" i="2"/>
  <c r="G687" i="2"/>
  <c r="F687" i="2"/>
  <c r="E687" i="2"/>
  <c r="D687" i="2"/>
  <c r="C687" i="2"/>
  <c r="B687" i="2"/>
  <c r="A687" i="2"/>
  <c r="H686" i="2"/>
  <c r="G686" i="2"/>
  <c r="F686" i="2"/>
  <c r="E686" i="2"/>
  <c r="D686" i="2"/>
  <c r="C686" i="2"/>
  <c r="B686" i="2"/>
  <c r="A686" i="2"/>
  <c r="H685" i="2"/>
  <c r="G685" i="2"/>
  <c r="F685" i="2"/>
  <c r="E685" i="2"/>
  <c r="D685" i="2"/>
  <c r="C685" i="2"/>
  <c r="B685" i="2"/>
  <c r="A685" i="2"/>
  <c r="H684" i="2"/>
  <c r="G684" i="2"/>
  <c r="F684" i="2"/>
  <c r="E684" i="2"/>
  <c r="D684" i="2"/>
  <c r="C684" i="2"/>
  <c r="B684" i="2"/>
  <c r="A684" i="2"/>
  <c r="H683" i="2"/>
  <c r="G683" i="2"/>
  <c r="F683" i="2"/>
  <c r="E683" i="2"/>
  <c r="D683" i="2"/>
  <c r="C683" i="2"/>
  <c r="B683" i="2"/>
  <c r="A683" i="2"/>
  <c r="H682" i="2"/>
  <c r="G682" i="2"/>
  <c r="F682" i="2"/>
  <c r="E682" i="2"/>
  <c r="D682" i="2"/>
  <c r="C682" i="2"/>
  <c r="B682" i="2"/>
  <c r="A682" i="2"/>
  <c r="H681" i="2"/>
  <c r="G681" i="2"/>
  <c r="F681" i="2"/>
  <c r="E681" i="2"/>
  <c r="D681" i="2"/>
  <c r="C681" i="2"/>
  <c r="B681" i="2"/>
  <c r="A681" i="2"/>
  <c r="H680" i="2"/>
  <c r="G680" i="2"/>
  <c r="F680" i="2"/>
  <c r="E680" i="2"/>
  <c r="D680" i="2"/>
  <c r="C680" i="2"/>
  <c r="B680" i="2"/>
  <c r="A680" i="2"/>
  <c r="H679" i="2"/>
  <c r="G679" i="2"/>
  <c r="F679" i="2"/>
  <c r="E679" i="2"/>
  <c r="D679" i="2"/>
  <c r="C679" i="2"/>
  <c r="B679" i="2"/>
  <c r="A679" i="2"/>
  <c r="H678" i="2"/>
  <c r="G678" i="2"/>
  <c r="F678" i="2"/>
  <c r="E678" i="2"/>
  <c r="D678" i="2"/>
  <c r="C678" i="2"/>
  <c r="B678" i="2"/>
  <c r="A678" i="2"/>
  <c r="H677" i="2"/>
  <c r="G677" i="2"/>
  <c r="F677" i="2"/>
  <c r="E677" i="2"/>
  <c r="D677" i="2"/>
  <c r="C677" i="2"/>
  <c r="B677" i="2"/>
  <c r="A677" i="2"/>
  <c r="H676" i="2"/>
  <c r="G676" i="2"/>
  <c r="F676" i="2"/>
  <c r="E676" i="2"/>
  <c r="D676" i="2"/>
  <c r="C676" i="2"/>
  <c r="B676" i="2"/>
  <c r="A676" i="2"/>
  <c r="H675" i="2"/>
  <c r="G675" i="2"/>
  <c r="F675" i="2"/>
  <c r="E675" i="2"/>
  <c r="D675" i="2"/>
  <c r="C675" i="2"/>
  <c r="B675" i="2"/>
  <c r="A675" i="2"/>
  <c r="H674" i="2"/>
  <c r="G674" i="2"/>
  <c r="F674" i="2"/>
  <c r="E674" i="2"/>
  <c r="D674" i="2"/>
  <c r="C674" i="2"/>
  <c r="B674" i="2"/>
  <c r="A674" i="2"/>
  <c r="H673" i="2"/>
  <c r="G673" i="2"/>
  <c r="F673" i="2"/>
  <c r="E673" i="2"/>
  <c r="D673" i="2"/>
  <c r="C673" i="2"/>
  <c r="B673" i="2"/>
  <c r="A673" i="2"/>
  <c r="H672" i="2"/>
  <c r="G672" i="2"/>
  <c r="F672" i="2"/>
  <c r="E672" i="2"/>
  <c r="D672" i="2"/>
  <c r="C672" i="2"/>
  <c r="B672" i="2"/>
  <c r="A672" i="2"/>
  <c r="H671" i="2"/>
  <c r="G671" i="2"/>
  <c r="F671" i="2"/>
  <c r="E671" i="2"/>
  <c r="D671" i="2"/>
  <c r="C671" i="2"/>
  <c r="B671" i="2"/>
  <c r="A671" i="2"/>
  <c r="H670" i="2"/>
  <c r="G670" i="2"/>
  <c r="F670" i="2"/>
  <c r="E670" i="2"/>
  <c r="D670" i="2"/>
  <c r="C670" i="2"/>
  <c r="B670" i="2"/>
  <c r="A670" i="2"/>
  <c r="H669" i="2"/>
  <c r="G669" i="2"/>
  <c r="F669" i="2"/>
  <c r="E669" i="2"/>
  <c r="D669" i="2"/>
  <c r="C669" i="2"/>
  <c r="B669" i="2"/>
  <c r="A669" i="2"/>
  <c r="H668" i="2"/>
  <c r="G668" i="2"/>
  <c r="F668" i="2"/>
  <c r="E668" i="2"/>
  <c r="D668" i="2"/>
  <c r="C668" i="2"/>
  <c r="B668" i="2"/>
  <c r="A668" i="2"/>
  <c r="H667" i="2"/>
  <c r="G667" i="2"/>
  <c r="F667" i="2"/>
  <c r="E667" i="2"/>
  <c r="D667" i="2"/>
  <c r="C667" i="2"/>
  <c r="B667" i="2"/>
  <c r="A667" i="2"/>
  <c r="H666" i="2"/>
  <c r="G666" i="2"/>
  <c r="F666" i="2"/>
  <c r="E666" i="2"/>
  <c r="D666" i="2"/>
  <c r="C666" i="2"/>
  <c r="B666" i="2"/>
  <c r="A666" i="2"/>
  <c r="H665" i="2"/>
  <c r="G665" i="2"/>
  <c r="F665" i="2"/>
  <c r="E665" i="2"/>
  <c r="D665" i="2"/>
  <c r="C665" i="2"/>
  <c r="B665" i="2"/>
  <c r="A665" i="2"/>
  <c r="H664" i="2"/>
  <c r="G664" i="2"/>
  <c r="F664" i="2"/>
  <c r="E664" i="2"/>
  <c r="D664" i="2"/>
  <c r="C664" i="2"/>
  <c r="B664" i="2"/>
  <c r="A664" i="2"/>
  <c r="H663" i="2"/>
  <c r="G663" i="2"/>
  <c r="F663" i="2"/>
  <c r="E663" i="2"/>
  <c r="D663" i="2"/>
  <c r="C663" i="2"/>
  <c r="B663" i="2"/>
  <c r="A663" i="2"/>
  <c r="H662" i="2"/>
  <c r="G662" i="2"/>
  <c r="F662" i="2"/>
  <c r="E662" i="2"/>
  <c r="D662" i="2"/>
  <c r="C662" i="2"/>
  <c r="B662" i="2"/>
  <c r="A662" i="2"/>
  <c r="H661" i="2"/>
  <c r="G661" i="2"/>
  <c r="F661" i="2"/>
  <c r="E661" i="2"/>
  <c r="D661" i="2"/>
  <c r="C661" i="2"/>
  <c r="B661" i="2"/>
  <c r="A661" i="2"/>
  <c r="H660" i="2"/>
  <c r="G660" i="2"/>
  <c r="F660" i="2"/>
  <c r="E660" i="2"/>
  <c r="D660" i="2"/>
  <c r="C660" i="2"/>
  <c r="B660" i="2"/>
  <c r="A660" i="2"/>
  <c r="H659" i="2"/>
  <c r="G659" i="2"/>
  <c r="F659" i="2"/>
  <c r="E659" i="2"/>
  <c r="D659" i="2"/>
  <c r="C659" i="2"/>
  <c r="B659" i="2"/>
  <c r="A659" i="2"/>
  <c r="H658" i="2"/>
  <c r="G658" i="2"/>
  <c r="F658" i="2"/>
  <c r="E658" i="2"/>
  <c r="D658" i="2"/>
  <c r="C658" i="2"/>
  <c r="B658" i="2"/>
  <c r="A658" i="2"/>
  <c r="H657" i="2"/>
  <c r="G657" i="2"/>
  <c r="F657" i="2"/>
  <c r="E657" i="2"/>
  <c r="D657" i="2"/>
  <c r="C657" i="2"/>
  <c r="B657" i="2"/>
  <c r="A657" i="2"/>
  <c r="H656" i="2"/>
  <c r="G656" i="2"/>
  <c r="F656" i="2"/>
  <c r="E656" i="2"/>
  <c r="D656" i="2"/>
  <c r="C656" i="2"/>
  <c r="B656" i="2"/>
  <c r="A656" i="2"/>
  <c r="H655" i="2"/>
  <c r="G655" i="2"/>
  <c r="F655" i="2"/>
  <c r="E655" i="2"/>
  <c r="D655" i="2"/>
  <c r="C655" i="2"/>
  <c r="B655" i="2"/>
  <c r="A655" i="2"/>
  <c r="H654" i="2"/>
  <c r="G654" i="2"/>
  <c r="F654" i="2"/>
  <c r="E654" i="2"/>
  <c r="D654" i="2"/>
  <c r="C654" i="2"/>
  <c r="B654" i="2"/>
  <c r="A654" i="2"/>
  <c r="H653" i="2"/>
  <c r="G653" i="2"/>
  <c r="F653" i="2"/>
  <c r="E653" i="2"/>
  <c r="D653" i="2"/>
  <c r="C653" i="2"/>
  <c r="B653" i="2"/>
  <c r="A653" i="2"/>
  <c r="H652" i="2"/>
  <c r="G652" i="2"/>
  <c r="F652" i="2"/>
  <c r="E652" i="2"/>
  <c r="D652" i="2"/>
  <c r="C652" i="2"/>
  <c r="B652" i="2"/>
  <c r="A652" i="2"/>
  <c r="H651" i="2"/>
  <c r="G651" i="2"/>
  <c r="F651" i="2"/>
  <c r="E651" i="2"/>
  <c r="D651" i="2"/>
  <c r="C651" i="2"/>
  <c r="B651" i="2"/>
  <c r="A651" i="2"/>
  <c r="H650" i="2"/>
  <c r="G650" i="2"/>
  <c r="F650" i="2"/>
  <c r="E650" i="2"/>
  <c r="D650" i="2"/>
  <c r="C650" i="2"/>
  <c r="B650" i="2"/>
  <c r="A650" i="2"/>
  <c r="H649" i="2"/>
  <c r="G649" i="2"/>
  <c r="F649" i="2"/>
  <c r="E649" i="2"/>
  <c r="D649" i="2"/>
  <c r="C649" i="2"/>
  <c r="B649" i="2"/>
  <c r="A649" i="2"/>
  <c r="H648" i="2"/>
  <c r="G648" i="2"/>
  <c r="F648" i="2"/>
  <c r="E648" i="2"/>
  <c r="D648" i="2"/>
  <c r="C648" i="2"/>
  <c r="B648" i="2"/>
  <c r="A648" i="2"/>
  <c r="H647" i="2"/>
  <c r="G647" i="2"/>
  <c r="F647" i="2"/>
  <c r="E647" i="2"/>
  <c r="D647" i="2"/>
  <c r="C647" i="2"/>
  <c r="B647" i="2"/>
  <c r="A647" i="2"/>
  <c r="H646" i="2"/>
  <c r="G646" i="2"/>
  <c r="F646" i="2"/>
  <c r="E646" i="2"/>
  <c r="D646" i="2"/>
  <c r="C646" i="2"/>
  <c r="B646" i="2"/>
  <c r="A646" i="2"/>
  <c r="H645" i="2"/>
  <c r="G645" i="2"/>
  <c r="F645" i="2"/>
  <c r="E645" i="2"/>
  <c r="D645" i="2"/>
  <c r="C645" i="2"/>
  <c r="B645" i="2"/>
  <c r="A645" i="2"/>
  <c r="H644" i="2"/>
  <c r="G644" i="2"/>
  <c r="F644" i="2"/>
  <c r="E644" i="2"/>
  <c r="D644" i="2"/>
  <c r="C644" i="2"/>
  <c r="B644" i="2"/>
  <c r="A644" i="2"/>
  <c r="H643" i="2"/>
  <c r="G643" i="2"/>
  <c r="F643" i="2"/>
  <c r="E643" i="2"/>
  <c r="D643" i="2"/>
  <c r="C643" i="2"/>
  <c r="B643" i="2"/>
  <c r="A643" i="2"/>
  <c r="H642" i="2"/>
  <c r="G642" i="2"/>
  <c r="F642" i="2"/>
  <c r="E642" i="2"/>
  <c r="D642" i="2"/>
  <c r="C642" i="2"/>
  <c r="B642" i="2"/>
  <c r="A642" i="2"/>
  <c r="H641" i="2"/>
  <c r="G641" i="2"/>
  <c r="F641" i="2"/>
  <c r="E641" i="2"/>
  <c r="D641" i="2"/>
  <c r="C641" i="2"/>
  <c r="B641" i="2"/>
  <c r="A641" i="2"/>
  <c r="H640" i="2"/>
  <c r="G640" i="2"/>
  <c r="F640" i="2"/>
  <c r="E640" i="2"/>
  <c r="D640" i="2"/>
  <c r="C640" i="2"/>
  <c r="B640" i="2"/>
  <c r="A640" i="2"/>
  <c r="H639" i="2"/>
  <c r="G639" i="2"/>
  <c r="F639" i="2"/>
  <c r="E639" i="2"/>
  <c r="D639" i="2"/>
  <c r="C639" i="2"/>
  <c r="B639" i="2"/>
  <c r="A639" i="2"/>
  <c r="H638" i="2"/>
  <c r="G638" i="2"/>
  <c r="F638" i="2"/>
  <c r="E638" i="2"/>
  <c r="D638" i="2"/>
  <c r="C638" i="2"/>
  <c r="B638" i="2"/>
  <c r="A638" i="2"/>
  <c r="H637" i="2"/>
  <c r="G637" i="2"/>
  <c r="F637" i="2"/>
  <c r="E637" i="2"/>
  <c r="D637" i="2"/>
  <c r="C637" i="2"/>
  <c r="B637" i="2"/>
  <c r="A637" i="2"/>
  <c r="H636" i="2"/>
  <c r="G636" i="2"/>
  <c r="F636" i="2"/>
  <c r="E636" i="2"/>
  <c r="D636" i="2"/>
  <c r="C636" i="2"/>
  <c r="B636" i="2"/>
  <c r="A636" i="2"/>
  <c r="H635" i="2"/>
  <c r="G635" i="2"/>
  <c r="F635" i="2"/>
  <c r="E635" i="2"/>
  <c r="D635" i="2"/>
  <c r="C635" i="2"/>
  <c r="B635" i="2"/>
  <c r="A635" i="2"/>
  <c r="H634" i="2"/>
  <c r="G634" i="2"/>
  <c r="F634" i="2"/>
  <c r="E634" i="2"/>
  <c r="D634" i="2"/>
  <c r="C634" i="2"/>
  <c r="B634" i="2"/>
  <c r="A634" i="2"/>
  <c r="H633" i="2"/>
  <c r="G633" i="2"/>
  <c r="F633" i="2"/>
  <c r="E633" i="2"/>
  <c r="D633" i="2"/>
  <c r="C633" i="2"/>
  <c r="B633" i="2"/>
  <c r="A633" i="2"/>
  <c r="H632" i="2"/>
  <c r="G632" i="2"/>
  <c r="F632" i="2"/>
  <c r="E632" i="2"/>
  <c r="D632" i="2"/>
  <c r="C632" i="2"/>
  <c r="B632" i="2"/>
  <c r="A632" i="2"/>
  <c r="H631" i="2"/>
  <c r="G631" i="2"/>
  <c r="F631" i="2"/>
  <c r="E631" i="2"/>
  <c r="D631" i="2"/>
  <c r="C631" i="2"/>
  <c r="B631" i="2"/>
  <c r="A631" i="2"/>
  <c r="H630" i="2"/>
  <c r="G630" i="2"/>
  <c r="F630" i="2"/>
  <c r="E630" i="2"/>
  <c r="D630" i="2"/>
  <c r="C630" i="2"/>
  <c r="B630" i="2"/>
  <c r="A630" i="2"/>
  <c r="H629" i="2"/>
  <c r="G629" i="2"/>
  <c r="F629" i="2"/>
  <c r="E629" i="2"/>
  <c r="D629" i="2"/>
  <c r="C629" i="2"/>
  <c r="B629" i="2"/>
  <c r="A629" i="2"/>
  <c r="H628" i="2"/>
  <c r="G628" i="2"/>
  <c r="F628" i="2"/>
  <c r="E628" i="2"/>
  <c r="D628" i="2"/>
  <c r="C628" i="2"/>
  <c r="B628" i="2"/>
  <c r="A628" i="2"/>
  <c r="H627" i="2"/>
  <c r="G627" i="2"/>
  <c r="F627" i="2"/>
  <c r="E627" i="2"/>
  <c r="D627" i="2"/>
  <c r="C627" i="2"/>
  <c r="B627" i="2"/>
  <c r="A627" i="2"/>
  <c r="H626" i="2"/>
  <c r="G626" i="2"/>
  <c r="F626" i="2"/>
  <c r="E626" i="2"/>
  <c r="D626" i="2"/>
  <c r="C626" i="2"/>
  <c r="B626" i="2"/>
  <c r="A626" i="2"/>
  <c r="H625" i="2"/>
  <c r="G625" i="2"/>
  <c r="F625" i="2"/>
  <c r="E625" i="2"/>
  <c r="D625" i="2"/>
  <c r="C625" i="2"/>
  <c r="B625" i="2"/>
  <c r="A625" i="2"/>
  <c r="H624" i="2"/>
  <c r="G624" i="2"/>
  <c r="F624" i="2"/>
  <c r="E624" i="2"/>
  <c r="D624" i="2"/>
  <c r="C624" i="2"/>
  <c r="B624" i="2"/>
  <c r="A624" i="2"/>
  <c r="H623" i="2"/>
  <c r="G623" i="2"/>
  <c r="F623" i="2"/>
  <c r="E623" i="2"/>
  <c r="D623" i="2"/>
  <c r="C623" i="2"/>
  <c r="B623" i="2"/>
  <c r="A623" i="2"/>
  <c r="H622" i="2"/>
  <c r="G622" i="2"/>
  <c r="F622" i="2"/>
  <c r="E622" i="2"/>
  <c r="D622" i="2"/>
  <c r="C622" i="2"/>
  <c r="B622" i="2"/>
  <c r="A622" i="2"/>
  <c r="H621" i="2"/>
  <c r="G621" i="2"/>
  <c r="F621" i="2"/>
  <c r="E621" i="2"/>
  <c r="D621" i="2"/>
  <c r="C621" i="2"/>
  <c r="B621" i="2"/>
  <c r="A621" i="2"/>
  <c r="H620" i="2"/>
  <c r="G620" i="2"/>
  <c r="F620" i="2"/>
  <c r="E620" i="2"/>
  <c r="D620" i="2"/>
  <c r="C620" i="2"/>
  <c r="B620" i="2"/>
  <c r="A620" i="2"/>
  <c r="H619" i="2"/>
  <c r="G619" i="2"/>
  <c r="F619" i="2"/>
  <c r="E619" i="2"/>
  <c r="D619" i="2"/>
  <c r="C619" i="2"/>
  <c r="B619" i="2"/>
  <c r="A619" i="2"/>
  <c r="H618" i="2"/>
  <c r="G618" i="2"/>
  <c r="F618" i="2"/>
  <c r="E618" i="2"/>
  <c r="D618" i="2"/>
  <c r="C618" i="2"/>
  <c r="B618" i="2"/>
  <c r="A618" i="2"/>
  <c r="H617" i="2"/>
  <c r="G617" i="2"/>
  <c r="F617" i="2"/>
  <c r="E617" i="2"/>
  <c r="D617" i="2"/>
  <c r="C617" i="2"/>
  <c r="B617" i="2"/>
  <c r="A617" i="2"/>
  <c r="H616" i="2"/>
  <c r="G616" i="2"/>
  <c r="F616" i="2"/>
  <c r="E616" i="2"/>
  <c r="D616" i="2"/>
  <c r="C616" i="2"/>
  <c r="B616" i="2"/>
  <c r="A616" i="2"/>
  <c r="H615" i="2"/>
  <c r="G615" i="2"/>
  <c r="F615" i="2"/>
  <c r="E615" i="2"/>
  <c r="D615" i="2"/>
  <c r="C615" i="2"/>
  <c r="B615" i="2"/>
  <c r="A615" i="2"/>
  <c r="H614" i="2"/>
  <c r="G614" i="2"/>
  <c r="F614" i="2"/>
  <c r="E614" i="2"/>
  <c r="D614" i="2"/>
  <c r="C614" i="2"/>
  <c r="B614" i="2"/>
  <c r="A614" i="2"/>
  <c r="H613" i="2"/>
  <c r="G613" i="2"/>
  <c r="F613" i="2"/>
  <c r="E613" i="2"/>
  <c r="D613" i="2"/>
  <c r="C613" i="2"/>
  <c r="B613" i="2"/>
  <c r="A613" i="2"/>
  <c r="H612" i="2"/>
  <c r="G612" i="2"/>
  <c r="F612" i="2"/>
  <c r="E612" i="2"/>
  <c r="D612" i="2"/>
  <c r="C612" i="2"/>
  <c r="B612" i="2"/>
  <c r="A612" i="2"/>
  <c r="H611" i="2"/>
  <c r="G611" i="2"/>
  <c r="F611" i="2"/>
  <c r="E611" i="2"/>
  <c r="D611" i="2"/>
  <c r="C611" i="2"/>
  <c r="B611" i="2"/>
  <c r="A611" i="2"/>
  <c r="H610" i="2"/>
  <c r="G610" i="2"/>
  <c r="F610" i="2"/>
  <c r="E610" i="2"/>
  <c r="D610" i="2"/>
  <c r="C610" i="2"/>
  <c r="B610" i="2"/>
  <c r="A610" i="2"/>
  <c r="H609" i="2"/>
  <c r="G609" i="2"/>
  <c r="F609" i="2"/>
  <c r="E609" i="2"/>
  <c r="D609" i="2"/>
  <c r="C609" i="2"/>
  <c r="B609" i="2"/>
  <c r="A609" i="2"/>
  <c r="H608" i="2"/>
  <c r="G608" i="2"/>
  <c r="F608" i="2"/>
  <c r="E608" i="2"/>
  <c r="D608" i="2"/>
  <c r="C608" i="2"/>
  <c r="B608" i="2"/>
  <c r="A608" i="2"/>
  <c r="H607" i="2"/>
  <c r="G607" i="2"/>
  <c r="F607" i="2"/>
  <c r="E607" i="2"/>
  <c r="D607" i="2"/>
  <c r="C607" i="2"/>
  <c r="B607" i="2"/>
  <c r="A607" i="2"/>
  <c r="H606" i="2"/>
  <c r="G606" i="2"/>
  <c r="F606" i="2"/>
  <c r="E606" i="2"/>
  <c r="D606" i="2"/>
  <c r="C606" i="2"/>
  <c r="B606" i="2"/>
  <c r="A606" i="2"/>
  <c r="H605" i="2"/>
  <c r="G605" i="2"/>
  <c r="F605" i="2"/>
  <c r="E605" i="2"/>
  <c r="D605" i="2"/>
  <c r="C605" i="2"/>
  <c r="B605" i="2"/>
  <c r="A605" i="2"/>
  <c r="H604" i="2"/>
  <c r="G604" i="2"/>
  <c r="F604" i="2"/>
  <c r="E604" i="2"/>
  <c r="D604" i="2"/>
  <c r="C604" i="2"/>
  <c r="B604" i="2"/>
  <c r="A604" i="2"/>
  <c r="H603" i="2"/>
  <c r="G603" i="2"/>
  <c r="F603" i="2"/>
  <c r="E603" i="2"/>
  <c r="D603" i="2"/>
  <c r="C603" i="2"/>
  <c r="B603" i="2"/>
  <c r="A603" i="2"/>
  <c r="H602" i="2"/>
  <c r="G602" i="2"/>
  <c r="F602" i="2"/>
  <c r="E602" i="2"/>
  <c r="D602" i="2"/>
  <c r="C602" i="2"/>
  <c r="B602" i="2"/>
  <c r="A602" i="2"/>
  <c r="H601" i="2"/>
  <c r="G601" i="2"/>
  <c r="F601" i="2"/>
  <c r="E601" i="2"/>
  <c r="D601" i="2"/>
  <c r="C601" i="2"/>
  <c r="B601" i="2"/>
  <c r="A601" i="2"/>
  <c r="H600" i="2"/>
  <c r="G600" i="2"/>
  <c r="F600" i="2"/>
  <c r="E600" i="2"/>
  <c r="D600" i="2"/>
  <c r="C600" i="2"/>
  <c r="B600" i="2"/>
  <c r="A600" i="2"/>
  <c r="H599" i="2"/>
  <c r="G599" i="2"/>
  <c r="F599" i="2"/>
  <c r="E599" i="2"/>
  <c r="D599" i="2"/>
  <c r="C599" i="2"/>
  <c r="B599" i="2"/>
  <c r="A599" i="2"/>
  <c r="H598" i="2"/>
  <c r="G598" i="2"/>
  <c r="F598" i="2"/>
  <c r="E598" i="2"/>
  <c r="D598" i="2"/>
  <c r="C598" i="2"/>
  <c r="B598" i="2"/>
  <c r="A598" i="2"/>
  <c r="H597" i="2"/>
  <c r="G597" i="2"/>
  <c r="F597" i="2"/>
  <c r="E597" i="2"/>
  <c r="D597" i="2"/>
  <c r="C597" i="2"/>
  <c r="B597" i="2"/>
  <c r="A597" i="2"/>
  <c r="H596" i="2"/>
  <c r="G596" i="2"/>
  <c r="F596" i="2"/>
  <c r="E596" i="2"/>
  <c r="D596" i="2"/>
  <c r="C596" i="2"/>
  <c r="B596" i="2"/>
  <c r="A596" i="2"/>
  <c r="H595" i="2"/>
  <c r="G595" i="2"/>
  <c r="F595" i="2"/>
  <c r="E595" i="2"/>
  <c r="D595" i="2"/>
  <c r="C595" i="2"/>
  <c r="B595" i="2"/>
  <c r="A595" i="2"/>
  <c r="H594" i="2"/>
  <c r="G594" i="2"/>
  <c r="F594" i="2"/>
  <c r="E594" i="2"/>
  <c r="D594" i="2"/>
  <c r="C594" i="2"/>
  <c r="B594" i="2"/>
  <c r="A594" i="2"/>
  <c r="H593" i="2"/>
  <c r="G593" i="2"/>
  <c r="F593" i="2"/>
  <c r="E593" i="2"/>
  <c r="D593" i="2"/>
  <c r="C593" i="2"/>
  <c r="B593" i="2"/>
  <c r="A593" i="2"/>
  <c r="H592" i="2"/>
  <c r="G592" i="2"/>
  <c r="F592" i="2"/>
  <c r="E592" i="2"/>
  <c r="D592" i="2"/>
  <c r="C592" i="2"/>
  <c r="B592" i="2"/>
  <c r="A592" i="2"/>
  <c r="H591" i="2"/>
  <c r="G591" i="2"/>
  <c r="F591" i="2"/>
  <c r="E591" i="2"/>
  <c r="D591" i="2"/>
  <c r="C591" i="2"/>
  <c r="B591" i="2"/>
  <c r="A591" i="2"/>
  <c r="H590" i="2"/>
  <c r="G590" i="2"/>
  <c r="F590" i="2"/>
  <c r="E590" i="2"/>
  <c r="D590" i="2"/>
  <c r="C590" i="2"/>
  <c r="B590" i="2"/>
  <c r="A590" i="2"/>
  <c r="H589" i="2"/>
  <c r="G589" i="2"/>
  <c r="F589" i="2"/>
  <c r="E589" i="2"/>
  <c r="D589" i="2"/>
  <c r="C589" i="2"/>
  <c r="B589" i="2"/>
  <c r="A589" i="2"/>
  <c r="H588" i="2"/>
  <c r="G588" i="2"/>
  <c r="F588" i="2"/>
  <c r="E588" i="2"/>
  <c r="D588" i="2"/>
  <c r="C588" i="2"/>
  <c r="B588" i="2"/>
  <c r="A588" i="2"/>
  <c r="H587" i="2"/>
  <c r="G587" i="2"/>
  <c r="F587" i="2"/>
  <c r="E587" i="2"/>
  <c r="D587" i="2"/>
  <c r="C587" i="2"/>
  <c r="B587" i="2"/>
  <c r="A587" i="2"/>
  <c r="H586" i="2"/>
  <c r="G586" i="2"/>
  <c r="F586" i="2"/>
  <c r="E586" i="2"/>
  <c r="D586" i="2"/>
  <c r="C586" i="2"/>
  <c r="B586" i="2"/>
  <c r="A586" i="2"/>
  <c r="H585" i="2"/>
  <c r="G585" i="2"/>
  <c r="F585" i="2"/>
  <c r="E585" i="2"/>
  <c r="D585" i="2"/>
  <c r="C585" i="2"/>
  <c r="B585" i="2"/>
  <c r="A585" i="2"/>
  <c r="H584" i="2"/>
  <c r="G584" i="2"/>
  <c r="F584" i="2"/>
  <c r="E584" i="2"/>
  <c r="D584" i="2"/>
  <c r="C584" i="2"/>
  <c r="B584" i="2"/>
  <c r="A584" i="2"/>
  <c r="H583" i="2"/>
  <c r="G583" i="2"/>
  <c r="F583" i="2"/>
  <c r="E583" i="2"/>
  <c r="D583" i="2"/>
  <c r="C583" i="2"/>
  <c r="B583" i="2"/>
  <c r="A583" i="2"/>
  <c r="H582" i="2"/>
  <c r="G582" i="2"/>
  <c r="F582" i="2"/>
  <c r="E582" i="2"/>
  <c r="D582" i="2"/>
  <c r="C582" i="2"/>
  <c r="B582" i="2"/>
  <c r="A582" i="2"/>
  <c r="H581" i="2"/>
  <c r="G581" i="2"/>
  <c r="F581" i="2"/>
  <c r="E581" i="2"/>
  <c r="D581" i="2"/>
  <c r="C581" i="2"/>
  <c r="B581" i="2"/>
  <c r="A581" i="2"/>
  <c r="H580" i="2"/>
  <c r="G580" i="2"/>
  <c r="F580" i="2"/>
  <c r="E580" i="2"/>
  <c r="D580" i="2"/>
  <c r="C580" i="2"/>
  <c r="B580" i="2"/>
  <c r="A580" i="2"/>
  <c r="H579" i="2"/>
  <c r="G579" i="2"/>
  <c r="F579" i="2"/>
  <c r="E579" i="2"/>
  <c r="D579" i="2"/>
  <c r="C579" i="2"/>
  <c r="B579" i="2"/>
  <c r="A579" i="2"/>
  <c r="H578" i="2"/>
  <c r="G578" i="2"/>
  <c r="F578" i="2"/>
  <c r="E578" i="2"/>
  <c r="D578" i="2"/>
  <c r="C578" i="2"/>
  <c r="B578" i="2"/>
  <c r="A578" i="2"/>
  <c r="H577" i="2"/>
  <c r="G577" i="2"/>
  <c r="F577" i="2"/>
  <c r="E577" i="2"/>
  <c r="D577" i="2"/>
  <c r="C577" i="2"/>
  <c r="B577" i="2"/>
  <c r="A577" i="2"/>
  <c r="H576" i="2"/>
  <c r="G576" i="2"/>
  <c r="F576" i="2"/>
  <c r="E576" i="2"/>
  <c r="D576" i="2"/>
  <c r="C576" i="2"/>
  <c r="B576" i="2"/>
  <c r="A576" i="2"/>
  <c r="H575" i="2"/>
  <c r="G575" i="2"/>
  <c r="F575" i="2"/>
  <c r="E575" i="2"/>
  <c r="D575" i="2"/>
  <c r="C575" i="2"/>
  <c r="B575" i="2"/>
  <c r="A575" i="2"/>
  <c r="H574" i="2"/>
  <c r="G574" i="2"/>
  <c r="F574" i="2"/>
  <c r="E574" i="2"/>
  <c r="D574" i="2"/>
  <c r="C574" i="2"/>
  <c r="B574" i="2"/>
  <c r="A574" i="2"/>
  <c r="H573" i="2"/>
  <c r="G573" i="2"/>
  <c r="F573" i="2"/>
  <c r="E573" i="2"/>
  <c r="D573" i="2"/>
  <c r="C573" i="2"/>
  <c r="B573" i="2"/>
  <c r="A573" i="2"/>
  <c r="H572" i="2"/>
  <c r="G572" i="2"/>
  <c r="F572" i="2"/>
  <c r="E572" i="2"/>
  <c r="D572" i="2"/>
  <c r="C572" i="2"/>
  <c r="B572" i="2"/>
  <c r="A572" i="2"/>
  <c r="H571" i="2"/>
  <c r="G571" i="2"/>
  <c r="F571" i="2"/>
  <c r="E571" i="2"/>
  <c r="D571" i="2"/>
  <c r="C571" i="2"/>
  <c r="B571" i="2"/>
  <c r="A571" i="2"/>
  <c r="H570" i="2"/>
  <c r="G570" i="2"/>
  <c r="F570" i="2"/>
  <c r="E570" i="2"/>
  <c r="D570" i="2"/>
  <c r="C570" i="2"/>
  <c r="B570" i="2"/>
  <c r="A570" i="2"/>
  <c r="H569" i="2"/>
  <c r="G569" i="2"/>
  <c r="F569" i="2"/>
  <c r="E569" i="2"/>
  <c r="D569" i="2"/>
  <c r="C569" i="2"/>
  <c r="B569" i="2"/>
  <c r="A569" i="2"/>
  <c r="H568" i="2"/>
  <c r="G568" i="2"/>
  <c r="F568" i="2"/>
  <c r="E568" i="2"/>
  <c r="D568" i="2"/>
  <c r="C568" i="2"/>
  <c r="B568" i="2"/>
  <c r="A568" i="2"/>
  <c r="H567" i="2"/>
  <c r="G567" i="2"/>
  <c r="F567" i="2"/>
  <c r="E567" i="2"/>
  <c r="D567" i="2"/>
  <c r="C567" i="2"/>
  <c r="B567" i="2"/>
  <c r="A567" i="2"/>
  <c r="H566" i="2"/>
  <c r="G566" i="2"/>
  <c r="F566" i="2"/>
  <c r="E566" i="2"/>
  <c r="D566" i="2"/>
  <c r="C566" i="2"/>
  <c r="B566" i="2"/>
  <c r="A566" i="2"/>
  <c r="H565" i="2"/>
  <c r="G565" i="2"/>
  <c r="F565" i="2"/>
  <c r="E565" i="2"/>
  <c r="D565" i="2"/>
  <c r="C565" i="2"/>
  <c r="B565" i="2"/>
  <c r="A565" i="2"/>
  <c r="H564" i="2"/>
  <c r="G564" i="2"/>
  <c r="F564" i="2"/>
  <c r="E564" i="2"/>
  <c r="D564" i="2"/>
  <c r="C564" i="2"/>
  <c r="B564" i="2"/>
  <c r="A564" i="2"/>
  <c r="H563" i="2"/>
  <c r="G563" i="2"/>
  <c r="F563" i="2"/>
  <c r="E563" i="2"/>
  <c r="D563" i="2"/>
  <c r="C563" i="2"/>
  <c r="B563" i="2"/>
  <c r="A563" i="2"/>
  <c r="H562" i="2"/>
  <c r="G562" i="2"/>
  <c r="F562" i="2"/>
  <c r="E562" i="2"/>
  <c r="D562" i="2"/>
  <c r="C562" i="2"/>
  <c r="B562" i="2"/>
  <c r="A562" i="2"/>
  <c r="H561" i="2"/>
  <c r="G561" i="2"/>
  <c r="F561" i="2"/>
  <c r="E561" i="2"/>
  <c r="D561" i="2"/>
  <c r="C561" i="2"/>
  <c r="B561" i="2"/>
  <c r="A561" i="2"/>
  <c r="H560" i="2"/>
  <c r="G560" i="2"/>
  <c r="F560" i="2"/>
  <c r="E560" i="2"/>
  <c r="D560" i="2"/>
  <c r="C560" i="2"/>
  <c r="B560" i="2"/>
  <c r="A560" i="2"/>
  <c r="H559" i="2"/>
  <c r="G559" i="2"/>
  <c r="F559" i="2"/>
  <c r="E559" i="2"/>
  <c r="D559" i="2"/>
  <c r="C559" i="2"/>
  <c r="B559" i="2"/>
  <c r="A559" i="2"/>
  <c r="H558" i="2"/>
  <c r="G558" i="2"/>
  <c r="F558" i="2"/>
  <c r="E558" i="2"/>
  <c r="D558" i="2"/>
  <c r="C558" i="2"/>
  <c r="B558" i="2"/>
  <c r="A558" i="2"/>
  <c r="H557" i="2"/>
  <c r="G557" i="2"/>
  <c r="F557" i="2"/>
  <c r="E557" i="2"/>
  <c r="D557" i="2"/>
  <c r="C557" i="2"/>
  <c r="B557" i="2"/>
  <c r="A557" i="2"/>
  <c r="H556" i="2"/>
  <c r="G556" i="2"/>
  <c r="F556" i="2"/>
  <c r="E556" i="2"/>
  <c r="D556" i="2"/>
  <c r="C556" i="2"/>
  <c r="B556" i="2"/>
  <c r="A556" i="2"/>
  <c r="H555" i="2"/>
  <c r="G555" i="2"/>
  <c r="F555" i="2"/>
  <c r="E555" i="2"/>
  <c r="D555" i="2"/>
  <c r="C555" i="2"/>
  <c r="B555" i="2"/>
  <c r="A555" i="2"/>
  <c r="H554" i="2"/>
  <c r="G554" i="2"/>
  <c r="F554" i="2"/>
  <c r="E554" i="2"/>
  <c r="D554" i="2"/>
  <c r="C554" i="2"/>
  <c r="B554" i="2"/>
  <c r="A554" i="2"/>
  <c r="H553" i="2"/>
  <c r="G553" i="2"/>
  <c r="F553" i="2"/>
  <c r="E553" i="2"/>
  <c r="D553" i="2"/>
  <c r="C553" i="2"/>
  <c r="B553" i="2"/>
  <c r="A553" i="2"/>
  <c r="H552" i="2"/>
  <c r="G552" i="2"/>
  <c r="F552" i="2"/>
  <c r="E552" i="2"/>
  <c r="D552" i="2"/>
  <c r="C552" i="2"/>
  <c r="B552" i="2"/>
  <c r="A552" i="2"/>
  <c r="H551" i="2"/>
  <c r="G551" i="2"/>
  <c r="F551" i="2"/>
  <c r="E551" i="2"/>
  <c r="D551" i="2"/>
  <c r="C551" i="2"/>
  <c r="B551" i="2"/>
  <c r="A551" i="2"/>
  <c r="H550" i="2"/>
  <c r="G550" i="2"/>
  <c r="F550" i="2"/>
  <c r="E550" i="2"/>
  <c r="D550" i="2"/>
  <c r="C550" i="2"/>
  <c r="B550" i="2"/>
  <c r="A550" i="2"/>
  <c r="H549" i="2"/>
  <c r="G549" i="2"/>
  <c r="F549" i="2"/>
  <c r="E549" i="2"/>
  <c r="D549" i="2"/>
  <c r="C549" i="2"/>
  <c r="B549" i="2"/>
  <c r="A549" i="2"/>
  <c r="H548" i="2"/>
  <c r="G548" i="2"/>
  <c r="F548" i="2"/>
  <c r="E548" i="2"/>
  <c r="D548" i="2"/>
  <c r="C548" i="2"/>
  <c r="B548" i="2"/>
  <c r="A548" i="2"/>
  <c r="H547" i="2"/>
  <c r="G547" i="2"/>
  <c r="F547" i="2"/>
  <c r="E547" i="2"/>
  <c r="D547" i="2"/>
  <c r="C547" i="2"/>
  <c r="B547" i="2"/>
  <c r="A547" i="2"/>
  <c r="H546" i="2"/>
  <c r="G546" i="2"/>
  <c r="F546" i="2"/>
  <c r="E546" i="2"/>
  <c r="D546" i="2"/>
  <c r="C546" i="2"/>
  <c r="B546" i="2"/>
  <c r="A546" i="2"/>
  <c r="H545" i="2"/>
  <c r="G545" i="2"/>
  <c r="F545" i="2"/>
  <c r="E545" i="2"/>
  <c r="D545" i="2"/>
  <c r="C545" i="2"/>
  <c r="B545" i="2"/>
  <c r="A545" i="2"/>
  <c r="H544" i="2"/>
  <c r="G544" i="2"/>
  <c r="F544" i="2"/>
  <c r="E544" i="2"/>
  <c r="D544" i="2"/>
  <c r="C544" i="2"/>
  <c r="B544" i="2"/>
  <c r="A544" i="2"/>
  <c r="H543" i="2"/>
  <c r="G543" i="2"/>
  <c r="F543" i="2"/>
  <c r="E543" i="2"/>
  <c r="D543" i="2"/>
  <c r="C543" i="2"/>
  <c r="B543" i="2"/>
  <c r="A543" i="2"/>
  <c r="H542" i="2"/>
  <c r="G542" i="2"/>
  <c r="F542" i="2"/>
  <c r="E542" i="2"/>
  <c r="D542" i="2"/>
  <c r="C542" i="2"/>
  <c r="B542" i="2"/>
  <c r="A542" i="2"/>
  <c r="H541" i="2"/>
  <c r="G541" i="2"/>
  <c r="F541" i="2"/>
  <c r="E541" i="2"/>
  <c r="D541" i="2"/>
  <c r="C541" i="2"/>
  <c r="B541" i="2"/>
  <c r="A541" i="2"/>
  <c r="H540" i="2"/>
  <c r="G540" i="2"/>
  <c r="F540" i="2"/>
  <c r="E540" i="2"/>
  <c r="D540" i="2"/>
  <c r="C540" i="2"/>
  <c r="B540" i="2"/>
  <c r="A540" i="2"/>
  <c r="H539" i="2"/>
  <c r="G539" i="2"/>
  <c r="F539" i="2"/>
  <c r="E539" i="2"/>
  <c r="D539" i="2"/>
  <c r="C539" i="2"/>
  <c r="B539" i="2"/>
  <c r="A539" i="2"/>
  <c r="H538" i="2"/>
  <c r="G538" i="2"/>
  <c r="F538" i="2"/>
  <c r="E538" i="2"/>
  <c r="D538" i="2"/>
  <c r="C538" i="2"/>
  <c r="B538" i="2"/>
  <c r="A538" i="2"/>
  <c r="H537" i="2"/>
  <c r="G537" i="2"/>
  <c r="F537" i="2"/>
  <c r="E537" i="2"/>
  <c r="D537" i="2"/>
  <c r="C537" i="2"/>
  <c r="B537" i="2"/>
  <c r="A537" i="2"/>
  <c r="H536" i="2"/>
  <c r="G536" i="2"/>
  <c r="F536" i="2"/>
  <c r="E536" i="2"/>
  <c r="D536" i="2"/>
  <c r="C536" i="2"/>
  <c r="B536" i="2"/>
  <c r="A536" i="2"/>
  <c r="H535" i="2"/>
  <c r="G535" i="2"/>
  <c r="F535" i="2"/>
  <c r="E535" i="2"/>
  <c r="D535" i="2"/>
  <c r="C535" i="2"/>
  <c r="B535" i="2"/>
  <c r="A535" i="2"/>
  <c r="H534" i="2"/>
  <c r="G534" i="2"/>
  <c r="F534" i="2"/>
  <c r="E534" i="2"/>
  <c r="D534" i="2"/>
  <c r="C534" i="2"/>
  <c r="B534" i="2"/>
  <c r="A534" i="2"/>
  <c r="H533" i="2"/>
  <c r="G533" i="2"/>
  <c r="F533" i="2"/>
  <c r="E533" i="2"/>
  <c r="D533" i="2"/>
  <c r="C533" i="2"/>
  <c r="B533" i="2"/>
  <c r="A533" i="2"/>
  <c r="H532" i="2"/>
  <c r="G532" i="2"/>
  <c r="F532" i="2"/>
  <c r="E532" i="2"/>
  <c r="D532" i="2"/>
  <c r="C532" i="2"/>
  <c r="B532" i="2"/>
  <c r="A532" i="2"/>
  <c r="H531" i="2"/>
  <c r="G531" i="2"/>
  <c r="F531" i="2"/>
  <c r="E531" i="2"/>
  <c r="D531" i="2"/>
  <c r="C531" i="2"/>
  <c r="B531" i="2"/>
  <c r="A531" i="2"/>
  <c r="H530" i="2"/>
  <c r="G530" i="2"/>
  <c r="F530" i="2"/>
  <c r="E530" i="2"/>
  <c r="D530" i="2"/>
  <c r="C530" i="2"/>
  <c r="B530" i="2"/>
  <c r="A530" i="2"/>
  <c r="H529" i="2"/>
  <c r="G529" i="2"/>
  <c r="F529" i="2"/>
  <c r="E529" i="2"/>
  <c r="D529" i="2"/>
  <c r="C529" i="2"/>
  <c r="B529" i="2"/>
  <c r="A529" i="2"/>
  <c r="H528" i="2"/>
  <c r="G528" i="2"/>
  <c r="F528" i="2"/>
  <c r="E528" i="2"/>
  <c r="D528" i="2"/>
  <c r="C528" i="2"/>
  <c r="B528" i="2"/>
  <c r="A528" i="2"/>
  <c r="H527" i="2"/>
  <c r="G527" i="2"/>
  <c r="F527" i="2"/>
  <c r="E527" i="2"/>
  <c r="D527" i="2"/>
  <c r="C527" i="2"/>
  <c r="B527" i="2"/>
  <c r="A527" i="2"/>
  <c r="H526" i="2"/>
  <c r="G526" i="2"/>
  <c r="F526" i="2"/>
  <c r="E526" i="2"/>
  <c r="D526" i="2"/>
  <c r="C526" i="2"/>
  <c r="B526" i="2"/>
  <c r="A526" i="2"/>
  <c r="H525" i="2"/>
  <c r="G525" i="2"/>
  <c r="F525" i="2"/>
  <c r="E525" i="2"/>
  <c r="D525" i="2"/>
  <c r="C525" i="2"/>
  <c r="B525" i="2"/>
  <c r="A525" i="2"/>
  <c r="H524" i="2"/>
  <c r="G524" i="2"/>
  <c r="F524" i="2"/>
  <c r="E524" i="2"/>
  <c r="D524" i="2"/>
  <c r="C524" i="2"/>
  <c r="B524" i="2"/>
  <c r="A524" i="2"/>
  <c r="H523" i="2"/>
  <c r="G523" i="2"/>
  <c r="F523" i="2"/>
  <c r="E523" i="2"/>
  <c r="D523" i="2"/>
  <c r="C523" i="2"/>
  <c r="B523" i="2"/>
  <c r="A523" i="2"/>
  <c r="H522" i="2"/>
  <c r="G522" i="2"/>
  <c r="F522" i="2"/>
  <c r="E522" i="2"/>
  <c r="D522" i="2"/>
  <c r="C522" i="2"/>
  <c r="B522" i="2"/>
  <c r="A522" i="2"/>
  <c r="H521" i="2"/>
  <c r="G521" i="2"/>
  <c r="F521" i="2"/>
  <c r="E521" i="2"/>
  <c r="D521" i="2"/>
  <c r="C521" i="2"/>
  <c r="B521" i="2"/>
  <c r="A521" i="2"/>
  <c r="H520" i="2"/>
  <c r="G520" i="2"/>
  <c r="F520" i="2"/>
  <c r="E520" i="2"/>
  <c r="D520" i="2"/>
  <c r="C520" i="2"/>
  <c r="B520" i="2"/>
  <c r="A520" i="2"/>
  <c r="H519" i="2"/>
  <c r="G519" i="2"/>
  <c r="F519" i="2"/>
  <c r="E519" i="2"/>
  <c r="D519" i="2"/>
  <c r="C519" i="2"/>
  <c r="B519" i="2"/>
  <c r="A519" i="2"/>
  <c r="H518" i="2"/>
  <c r="G518" i="2"/>
  <c r="F518" i="2"/>
  <c r="E518" i="2"/>
  <c r="D518" i="2"/>
  <c r="C518" i="2"/>
  <c r="B518" i="2"/>
  <c r="A518" i="2"/>
  <c r="H517" i="2"/>
  <c r="G517" i="2"/>
  <c r="F517" i="2"/>
  <c r="E517" i="2"/>
  <c r="D517" i="2"/>
  <c r="C517" i="2"/>
  <c r="B517" i="2"/>
  <c r="A517" i="2"/>
  <c r="H516" i="2"/>
  <c r="G516" i="2"/>
  <c r="F516" i="2"/>
  <c r="E516" i="2"/>
  <c r="D516" i="2"/>
  <c r="C516" i="2"/>
  <c r="B516" i="2"/>
  <c r="A516" i="2"/>
  <c r="H515" i="2"/>
  <c r="G515" i="2"/>
  <c r="F515" i="2"/>
  <c r="E515" i="2"/>
  <c r="D515" i="2"/>
  <c r="C515" i="2"/>
  <c r="B515" i="2"/>
  <c r="A515" i="2"/>
  <c r="H514" i="2"/>
  <c r="G514" i="2"/>
  <c r="F514" i="2"/>
  <c r="E514" i="2"/>
  <c r="D514" i="2"/>
  <c r="C514" i="2"/>
  <c r="B514" i="2"/>
  <c r="A514" i="2"/>
  <c r="H513" i="2"/>
  <c r="G513" i="2"/>
  <c r="F513" i="2"/>
  <c r="E513" i="2"/>
  <c r="D513" i="2"/>
  <c r="C513" i="2"/>
  <c r="B513" i="2"/>
  <c r="A513" i="2"/>
  <c r="H512" i="2"/>
  <c r="G512" i="2"/>
  <c r="F512" i="2"/>
  <c r="E512" i="2"/>
  <c r="D512" i="2"/>
  <c r="C512" i="2"/>
  <c r="B512" i="2"/>
  <c r="A512" i="2"/>
  <c r="H511" i="2"/>
  <c r="G511" i="2"/>
  <c r="F511" i="2"/>
  <c r="E511" i="2"/>
  <c r="D511" i="2"/>
  <c r="C511" i="2"/>
  <c r="B511" i="2"/>
  <c r="A511" i="2"/>
  <c r="H510" i="2"/>
  <c r="G510" i="2"/>
  <c r="F510" i="2"/>
  <c r="E510" i="2"/>
  <c r="D510" i="2"/>
  <c r="C510" i="2"/>
  <c r="B510" i="2"/>
  <c r="A510" i="2"/>
  <c r="H509" i="2"/>
  <c r="G509" i="2"/>
  <c r="F509" i="2"/>
  <c r="E509" i="2"/>
  <c r="D509" i="2"/>
  <c r="C509" i="2"/>
  <c r="B509" i="2"/>
  <c r="A509" i="2"/>
  <c r="H508" i="2"/>
  <c r="G508" i="2"/>
  <c r="F508" i="2"/>
  <c r="E508" i="2"/>
  <c r="D508" i="2"/>
  <c r="C508" i="2"/>
  <c r="B508" i="2"/>
  <c r="A508" i="2"/>
  <c r="H507" i="2"/>
  <c r="G507" i="2"/>
  <c r="F507" i="2"/>
  <c r="E507" i="2"/>
  <c r="D507" i="2"/>
  <c r="C507" i="2"/>
  <c r="B507" i="2"/>
  <c r="A507" i="2"/>
  <c r="H506" i="2"/>
  <c r="G506" i="2"/>
  <c r="F506" i="2"/>
  <c r="E506" i="2"/>
  <c r="D506" i="2"/>
  <c r="C506" i="2"/>
  <c r="B506" i="2"/>
  <c r="A506" i="2"/>
  <c r="H505" i="2"/>
  <c r="G505" i="2"/>
  <c r="F505" i="2"/>
  <c r="E505" i="2"/>
  <c r="D505" i="2"/>
  <c r="C505" i="2"/>
  <c r="B505" i="2"/>
  <c r="A505" i="2"/>
  <c r="H504" i="2"/>
  <c r="G504" i="2"/>
  <c r="F504" i="2"/>
  <c r="E504" i="2"/>
  <c r="D504" i="2"/>
  <c r="C504" i="2"/>
  <c r="B504" i="2"/>
  <c r="A504" i="2"/>
  <c r="H503" i="2"/>
  <c r="G503" i="2"/>
  <c r="F503" i="2"/>
  <c r="E503" i="2"/>
  <c r="D503" i="2"/>
  <c r="C503" i="2"/>
  <c r="B503" i="2"/>
  <c r="A503" i="2"/>
  <c r="H502" i="2"/>
  <c r="G502" i="2"/>
  <c r="F502" i="2"/>
  <c r="E502" i="2"/>
  <c r="D502" i="2"/>
  <c r="C502" i="2"/>
  <c r="B502" i="2"/>
  <c r="A502" i="2"/>
  <c r="H501" i="2"/>
  <c r="G501" i="2"/>
  <c r="F501" i="2"/>
  <c r="E501" i="2"/>
  <c r="D501" i="2"/>
  <c r="C501" i="2"/>
  <c r="B501" i="2"/>
  <c r="A501" i="2"/>
  <c r="H500" i="2"/>
  <c r="G500" i="2"/>
  <c r="F500" i="2"/>
  <c r="E500" i="2"/>
  <c r="D500" i="2"/>
  <c r="C500" i="2"/>
  <c r="B500" i="2"/>
  <c r="A500" i="2"/>
  <c r="H499" i="2"/>
  <c r="G499" i="2"/>
  <c r="F499" i="2"/>
  <c r="E499" i="2"/>
  <c r="D499" i="2"/>
  <c r="C499" i="2"/>
  <c r="B499" i="2"/>
  <c r="A499" i="2"/>
  <c r="H498" i="2"/>
  <c r="G498" i="2"/>
  <c r="F498" i="2"/>
  <c r="E498" i="2"/>
  <c r="D498" i="2"/>
  <c r="C498" i="2"/>
  <c r="B498" i="2"/>
  <c r="A498" i="2"/>
  <c r="H497" i="2"/>
  <c r="G497" i="2"/>
  <c r="F497" i="2"/>
  <c r="E497" i="2"/>
  <c r="D497" i="2"/>
  <c r="C497" i="2"/>
  <c r="B497" i="2"/>
  <c r="A497" i="2"/>
  <c r="H496" i="2"/>
  <c r="G496" i="2"/>
  <c r="F496" i="2"/>
  <c r="E496" i="2"/>
  <c r="D496" i="2"/>
  <c r="C496" i="2"/>
  <c r="B496" i="2"/>
  <c r="A496" i="2"/>
  <c r="H495" i="2"/>
  <c r="G495" i="2"/>
  <c r="F495" i="2"/>
  <c r="E495" i="2"/>
  <c r="D495" i="2"/>
  <c r="C495" i="2"/>
  <c r="B495" i="2"/>
  <c r="A495" i="2"/>
  <c r="H494" i="2"/>
  <c r="G494" i="2"/>
  <c r="F494" i="2"/>
  <c r="E494" i="2"/>
  <c r="D494" i="2"/>
  <c r="C494" i="2"/>
  <c r="B494" i="2"/>
  <c r="A494" i="2"/>
  <c r="H493" i="2"/>
  <c r="G493" i="2"/>
  <c r="F493" i="2"/>
  <c r="E493" i="2"/>
  <c r="D493" i="2"/>
  <c r="C493" i="2"/>
  <c r="B493" i="2"/>
  <c r="A493" i="2"/>
  <c r="H492" i="2"/>
  <c r="G492" i="2"/>
  <c r="F492" i="2"/>
  <c r="E492" i="2"/>
  <c r="D492" i="2"/>
  <c r="C492" i="2"/>
  <c r="B492" i="2"/>
  <c r="A492" i="2"/>
  <c r="H491" i="2"/>
  <c r="G491" i="2"/>
  <c r="F491" i="2"/>
  <c r="E491" i="2"/>
  <c r="D491" i="2"/>
  <c r="C491" i="2"/>
  <c r="B491" i="2"/>
  <c r="A491" i="2"/>
  <c r="H490" i="2"/>
  <c r="G490" i="2"/>
  <c r="F490" i="2"/>
  <c r="E490" i="2"/>
  <c r="D490" i="2"/>
  <c r="C490" i="2"/>
  <c r="B490" i="2"/>
  <c r="A490" i="2"/>
  <c r="H489" i="2"/>
  <c r="G489" i="2"/>
  <c r="F489" i="2"/>
  <c r="E489" i="2"/>
  <c r="D489" i="2"/>
  <c r="C489" i="2"/>
  <c r="B489" i="2"/>
  <c r="A489" i="2"/>
  <c r="H488" i="2"/>
  <c r="G488" i="2"/>
  <c r="F488" i="2"/>
  <c r="E488" i="2"/>
  <c r="D488" i="2"/>
  <c r="C488" i="2"/>
  <c r="B488" i="2"/>
  <c r="A488" i="2"/>
  <c r="H487" i="2"/>
  <c r="G487" i="2"/>
  <c r="F487" i="2"/>
  <c r="E487" i="2"/>
  <c r="D487" i="2"/>
  <c r="C487" i="2"/>
  <c r="B487" i="2"/>
  <c r="A487" i="2"/>
  <c r="H486" i="2"/>
  <c r="G486" i="2"/>
  <c r="F486" i="2"/>
  <c r="E486" i="2"/>
  <c r="D486" i="2"/>
  <c r="C486" i="2"/>
  <c r="B486" i="2"/>
  <c r="A486" i="2"/>
  <c r="H485" i="2"/>
  <c r="G485" i="2"/>
  <c r="F485" i="2"/>
  <c r="E485" i="2"/>
  <c r="D485" i="2"/>
  <c r="C485" i="2"/>
  <c r="B485" i="2"/>
  <c r="A485" i="2"/>
  <c r="H484" i="2"/>
  <c r="G484" i="2"/>
  <c r="F484" i="2"/>
  <c r="E484" i="2"/>
  <c r="D484" i="2"/>
  <c r="C484" i="2"/>
  <c r="B484" i="2"/>
  <c r="A484" i="2"/>
  <c r="H483" i="2"/>
  <c r="G483" i="2"/>
  <c r="F483" i="2"/>
  <c r="E483" i="2"/>
  <c r="D483" i="2"/>
  <c r="C483" i="2"/>
  <c r="B483" i="2"/>
  <c r="A483" i="2"/>
  <c r="H482" i="2"/>
  <c r="G482" i="2"/>
  <c r="F482" i="2"/>
  <c r="E482" i="2"/>
  <c r="D482" i="2"/>
  <c r="C482" i="2"/>
  <c r="B482" i="2"/>
  <c r="A482" i="2"/>
  <c r="H481" i="2"/>
  <c r="G481" i="2"/>
  <c r="F481" i="2"/>
  <c r="E481" i="2"/>
  <c r="D481" i="2"/>
  <c r="C481" i="2"/>
  <c r="B481" i="2"/>
  <c r="A481" i="2"/>
  <c r="H480" i="2"/>
  <c r="G480" i="2"/>
  <c r="F480" i="2"/>
  <c r="E480" i="2"/>
  <c r="D480" i="2"/>
  <c r="C480" i="2"/>
  <c r="B480" i="2"/>
  <c r="A480" i="2"/>
  <c r="H479" i="2"/>
  <c r="G479" i="2"/>
  <c r="F479" i="2"/>
  <c r="E479" i="2"/>
  <c r="D479" i="2"/>
  <c r="C479" i="2"/>
  <c r="B479" i="2"/>
  <c r="A479" i="2"/>
  <c r="H478" i="2"/>
  <c r="G478" i="2"/>
  <c r="F478" i="2"/>
  <c r="E478" i="2"/>
  <c r="D478" i="2"/>
  <c r="C478" i="2"/>
  <c r="B478" i="2"/>
  <c r="A478" i="2"/>
  <c r="H477" i="2"/>
  <c r="G477" i="2"/>
  <c r="F477" i="2"/>
  <c r="E477" i="2"/>
  <c r="D477" i="2"/>
  <c r="C477" i="2"/>
  <c r="B477" i="2"/>
  <c r="A477" i="2"/>
  <c r="H476" i="2"/>
  <c r="G476" i="2"/>
  <c r="F476" i="2"/>
  <c r="E476" i="2"/>
  <c r="D476" i="2"/>
  <c r="C476" i="2"/>
  <c r="B476" i="2"/>
  <c r="A476" i="2"/>
  <c r="H475" i="2"/>
  <c r="G475" i="2"/>
  <c r="F475" i="2"/>
  <c r="E475" i="2"/>
  <c r="D475" i="2"/>
  <c r="C475" i="2"/>
  <c r="B475" i="2"/>
  <c r="A475" i="2"/>
  <c r="H474" i="2"/>
  <c r="G474" i="2"/>
  <c r="F474" i="2"/>
  <c r="E474" i="2"/>
  <c r="D474" i="2"/>
  <c r="C474" i="2"/>
  <c r="B474" i="2"/>
  <c r="A474" i="2"/>
  <c r="H473" i="2"/>
  <c r="G473" i="2"/>
  <c r="F473" i="2"/>
  <c r="E473" i="2"/>
  <c r="D473" i="2"/>
  <c r="C473" i="2"/>
  <c r="B473" i="2"/>
  <c r="A473" i="2"/>
  <c r="H472" i="2"/>
  <c r="G472" i="2"/>
  <c r="F472" i="2"/>
  <c r="E472" i="2"/>
  <c r="D472" i="2"/>
  <c r="C472" i="2"/>
  <c r="B472" i="2"/>
  <c r="A472" i="2"/>
  <c r="H471" i="2"/>
  <c r="G471" i="2"/>
  <c r="F471" i="2"/>
  <c r="E471" i="2"/>
  <c r="D471" i="2"/>
  <c r="C471" i="2"/>
  <c r="B471" i="2"/>
  <c r="A471" i="2"/>
  <c r="H470" i="2"/>
  <c r="G470" i="2"/>
  <c r="F470" i="2"/>
  <c r="E470" i="2"/>
  <c r="D470" i="2"/>
  <c r="C470" i="2"/>
  <c r="B470" i="2"/>
  <c r="A470" i="2"/>
  <c r="H469" i="2"/>
  <c r="G469" i="2"/>
  <c r="F469" i="2"/>
  <c r="E469" i="2"/>
  <c r="D469" i="2"/>
  <c r="C469" i="2"/>
  <c r="B469" i="2"/>
  <c r="A469" i="2"/>
  <c r="H468" i="2"/>
  <c r="G468" i="2"/>
  <c r="F468" i="2"/>
  <c r="E468" i="2"/>
  <c r="D468" i="2"/>
  <c r="C468" i="2"/>
  <c r="B468" i="2"/>
  <c r="A468" i="2"/>
  <c r="H467" i="2"/>
  <c r="G467" i="2"/>
  <c r="F467" i="2"/>
  <c r="E467" i="2"/>
  <c r="D467" i="2"/>
  <c r="C467" i="2"/>
  <c r="B467" i="2"/>
  <c r="A467" i="2"/>
  <c r="H466" i="2"/>
  <c r="G466" i="2"/>
  <c r="F466" i="2"/>
  <c r="E466" i="2"/>
  <c r="D466" i="2"/>
  <c r="C466" i="2"/>
  <c r="B466" i="2"/>
  <c r="A466" i="2"/>
  <c r="H465" i="2"/>
  <c r="G465" i="2"/>
  <c r="F465" i="2"/>
  <c r="E465" i="2"/>
  <c r="D465" i="2"/>
  <c r="C465" i="2"/>
  <c r="B465" i="2"/>
  <c r="A465" i="2"/>
  <c r="H464" i="2"/>
  <c r="G464" i="2"/>
  <c r="F464" i="2"/>
  <c r="E464" i="2"/>
  <c r="D464" i="2"/>
  <c r="C464" i="2"/>
  <c r="B464" i="2"/>
  <c r="A464" i="2"/>
  <c r="H463" i="2"/>
  <c r="G463" i="2"/>
  <c r="F463" i="2"/>
  <c r="E463" i="2"/>
  <c r="D463" i="2"/>
  <c r="C463" i="2"/>
  <c r="B463" i="2"/>
  <c r="A463" i="2"/>
  <c r="H462" i="2"/>
  <c r="G462" i="2"/>
  <c r="F462" i="2"/>
  <c r="E462" i="2"/>
  <c r="D462" i="2"/>
  <c r="C462" i="2"/>
  <c r="B462" i="2"/>
  <c r="A462" i="2"/>
  <c r="H461" i="2"/>
  <c r="G461" i="2"/>
  <c r="F461" i="2"/>
  <c r="E461" i="2"/>
  <c r="D461" i="2"/>
  <c r="C461" i="2"/>
  <c r="B461" i="2"/>
  <c r="A461" i="2"/>
  <c r="H460" i="2"/>
  <c r="G460" i="2"/>
  <c r="F460" i="2"/>
  <c r="E460" i="2"/>
  <c r="D460" i="2"/>
  <c r="C460" i="2"/>
  <c r="B460" i="2"/>
  <c r="A460" i="2"/>
  <c r="H459" i="2"/>
  <c r="G459" i="2"/>
  <c r="F459" i="2"/>
  <c r="E459" i="2"/>
  <c r="D459" i="2"/>
  <c r="C459" i="2"/>
  <c r="B459" i="2"/>
  <c r="A459" i="2"/>
  <c r="H458" i="2"/>
  <c r="G458" i="2"/>
  <c r="F458" i="2"/>
  <c r="E458" i="2"/>
  <c r="D458" i="2"/>
  <c r="C458" i="2"/>
  <c r="B458" i="2"/>
  <c r="A458" i="2"/>
  <c r="H457" i="2"/>
  <c r="G457" i="2"/>
  <c r="F457" i="2"/>
  <c r="E457" i="2"/>
  <c r="D457" i="2"/>
  <c r="C457" i="2"/>
  <c r="B457" i="2"/>
  <c r="A457" i="2"/>
  <c r="H456" i="2"/>
  <c r="G456" i="2"/>
  <c r="F456" i="2"/>
  <c r="E456" i="2"/>
  <c r="D456" i="2"/>
  <c r="C456" i="2"/>
  <c r="B456" i="2"/>
  <c r="A456" i="2"/>
  <c r="H455" i="2"/>
  <c r="G455" i="2"/>
  <c r="F455" i="2"/>
  <c r="E455" i="2"/>
  <c r="D455" i="2"/>
  <c r="C455" i="2"/>
  <c r="B455" i="2"/>
  <c r="A455" i="2"/>
  <c r="H454" i="2"/>
  <c r="G454" i="2"/>
  <c r="F454" i="2"/>
  <c r="E454" i="2"/>
  <c r="D454" i="2"/>
  <c r="C454" i="2"/>
  <c r="B454" i="2"/>
  <c r="A454" i="2"/>
  <c r="H453" i="2"/>
  <c r="G453" i="2"/>
  <c r="F453" i="2"/>
  <c r="E453" i="2"/>
  <c r="D453" i="2"/>
  <c r="C453" i="2"/>
  <c r="B453" i="2"/>
  <c r="A453" i="2"/>
  <c r="H452" i="2"/>
  <c r="G452" i="2"/>
  <c r="F452" i="2"/>
  <c r="E452" i="2"/>
  <c r="D452" i="2"/>
  <c r="C452" i="2"/>
  <c r="B452" i="2"/>
  <c r="A452" i="2"/>
  <c r="H451" i="2"/>
  <c r="G451" i="2"/>
  <c r="F451" i="2"/>
  <c r="E451" i="2"/>
  <c r="D451" i="2"/>
  <c r="C451" i="2"/>
  <c r="B451" i="2"/>
  <c r="A451" i="2"/>
  <c r="H450" i="2"/>
  <c r="G450" i="2"/>
  <c r="F450" i="2"/>
  <c r="E450" i="2"/>
  <c r="D450" i="2"/>
  <c r="C450" i="2"/>
  <c r="B450" i="2"/>
  <c r="A450" i="2"/>
  <c r="H449" i="2"/>
  <c r="G449" i="2"/>
  <c r="F449" i="2"/>
  <c r="E449" i="2"/>
  <c r="D449" i="2"/>
  <c r="C449" i="2"/>
  <c r="B449" i="2"/>
  <c r="A449" i="2"/>
  <c r="H448" i="2"/>
  <c r="G448" i="2"/>
  <c r="F448" i="2"/>
  <c r="E448" i="2"/>
  <c r="D448" i="2"/>
  <c r="C448" i="2"/>
  <c r="B448" i="2"/>
  <c r="A448" i="2"/>
  <c r="H447" i="2"/>
  <c r="G447" i="2"/>
  <c r="F447" i="2"/>
  <c r="E447" i="2"/>
  <c r="D447" i="2"/>
  <c r="C447" i="2"/>
  <c r="B447" i="2"/>
  <c r="A447" i="2"/>
  <c r="H446" i="2"/>
  <c r="G446" i="2"/>
  <c r="F446" i="2"/>
  <c r="E446" i="2"/>
  <c r="D446" i="2"/>
  <c r="C446" i="2"/>
  <c r="B446" i="2"/>
  <c r="A446" i="2"/>
  <c r="H445" i="2"/>
  <c r="G445" i="2"/>
  <c r="F445" i="2"/>
  <c r="E445" i="2"/>
  <c r="D445" i="2"/>
  <c r="C445" i="2"/>
  <c r="B445" i="2"/>
  <c r="A445" i="2"/>
  <c r="H444" i="2"/>
  <c r="G444" i="2"/>
  <c r="F444" i="2"/>
  <c r="E444" i="2"/>
  <c r="D444" i="2"/>
  <c r="C444" i="2"/>
  <c r="B444" i="2"/>
  <c r="A444" i="2"/>
  <c r="H443" i="2"/>
  <c r="G443" i="2"/>
  <c r="F443" i="2"/>
  <c r="E443" i="2"/>
  <c r="D443" i="2"/>
  <c r="C443" i="2"/>
  <c r="B443" i="2"/>
  <c r="A443" i="2"/>
  <c r="H442" i="2"/>
  <c r="G442" i="2"/>
  <c r="F442" i="2"/>
  <c r="E442" i="2"/>
  <c r="D442" i="2"/>
  <c r="C442" i="2"/>
  <c r="B442" i="2"/>
  <c r="A442" i="2"/>
  <c r="H441" i="2"/>
  <c r="G441" i="2"/>
  <c r="F441" i="2"/>
  <c r="E441" i="2"/>
  <c r="D441" i="2"/>
  <c r="C441" i="2"/>
  <c r="B441" i="2"/>
  <c r="A441" i="2"/>
  <c r="H440" i="2"/>
  <c r="G440" i="2"/>
  <c r="F440" i="2"/>
  <c r="E440" i="2"/>
  <c r="D440" i="2"/>
  <c r="C440" i="2"/>
  <c r="B440" i="2"/>
  <c r="A440" i="2"/>
  <c r="H439" i="2"/>
  <c r="G439" i="2"/>
  <c r="F439" i="2"/>
  <c r="E439" i="2"/>
  <c r="D439" i="2"/>
  <c r="C439" i="2"/>
  <c r="B439" i="2"/>
  <c r="A439" i="2"/>
  <c r="H438" i="2"/>
  <c r="G438" i="2"/>
  <c r="F438" i="2"/>
  <c r="E438" i="2"/>
  <c r="D438" i="2"/>
  <c r="C438" i="2"/>
  <c r="B438" i="2"/>
  <c r="A438" i="2"/>
  <c r="H437" i="2"/>
  <c r="G437" i="2"/>
  <c r="F437" i="2"/>
  <c r="E437" i="2"/>
  <c r="D437" i="2"/>
  <c r="C437" i="2"/>
  <c r="B437" i="2"/>
  <c r="A437" i="2"/>
  <c r="H436" i="2"/>
  <c r="G436" i="2"/>
  <c r="F436" i="2"/>
  <c r="E436" i="2"/>
  <c r="D436" i="2"/>
  <c r="C436" i="2"/>
  <c r="B436" i="2"/>
  <c r="A436" i="2"/>
  <c r="H435" i="2"/>
  <c r="G435" i="2"/>
  <c r="F435" i="2"/>
  <c r="E435" i="2"/>
  <c r="D435" i="2"/>
  <c r="C435" i="2"/>
  <c r="B435" i="2"/>
  <c r="A435" i="2"/>
  <c r="H434" i="2"/>
  <c r="G434" i="2"/>
  <c r="F434" i="2"/>
  <c r="E434" i="2"/>
  <c r="D434" i="2"/>
  <c r="C434" i="2"/>
  <c r="B434" i="2"/>
  <c r="A434" i="2"/>
  <c r="H433" i="2"/>
  <c r="G433" i="2"/>
  <c r="F433" i="2"/>
  <c r="E433" i="2"/>
  <c r="D433" i="2"/>
  <c r="C433" i="2"/>
  <c r="B433" i="2"/>
  <c r="A433" i="2"/>
  <c r="H432" i="2"/>
  <c r="G432" i="2"/>
  <c r="F432" i="2"/>
  <c r="E432" i="2"/>
  <c r="D432" i="2"/>
  <c r="C432" i="2"/>
  <c r="B432" i="2"/>
  <c r="A432" i="2"/>
  <c r="H431" i="2"/>
  <c r="G431" i="2"/>
  <c r="F431" i="2"/>
  <c r="E431" i="2"/>
  <c r="D431" i="2"/>
  <c r="C431" i="2"/>
  <c r="B431" i="2"/>
  <c r="A431" i="2"/>
  <c r="H430" i="2"/>
  <c r="G430" i="2"/>
  <c r="F430" i="2"/>
  <c r="E430" i="2"/>
  <c r="D430" i="2"/>
  <c r="C430" i="2"/>
  <c r="B430" i="2"/>
  <c r="A430" i="2"/>
  <c r="H429" i="2"/>
  <c r="G429" i="2"/>
  <c r="F429" i="2"/>
  <c r="E429" i="2"/>
  <c r="D429" i="2"/>
  <c r="C429" i="2"/>
  <c r="B429" i="2"/>
  <c r="A429" i="2"/>
  <c r="H428" i="2"/>
  <c r="G428" i="2"/>
  <c r="F428" i="2"/>
  <c r="E428" i="2"/>
  <c r="D428" i="2"/>
  <c r="C428" i="2"/>
  <c r="B428" i="2"/>
  <c r="A428" i="2"/>
  <c r="H427" i="2"/>
  <c r="G427" i="2"/>
  <c r="F427" i="2"/>
  <c r="E427" i="2"/>
  <c r="D427" i="2"/>
  <c r="C427" i="2"/>
  <c r="B427" i="2"/>
  <c r="A427" i="2"/>
  <c r="H426" i="2"/>
  <c r="G426" i="2"/>
  <c r="F426" i="2"/>
  <c r="E426" i="2"/>
  <c r="D426" i="2"/>
  <c r="C426" i="2"/>
  <c r="B426" i="2"/>
  <c r="A426" i="2"/>
  <c r="H425" i="2"/>
  <c r="G425" i="2"/>
  <c r="F425" i="2"/>
  <c r="E425" i="2"/>
  <c r="D425" i="2"/>
  <c r="C425" i="2"/>
  <c r="B425" i="2"/>
  <c r="A425" i="2"/>
  <c r="H424" i="2"/>
  <c r="G424" i="2"/>
  <c r="F424" i="2"/>
  <c r="E424" i="2"/>
  <c r="D424" i="2"/>
  <c r="C424" i="2"/>
  <c r="B424" i="2"/>
  <c r="A424" i="2"/>
  <c r="H423" i="2"/>
  <c r="G423" i="2"/>
  <c r="F423" i="2"/>
  <c r="E423" i="2"/>
  <c r="D423" i="2"/>
  <c r="C423" i="2"/>
  <c r="B423" i="2"/>
  <c r="A423" i="2"/>
  <c r="H422" i="2"/>
  <c r="G422" i="2"/>
  <c r="F422" i="2"/>
  <c r="E422" i="2"/>
  <c r="D422" i="2"/>
  <c r="C422" i="2"/>
  <c r="B422" i="2"/>
  <c r="A422" i="2"/>
  <c r="H421" i="2"/>
  <c r="G421" i="2"/>
  <c r="F421" i="2"/>
  <c r="E421" i="2"/>
  <c r="D421" i="2"/>
  <c r="C421" i="2"/>
  <c r="B421" i="2"/>
  <c r="A421" i="2"/>
  <c r="H420" i="2"/>
  <c r="G420" i="2"/>
  <c r="F420" i="2"/>
  <c r="E420" i="2"/>
  <c r="D420" i="2"/>
  <c r="C420" i="2"/>
  <c r="B420" i="2"/>
  <c r="A420" i="2"/>
  <c r="H419" i="2"/>
  <c r="G419" i="2"/>
  <c r="F419" i="2"/>
  <c r="E419" i="2"/>
  <c r="D419" i="2"/>
  <c r="C419" i="2"/>
  <c r="B419" i="2"/>
  <c r="A419" i="2"/>
  <c r="H418" i="2"/>
  <c r="G418" i="2"/>
  <c r="F418" i="2"/>
  <c r="E418" i="2"/>
  <c r="D418" i="2"/>
  <c r="C418" i="2"/>
  <c r="B418" i="2"/>
  <c r="A418" i="2"/>
  <c r="H417" i="2"/>
  <c r="G417" i="2"/>
  <c r="F417" i="2"/>
  <c r="E417" i="2"/>
  <c r="D417" i="2"/>
  <c r="C417" i="2"/>
  <c r="B417" i="2"/>
  <c r="A417" i="2"/>
  <c r="H416" i="2"/>
  <c r="G416" i="2"/>
  <c r="F416" i="2"/>
  <c r="E416" i="2"/>
  <c r="D416" i="2"/>
  <c r="C416" i="2"/>
  <c r="B416" i="2"/>
  <c r="A416" i="2"/>
  <c r="H415" i="2"/>
  <c r="G415" i="2"/>
  <c r="F415" i="2"/>
  <c r="E415" i="2"/>
  <c r="D415" i="2"/>
  <c r="C415" i="2"/>
  <c r="B415" i="2"/>
  <c r="A415" i="2"/>
  <c r="H414" i="2"/>
  <c r="G414" i="2"/>
  <c r="F414" i="2"/>
  <c r="E414" i="2"/>
  <c r="D414" i="2"/>
  <c r="C414" i="2"/>
  <c r="B414" i="2"/>
  <c r="A414" i="2"/>
  <c r="H413" i="2"/>
  <c r="G413" i="2"/>
  <c r="F413" i="2"/>
  <c r="E413" i="2"/>
  <c r="D413" i="2"/>
  <c r="C413" i="2"/>
  <c r="B413" i="2"/>
  <c r="A413" i="2"/>
  <c r="H412" i="2"/>
  <c r="G412" i="2"/>
  <c r="F412" i="2"/>
  <c r="E412" i="2"/>
  <c r="D412" i="2"/>
  <c r="C412" i="2"/>
  <c r="B412" i="2"/>
  <c r="A412" i="2"/>
  <c r="H411" i="2"/>
  <c r="G411" i="2"/>
  <c r="F411" i="2"/>
  <c r="E411" i="2"/>
  <c r="D411" i="2"/>
  <c r="C411" i="2"/>
  <c r="B411" i="2"/>
  <c r="A411" i="2"/>
  <c r="H410" i="2"/>
  <c r="G410" i="2"/>
  <c r="F410" i="2"/>
  <c r="E410" i="2"/>
  <c r="D410" i="2"/>
  <c r="C410" i="2"/>
  <c r="B410" i="2"/>
  <c r="A410" i="2"/>
  <c r="H409" i="2"/>
  <c r="G409" i="2"/>
  <c r="F409" i="2"/>
  <c r="E409" i="2"/>
  <c r="D409" i="2"/>
  <c r="C409" i="2"/>
  <c r="B409" i="2"/>
  <c r="A409" i="2"/>
  <c r="H408" i="2"/>
  <c r="G408" i="2"/>
  <c r="F408" i="2"/>
  <c r="E408" i="2"/>
  <c r="D408" i="2"/>
  <c r="C408" i="2"/>
  <c r="B408" i="2"/>
  <c r="A408" i="2"/>
  <c r="H407" i="2"/>
  <c r="G407" i="2"/>
  <c r="F407" i="2"/>
  <c r="E407" i="2"/>
  <c r="D407" i="2"/>
  <c r="C407" i="2"/>
  <c r="B407" i="2"/>
  <c r="A407" i="2"/>
  <c r="H406" i="2"/>
  <c r="G406" i="2"/>
  <c r="F406" i="2"/>
  <c r="E406" i="2"/>
  <c r="D406" i="2"/>
  <c r="C406" i="2"/>
  <c r="B406" i="2"/>
  <c r="A406" i="2"/>
  <c r="H405" i="2"/>
  <c r="G405" i="2"/>
  <c r="F405" i="2"/>
  <c r="E405" i="2"/>
  <c r="D405" i="2"/>
  <c r="C405" i="2"/>
  <c r="B405" i="2"/>
  <c r="A405" i="2"/>
  <c r="H404" i="2"/>
  <c r="G404" i="2"/>
  <c r="F404" i="2"/>
  <c r="E404" i="2"/>
  <c r="D404" i="2"/>
  <c r="C404" i="2"/>
  <c r="B404" i="2"/>
  <c r="A404" i="2"/>
  <c r="H403" i="2"/>
  <c r="G403" i="2"/>
  <c r="F403" i="2"/>
  <c r="E403" i="2"/>
  <c r="D403" i="2"/>
  <c r="C403" i="2"/>
  <c r="B403" i="2"/>
  <c r="A403" i="2"/>
  <c r="H402" i="2"/>
  <c r="G402" i="2"/>
  <c r="F402" i="2"/>
  <c r="E402" i="2"/>
  <c r="D402" i="2"/>
  <c r="C402" i="2"/>
  <c r="B402" i="2"/>
  <c r="A402" i="2"/>
  <c r="H401" i="2"/>
  <c r="G401" i="2"/>
  <c r="F401" i="2"/>
  <c r="E401" i="2"/>
  <c r="D401" i="2"/>
  <c r="C401" i="2"/>
  <c r="B401" i="2"/>
  <c r="A401" i="2"/>
  <c r="H400" i="2"/>
  <c r="G400" i="2"/>
  <c r="F400" i="2"/>
  <c r="E400" i="2"/>
  <c r="D400" i="2"/>
  <c r="C400" i="2"/>
  <c r="B400" i="2"/>
  <c r="A400" i="2"/>
  <c r="H399" i="2"/>
  <c r="G399" i="2"/>
  <c r="F399" i="2"/>
  <c r="E399" i="2"/>
  <c r="D399" i="2"/>
  <c r="C399" i="2"/>
  <c r="B399" i="2"/>
  <c r="A399" i="2"/>
  <c r="H398" i="2"/>
  <c r="G398" i="2"/>
  <c r="F398" i="2"/>
  <c r="E398" i="2"/>
  <c r="D398" i="2"/>
  <c r="C398" i="2"/>
  <c r="B398" i="2"/>
  <c r="A398" i="2"/>
  <c r="H397" i="2"/>
  <c r="G397" i="2"/>
  <c r="F397" i="2"/>
  <c r="E397" i="2"/>
  <c r="D397" i="2"/>
  <c r="C397" i="2"/>
  <c r="B397" i="2"/>
  <c r="A397" i="2"/>
  <c r="H396" i="2"/>
  <c r="G396" i="2"/>
  <c r="F396" i="2"/>
  <c r="E396" i="2"/>
  <c r="D396" i="2"/>
  <c r="C396" i="2"/>
  <c r="B396" i="2"/>
  <c r="A396" i="2"/>
  <c r="H395" i="2"/>
  <c r="G395" i="2"/>
  <c r="F395" i="2"/>
  <c r="E395" i="2"/>
  <c r="D395" i="2"/>
  <c r="C395" i="2"/>
  <c r="B395" i="2"/>
  <c r="A395" i="2"/>
  <c r="H394" i="2"/>
  <c r="G394" i="2"/>
  <c r="F394" i="2"/>
  <c r="E394" i="2"/>
  <c r="D394" i="2"/>
  <c r="C394" i="2"/>
  <c r="B394" i="2"/>
  <c r="A394" i="2"/>
  <c r="H393" i="2"/>
  <c r="G393" i="2"/>
  <c r="F393" i="2"/>
  <c r="E393" i="2"/>
  <c r="D393" i="2"/>
  <c r="C393" i="2"/>
  <c r="B393" i="2"/>
  <c r="A393" i="2"/>
  <c r="H392" i="2"/>
  <c r="G392" i="2"/>
  <c r="F392" i="2"/>
  <c r="E392" i="2"/>
  <c r="D392" i="2"/>
  <c r="C392" i="2"/>
  <c r="B392" i="2"/>
  <c r="A392" i="2"/>
  <c r="H391" i="2"/>
  <c r="G391" i="2"/>
  <c r="F391" i="2"/>
  <c r="E391" i="2"/>
  <c r="D391" i="2"/>
  <c r="C391" i="2"/>
  <c r="B391" i="2"/>
  <c r="A391" i="2"/>
  <c r="H390" i="2"/>
  <c r="G390" i="2"/>
  <c r="F390" i="2"/>
  <c r="E390" i="2"/>
  <c r="D390" i="2"/>
  <c r="C390" i="2"/>
  <c r="B390" i="2"/>
  <c r="A390" i="2"/>
  <c r="H389" i="2"/>
  <c r="G389" i="2"/>
  <c r="F389" i="2"/>
  <c r="E389" i="2"/>
  <c r="D389" i="2"/>
  <c r="C389" i="2"/>
  <c r="B389" i="2"/>
  <c r="A389" i="2"/>
  <c r="H388" i="2"/>
  <c r="G388" i="2"/>
  <c r="F388" i="2"/>
  <c r="E388" i="2"/>
  <c r="D388" i="2"/>
  <c r="C388" i="2"/>
  <c r="B388" i="2"/>
  <c r="A388" i="2"/>
  <c r="H387" i="2"/>
  <c r="G387" i="2"/>
  <c r="F387" i="2"/>
  <c r="E387" i="2"/>
  <c r="D387" i="2"/>
  <c r="C387" i="2"/>
  <c r="B387" i="2"/>
  <c r="A387" i="2"/>
  <c r="H386" i="2"/>
  <c r="G386" i="2"/>
  <c r="F386" i="2"/>
  <c r="E386" i="2"/>
  <c r="D386" i="2"/>
  <c r="C386" i="2"/>
  <c r="B386" i="2"/>
  <c r="A386" i="2"/>
  <c r="H385" i="2"/>
  <c r="G385" i="2"/>
  <c r="F385" i="2"/>
  <c r="E385" i="2"/>
  <c r="D385" i="2"/>
  <c r="C385" i="2"/>
  <c r="B385" i="2"/>
  <c r="A385" i="2"/>
  <c r="H384" i="2"/>
  <c r="G384" i="2"/>
  <c r="F384" i="2"/>
  <c r="E384" i="2"/>
  <c r="D384" i="2"/>
  <c r="C384" i="2"/>
  <c r="B384" i="2"/>
  <c r="A384" i="2"/>
  <c r="H383" i="2"/>
  <c r="G383" i="2"/>
  <c r="F383" i="2"/>
  <c r="E383" i="2"/>
  <c r="D383" i="2"/>
  <c r="C383" i="2"/>
  <c r="B383" i="2"/>
  <c r="A383" i="2"/>
  <c r="H382" i="2"/>
  <c r="G382" i="2"/>
  <c r="F382" i="2"/>
  <c r="E382" i="2"/>
  <c r="D382" i="2"/>
  <c r="C382" i="2"/>
  <c r="B382" i="2"/>
  <c r="A382" i="2"/>
  <c r="H381" i="2"/>
  <c r="G381" i="2"/>
  <c r="F381" i="2"/>
  <c r="E381" i="2"/>
  <c r="D381" i="2"/>
  <c r="C381" i="2"/>
  <c r="B381" i="2"/>
  <c r="A381" i="2"/>
  <c r="H380" i="2"/>
  <c r="G380" i="2"/>
  <c r="F380" i="2"/>
  <c r="E380" i="2"/>
  <c r="D380" i="2"/>
  <c r="C380" i="2"/>
  <c r="B380" i="2"/>
  <c r="A380" i="2"/>
  <c r="H379" i="2"/>
  <c r="G379" i="2"/>
  <c r="F379" i="2"/>
  <c r="E379" i="2"/>
  <c r="D379" i="2"/>
  <c r="C379" i="2"/>
  <c r="B379" i="2"/>
  <c r="A379" i="2"/>
  <c r="H378" i="2"/>
  <c r="G378" i="2"/>
  <c r="F378" i="2"/>
  <c r="E378" i="2"/>
  <c r="D378" i="2"/>
  <c r="C378" i="2"/>
  <c r="B378" i="2"/>
  <c r="A378" i="2"/>
  <c r="H377" i="2"/>
  <c r="G377" i="2"/>
  <c r="F377" i="2"/>
  <c r="E377" i="2"/>
  <c r="D377" i="2"/>
  <c r="C377" i="2"/>
  <c r="B377" i="2"/>
  <c r="A377" i="2"/>
  <c r="H376" i="2"/>
  <c r="G376" i="2"/>
  <c r="F376" i="2"/>
  <c r="E376" i="2"/>
  <c r="D376" i="2"/>
  <c r="C376" i="2"/>
  <c r="B376" i="2"/>
  <c r="A376" i="2"/>
  <c r="H375" i="2"/>
  <c r="G375" i="2"/>
  <c r="F375" i="2"/>
  <c r="E375" i="2"/>
  <c r="D375" i="2"/>
  <c r="C375" i="2"/>
  <c r="B375" i="2"/>
  <c r="A375" i="2"/>
  <c r="H374" i="2"/>
  <c r="G374" i="2"/>
  <c r="F374" i="2"/>
  <c r="E374" i="2"/>
  <c r="D374" i="2"/>
  <c r="C374" i="2"/>
  <c r="B374" i="2"/>
  <c r="A374" i="2"/>
  <c r="H373" i="2"/>
  <c r="G373" i="2"/>
  <c r="F373" i="2"/>
  <c r="E373" i="2"/>
  <c r="D373" i="2"/>
  <c r="C373" i="2"/>
  <c r="B373" i="2"/>
  <c r="A373" i="2"/>
  <c r="H372" i="2"/>
  <c r="G372" i="2"/>
  <c r="F372" i="2"/>
  <c r="E372" i="2"/>
  <c r="D372" i="2"/>
  <c r="C372" i="2"/>
  <c r="B372" i="2"/>
  <c r="A372" i="2"/>
  <c r="H371" i="2"/>
  <c r="G371" i="2"/>
  <c r="F371" i="2"/>
  <c r="E371" i="2"/>
  <c r="D371" i="2"/>
  <c r="C371" i="2"/>
  <c r="B371" i="2"/>
  <c r="A371" i="2"/>
  <c r="H370" i="2"/>
  <c r="G370" i="2"/>
  <c r="F370" i="2"/>
  <c r="E370" i="2"/>
  <c r="D370" i="2"/>
  <c r="C370" i="2"/>
  <c r="B370" i="2"/>
  <c r="A370" i="2"/>
  <c r="H369" i="2"/>
  <c r="G369" i="2"/>
  <c r="F369" i="2"/>
  <c r="E369" i="2"/>
  <c r="D369" i="2"/>
  <c r="C369" i="2"/>
  <c r="B369" i="2"/>
  <c r="A369" i="2"/>
  <c r="H368" i="2"/>
  <c r="G368" i="2"/>
  <c r="F368" i="2"/>
  <c r="E368" i="2"/>
  <c r="D368" i="2"/>
  <c r="C368" i="2"/>
  <c r="B368" i="2"/>
  <c r="A368" i="2"/>
  <c r="H367" i="2"/>
  <c r="G367" i="2"/>
  <c r="F367" i="2"/>
  <c r="E367" i="2"/>
  <c r="D367" i="2"/>
  <c r="C367" i="2"/>
  <c r="B367" i="2"/>
  <c r="A367" i="2"/>
  <c r="H366" i="2"/>
  <c r="G366" i="2"/>
  <c r="F366" i="2"/>
  <c r="E366" i="2"/>
  <c r="D366" i="2"/>
  <c r="C366" i="2"/>
  <c r="B366" i="2"/>
  <c r="A366" i="2"/>
  <c r="H365" i="2"/>
  <c r="G365" i="2"/>
  <c r="F365" i="2"/>
  <c r="E365" i="2"/>
  <c r="D365" i="2"/>
  <c r="C365" i="2"/>
  <c r="B365" i="2"/>
  <c r="A365" i="2"/>
  <c r="H364" i="2"/>
  <c r="G364" i="2"/>
  <c r="F364" i="2"/>
  <c r="E364" i="2"/>
  <c r="D364" i="2"/>
  <c r="C364" i="2"/>
  <c r="B364" i="2"/>
  <c r="A364" i="2"/>
  <c r="H363" i="2"/>
  <c r="G363" i="2"/>
  <c r="F363" i="2"/>
  <c r="E363" i="2"/>
  <c r="D363" i="2"/>
  <c r="C363" i="2"/>
  <c r="B363" i="2"/>
  <c r="A363" i="2"/>
  <c r="H362" i="2"/>
  <c r="G362" i="2"/>
  <c r="F362" i="2"/>
  <c r="E362" i="2"/>
  <c r="D362" i="2"/>
  <c r="C362" i="2"/>
  <c r="B362" i="2"/>
  <c r="A362" i="2"/>
  <c r="H361" i="2"/>
  <c r="G361" i="2"/>
  <c r="F361" i="2"/>
  <c r="E361" i="2"/>
  <c r="D361" i="2"/>
  <c r="C361" i="2"/>
  <c r="B361" i="2"/>
  <c r="A361" i="2"/>
  <c r="H360" i="2"/>
  <c r="G360" i="2"/>
  <c r="F360" i="2"/>
  <c r="E360" i="2"/>
  <c r="D360" i="2"/>
  <c r="C360" i="2"/>
  <c r="B360" i="2"/>
  <c r="A360" i="2"/>
  <c r="H359" i="2"/>
  <c r="G359" i="2"/>
  <c r="F359" i="2"/>
  <c r="E359" i="2"/>
  <c r="D359" i="2"/>
  <c r="C359" i="2"/>
  <c r="B359" i="2"/>
  <c r="A359" i="2"/>
  <c r="H358" i="2"/>
  <c r="G358" i="2"/>
  <c r="F358" i="2"/>
  <c r="E358" i="2"/>
  <c r="D358" i="2"/>
  <c r="C358" i="2"/>
  <c r="B358" i="2"/>
  <c r="A358" i="2"/>
  <c r="H357" i="2"/>
  <c r="G357" i="2"/>
  <c r="F357" i="2"/>
  <c r="E357" i="2"/>
  <c r="D357" i="2"/>
  <c r="C357" i="2"/>
  <c r="B357" i="2"/>
  <c r="A357" i="2"/>
  <c r="H356" i="2"/>
  <c r="G356" i="2"/>
  <c r="F356" i="2"/>
  <c r="E356" i="2"/>
  <c r="D356" i="2"/>
  <c r="C356" i="2"/>
  <c r="B356" i="2"/>
  <c r="A356" i="2"/>
  <c r="H355" i="2"/>
  <c r="G355" i="2"/>
  <c r="F355" i="2"/>
  <c r="E355" i="2"/>
  <c r="D355" i="2"/>
  <c r="C355" i="2"/>
  <c r="B355" i="2"/>
  <c r="A355" i="2"/>
  <c r="H354" i="2"/>
  <c r="G354" i="2"/>
  <c r="F354" i="2"/>
  <c r="E354" i="2"/>
  <c r="D354" i="2"/>
  <c r="C354" i="2"/>
  <c r="B354" i="2"/>
  <c r="A354" i="2"/>
  <c r="H353" i="2"/>
  <c r="G353" i="2"/>
  <c r="F353" i="2"/>
  <c r="E353" i="2"/>
  <c r="D353" i="2"/>
  <c r="C353" i="2"/>
  <c r="B353" i="2"/>
  <c r="A353" i="2"/>
  <c r="H352" i="2"/>
  <c r="G352" i="2"/>
  <c r="F352" i="2"/>
  <c r="E352" i="2"/>
  <c r="D352" i="2"/>
  <c r="C352" i="2"/>
  <c r="B352" i="2"/>
  <c r="A352" i="2"/>
  <c r="H351" i="2"/>
  <c r="G351" i="2"/>
  <c r="F351" i="2"/>
  <c r="E351" i="2"/>
  <c r="D351" i="2"/>
  <c r="C351" i="2"/>
  <c r="B351" i="2"/>
  <c r="A351" i="2"/>
  <c r="H350" i="2"/>
  <c r="G350" i="2"/>
  <c r="F350" i="2"/>
  <c r="E350" i="2"/>
  <c r="D350" i="2"/>
  <c r="C350" i="2"/>
  <c r="B350" i="2"/>
  <c r="A350" i="2"/>
  <c r="H349" i="2"/>
  <c r="G349" i="2"/>
  <c r="F349" i="2"/>
  <c r="E349" i="2"/>
  <c r="D349" i="2"/>
  <c r="C349" i="2"/>
  <c r="B349" i="2"/>
  <c r="A349" i="2"/>
  <c r="H348" i="2"/>
  <c r="G348" i="2"/>
  <c r="F348" i="2"/>
  <c r="E348" i="2"/>
  <c r="D348" i="2"/>
  <c r="C348" i="2"/>
  <c r="B348" i="2"/>
  <c r="A348" i="2"/>
  <c r="H347" i="2"/>
  <c r="G347" i="2"/>
  <c r="F347" i="2"/>
  <c r="E347" i="2"/>
  <c r="D347" i="2"/>
  <c r="C347" i="2"/>
  <c r="B347" i="2"/>
  <c r="A347" i="2"/>
  <c r="H346" i="2"/>
  <c r="G346" i="2"/>
  <c r="F346" i="2"/>
  <c r="E346" i="2"/>
  <c r="D346" i="2"/>
  <c r="C346" i="2"/>
  <c r="B346" i="2"/>
  <c r="A346" i="2"/>
  <c r="H345" i="2"/>
  <c r="G345" i="2"/>
  <c r="F345" i="2"/>
  <c r="E345" i="2"/>
  <c r="D345" i="2"/>
  <c r="C345" i="2"/>
  <c r="B345" i="2"/>
  <c r="A345" i="2"/>
  <c r="H344" i="2"/>
  <c r="G344" i="2"/>
  <c r="F344" i="2"/>
  <c r="E344" i="2"/>
  <c r="D344" i="2"/>
  <c r="C344" i="2"/>
  <c r="B344" i="2"/>
  <c r="A344" i="2"/>
  <c r="H343" i="2"/>
  <c r="G343" i="2"/>
  <c r="F343" i="2"/>
  <c r="E343" i="2"/>
  <c r="D343" i="2"/>
  <c r="C343" i="2"/>
  <c r="B343" i="2"/>
  <c r="A343" i="2"/>
  <c r="H342" i="2"/>
  <c r="G342" i="2"/>
  <c r="F342" i="2"/>
  <c r="E342" i="2"/>
  <c r="D342" i="2"/>
  <c r="C342" i="2"/>
  <c r="B342" i="2"/>
  <c r="A342" i="2"/>
  <c r="H341" i="2"/>
  <c r="G341" i="2"/>
  <c r="F341" i="2"/>
  <c r="E341" i="2"/>
  <c r="D341" i="2"/>
  <c r="C341" i="2"/>
  <c r="B341" i="2"/>
  <c r="A341" i="2"/>
  <c r="H340" i="2"/>
  <c r="G340" i="2"/>
  <c r="F340" i="2"/>
  <c r="E340" i="2"/>
  <c r="D340" i="2"/>
  <c r="C340" i="2"/>
  <c r="B340" i="2"/>
  <c r="A340" i="2"/>
  <c r="H339" i="2"/>
  <c r="G339" i="2"/>
  <c r="F339" i="2"/>
  <c r="E339" i="2"/>
  <c r="D339" i="2"/>
  <c r="C339" i="2"/>
  <c r="B339" i="2"/>
  <c r="A339" i="2"/>
  <c r="H338" i="2"/>
  <c r="G338" i="2"/>
  <c r="F338" i="2"/>
  <c r="E338" i="2"/>
  <c r="D338" i="2"/>
  <c r="C338" i="2"/>
  <c r="B338" i="2"/>
  <c r="A338" i="2"/>
  <c r="H337" i="2"/>
  <c r="G337" i="2"/>
  <c r="F337" i="2"/>
  <c r="E337" i="2"/>
  <c r="D337" i="2"/>
  <c r="C337" i="2"/>
  <c r="B337" i="2"/>
  <c r="A337" i="2"/>
  <c r="H336" i="2"/>
  <c r="G336" i="2"/>
  <c r="F336" i="2"/>
  <c r="E336" i="2"/>
  <c r="D336" i="2"/>
  <c r="C336" i="2"/>
  <c r="B336" i="2"/>
  <c r="A336" i="2"/>
  <c r="H335" i="2"/>
  <c r="G335" i="2"/>
  <c r="F335" i="2"/>
  <c r="E335" i="2"/>
  <c r="D335" i="2"/>
  <c r="C335" i="2"/>
  <c r="B335" i="2"/>
  <c r="A335" i="2"/>
  <c r="H334" i="2"/>
  <c r="G334" i="2"/>
  <c r="F334" i="2"/>
  <c r="E334" i="2"/>
  <c r="D334" i="2"/>
  <c r="C334" i="2"/>
  <c r="B334" i="2"/>
  <c r="A334" i="2"/>
  <c r="H333" i="2"/>
  <c r="G333" i="2"/>
  <c r="F333" i="2"/>
  <c r="E333" i="2"/>
  <c r="D333" i="2"/>
  <c r="C333" i="2"/>
  <c r="B333" i="2"/>
  <c r="A333" i="2"/>
  <c r="H332" i="2"/>
  <c r="G332" i="2"/>
  <c r="F332" i="2"/>
  <c r="E332" i="2"/>
  <c r="D332" i="2"/>
  <c r="C332" i="2"/>
  <c r="B332" i="2"/>
  <c r="A332" i="2"/>
  <c r="H331" i="2"/>
  <c r="G331" i="2"/>
  <c r="F331" i="2"/>
  <c r="E331" i="2"/>
  <c r="D331" i="2"/>
  <c r="C331" i="2"/>
  <c r="B331" i="2"/>
  <c r="A331" i="2"/>
  <c r="H330" i="2"/>
  <c r="G330" i="2"/>
  <c r="F330" i="2"/>
  <c r="E330" i="2"/>
  <c r="D330" i="2"/>
  <c r="C330" i="2"/>
  <c r="B330" i="2"/>
  <c r="A330" i="2"/>
  <c r="H329" i="2"/>
  <c r="G329" i="2"/>
  <c r="F329" i="2"/>
  <c r="E329" i="2"/>
  <c r="D329" i="2"/>
  <c r="C329" i="2"/>
  <c r="B329" i="2"/>
  <c r="A329" i="2"/>
  <c r="H328" i="2"/>
  <c r="G328" i="2"/>
  <c r="F328" i="2"/>
  <c r="E328" i="2"/>
  <c r="D328" i="2"/>
  <c r="C328" i="2"/>
  <c r="B328" i="2"/>
  <c r="A328" i="2"/>
  <c r="H327" i="2"/>
  <c r="G327" i="2"/>
  <c r="F327" i="2"/>
  <c r="E327" i="2"/>
  <c r="D327" i="2"/>
  <c r="C327" i="2"/>
  <c r="B327" i="2"/>
  <c r="A327" i="2"/>
  <c r="H326" i="2"/>
  <c r="G326" i="2"/>
  <c r="F326" i="2"/>
  <c r="E326" i="2"/>
  <c r="D326" i="2"/>
  <c r="C326" i="2"/>
  <c r="B326" i="2"/>
  <c r="A326" i="2"/>
  <c r="H325" i="2"/>
  <c r="G325" i="2"/>
  <c r="F325" i="2"/>
  <c r="E325" i="2"/>
  <c r="D325" i="2"/>
  <c r="C325" i="2"/>
  <c r="B325" i="2"/>
  <c r="A325" i="2"/>
  <c r="H324" i="2"/>
  <c r="G324" i="2"/>
  <c r="F324" i="2"/>
  <c r="E324" i="2"/>
  <c r="D324" i="2"/>
  <c r="C324" i="2"/>
  <c r="B324" i="2"/>
  <c r="A324" i="2"/>
  <c r="H323" i="2"/>
  <c r="G323" i="2"/>
  <c r="F323" i="2"/>
  <c r="E323" i="2"/>
  <c r="D323" i="2"/>
  <c r="C323" i="2"/>
  <c r="B323" i="2"/>
  <c r="A323" i="2"/>
  <c r="H322" i="2"/>
  <c r="G322" i="2"/>
  <c r="F322" i="2"/>
  <c r="E322" i="2"/>
  <c r="D322" i="2"/>
  <c r="C322" i="2"/>
  <c r="B322" i="2"/>
  <c r="A322" i="2"/>
  <c r="H321" i="2"/>
  <c r="G321" i="2"/>
  <c r="F321" i="2"/>
  <c r="E321" i="2"/>
  <c r="D321" i="2"/>
  <c r="C321" i="2"/>
  <c r="B321" i="2"/>
  <c r="A321" i="2"/>
  <c r="H320" i="2"/>
  <c r="G320" i="2"/>
  <c r="F320" i="2"/>
  <c r="E320" i="2"/>
  <c r="D320" i="2"/>
  <c r="C320" i="2"/>
  <c r="B320" i="2"/>
  <c r="A320" i="2"/>
  <c r="H319" i="2"/>
  <c r="G319" i="2"/>
  <c r="F319" i="2"/>
  <c r="E319" i="2"/>
  <c r="D319" i="2"/>
  <c r="C319" i="2"/>
  <c r="B319" i="2"/>
  <c r="A319" i="2"/>
  <c r="H318" i="2"/>
  <c r="G318" i="2"/>
  <c r="F318" i="2"/>
  <c r="E318" i="2"/>
  <c r="D318" i="2"/>
  <c r="C318" i="2"/>
  <c r="B318" i="2"/>
  <c r="A318" i="2"/>
  <c r="H317" i="2"/>
  <c r="G317" i="2"/>
  <c r="F317" i="2"/>
  <c r="E317" i="2"/>
  <c r="D317" i="2"/>
  <c r="C317" i="2"/>
  <c r="B317" i="2"/>
  <c r="A317" i="2"/>
  <c r="H316" i="2"/>
  <c r="G316" i="2"/>
  <c r="F316" i="2"/>
  <c r="E316" i="2"/>
  <c r="D316" i="2"/>
  <c r="C316" i="2"/>
  <c r="B316" i="2"/>
  <c r="A316" i="2"/>
  <c r="H315" i="2"/>
  <c r="G315" i="2"/>
  <c r="F315" i="2"/>
  <c r="E315" i="2"/>
  <c r="D315" i="2"/>
  <c r="C315" i="2"/>
  <c r="B315" i="2"/>
  <c r="A315" i="2"/>
  <c r="H314" i="2"/>
  <c r="G314" i="2"/>
  <c r="F314" i="2"/>
  <c r="E314" i="2"/>
  <c r="D314" i="2"/>
  <c r="C314" i="2"/>
  <c r="B314" i="2"/>
  <c r="A314" i="2"/>
  <c r="H313" i="2"/>
  <c r="G313" i="2"/>
  <c r="F313" i="2"/>
  <c r="E313" i="2"/>
  <c r="D313" i="2"/>
  <c r="C313" i="2"/>
  <c r="B313" i="2"/>
  <c r="A313" i="2"/>
  <c r="H312" i="2"/>
  <c r="G312" i="2"/>
  <c r="F312" i="2"/>
  <c r="E312" i="2"/>
  <c r="D312" i="2"/>
  <c r="C312" i="2"/>
  <c r="B312" i="2"/>
  <c r="A312" i="2"/>
  <c r="H311" i="2"/>
  <c r="G311" i="2"/>
  <c r="F311" i="2"/>
  <c r="E311" i="2"/>
  <c r="D311" i="2"/>
  <c r="C311" i="2"/>
  <c r="B311" i="2"/>
  <c r="A311" i="2"/>
  <c r="H310" i="2"/>
  <c r="G310" i="2"/>
  <c r="F310" i="2"/>
  <c r="E310" i="2"/>
  <c r="D310" i="2"/>
  <c r="C310" i="2"/>
  <c r="B310" i="2"/>
  <c r="A310" i="2"/>
  <c r="H309" i="2"/>
  <c r="G309" i="2"/>
  <c r="F309" i="2"/>
  <c r="E309" i="2"/>
  <c r="D309" i="2"/>
  <c r="C309" i="2"/>
  <c r="B309" i="2"/>
  <c r="A309" i="2"/>
  <c r="H308" i="2"/>
  <c r="G308" i="2"/>
  <c r="F308" i="2"/>
  <c r="E308" i="2"/>
  <c r="D308" i="2"/>
  <c r="C308" i="2"/>
  <c r="B308" i="2"/>
  <c r="A308" i="2"/>
  <c r="H307" i="2"/>
  <c r="G307" i="2"/>
  <c r="F307" i="2"/>
  <c r="E307" i="2"/>
  <c r="D307" i="2"/>
  <c r="C307" i="2"/>
  <c r="B307" i="2"/>
  <c r="A307" i="2"/>
  <c r="H306" i="2"/>
  <c r="G306" i="2"/>
  <c r="F306" i="2"/>
  <c r="E306" i="2"/>
  <c r="D306" i="2"/>
  <c r="C306" i="2"/>
  <c r="B306" i="2"/>
  <c r="A306" i="2"/>
  <c r="H305" i="2"/>
  <c r="G305" i="2"/>
  <c r="F305" i="2"/>
  <c r="E305" i="2"/>
  <c r="D305" i="2"/>
  <c r="C305" i="2"/>
  <c r="B305" i="2"/>
  <c r="A305" i="2"/>
  <c r="H304" i="2"/>
  <c r="G304" i="2"/>
  <c r="F304" i="2"/>
  <c r="E304" i="2"/>
  <c r="D304" i="2"/>
  <c r="C304" i="2"/>
  <c r="B304" i="2"/>
  <c r="A304" i="2"/>
  <c r="H303" i="2"/>
  <c r="G303" i="2"/>
  <c r="F303" i="2"/>
  <c r="E303" i="2"/>
  <c r="D303" i="2"/>
  <c r="C303" i="2"/>
  <c r="B303" i="2"/>
  <c r="A303" i="2"/>
  <c r="H302" i="2"/>
  <c r="G302" i="2"/>
  <c r="F302" i="2"/>
  <c r="E302" i="2"/>
  <c r="D302" i="2"/>
  <c r="C302" i="2"/>
  <c r="B302" i="2"/>
  <c r="A302" i="2"/>
  <c r="H301" i="2"/>
  <c r="G301" i="2"/>
  <c r="F301" i="2"/>
  <c r="E301" i="2"/>
  <c r="D301" i="2"/>
  <c r="C301" i="2"/>
  <c r="B301" i="2"/>
  <c r="A301" i="2"/>
  <c r="H300" i="2"/>
  <c r="G300" i="2"/>
  <c r="F300" i="2"/>
  <c r="E300" i="2"/>
  <c r="D300" i="2"/>
  <c r="C300" i="2"/>
  <c r="B300" i="2"/>
  <c r="A300" i="2"/>
  <c r="H299" i="2"/>
  <c r="G299" i="2"/>
  <c r="F299" i="2"/>
  <c r="E299" i="2"/>
  <c r="D299" i="2"/>
  <c r="C299" i="2"/>
  <c r="B299" i="2"/>
  <c r="A299" i="2"/>
  <c r="H298" i="2"/>
  <c r="G298" i="2"/>
  <c r="F298" i="2"/>
  <c r="E298" i="2"/>
  <c r="D298" i="2"/>
  <c r="C298" i="2"/>
  <c r="B298" i="2"/>
  <c r="A298" i="2"/>
  <c r="H297" i="2"/>
  <c r="G297" i="2"/>
  <c r="F297" i="2"/>
  <c r="E297" i="2"/>
  <c r="D297" i="2"/>
  <c r="C297" i="2"/>
  <c r="B297" i="2"/>
  <c r="A297" i="2"/>
  <c r="H296" i="2"/>
  <c r="G296" i="2"/>
  <c r="F296" i="2"/>
  <c r="E296" i="2"/>
  <c r="D296" i="2"/>
  <c r="C296" i="2"/>
  <c r="B296" i="2"/>
  <c r="A296" i="2"/>
  <c r="H295" i="2"/>
  <c r="G295" i="2"/>
  <c r="F295" i="2"/>
  <c r="E295" i="2"/>
  <c r="D295" i="2"/>
  <c r="C295" i="2"/>
  <c r="B295" i="2"/>
  <c r="A295" i="2"/>
  <c r="H294" i="2"/>
  <c r="G294" i="2"/>
  <c r="F294" i="2"/>
  <c r="E294" i="2"/>
  <c r="D294" i="2"/>
  <c r="C294" i="2"/>
  <c r="B294" i="2"/>
  <c r="A294" i="2"/>
  <c r="H293" i="2"/>
  <c r="G293" i="2"/>
  <c r="F293" i="2"/>
  <c r="E293" i="2"/>
  <c r="D293" i="2"/>
  <c r="C293" i="2"/>
  <c r="B293" i="2"/>
  <c r="A293" i="2"/>
  <c r="H292" i="2"/>
  <c r="G292" i="2"/>
  <c r="F292" i="2"/>
  <c r="E292" i="2"/>
  <c r="D292" i="2"/>
  <c r="C292" i="2"/>
  <c r="B292" i="2"/>
  <c r="A292" i="2"/>
  <c r="H291" i="2"/>
  <c r="G291" i="2"/>
  <c r="F291" i="2"/>
  <c r="E291" i="2"/>
  <c r="D291" i="2"/>
  <c r="C291" i="2"/>
  <c r="B291" i="2"/>
  <c r="A291" i="2"/>
  <c r="H290" i="2"/>
  <c r="G290" i="2"/>
  <c r="F290" i="2"/>
  <c r="E290" i="2"/>
  <c r="D290" i="2"/>
  <c r="C290" i="2"/>
  <c r="B290" i="2"/>
  <c r="A290" i="2"/>
  <c r="H289" i="2"/>
  <c r="G289" i="2"/>
  <c r="F289" i="2"/>
  <c r="E289" i="2"/>
  <c r="D289" i="2"/>
  <c r="C289" i="2"/>
  <c r="B289" i="2"/>
  <c r="A289" i="2"/>
  <c r="H288" i="2"/>
  <c r="G288" i="2"/>
  <c r="F288" i="2"/>
  <c r="E288" i="2"/>
  <c r="D288" i="2"/>
  <c r="C288" i="2"/>
  <c r="B288" i="2"/>
  <c r="A288" i="2"/>
  <c r="H287" i="2"/>
  <c r="G287" i="2"/>
  <c r="F287" i="2"/>
  <c r="E287" i="2"/>
  <c r="D287" i="2"/>
  <c r="C287" i="2"/>
  <c r="B287" i="2"/>
  <c r="A287" i="2"/>
  <c r="H286" i="2"/>
  <c r="G286" i="2"/>
  <c r="F286" i="2"/>
  <c r="E286" i="2"/>
  <c r="D286" i="2"/>
  <c r="C286" i="2"/>
  <c r="B286" i="2"/>
  <c r="A286" i="2"/>
  <c r="H285" i="2"/>
  <c r="G285" i="2"/>
  <c r="F285" i="2"/>
  <c r="E285" i="2"/>
  <c r="D285" i="2"/>
  <c r="C285" i="2"/>
  <c r="B285" i="2"/>
  <c r="A285" i="2"/>
  <c r="H284" i="2"/>
  <c r="G284" i="2"/>
  <c r="F284" i="2"/>
  <c r="E284" i="2"/>
  <c r="D284" i="2"/>
  <c r="C284" i="2"/>
  <c r="B284" i="2"/>
  <c r="A284" i="2"/>
  <c r="H283" i="2"/>
  <c r="G283" i="2"/>
  <c r="F283" i="2"/>
  <c r="E283" i="2"/>
  <c r="D283" i="2"/>
  <c r="C283" i="2"/>
  <c r="B283" i="2"/>
  <c r="A283" i="2"/>
  <c r="H282" i="2"/>
  <c r="G282" i="2"/>
  <c r="F282" i="2"/>
  <c r="E282" i="2"/>
  <c r="D282" i="2"/>
  <c r="C282" i="2"/>
  <c r="B282" i="2"/>
  <c r="A282" i="2"/>
  <c r="H281" i="2"/>
  <c r="G281" i="2"/>
  <c r="F281" i="2"/>
  <c r="E281" i="2"/>
  <c r="D281" i="2"/>
  <c r="C281" i="2"/>
  <c r="B281" i="2"/>
  <c r="A281" i="2"/>
  <c r="H280" i="2"/>
  <c r="G280" i="2"/>
  <c r="F280" i="2"/>
  <c r="E280" i="2"/>
  <c r="D280" i="2"/>
  <c r="C280" i="2"/>
  <c r="B280" i="2"/>
  <c r="A280" i="2"/>
  <c r="H279" i="2"/>
  <c r="G279" i="2"/>
  <c r="F279" i="2"/>
  <c r="E279" i="2"/>
  <c r="D279" i="2"/>
  <c r="C279" i="2"/>
  <c r="B279" i="2"/>
  <c r="A279" i="2"/>
  <c r="H278" i="2"/>
  <c r="G278" i="2"/>
  <c r="F278" i="2"/>
  <c r="E278" i="2"/>
  <c r="D278" i="2"/>
  <c r="C278" i="2"/>
  <c r="B278" i="2"/>
  <c r="A278" i="2"/>
  <c r="H277" i="2"/>
  <c r="G277" i="2"/>
  <c r="F277" i="2"/>
  <c r="E277" i="2"/>
  <c r="D277" i="2"/>
  <c r="C277" i="2"/>
  <c r="B277" i="2"/>
  <c r="A277" i="2"/>
  <c r="H276" i="2"/>
  <c r="G276" i="2"/>
  <c r="F276" i="2"/>
  <c r="E276" i="2"/>
  <c r="D276" i="2"/>
  <c r="C276" i="2"/>
  <c r="B276" i="2"/>
  <c r="A276" i="2"/>
  <c r="H275" i="2"/>
  <c r="G275" i="2"/>
  <c r="F275" i="2"/>
  <c r="E275" i="2"/>
  <c r="D275" i="2"/>
  <c r="C275" i="2"/>
  <c r="B275" i="2"/>
  <c r="A275" i="2"/>
  <c r="H274" i="2"/>
  <c r="G274" i="2"/>
  <c r="F274" i="2"/>
  <c r="E274" i="2"/>
  <c r="D274" i="2"/>
  <c r="C274" i="2"/>
  <c r="B274" i="2"/>
  <c r="A274" i="2"/>
  <c r="H273" i="2"/>
  <c r="G273" i="2"/>
  <c r="F273" i="2"/>
  <c r="E273" i="2"/>
  <c r="D273" i="2"/>
  <c r="C273" i="2"/>
  <c r="B273" i="2"/>
  <c r="A273" i="2"/>
  <c r="H272" i="2"/>
  <c r="G272" i="2"/>
  <c r="F272" i="2"/>
  <c r="E272" i="2"/>
  <c r="D272" i="2"/>
  <c r="C272" i="2"/>
  <c r="B272" i="2"/>
  <c r="A272" i="2"/>
  <c r="H271" i="2"/>
  <c r="G271" i="2"/>
  <c r="F271" i="2"/>
  <c r="E271" i="2"/>
  <c r="D271" i="2"/>
  <c r="C271" i="2"/>
  <c r="B271" i="2"/>
  <c r="A271" i="2"/>
  <c r="H270" i="2"/>
  <c r="G270" i="2"/>
  <c r="F270" i="2"/>
  <c r="E270" i="2"/>
  <c r="D270" i="2"/>
  <c r="C270" i="2"/>
  <c r="B270" i="2"/>
  <c r="A270" i="2"/>
  <c r="H269" i="2"/>
  <c r="G269" i="2"/>
  <c r="F269" i="2"/>
  <c r="E269" i="2"/>
  <c r="D269" i="2"/>
  <c r="C269" i="2"/>
  <c r="B269" i="2"/>
  <c r="A269" i="2"/>
  <c r="H268" i="2"/>
  <c r="G268" i="2"/>
  <c r="F268" i="2"/>
  <c r="E268" i="2"/>
  <c r="D268" i="2"/>
  <c r="C268" i="2"/>
  <c r="B268" i="2"/>
  <c r="A268" i="2"/>
  <c r="H267" i="2"/>
  <c r="G267" i="2"/>
  <c r="F267" i="2"/>
  <c r="E267" i="2"/>
  <c r="D267" i="2"/>
  <c r="C267" i="2"/>
  <c r="B267" i="2"/>
  <c r="A267" i="2"/>
  <c r="H266" i="2"/>
  <c r="G266" i="2"/>
  <c r="F266" i="2"/>
  <c r="E266" i="2"/>
  <c r="D266" i="2"/>
  <c r="C266" i="2"/>
  <c r="B266" i="2"/>
  <c r="A266" i="2"/>
  <c r="H265" i="2"/>
  <c r="G265" i="2"/>
  <c r="F265" i="2"/>
  <c r="E265" i="2"/>
  <c r="D265" i="2"/>
  <c r="C265" i="2"/>
  <c r="B265" i="2"/>
  <c r="A265" i="2"/>
  <c r="H264" i="2"/>
  <c r="G264" i="2"/>
  <c r="F264" i="2"/>
  <c r="E264" i="2"/>
  <c r="D264" i="2"/>
  <c r="C264" i="2"/>
  <c r="B264" i="2"/>
  <c r="A264" i="2"/>
  <c r="H263" i="2"/>
  <c r="G263" i="2"/>
  <c r="F263" i="2"/>
  <c r="E263" i="2"/>
  <c r="D263" i="2"/>
  <c r="C263" i="2"/>
  <c r="B263" i="2"/>
  <c r="A263" i="2"/>
  <c r="H262" i="2"/>
  <c r="G262" i="2"/>
  <c r="F262" i="2"/>
  <c r="E262" i="2"/>
  <c r="D262" i="2"/>
  <c r="C262" i="2"/>
  <c r="B262" i="2"/>
  <c r="A262" i="2"/>
  <c r="H261" i="2"/>
  <c r="G261" i="2"/>
  <c r="F261" i="2"/>
  <c r="E261" i="2"/>
  <c r="D261" i="2"/>
  <c r="C261" i="2"/>
  <c r="B261" i="2"/>
  <c r="A261" i="2"/>
  <c r="H260" i="2"/>
  <c r="G260" i="2"/>
  <c r="F260" i="2"/>
  <c r="E260" i="2"/>
  <c r="D260" i="2"/>
  <c r="C260" i="2"/>
  <c r="B260" i="2"/>
  <c r="A260" i="2"/>
  <c r="H259" i="2"/>
  <c r="G259" i="2"/>
  <c r="F259" i="2"/>
  <c r="E259" i="2"/>
  <c r="D259" i="2"/>
  <c r="C259" i="2"/>
  <c r="B259" i="2"/>
  <c r="A259" i="2"/>
  <c r="H258" i="2"/>
  <c r="G258" i="2"/>
  <c r="F258" i="2"/>
  <c r="E258" i="2"/>
  <c r="D258" i="2"/>
  <c r="C258" i="2"/>
  <c r="B258" i="2"/>
  <c r="A258" i="2"/>
  <c r="H257" i="2"/>
  <c r="G257" i="2"/>
  <c r="F257" i="2"/>
  <c r="E257" i="2"/>
  <c r="D257" i="2"/>
  <c r="C257" i="2"/>
  <c r="B257" i="2"/>
  <c r="A257" i="2"/>
  <c r="H256" i="2"/>
  <c r="G256" i="2"/>
  <c r="F256" i="2"/>
  <c r="E256" i="2"/>
  <c r="D256" i="2"/>
  <c r="C256" i="2"/>
  <c r="B256" i="2"/>
  <c r="A256" i="2"/>
  <c r="H255" i="2"/>
  <c r="G255" i="2"/>
  <c r="F255" i="2"/>
  <c r="E255" i="2"/>
  <c r="D255" i="2"/>
  <c r="C255" i="2"/>
  <c r="B255" i="2"/>
  <c r="A255" i="2"/>
  <c r="H254" i="2"/>
  <c r="G254" i="2"/>
  <c r="F254" i="2"/>
  <c r="E254" i="2"/>
  <c r="D254" i="2"/>
  <c r="C254" i="2"/>
  <c r="B254" i="2"/>
  <c r="A254" i="2"/>
  <c r="H253" i="2"/>
  <c r="G253" i="2"/>
  <c r="F253" i="2"/>
  <c r="E253" i="2"/>
  <c r="D253" i="2"/>
  <c r="C253" i="2"/>
  <c r="B253" i="2"/>
  <c r="A253" i="2"/>
  <c r="H252" i="2"/>
  <c r="G252" i="2"/>
  <c r="F252" i="2"/>
  <c r="E252" i="2"/>
  <c r="D252" i="2"/>
  <c r="C252" i="2"/>
  <c r="B252" i="2"/>
  <c r="A252" i="2"/>
  <c r="H251" i="2"/>
  <c r="G251" i="2"/>
  <c r="F251" i="2"/>
  <c r="E251" i="2"/>
  <c r="D251" i="2"/>
  <c r="C251" i="2"/>
  <c r="B251" i="2"/>
  <c r="A251" i="2"/>
  <c r="H250" i="2"/>
  <c r="G250" i="2"/>
  <c r="F250" i="2"/>
  <c r="E250" i="2"/>
  <c r="D250" i="2"/>
  <c r="C250" i="2"/>
  <c r="B250" i="2"/>
  <c r="A250" i="2"/>
  <c r="H249" i="2"/>
  <c r="G249" i="2"/>
  <c r="F249" i="2"/>
  <c r="E249" i="2"/>
  <c r="D249" i="2"/>
  <c r="C249" i="2"/>
  <c r="B249" i="2"/>
  <c r="A249" i="2"/>
  <c r="H248" i="2"/>
  <c r="G248" i="2"/>
  <c r="F248" i="2"/>
  <c r="E248" i="2"/>
  <c r="D248" i="2"/>
  <c r="C248" i="2"/>
  <c r="B248" i="2"/>
  <c r="A248" i="2"/>
  <c r="H247" i="2"/>
  <c r="G247" i="2"/>
  <c r="F247" i="2"/>
  <c r="E247" i="2"/>
  <c r="D247" i="2"/>
  <c r="C247" i="2"/>
  <c r="B247" i="2"/>
  <c r="A247" i="2"/>
  <c r="H246" i="2"/>
  <c r="G246" i="2"/>
  <c r="F246" i="2"/>
  <c r="E246" i="2"/>
  <c r="D246" i="2"/>
  <c r="C246" i="2"/>
  <c r="B246" i="2"/>
  <c r="A246" i="2"/>
  <c r="H245" i="2"/>
  <c r="G245" i="2"/>
  <c r="F245" i="2"/>
  <c r="E245" i="2"/>
  <c r="D245" i="2"/>
  <c r="C245" i="2"/>
  <c r="B245" i="2"/>
  <c r="A245" i="2"/>
  <c r="H244" i="2"/>
  <c r="G244" i="2"/>
  <c r="F244" i="2"/>
  <c r="E244" i="2"/>
  <c r="D244" i="2"/>
  <c r="C244" i="2"/>
  <c r="B244" i="2"/>
  <c r="A244" i="2"/>
  <c r="H243" i="2"/>
  <c r="G243" i="2"/>
  <c r="F243" i="2"/>
  <c r="E243" i="2"/>
  <c r="D243" i="2"/>
  <c r="C243" i="2"/>
  <c r="B243" i="2"/>
  <c r="A243" i="2"/>
  <c r="H242" i="2"/>
  <c r="G242" i="2"/>
  <c r="F242" i="2"/>
  <c r="E242" i="2"/>
  <c r="D242" i="2"/>
  <c r="C242" i="2"/>
  <c r="B242" i="2"/>
  <c r="A242" i="2"/>
  <c r="H241" i="2"/>
  <c r="G241" i="2"/>
  <c r="F241" i="2"/>
  <c r="E241" i="2"/>
  <c r="D241" i="2"/>
  <c r="C241" i="2"/>
  <c r="B241" i="2"/>
  <c r="A241" i="2"/>
  <c r="H240" i="2"/>
  <c r="G240" i="2"/>
  <c r="F240" i="2"/>
  <c r="E240" i="2"/>
  <c r="D240" i="2"/>
  <c r="C240" i="2"/>
  <c r="B240" i="2"/>
  <c r="A240" i="2"/>
  <c r="H239" i="2"/>
  <c r="G239" i="2"/>
  <c r="F239" i="2"/>
  <c r="E239" i="2"/>
  <c r="D239" i="2"/>
  <c r="C239" i="2"/>
  <c r="B239" i="2"/>
  <c r="A239" i="2"/>
  <c r="H238" i="2"/>
  <c r="G238" i="2"/>
  <c r="F238" i="2"/>
  <c r="E238" i="2"/>
  <c r="D238" i="2"/>
  <c r="C238" i="2"/>
  <c r="B238" i="2"/>
  <c r="A238" i="2"/>
  <c r="H237" i="2"/>
  <c r="G237" i="2"/>
  <c r="F237" i="2"/>
  <c r="E237" i="2"/>
  <c r="D237" i="2"/>
  <c r="C237" i="2"/>
  <c r="B237" i="2"/>
  <c r="A237" i="2"/>
  <c r="H236" i="2"/>
  <c r="G236" i="2"/>
  <c r="F236" i="2"/>
  <c r="E236" i="2"/>
  <c r="D236" i="2"/>
  <c r="C236" i="2"/>
  <c r="B236" i="2"/>
  <c r="A236" i="2"/>
  <c r="H235" i="2"/>
  <c r="G235" i="2"/>
  <c r="F235" i="2"/>
  <c r="E235" i="2"/>
  <c r="D235" i="2"/>
  <c r="C235" i="2"/>
  <c r="B235" i="2"/>
  <c r="A235" i="2"/>
  <c r="H234" i="2"/>
  <c r="G234" i="2"/>
  <c r="F234" i="2"/>
  <c r="E234" i="2"/>
  <c r="D234" i="2"/>
  <c r="C234" i="2"/>
  <c r="B234" i="2"/>
  <c r="A234" i="2"/>
  <c r="H233" i="2"/>
  <c r="G233" i="2"/>
  <c r="F233" i="2"/>
  <c r="E233" i="2"/>
  <c r="D233" i="2"/>
  <c r="C233" i="2"/>
  <c r="B233" i="2"/>
  <c r="A233" i="2"/>
  <c r="H232" i="2"/>
  <c r="G232" i="2"/>
  <c r="F232" i="2"/>
  <c r="E232" i="2"/>
  <c r="D232" i="2"/>
  <c r="C232" i="2"/>
  <c r="B232" i="2"/>
  <c r="A232" i="2"/>
  <c r="H231" i="2"/>
  <c r="G231" i="2"/>
  <c r="F231" i="2"/>
  <c r="E231" i="2"/>
  <c r="D231" i="2"/>
  <c r="C231" i="2"/>
  <c r="B231" i="2"/>
  <c r="A231" i="2"/>
  <c r="H230" i="2"/>
  <c r="G230" i="2"/>
  <c r="F230" i="2"/>
  <c r="E230" i="2"/>
  <c r="D230" i="2"/>
  <c r="C230" i="2"/>
  <c r="B230" i="2"/>
  <c r="A230" i="2"/>
  <c r="H229" i="2"/>
  <c r="G229" i="2"/>
  <c r="F229" i="2"/>
  <c r="E229" i="2"/>
  <c r="D229" i="2"/>
  <c r="C229" i="2"/>
  <c r="B229" i="2"/>
  <c r="A229" i="2"/>
  <c r="H228" i="2"/>
  <c r="G228" i="2"/>
  <c r="F228" i="2"/>
  <c r="E228" i="2"/>
  <c r="D228" i="2"/>
  <c r="C228" i="2"/>
  <c r="B228" i="2"/>
  <c r="A228" i="2"/>
  <c r="H227" i="2"/>
  <c r="G227" i="2"/>
  <c r="F227" i="2"/>
  <c r="E227" i="2"/>
  <c r="D227" i="2"/>
  <c r="C227" i="2"/>
  <c r="B227" i="2"/>
  <c r="A227" i="2"/>
  <c r="H226" i="2"/>
  <c r="G226" i="2"/>
  <c r="F226" i="2"/>
  <c r="E226" i="2"/>
  <c r="D226" i="2"/>
  <c r="C226" i="2"/>
  <c r="B226" i="2"/>
  <c r="A226" i="2"/>
  <c r="H225" i="2"/>
  <c r="G225" i="2"/>
  <c r="F225" i="2"/>
  <c r="E225" i="2"/>
  <c r="D225" i="2"/>
  <c r="C225" i="2"/>
  <c r="B225" i="2"/>
  <c r="A225" i="2"/>
  <c r="H224" i="2"/>
  <c r="G224" i="2"/>
  <c r="F224" i="2"/>
  <c r="E224" i="2"/>
  <c r="D224" i="2"/>
  <c r="C224" i="2"/>
  <c r="B224" i="2"/>
  <c r="A224" i="2"/>
  <c r="H223" i="2"/>
  <c r="G223" i="2"/>
  <c r="F223" i="2"/>
  <c r="E223" i="2"/>
  <c r="D223" i="2"/>
  <c r="C223" i="2"/>
  <c r="B223" i="2"/>
  <c r="A223" i="2"/>
  <c r="H222" i="2"/>
  <c r="G222" i="2"/>
  <c r="F222" i="2"/>
  <c r="E222" i="2"/>
  <c r="D222" i="2"/>
  <c r="C222" i="2"/>
  <c r="B222" i="2"/>
  <c r="A222" i="2"/>
  <c r="H221" i="2"/>
  <c r="G221" i="2"/>
  <c r="F221" i="2"/>
  <c r="E221" i="2"/>
  <c r="D221" i="2"/>
  <c r="C221" i="2"/>
  <c r="B221" i="2"/>
  <c r="A221" i="2"/>
  <c r="H220" i="2"/>
  <c r="G220" i="2"/>
  <c r="F220" i="2"/>
  <c r="E220" i="2"/>
  <c r="D220" i="2"/>
  <c r="C220" i="2"/>
  <c r="B220" i="2"/>
  <c r="A220" i="2"/>
  <c r="H219" i="2"/>
  <c r="G219" i="2"/>
  <c r="F219" i="2"/>
  <c r="E219" i="2"/>
  <c r="D219" i="2"/>
  <c r="C219" i="2"/>
  <c r="B219" i="2"/>
  <c r="A219" i="2"/>
  <c r="H218" i="2"/>
  <c r="G218" i="2"/>
  <c r="F218" i="2"/>
  <c r="E218" i="2"/>
  <c r="D218" i="2"/>
  <c r="C218" i="2"/>
  <c r="B218" i="2"/>
  <c r="A218" i="2"/>
  <c r="H217" i="2"/>
  <c r="G217" i="2"/>
  <c r="F217" i="2"/>
  <c r="E217" i="2"/>
  <c r="D217" i="2"/>
  <c r="C217" i="2"/>
  <c r="B217" i="2"/>
  <c r="A217" i="2"/>
  <c r="H216" i="2"/>
  <c r="G216" i="2"/>
  <c r="F216" i="2"/>
  <c r="E216" i="2"/>
  <c r="D216" i="2"/>
  <c r="C216" i="2"/>
  <c r="B216" i="2"/>
  <c r="A216" i="2"/>
  <c r="H215" i="2"/>
  <c r="G215" i="2"/>
  <c r="F215" i="2"/>
  <c r="E215" i="2"/>
  <c r="D215" i="2"/>
  <c r="C215" i="2"/>
  <c r="B215" i="2"/>
  <c r="A215" i="2"/>
  <c r="H214" i="2"/>
  <c r="G214" i="2"/>
  <c r="F214" i="2"/>
  <c r="E214" i="2"/>
  <c r="D214" i="2"/>
  <c r="C214" i="2"/>
  <c r="B214" i="2"/>
  <c r="A214" i="2"/>
  <c r="H213" i="2"/>
  <c r="G213" i="2"/>
  <c r="F213" i="2"/>
  <c r="E213" i="2"/>
  <c r="D213" i="2"/>
  <c r="C213" i="2"/>
  <c r="B213" i="2"/>
  <c r="A213" i="2"/>
  <c r="H212" i="2"/>
  <c r="G212" i="2"/>
  <c r="F212" i="2"/>
  <c r="E212" i="2"/>
  <c r="D212" i="2"/>
  <c r="C212" i="2"/>
  <c r="B212" i="2"/>
  <c r="A212" i="2"/>
  <c r="H211" i="2"/>
  <c r="G211" i="2"/>
  <c r="F211" i="2"/>
  <c r="E211" i="2"/>
  <c r="D211" i="2"/>
  <c r="C211" i="2"/>
  <c r="B211" i="2"/>
  <c r="A211" i="2"/>
  <c r="H210" i="2"/>
  <c r="G210" i="2"/>
  <c r="F210" i="2"/>
  <c r="E210" i="2"/>
  <c r="D210" i="2"/>
  <c r="C210" i="2"/>
  <c r="B210" i="2"/>
  <c r="A210" i="2"/>
  <c r="H209" i="2"/>
  <c r="G209" i="2"/>
  <c r="F209" i="2"/>
  <c r="E209" i="2"/>
  <c r="D209" i="2"/>
  <c r="C209" i="2"/>
  <c r="B209" i="2"/>
  <c r="A209" i="2"/>
  <c r="H208" i="2"/>
  <c r="G208" i="2"/>
  <c r="F208" i="2"/>
  <c r="E208" i="2"/>
  <c r="D208" i="2"/>
  <c r="C208" i="2"/>
  <c r="B208" i="2"/>
  <c r="A208" i="2"/>
  <c r="H207" i="2"/>
  <c r="G207" i="2"/>
  <c r="F207" i="2"/>
  <c r="E207" i="2"/>
  <c r="D207" i="2"/>
  <c r="C207" i="2"/>
  <c r="B207" i="2"/>
  <c r="A207" i="2"/>
  <c r="H206" i="2"/>
  <c r="G206" i="2"/>
  <c r="F206" i="2"/>
  <c r="E206" i="2"/>
  <c r="D206" i="2"/>
  <c r="C206" i="2"/>
  <c r="B206" i="2"/>
  <c r="A206" i="2"/>
  <c r="H205" i="2"/>
  <c r="G205" i="2"/>
  <c r="F205" i="2"/>
  <c r="E205" i="2"/>
  <c r="D205" i="2"/>
  <c r="C205" i="2"/>
  <c r="B205" i="2"/>
  <c r="A205" i="2"/>
  <c r="H204" i="2"/>
  <c r="G204" i="2"/>
  <c r="F204" i="2"/>
  <c r="E204" i="2"/>
  <c r="D204" i="2"/>
  <c r="C204" i="2"/>
  <c r="B204" i="2"/>
  <c r="A204" i="2"/>
  <c r="H203" i="2"/>
  <c r="G203" i="2"/>
  <c r="F203" i="2"/>
  <c r="E203" i="2"/>
  <c r="D203" i="2"/>
  <c r="C203" i="2"/>
  <c r="B203" i="2"/>
  <c r="A203" i="2"/>
  <c r="H202" i="2"/>
  <c r="G202" i="2"/>
  <c r="F202" i="2"/>
  <c r="E202" i="2"/>
  <c r="D202" i="2"/>
  <c r="C202" i="2"/>
  <c r="B202" i="2"/>
  <c r="A202" i="2"/>
  <c r="H201" i="2"/>
  <c r="G201" i="2"/>
  <c r="F201" i="2"/>
  <c r="E201" i="2"/>
  <c r="D201" i="2"/>
  <c r="C201" i="2"/>
  <c r="B201" i="2"/>
  <c r="A201" i="2"/>
  <c r="H200" i="2"/>
  <c r="G200" i="2"/>
  <c r="F200" i="2"/>
  <c r="E200" i="2"/>
  <c r="D200" i="2"/>
  <c r="C200" i="2"/>
  <c r="B200" i="2"/>
  <c r="A200" i="2"/>
  <c r="H199" i="2"/>
  <c r="G199" i="2"/>
  <c r="F199" i="2"/>
  <c r="E199" i="2"/>
  <c r="D199" i="2"/>
  <c r="C199" i="2"/>
  <c r="B199" i="2"/>
  <c r="A199" i="2"/>
  <c r="H198" i="2"/>
  <c r="G198" i="2"/>
  <c r="F198" i="2"/>
  <c r="E198" i="2"/>
  <c r="D198" i="2"/>
  <c r="C198" i="2"/>
  <c r="B198" i="2"/>
  <c r="A198" i="2"/>
  <c r="H197" i="2"/>
  <c r="G197" i="2"/>
  <c r="F197" i="2"/>
  <c r="E197" i="2"/>
  <c r="D197" i="2"/>
  <c r="C197" i="2"/>
  <c r="B197" i="2"/>
  <c r="A197" i="2"/>
  <c r="H196" i="2"/>
  <c r="G196" i="2"/>
  <c r="F196" i="2"/>
  <c r="E196" i="2"/>
  <c r="D196" i="2"/>
  <c r="C196" i="2"/>
  <c r="B196" i="2"/>
  <c r="A196" i="2"/>
  <c r="H195" i="2"/>
  <c r="G195" i="2"/>
  <c r="F195" i="2"/>
  <c r="E195" i="2"/>
  <c r="D195" i="2"/>
  <c r="C195" i="2"/>
  <c r="B195" i="2"/>
  <c r="A195" i="2"/>
  <c r="H194" i="2"/>
  <c r="G194" i="2"/>
  <c r="F194" i="2"/>
  <c r="E194" i="2"/>
  <c r="D194" i="2"/>
  <c r="C194" i="2"/>
  <c r="B194" i="2"/>
  <c r="A194" i="2"/>
  <c r="H193" i="2"/>
  <c r="G193" i="2"/>
  <c r="F193" i="2"/>
  <c r="E193" i="2"/>
  <c r="D193" i="2"/>
  <c r="C193" i="2"/>
  <c r="B193" i="2"/>
  <c r="A193" i="2"/>
  <c r="H192" i="2"/>
  <c r="G192" i="2"/>
  <c r="F192" i="2"/>
  <c r="E192" i="2"/>
  <c r="D192" i="2"/>
  <c r="C192" i="2"/>
  <c r="B192" i="2"/>
  <c r="A192" i="2"/>
  <c r="H191" i="2"/>
  <c r="G191" i="2"/>
  <c r="F191" i="2"/>
  <c r="E191" i="2"/>
  <c r="D191" i="2"/>
  <c r="C191" i="2"/>
  <c r="B191" i="2"/>
  <c r="A191" i="2"/>
  <c r="H190" i="2"/>
  <c r="G190" i="2"/>
  <c r="F190" i="2"/>
  <c r="E190" i="2"/>
  <c r="D190" i="2"/>
  <c r="C190" i="2"/>
  <c r="B190" i="2"/>
  <c r="A190" i="2"/>
  <c r="H189" i="2"/>
  <c r="G189" i="2"/>
  <c r="F189" i="2"/>
  <c r="E189" i="2"/>
  <c r="D189" i="2"/>
  <c r="C189" i="2"/>
  <c r="B189" i="2"/>
  <c r="A189" i="2"/>
  <c r="H188" i="2"/>
  <c r="G188" i="2"/>
  <c r="F188" i="2"/>
  <c r="E188" i="2"/>
  <c r="D188" i="2"/>
  <c r="C188" i="2"/>
  <c r="B188" i="2"/>
  <c r="A188" i="2"/>
  <c r="H187" i="2"/>
  <c r="G187" i="2"/>
  <c r="F187" i="2"/>
  <c r="E187" i="2"/>
  <c r="D187" i="2"/>
  <c r="C187" i="2"/>
  <c r="B187" i="2"/>
  <c r="A187" i="2"/>
  <c r="H186" i="2"/>
  <c r="G186" i="2"/>
  <c r="F186" i="2"/>
  <c r="E186" i="2"/>
  <c r="D186" i="2"/>
  <c r="C186" i="2"/>
  <c r="B186" i="2"/>
  <c r="A186" i="2"/>
  <c r="H185" i="2"/>
  <c r="G185" i="2"/>
  <c r="F185" i="2"/>
  <c r="E185" i="2"/>
  <c r="D185" i="2"/>
  <c r="C185" i="2"/>
  <c r="B185" i="2"/>
  <c r="A185" i="2"/>
  <c r="H184" i="2"/>
  <c r="G184" i="2"/>
  <c r="F184" i="2"/>
  <c r="E184" i="2"/>
  <c r="D184" i="2"/>
  <c r="C184" i="2"/>
  <c r="B184" i="2"/>
  <c r="A184" i="2"/>
  <c r="H183" i="2"/>
  <c r="G183" i="2"/>
  <c r="F183" i="2"/>
  <c r="E183" i="2"/>
  <c r="D183" i="2"/>
  <c r="C183" i="2"/>
  <c r="B183" i="2"/>
  <c r="A183" i="2"/>
  <c r="H182" i="2"/>
  <c r="G182" i="2"/>
  <c r="F182" i="2"/>
  <c r="E182" i="2"/>
  <c r="D182" i="2"/>
  <c r="C182" i="2"/>
  <c r="B182" i="2"/>
  <c r="A182" i="2"/>
  <c r="H181" i="2"/>
  <c r="G181" i="2"/>
  <c r="F181" i="2"/>
  <c r="E181" i="2"/>
  <c r="D181" i="2"/>
  <c r="C181" i="2"/>
  <c r="B181" i="2"/>
  <c r="A181" i="2"/>
  <c r="H180" i="2"/>
  <c r="G180" i="2"/>
  <c r="F180" i="2"/>
  <c r="E180" i="2"/>
  <c r="D180" i="2"/>
  <c r="C180" i="2"/>
  <c r="B180" i="2"/>
  <c r="A180" i="2"/>
  <c r="H179" i="2"/>
  <c r="G179" i="2"/>
  <c r="F179" i="2"/>
  <c r="E179" i="2"/>
  <c r="D179" i="2"/>
  <c r="C179" i="2"/>
  <c r="B179" i="2"/>
  <c r="A179" i="2"/>
  <c r="H178" i="2"/>
  <c r="G178" i="2"/>
  <c r="F178" i="2"/>
  <c r="E178" i="2"/>
  <c r="D178" i="2"/>
  <c r="C178" i="2"/>
  <c r="B178" i="2"/>
  <c r="A178" i="2"/>
  <c r="H177" i="2"/>
  <c r="G177" i="2"/>
  <c r="F177" i="2"/>
  <c r="E177" i="2"/>
  <c r="D177" i="2"/>
  <c r="C177" i="2"/>
  <c r="B177" i="2"/>
  <c r="A177" i="2"/>
  <c r="H176" i="2"/>
  <c r="G176" i="2"/>
  <c r="F176" i="2"/>
  <c r="E176" i="2"/>
  <c r="D176" i="2"/>
  <c r="C176" i="2"/>
  <c r="B176" i="2"/>
  <c r="A176" i="2"/>
  <c r="H175" i="2"/>
  <c r="G175" i="2"/>
  <c r="F175" i="2"/>
  <c r="E175" i="2"/>
  <c r="D175" i="2"/>
  <c r="C175" i="2"/>
  <c r="B175" i="2"/>
  <c r="A175" i="2"/>
  <c r="H174" i="2"/>
  <c r="G174" i="2"/>
  <c r="F174" i="2"/>
  <c r="E174" i="2"/>
  <c r="D174" i="2"/>
  <c r="C174" i="2"/>
  <c r="B174" i="2"/>
  <c r="A174" i="2"/>
  <c r="H173" i="2"/>
  <c r="G173" i="2"/>
  <c r="F173" i="2"/>
  <c r="E173" i="2"/>
  <c r="D173" i="2"/>
  <c r="C173" i="2"/>
  <c r="B173" i="2"/>
  <c r="A173" i="2"/>
  <c r="H172" i="2"/>
  <c r="G172" i="2"/>
  <c r="F172" i="2"/>
  <c r="E172" i="2"/>
  <c r="D172" i="2"/>
  <c r="C172" i="2"/>
  <c r="B172" i="2"/>
  <c r="A172" i="2"/>
  <c r="H171" i="2"/>
  <c r="G171" i="2"/>
  <c r="F171" i="2"/>
  <c r="E171" i="2"/>
  <c r="D171" i="2"/>
  <c r="C171" i="2"/>
  <c r="B171" i="2"/>
  <c r="A171" i="2"/>
  <c r="H170" i="2"/>
  <c r="G170" i="2"/>
  <c r="F170" i="2"/>
  <c r="E170" i="2"/>
  <c r="D170" i="2"/>
  <c r="C170" i="2"/>
  <c r="B170" i="2"/>
  <c r="A170" i="2"/>
  <c r="H169" i="2"/>
  <c r="G169" i="2"/>
  <c r="F169" i="2"/>
  <c r="E169" i="2"/>
  <c r="D169" i="2"/>
  <c r="C169" i="2"/>
  <c r="B169" i="2"/>
  <c r="A169" i="2"/>
  <c r="H168" i="2"/>
  <c r="G168" i="2"/>
  <c r="F168" i="2"/>
  <c r="E168" i="2"/>
  <c r="D168" i="2"/>
  <c r="C168" i="2"/>
  <c r="B168" i="2"/>
  <c r="A168" i="2"/>
  <c r="H167" i="2"/>
  <c r="G167" i="2"/>
  <c r="F167" i="2"/>
  <c r="E167" i="2"/>
  <c r="D167" i="2"/>
  <c r="C167" i="2"/>
  <c r="B167" i="2"/>
  <c r="A167" i="2"/>
  <c r="H166" i="2"/>
  <c r="G166" i="2"/>
  <c r="F166" i="2"/>
  <c r="E166" i="2"/>
  <c r="D166" i="2"/>
  <c r="C166" i="2"/>
  <c r="B166" i="2"/>
  <c r="A166" i="2"/>
  <c r="H165" i="2"/>
  <c r="G165" i="2"/>
  <c r="F165" i="2"/>
  <c r="E165" i="2"/>
  <c r="D165" i="2"/>
  <c r="C165" i="2"/>
  <c r="B165" i="2"/>
  <c r="A165" i="2"/>
  <c r="H164" i="2"/>
  <c r="G164" i="2"/>
  <c r="F164" i="2"/>
  <c r="E164" i="2"/>
  <c r="D164" i="2"/>
  <c r="C164" i="2"/>
  <c r="B164" i="2"/>
  <c r="A164" i="2"/>
  <c r="H163" i="2"/>
  <c r="G163" i="2"/>
  <c r="F163" i="2"/>
  <c r="E163" i="2"/>
  <c r="D163" i="2"/>
  <c r="C163" i="2"/>
  <c r="B163" i="2"/>
  <c r="A163" i="2"/>
  <c r="H162" i="2"/>
  <c r="G162" i="2"/>
  <c r="F162" i="2"/>
  <c r="E162" i="2"/>
  <c r="D162" i="2"/>
  <c r="C162" i="2"/>
  <c r="B162" i="2"/>
  <c r="A162" i="2"/>
  <c r="H161" i="2"/>
  <c r="G161" i="2"/>
  <c r="F161" i="2"/>
  <c r="E161" i="2"/>
  <c r="D161" i="2"/>
  <c r="C161" i="2"/>
  <c r="B161" i="2"/>
  <c r="A161" i="2"/>
  <c r="H160" i="2"/>
  <c r="G160" i="2"/>
  <c r="F160" i="2"/>
  <c r="E160" i="2"/>
  <c r="D160" i="2"/>
  <c r="C160" i="2"/>
  <c r="B160" i="2"/>
  <c r="A160" i="2"/>
  <c r="H159" i="2"/>
  <c r="G159" i="2"/>
  <c r="F159" i="2"/>
  <c r="E159" i="2"/>
  <c r="D159" i="2"/>
  <c r="C159" i="2"/>
  <c r="B159" i="2"/>
  <c r="A159" i="2"/>
  <c r="H158" i="2"/>
  <c r="G158" i="2"/>
  <c r="F158" i="2"/>
  <c r="E158" i="2"/>
  <c r="D158" i="2"/>
  <c r="C158" i="2"/>
  <c r="B158" i="2"/>
  <c r="A158" i="2"/>
  <c r="H157" i="2"/>
  <c r="G157" i="2"/>
  <c r="F157" i="2"/>
  <c r="E157" i="2"/>
  <c r="D157" i="2"/>
  <c r="C157" i="2"/>
  <c r="B157" i="2"/>
  <c r="A157" i="2"/>
  <c r="H156" i="2"/>
  <c r="G156" i="2"/>
  <c r="F156" i="2"/>
  <c r="E156" i="2"/>
  <c r="D156" i="2"/>
  <c r="C156" i="2"/>
  <c r="B156" i="2"/>
  <c r="A156" i="2"/>
  <c r="H155" i="2"/>
  <c r="G155" i="2"/>
  <c r="F155" i="2"/>
  <c r="E155" i="2"/>
  <c r="D155" i="2"/>
  <c r="C155" i="2"/>
  <c r="B155" i="2"/>
  <c r="A155" i="2"/>
  <c r="H154" i="2"/>
  <c r="G154" i="2"/>
  <c r="F154" i="2"/>
  <c r="E154" i="2"/>
  <c r="D154" i="2"/>
  <c r="C154" i="2"/>
  <c r="B154" i="2"/>
  <c r="A154" i="2"/>
  <c r="H153" i="2"/>
  <c r="G153" i="2"/>
  <c r="F153" i="2"/>
  <c r="E153" i="2"/>
  <c r="D153" i="2"/>
  <c r="C153" i="2"/>
  <c r="B153" i="2"/>
  <c r="A153" i="2"/>
  <c r="H152" i="2"/>
  <c r="G152" i="2"/>
  <c r="F152" i="2"/>
  <c r="E152" i="2"/>
  <c r="D152" i="2"/>
  <c r="C152" i="2"/>
  <c r="B152" i="2"/>
  <c r="A152" i="2"/>
  <c r="H151" i="2"/>
  <c r="G151" i="2"/>
  <c r="F151" i="2"/>
  <c r="E151" i="2"/>
  <c r="D151" i="2"/>
  <c r="C151" i="2"/>
  <c r="B151" i="2"/>
  <c r="A151" i="2"/>
  <c r="H150" i="2"/>
  <c r="G150" i="2"/>
  <c r="F150" i="2"/>
  <c r="E150" i="2"/>
  <c r="D150" i="2"/>
  <c r="C150" i="2"/>
  <c r="B150" i="2"/>
  <c r="A150" i="2"/>
  <c r="H149" i="2"/>
  <c r="G149" i="2"/>
  <c r="F149" i="2"/>
  <c r="E149" i="2"/>
  <c r="D149" i="2"/>
  <c r="C149" i="2"/>
  <c r="B149" i="2"/>
  <c r="A149" i="2"/>
  <c r="H148" i="2"/>
  <c r="G148" i="2"/>
  <c r="F148" i="2"/>
  <c r="E148" i="2"/>
  <c r="D148" i="2"/>
  <c r="C148" i="2"/>
  <c r="B148" i="2"/>
  <c r="A148" i="2"/>
  <c r="H147" i="2"/>
  <c r="G147" i="2"/>
  <c r="F147" i="2"/>
  <c r="E147" i="2"/>
  <c r="D147" i="2"/>
  <c r="C147" i="2"/>
  <c r="B147" i="2"/>
  <c r="A147" i="2"/>
  <c r="H146" i="2"/>
  <c r="G146" i="2"/>
  <c r="F146" i="2"/>
  <c r="E146" i="2"/>
  <c r="D146" i="2"/>
  <c r="C146" i="2"/>
  <c r="B146" i="2"/>
  <c r="A146" i="2"/>
  <c r="H145" i="2"/>
  <c r="G145" i="2"/>
  <c r="F145" i="2"/>
  <c r="E145" i="2"/>
  <c r="D145" i="2"/>
  <c r="C145" i="2"/>
  <c r="B145" i="2"/>
  <c r="A145" i="2"/>
  <c r="H144" i="2"/>
  <c r="G144" i="2"/>
  <c r="F144" i="2"/>
  <c r="E144" i="2"/>
  <c r="D144" i="2"/>
  <c r="C144" i="2"/>
  <c r="B144" i="2"/>
  <c r="A144" i="2"/>
  <c r="H143" i="2"/>
  <c r="G143" i="2"/>
  <c r="F143" i="2"/>
  <c r="E143" i="2"/>
  <c r="D143" i="2"/>
  <c r="C143" i="2"/>
  <c r="B143" i="2"/>
  <c r="A143" i="2"/>
  <c r="H142" i="2"/>
  <c r="G142" i="2"/>
  <c r="F142" i="2"/>
  <c r="E142" i="2"/>
  <c r="D142" i="2"/>
  <c r="C142" i="2"/>
  <c r="B142" i="2"/>
  <c r="A142" i="2"/>
  <c r="H141" i="2"/>
  <c r="G141" i="2"/>
  <c r="F141" i="2"/>
  <c r="E141" i="2"/>
  <c r="D141" i="2"/>
  <c r="C141" i="2"/>
  <c r="B141" i="2"/>
  <c r="A141" i="2"/>
  <c r="H140" i="2"/>
  <c r="G140" i="2"/>
  <c r="F140" i="2"/>
  <c r="E140" i="2"/>
  <c r="D140" i="2"/>
  <c r="C140" i="2"/>
  <c r="B140" i="2"/>
  <c r="A140" i="2"/>
  <c r="H139" i="2"/>
  <c r="G139" i="2"/>
  <c r="F139" i="2"/>
  <c r="E139" i="2"/>
  <c r="D139" i="2"/>
  <c r="C139" i="2"/>
  <c r="B139" i="2"/>
  <c r="A139" i="2"/>
  <c r="H138" i="2"/>
  <c r="G138" i="2"/>
  <c r="F138" i="2"/>
  <c r="E138" i="2"/>
  <c r="D138" i="2"/>
  <c r="C138" i="2"/>
  <c r="B138" i="2"/>
  <c r="A138" i="2"/>
  <c r="H137" i="2"/>
  <c r="G137" i="2"/>
  <c r="F137" i="2"/>
  <c r="E137" i="2"/>
  <c r="D137" i="2"/>
  <c r="C137" i="2"/>
  <c r="B137" i="2"/>
  <c r="A137" i="2"/>
  <c r="H136" i="2"/>
  <c r="G136" i="2"/>
  <c r="F136" i="2"/>
  <c r="E136" i="2"/>
  <c r="D136" i="2"/>
  <c r="C136" i="2"/>
  <c r="B136" i="2"/>
  <c r="A136" i="2"/>
  <c r="H135" i="2"/>
  <c r="G135" i="2"/>
  <c r="F135" i="2"/>
  <c r="E135" i="2"/>
  <c r="D135" i="2"/>
  <c r="C135" i="2"/>
  <c r="B135" i="2"/>
  <c r="A135" i="2"/>
  <c r="H134" i="2"/>
  <c r="G134" i="2"/>
  <c r="F134" i="2"/>
  <c r="E134" i="2"/>
  <c r="D134" i="2"/>
  <c r="C134" i="2"/>
  <c r="B134" i="2"/>
  <c r="A134" i="2"/>
  <c r="H133" i="2"/>
  <c r="G133" i="2"/>
  <c r="F133" i="2"/>
  <c r="E133" i="2"/>
  <c r="D133" i="2"/>
  <c r="C133" i="2"/>
  <c r="B133" i="2"/>
  <c r="A133" i="2"/>
  <c r="H132" i="2"/>
  <c r="G132" i="2"/>
  <c r="F132" i="2"/>
  <c r="E132" i="2"/>
  <c r="D132" i="2"/>
  <c r="C132" i="2"/>
  <c r="B132" i="2"/>
  <c r="A132" i="2"/>
  <c r="H131" i="2"/>
  <c r="G131" i="2"/>
  <c r="F131" i="2"/>
  <c r="E131" i="2"/>
  <c r="D131" i="2"/>
  <c r="C131" i="2"/>
  <c r="B131" i="2"/>
  <c r="A131" i="2"/>
  <c r="H130" i="2"/>
  <c r="G130" i="2"/>
  <c r="F130" i="2"/>
  <c r="E130" i="2"/>
  <c r="D130" i="2"/>
  <c r="C130" i="2"/>
  <c r="B130" i="2"/>
  <c r="A130" i="2"/>
  <c r="H129" i="2"/>
  <c r="G129" i="2"/>
  <c r="F129" i="2"/>
  <c r="E129" i="2"/>
  <c r="D129" i="2"/>
  <c r="C129" i="2"/>
  <c r="B129" i="2"/>
  <c r="A129" i="2"/>
  <c r="H128" i="2"/>
  <c r="G128" i="2"/>
  <c r="F128" i="2"/>
  <c r="E128" i="2"/>
  <c r="D128" i="2"/>
  <c r="C128" i="2"/>
  <c r="B128" i="2"/>
  <c r="A128" i="2"/>
  <c r="H127" i="2"/>
  <c r="G127" i="2"/>
  <c r="F127" i="2"/>
  <c r="E127" i="2"/>
  <c r="D127" i="2"/>
  <c r="C127" i="2"/>
  <c r="B127" i="2"/>
  <c r="A127" i="2"/>
  <c r="H126" i="2"/>
  <c r="G126" i="2"/>
  <c r="F126" i="2"/>
  <c r="E126" i="2"/>
  <c r="D126" i="2"/>
  <c r="C126" i="2"/>
  <c r="B126" i="2"/>
  <c r="A126" i="2"/>
  <c r="H125" i="2"/>
  <c r="G125" i="2"/>
  <c r="F125" i="2"/>
  <c r="E125" i="2"/>
  <c r="D125" i="2"/>
  <c r="C125" i="2"/>
  <c r="B125" i="2"/>
  <c r="A125" i="2"/>
  <c r="H124" i="2"/>
  <c r="G124" i="2"/>
  <c r="F124" i="2"/>
  <c r="E124" i="2"/>
  <c r="D124" i="2"/>
  <c r="C124" i="2"/>
  <c r="B124" i="2"/>
  <c r="A124" i="2"/>
  <c r="H123" i="2"/>
  <c r="G123" i="2"/>
  <c r="F123" i="2"/>
  <c r="E123" i="2"/>
  <c r="D123" i="2"/>
  <c r="C123" i="2"/>
  <c r="B123" i="2"/>
  <c r="A123" i="2"/>
  <c r="H122" i="2"/>
  <c r="G122" i="2"/>
  <c r="F122" i="2"/>
  <c r="E122" i="2"/>
  <c r="D122" i="2"/>
  <c r="C122" i="2"/>
  <c r="B122" i="2"/>
  <c r="A122" i="2"/>
  <c r="H121" i="2"/>
  <c r="G121" i="2"/>
  <c r="F121" i="2"/>
  <c r="E121" i="2"/>
  <c r="D121" i="2"/>
  <c r="C121" i="2"/>
  <c r="B121" i="2"/>
  <c r="A121" i="2"/>
  <c r="H120" i="2"/>
  <c r="G120" i="2"/>
  <c r="F120" i="2"/>
  <c r="E120" i="2"/>
  <c r="D120" i="2"/>
  <c r="C120" i="2"/>
  <c r="B120" i="2"/>
  <c r="A120" i="2"/>
  <c r="H119" i="2"/>
  <c r="G119" i="2"/>
  <c r="F119" i="2"/>
  <c r="E119" i="2"/>
  <c r="D119" i="2"/>
  <c r="C119" i="2"/>
  <c r="B119" i="2"/>
  <c r="A119" i="2"/>
  <c r="H118" i="2"/>
  <c r="G118" i="2"/>
  <c r="F118" i="2"/>
  <c r="E118" i="2"/>
  <c r="D118" i="2"/>
  <c r="C118" i="2"/>
  <c r="B118" i="2"/>
  <c r="A118" i="2"/>
  <c r="H117" i="2"/>
  <c r="G117" i="2"/>
  <c r="F117" i="2"/>
  <c r="E117" i="2"/>
  <c r="D117" i="2"/>
  <c r="C117" i="2"/>
  <c r="B117" i="2"/>
  <c r="A117" i="2"/>
  <c r="H116" i="2"/>
  <c r="G116" i="2"/>
  <c r="F116" i="2"/>
  <c r="E116" i="2"/>
  <c r="D116" i="2"/>
  <c r="C116" i="2"/>
  <c r="B116" i="2"/>
  <c r="A116" i="2"/>
  <c r="H115" i="2"/>
  <c r="G115" i="2"/>
  <c r="F115" i="2"/>
  <c r="E115" i="2"/>
  <c r="D115" i="2"/>
  <c r="C115" i="2"/>
  <c r="B115" i="2"/>
  <c r="A115" i="2"/>
  <c r="H114" i="2"/>
  <c r="G114" i="2"/>
  <c r="F114" i="2"/>
  <c r="E114" i="2"/>
  <c r="D114" i="2"/>
  <c r="C114" i="2"/>
  <c r="B114" i="2"/>
  <c r="A114" i="2"/>
  <c r="H113" i="2"/>
  <c r="G113" i="2"/>
  <c r="F113" i="2"/>
  <c r="E113" i="2"/>
  <c r="D113" i="2"/>
  <c r="C113" i="2"/>
  <c r="B113" i="2"/>
  <c r="A113" i="2"/>
  <c r="H112" i="2"/>
  <c r="G112" i="2"/>
  <c r="F112" i="2"/>
  <c r="E112" i="2"/>
  <c r="D112" i="2"/>
  <c r="C112" i="2"/>
  <c r="B112" i="2"/>
  <c r="A112" i="2"/>
  <c r="H111" i="2"/>
  <c r="G111" i="2"/>
  <c r="F111" i="2"/>
  <c r="E111" i="2"/>
  <c r="D111" i="2"/>
  <c r="C111" i="2"/>
  <c r="B111" i="2"/>
  <c r="A111" i="2"/>
  <c r="H110" i="2"/>
  <c r="G110" i="2"/>
  <c r="F110" i="2"/>
  <c r="E110" i="2"/>
  <c r="D110" i="2"/>
  <c r="C110" i="2"/>
  <c r="B110" i="2"/>
  <c r="A110" i="2"/>
  <c r="H109" i="2"/>
  <c r="G109" i="2"/>
  <c r="F109" i="2"/>
  <c r="E109" i="2"/>
  <c r="D109" i="2"/>
  <c r="C109" i="2"/>
  <c r="B109" i="2"/>
  <c r="A109" i="2"/>
  <c r="H108" i="2"/>
  <c r="G108" i="2"/>
  <c r="F108" i="2"/>
  <c r="E108" i="2"/>
  <c r="D108" i="2"/>
  <c r="C108" i="2"/>
  <c r="B108" i="2"/>
  <c r="A108" i="2"/>
  <c r="H107" i="2"/>
  <c r="G107" i="2"/>
  <c r="F107" i="2"/>
  <c r="E107" i="2"/>
  <c r="D107" i="2"/>
  <c r="C107" i="2"/>
  <c r="B107" i="2"/>
  <c r="A107" i="2"/>
  <c r="H106" i="2"/>
  <c r="G106" i="2"/>
  <c r="F106" i="2"/>
  <c r="E106" i="2"/>
  <c r="D106" i="2"/>
  <c r="C106" i="2"/>
  <c r="B106" i="2"/>
  <c r="A106" i="2"/>
  <c r="H105" i="2"/>
  <c r="G105" i="2"/>
  <c r="F105" i="2"/>
  <c r="E105" i="2"/>
  <c r="D105" i="2"/>
  <c r="C105" i="2"/>
  <c r="B105" i="2"/>
  <c r="A105" i="2"/>
  <c r="H104" i="2"/>
  <c r="G104" i="2"/>
  <c r="F104" i="2"/>
  <c r="E104" i="2"/>
  <c r="D104" i="2"/>
  <c r="C104" i="2"/>
  <c r="B104" i="2"/>
  <c r="A104" i="2"/>
  <c r="H103" i="2"/>
  <c r="G103" i="2"/>
  <c r="F103" i="2"/>
  <c r="E103" i="2"/>
  <c r="D103" i="2"/>
  <c r="C103" i="2"/>
  <c r="B103" i="2"/>
  <c r="A103" i="2"/>
  <c r="H102" i="2"/>
  <c r="G102" i="2"/>
  <c r="F102" i="2"/>
  <c r="E102" i="2"/>
  <c r="D102" i="2"/>
  <c r="C102" i="2"/>
  <c r="B102" i="2"/>
  <c r="A102" i="2"/>
  <c r="H101" i="2"/>
  <c r="G101" i="2"/>
  <c r="F101" i="2"/>
  <c r="E101" i="2"/>
  <c r="D101" i="2"/>
  <c r="C101" i="2"/>
  <c r="B101" i="2"/>
  <c r="A101" i="2"/>
  <c r="H100" i="2"/>
  <c r="G100" i="2"/>
  <c r="F100" i="2"/>
  <c r="E100" i="2"/>
  <c r="D100" i="2"/>
  <c r="C100" i="2"/>
  <c r="B100" i="2"/>
  <c r="A100" i="2"/>
  <c r="H99" i="2"/>
  <c r="G99" i="2"/>
  <c r="F99" i="2"/>
  <c r="E99" i="2"/>
  <c r="D99" i="2"/>
  <c r="C99" i="2"/>
  <c r="B99" i="2"/>
  <c r="A99" i="2"/>
  <c r="H98" i="2"/>
  <c r="G98" i="2"/>
  <c r="F98" i="2"/>
  <c r="E98" i="2"/>
  <c r="D98" i="2"/>
  <c r="C98" i="2"/>
  <c r="B98" i="2"/>
  <c r="A98" i="2"/>
  <c r="H97" i="2"/>
  <c r="G97" i="2"/>
  <c r="F97" i="2"/>
  <c r="E97" i="2"/>
  <c r="D97" i="2"/>
  <c r="C97" i="2"/>
  <c r="B97" i="2"/>
  <c r="A97" i="2"/>
  <c r="H96" i="2"/>
  <c r="G96" i="2"/>
  <c r="F96" i="2"/>
  <c r="E96" i="2"/>
  <c r="D96" i="2"/>
  <c r="C96" i="2"/>
  <c r="B96" i="2"/>
  <c r="A96" i="2"/>
  <c r="H95" i="2"/>
  <c r="G95" i="2"/>
  <c r="F95" i="2"/>
  <c r="E95" i="2"/>
  <c r="D95" i="2"/>
  <c r="C95" i="2"/>
  <c r="B95" i="2"/>
  <c r="A95" i="2"/>
  <c r="H94" i="2"/>
  <c r="G94" i="2"/>
  <c r="F94" i="2"/>
  <c r="E94" i="2"/>
  <c r="D94" i="2"/>
  <c r="C94" i="2"/>
  <c r="B94" i="2"/>
  <c r="A94" i="2"/>
  <c r="H93" i="2"/>
  <c r="G93" i="2"/>
  <c r="F93" i="2"/>
  <c r="E93" i="2"/>
  <c r="D93" i="2"/>
  <c r="C93" i="2"/>
  <c r="B93" i="2"/>
  <c r="A93" i="2"/>
  <c r="H92" i="2"/>
  <c r="G92" i="2"/>
  <c r="F92" i="2"/>
  <c r="E92" i="2"/>
  <c r="D92" i="2"/>
  <c r="C92" i="2"/>
  <c r="B92" i="2"/>
  <c r="A92" i="2"/>
  <c r="H91" i="2"/>
  <c r="G91" i="2"/>
  <c r="F91" i="2"/>
  <c r="E91" i="2"/>
  <c r="D91" i="2"/>
  <c r="C91" i="2"/>
  <c r="B91" i="2"/>
  <c r="A91" i="2"/>
  <c r="H90" i="2"/>
  <c r="G90" i="2"/>
  <c r="F90" i="2"/>
  <c r="E90" i="2"/>
  <c r="D90" i="2"/>
  <c r="C90" i="2"/>
  <c r="B90" i="2"/>
  <c r="A90" i="2"/>
  <c r="H89" i="2"/>
  <c r="G89" i="2"/>
  <c r="F89" i="2"/>
  <c r="E89" i="2"/>
  <c r="D89" i="2"/>
  <c r="C89" i="2"/>
  <c r="B89" i="2"/>
  <c r="A89" i="2"/>
  <c r="H88" i="2"/>
  <c r="G88" i="2"/>
  <c r="F88" i="2"/>
  <c r="E88" i="2"/>
  <c r="D88" i="2"/>
  <c r="C88" i="2"/>
  <c r="B88" i="2"/>
  <c r="A88" i="2"/>
  <c r="H87" i="2"/>
  <c r="G87" i="2"/>
  <c r="F87" i="2"/>
  <c r="E87" i="2"/>
  <c r="D87" i="2"/>
  <c r="C87" i="2"/>
  <c r="B87" i="2"/>
  <c r="A87" i="2"/>
  <c r="H86" i="2"/>
  <c r="G86" i="2"/>
  <c r="F86" i="2"/>
  <c r="E86" i="2"/>
  <c r="D86" i="2"/>
  <c r="C86" i="2"/>
  <c r="B86" i="2"/>
  <c r="A86" i="2"/>
  <c r="H85" i="2"/>
  <c r="G85" i="2"/>
  <c r="F85" i="2"/>
  <c r="E85" i="2"/>
  <c r="D85" i="2"/>
  <c r="C85" i="2"/>
  <c r="B85" i="2"/>
  <c r="A85" i="2"/>
  <c r="H84" i="2"/>
  <c r="G84" i="2"/>
  <c r="F84" i="2"/>
  <c r="E84" i="2"/>
  <c r="D84" i="2"/>
  <c r="C84" i="2"/>
  <c r="B84" i="2"/>
  <c r="A84" i="2"/>
  <c r="H83" i="2"/>
  <c r="G83" i="2"/>
  <c r="F83" i="2"/>
  <c r="E83" i="2"/>
  <c r="D83" i="2"/>
  <c r="C83" i="2"/>
  <c r="B83" i="2"/>
  <c r="A83" i="2"/>
  <c r="H82" i="2"/>
  <c r="G82" i="2"/>
  <c r="F82" i="2"/>
  <c r="E82" i="2"/>
  <c r="D82" i="2"/>
  <c r="C82" i="2"/>
  <c r="B82" i="2"/>
  <c r="A82" i="2"/>
  <c r="H81" i="2"/>
  <c r="G81" i="2"/>
  <c r="F81" i="2"/>
  <c r="E81" i="2"/>
  <c r="D81" i="2"/>
  <c r="C81" i="2"/>
  <c r="B81" i="2"/>
  <c r="A81" i="2"/>
  <c r="H80" i="2"/>
  <c r="G80" i="2"/>
  <c r="F80" i="2"/>
  <c r="E80" i="2"/>
  <c r="D80" i="2"/>
  <c r="C80" i="2"/>
  <c r="B80" i="2"/>
  <c r="A80" i="2"/>
  <c r="H79" i="2"/>
  <c r="G79" i="2"/>
  <c r="F79" i="2"/>
  <c r="E79" i="2"/>
  <c r="D79" i="2"/>
  <c r="C79" i="2"/>
  <c r="B79" i="2"/>
  <c r="A79" i="2"/>
  <c r="H78" i="2"/>
  <c r="G78" i="2"/>
  <c r="F78" i="2"/>
  <c r="E78" i="2"/>
  <c r="D78" i="2"/>
  <c r="C78" i="2"/>
  <c r="B78" i="2"/>
  <c r="A78" i="2"/>
  <c r="H77" i="2"/>
  <c r="G77" i="2"/>
  <c r="F77" i="2"/>
  <c r="E77" i="2"/>
  <c r="D77" i="2"/>
  <c r="C77" i="2"/>
  <c r="B77" i="2"/>
  <c r="A77" i="2"/>
  <c r="H76" i="2"/>
  <c r="G76" i="2"/>
  <c r="F76" i="2"/>
  <c r="E76" i="2"/>
  <c r="D76" i="2"/>
  <c r="C76" i="2"/>
  <c r="B76" i="2"/>
  <c r="A76" i="2"/>
  <c r="H75" i="2"/>
  <c r="G75" i="2"/>
  <c r="F75" i="2"/>
  <c r="E75" i="2"/>
  <c r="D75" i="2"/>
  <c r="C75" i="2"/>
  <c r="B75" i="2"/>
  <c r="A75" i="2"/>
  <c r="H74" i="2"/>
  <c r="G74" i="2"/>
  <c r="F74" i="2"/>
  <c r="E74" i="2"/>
  <c r="D74" i="2"/>
  <c r="C74" i="2"/>
  <c r="B74" i="2"/>
  <c r="A74" i="2"/>
  <c r="H73" i="2"/>
  <c r="G73" i="2"/>
  <c r="F73" i="2"/>
  <c r="E73" i="2"/>
  <c r="D73" i="2"/>
  <c r="C73" i="2"/>
  <c r="B73" i="2"/>
  <c r="A73" i="2"/>
  <c r="H72" i="2"/>
  <c r="G72" i="2"/>
  <c r="F72" i="2"/>
  <c r="E72" i="2"/>
  <c r="D72" i="2"/>
  <c r="C72" i="2"/>
  <c r="B72" i="2"/>
  <c r="A72" i="2"/>
  <c r="H71" i="2"/>
  <c r="G71" i="2"/>
  <c r="F71" i="2"/>
  <c r="E71" i="2"/>
  <c r="D71" i="2"/>
  <c r="C71" i="2"/>
  <c r="B71" i="2"/>
  <c r="A71" i="2"/>
  <c r="H70" i="2"/>
  <c r="G70" i="2"/>
  <c r="F70" i="2"/>
  <c r="E70" i="2"/>
  <c r="D70" i="2"/>
  <c r="C70" i="2"/>
  <c r="B70" i="2"/>
  <c r="A70" i="2"/>
  <c r="H69" i="2"/>
  <c r="G69" i="2"/>
  <c r="F69" i="2"/>
  <c r="E69" i="2"/>
  <c r="D69" i="2"/>
  <c r="C69" i="2"/>
  <c r="B69" i="2"/>
  <c r="A69" i="2"/>
  <c r="H68" i="2"/>
  <c r="G68" i="2"/>
  <c r="F68" i="2"/>
  <c r="E68" i="2"/>
  <c r="D68" i="2"/>
  <c r="C68" i="2"/>
  <c r="B68" i="2"/>
  <c r="A68" i="2"/>
  <c r="H67" i="2"/>
  <c r="G67" i="2"/>
  <c r="F67" i="2"/>
  <c r="E67" i="2"/>
  <c r="D67" i="2"/>
  <c r="C67" i="2"/>
  <c r="B67" i="2"/>
  <c r="A67" i="2"/>
  <c r="H66" i="2"/>
  <c r="G66" i="2"/>
  <c r="F66" i="2"/>
  <c r="E66" i="2"/>
  <c r="D66" i="2"/>
  <c r="C66" i="2"/>
  <c r="B66" i="2"/>
  <c r="A66" i="2"/>
  <c r="H65" i="2"/>
  <c r="G65" i="2"/>
  <c r="F65" i="2"/>
  <c r="E65" i="2"/>
  <c r="D65" i="2"/>
  <c r="C65" i="2"/>
  <c r="B65" i="2"/>
  <c r="A65" i="2"/>
  <c r="H64" i="2"/>
  <c r="G64" i="2"/>
  <c r="F64" i="2"/>
  <c r="E64" i="2"/>
  <c r="D64" i="2"/>
  <c r="C64" i="2"/>
  <c r="B64" i="2"/>
  <c r="A64" i="2"/>
  <c r="H63" i="2"/>
  <c r="G63" i="2"/>
  <c r="F63" i="2"/>
  <c r="E63" i="2"/>
  <c r="D63" i="2"/>
  <c r="C63" i="2"/>
  <c r="B63" i="2"/>
  <c r="A63" i="2"/>
  <c r="H62" i="2"/>
  <c r="G62" i="2"/>
  <c r="F62" i="2"/>
  <c r="E62" i="2"/>
  <c r="D62" i="2"/>
  <c r="C62" i="2"/>
  <c r="B62" i="2"/>
  <c r="A62" i="2"/>
  <c r="H61" i="2"/>
  <c r="G61" i="2"/>
  <c r="F61" i="2"/>
  <c r="E61" i="2"/>
  <c r="D61" i="2"/>
  <c r="C61" i="2"/>
  <c r="B61" i="2"/>
  <c r="A61" i="2"/>
  <c r="H60" i="2"/>
  <c r="G60" i="2"/>
  <c r="F60" i="2"/>
  <c r="E60" i="2"/>
  <c r="D60" i="2"/>
  <c r="C60" i="2"/>
  <c r="B60" i="2"/>
  <c r="A60" i="2"/>
  <c r="H59" i="2"/>
  <c r="G59" i="2"/>
  <c r="F59" i="2"/>
  <c r="E59" i="2"/>
  <c r="D59" i="2"/>
  <c r="C59" i="2"/>
  <c r="B59" i="2"/>
  <c r="A59" i="2"/>
  <c r="H58" i="2"/>
  <c r="G58" i="2"/>
  <c r="F58" i="2"/>
  <c r="E58" i="2"/>
  <c r="D58" i="2"/>
  <c r="C58" i="2"/>
  <c r="B58" i="2"/>
  <c r="A58" i="2"/>
  <c r="H57" i="2"/>
  <c r="G57" i="2"/>
  <c r="F57" i="2"/>
  <c r="E57" i="2"/>
  <c r="D57" i="2"/>
  <c r="C57" i="2"/>
  <c r="B57" i="2"/>
  <c r="A57" i="2"/>
  <c r="H56" i="2"/>
  <c r="G56" i="2"/>
  <c r="F56" i="2"/>
  <c r="E56" i="2"/>
  <c r="D56" i="2"/>
  <c r="C56" i="2"/>
  <c r="B56" i="2"/>
  <c r="A56" i="2"/>
  <c r="H55" i="2"/>
  <c r="G55" i="2"/>
  <c r="F55" i="2"/>
  <c r="E55" i="2"/>
  <c r="D55" i="2"/>
  <c r="C55" i="2"/>
  <c r="B55" i="2"/>
  <c r="A55" i="2"/>
  <c r="H54" i="2"/>
  <c r="G54" i="2"/>
  <c r="F54" i="2"/>
  <c r="E54" i="2"/>
  <c r="D54" i="2"/>
  <c r="C54" i="2"/>
  <c r="B54" i="2"/>
  <c r="A54" i="2"/>
  <c r="H53" i="2"/>
  <c r="G53" i="2"/>
  <c r="F53" i="2"/>
  <c r="E53" i="2"/>
  <c r="D53" i="2"/>
  <c r="C53" i="2"/>
  <c r="B53" i="2"/>
  <c r="A53" i="2"/>
  <c r="H52" i="2"/>
  <c r="G52" i="2"/>
  <c r="F52" i="2"/>
  <c r="E52" i="2"/>
  <c r="D52" i="2"/>
  <c r="C52" i="2"/>
  <c r="B52" i="2"/>
  <c r="A52" i="2"/>
  <c r="H51" i="2"/>
  <c r="G51" i="2"/>
  <c r="F51" i="2"/>
  <c r="E51" i="2"/>
  <c r="D51" i="2"/>
  <c r="C51" i="2"/>
  <c r="B51" i="2"/>
  <c r="A51" i="2"/>
  <c r="H50" i="2"/>
  <c r="G50" i="2"/>
  <c r="F50" i="2"/>
  <c r="E50" i="2"/>
  <c r="D50" i="2"/>
  <c r="C50" i="2"/>
  <c r="B50" i="2"/>
  <c r="A50" i="2"/>
  <c r="H49" i="2"/>
  <c r="G49" i="2"/>
  <c r="F49" i="2"/>
  <c r="E49" i="2"/>
  <c r="D49" i="2"/>
  <c r="C49" i="2"/>
  <c r="B49" i="2"/>
  <c r="A49" i="2"/>
  <c r="H48" i="2"/>
  <c r="G48" i="2"/>
  <c r="F48" i="2"/>
  <c r="E48" i="2"/>
  <c r="D48" i="2"/>
  <c r="C48" i="2"/>
  <c r="B48" i="2"/>
  <c r="A48" i="2"/>
  <c r="H47" i="2"/>
  <c r="G47" i="2"/>
  <c r="F47" i="2"/>
  <c r="E47" i="2"/>
  <c r="D47" i="2"/>
  <c r="C47" i="2"/>
  <c r="B47" i="2"/>
  <c r="A47" i="2"/>
  <c r="H46" i="2"/>
  <c r="G46" i="2"/>
  <c r="F46" i="2"/>
  <c r="E46" i="2"/>
  <c r="D46" i="2"/>
  <c r="C46" i="2"/>
  <c r="B46" i="2"/>
  <c r="A46" i="2"/>
  <c r="H45" i="2"/>
  <c r="G45" i="2"/>
  <c r="F45" i="2"/>
  <c r="E45" i="2"/>
  <c r="D45" i="2"/>
  <c r="C45" i="2"/>
  <c r="B45" i="2"/>
  <c r="A45" i="2"/>
  <c r="H44" i="2"/>
  <c r="G44" i="2"/>
  <c r="F44" i="2"/>
  <c r="E44" i="2"/>
  <c r="D44" i="2"/>
  <c r="C44" i="2"/>
  <c r="B44" i="2"/>
  <c r="A44" i="2"/>
  <c r="H43" i="2"/>
  <c r="G43" i="2"/>
  <c r="F43" i="2"/>
  <c r="E43" i="2"/>
  <c r="D43" i="2"/>
  <c r="C43" i="2"/>
  <c r="B43" i="2"/>
  <c r="A43" i="2"/>
  <c r="H42" i="2"/>
  <c r="G42" i="2"/>
  <c r="F42" i="2"/>
  <c r="E42" i="2"/>
  <c r="D42" i="2"/>
  <c r="C42" i="2"/>
  <c r="B42" i="2"/>
  <c r="A42" i="2"/>
  <c r="H41" i="2"/>
  <c r="G41" i="2"/>
  <c r="F41" i="2"/>
  <c r="E41" i="2"/>
  <c r="D41" i="2"/>
  <c r="C41" i="2"/>
  <c r="B41" i="2"/>
  <c r="A41" i="2"/>
  <c r="H40" i="2"/>
  <c r="G40" i="2"/>
  <c r="F40" i="2"/>
  <c r="E40" i="2"/>
  <c r="D40" i="2"/>
  <c r="C40" i="2"/>
  <c r="B40" i="2"/>
  <c r="A40" i="2"/>
  <c r="H39" i="2"/>
  <c r="G39" i="2"/>
  <c r="F39" i="2"/>
  <c r="E39" i="2"/>
  <c r="D39" i="2"/>
  <c r="C39" i="2"/>
  <c r="B39" i="2"/>
  <c r="A39" i="2"/>
  <c r="H38" i="2"/>
  <c r="G38" i="2"/>
  <c r="F38" i="2"/>
  <c r="E38" i="2"/>
  <c r="D38" i="2"/>
  <c r="C38" i="2"/>
  <c r="B38" i="2"/>
  <c r="A38" i="2"/>
  <c r="H37" i="2"/>
  <c r="G37" i="2"/>
  <c r="F37" i="2"/>
  <c r="E37" i="2"/>
  <c r="D37" i="2"/>
  <c r="C37" i="2"/>
  <c r="B37" i="2"/>
  <c r="A37" i="2"/>
  <c r="H36" i="2"/>
  <c r="G36" i="2"/>
  <c r="F36" i="2"/>
  <c r="E36" i="2"/>
  <c r="D36" i="2"/>
  <c r="C36" i="2"/>
  <c r="B36" i="2"/>
  <c r="A36" i="2"/>
  <c r="H35" i="2"/>
  <c r="G35" i="2"/>
  <c r="F35" i="2"/>
  <c r="E35" i="2"/>
  <c r="D35" i="2"/>
  <c r="C35" i="2"/>
  <c r="B35" i="2"/>
  <c r="A35" i="2"/>
  <c r="H34" i="2"/>
  <c r="G34" i="2"/>
  <c r="F34" i="2"/>
  <c r="E34" i="2"/>
  <c r="D34" i="2"/>
  <c r="C34" i="2"/>
  <c r="B34" i="2"/>
  <c r="A34" i="2"/>
  <c r="H33" i="2"/>
  <c r="G33" i="2"/>
  <c r="F33" i="2"/>
  <c r="E33" i="2"/>
  <c r="D33" i="2"/>
  <c r="C33" i="2"/>
  <c r="B33" i="2"/>
  <c r="A33" i="2"/>
  <c r="H32" i="2"/>
  <c r="G32" i="2"/>
  <c r="F32" i="2"/>
  <c r="E32" i="2"/>
  <c r="D32" i="2"/>
  <c r="C32" i="2"/>
  <c r="B32" i="2"/>
  <c r="A32" i="2"/>
  <c r="H31" i="2"/>
  <c r="G31" i="2"/>
  <c r="F31" i="2"/>
  <c r="E31" i="2"/>
  <c r="D31" i="2"/>
  <c r="C31" i="2"/>
  <c r="B31" i="2"/>
  <c r="A31" i="2"/>
  <c r="H30" i="2"/>
  <c r="G30" i="2"/>
  <c r="F30" i="2"/>
  <c r="E30" i="2"/>
  <c r="D30" i="2"/>
  <c r="C30" i="2"/>
  <c r="B30" i="2"/>
  <c r="A30" i="2"/>
  <c r="H29" i="2"/>
  <c r="G29" i="2"/>
  <c r="F29" i="2"/>
  <c r="E29" i="2"/>
  <c r="D29" i="2"/>
  <c r="C29" i="2"/>
  <c r="B29" i="2"/>
  <c r="A29" i="2"/>
  <c r="H28" i="2"/>
  <c r="G28" i="2"/>
  <c r="F28" i="2"/>
  <c r="E28" i="2"/>
  <c r="D28" i="2"/>
  <c r="C28" i="2"/>
  <c r="B28" i="2"/>
  <c r="A28" i="2"/>
  <c r="H27" i="2"/>
  <c r="G27" i="2"/>
  <c r="F27" i="2"/>
  <c r="E27" i="2"/>
  <c r="D27" i="2"/>
  <c r="C27" i="2"/>
  <c r="B27" i="2"/>
  <c r="A27" i="2"/>
  <c r="H26" i="2"/>
  <c r="G26" i="2"/>
  <c r="F26" i="2"/>
  <c r="E26" i="2"/>
  <c r="D26" i="2"/>
  <c r="C26" i="2"/>
  <c r="B26" i="2"/>
  <c r="A26" i="2"/>
  <c r="H25" i="2"/>
  <c r="G25" i="2"/>
  <c r="F25" i="2"/>
  <c r="E25" i="2"/>
  <c r="D25" i="2"/>
  <c r="C25" i="2"/>
  <c r="B25" i="2"/>
  <c r="A25" i="2"/>
  <c r="H24" i="2"/>
  <c r="G24" i="2"/>
  <c r="F24" i="2"/>
  <c r="E24" i="2"/>
  <c r="D24" i="2"/>
  <c r="C24" i="2"/>
  <c r="B24" i="2"/>
  <c r="A24" i="2"/>
  <c r="H23" i="2"/>
  <c r="G23" i="2"/>
  <c r="F23" i="2"/>
  <c r="E23" i="2"/>
  <c r="D23" i="2"/>
  <c r="C23" i="2"/>
  <c r="B23" i="2"/>
  <c r="A23" i="2"/>
  <c r="H22" i="2"/>
  <c r="G22" i="2"/>
  <c r="F22" i="2"/>
  <c r="E22" i="2"/>
  <c r="D22" i="2"/>
  <c r="C22" i="2"/>
  <c r="B22" i="2"/>
  <c r="A22" i="2"/>
  <c r="H21" i="2"/>
  <c r="G21" i="2"/>
  <c r="F21" i="2"/>
  <c r="E21" i="2"/>
  <c r="D21" i="2"/>
  <c r="C21" i="2"/>
  <c r="B21" i="2"/>
  <c r="A21" i="2"/>
  <c r="H20" i="2"/>
  <c r="G20" i="2"/>
  <c r="F20" i="2"/>
  <c r="E20" i="2"/>
  <c r="D20" i="2"/>
  <c r="C20" i="2"/>
  <c r="B20" i="2"/>
  <c r="A20" i="2"/>
  <c r="H19" i="2"/>
  <c r="G19" i="2"/>
  <c r="F19" i="2"/>
  <c r="E19" i="2"/>
  <c r="D19" i="2"/>
  <c r="C19" i="2"/>
  <c r="B19" i="2"/>
  <c r="A19" i="2"/>
  <c r="H18" i="2"/>
  <c r="G18" i="2"/>
  <c r="F18" i="2"/>
  <c r="E18" i="2"/>
  <c r="D18" i="2"/>
  <c r="C18" i="2"/>
  <c r="B18" i="2"/>
  <c r="A18" i="2"/>
  <c r="H17" i="2"/>
  <c r="G17" i="2"/>
  <c r="F17" i="2"/>
  <c r="E17" i="2"/>
  <c r="D17" i="2"/>
  <c r="C17" i="2"/>
  <c r="B17" i="2"/>
  <c r="A17" i="2"/>
  <c r="H16" i="2"/>
  <c r="G16" i="2"/>
  <c r="F16" i="2"/>
  <c r="E16" i="2"/>
  <c r="D16" i="2"/>
  <c r="C16" i="2"/>
  <c r="B16" i="2"/>
  <c r="A16" i="2"/>
  <c r="H15" i="2"/>
  <c r="G15" i="2"/>
  <c r="F15" i="2"/>
  <c r="E15" i="2"/>
  <c r="D15" i="2"/>
  <c r="C15" i="2"/>
  <c r="B15" i="2"/>
  <c r="A15" i="2"/>
  <c r="H14" i="2"/>
  <c r="G14" i="2"/>
  <c r="F14" i="2"/>
  <c r="E14" i="2"/>
  <c r="D14" i="2"/>
  <c r="C14" i="2"/>
  <c r="B14" i="2"/>
  <c r="A14" i="2"/>
  <c r="H13" i="2"/>
  <c r="G13" i="2"/>
  <c r="F13" i="2"/>
  <c r="E13" i="2"/>
  <c r="D13" i="2"/>
  <c r="C13" i="2"/>
  <c r="B13" i="2"/>
  <c r="A13" i="2"/>
  <c r="H12" i="2"/>
  <c r="G12" i="2"/>
  <c r="F12" i="2"/>
  <c r="E12" i="2"/>
  <c r="D12" i="2"/>
  <c r="C12" i="2"/>
  <c r="B12" i="2"/>
  <c r="A12" i="2"/>
  <c r="H11" i="2"/>
  <c r="G11" i="2"/>
  <c r="F11" i="2"/>
  <c r="E11" i="2"/>
  <c r="D11" i="2"/>
  <c r="C11" i="2"/>
  <c r="B11" i="2"/>
  <c r="A11" i="2"/>
  <c r="H10" i="2"/>
  <c r="G10" i="2"/>
  <c r="F10" i="2"/>
  <c r="E10" i="2"/>
  <c r="D10" i="2"/>
  <c r="C10" i="2"/>
  <c r="B10" i="2"/>
  <c r="A10" i="2"/>
  <c r="H9" i="2"/>
  <c r="G9" i="2"/>
  <c r="F9" i="2"/>
  <c r="E9" i="2"/>
  <c r="D9" i="2"/>
  <c r="C9" i="2"/>
  <c r="B9" i="2"/>
  <c r="A9" i="2"/>
  <c r="H8" i="2"/>
  <c r="G8" i="2"/>
  <c r="F8" i="2"/>
  <c r="E8" i="2"/>
  <c r="D8" i="2"/>
  <c r="C8" i="2"/>
  <c r="B8" i="2"/>
  <c r="A8" i="2"/>
  <c r="H7" i="2"/>
  <c r="G7" i="2"/>
  <c r="F7" i="2"/>
  <c r="E7" i="2"/>
  <c r="D7" i="2"/>
  <c r="C7" i="2"/>
  <c r="B7" i="2"/>
  <c r="A7" i="2"/>
  <c r="H6" i="2"/>
  <c r="G6" i="2"/>
  <c r="F6" i="2"/>
  <c r="E6" i="2"/>
  <c r="D6" i="2"/>
  <c r="C6" i="2"/>
  <c r="B6" i="2"/>
  <c r="A6" i="2"/>
  <c r="H5" i="2"/>
  <c r="G5" i="2"/>
  <c r="F5" i="2"/>
  <c r="E5" i="2"/>
  <c r="D5" i="2"/>
  <c r="C5" i="2"/>
  <c r="B5" i="2"/>
  <c r="A5" i="2"/>
  <c r="H4" i="2"/>
  <c r="G4" i="2"/>
  <c r="F4" i="2"/>
  <c r="E4" i="2"/>
  <c r="D4" i="2"/>
  <c r="C4" i="2"/>
  <c r="B4" i="2"/>
  <c r="A4" i="2"/>
  <c r="H3" i="2"/>
  <c r="G3" i="2"/>
  <c r="F3" i="2"/>
  <c r="E3" i="2"/>
  <c r="D3" i="2"/>
  <c r="C3" i="2"/>
  <c r="B3" i="2"/>
  <c r="A3" i="2"/>
  <c r="H2" i="2"/>
  <c r="G2" i="2"/>
  <c r="F2" i="2"/>
  <c r="E2" i="2"/>
  <c r="D2" i="2"/>
  <c r="C2" i="2"/>
  <c r="B2" i="2"/>
  <c r="A2" i="2"/>
  <c r="I1" i="2"/>
  <c r="E1" i="2"/>
  <c r="A1" i="2"/>
  <c r="E122" i="1"/>
  <c r="D122" i="1"/>
  <c r="C122" i="1"/>
  <c r="B122" i="1"/>
  <c r="A122" i="1"/>
  <c r="E121" i="1"/>
  <c r="D121" i="1"/>
  <c r="C121" i="1"/>
  <c r="B121" i="1"/>
  <c r="A121" i="1"/>
  <c r="E120" i="1"/>
  <c r="D120" i="1"/>
  <c r="C120" i="1"/>
  <c r="B120" i="1"/>
  <c r="A120" i="1"/>
  <c r="E119" i="1"/>
  <c r="D119" i="1"/>
  <c r="C119" i="1"/>
  <c r="B119" i="1"/>
  <c r="A119" i="1"/>
  <c r="G118" i="1"/>
  <c r="E118" i="1"/>
  <c r="D118" i="1"/>
  <c r="C118" i="1"/>
  <c r="B118" i="1"/>
  <c r="A118" i="1"/>
  <c r="G117" i="1"/>
  <c r="E117" i="1"/>
  <c r="D117" i="1"/>
  <c r="C117" i="1"/>
  <c r="B117" i="1"/>
  <c r="A117" i="1"/>
  <c r="G116" i="1"/>
  <c r="E116" i="1"/>
  <c r="D116" i="1"/>
  <c r="C116" i="1"/>
  <c r="B116" i="1"/>
  <c r="A116" i="1"/>
  <c r="G115" i="1"/>
  <c r="E115" i="1"/>
  <c r="D115" i="1"/>
  <c r="C115" i="1"/>
  <c r="B115" i="1"/>
  <c r="A115" i="1"/>
  <c r="G114" i="1"/>
  <c r="E114" i="1"/>
  <c r="D114" i="1"/>
  <c r="C114" i="1"/>
  <c r="B114" i="1"/>
  <c r="A114" i="1"/>
  <c r="G113" i="1"/>
  <c r="E113" i="1"/>
  <c r="D113" i="1"/>
  <c r="C113" i="1"/>
  <c r="B113" i="1"/>
  <c r="A113" i="1"/>
  <c r="G112" i="1"/>
  <c r="E112" i="1"/>
  <c r="D112" i="1"/>
  <c r="C112" i="1"/>
  <c r="B112" i="1"/>
  <c r="A112" i="1"/>
  <c r="G111" i="1"/>
  <c r="E111" i="1"/>
  <c r="D111" i="1"/>
  <c r="C111" i="1"/>
  <c r="B111" i="1"/>
  <c r="A111" i="1"/>
  <c r="G110" i="1"/>
  <c r="E110" i="1"/>
  <c r="D110" i="1"/>
  <c r="C110" i="1"/>
  <c r="B110" i="1"/>
  <c r="A110" i="1"/>
  <c r="G109" i="1"/>
  <c r="E109" i="1"/>
  <c r="D109" i="1"/>
  <c r="C109" i="1"/>
  <c r="B109" i="1"/>
  <c r="A109" i="1"/>
  <c r="G108" i="1"/>
  <c r="E108" i="1"/>
  <c r="D108" i="1"/>
  <c r="C108" i="1"/>
  <c r="B108" i="1"/>
  <c r="A108" i="1"/>
  <c r="G107" i="1"/>
  <c r="E107" i="1"/>
  <c r="D107" i="1"/>
  <c r="C107" i="1"/>
  <c r="B107" i="1"/>
  <c r="A107" i="1"/>
  <c r="G106" i="1"/>
  <c r="E106" i="1"/>
  <c r="D106" i="1"/>
  <c r="C106" i="1"/>
  <c r="B106" i="1"/>
  <c r="A106" i="1"/>
  <c r="G105" i="1"/>
  <c r="E105" i="1"/>
  <c r="D105" i="1"/>
  <c r="C105" i="1"/>
  <c r="B105" i="1"/>
  <c r="A105" i="1"/>
  <c r="G104" i="1"/>
  <c r="E104" i="1"/>
  <c r="D104" i="1"/>
  <c r="C104" i="1"/>
  <c r="B104" i="1"/>
  <c r="A104" i="1"/>
  <c r="G103" i="1"/>
  <c r="E103" i="1"/>
  <c r="D103" i="1"/>
  <c r="C103" i="1"/>
  <c r="B103" i="1"/>
  <c r="A103" i="1"/>
  <c r="G102" i="1"/>
  <c r="E102" i="1"/>
  <c r="D102" i="1"/>
  <c r="C102" i="1"/>
  <c r="B102" i="1"/>
  <c r="A102" i="1"/>
  <c r="G101" i="1"/>
  <c r="E101" i="1"/>
  <c r="D101" i="1"/>
  <c r="C101" i="1"/>
  <c r="B101" i="1"/>
  <c r="A101" i="1"/>
  <c r="G100" i="1"/>
  <c r="E100" i="1"/>
  <c r="D100" i="1"/>
  <c r="C100" i="1"/>
  <c r="B100" i="1"/>
  <c r="A100" i="1"/>
  <c r="G99" i="1"/>
  <c r="E99" i="1"/>
  <c r="D99" i="1"/>
  <c r="C99" i="1"/>
  <c r="B99" i="1"/>
  <c r="A99" i="1"/>
  <c r="G98" i="1"/>
  <c r="E98" i="1"/>
  <c r="D98" i="1"/>
  <c r="C98" i="1"/>
  <c r="B98" i="1"/>
  <c r="A98" i="1"/>
  <c r="G97" i="1"/>
  <c r="E97" i="1"/>
  <c r="D97" i="1"/>
  <c r="C97" i="1"/>
  <c r="B97" i="1"/>
  <c r="A97" i="1"/>
  <c r="G96" i="1"/>
  <c r="E96" i="1"/>
  <c r="D96" i="1"/>
  <c r="C96" i="1"/>
  <c r="B96" i="1"/>
  <c r="A96" i="1"/>
  <c r="G95" i="1"/>
  <c r="E95" i="1"/>
  <c r="D95" i="1"/>
  <c r="C95" i="1"/>
  <c r="B95" i="1"/>
  <c r="A95" i="1"/>
  <c r="G94" i="1"/>
  <c r="E94" i="1"/>
  <c r="D94" i="1"/>
  <c r="C94" i="1"/>
  <c r="B94" i="1"/>
  <c r="A94" i="1"/>
  <c r="G93" i="1"/>
  <c r="E93" i="1"/>
  <c r="D93" i="1"/>
  <c r="C93" i="1"/>
  <c r="B93" i="1"/>
  <c r="A93" i="1"/>
  <c r="G92" i="1"/>
  <c r="E92" i="1"/>
  <c r="D92" i="1"/>
  <c r="C92" i="1"/>
  <c r="B92" i="1"/>
  <c r="A92" i="1"/>
  <c r="G91" i="1"/>
  <c r="E91" i="1"/>
  <c r="D91" i="1"/>
  <c r="C91" i="1"/>
  <c r="B91" i="1"/>
  <c r="A91" i="1"/>
  <c r="G90" i="1"/>
  <c r="E90" i="1"/>
  <c r="D90" i="1"/>
  <c r="C90" i="1"/>
  <c r="B90" i="1"/>
  <c r="A90" i="1"/>
  <c r="G89" i="1"/>
  <c r="E89" i="1"/>
  <c r="D89" i="1"/>
  <c r="C89" i="1"/>
  <c r="B89" i="1"/>
  <c r="A89" i="1"/>
  <c r="G88" i="1"/>
  <c r="E88" i="1"/>
  <c r="D88" i="1"/>
  <c r="C88" i="1"/>
  <c r="B88" i="1"/>
  <c r="A88" i="1"/>
  <c r="G87" i="1"/>
  <c r="E87" i="1"/>
  <c r="D87" i="1"/>
  <c r="C87" i="1"/>
  <c r="B87" i="1"/>
  <c r="A87" i="1"/>
  <c r="G86" i="1"/>
  <c r="E86" i="1"/>
  <c r="D86" i="1"/>
  <c r="C86" i="1"/>
  <c r="B86" i="1"/>
  <c r="A86" i="1"/>
  <c r="G85" i="1"/>
  <c r="E85" i="1"/>
  <c r="D85" i="1"/>
  <c r="C85" i="1"/>
  <c r="B85" i="1"/>
  <c r="A85" i="1"/>
  <c r="G84" i="1"/>
  <c r="E84" i="1"/>
  <c r="D84" i="1"/>
  <c r="C84" i="1"/>
  <c r="B84" i="1"/>
  <c r="A84" i="1"/>
  <c r="G83" i="1"/>
  <c r="E83" i="1"/>
  <c r="D83" i="1"/>
  <c r="C83" i="1"/>
  <c r="B83" i="1"/>
  <c r="A83" i="1"/>
  <c r="G82" i="1"/>
  <c r="E82" i="1"/>
  <c r="D82" i="1"/>
  <c r="C82" i="1"/>
  <c r="B82" i="1"/>
  <c r="A82" i="1"/>
  <c r="G81" i="1"/>
  <c r="E81" i="1"/>
  <c r="D81" i="1"/>
  <c r="C81" i="1"/>
  <c r="B81" i="1"/>
  <c r="A81" i="1"/>
  <c r="G80" i="1"/>
  <c r="E80" i="1"/>
  <c r="D80" i="1"/>
  <c r="C80" i="1"/>
  <c r="B80" i="1"/>
  <c r="A80" i="1"/>
  <c r="G79" i="1"/>
  <c r="E79" i="1"/>
  <c r="D79" i="1"/>
  <c r="C79" i="1"/>
  <c r="B79" i="1"/>
  <c r="A79" i="1"/>
  <c r="G78" i="1"/>
  <c r="E78" i="1"/>
  <c r="D78" i="1"/>
  <c r="C78" i="1"/>
  <c r="B78" i="1"/>
  <c r="A78" i="1"/>
  <c r="G77" i="1"/>
  <c r="E77" i="1"/>
  <c r="D77" i="1"/>
  <c r="C77" i="1"/>
  <c r="B77" i="1"/>
  <c r="A77" i="1"/>
  <c r="G76" i="1"/>
  <c r="E76" i="1"/>
  <c r="D76" i="1"/>
  <c r="C76" i="1"/>
  <c r="B76" i="1"/>
  <c r="A76" i="1"/>
  <c r="G75" i="1"/>
  <c r="E75" i="1"/>
  <c r="D75" i="1"/>
  <c r="C75" i="1"/>
  <c r="B75" i="1"/>
  <c r="A75" i="1"/>
  <c r="G74" i="1"/>
  <c r="E74" i="1"/>
  <c r="D74" i="1"/>
  <c r="C74" i="1"/>
  <c r="B74" i="1"/>
  <c r="A74" i="1"/>
  <c r="G73" i="1"/>
  <c r="E73" i="1"/>
  <c r="D73" i="1"/>
  <c r="C73" i="1"/>
  <c r="B73" i="1"/>
  <c r="A73" i="1"/>
  <c r="G72" i="1"/>
  <c r="E72" i="1"/>
  <c r="D72" i="1"/>
  <c r="C72" i="1"/>
  <c r="B72" i="1"/>
  <c r="A72" i="1"/>
  <c r="G71" i="1"/>
  <c r="E71" i="1"/>
  <c r="D71" i="1"/>
  <c r="C71" i="1"/>
  <c r="B71" i="1"/>
  <c r="A71" i="1"/>
  <c r="G70" i="1"/>
  <c r="E70" i="1"/>
  <c r="D70" i="1"/>
  <c r="C70" i="1"/>
  <c r="B70" i="1"/>
  <c r="A70" i="1"/>
  <c r="G69" i="1"/>
  <c r="E69" i="1"/>
  <c r="D69" i="1"/>
  <c r="C69" i="1"/>
  <c r="B69" i="1"/>
  <c r="A69" i="1"/>
  <c r="G68" i="1"/>
  <c r="E68" i="1"/>
  <c r="D68" i="1"/>
  <c r="C68" i="1"/>
  <c r="B68" i="1"/>
  <c r="A68" i="1"/>
  <c r="G67" i="1"/>
  <c r="E67" i="1"/>
  <c r="D67" i="1"/>
  <c r="C67" i="1"/>
  <c r="B67" i="1"/>
  <c r="A67" i="1"/>
  <c r="G66" i="1"/>
  <c r="E66" i="1"/>
  <c r="D66" i="1"/>
  <c r="C66" i="1"/>
  <c r="B66" i="1"/>
  <c r="A66" i="1"/>
  <c r="G65" i="1"/>
  <c r="E65" i="1"/>
  <c r="D65" i="1"/>
  <c r="C65" i="1"/>
  <c r="B65" i="1"/>
  <c r="A65" i="1"/>
  <c r="G64" i="1"/>
  <c r="E64" i="1"/>
  <c r="D64" i="1"/>
  <c r="C64" i="1"/>
  <c r="B64" i="1"/>
  <c r="A64" i="1"/>
  <c r="G63" i="1"/>
  <c r="E63" i="1"/>
  <c r="D63" i="1"/>
  <c r="C63" i="1"/>
  <c r="B63" i="1"/>
  <c r="A63" i="1"/>
  <c r="G62" i="1"/>
  <c r="E62" i="1"/>
  <c r="D62" i="1"/>
  <c r="C62" i="1"/>
  <c r="B62" i="1"/>
  <c r="A62" i="1"/>
  <c r="G61" i="1"/>
  <c r="E61" i="1"/>
  <c r="D61" i="1"/>
  <c r="C61" i="1"/>
  <c r="B61" i="1"/>
  <c r="A61" i="1"/>
  <c r="G60" i="1"/>
  <c r="E60" i="1"/>
  <c r="D60" i="1"/>
  <c r="C60" i="1"/>
  <c r="B60" i="1"/>
  <c r="A60" i="1"/>
  <c r="G59" i="1"/>
  <c r="E59" i="1"/>
  <c r="D59" i="1"/>
  <c r="C59" i="1"/>
  <c r="B59" i="1"/>
  <c r="A59" i="1"/>
  <c r="G58" i="1"/>
  <c r="E58" i="1"/>
  <c r="D58" i="1"/>
  <c r="C58" i="1"/>
  <c r="B58" i="1"/>
  <c r="A58" i="1"/>
  <c r="G57" i="1"/>
  <c r="E57" i="1"/>
  <c r="D57" i="1"/>
  <c r="C57" i="1"/>
  <c r="B57" i="1"/>
  <c r="A57" i="1"/>
  <c r="G56" i="1"/>
  <c r="E56" i="1"/>
  <c r="D56" i="1"/>
  <c r="C56" i="1"/>
  <c r="B56" i="1"/>
  <c r="A56" i="1"/>
  <c r="G55" i="1"/>
  <c r="E55" i="1"/>
  <c r="D55" i="1"/>
  <c r="C55" i="1"/>
  <c r="B55" i="1"/>
  <c r="A55" i="1"/>
  <c r="G54" i="1"/>
  <c r="E54" i="1"/>
  <c r="D54" i="1"/>
  <c r="C54" i="1"/>
  <c r="B54" i="1"/>
  <c r="A54" i="1"/>
  <c r="G53" i="1"/>
  <c r="E53" i="1"/>
  <c r="D53" i="1"/>
  <c r="C53" i="1"/>
  <c r="B53" i="1"/>
  <c r="A53" i="1"/>
  <c r="G52" i="1"/>
  <c r="E52" i="1"/>
  <c r="D52" i="1"/>
  <c r="C52" i="1"/>
  <c r="B52" i="1"/>
  <c r="A52" i="1"/>
  <c r="G51" i="1"/>
  <c r="E51" i="1"/>
  <c r="D51" i="1"/>
  <c r="C51" i="1"/>
  <c r="B51" i="1"/>
  <c r="A51" i="1"/>
  <c r="G50" i="1"/>
  <c r="E50" i="1"/>
  <c r="D50" i="1"/>
  <c r="C50" i="1"/>
  <c r="B50" i="1"/>
  <c r="A50" i="1"/>
  <c r="M49" i="1"/>
  <c r="L49" i="1"/>
  <c r="K49" i="1"/>
  <c r="J49" i="1"/>
  <c r="G49" i="1"/>
  <c r="E49" i="1"/>
  <c r="D49" i="1"/>
  <c r="C49" i="1"/>
  <c r="B49" i="1"/>
  <c r="A49" i="1"/>
  <c r="M48" i="1"/>
  <c r="L48" i="1"/>
  <c r="K48" i="1"/>
  <c r="J48" i="1"/>
  <c r="G48" i="1"/>
  <c r="E48" i="1"/>
  <c r="D48" i="1"/>
  <c r="C48" i="1"/>
  <c r="B48" i="1"/>
  <c r="A48" i="1"/>
  <c r="M47" i="1"/>
  <c r="L47" i="1"/>
  <c r="K47" i="1"/>
  <c r="J47" i="1"/>
  <c r="G47" i="1"/>
  <c r="E47" i="1"/>
  <c r="D47" i="1"/>
  <c r="C47" i="1"/>
  <c r="B47" i="1"/>
  <c r="A47" i="1"/>
  <c r="M46" i="1"/>
  <c r="L46" i="1"/>
  <c r="K46" i="1"/>
  <c r="J46" i="1"/>
  <c r="G46" i="1"/>
  <c r="E46" i="1"/>
  <c r="D46" i="1"/>
  <c r="C46" i="1"/>
  <c r="B46" i="1"/>
  <c r="A46" i="1"/>
  <c r="M45" i="1"/>
  <c r="L45" i="1"/>
  <c r="K45" i="1"/>
  <c r="J45" i="1"/>
  <c r="G45" i="1"/>
  <c r="E45" i="1"/>
  <c r="D45" i="1"/>
  <c r="C45" i="1"/>
  <c r="B45" i="1"/>
  <c r="A45" i="1"/>
  <c r="M44" i="1"/>
  <c r="L44" i="1"/>
  <c r="K44" i="1"/>
  <c r="J44" i="1"/>
  <c r="G44" i="1"/>
  <c r="E44" i="1"/>
  <c r="D44" i="1"/>
  <c r="C44" i="1"/>
  <c r="B44" i="1"/>
  <c r="A44" i="1"/>
  <c r="M43" i="1"/>
  <c r="L43" i="1"/>
  <c r="K43" i="1"/>
  <c r="J43" i="1"/>
  <c r="G43" i="1"/>
  <c r="E43" i="1"/>
  <c r="D43" i="1"/>
  <c r="C43" i="1"/>
  <c r="B43" i="1"/>
  <c r="A43" i="1"/>
  <c r="M42" i="1"/>
  <c r="L42" i="1"/>
  <c r="K42" i="1"/>
  <c r="J42" i="1"/>
  <c r="G42" i="1"/>
  <c r="E42" i="1"/>
  <c r="D42" i="1"/>
  <c r="C42" i="1"/>
  <c r="B42" i="1"/>
  <c r="A42" i="1"/>
  <c r="M41" i="1"/>
  <c r="L41" i="1"/>
  <c r="K41" i="1"/>
  <c r="J41" i="1"/>
  <c r="G41" i="1"/>
  <c r="E41" i="1"/>
  <c r="D41" i="1"/>
  <c r="C41" i="1"/>
  <c r="B41" i="1"/>
  <c r="A41" i="1"/>
  <c r="M40" i="1"/>
  <c r="L40" i="1"/>
  <c r="K40" i="1"/>
  <c r="J40" i="1"/>
  <c r="G40" i="1"/>
  <c r="E40" i="1"/>
  <c r="D40" i="1"/>
  <c r="C40" i="1"/>
  <c r="B40" i="1"/>
  <c r="A40" i="1"/>
  <c r="G39" i="1"/>
  <c r="E39" i="1"/>
  <c r="D39" i="1"/>
  <c r="C39" i="1"/>
  <c r="B39" i="1"/>
  <c r="A39" i="1"/>
  <c r="M38" i="1"/>
  <c r="L38" i="1"/>
  <c r="K38" i="1"/>
  <c r="J38" i="1"/>
  <c r="G38" i="1"/>
  <c r="E38" i="1"/>
  <c r="D38" i="1"/>
  <c r="C38" i="1"/>
  <c r="B38" i="1"/>
  <c r="A38" i="1"/>
  <c r="M37" i="1"/>
  <c r="L37" i="1"/>
  <c r="K37" i="1"/>
  <c r="J37" i="1"/>
  <c r="G37" i="1"/>
  <c r="E37" i="1"/>
  <c r="D37" i="1"/>
  <c r="C37" i="1"/>
  <c r="B37" i="1"/>
  <c r="A37" i="1"/>
  <c r="M36" i="1"/>
  <c r="L36" i="1"/>
  <c r="K36" i="1"/>
  <c r="J36" i="1"/>
  <c r="G36" i="1"/>
  <c r="E36" i="1"/>
  <c r="D36" i="1"/>
  <c r="C36" i="1"/>
  <c r="B36" i="1"/>
  <c r="A36" i="1"/>
  <c r="M35" i="1"/>
  <c r="L35" i="1"/>
  <c r="K35" i="1"/>
  <c r="J35" i="1"/>
  <c r="G35" i="1"/>
  <c r="E35" i="1"/>
  <c r="D35" i="1"/>
  <c r="C35" i="1"/>
  <c r="B35" i="1"/>
  <c r="A35" i="1"/>
  <c r="M34" i="1"/>
  <c r="L34" i="1"/>
  <c r="K34" i="1"/>
  <c r="J34" i="1"/>
  <c r="G34" i="1"/>
  <c r="E34" i="1"/>
  <c r="D34" i="1"/>
  <c r="C34" i="1"/>
  <c r="B34" i="1"/>
  <c r="A34" i="1"/>
  <c r="M33" i="1"/>
  <c r="L33" i="1"/>
  <c r="K33" i="1"/>
  <c r="J33" i="1"/>
  <c r="G33" i="1"/>
  <c r="E33" i="1"/>
  <c r="D33" i="1"/>
  <c r="C33" i="1"/>
  <c r="B33" i="1"/>
  <c r="A33" i="1"/>
  <c r="M32" i="1"/>
  <c r="L32" i="1"/>
  <c r="K32" i="1"/>
  <c r="J32" i="1"/>
  <c r="G32" i="1"/>
  <c r="E32" i="1"/>
  <c r="D32" i="1"/>
  <c r="C32" i="1"/>
  <c r="B32" i="1"/>
  <c r="A32" i="1"/>
  <c r="M31" i="1"/>
  <c r="L31" i="1"/>
  <c r="K31" i="1"/>
  <c r="J31" i="1"/>
  <c r="G31" i="1"/>
  <c r="E31" i="1"/>
  <c r="D31" i="1"/>
  <c r="C31" i="1"/>
  <c r="B31" i="1"/>
  <c r="A31" i="1"/>
  <c r="M30" i="1"/>
  <c r="L30" i="1"/>
  <c r="K30" i="1"/>
  <c r="J30" i="1"/>
  <c r="G30" i="1"/>
  <c r="E30" i="1"/>
  <c r="D30" i="1"/>
  <c r="C30" i="1"/>
  <c r="B30" i="1"/>
  <c r="A30" i="1"/>
  <c r="M29" i="1"/>
  <c r="L29" i="1"/>
  <c r="K29" i="1"/>
  <c r="J29" i="1"/>
  <c r="G29" i="1"/>
  <c r="E29" i="1"/>
  <c r="D29" i="1"/>
  <c r="C29" i="1"/>
  <c r="B29" i="1"/>
  <c r="A29" i="1"/>
  <c r="M28" i="1"/>
  <c r="L28" i="1"/>
  <c r="K28" i="1"/>
  <c r="J28" i="1"/>
  <c r="G28" i="1"/>
  <c r="E28" i="1"/>
  <c r="D28" i="1"/>
  <c r="C28" i="1"/>
  <c r="B28" i="1"/>
  <c r="A28" i="1"/>
  <c r="I27" i="1"/>
  <c r="G27" i="1"/>
  <c r="E27" i="1"/>
  <c r="D27" i="1"/>
  <c r="C27" i="1"/>
  <c r="B27" i="1"/>
  <c r="A27" i="1"/>
  <c r="G26" i="1"/>
  <c r="E26" i="1"/>
  <c r="D26" i="1"/>
  <c r="C26" i="1"/>
  <c r="B26" i="1"/>
  <c r="A26" i="1"/>
  <c r="G25" i="1"/>
  <c r="E25" i="1"/>
  <c r="D25" i="1"/>
  <c r="C25" i="1"/>
  <c r="B25" i="1"/>
  <c r="A25" i="1"/>
  <c r="G24" i="1"/>
  <c r="E24" i="1"/>
  <c r="D24" i="1"/>
  <c r="C24" i="1"/>
  <c r="B24" i="1"/>
  <c r="A24" i="1"/>
  <c r="J23" i="1"/>
  <c r="I23" i="1"/>
  <c r="G23" i="1"/>
  <c r="E23" i="1"/>
  <c r="D23" i="1"/>
  <c r="C23" i="1"/>
  <c r="B23" i="1"/>
  <c r="A23" i="1"/>
  <c r="G22" i="1"/>
  <c r="E22" i="1"/>
  <c r="D22" i="1"/>
  <c r="C22" i="1"/>
  <c r="B22" i="1"/>
  <c r="A22" i="1"/>
  <c r="O21" i="1"/>
  <c r="N21" i="1"/>
  <c r="M21" i="1"/>
  <c r="L21" i="1"/>
  <c r="I21" i="1"/>
  <c r="G21" i="1"/>
  <c r="E21" i="1"/>
  <c r="D21" i="1"/>
  <c r="C21" i="1"/>
  <c r="B21" i="1"/>
  <c r="A21" i="1"/>
  <c r="O20" i="1"/>
  <c r="N20" i="1"/>
  <c r="M20" i="1"/>
  <c r="L20" i="1"/>
  <c r="I20" i="1"/>
  <c r="G20" i="1"/>
  <c r="E20" i="1"/>
  <c r="D20" i="1"/>
  <c r="C20" i="1"/>
  <c r="B20" i="1"/>
  <c r="A20" i="1"/>
  <c r="O19" i="1"/>
  <c r="N19" i="1"/>
  <c r="M19" i="1"/>
  <c r="L19" i="1"/>
  <c r="J19" i="1"/>
  <c r="I19" i="1"/>
  <c r="G19" i="1"/>
  <c r="E19" i="1"/>
  <c r="D19" i="1"/>
  <c r="C19" i="1"/>
  <c r="B19" i="1"/>
  <c r="A19" i="1"/>
  <c r="M18" i="1"/>
  <c r="L18" i="1"/>
  <c r="G18" i="1"/>
  <c r="E18" i="1"/>
  <c r="D18" i="1"/>
  <c r="C18" i="1"/>
  <c r="B18" i="1"/>
  <c r="A18" i="1"/>
  <c r="I17" i="1"/>
  <c r="G17" i="1"/>
  <c r="E17" i="1"/>
  <c r="D17" i="1"/>
  <c r="C17" i="1"/>
  <c r="B17" i="1"/>
  <c r="A17" i="1"/>
  <c r="G16" i="1"/>
  <c r="E16" i="1"/>
  <c r="D16" i="1"/>
  <c r="C16" i="1"/>
  <c r="B16" i="1"/>
  <c r="A16" i="1"/>
  <c r="G15" i="1"/>
  <c r="E15" i="1"/>
  <c r="D15" i="1"/>
  <c r="C15" i="1"/>
  <c r="B15" i="1"/>
  <c r="A15" i="1"/>
  <c r="G14" i="1"/>
  <c r="E14" i="1"/>
  <c r="D14" i="1"/>
  <c r="C14" i="1"/>
  <c r="B14" i="1"/>
  <c r="A14" i="1"/>
  <c r="G13" i="1"/>
  <c r="E13" i="1"/>
  <c r="D13" i="1"/>
  <c r="C13" i="1"/>
  <c r="B13" i="1"/>
  <c r="A13" i="1"/>
  <c r="K12" i="1"/>
  <c r="J12" i="1"/>
  <c r="I12" i="1"/>
  <c r="G12" i="1"/>
  <c r="E12" i="1"/>
  <c r="D12" i="1"/>
  <c r="C12" i="1"/>
  <c r="B12" i="1"/>
  <c r="A12" i="1"/>
  <c r="K11" i="1"/>
  <c r="J11" i="1"/>
  <c r="I11" i="1"/>
  <c r="G11" i="1"/>
  <c r="E11" i="1"/>
  <c r="D11" i="1"/>
  <c r="C11" i="1"/>
  <c r="B11" i="1"/>
  <c r="A11" i="1"/>
  <c r="K10" i="1"/>
  <c r="J10" i="1"/>
  <c r="I10" i="1"/>
  <c r="G10" i="1"/>
  <c r="E10" i="1"/>
  <c r="D10" i="1"/>
  <c r="C10" i="1"/>
  <c r="B10" i="1"/>
  <c r="A10" i="1"/>
  <c r="G9" i="1"/>
  <c r="E9" i="1"/>
  <c r="D9" i="1"/>
  <c r="C9" i="1"/>
  <c r="B9" i="1"/>
  <c r="A9" i="1"/>
  <c r="K8" i="1"/>
  <c r="J8" i="1"/>
  <c r="I8" i="1"/>
  <c r="G8" i="1"/>
  <c r="E8" i="1"/>
  <c r="D8" i="1"/>
  <c r="C8" i="1"/>
  <c r="B8" i="1"/>
  <c r="A8" i="1"/>
  <c r="J7" i="1"/>
  <c r="I7" i="1"/>
  <c r="G7" i="1"/>
  <c r="E7" i="1"/>
  <c r="D7" i="1"/>
  <c r="C7" i="1"/>
  <c r="B7" i="1"/>
  <c r="A7" i="1"/>
  <c r="J6" i="1"/>
  <c r="I6" i="1"/>
  <c r="G6" i="1"/>
  <c r="E6" i="1"/>
  <c r="D6" i="1"/>
  <c r="C6" i="1"/>
  <c r="B6" i="1"/>
  <c r="A6" i="1"/>
  <c r="G5" i="1"/>
  <c r="E5" i="1"/>
  <c r="D5" i="1"/>
  <c r="C5" i="1"/>
  <c r="B5" i="1"/>
  <c r="A5" i="1"/>
  <c r="J4" i="1"/>
  <c r="I4" i="1"/>
  <c r="G4" i="1"/>
  <c r="E4" i="1"/>
  <c r="D4" i="1"/>
  <c r="C4" i="1"/>
  <c r="B4" i="1"/>
  <c r="A4" i="1"/>
  <c r="K3" i="1"/>
  <c r="J3" i="1"/>
  <c r="I3" i="1"/>
  <c r="K2" i="1"/>
  <c r="J2" i="1"/>
  <c r="I2" i="1"/>
  <c r="D2" i="1"/>
  <c r="A2" i="1"/>
  <c r="J1" i="1"/>
  <c r="I1" i="1"/>
  <c r="H1" i="1"/>
  <c r="D1" i="1"/>
  <c r="A1" i="1"/>
</calcChain>
</file>

<file path=xl/sharedStrings.xml><?xml version="1.0" encoding="utf-8"?>
<sst xmlns="http://schemas.openxmlformats.org/spreadsheetml/2006/main" count="19" uniqueCount="19">
  <si>
    <t>Table information</t>
  </si>
  <si>
    <t>Individual cells information</t>
  </si>
  <si>
    <t>PnL</t>
  </si>
  <si>
    <t>Rank of PnL with several other details</t>
  </si>
  <si>
    <t>Ranking summary, returns, etc.</t>
  </si>
  <si>
    <t>PortPerf</t>
  </si>
  <si>
    <t>Portfofolio Performance and account details</t>
  </si>
  <si>
    <t>Trade Record by acct</t>
  </si>
  <si>
    <t>By accounts portfolio trade record</t>
  </si>
  <si>
    <t>Received Order Summary</t>
  </si>
  <si>
    <t>All received orders captured</t>
  </si>
  <si>
    <t>Rejected Order Summary</t>
  </si>
  <si>
    <t>All rejected orders ONLY</t>
  </si>
  <si>
    <t>Unfilled Order Summary</t>
  </si>
  <si>
    <t>All Unfilled orders ONLY</t>
  </si>
  <si>
    <t>HistClsP</t>
  </si>
  <si>
    <t>Historical Closing Price captured by day</t>
  </si>
  <si>
    <t>PnL Details</t>
  </si>
  <si>
    <t>PnL according to trade day and value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</si>
</sst>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quot;$&quot;#,##0"/>
    <numFmt numFmtId="165" formatCode="0.00%;[Red]\(0.00%\)"/>
    <numFmt numFmtId="166" formatCode="&quot;$&quot;#,##0.00"/>
    <numFmt numFmtId="167" formatCode="#,##0;[Red]\(#,##0\)"/>
    <numFmt numFmtId="168" formatCode="0.0%;[Red]\(0.0%\)"/>
    <numFmt numFmtId="169" formatCode="m/d/yyyy"/>
    <numFmt numFmtId="170" formatCode="m&quot;/&quot;d&quot;/&quot;yy"/>
    <numFmt numFmtId="171" formatCode="#,##0.000"/>
    <numFmt numFmtId="172" formatCode="#,##0.00;[Red]\(#,##0.00\)"/>
    <numFmt numFmtId="173" formatCode="#,##0.000;[Red]\(#,##0.000\)"/>
    <numFmt numFmtId="174" formatCode="0.000%"/>
    <numFmt numFmtId="175" formatCode="m/d/yyyy\ h:mm:ss"/>
    <numFmt numFmtId="176" formatCode="&quot;$&quot;#,##0.0"/>
    <numFmt numFmtId="177" formatCode="mmm\ d\,\ yyyy"/>
    <numFmt numFmtId="178" formatCode="m&quot;/&quot;d"/>
    <numFmt numFmtId="179" formatCode="0.000"/>
  </numFmts>
  <fonts count="34" x14ac:knownFonts="1">
    <font>
      <sz val="10"/>
      <color rgb="FF000000"/>
      <name val="Arial"/>
      <scheme val="minor"/>
    </font>
    <font>
      <b/>
      <sz val="15"/>
      <color theme="1"/>
      <name val="Arial"/>
    </font>
    <font>
      <sz val="10"/>
      <color theme="1"/>
      <name val="Arial"/>
    </font>
    <font>
      <sz val="10"/>
      <color theme="1"/>
      <name val="Arial"/>
      <scheme val="minor"/>
    </font>
    <font>
      <sz val="10"/>
      <color rgb="FF0000FF"/>
      <name val="Arial"/>
    </font>
    <font>
      <sz val="10"/>
      <color rgb="FFFFFF00"/>
      <name val="Arial"/>
    </font>
    <font>
      <b/>
      <sz val="10"/>
      <color theme="1"/>
      <name val="Arial"/>
      <scheme val="minor"/>
    </font>
    <font>
      <u/>
      <sz val="10"/>
      <color rgb="FF0000FF"/>
      <name val="Arial"/>
    </font>
    <font>
      <b/>
      <sz val="10"/>
      <color theme="1"/>
      <name val="Arial"/>
    </font>
    <font>
      <sz val="10"/>
      <color rgb="FFFF0000"/>
      <name val="Arial"/>
    </font>
    <font>
      <b/>
      <sz val="16"/>
      <color theme="1"/>
      <name val="Arial"/>
    </font>
    <font>
      <b/>
      <sz val="16"/>
      <color theme="1"/>
      <name val="Arial"/>
      <scheme val="minor"/>
    </font>
    <font>
      <sz val="16"/>
      <color theme="1"/>
      <name val="Arial"/>
      <scheme val="minor"/>
    </font>
    <font>
      <sz val="12"/>
      <color theme="1"/>
      <name val="Arial"/>
      <scheme val="minor"/>
    </font>
    <font>
      <sz val="10"/>
      <color rgb="FF0000FF"/>
      <name val="Arial"/>
      <scheme val="minor"/>
    </font>
    <font>
      <sz val="10"/>
      <color rgb="FFFFFF00"/>
      <name val="Arial"/>
      <scheme val="minor"/>
    </font>
    <font>
      <u/>
      <sz val="10"/>
      <color rgb="FF0000FF"/>
      <name val="Arial"/>
    </font>
    <font>
      <u/>
      <sz val="10"/>
      <color rgb="FF0000FF"/>
      <name val="Arial"/>
    </font>
    <font>
      <b/>
      <sz val="18"/>
      <color theme="1"/>
      <name val="Arial"/>
      <scheme val="minor"/>
    </font>
    <font>
      <u/>
      <sz val="10"/>
      <color rgb="FF0000FF"/>
      <name val="Arial"/>
    </font>
    <font>
      <b/>
      <sz val="10"/>
      <color rgb="FFFFFFFF"/>
      <name val="Arial"/>
      <scheme val="minor"/>
    </font>
    <font>
      <u/>
      <sz val="10"/>
      <color rgb="FF0000FF"/>
      <name val="Arial"/>
    </font>
    <font>
      <b/>
      <sz val="18"/>
      <color theme="1"/>
      <name val="Arial"/>
    </font>
    <font>
      <b/>
      <i/>
      <sz val="10"/>
      <color theme="1"/>
      <name val="Arial"/>
    </font>
    <font>
      <b/>
      <sz val="20"/>
      <color theme="1"/>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0000FF"/>
      <name val="Arial"/>
    </font>
  </fonts>
  <fills count="20">
    <fill>
      <patternFill patternType="none"/>
    </fill>
    <fill>
      <patternFill patternType="gray125"/>
    </fill>
    <fill>
      <patternFill patternType="solid">
        <fgColor rgb="FFFFE599"/>
        <bgColor rgb="FFFFE599"/>
      </patternFill>
    </fill>
    <fill>
      <patternFill patternType="solid">
        <fgColor rgb="FF38761D"/>
        <bgColor rgb="FF38761D"/>
      </patternFill>
    </fill>
    <fill>
      <patternFill patternType="solid">
        <fgColor rgb="FFF4CCCC"/>
        <bgColor rgb="FFF4CCCC"/>
      </patternFill>
    </fill>
    <fill>
      <patternFill patternType="solid">
        <fgColor rgb="FFCCCCCC"/>
        <bgColor rgb="FFCCCCCC"/>
      </patternFill>
    </fill>
    <fill>
      <patternFill patternType="solid">
        <fgColor rgb="FFEAD1DC"/>
        <bgColor rgb="FFEAD1DC"/>
      </patternFill>
    </fill>
    <fill>
      <patternFill patternType="solid">
        <fgColor rgb="FFFCE5CD"/>
        <bgColor rgb="FFFCE5CD"/>
      </patternFill>
    </fill>
    <fill>
      <patternFill patternType="solid">
        <fgColor rgb="FFD9EAD3"/>
        <bgColor rgb="FFD9EAD3"/>
      </patternFill>
    </fill>
    <fill>
      <patternFill patternType="solid">
        <fgColor rgb="FFA4C2F4"/>
        <bgColor rgb="FFA4C2F4"/>
      </patternFill>
    </fill>
    <fill>
      <patternFill patternType="solid">
        <fgColor rgb="FFD5A6BD"/>
        <bgColor rgb="FFD5A6BD"/>
      </patternFill>
    </fill>
    <fill>
      <patternFill patternType="solid">
        <fgColor rgb="FFB6D7A8"/>
        <bgColor rgb="FFB6D7A8"/>
      </patternFill>
    </fill>
    <fill>
      <patternFill patternType="solid">
        <fgColor rgb="FF6FA8DC"/>
        <bgColor rgb="FF6FA8DC"/>
      </patternFill>
    </fill>
    <fill>
      <patternFill patternType="solid">
        <fgColor rgb="FFA64D79"/>
        <bgColor rgb="FFA64D79"/>
      </patternFill>
    </fill>
    <fill>
      <patternFill patternType="solid">
        <fgColor rgb="FFCC0000"/>
        <bgColor rgb="FFCC0000"/>
      </patternFill>
    </fill>
    <fill>
      <patternFill patternType="solid">
        <fgColor rgb="FFEA9999"/>
        <bgColor rgb="FFEA9999"/>
      </patternFill>
    </fill>
    <fill>
      <patternFill patternType="solid">
        <fgColor rgb="FFCFE2F3"/>
        <bgColor rgb="FFCFE2F3"/>
      </patternFill>
    </fill>
    <fill>
      <patternFill patternType="solid">
        <fgColor rgb="FFA2C4C9"/>
        <bgColor rgb="FFA2C4C9"/>
      </patternFill>
    </fill>
    <fill>
      <patternFill patternType="solid">
        <fgColor rgb="FFE06666"/>
        <bgColor rgb="FFE06666"/>
      </patternFill>
    </fill>
    <fill>
      <patternFill patternType="solid">
        <fgColor rgb="FF93C47D"/>
        <bgColor rgb="FF93C47D"/>
      </patternFill>
    </fill>
  </fills>
  <borders count="8">
    <border>
      <left/>
      <right/>
      <top/>
      <bottom/>
      <diagonal/>
    </border>
    <border>
      <left/>
      <right/>
      <top/>
      <bottom/>
      <diagonal/>
    </border>
    <border>
      <left/>
      <right/>
      <top/>
      <bottom style="thick">
        <color rgb="FF0000FF"/>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dotted">
        <color rgb="FF000000"/>
      </left>
      <right style="dotted">
        <color rgb="FF000000"/>
      </right>
      <top style="dotted">
        <color rgb="FF000000"/>
      </top>
      <bottom style="dotted">
        <color rgb="FF000000"/>
      </bottom>
      <diagonal/>
    </border>
  </borders>
  <cellStyleXfs count="1">
    <xf numFmtId="0" fontId="0" fillId="0" borderId="0"/>
  </cellStyleXfs>
  <cellXfs count="170">
    <xf numFmtId="0" fontId="0" fillId="0" borderId="0" xfId="0" applyFont="1" applyAlignment="1"/>
    <xf numFmtId="0" fontId="1" fillId="0" borderId="1" xfId="0" applyFont="1" applyBorder="1" applyAlignment="1"/>
    <xf numFmtId="164" fontId="2" fillId="0" borderId="1" xfId="0" applyNumberFormat="1" applyFont="1" applyBorder="1" applyAlignment="1"/>
    <xf numFmtId="164" fontId="2" fillId="0" borderId="0" xfId="0" applyNumberFormat="1" applyFont="1" applyAlignment="1"/>
    <xf numFmtId="165" fontId="2" fillId="0" borderId="0" xfId="0" applyNumberFormat="1" applyFont="1" applyAlignment="1"/>
    <xf numFmtId="0" fontId="3" fillId="0" borderId="0" xfId="0" applyFont="1"/>
    <xf numFmtId="0" fontId="3" fillId="0" borderId="0" xfId="0" applyFont="1"/>
    <xf numFmtId="166" fontId="3" fillId="0" borderId="0" xfId="0" applyNumberFormat="1" applyFont="1"/>
    <xf numFmtId="3" fontId="3" fillId="0" borderId="0" xfId="0" applyNumberFormat="1" applyFont="1"/>
    <xf numFmtId="0" fontId="2" fillId="0" borderId="1" xfId="0" applyFont="1" applyBorder="1" applyAlignment="1"/>
    <xf numFmtId="9" fontId="3" fillId="0" borderId="0" xfId="0" applyNumberFormat="1" applyFont="1"/>
    <xf numFmtId="167" fontId="2" fillId="0" borderId="0" xfId="0" applyNumberFormat="1" applyFont="1" applyAlignment="1"/>
    <xf numFmtId="167" fontId="4" fillId="2" borderId="0" xfId="0" applyNumberFormat="1" applyFont="1" applyFill="1" applyAlignment="1">
      <alignment horizontal="left" wrapText="1"/>
    </xf>
    <xf numFmtId="164" fontId="5" fillId="3" borderId="0" xfId="0" applyNumberFormat="1" applyFont="1" applyFill="1" applyAlignment="1">
      <alignment horizontal="right" wrapText="1"/>
    </xf>
    <xf numFmtId="165" fontId="2" fillId="4" borderId="0" xfId="0" applyNumberFormat="1" applyFont="1" applyFill="1" applyAlignment="1">
      <alignment horizontal="right" wrapText="1"/>
    </xf>
    <xf numFmtId="164" fontId="3" fillId="0" borderId="0" xfId="0" applyNumberFormat="1" applyFont="1" applyAlignment="1">
      <alignment horizontal="right"/>
    </xf>
    <xf numFmtId="166" fontId="6" fillId="5" borderId="0" xfId="0" applyNumberFormat="1" applyFont="1" applyFill="1"/>
    <xf numFmtId="3" fontId="3" fillId="5" borderId="0" xfId="0" applyNumberFormat="1" applyFont="1" applyFill="1"/>
    <xf numFmtId="0" fontId="3" fillId="5" borderId="0" xfId="0" applyFont="1" applyFill="1"/>
    <xf numFmtId="167" fontId="3" fillId="0" borderId="0" xfId="0" applyNumberFormat="1" applyFont="1"/>
    <xf numFmtId="166" fontId="3" fillId="0" borderId="0" xfId="0" applyNumberFormat="1" applyFont="1"/>
    <xf numFmtId="165" fontId="3" fillId="0" borderId="0" xfId="0" applyNumberFormat="1" applyFont="1"/>
    <xf numFmtId="164" fontId="3" fillId="0" borderId="0" xfId="0" applyNumberFormat="1" applyFont="1"/>
    <xf numFmtId="10" fontId="3" fillId="0" borderId="0" xfId="0" applyNumberFormat="1" applyFont="1"/>
    <xf numFmtId="165" fontId="3" fillId="0" borderId="0" xfId="0" applyNumberFormat="1" applyFont="1" applyAlignment="1"/>
    <xf numFmtId="0" fontId="3" fillId="0" borderId="0" xfId="0" applyFont="1" applyAlignment="1">
      <alignment horizontal="left"/>
    </xf>
    <xf numFmtId="0" fontId="3" fillId="0" borderId="0" xfId="0" applyFont="1" applyAlignment="1">
      <alignment horizontal="right"/>
    </xf>
    <xf numFmtId="0" fontId="3" fillId="6" borderId="0" xfId="0" applyFont="1" applyFill="1"/>
    <xf numFmtId="166" fontId="7" fillId="0" borderId="0" xfId="0" applyNumberFormat="1" applyFont="1"/>
    <xf numFmtId="168" fontId="3" fillId="0" borderId="0" xfId="0" applyNumberFormat="1" applyFont="1"/>
    <xf numFmtId="166" fontId="3" fillId="4" borderId="0" xfId="0" applyNumberFormat="1" applyFont="1" applyFill="1"/>
    <xf numFmtId="169" fontId="3" fillId="4" borderId="0" xfId="0" applyNumberFormat="1" applyFont="1" applyFill="1"/>
    <xf numFmtId="0" fontId="3" fillId="4" borderId="0" xfId="0" applyFont="1" applyFill="1"/>
    <xf numFmtId="166" fontId="6" fillId="0" borderId="0" xfId="0" applyNumberFormat="1" applyFont="1" applyAlignment="1">
      <alignment horizontal="left"/>
    </xf>
    <xf numFmtId="0" fontId="6" fillId="0" borderId="0" xfId="0" applyFont="1"/>
    <xf numFmtId="0" fontId="6" fillId="0" borderId="0" xfId="0" applyFont="1" applyAlignment="1">
      <alignment horizontal="right"/>
    </xf>
    <xf numFmtId="0" fontId="8" fillId="0" borderId="0" xfId="0" applyFont="1" applyAlignment="1">
      <alignment horizontal="right"/>
    </xf>
    <xf numFmtId="0" fontId="8" fillId="0" borderId="0" xfId="0" applyFont="1" applyAlignment="1"/>
    <xf numFmtId="0" fontId="8" fillId="0" borderId="1" xfId="0" applyFont="1" applyBorder="1" applyAlignment="1"/>
    <xf numFmtId="3" fontId="2" fillId="7" borderId="0" xfId="0" applyNumberFormat="1" applyFont="1" applyFill="1" applyAlignment="1">
      <alignment horizontal="right"/>
    </xf>
    <xf numFmtId="10" fontId="2" fillId="7" borderId="0" xfId="0" applyNumberFormat="1" applyFont="1" applyFill="1" applyAlignment="1"/>
    <xf numFmtId="165" fontId="9" fillId="7" borderId="0" xfId="0" applyNumberFormat="1" applyFont="1" applyFill="1" applyAlignment="1">
      <alignment horizontal="right"/>
    </xf>
    <xf numFmtId="166" fontId="2" fillId="0" borderId="0" xfId="0" applyNumberFormat="1" applyFont="1" applyAlignment="1"/>
    <xf numFmtId="0" fontId="2" fillId="0" borderId="0" xfId="0" applyFont="1" applyAlignment="1"/>
    <xf numFmtId="3" fontId="2" fillId="8" borderId="0" xfId="0" applyNumberFormat="1" applyFont="1" applyFill="1" applyAlignment="1">
      <alignment horizontal="right"/>
    </xf>
    <xf numFmtId="10" fontId="2" fillId="8" borderId="0" xfId="0" applyNumberFormat="1" applyFont="1" applyFill="1" applyAlignment="1"/>
    <xf numFmtId="10" fontId="2" fillId="8" borderId="0" xfId="0" applyNumberFormat="1" applyFont="1" applyFill="1" applyAlignment="1">
      <alignment horizontal="right"/>
    </xf>
    <xf numFmtId="0" fontId="10" fillId="0" borderId="1" xfId="0" applyFont="1" applyBorder="1" applyAlignment="1"/>
    <xf numFmtId="0" fontId="2" fillId="0" borderId="1" xfId="0" applyFont="1" applyBorder="1" applyAlignment="1"/>
    <xf numFmtId="167" fontId="4" fillId="2" borderId="0" xfId="0" applyNumberFormat="1" applyFont="1" applyFill="1" applyAlignment="1">
      <alignment horizontal="right" wrapText="1"/>
    </xf>
    <xf numFmtId="164" fontId="2" fillId="4" borderId="0" xfId="0" applyNumberFormat="1" applyFont="1" applyFill="1" applyAlignment="1">
      <alignment horizontal="right" wrapText="1"/>
    </xf>
    <xf numFmtId="170" fontId="3" fillId="0" borderId="0" xfId="0" applyNumberFormat="1" applyFont="1"/>
    <xf numFmtId="0" fontId="11" fillId="0" borderId="0" xfId="0" applyFont="1" applyAlignment="1">
      <alignment horizontal="left"/>
    </xf>
    <xf numFmtId="0" fontId="12" fillId="0" borderId="0" xfId="0" applyFont="1"/>
    <xf numFmtId="169" fontId="12" fillId="0" borderId="0" xfId="0" applyNumberFormat="1" applyFont="1"/>
    <xf numFmtId="38" fontId="3" fillId="0" borderId="0" xfId="0" applyNumberFormat="1" applyFont="1"/>
    <xf numFmtId="171" fontId="3" fillId="0" borderId="0" xfId="0" applyNumberFormat="1" applyFont="1"/>
    <xf numFmtId="172" fontId="3" fillId="0" borderId="0" xfId="0" applyNumberFormat="1" applyFont="1"/>
    <xf numFmtId="0" fontId="13" fillId="0" borderId="0" xfId="0" applyFont="1" applyAlignment="1">
      <alignment horizontal="right"/>
    </xf>
    <xf numFmtId="173" fontId="3" fillId="0" borderId="0" xfId="0" applyNumberFormat="1" applyFont="1"/>
    <xf numFmtId="174" fontId="3" fillId="0" borderId="0" xfId="0" applyNumberFormat="1" applyFont="1"/>
    <xf numFmtId="167" fontId="14" fillId="2" borderId="2" xfId="0" applyNumberFormat="1" applyFont="1" applyFill="1" applyBorder="1" applyAlignment="1">
      <alignment horizontal="left" wrapText="1"/>
    </xf>
    <xf numFmtId="167" fontId="14" fillId="2" borderId="2" xfId="0" applyNumberFormat="1" applyFont="1" applyFill="1" applyBorder="1" applyAlignment="1">
      <alignment horizontal="right" wrapText="1"/>
    </xf>
    <xf numFmtId="167" fontId="15" fillId="3" borderId="2" xfId="0" applyNumberFormat="1" applyFont="1" applyFill="1" applyBorder="1" applyAlignment="1">
      <alignment horizontal="left" wrapText="1"/>
    </xf>
    <xf numFmtId="166" fontId="3" fillId="4" borderId="3" xfId="0" applyNumberFormat="1" applyFont="1" applyFill="1" applyBorder="1" applyAlignment="1">
      <alignment horizontal="right" wrapText="1"/>
    </xf>
    <xf numFmtId="171" fontId="3" fillId="8" borderId="4" xfId="0" applyNumberFormat="1" applyFont="1" applyFill="1" applyBorder="1" applyAlignment="1">
      <alignment horizontal="right" wrapText="1"/>
    </xf>
    <xf numFmtId="172" fontId="3" fillId="9" borderId="5" xfId="0" applyNumberFormat="1" applyFont="1" applyFill="1" applyBorder="1" applyAlignment="1">
      <alignment horizontal="right" wrapText="1"/>
    </xf>
    <xf numFmtId="172" fontId="3" fillId="9" borderId="6" xfId="0" applyNumberFormat="1" applyFont="1" applyFill="1" applyBorder="1" applyAlignment="1">
      <alignment horizontal="right" wrapText="1"/>
    </xf>
    <xf numFmtId="166" fontId="6" fillId="10" borderId="0" xfId="0" applyNumberFormat="1" applyFont="1" applyFill="1"/>
    <xf numFmtId="169" fontId="3" fillId="0" borderId="0" xfId="0" applyNumberFormat="1" applyFont="1"/>
    <xf numFmtId="167" fontId="16" fillId="0" borderId="0" xfId="0" applyNumberFormat="1" applyFont="1"/>
    <xf numFmtId="0" fontId="17" fillId="0" borderId="0" xfId="0" applyFont="1"/>
    <xf numFmtId="0" fontId="18" fillId="0" borderId="0" xfId="0" applyFont="1" applyAlignment="1">
      <alignment horizontal="left"/>
    </xf>
    <xf numFmtId="0" fontId="3" fillId="0" borderId="0" xfId="0" applyFont="1" applyAlignment="1">
      <alignment wrapText="1"/>
    </xf>
    <xf numFmtId="0" fontId="6" fillId="11" borderId="0" xfId="0" applyFont="1" applyFill="1" applyAlignment="1">
      <alignment horizontal="left" wrapText="1"/>
    </xf>
    <xf numFmtId="169" fontId="6" fillId="11" borderId="0" xfId="0" applyNumberFormat="1" applyFont="1" applyFill="1" applyAlignment="1">
      <alignment horizontal="left" wrapText="1"/>
    </xf>
    <xf numFmtId="0" fontId="6" fillId="11" borderId="0" xfId="0" applyFont="1" applyFill="1" applyAlignment="1">
      <alignment wrapText="1"/>
    </xf>
    <xf numFmtId="0" fontId="6" fillId="11" borderId="0" xfId="0" applyFont="1" applyFill="1" applyAlignment="1">
      <alignment horizontal="right" wrapText="1"/>
    </xf>
    <xf numFmtId="0" fontId="3" fillId="0" borderId="7" xfId="0" applyFont="1" applyBorder="1" applyAlignment="1">
      <alignment horizontal="left"/>
    </xf>
    <xf numFmtId="169" fontId="3" fillId="0" borderId="7" xfId="0" applyNumberFormat="1" applyFont="1" applyBorder="1" applyAlignment="1">
      <alignment horizontal="left"/>
    </xf>
    <xf numFmtId="0" fontId="3" fillId="0" borderId="7" xfId="0" applyFont="1" applyBorder="1"/>
    <xf numFmtId="0" fontId="3" fillId="0" borderId="7" xfId="0" applyFont="1" applyBorder="1" applyAlignment="1">
      <alignment horizontal="right"/>
    </xf>
    <xf numFmtId="175" fontId="3" fillId="0" borderId="7" xfId="0" applyNumberFormat="1" applyFont="1" applyBorder="1" applyAlignment="1">
      <alignment horizontal="left"/>
    </xf>
    <xf numFmtId="0" fontId="19" fillId="0" borderId="7" xfId="0" applyFont="1" applyBorder="1" applyAlignment="1">
      <alignment horizontal="left"/>
    </xf>
    <xf numFmtId="3" fontId="3" fillId="0" borderId="7" xfId="0" applyNumberFormat="1" applyFont="1" applyBorder="1" applyAlignment="1">
      <alignment horizontal="right"/>
    </xf>
    <xf numFmtId="0" fontId="18" fillId="0" borderId="0" xfId="0" applyFont="1"/>
    <xf numFmtId="0" fontId="20" fillId="12" borderId="0" xfId="0" applyFont="1" applyFill="1" applyAlignment="1">
      <alignment horizontal="left" wrapText="1"/>
    </xf>
    <xf numFmtId="0" fontId="20" fillId="12" borderId="0" xfId="0" applyFont="1" applyFill="1" applyAlignment="1">
      <alignment wrapText="1"/>
    </xf>
    <xf numFmtId="0" fontId="20" fillId="13" borderId="0" xfId="0" applyFont="1" applyFill="1" applyAlignment="1">
      <alignment wrapText="1"/>
    </xf>
    <xf numFmtId="0" fontId="20" fillId="3" borderId="0" xfId="0" applyFont="1" applyFill="1" applyAlignment="1">
      <alignment horizontal="left" wrapText="1"/>
    </xf>
    <xf numFmtId="0" fontId="20" fillId="14" borderId="0" xfId="0" applyFont="1" applyFill="1" applyAlignment="1">
      <alignment horizontal="left" wrapText="1"/>
    </xf>
    <xf numFmtId="0" fontId="3" fillId="15" borderId="7" xfId="0" applyFont="1" applyFill="1" applyBorder="1" applyAlignment="1">
      <alignment horizontal="left"/>
    </xf>
    <xf numFmtId="0" fontId="3" fillId="11" borderId="7" xfId="0" applyFont="1" applyFill="1" applyBorder="1" applyAlignment="1">
      <alignment horizontal="left"/>
    </xf>
    <xf numFmtId="0" fontId="3" fillId="7" borderId="7" xfId="0" applyFont="1" applyFill="1" applyBorder="1" applyAlignment="1">
      <alignment horizontal="left"/>
    </xf>
    <xf numFmtId="0" fontId="21" fillId="15" borderId="7" xfId="0" applyFont="1" applyFill="1" applyBorder="1" applyAlignment="1">
      <alignment horizontal="left"/>
    </xf>
    <xf numFmtId="0" fontId="22" fillId="0" borderId="1" xfId="0" applyFont="1" applyBorder="1" applyAlignment="1"/>
    <xf numFmtId="175" fontId="23" fillId="4" borderId="0" xfId="0" applyNumberFormat="1" applyFont="1" applyFill="1" applyAlignment="1">
      <alignment horizontal="right" wrapText="1"/>
    </xf>
    <xf numFmtId="0" fontId="23" fillId="4" borderId="0" xfId="0" applyFont="1" applyFill="1" applyAlignment="1">
      <alignment wrapText="1"/>
    </xf>
    <xf numFmtId="0" fontId="23" fillId="4" borderId="0" xfId="0" applyFont="1" applyFill="1" applyAlignment="1">
      <alignment horizontal="right" wrapText="1"/>
    </xf>
    <xf numFmtId="167" fontId="23" fillId="4" borderId="0" xfId="0" applyNumberFormat="1" applyFont="1" applyFill="1" applyAlignment="1">
      <alignment horizontal="right" wrapText="1"/>
    </xf>
    <xf numFmtId="0" fontId="23" fillId="4" borderId="0" xfId="0" applyFont="1" applyFill="1" applyAlignment="1">
      <alignment horizontal="left" wrapText="1"/>
    </xf>
    <xf numFmtId="169" fontId="3" fillId="0" borderId="0" xfId="0" applyNumberFormat="1" applyFont="1"/>
    <xf numFmtId="167" fontId="3" fillId="0" borderId="0" xfId="0" applyNumberFormat="1" applyFont="1"/>
    <xf numFmtId="40" fontId="3" fillId="0" borderId="0" xfId="0" applyNumberFormat="1" applyFont="1"/>
    <xf numFmtId="4" fontId="3" fillId="0" borderId="0" xfId="0" applyNumberFormat="1" applyFont="1"/>
    <xf numFmtId="0" fontId="24" fillId="0" borderId="0" xfId="0" applyFont="1" applyAlignment="1"/>
    <xf numFmtId="14" fontId="2" fillId="0" borderId="0" xfId="0" applyNumberFormat="1" applyFont="1" applyAlignment="1">
      <alignment horizontal="right"/>
    </xf>
    <xf numFmtId="0" fontId="2" fillId="0" borderId="0" xfId="0" applyFont="1" applyAlignment="1"/>
    <xf numFmtId="0" fontId="2" fillId="0" borderId="0" xfId="0" applyFont="1" applyAlignment="1">
      <alignment horizontal="right"/>
    </xf>
    <xf numFmtId="176" fontId="25" fillId="16" borderId="0" xfId="0" applyNumberFormat="1" applyFont="1" applyFill="1" applyAlignment="1">
      <alignment horizontal="right"/>
    </xf>
    <xf numFmtId="176" fontId="26" fillId="16" borderId="0" xfId="0" applyNumberFormat="1" applyFont="1" applyFill="1" applyAlignment="1"/>
    <xf numFmtId="0" fontId="2" fillId="16" borderId="0" xfId="0" applyFont="1" applyFill="1" applyAlignment="1">
      <alignment horizontal="right"/>
    </xf>
    <xf numFmtId="0" fontId="27" fillId="16" borderId="0" xfId="0" applyFont="1" applyFill="1" applyAlignment="1">
      <alignment horizontal="right"/>
    </xf>
    <xf numFmtId="0" fontId="2" fillId="16" borderId="0" xfId="0" applyFont="1" applyFill="1" applyAlignment="1"/>
    <xf numFmtId="0" fontId="28" fillId="16" borderId="0" xfId="0" applyFont="1" applyFill="1" applyAlignment="1"/>
    <xf numFmtId="177" fontId="3" fillId="0" borderId="0" xfId="0" applyNumberFormat="1" applyFont="1"/>
    <xf numFmtId="4" fontId="2" fillId="8" borderId="0" xfId="0" applyNumberFormat="1" applyFont="1" applyFill="1" applyAlignment="1">
      <alignment horizontal="right"/>
    </xf>
    <xf numFmtId="4" fontId="2" fillId="8" borderId="0" xfId="0" applyNumberFormat="1" applyFont="1" applyFill="1" applyAlignment="1"/>
    <xf numFmtId="4" fontId="2" fillId="17" borderId="0" xfId="0" applyNumberFormat="1" applyFont="1" applyFill="1" applyAlignment="1"/>
    <xf numFmtId="4" fontId="2" fillId="8" borderId="0" xfId="0" applyNumberFormat="1" applyFont="1" applyFill="1" applyAlignment="1">
      <alignment horizontal="right"/>
    </xf>
    <xf numFmtId="0" fontId="10" fillId="0" borderId="0" xfId="0" applyFont="1" applyAlignment="1"/>
    <xf numFmtId="169" fontId="2" fillId="0" borderId="0" xfId="0" applyNumberFormat="1" applyFont="1" applyAlignment="1"/>
    <xf numFmtId="0" fontId="2" fillId="0" borderId="0" xfId="0" applyFont="1" applyAlignment="1">
      <alignment horizontal="left"/>
    </xf>
    <xf numFmtId="167" fontId="2" fillId="0" borderId="0" xfId="0" applyNumberFormat="1" applyFont="1" applyAlignment="1">
      <alignment horizontal="right"/>
    </xf>
    <xf numFmtId="169" fontId="2" fillId="0" borderId="0" xfId="0" applyNumberFormat="1" applyFont="1" applyAlignment="1">
      <alignment horizontal="right"/>
    </xf>
    <xf numFmtId="166" fontId="2" fillId="0" borderId="0" xfId="0" applyNumberFormat="1" applyFont="1" applyAlignment="1"/>
    <xf numFmtId="3" fontId="2" fillId="0" borderId="0" xfId="0" applyNumberFormat="1" applyFont="1" applyAlignment="1"/>
    <xf numFmtId="167" fontId="2" fillId="0" borderId="0" xfId="0" applyNumberFormat="1" applyFont="1" applyAlignment="1"/>
    <xf numFmtId="167" fontId="2" fillId="0" borderId="0" xfId="0" applyNumberFormat="1" applyFont="1" applyAlignment="1">
      <alignment horizontal="left"/>
    </xf>
    <xf numFmtId="178" fontId="2" fillId="0" borderId="0" xfId="0" applyNumberFormat="1" applyFont="1" applyAlignment="1"/>
    <xf numFmtId="178" fontId="2" fillId="0" borderId="0" xfId="0" applyNumberFormat="1" applyFont="1" applyAlignment="1">
      <alignment horizontal="right"/>
    </xf>
    <xf numFmtId="167" fontId="4" fillId="2" borderId="0" xfId="0" applyNumberFormat="1" applyFont="1" applyFill="1" applyAlignment="1">
      <alignment wrapText="1"/>
    </xf>
    <xf numFmtId="167" fontId="5" fillId="3" borderId="0" xfId="0" applyNumberFormat="1" applyFont="1" applyFill="1" applyAlignment="1">
      <alignment horizontal="left" wrapText="1"/>
    </xf>
    <xf numFmtId="167" fontId="5" fillId="3" borderId="0" xfId="0" applyNumberFormat="1" applyFont="1" applyFill="1" applyAlignment="1">
      <alignment wrapText="1"/>
    </xf>
    <xf numFmtId="167" fontId="2" fillId="16" borderId="0" xfId="0" applyNumberFormat="1" applyFont="1" applyFill="1" applyAlignment="1">
      <alignment horizontal="left" wrapText="1"/>
    </xf>
    <xf numFmtId="167" fontId="2" fillId="16" borderId="0" xfId="0" applyNumberFormat="1" applyFont="1" applyFill="1" applyAlignment="1">
      <alignment horizontal="right" wrapText="1"/>
    </xf>
    <xf numFmtId="166" fontId="2" fillId="16" borderId="0" xfId="0" applyNumberFormat="1" applyFont="1" applyFill="1" applyAlignment="1">
      <alignment horizontal="right" wrapText="1"/>
    </xf>
    <xf numFmtId="166" fontId="2" fillId="18" borderId="0" xfId="0" applyNumberFormat="1" applyFont="1" applyFill="1" applyAlignment="1">
      <alignment horizontal="right" wrapText="1"/>
    </xf>
    <xf numFmtId="164" fontId="2" fillId="19" borderId="0" xfId="0" applyNumberFormat="1" applyFont="1" applyFill="1" applyAlignment="1">
      <alignment horizontal="right" wrapText="1"/>
    </xf>
    <xf numFmtId="167" fontId="2" fillId="19" borderId="0" xfId="0" applyNumberFormat="1" applyFont="1" applyFill="1" applyAlignment="1">
      <alignment horizontal="right" wrapText="1"/>
    </xf>
    <xf numFmtId="0" fontId="2" fillId="8" borderId="0" xfId="0" applyFont="1" applyFill="1" applyAlignment="1">
      <alignment horizontal="right" wrapText="1"/>
    </xf>
    <xf numFmtId="167" fontId="2" fillId="10" borderId="0" xfId="0" applyNumberFormat="1" applyFont="1" applyFill="1" applyAlignment="1">
      <alignment horizontal="right" wrapText="1"/>
    </xf>
    <xf numFmtId="3" fontId="5" fillId="3" borderId="0" xfId="0" applyNumberFormat="1" applyFont="1" applyFill="1" applyAlignment="1">
      <alignment horizontal="right" wrapText="1"/>
    </xf>
    <xf numFmtId="165" fontId="2" fillId="0" borderId="0" xfId="0" applyNumberFormat="1" applyFont="1" applyAlignment="1">
      <alignment horizontal="right" wrapText="1"/>
    </xf>
    <xf numFmtId="167" fontId="2" fillId="6" borderId="0" xfId="0" applyNumberFormat="1" applyFont="1" applyFill="1" applyAlignment="1"/>
    <xf numFmtId="3" fontId="2" fillId="8" borderId="0" xfId="0" applyNumberFormat="1" applyFont="1" applyFill="1" applyAlignment="1"/>
    <xf numFmtId="3" fontId="2" fillId="0" borderId="0" xfId="0" applyNumberFormat="1" applyFont="1" applyAlignment="1">
      <alignment horizontal="right"/>
    </xf>
    <xf numFmtId="169" fontId="2" fillId="0" borderId="0" xfId="0" applyNumberFormat="1" applyFont="1" applyAlignment="1">
      <alignment horizontal="left"/>
    </xf>
    <xf numFmtId="179" fontId="2" fillId="0" borderId="0" xfId="0" applyNumberFormat="1" applyFont="1" applyAlignment="1">
      <alignment horizontal="right"/>
    </xf>
    <xf numFmtId="166" fontId="2" fillId="0" borderId="0" xfId="0" applyNumberFormat="1" applyFont="1" applyAlignment="1">
      <alignment horizontal="right"/>
    </xf>
    <xf numFmtId="167" fontId="2" fillId="0" borderId="0" xfId="0" applyNumberFormat="1" applyFont="1" applyAlignment="1">
      <alignment horizontal="right"/>
    </xf>
    <xf numFmtId="172" fontId="2" fillId="0" borderId="0" xfId="0" applyNumberFormat="1" applyFont="1" applyAlignment="1"/>
    <xf numFmtId="172" fontId="2" fillId="0" borderId="0" xfId="0" applyNumberFormat="1" applyFont="1" applyAlignment="1">
      <alignment horizontal="right"/>
    </xf>
    <xf numFmtId="167" fontId="2" fillId="6" borderId="0" xfId="0" applyNumberFormat="1" applyFont="1" applyFill="1" applyAlignment="1">
      <alignment horizontal="right"/>
    </xf>
    <xf numFmtId="167" fontId="2" fillId="0" borderId="0" xfId="0" applyNumberFormat="1" applyFont="1" applyAlignment="1">
      <alignment horizontal="right"/>
    </xf>
    <xf numFmtId="164" fontId="29" fillId="0" borderId="0" xfId="0" applyNumberFormat="1" applyFont="1" applyAlignment="1"/>
    <xf numFmtId="167" fontId="9" fillId="0" borderId="0" xfId="0" applyNumberFormat="1" applyFont="1" applyAlignment="1">
      <alignment horizontal="right"/>
    </xf>
    <xf numFmtId="167" fontId="9" fillId="0" borderId="0" xfId="0" applyNumberFormat="1" applyFont="1" applyAlignment="1">
      <alignment horizontal="right"/>
    </xf>
    <xf numFmtId="167" fontId="9" fillId="6" borderId="0" xfId="0" applyNumberFormat="1" applyFont="1" applyFill="1" applyAlignment="1">
      <alignment horizontal="right"/>
    </xf>
    <xf numFmtId="165" fontId="2" fillId="0" borderId="0" xfId="0" applyNumberFormat="1" applyFont="1" applyAlignment="1">
      <alignment horizontal="right"/>
    </xf>
    <xf numFmtId="164" fontId="30" fillId="0" borderId="0" xfId="0" applyNumberFormat="1" applyFont="1" applyAlignment="1"/>
    <xf numFmtId="0" fontId="31" fillId="0" borderId="0" xfId="0" applyFont="1" applyAlignment="1"/>
    <xf numFmtId="165" fontId="9" fillId="0" borderId="0" xfId="0" applyNumberFormat="1" applyFont="1" applyAlignment="1">
      <alignment horizontal="right"/>
    </xf>
    <xf numFmtId="0" fontId="32" fillId="0" borderId="0" xfId="0" applyFont="1" applyAlignment="1"/>
    <xf numFmtId="169" fontId="3" fillId="0" borderId="0" xfId="0" applyNumberFormat="1" applyFont="1" applyAlignment="1">
      <alignment horizontal="left"/>
    </xf>
    <xf numFmtId="179" fontId="3" fillId="0" borderId="0" xfId="0" applyNumberFormat="1" applyFont="1"/>
    <xf numFmtId="164" fontId="33" fillId="0" borderId="0" xfId="0" applyNumberFormat="1" applyFont="1"/>
    <xf numFmtId="0" fontId="3" fillId="0" borderId="0" xfId="0" applyFont="1" applyAlignment="1"/>
    <xf numFmtId="0" fontId="3" fillId="0" borderId="0" xfId="0" applyFont="1" applyAlignment="1">
      <alignment horizontal="left"/>
    </xf>
    <xf numFmtId="0" fontId="0" fillId="0" borderId="0" xfId="0" applyFont="1" applyAlignment="1"/>
  </cellXfs>
  <cellStyles count="1">
    <cellStyle name="Normal" xfId="0" builtinId="0"/>
  </cellStyles>
  <dxfs count="3">
    <dxf>
      <fill>
        <patternFill patternType="solid">
          <fgColor rgb="FFB7E1CD"/>
          <bgColor rgb="FFB7E1CD"/>
        </patternFill>
      </fill>
    </dxf>
    <dxf>
      <fill>
        <patternFill patternType="solid">
          <fgColor rgb="FFF4CCCC"/>
          <bgColor rgb="FFF4CCCC"/>
        </patternFill>
      </fill>
    </dxf>
    <dxf>
      <font>
        <b/>
      </font>
      <fill>
        <patternFill patternType="solid">
          <fgColor rgb="FFB6D7A8"/>
          <bgColor rgb="FFB6D7A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S2MIyFB1-1iDMDfXsVNQjGv_J2pj5uGVEtQBWF2IfTg/edit"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9988.hk/" TargetMode="External"/><Relationship Id="rId671" Type="http://schemas.openxmlformats.org/officeDocument/2006/relationships/hyperlink" Target="http://9999.hk/" TargetMode="External"/><Relationship Id="rId21" Type="http://schemas.openxmlformats.org/officeDocument/2006/relationships/hyperlink" Target="https://finance.yahoo.com/quote/FB/?p=FB" TargetMode="External"/><Relationship Id="rId324" Type="http://schemas.openxmlformats.org/officeDocument/2006/relationships/hyperlink" Target="http://9988.hk/" TargetMode="External"/><Relationship Id="rId531" Type="http://schemas.openxmlformats.org/officeDocument/2006/relationships/hyperlink" Target="http://3690.hk/" TargetMode="External"/><Relationship Id="rId629" Type="http://schemas.openxmlformats.org/officeDocument/2006/relationships/hyperlink" Target="https://finance.yahoo.com/quote/SOFI/?p=SOFI" TargetMode="External"/><Relationship Id="rId170" Type="http://schemas.openxmlformats.org/officeDocument/2006/relationships/hyperlink" Target="https://finance.yahoo.com/quote/PFE/?p=PFE" TargetMode="External"/><Relationship Id="rId268" Type="http://schemas.openxmlformats.org/officeDocument/2006/relationships/hyperlink" Target="http://0700.hk/" TargetMode="External"/><Relationship Id="rId475" Type="http://schemas.openxmlformats.org/officeDocument/2006/relationships/hyperlink" Target="http://603967.ss/" TargetMode="External"/><Relationship Id="rId32" Type="http://schemas.openxmlformats.org/officeDocument/2006/relationships/hyperlink" Target="https://finance.yahoo.com/quote/BA/?p=BA" TargetMode="External"/><Relationship Id="rId128" Type="http://schemas.openxmlformats.org/officeDocument/2006/relationships/hyperlink" Target="https://finance.yahoo.com/quote/9988.HK/?p=9988.HK" TargetMode="External"/><Relationship Id="rId335" Type="http://schemas.openxmlformats.org/officeDocument/2006/relationships/hyperlink" Target="https://finance.yahoo.com/quote/0151.HK/?p=0151.HK" TargetMode="External"/><Relationship Id="rId542" Type="http://schemas.openxmlformats.org/officeDocument/2006/relationships/hyperlink" Target="http://0700.hk/" TargetMode="External"/><Relationship Id="rId181" Type="http://schemas.openxmlformats.org/officeDocument/2006/relationships/hyperlink" Target="https://finance.yahoo.com/quote/NKE/?p=NKE" TargetMode="External"/><Relationship Id="rId402" Type="http://schemas.openxmlformats.org/officeDocument/2006/relationships/hyperlink" Target="https://finance.yahoo.com/quote/NET/?p=NET" TargetMode="External"/><Relationship Id="rId279" Type="http://schemas.openxmlformats.org/officeDocument/2006/relationships/hyperlink" Target="https://finance.yahoo.com/quote/TSLA/?p=TSLA" TargetMode="External"/><Relationship Id="rId486" Type="http://schemas.openxmlformats.org/officeDocument/2006/relationships/hyperlink" Target="https://finance.yahoo.com/quote/603963.SS/?p=603963.SS" TargetMode="External"/><Relationship Id="rId43" Type="http://schemas.openxmlformats.org/officeDocument/2006/relationships/hyperlink" Target="https://finance.yahoo.com/quote/XLK/?p=XLK" TargetMode="External"/><Relationship Id="rId139" Type="http://schemas.openxmlformats.org/officeDocument/2006/relationships/hyperlink" Target="http://6680.hk/" TargetMode="External"/><Relationship Id="rId346" Type="http://schemas.openxmlformats.org/officeDocument/2006/relationships/hyperlink" Target="http://0700.hk/" TargetMode="External"/><Relationship Id="rId553" Type="http://schemas.openxmlformats.org/officeDocument/2006/relationships/hyperlink" Target="https://finance.yahoo.com/quote/9988.HK/?p=9988.HK" TargetMode="External"/><Relationship Id="rId192" Type="http://schemas.openxmlformats.org/officeDocument/2006/relationships/hyperlink" Target="https://finance.yahoo.com/quote/CL=F/?p=CL=F" TargetMode="External"/><Relationship Id="rId206" Type="http://schemas.openxmlformats.org/officeDocument/2006/relationships/hyperlink" Target="https://finance.yahoo.com/quote/GC=F/?p=GC=F" TargetMode="External"/><Relationship Id="rId413" Type="http://schemas.openxmlformats.org/officeDocument/2006/relationships/hyperlink" Target="https://finance.yahoo.com/quote/1398.HK/?p=1398.HK" TargetMode="External"/><Relationship Id="rId497" Type="http://schemas.openxmlformats.org/officeDocument/2006/relationships/hyperlink" Target="https://finance.yahoo.com/quote/0700.HK/?p=0700.HK" TargetMode="External"/><Relationship Id="rId620" Type="http://schemas.openxmlformats.org/officeDocument/2006/relationships/hyperlink" Target="https://finance.yahoo.com/quote/SOFI/?p=SOFI" TargetMode="External"/><Relationship Id="rId357" Type="http://schemas.openxmlformats.org/officeDocument/2006/relationships/hyperlink" Target="https://finance.yahoo.com/quote/SOFI/?p=SOFI" TargetMode="External"/><Relationship Id="rId54" Type="http://schemas.openxmlformats.org/officeDocument/2006/relationships/hyperlink" Target="https://finance.yahoo.com/quote/XLY/?p=XLY" TargetMode="External"/><Relationship Id="rId217" Type="http://schemas.openxmlformats.org/officeDocument/2006/relationships/hyperlink" Target="https://finance.yahoo.com/quote/NTDOY/?p=NTDOY" TargetMode="External"/><Relationship Id="rId564" Type="http://schemas.openxmlformats.org/officeDocument/2006/relationships/hyperlink" Target="http://000950.sz/" TargetMode="External"/><Relationship Id="rId424" Type="http://schemas.openxmlformats.org/officeDocument/2006/relationships/hyperlink" Target="https://finance.yahoo.com/quote/0700.HK/?p=0700.HK" TargetMode="External"/><Relationship Id="rId631" Type="http://schemas.openxmlformats.org/officeDocument/2006/relationships/hyperlink" Target="https://finance.yahoo.com/quote/SBRCY/?p=SBRCY" TargetMode="External"/><Relationship Id="rId270" Type="http://schemas.openxmlformats.org/officeDocument/2006/relationships/hyperlink" Target="http://0700.hk/" TargetMode="External"/><Relationship Id="rId65" Type="http://schemas.openxmlformats.org/officeDocument/2006/relationships/hyperlink" Target="https://finance.yahoo.com/quote/AAPL/?p=AAPL" TargetMode="External"/><Relationship Id="rId130" Type="http://schemas.openxmlformats.org/officeDocument/2006/relationships/hyperlink" Target="https://finance.yahoo.com/quote/1024.HK/?p=1024.HK" TargetMode="External"/><Relationship Id="rId368" Type="http://schemas.openxmlformats.org/officeDocument/2006/relationships/hyperlink" Target="https://finance.yahoo.com/quote/1810.HK/?p=1810.HK" TargetMode="External"/><Relationship Id="rId575" Type="http://schemas.openxmlformats.org/officeDocument/2006/relationships/hyperlink" Target="https://finance.yahoo.com/quote/9988.HK/?p=9988.HK" TargetMode="External"/><Relationship Id="rId228" Type="http://schemas.openxmlformats.org/officeDocument/2006/relationships/hyperlink" Target="https://finance.yahoo.com/quote/AEP/?p=AEP" TargetMode="External"/><Relationship Id="rId435" Type="http://schemas.openxmlformats.org/officeDocument/2006/relationships/hyperlink" Target="https://finance.yahoo.com/quote/GBTC/?p=GBTC" TargetMode="External"/><Relationship Id="rId642" Type="http://schemas.openxmlformats.org/officeDocument/2006/relationships/hyperlink" Target="http://9988.hk/" TargetMode="External"/><Relationship Id="rId281" Type="http://schemas.openxmlformats.org/officeDocument/2006/relationships/hyperlink" Target="https://finance.yahoo.com/quote/0883.hk/?p=0883.hk" TargetMode="External"/><Relationship Id="rId502" Type="http://schemas.openxmlformats.org/officeDocument/2006/relationships/hyperlink" Target="https://finance.yahoo.com/quote/MSFT/?p=MSFT" TargetMode="External"/><Relationship Id="rId76" Type="http://schemas.openxmlformats.org/officeDocument/2006/relationships/hyperlink" Target="https://finance.yahoo.com/quote/0346.hk/?p=0346.hk" TargetMode="External"/><Relationship Id="rId141" Type="http://schemas.openxmlformats.org/officeDocument/2006/relationships/hyperlink" Target="http://9988.hk/" TargetMode="External"/><Relationship Id="rId379" Type="http://schemas.openxmlformats.org/officeDocument/2006/relationships/hyperlink" Target="http://3339.hk/" TargetMode="External"/><Relationship Id="rId586" Type="http://schemas.openxmlformats.org/officeDocument/2006/relationships/hyperlink" Target="http://0700.hk/" TargetMode="External"/><Relationship Id="rId7" Type="http://schemas.openxmlformats.org/officeDocument/2006/relationships/hyperlink" Target="https://finance.yahoo.com/quote/AAPL/?p=AAPL" TargetMode="External"/><Relationship Id="rId239" Type="http://schemas.openxmlformats.org/officeDocument/2006/relationships/hyperlink" Target="https://finance.yahoo.com/quote/DIS/?p=DIS" TargetMode="External"/><Relationship Id="rId446" Type="http://schemas.openxmlformats.org/officeDocument/2006/relationships/hyperlink" Target="https://finance.yahoo.com/quote/aapl/?p=aapl" TargetMode="External"/><Relationship Id="rId653" Type="http://schemas.openxmlformats.org/officeDocument/2006/relationships/hyperlink" Target="https://finance.yahoo.com/quote/ASML/?p=ASML" TargetMode="External"/><Relationship Id="rId292" Type="http://schemas.openxmlformats.org/officeDocument/2006/relationships/hyperlink" Target="http://9988.hk/" TargetMode="External"/><Relationship Id="rId306" Type="http://schemas.openxmlformats.org/officeDocument/2006/relationships/hyperlink" Target="https://finance.yahoo.com/quote/ARKK/?p=ARKK" TargetMode="External"/><Relationship Id="rId87" Type="http://schemas.openxmlformats.org/officeDocument/2006/relationships/hyperlink" Target="https://finance.yahoo.com/quote/NUSI/?p=NUSI" TargetMode="External"/><Relationship Id="rId513" Type="http://schemas.openxmlformats.org/officeDocument/2006/relationships/hyperlink" Target="https://finance.yahoo.com/quote/NET/?p=NET" TargetMode="External"/><Relationship Id="rId597" Type="http://schemas.openxmlformats.org/officeDocument/2006/relationships/hyperlink" Target="http://3690.hk/" TargetMode="External"/><Relationship Id="rId152" Type="http://schemas.openxmlformats.org/officeDocument/2006/relationships/hyperlink" Target="https://finance.yahoo.com/quote/1024.HK/?p=1024.HK" TargetMode="External"/><Relationship Id="rId457" Type="http://schemas.openxmlformats.org/officeDocument/2006/relationships/hyperlink" Target="http://300922.sz/" TargetMode="External"/><Relationship Id="rId664" Type="http://schemas.openxmlformats.org/officeDocument/2006/relationships/hyperlink" Target="http://9988.hk/" TargetMode="External"/><Relationship Id="rId14" Type="http://schemas.openxmlformats.org/officeDocument/2006/relationships/hyperlink" Target="http://0700.hk/" TargetMode="External"/><Relationship Id="rId317" Type="http://schemas.openxmlformats.org/officeDocument/2006/relationships/hyperlink" Target="https://finance.yahoo.com/quote/SARK/?p=SARK" TargetMode="External"/><Relationship Id="rId524" Type="http://schemas.openxmlformats.org/officeDocument/2006/relationships/hyperlink" Target="https://finance.yahoo.com/quote/IXHL/?p=IXHL" TargetMode="External"/><Relationship Id="rId98" Type="http://schemas.openxmlformats.org/officeDocument/2006/relationships/hyperlink" Target="https://finance.yahoo.com/quote/GOLD/?p=GOLD" TargetMode="External"/><Relationship Id="rId163" Type="http://schemas.openxmlformats.org/officeDocument/2006/relationships/hyperlink" Target="https://finance.yahoo.com/quote/1810.HK/?p=1810.HK" TargetMode="External"/><Relationship Id="rId370" Type="http://schemas.openxmlformats.org/officeDocument/2006/relationships/hyperlink" Target="https://finance.yahoo.com/quote/2333.HK/?p=2333.HK" TargetMode="External"/><Relationship Id="rId230" Type="http://schemas.openxmlformats.org/officeDocument/2006/relationships/hyperlink" Target="https://finance.yahoo.com/quote/1208.HK/?p=1208.HK" TargetMode="External"/><Relationship Id="rId468" Type="http://schemas.openxmlformats.org/officeDocument/2006/relationships/hyperlink" Target="https://finance.yahoo.com/quote/300922.SZ/?p=300922.SZ" TargetMode="External"/><Relationship Id="rId675" Type="http://schemas.openxmlformats.org/officeDocument/2006/relationships/hyperlink" Target="https://finance.yahoo.com/quote/LCID/?p=LCID" TargetMode="External"/><Relationship Id="rId25" Type="http://schemas.openxmlformats.org/officeDocument/2006/relationships/hyperlink" Target="https://finance.yahoo.com/quote/MSFT/?p=MSFT" TargetMode="External"/><Relationship Id="rId328" Type="http://schemas.openxmlformats.org/officeDocument/2006/relationships/hyperlink" Target="https://finance.yahoo.com/quote/AAPL/?p=AAPL" TargetMode="External"/><Relationship Id="rId535" Type="http://schemas.openxmlformats.org/officeDocument/2006/relationships/hyperlink" Target="https://finance.yahoo.com/quote/0700.HK/?p=0700.HK" TargetMode="External"/><Relationship Id="rId174" Type="http://schemas.openxmlformats.org/officeDocument/2006/relationships/hyperlink" Target="https://finance.yahoo.com/quote/603939.SS/?p=603939.SS" TargetMode="External"/><Relationship Id="rId381" Type="http://schemas.openxmlformats.org/officeDocument/2006/relationships/hyperlink" Target="http://0175.hk/" TargetMode="External"/><Relationship Id="rId602" Type="http://schemas.openxmlformats.org/officeDocument/2006/relationships/hyperlink" Target="https://finance.yahoo.com/quote/9698.HK/?p=9698.HK" TargetMode="External"/><Relationship Id="rId241" Type="http://schemas.openxmlformats.org/officeDocument/2006/relationships/hyperlink" Target="https://finance.yahoo.com/quote/TSLA/?p=TSLA" TargetMode="External"/><Relationship Id="rId479" Type="http://schemas.openxmlformats.org/officeDocument/2006/relationships/hyperlink" Target="http://603967.ss/" TargetMode="External"/><Relationship Id="rId36" Type="http://schemas.openxmlformats.org/officeDocument/2006/relationships/hyperlink" Target="https://finance.yahoo.com/quote/GOOG/?p=GOOG" TargetMode="External"/><Relationship Id="rId339" Type="http://schemas.openxmlformats.org/officeDocument/2006/relationships/hyperlink" Target="http://1898.hk/" TargetMode="External"/><Relationship Id="rId546" Type="http://schemas.openxmlformats.org/officeDocument/2006/relationships/hyperlink" Target="http://0700.hk/" TargetMode="External"/><Relationship Id="rId101" Type="http://schemas.openxmlformats.org/officeDocument/2006/relationships/hyperlink" Target="https://finance.yahoo.com/quote/ANPDY/?p=ANPDY" TargetMode="External"/><Relationship Id="rId185" Type="http://schemas.openxmlformats.org/officeDocument/2006/relationships/hyperlink" Target="http://600519.ss/" TargetMode="External"/><Relationship Id="rId406" Type="http://schemas.openxmlformats.org/officeDocument/2006/relationships/hyperlink" Target="https://finance.yahoo.com/quote/AAPL/?p=AAPL" TargetMode="External"/><Relationship Id="rId392" Type="http://schemas.openxmlformats.org/officeDocument/2006/relationships/hyperlink" Target="https://finance.yahoo.com/quote/AMAT/?p=AMAT" TargetMode="External"/><Relationship Id="rId613" Type="http://schemas.openxmlformats.org/officeDocument/2006/relationships/hyperlink" Target="https://finance.yahoo.com/quote/6969.HK/?p=6969.HK" TargetMode="External"/><Relationship Id="rId252" Type="http://schemas.openxmlformats.org/officeDocument/2006/relationships/hyperlink" Target="https://finance.yahoo.com/quote/2020.HK/?p=2020.HK" TargetMode="External"/><Relationship Id="rId47" Type="http://schemas.openxmlformats.org/officeDocument/2006/relationships/hyperlink" Target="https://finance.yahoo.com/quote/XLF/?p=XLF" TargetMode="External"/><Relationship Id="rId112" Type="http://schemas.openxmlformats.org/officeDocument/2006/relationships/hyperlink" Target="https://finance.yahoo.com/quote/9626.HK/?p=9626.HK" TargetMode="External"/><Relationship Id="rId557" Type="http://schemas.openxmlformats.org/officeDocument/2006/relationships/hyperlink" Target="https://finance.yahoo.com/quote/6078.HK/?p=6078.HK" TargetMode="External"/><Relationship Id="rId196" Type="http://schemas.openxmlformats.org/officeDocument/2006/relationships/hyperlink" Target="http://0070.hk/" TargetMode="External"/><Relationship Id="rId417" Type="http://schemas.openxmlformats.org/officeDocument/2006/relationships/hyperlink" Target="https://finance.yahoo.com/quote/600986.ss/?p=600986.ss" TargetMode="External"/><Relationship Id="rId624" Type="http://schemas.openxmlformats.org/officeDocument/2006/relationships/hyperlink" Target="http://6969.hk/" TargetMode="External"/><Relationship Id="rId263" Type="http://schemas.openxmlformats.org/officeDocument/2006/relationships/hyperlink" Target="http://2222.sr/" TargetMode="External"/><Relationship Id="rId470" Type="http://schemas.openxmlformats.org/officeDocument/2006/relationships/hyperlink" Target="https://finance.yahoo.com/quote/300922.SZ/?p=300922.SZ" TargetMode="External"/><Relationship Id="rId58" Type="http://schemas.openxmlformats.org/officeDocument/2006/relationships/hyperlink" Target="https://finance.yahoo.com/quote/GOLD/?p=GOLD" TargetMode="External"/><Relationship Id="rId123" Type="http://schemas.openxmlformats.org/officeDocument/2006/relationships/hyperlink" Target="http://1024.hk/" TargetMode="External"/><Relationship Id="rId330" Type="http://schemas.openxmlformats.org/officeDocument/2006/relationships/hyperlink" Target="http://0001.hk/" TargetMode="External"/><Relationship Id="rId568" Type="http://schemas.openxmlformats.org/officeDocument/2006/relationships/hyperlink" Target="http://001896.sz/" TargetMode="External"/><Relationship Id="rId428" Type="http://schemas.openxmlformats.org/officeDocument/2006/relationships/hyperlink" Target="https://finance.yahoo.com/quote/0700.HK/?p=0700.HK" TargetMode="External"/><Relationship Id="rId635" Type="http://schemas.openxmlformats.org/officeDocument/2006/relationships/hyperlink" Target="https://finance.yahoo.com/quote/SOXL/?p=SOXL" TargetMode="External"/><Relationship Id="rId274" Type="http://schemas.openxmlformats.org/officeDocument/2006/relationships/hyperlink" Target="https://finance.yahoo.com/quote/0883.HK/?p=0883.HK" TargetMode="External"/><Relationship Id="rId481" Type="http://schemas.openxmlformats.org/officeDocument/2006/relationships/hyperlink" Target="http://603963.ss/" TargetMode="External"/><Relationship Id="rId69" Type="http://schemas.openxmlformats.org/officeDocument/2006/relationships/hyperlink" Target="https://finance.yahoo.com/quote/ATVI/?p=ATVI" TargetMode="External"/><Relationship Id="rId134" Type="http://schemas.openxmlformats.org/officeDocument/2006/relationships/hyperlink" Target="https://finance.yahoo.com/quote/9988.Hk/?p=9988.Hk" TargetMode="External"/><Relationship Id="rId579" Type="http://schemas.openxmlformats.org/officeDocument/2006/relationships/hyperlink" Target="https://finance.yahoo.com/quote/2800.HK/?p=2800.HK" TargetMode="External"/><Relationship Id="rId341" Type="http://schemas.openxmlformats.org/officeDocument/2006/relationships/hyperlink" Target="http://9988.hk/" TargetMode="External"/><Relationship Id="rId439" Type="http://schemas.openxmlformats.org/officeDocument/2006/relationships/hyperlink" Target="https://finance.yahoo.com/quote/MSFT/?p=MSFT" TargetMode="External"/><Relationship Id="rId646" Type="http://schemas.openxmlformats.org/officeDocument/2006/relationships/hyperlink" Target="http://3690.hk/" TargetMode="External"/><Relationship Id="rId201" Type="http://schemas.openxmlformats.org/officeDocument/2006/relationships/hyperlink" Target="http://0700.hk/" TargetMode="External"/><Relationship Id="rId285" Type="http://schemas.openxmlformats.org/officeDocument/2006/relationships/hyperlink" Target="https://finance.yahoo.com/quote/BTC-USD/?p=BTC-USD" TargetMode="External"/><Relationship Id="rId506" Type="http://schemas.openxmlformats.org/officeDocument/2006/relationships/hyperlink" Target="https://finance.yahoo.com/quote/MSFT/?p=MSFT" TargetMode="External"/><Relationship Id="rId38" Type="http://schemas.openxmlformats.org/officeDocument/2006/relationships/hyperlink" Target="https://finance.yahoo.com/quote/OXY/?p=OXY" TargetMode="External"/><Relationship Id="rId103" Type="http://schemas.openxmlformats.org/officeDocument/2006/relationships/hyperlink" Target="http://1109.hk/" TargetMode="External"/><Relationship Id="rId310" Type="http://schemas.openxmlformats.org/officeDocument/2006/relationships/hyperlink" Target="http://9988.hk/" TargetMode="External"/><Relationship Id="rId492" Type="http://schemas.openxmlformats.org/officeDocument/2006/relationships/hyperlink" Target="https://finance.yahoo.com/quote/GC=F/?p=GC=F" TargetMode="External"/><Relationship Id="rId548" Type="http://schemas.openxmlformats.org/officeDocument/2006/relationships/hyperlink" Target="http://3690.hk/" TargetMode="External"/><Relationship Id="rId91" Type="http://schemas.openxmlformats.org/officeDocument/2006/relationships/hyperlink" Target="https://finance.yahoo.com/quote/TME/?p=TME" TargetMode="External"/><Relationship Id="rId145" Type="http://schemas.openxmlformats.org/officeDocument/2006/relationships/hyperlink" Target="http://1024.hk/" TargetMode="External"/><Relationship Id="rId187" Type="http://schemas.openxmlformats.org/officeDocument/2006/relationships/hyperlink" Target="http://0700.hk/" TargetMode="External"/><Relationship Id="rId352" Type="http://schemas.openxmlformats.org/officeDocument/2006/relationships/hyperlink" Target="http://3339.hk/" TargetMode="External"/><Relationship Id="rId394" Type="http://schemas.openxmlformats.org/officeDocument/2006/relationships/hyperlink" Target="https://finance.yahoo.com/quote/CL=F/?p=CL=F" TargetMode="External"/><Relationship Id="rId408" Type="http://schemas.openxmlformats.org/officeDocument/2006/relationships/hyperlink" Target="https://finance.yahoo.com/quote/BRK-B/?p=BRK-B" TargetMode="External"/><Relationship Id="rId615" Type="http://schemas.openxmlformats.org/officeDocument/2006/relationships/hyperlink" Target="https://finance.yahoo.com/quote/SOXL/?p=SOXL" TargetMode="External"/><Relationship Id="rId212" Type="http://schemas.openxmlformats.org/officeDocument/2006/relationships/hyperlink" Target="http://0700.hk/" TargetMode="External"/><Relationship Id="rId254" Type="http://schemas.openxmlformats.org/officeDocument/2006/relationships/hyperlink" Target="https://finance.yahoo.com/quote/AAPL/?p=AAPL" TargetMode="External"/><Relationship Id="rId657" Type="http://schemas.openxmlformats.org/officeDocument/2006/relationships/hyperlink" Target="https://finance.yahoo.com/quote/0968.HK/?p=0968.HK" TargetMode="External"/><Relationship Id="rId49" Type="http://schemas.openxmlformats.org/officeDocument/2006/relationships/hyperlink" Target="https://finance.yahoo.com/quote/XLK/?p=XLK" TargetMode="External"/><Relationship Id="rId114" Type="http://schemas.openxmlformats.org/officeDocument/2006/relationships/hyperlink" Target="https://finance.yahoo.com/quote/9626.HK/?p=9626.HK" TargetMode="External"/><Relationship Id="rId296" Type="http://schemas.openxmlformats.org/officeDocument/2006/relationships/hyperlink" Target="https://finance.yahoo.com/quote/BRK-B/?p=BRK-B" TargetMode="External"/><Relationship Id="rId461" Type="http://schemas.openxmlformats.org/officeDocument/2006/relationships/hyperlink" Target="http://300945.sz/" TargetMode="External"/><Relationship Id="rId517" Type="http://schemas.openxmlformats.org/officeDocument/2006/relationships/hyperlink" Target="https://finance.yahoo.com/quote/300157.SZ/?p=300157.SZ" TargetMode="External"/><Relationship Id="rId559" Type="http://schemas.openxmlformats.org/officeDocument/2006/relationships/hyperlink" Target="http://000950.sz/" TargetMode="External"/><Relationship Id="rId60" Type="http://schemas.openxmlformats.org/officeDocument/2006/relationships/hyperlink" Target="https://finance.yahoo.com/quote/TSLA/?p=TSLA" TargetMode="External"/><Relationship Id="rId156" Type="http://schemas.openxmlformats.org/officeDocument/2006/relationships/hyperlink" Target="https://finance.yahoo.com/quote/600519.SS/?p=600519.SS" TargetMode="External"/><Relationship Id="rId198" Type="http://schemas.openxmlformats.org/officeDocument/2006/relationships/hyperlink" Target="https://finance.yahoo.com/quote/BABA/?p=BABA" TargetMode="External"/><Relationship Id="rId321" Type="http://schemas.openxmlformats.org/officeDocument/2006/relationships/hyperlink" Target="https://finance.yahoo.com/quote/0700.HK/?p=0700.HK" TargetMode="External"/><Relationship Id="rId363" Type="http://schemas.openxmlformats.org/officeDocument/2006/relationships/hyperlink" Target="http://2318.hk/" TargetMode="External"/><Relationship Id="rId419" Type="http://schemas.openxmlformats.org/officeDocument/2006/relationships/hyperlink" Target="https://finance.yahoo.com/quote/002230.SZ/?p=002230.SZ" TargetMode="External"/><Relationship Id="rId570" Type="http://schemas.openxmlformats.org/officeDocument/2006/relationships/hyperlink" Target="http://0700.hk/" TargetMode="External"/><Relationship Id="rId626" Type="http://schemas.openxmlformats.org/officeDocument/2006/relationships/hyperlink" Target="http://9698.hk/" TargetMode="External"/><Relationship Id="rId223" Type="http://schemas.openxmlformats.org/officeDocument/2006/relationships/hyperlink" Target="https://finance.yahoo.com/quote/GOLD/?p=GOLD" TargetMode="External"/><Relationship Id="rId430" Type="http://schemas.openxmlformats.org/officeDocument/2006/relationships/hyperlink" Target="https://finance.yahoo.com/quote/0700.HK/?p=0700.HK" TargetMode="External"/><Relationship Id="rId668" Type="http://schemas.openxmlformats.org/officeDocument/2006/relationships/hyperlink" Target="https://finance.yahoo.com/quote/0909.HK/?p=0909.HK" TargetMode="External"/><Relationship Id="rId18" Type="http://schemas.openxmlformats.org/officeDocument/2006/relationships/hyperlink" Target="https://finance.yahoo.com/quote/CL=F/?p=CL=F" TargetMode="External"/><Relationship Id="rId265" Type="http://schemas.openxmlformats.org/officeDocument/2006/relationships/hyperlink" Target="http://2222.sr/" TargetMode="External"/><Relationship Id="rId472" Type="http://schemas.openxmlformats.org/officeDocument/2006/relationships/hyperlink" Target="https://finance.yahoo.com/quote/300945.SZ/?p=300945.SZ" TargetMode="External"/><Relationship Id="rId528" Type="http://schemas.openxmlformats.org/officeDocument/2006/relationships/hyperlink" Target="https://finance.yahoo.com/quote/JD/?p=JD" TargetMode="External"/><Relationship Id="rId125" Type="http://schemas.openxmlformats.org/officeDocument/2006/relationships/hyperlink" Target="http://1810.hk/" TargetMode="External"/><Relationship Id="rId167" Type="http://schemas.openxmlformats.org/officeDocument/2006/relationships/hyperlink" Target="https://finance.yahoo.com/quote/600519.SS/?p=600519.SS" TargetMode="External"/><Relationship Id="rId332" Type="http://schemas.openxmlformats.org/officeDocument/2006/relationships/hyperlink" Target="http://0151.hk/" TargetMode="External"/><Relationship Id="rId374" Type="http://schemas.openxmlformats.org/officeDocument/2006/relationships/hyperlink" Target="https://finance.yahoo.com/quote/1810.HK/?p=1810.HK" TargetMode="External"/><Relationship Id="rId581" Type="http://schemas.openxmlformats.org/officeDocument/2006/relationships/hyperlink" Target="https://finance.yahoo.com/quote/9988.HK/?p=9988.HK" TargetMode="External"/><Relationship Id="rId71" Type="http://schemas.openxmlformats.org/officeDocument/2006/relationships/hyperlink" Target="https://finance.yahoo.com/quote/SONY/?p=SONY" TargetMode="External"/><Relationship Id="rId234" Type="http://schemas.openxmlformats.org/officeDocument/2006/relationships/hyperlink" Target="https://finance.yahoo.com/quote/3800.hk/?p=3800.hk" TargetMode="External"/><Relationship Id="rId637" Type="http://schemas.openxmlformats.org/officeDocument/2006/relationships/hyperlink" Target="https://finance.yahoo.com/quote/9988.HK/?p=9988.HK" TargetMode="External"/><Relationship Id="rId2" Type="http://schemas.openxmlformats.org/officeDocument/2006/relationships/hyperlink" Target="https://finance.yahoo.com/quote/TSLA/?p=TSLA" TargetMode="External"/><Relationship Id="rId29" Type="http://schemas.openxmlformats.org/officeDocument/2006/relationships/hyperlink" Target="https://finance.yahoo.com/quote/PFE/?p=PFE" TargetMode="External"/><Relationship Id="rId276" Type="http://schemas.openxmlformats.org/officeDocument/2006/relationships/hyperlink" Target="https://finance.yahoo.com/quote/BTC-USD/?p=BTC-USD" TargetMode="External"/><Relationship Id="rId441" Type="http://schemas.openxmlformats.org/officeDocument/2006/relationships/hyperlink" Target="https://finance.yahoo.com/quote/UVXY/?p=UVXY" TargetMode="External"/><Relationship Id="rId483" Type="http://schemas.openxmlformats.org/officeDocument/2006/relationships/hyperlink" Target="http://603963.ss/" TargetMode="External"/><Relationship Id="rId539" Type="http://schemas.openxmlformats.org/officeDocument/2006/relationships/hyperlink" Target="https://finance.yahoo.com/quote/000568.SZ/?p=000568.SZ" TargetMode="External"/><Relationship Id="rId40" Type="http://schemas.openxmlformats.org/officeDocument/2006/relationships/hyperlink" Target="https://finance.yahoo.com/quote/TSLA/?p=TSLA" TargetMode="External"/><Relationship Id="rId136" Type="http://schemas.openxmlformats.org/officeDocument/2006/relationships/hyperlink" Target="https://finance.yahoo.com/quote/1024.HK/?p=1024.HK" TargetMode="External"/><Relationship Id="rId178" Type="http://schemas.openxmlformats.org/officeDocument/2006/relationships/hyperlink" Target="https://finance.yahoo.com/quote/3988.HK/?p=3988.HK" TargetMode="External"/><Relationship Id="rId301" Type="http://schemas.openxmlformats.org/officeDocument/2006/relationships/hyperlink" Target="https://finance.yahoo.com/quote/3047.HK/?p=3047.HK" TargetMode="External"/><Relationship Id="rId343" Type="http://schemas.openxmlformats.org/officeDocument/2006/relationships/hyperlink" Target="https://finance.yahoo.com/quote/AAPL/?p=AAPL" TargetMode="External"/><Relationship Id="rId550" Type="http://schemas.openxmlformats.org/officeDocument/2006/relationships/hyperlink" Target="http://9626.hk/" TargetMode="External"/><Relationship Id="rId82" Type="http://schemas.openxmlformats.org/officeDocument/2006/relationships/hyperlink" Target="https://finance.yahoo.com/quote/TSLA/?p=TSLA" TargetMode="External"/><Relationship Id="rId203" Type="http://schemas.openxmlformats.org/officeDocument/2006/relationships/hyperlink" Target="https://finance.yahoo.com/quote/BABA/?p=BABA" TargetMode="External"/><Relationship Id="rId385" Type="http://schemas.openxmlformats.org/officeDocument/2006/relationships/hyperlink" Target="http://0700.hk/" TargetMode="External"/><Relationship Id="rId592" Type="http://schemas.openxmlformats.org/officeDocument/2006/relationships/hyperlink" Target="http://9988.hk/" TargetMode="External"/><Relationship Id="rId606" Type="http://schemas.openxmlformats.org/officeDocument/2006/relationships/hyperlink" Target="https://finance.yahoo.com/quote/2269.HK/?p=2269.HK" TargetMode="External"/><Relationship Id="rId648" Type="http://schemas.openxmlformats.org/officeDocument/2006/relationships/hyperlink" Target="https://finance.yahoo.com/quote/TCEHY/?p=TCEHY" TargetMode="External"/><Relationship Id="rId245" Type="http://schemas.openxmlformats.org/officeDocument/2006/relationships/hyperlink" Target="https://finance.yahoo.com/quote/TSLA/?p=TSLA" TargetMode="External"/><Relationship Id="rId287" Type="http://schemas.openxmlformats.org/officeDocument/2006/relationships/hyperlink" Target="https://finance.yahoo.com/quote/6969.HK/?p=6969.HK" TargetMode="External"/><Relationship Id="rId410" Type="http://schemas.openxmlformats.org/officeDocument/2006/relationships/hyperlink" Target="https://finance.yahoo.com/quote/IXHL/?p=IXHL" TargetMode="External"/><Relationship Id="rId452" Type="http://schemas.openxmlformats.org/officeDocument/2006/relationships/hyperlink" Target="https://finance.yahoo.com/quote/1498.HK/?p=1498.HK" TargetMode="External"/><Relationship Id="rId494" Type="http://schemas.openxmlformats.org/officeDocument/2006/relationships/hyperlink" Target="http://002670.sz/" TargetMode="External"/><Relationship Id="rId508" Type="http://schemas.openxmlformats.org/officeDocument/2006/relationships/hyperlink" Target="https://finance.yahoo.com/quote/1398.HK/?p=1398.HK" TargetMode="External"/><Relationship Id="rId105" Type="http://schemas.openxmlformats.org/officeDocument/2006/relationships/hyperlink" Target="http://1109.hk/" TargetMode="External"/><Relationship Id="rId147" Type="http://schemas.openxmlformats.org/officeDocument/2006/relationships/hyperlink" Target="http://6680.hk/" TargetMode="External"/><Relationship Id="rId312" Type="http://schemas.openxmlformats.org/officeDocument/2006/relationships/hyperlink" Target="http://9988.hk/" TargetMode="External"/><Relationship Id="rId354" Type="http://schemas.openxmlformats.org/officeDocument/2006/relationships/hyperlink" Target="https://finance.yahoo.com/quote/LMT/?p=LMT" TargetMode="External"/><Relationship Id="rId51" Type="http://schemas.openxmlformats.org/officeDocument/2006/relationships/hyperlink" Target="https://finance.yahoo.com/quote/XLRE/?p=XLRE" TargetMode="External"/><Relationship Id="rId93" Type="http://schemas.openxmlformats.org/officeDocument/2006/relationships/hyperlink" Target="https://finance.yahoo.com/quote/CL=F/?p=CL=F" TargetMode="External"/><Relationship Id="rId189" Type="http://schemas.openxmlformats.org/officeDocument/2006/relationships/hyperlink" Target="https://finance.yahoo.com/quote/AMZN/?p=AMZN" TargetMode="External"/><Relationship Id="rId396" Type="http://schemas.openxmlformats.org/officeDocument/2006/relationships/hyperlink" Target="http://1398.hk/" TargetMode="External"/><Relationship Id="rId561" Type="http://schemas.openxmlformats.org/officeDocument/2006/relationships/hyperlink" Target="http://600661.ss/" TargetMode="External"/><Relationship Id="rId617" Type="http://schemas.openxmlformats.org/officeDocument/2006/relationships/hyperlink" Target="http://9698.hk/" TargetMode="External"/><Relationship Id="rId659" Type="http://schemas.openxmlformats.org/officeDocument/2006/relationships/hyperlink" Target="https://finance.yahoo.com/quote/3800.HK/?p=3800.HK" TargetMode="External"/><Relationship Id="rId214" Type="http://schemas.openxmlformats.org/officeDocument/2006/relationships/hyperlink" Target="https://finance.yahoo.com/quote/MSFT/?p=MSFT" TargetMode="External"/><Relationship Id="rId256" Type="http://schemas.openxmlformats.org/officeDocument/2006/relationships/hyperlink" Target="https://finance.yahoo.com/quote/LMT/?p=LMT" TargetMode="External"/><Relationship Id="rId298" Type="http://schemas.openxmlformats.org/officeDocument/2006/relationships/hyperlink" Target="http://0941.hk/" TargetMode="External"/><Relationship Id="rId421" Type="http://schemas.openxmlformats.org/officeDocument/2006/relationships/hyperlink" Target="https://finance.yahoo.com/quote/002475.SZ/?p=002475.SZ" TargetMode="External"/><Relationship Id="rId463" Type="http://schemas.openxmlformats.org/officeDocument/2006/relationships/hyperlink" Target="http://601808.ss/" TargetMode="External"/><Relationship Id="rId519" Type="http://schemas.openxmlformats.org/officeDocument/2006/relationships/hyperlink" Target="https://finance.yahoo.com/quote/BRK-B/?p=BRK-B" TargetMode="External"/><Relationship Id="rId670" Type="http://schemas.openxmlformats.org/officeDocument/2006/relationships/hyperlink" Target="https://finance.yahoo.com/quote/9961.HK/?p=9961.HK" TargetMode="External"/><Relationship Id="rId116" Type="http://schemas.openxmlformats.org/officeDocument/2006/relationships/hyperlink" Target="https://finance.yahoo.com/quote/9888.HK/?p=9888.HK" TargetMode="External"/><Relationship Id="rId158" Type="http://schemas.openxmlformats.org/officeDocument/2006/relationships/hyperlink" Target="https://finance.yahoo.com/quote/6862.HK/?p=6862.HK" TargetMode="External"/><Relationship Id="rId323" Type="http://schemas.openxmlformats.org/officeDocument/2006/relationships/hyperlink" Target="https://finance.yahoo.com/quote/0700.HK/?p=0700.HK" TargetMode="External"/><Relationship Id="rId530" Type="http://schemas.openxmlformats.org/officeDocument/2006/relationships/hyperlink" Target="https://finance.yahoo.com/quote/0700.HK/?p=0700.HK" TargetMode="External"/><Relationship Id="rId20" Type="http://schemas.openxmlformats.org/officeDocument/2006/relationships/hyperlink" Target="https://finance.yahoo.com/quote/F/?p=F" TargetMode="External"/><Relationship Id="rId62" Type="http://schemas.openxmlformats.org/officeDocument/2006/relationships/hyperlink" Target="https://finance.yahoo.com/quote/TSLA/?p=TSLA" TargetMode="External"/><Relationship Id="rId365" Type="http://schemas.openxmlformats.org/officeDocument/2006/relationships/hyperlink" Target="http://1610.hk/" TargetMode="External"/><Relationship Id="rId572" Type="http://schemas.openxmlformats.org/officeDocument/2006/relationships/hyperlink" Target="http://0700.hk/" TargetMode="External"/><Relationship Id="rId628" Type="http://schemas.openxmlformats.org/officeDocument/2006/relationships/hyperlink" Target="https://finance.yahoo.com/quote/NU/?p=NU" TargetMode="External"/><Relationship Id="rId225" Type="http://schemas.openxmlformats.org/officeDocument/2006/relationships/hyperlink" Target="https://finance.yahoo.com/quote/TSLA/?p=TSLA" TargetMode="External"/><Relationship Id="rId267" Type="http://schemas.openxmlformats.org/officeDocument/2006/relationships/hyperlink" Target="https://finance.yahoo.com/quote/GOLD/?p=GOLD" TargetMode="External"/><Relationship Id="rId432" Type="http://schemas.openxmlformats.org/officeDocument/2006/relationships/hyperlink" Target="https://finance.yahoo.com/quote/9868.HK/?p=9868.HK" TargetMode="External"/><Relationship Id="rId474" Type="http://schemas.openxmlformats.org/officeDocument/2006/relationships/hyperlink" Target="https://finance.yahoo.com/quote/601808.SS/?p=601808.SS" TargetMode="External"/><Relationship Id="rId127" Type="http://schemas.openxmlformats.org/officeDocument/2006/relationships/hyperlink" Target="http://9988.hk/" TargetMode="External"/><Relationship Id="rId31" Type="http://schemas.openxmlformats.org/officeDocument/2006/relationships/hyperlink" Target="https://finance.yahoo.com/quote/TSLA/?p=TSLA" TargetMode="External"/><Relationship Id="rId73" Type="http://schemas.openxmlformats.org/officeDocument/2006/relationships/hyperlink" Target="http://2318.hk/" TargetMode="External"/><Relationship Id="rId169" Type="http://schemas.openxmlformats.org/officeDocument/2006/relationships/hyperlink" Target="https://finance.yahoo.com/quote/NVAX/?p=NVAX" TargetMode="External"/><Relationship Id="rId334" Type="http://schemas.openxmlformats.org/officeDocument/2006/relationships/hyperlink" Target="http://0151.hk/" TargetMode="External"/><Relationship Id="rId376" Type="http://schemas.openxmlformats.org/officeDocument/2006/relationships/hyperlink" Target="https://finance.yahoo.com/quote/2333.HK/?p=2333.HK" TargetMode="External"/><Relationship Id="rId541" Type="http://schemas.openxmlformats.org/officeDocument/2006/relationships/hyperlink" Target="https://finance.yahoo.com/quote/1024.HK/?p=1024.HK" TargetMode="External"/><Relationship Id="rId583" Type="http://schemas.openxmlformats.org/officeDocument/2006/relationships/hyperlink" Target="https://finance.yahoo.com/quote/2800.HK/?p=2800.HK" TargetMode="External"/><Relationship Id="rId639" Type="http://schemas.openxmlformats.org/officeDocument/2006/relationships/hyperlink" Target="https://finance.yahoo.com/quote/SOXL/?p=SOXL" TargetMode="External"/><Relationship Id="rId4" Type="http://schemas.openxmlformats.org/officeDocument/2006/relationships/hyperlink" Target="https://finance.yahoo.com/quote/GC=F/?p=GC=F" TargetMode="External"/><Relationship Id="rId180" Type="http://schemas.openxmlformats.org/officeDocument/2006/relationships/hyperlink" Target="https://finance.yahoo.com/quote/ANTM/?p=ANTM" TargetMode="External"/><Relationship Id="rId236" Type="http://schemas.openxmlformats.org/officeDocument/2006/relationships/hyperlink" Target="https://finance.yahoo.com/quote/3800.HK/?p=3800.HK" TargetMode="External"/><Relationship Id="rId278" Type="http://schemas.openxmlformats.org/officeDocument/2006/relationships/hyperlink" Target="https://finance.yahoo.com/quote/MCD/?p=MCD" TargetMode="External"/><Relationship Id="rId401" Type="http://schemas.openxmlformats.org/officeDocument/2006/relationships/hyperlink" Target="https://finance.yahoo.com/quote/BRK-B/?p=BRK-B" TargetMode="External"/><Relationship Id="rId443" Type="http://schemas.openxmlformats.org/officeDocument/2006/relationships/hyperlink" Target="https://finance.yahoo.com/quote/WEAT/?p=WEAT" TargetMode="External"/><Relationship Id="rId650" Type="http://schemas.openxmlformats.org/officeDocument/2006/relationships/hyperlink" Target="http://3833.hk/" TargetMode="External"/><Relationship Id="rId303" Type="http://schemas.openxmlformats.org/officeDocument/2006/relationships/hyperlink" Target="https://finance.yahoo.com/quote/9988.HK/?p=9988.HK" TargetMode="External"/><Relationship Id="rId485" Type="http://schemas.openxmlformats.org/officeDocument/2006/relationships/hyperlink" Target="http://603963.ss/" TargetMode="External"/><Relationship Id="rId42" Type="http://schemas.openxmlformats.org/officeDocument/2006/relationships/hyperlink" Target="https://finance.yahoo.com/quote/XLK/?p=XLK" TargetMode="External"/><Relationship Id="rId84" Type="http://schemas.openxmlformats.org/officeDocument/2006/relationships/hyperlink" Target="https://finance.yahoo.com/quote/FB/?p=FB" TargetMode="External"/><Relationship Id="rId138" Type="http://schemas.openxmlformats.org/officeDocument/2006/relationships/hyperlink" Target="https://finance.yahoo.com/quote/1810.HK/?p=1810.HK" TargetMode="External"/><Relationship Id="rId345" Type="http://schemas.openxmlformats.org/officeDocument/2006/relationships/hyperlink" Target="https://finance.yahoo.com/quote/6862.HK/?p=6862.HK" TargetMode="External"/><Relationship Id="rId387" Type="http://schemas.openxmlformats.org/officeDocument/2006/relationships/hyperlink" Target="http://3690.hk/" TargetMode="External"/><Relationship Id="rId510" Type="http://schemas.openxmlformats.org/officeDocument/2006/relationships/hyperlink" Target="https://finance.yahoo.com/quote/AMAT/?p=AMAT" TargetMode="External"/><Relationship Id="rId552" Type="http://schemas.openxmlformats.org/officeDocument/2006/relationships/hyperlink" Target="http://9988.hk/" TargetMode="External"/><Relationship Id="rId594" Type="http://schemas.openxmlformats.org/officeDocument/2006/relationships/hyperlink" Target="http://9988.hk/" TargetMode="External"/><Relationship Id="rId608" Type="http://schemas.openxmlformats.org/officeDocument/2006/relationships/hyperlink" Target="http://9698.hk/" TargetMode="External"/><Relationship Id="rId191" Type="http://schemas.openxmlformats.org/officeDocument/2006/relationships/hyperlink" Target="https://finance.yahoo.com/quote/BABA/?p=BABA" TargetMode="External"/><Relationship Id="rId205" Type="http://schemas.openxmlformats.org/officeDocument/2006/relationships/hyperlink" Target="https://finance.yahoo.com/quote/AMZN/?p=AMZN" TargetMode="External"/><Relationship Id="rId247" Type="http://schemas.openxmlformats.org/officeDocument/2006/relationships/hyperlink" Target="https://finance.yahoo.com/quote/DIS/?p=DIS" TargetMode="External"/><Relationship Id="rId412" Type="http://schemas.openxmlformats.org/officeDocument/2006/relationships/hyperlink" Target="http://1398.hk/" TargetMode="External"/><Relationship Id="rId107" Type="http://schemas.openxmlformats.org/officeDocument/2006/relationships/hyperlink" Target="http://0700.hk/" TargetMode="External"/><Relationship Id="rId289" Type="http://schemas.openxmlformats.org/officeDocument/2006/relationships/hyperlink" Target="https://finance.yahoo.com/quote/YINN/?p=YINN" TargetMode="External"/><Relationship Id="rId454" Type="http://schemas.openxmlformats.org/officeDocument/2006/relationships/hyperlink" Target="https://finance.yahoo.com/quote/000554.SZ/?p=000554.SZ" TargetMode="External"/><Relationship Id="rId496" Type="http://schemas.openxmlformats.org/officeDocument/2006/relationships/hyperlink" Target="http://0700.hk/" TargetMode="External"/><Relationship Id="rId661" Type="http://schemas.openxmlformats.org/officeDocument/2006/relationships/hyperlink" Target="https://finance.yahoo.com/quote/9988.HK/?p=9988.HK" TargetMode="External"/><Relationship Id="rId11" Type="http://schemas.openxmlformats.org/officeDocument/2006/relationships/hyperlink" Target="https://finance.yahoo.com/quote/OXY/?p=OXY" TargetMode="External"/><Relationship Id="rId53" Type="http://schemas.openxmlformats.org/officeDocument/2006/relationships/hyperlink" Target="https://finance.yahoo.com/quote/XLV/?p=XLV" TargetMode="External"/><Relationship Id="rId149" Type="http://schemas.openxmlformats.org/officeDocument/2006/relationships/hyperlink" Target="http://9988.hk/" TargetMode="External"/><Relationship Id="rId314" Type="http://schemas.openxmlformats.org/officeDocument/2006/relationships/hyperlink" Target="https://finance.yahoo.com/quote/NET/?p=NET" TargetMode="External"/><Relationship Id="rId356" Type="http://schemas.openxmlformats.org/officeDocument/2006/relationships/hyperlink" Target="https://finance.yahoo.com/quote/PFE/?p=PFE" TargetMode="External"/><Relationship Id="rId398" Type="http://schemas.openxmlformats.org/officeDocument/2006/relationships/hyperlink" Target="http://300157.sz/" TargetMode="External"/><Relationship Id="rId521" Type="http://schemas.openxmlformats.org/officeDocument/2006/relationships/hyperlink" Target="https://finance.yahoo.com/quote/BRK-B/?p=BRK-B" TargetMode="External"/><Relationship Id="rId563" Type="http://schemas.openxmlformats.org/officeDocument/2006/relationships/hyperlink" Target="https://finance.yahoo.com/quote/AAPL/?p=AAPL" TargetMode="External"/><Relationship Id="rId619" Type="http://schemas.openxmlformats.org/officeDocument/2006/relationships/hyperlink" Target="https://finance.yahoo.com/quote/NU/?p=NU" TargetMode="External"/><Relationship Id="rId95" Type="http://schemas.openxmlformats.org/officeDocument/2006/relationships/hyperlink" Target="https://finance.yahoo.com/quote/TSLA/?p=TSLA" TargetMode="External"/><Relationship Id="rId160" Type="http://schemas.openxmlformats.org/officeDocument/2006/relationships/hyperlink" Target="https://finance.yahoo.com/quote/9988.HK/?p=9988.HK" TargetMode="External"/><Relationship Id="rId216" Type="http://schemas.openxmlformats.org/officeDocument/2006/relationships/hyperlink" Target="https://finance.yahoo.com/quote/UBI.PA/?p=UBI.PA" TargetMode="External"/><Relationship Id="rId423" Type="http://schemas.openxmlformats.org/officeDocument/2006/relationships/hyperlink" Target="http://0700.hk/" TargetMode="External"/><Relationship Id="rId258" Type="http://schemas.openxmlformats.org/officeDocument/2006/relationships/hyperlink" Target="https://finance.yahoo.com/quote/BA/?p=BA" TargetMode="External"/><Relationship Id="rId465" Type="http://schemas.openxmlformats.org/officeDocument/2006/relationships/hyperlink" Target="http://000554.sz/" TargetMode="External"/><Relationship Id="rId630" Type="http://schemas.openxmlformats.org/officeDocument/2006/relationships/hyperlink" Target="https://finance.yahoo.com/quote/YINN/?p=YINN" TargetMode="External"/><Relationship Id="rId672" Type="http://schemas.openxmlformats.org/officeDocument/2006/relationships/hyperlink" Target="https://finance.yahoo.com/quote/9999.HK/?p=9999.HK" TargetMode="External"/><Relationship Id="rId22" Type="http://schemas.openxmlformats.org/officeDocument/2006/relationships/hyperlink" Target="https://finance.yahoo.com/quote/GOOG/?p=GOOG" TargetMode="External"/><Relationship Id="rId64" Type="http://schemas.openxmlformats.org/officeDocument/2006/relationships/hyperlink" Target="https://www.bondsupermart.com/bsm/general-search/US023135AN60" TargetMode="External"/><Relationship Id="rId118" Type="http://schemas.openxmlformats.org/officeDocument/2006/relationships/hyperlink" Target="https://finance.yahoo.com/quote/9988.HK/?p=9988.HK" TargetMode="External"/><Relationship Id="rId325" Type="http://schemas.openxmlformats.org/officeDocument/2006/relationships/hyperlink" Target="https://finance.yahoo.com/quote/9988.HK/?p=9988.HK" TargetMode="External"/><Relationship Id="rId367" Type="http://schemas.openxmlformats.org/officeDocument/2006/relationships/hyperlink" Target="http://1810.hk/" TargetMode="External"/><Relationship Id="rId532" Type="http://schemas.openxmlformats.org/officeDocument/2006/relationships/hyperlink" Target="https://finance.yahoo.com/quote/3690.HK/?p=3690.HK" TargetMode="External"/><Relationship Id="rId574" Type="http://schemas.openxmlformats.org/officeDocument/2006/relationships/hyperlink" Target="http://9988.hk/" TargetMode="External"/><Relationship Id="rId171" Type="http://schemas.openxmlformats.org/officeDocument/2006/relationships/hyperlink" Target="http://603392.ss/" TargetMode="External"/><Relationship Id="rId227" Type="http://schemas.openxmlformats.org/officeDocument/2006/relationships/hyperlink" Target="https://finance.yahoo.com/quote/TSLA/?p=TSLA" TargetMode="External"/><Relationship Id="rId269" Type="http://schemas.openxmlformats.org/officeDocument/2006/relationships/hyperlink" Target="https://finance.yahoo.com/quote/0700.HK/?p=0700.HK" TargetMode="External"/><Relationship Id="rId434" Type="http://schemas.openxmlformats.org/officeDocument/2006/relationships/hyperlink" Target="https://finance.yahoo.com/quote/1810.hk/?p=1810.hk" TargetMode="External"/><Relationship Id="rId476" Type="http://schemas.openxmlformats.org/officeDocument/2006/relationships/hyperlink" Target="https://finance.yahoo.com/quote/603967.SS/?p=603967.SS" TargetMode="External"/><Relationship Id="rId641" Type="http://schemas.openxmlformats.org/officeDocument/2006/relationships/hyperlink" Target="https://finance.yahoo.com/quote/YINN/?p=YINN" TargetMode="External"/><Relationship Id="rId33" Type="http://schemas.openxmlformats.org/officeDocument/2006/relationships/hyperlink" Target="https://finance.yahoo.com/quote/BRK-B/?p=BRK-B" TargetMode="External"/><Relationship Id="rId129" Type="http://schemas.openxmlformats.org/officeDocument/2006/relationships/hyperlink" Target="http://1024.hk/" TargetMode="External"/><Relationship Id="rId280" Type="http://schemas.openxmlformats.org/officeDocument/2006/relationships/hyperlink" Target="http://0883.hk/" TargetMode="External"/><Relationship Id="rId336" Type="http://schemas.openxmlformats.org/officeDocument/2006/relationships/hyperlink" Target="http://0151.hk/" TargetMode="External"/><Relationship Id="rId501" Type="http://schemas.openxmlformats.org/officeDocument/2006/relationships/hyperlink" Target="https://finance.yahoo.com/quote/TSLA/?p=TSLA" TargetMode="External"/><Relationship Id="rId543" Type="http://schemas.openxmlformats.org/officeDocument/2006/relationships/hyperlink" Target="https://finance.yahoo.com/quote/0700.HK/?p=0700.HK" TargetMode="External"/><Relationship Id="rId75" Type="http://schemas.openxmlformats.org/officeDocument/2006/relationships/hyperlink" Target="http://0346.hk/" TargetMode="External"/><Relationship Id="rId140" Type="http://schemas.openxmlformats.org/officeDocument/2006/relationships/hyperlink" Target="https://finance.yahoo.com/quote/6680.HK/?p=6680.HK" TargetMode="External"/><Relationship Id="rId182" Type="http://schemas.openxmlformats.org/officeDocument/2006/relationships/hyperlink" Target="https://finance.yahoo.com/quote/NKE/?p=NKE" TargetMode="External"/><Relationship Id="rId378" Type="http://schemas.openxmlformats.org/officeDocument/2006/relationships/hyperlink" Target="https://finance.yahoo.com/quote/3339.HK/?p=3339.HK" TargetMode="External"/><Relationship Id="rId403" Type="http://schemas.openxmlformats.org/officeDocument/2006/relationships/hyperlink" Target="https://finance.yahoo.com/quote/AAPL/?p=AAPL" TargetMode="External"/><Relationship Id="rId585" Type="http://schemas.openxmlformats.org/officeDocument/2006/relationships/hyperlink" Target="https://finance.yahoo.com/quote/9988.HK/?p=9988.HK" TargetMode="External"/><Relationship Id="rId6" Type="http://schemas.openxmlformats.org/officeDocument/2006/relationships/hyperlink" Target="https://finance.yahoo.com/quote/SI=F/?p=SI=F" TargetMode="External"/><Relationship Id="rId238" Type="http://schemas.openxmlformats.org/officeDocument/2006/relationships/hyperlink" Target="https://finance.yahoo.com/quote/DIS/?p=DIS" TargetMode="External"/><Relationship Id="rId445" Type="http://schemas.openxmlformats.org/officeDocument/2006/relationships/hyperlink" Target="https://finance.yahoo.com/quote/600519.SS/?p=600519.SS" TargetMode="External"/><Relationship Id="rId487" Type="http://schemas.openxmlformats.org/officeDocument/2006/relationships/hyperlink" Target="https://finance.yahoo.com/quote/GC=F/?p=GC=F" TargetMode="External"/><Relationship Id="rId610" Type="http://schemas.openxmlformats.org/officeDocument/2006/relationships/hyperlink" Target="http://6969.hk/" TargetMode="External"/><Relationship Id="rId652" Type="http://schemas.openxmlformats.org/officeDocument/2006/relationships/hyperlink" Target="https://finance.yahoo.com/quote/ASML/?p=ASML" TargetMode="External"/><Relationship Id="rId291" Type="http://schemas.openxmlformats.org/officeDocument/2006/relationships/hyperlink" Target="https://finance.yahoo.com/quote/NFLX/?p=NFLX" TargetMode="External"/><Relationship Id="rId305" Type="http://schemas.openxmlformats.org/officeDocument/2006/relationships/hyperlink" Target="https://finance.yahoo.com/quote/ARKK/?p=ARKK" TargetMode="External"/><Relationship Id="rId347" Type="http://schemas.openxmlformats.org/officeDocument/2006/relationships/hyperlink" Target="https://finance.yahoo.com/quote/0700.HK/?p=0700.HK" TargetMode="External"/><Relationship Id="rId512" Type="http://schemas.openxmlformats.org/officeDocument/2006/relationships/hyperlink" Target="https://finance.yahoo.com/quote/CL=F/?p=CL=F" TargetMode="External"/><Relationship Id="rId44" Type="http://schemas.openxmlformats.org/officeDocument/2006/relationships/hyperlink" Target="https://finance.yahoo.com/quote/XLB/?p=XLB" TargetMode="External"/><Relationship Id="rId86" Type="http://schemas.openxmlformats.org/officeDocument/2006/relationships/hyperlink" Target="https://finance.yahoo.com/quote/FB/?p=FB" TargetMode="External"/><Relationship Id="rId151" Type="http://schemas.openxmlformats.org/officeDocument/2006/relationships/hyperlink" Target="http://1024.hk/" TargetMode="External"/><Relationship Id="rId389" Type="http://schemas.openxmlformats.org/officeDocument/2006/relationships/hyperlink" Target="http://1398.hk/" TargetMode="External"/><Relationship Id="rId554" Type="http://schemas.openxmlformats.org/officeDocument/2006/relationships/hyperlink" Target="http://3690.hk/" TargetMode="External"/><Relationship Id="rId596" Type="http://schemas.openxmlformats.org/officeDocument/2006/relationships/hyperlink" Target="https://finance.yahoo.com/quote/BITO/?p=BITO" TargetMode="External"/><Relationship Id="rId193" Type="http://schemas.openxmlformats.org/officeDocument/2006/relationships/hyperlink" Target="https://finance.yahoo.com/quote/GOOG/?p=GOOG" TargetMode="External"/><Relationship Id="rId207" Type="http://schemas.openxmlformats.org/officeDocument/2006/relationships/hyperlink" Target="http://0700.hk/" TargetMode="External"/><Relationship Id="rId249" Type="http://schemas.openxmlformats.org/officeDocument/2006/relationships/hyperlink" Target="http://2020.hk/" TargetMode="External"/><Relationship Id="rId414" Type="http://schemas.openxmlformats.org/officeDocument/2006/relationships/hyperlink" Target="http://601168.ss/" TargetMode="External"/><Relationship Id="rId456" Type="http://schemas.openxmlformats.org/officeDocument/2006/relationships/hyperlink" Target="https://finance.yahoo.com/quote/002665.SZ/?p=002665.SZ" TargetMode="External"/><Relationship Id="rId498" Type="http://schemas.openxmlformats.org/officeDocument/2006/relationships/hyperlink" Target="http://9988.hk/" TargetMode="External"/><Relationship Id="rId621" Type="http://schemas.openxmlformats.org/officeDocument/2006/relationships/hyperlink" Target="https://finance.yahoo.com/quote/TCEHY/?p=TCEHY" TargetMode="External"/><Relationship Id="rId663" Type="http://schemas.openxmlformats.org/officeDocument/2006/relationships/hyperlink" Target="https://finance.yahoo.com/quote/9999.HK/?p=9999.HK" TargetMode="External"/><Relationship Id="rId13" Type="http://schemas.openxmlformats.org/officeDocument/2006/relationships/hyperlink" Target="https://finance.yahoo.com/quote/%5EN225/?p=%5EN225" TargetMode="External"/><Relationship Id="rId109" Type="http://schemas.openxmlformats.org/officeDocument/2006/relationships/hyperlink" Target="https://finance.yahoo.com/quote/SOFI/?p=SOFI" TargetMode="External"/><Relationship Id="rId260" Type="http://schemas.openxmlformats.org/officeDocument/2006/relationships/hyperlink" Target="https://finance.yahoo.com/quote/TSLA/?p=TSLA" TargetMode="External"/><Relationship Id="rId316" Type="http://schemas.openxmlformats.org/officeDocument/2006/relationships/hyperlink" Target="https://finance.yahoo.com/quote/SARK/?p=SARK" TargetMode="External"/><Relationship Id="rId523" Type="http://schemas.openxmlformats.org/officeDocument/2006/relationships/hyperlink" Target="https://finance.yahoo.com/quote/CL=F/?p=CL=F" TargetMode="External"/><Relationship Id="rId55" Type="http://schemas.openxmlformats.org/officeDocument/2006/relationships/hyperlink" Target="https://finance.yahoo.com/quote/TSLA/?p=TSLA" TargetMode="External"/><Relationship Id="rId97" Type="http://schemas.openxmlformats.org/officeDocument/2006/relationships/hyperlink" Target="https://finance.yahoo.com/quote/ANPDY/?p=ANPDY" TargetMode="External"/><Relationship Id="rId120" Type="http://schemas.openxmlformats.org/officeDocument/2006/relationships/hyperlink" Target="https://finance.yahoo.com/quote/TSLA/?p=TSLA" TargetMode="External"/><Relationship Id="rId358" Type="http://schemas.openxmlformats.org/officeDocument/2006/relationships/hyperlink" Target="https://finance.yahoo.com/quote/LMT/?p=LMT" TargetMode="External"/><Relationship Id="rId565" Type="http://schemas.openxmlformats.org/officeDocument/2006/relationships/hyperlink" Target="https://finance.yahoo.com/quote/000950.SZ/?p=000950.SZ" TargetMode="External"/><Relationship Id="rId162" Type="http://schemas.openxmlformats.org/officeDocument/2006/relationships/hyperlink" Target="http://1810.hk/" TargetMode="External"/><Relationship Id="rId218" Type="http://schemas.openxmlformats.org/officeDocument/2006/relationships/hyperlink" Target="https://finance.yahoo.com/quote/NVDA/?p=NVDA" TargetMode="External"/><Relationship Id="rId425" Type="http://schemas.openxmlformats.org/officeDocument/2006/relationships/hyperlink" Target="http://3800.hk/" TargetMode="External"/><Relationship Id="rId467" Type="http://schemas.openxmlformats.org/officeDocument/2006/relationships/hyperlink" Target="http://300922.sz/" TargetMode="External"/><Relationship Id="rId632" Type="http://schemas.openxmlformats.org/officeDocument/2006/relationships/hyperlink" Target="https://finance.yahoo.com/quote/SOXL/?p=SOXL" TargetMode="External"/><Relationship Id="rId271" Type="http://schemas.openxmlformats.org/officeDocument/2006/relationships/hyperlink" Target="https://finance.yahoo.com/quote/0700.hk/?p=0700.hk" TargetMode="External"/><Relationship Id="rId674" Type="http://schemas.openxmlformats.org/officeDocument/2006/relationships/hyperlink" Target="https://finance.yahoo.com/quote/ATVI/?p=ATVI" TargetMode="External"/><Relationship Id="rId24" Type="http://schemas.openxmlformats.org/officeDocument/2006/relationships/hyperlink" Target="https://finance.yahoo.com/quote/MMM/?p=MMM" TargetMode="External"/><Relationship Id="rId66" Type="http://schemas.openxmlformats.org/officeDocument/2006/relationships/hyperlink" Target="https://finance.yahoo.com/quote/WMT/?p=WMT" TargetMode="External"/><Relationship Id="rId131" Type="http://schemas.openxmlformats.org/officeDocument/2006/relationships/hyperlink" Target="http://1810.hk/" TargetMode="External"/><Relationship Id="rId327" Type="http://schemas.openxmlformats.org/officeDocument/2006/relationships/hyperlink" Target="https://finance.yahoo.com/quote/9988.HK/?p=9988.HK" TargetMode="External"/><Relationship Id="rId369" Type="http://schemas.openxmlformats.org/officeDocument/2006/relationships/hyperlink" Target="http://2333.hk/" TargetMode="External"/><Relationship Id="rId534" Type="http://schemas.openxmlformats.org/officeDocument/2006/relationships/hyperlink" Target="http://0700.hk/" TargetMode="External"/><Relationship Id="rId576" Type="http://schemas.openxmlformats.org/officeDocument/2006/relationships/hyperlink" Target="http://0941.hk/" TargetMode="External"/><Relationship Id="rId173" Type="http://schemas.openxmlformats.org/officeDocument/2006/relationships/hyperlink" Target="http://603939.ss/" TargetMode="External"/><Relationship Id="rId229" Type="http://schemas.openxmlformats.org/officeDocument/2006/relationships/hyperlink" Target="http://1208.hk/" TargetMode="External"/><Relationship Id="rId380" Type="http://schemas.openxmlformats.org/officeDocument/2006/relationships/hyperlink" Target="https://finance.yahoo.com/quote/3339.HK/?p=3339.HK" TargetMode="External"/><Relationship Id="rId436" Type="http://schemas.openxmlformats.org/officeDocument/2006/relationships/hyperlink" Target="https://finance.yahoo.com/quote/F/?p=F" TargetMode="External"/><Relationship Id="rId601" Type="http://schemas.openxmlformats.org/officeDocument/2006/relationships/hyperlink" Target="http://9698.hk/" TargetMode="External"/><Relationship Id="rId643" Type="http://schemas.openxmlformats.org/officeDocument/2006/relationships/hyperlink" Target="https://finance.yahoo.com/quote/9988.HK/?p=9988.HK" TargetMode="External"/><Relationship Id="rId240" Type="http://schemas.openxmlformats.org/officeDocument/2006/relationships/hyperlink" Target="https://finance.yahoo.com/quote/RIVN/?p=RIVN" TargetMode="External"/><Relationship Id="rId478" Type="http://schemas.openxmlformats.org/officeDocument/2006/relationships/hyperlink" Target="https://finance.yahoo.com/quote/002665.SZ/?p=002665.SZ" TargetMode="External"/><Relationship Id="rId35" Type="http://schemas.openxmlformats.org/officeDocument/2006/relationships/hyperlink" Target="https://finance.yahoo.com/quote/FB/?p=FB" TargetMode="External"/><Relationship Id="rId77" Type="http://schemas.openxmlformats.org/officeDocument/2006/relationships/hyperlink" Target="http://2607.hk/" TargetMode="External"/><Relationship Id="rId100" Type="http://schemas.openxmlformats.org/officeDocument/2006/relationships/hyperlink" Target="https://finance.yahoo.com/quote/TSLA/?p=TSLA" TargetMode="External"/><Relationship Id="rId282" Type="http://schemas.openxmlformats.org/officeDocument/2006/relationships/hyperlink" Target="https://finance.yahoo.com/quote/BTC-USD/?p=BTC-USD" TargetMode="External"/><Relationship Id="rId338" Type="http://schemas.openxmlformats.org/officeDocument/2006/relationships/hyperlink" Target="https://finance.yahoo.com/quote/FSR/?p=FSR" TargetMode="External"/><Relationship Id="rId503" Type="http://schemas.openxmlformats.org/officeDocument/2006/relationships/hyperlink" Target="https://finance.yahoo.com/quote/NVDA/?p=NVDA" TargetMode="External"/><Relationship Id="rId545" Type="http://schemas.openxmlformats.org/officeDocument/2006/relationships/hyperlink" Target="https://finance.yahoo.com/quote/3690.HK/?p=3690.HK" TargetMode="External"/><Relationship Id="rId587" Type="http://schemas.openxmlformats.org/officeDocument/2006/relationships/hyperlink" Target="https://finance.yahoo.com/quote/0700.HK/?p=0700.HK" TargetMode="External"/><Relationship Id="rId8" Type="http://schemas.openxmlformats.org/officeDocument/2006/relationships/hyperlink" Target="https://finance.yahoo.com/quote/ABBV/?p=ABBV" TargetMode="External"/><Relationship Id="rId142" Type="http://schemas.openxmlformats.org/officeDocument/2006/relationships/hyperlink" Target="https://finance.yahoo.com/quote/9988.HK/?p=9988.HK" TargetMode="External"/><Relationship Id="rId184" Type="http://schemas.openxmlformats.org/officeDocument/2006/relationships/hyperlink" Target="https://finance.yahoo.com/quote/0700.HK/?p=0700.HK" TargetMode="External"/><Relationship Id="rId391" Type="http://schemas.openxmlformats.org/officeDocument/2006/relationships/hyperlink" Target="https://finance.yahoo.com/quote/NET/?p=NET" TargetMode="External"/><Relationship Id="rId405" Type="http://schemas.openxmlformats.org/officeDocument/2006/relationships/hyperlink" Target="https://finance.yahoo.com/quote/CL=F/?p=CL=F" TargetMode="External"/><Relationship Id="rId447" Type="http://schemas.openxmlformats.org/officeDocument/2006/relationships/hyperlink" Target="https://finance.yahoo.com/quote/ES=F/?p=ES=F" TargetMode="External"/><Relationship Id="rId612" Type="http://schemas.openxmlformats.org/officeDocument/2006/relationships/hyperlink" Target="http://6969.hk/" TargetMode="External"/><Relationship Id="rId251" Type="http://schemas.openxmlformats.org/officeDocument/2006/relationships/hyperlink" Target="http://2020.hk/" TargetMode="External"/><Relationship Id="rId489" Type="http://schemas.openxmlformats.org/officeDocument/2006/relationships/hyperlink" Target="https://finance.yahoo.com/quote/603538.SS/?p=603538.SS" TargetMode="External"/><Relationship Id="rId654" Type="http://schemas.openxmlformats.org/officeDocument/2006/relationships/hyperlink" Target="http://0175.hk/" TargetMode="External"/><Relationship Id="rId46" Type="http://schemas.openxmlformats.org/officeDocument/2006/relationships/hyperlink" Target="https://finance.yahoo.com/quote/XLE/?p=XLE" TargetMode="External"/><Relationship Id="rId293" Type="http://schemas.openxmlformats.org/officeDocument/2006/relationships/hyperlink" Target="https://finance.yahoo.com/quote/9988.HK/?p=9988.HK" TargetMode="External"/><Relationship Id="rId307" Type="http://schemas.openxmlformats.org/officeDocument/2006/relationships/hyperlink" Target="https://finance.yahoo.com/quote/SARK/?p=SARK" TargetMode="External"/><Relationship Id="rId349" Type="http://schemas.openxmlformats.org/officeDocument/2006/relationships/hyperlink" Target="https://finance.yahoo.com/quote/0700.HK/?p=0700.HK" TargetMode="External"/><Relationship Id="rId514" Type="http://schemas.openxmlformats.org/officeDocument/2006/relationships/hyperlink" Target="http://1398.hk/" TargetMode="External"/><Relationship Id="rId556" Type="http://schemas.openxmlformats.org/officeDocument/2006/relationships/hyperlink" Target="http://6078.hk/" TargetMode="External"/><Relationship Id="rId88" Type="http://schemas.openxmlformats.org/officeDocument/2006/relationships/hyperlink" Target="http://0388.hk/" TargetMode="External"/><Relationship Id="rId111" Type="http://schemas.openxmlformats.org/officeDocument/2006/relationships/hyperlink" Target="http://9626.hk/" TargetMode="External"/><Relationship Id="rId153" Type="http://schemas.openxmlformats.org/officeDocument/2006/relationships/hyperlink" Target="http://9988.hk/" TargetMode="External"/><Relationship Id="rId195" Type="http://schemas.openxmlformats.org/officeDocument/2006/relationships/hyperlink" Target="https://finance.yahoo.com/quote/BABA/?p=BABA" TargetMode="External"/><Relationship Id="rId209" Type="http://schemas.openxmlformats.org/officeDocument/2006/relationships/hyperlink" Target="https://finance.yahoo.com/quote/AAPL/?p=AAPL" TargetMode="External"/><Relationship Id="rId360" Type="http://schemas.openxmlformats.org/officeDocument/2006/relationships/hyperlink" Target="https://finance.yahoo.com/quote/SOFI/?p=SOFI" TargetMode="External"/><Relationship Id="rId416" Type="http://schemas.openxmlformats.org/officeDocument/2006/relationships/hyperlink" Target="http://600986.ss/" TargetMode="External"/><Relationship Id="rId598" Type="http://schemas.openxmlformats.org/officeDocument/2006/relationships/hyperlink" Target="https://finance.yahoo.com/quote/3690.HK/?p=3690.HK" TargetMode="External"/><Relationship Id="rId220" Type="http://schemas.openxmlformats.org/officeDocument/2006/relationships/hyperlink" Target="https://finance.yahoo.com/quote/TSLA/?p=TSLA" TargetMode="External"/><Relationship Id="rId458" Type="http://schemas.openxmlformats.org/officeDocument/2006/relationships/hyperlink" Target="https://finance.yahoo.com/quote/300922.SZ/?p=300922.SZ" TargetMode="External"/><Relationship Id="rId623" Type="http://schemas.openxmlformats.org/officeDocument/2006/relationships/hyperlink" Target="https://finance.yahoo.com/quote/YINN/?p=YINN" TargetMode="External"/><Relationship Id="rId665" Type="http://schemas.openxmlformats.org/officeDocument/2006/relationships/hyperlink" Target="https://finance.yahoo.com/quote/9988.HK/?p=9988.HK" TargetMode="External"/><Relationship Id="rId15" Type="http://schemas.openxmlformats.org/officeDocument/2006/relationships/hyperlink" Target="https://finance.yahoo.com/quote/0700.HK/?p=0700.HK" TargetMode="External"/><Relationship Id="rId57" Type="http://schemas.openxmlformats.org/officeDocument/2006/relationships/hyperlink" Target="https://finance.yahoo.com/quote/ANPDY/?p=ANPDY" TargetMode="External"/><Relationship Id="rId262" Type="http://schemas.openxmlformats.org/officeDocument/2006/relationships/hyperlink" Target="https://finance.yahoo.com/quote/LVMHF/?p=LVMHF" TargetMode="External"/><Relationship Id="rId318" Type="http://schemas.openxmlformats.org/officeDocument/2006/relationships/hyperlink" Target="http://0700.hk/" TargetMode="External"/><Relationship Id="rId525" Type="http://schemas.openxmlformats.org/officeDocument/2006/relationships/hyperlink" Target="http://1398.hk/" TargetMode="External"/><Relationship Id="rId567" Type="http://schemas.openxmlformats.org/officeDocument/2006/relationships/hyperlink" Target="https://finance.yahoo.com/quote/600661.SS/?p=600661.SS" TargetMode="External"/><Relationship Id="rId99" Type="http://schemas.openxmlformats.org/officeDocument/2006/relationships/hyperlink" Target="https://finance.yahoo.com/quote/GOLD/?p=GOLD" TargetMode="External"/><Relationship Id="rId122" Type="http://schemas.openxmlformats.org/officeDocument/2006/relationships/hyperlink" Target="https://finance.yahoo.com/quote/1810.HK/?p=1810.HK" TargetMode="External"/><Relationship Id="rId164" Type="http://schemas.openxmlformats.org/officeDocument/2006/relationships/hyperlink" Target="http://9988.hk/" TargetMode="External"/><Relationship Id="rId371" Type="http://schemas.openxmlformats.org/officeDocument/2006/relationships/hyperlink" Target="http://3339.hk/" TargetMode="External"/><Relationship Id="rId427" Type="http://schemas.openxmlformats.org/officeDocument/2006/relationships/hyperlink" Target="http://0700.hk/" TargetMode="External"/><Relationship Id="rId469" Type="http://schemas.openxmlformats.org/officeDocument/2006/relationships/hyperlink" Target="http://300922.sz/" TargetMode="External"/><Relationship Id="rId634" Type="http://schemas.openxmlformats.org/officeDocument/2006/relationships/hyperlink" Target="https://finance.yahoo.com/quote/SOFI/?p=SOFI" TargetMode="External"/><Relationship Id="rId676" Type="http://schemas.openxmlformats.org/officeDocument/2006/relationships/hyperlink" Target="https://finance.yahoo.com/quote/PANW/?p=PANW" TargetMode="External"/><Relationship Id="rId26" Type="http://schemas.openxmlformats.org/officeDocument/2006/relationships/hyperlink" Target="https://finance.yahoo.com/quote/NFLX/?p=NFLX" TargetMode="External"/><Relationship Id="rId231" Type="http://schemas.openxmlformats.org/officeDocument/2006/relationships/hyperlink" Target="http://3800.hk/" TargetMode="External"/><Relationship Id="rId273" Type="http://schemas.openxmlformats.org/officeDocument/2006/relationships/hyperlink" Target="http://0883.hk/" TargetMode="External"/><Relationship Id="rId329" Type="http://schemas.openxmlformats.org/officeDocument/2006/relationships/hyperlink" Target="https://finance.yahoo.com/quote/NFLX/?p=NFLX" TargetMode="External"/><Relationship Id="rId480" Type="http://schemas.openxmlformats.org/officeDocument/2006/relationships/hyperlink" Target="https://finance.yahoo.com/quote/603967.SS/?p=603967.SS" TargetMode="External"/><Relationship Id="rId536" Type="http://schemas.openxmlformats.org/officeDocument/2006/relationships/hyperlink" Target="http://0700.hk/" TargetMode="External"/><Relationship Id="rId68" Type="http://schemas.openxmlformats.org/officeDocument/2006/relationships/hyperlink" Target="https://finance.yahoo.com/quote/AAPL/?p=AAPL" TargetMode="External"/><Relationship Id="rId133" Type="http://schemas.openxmlformats.org/officeDocument/2006/relationships/hyperlink" Target="http://9988.hk/" TargetMode="External"/><Relationship Id="rId175" Type="http://schemas.openxmlformats.org/officeDocument/2006/relationships/hyperlink" Target="https://finance.yahoo.com/quote/AAPL/?p=AAPL" TargetMode="External"/><Relationship Id="rId340" Type="http://schemas.openxmlformats.org/officeDocument/2006/relationships/hyperlink" Target="https://finance.yahoo.com/quote/1898.HK/?p=1898.HK" TargetMode="External"/><Relationship Id="rId578" Type="http://schemas.openxmlformats.org/officeDocument/2006/relationships/hyperlink" Target="http://2800.hk/" TargetMode="External"/><Relationship Id="rId200" Type="http://schemas.openxmlformats.org/officeDocument/2006/relationships/hyperlink" Target="https://finance.yahoo.com/quote/0700.HK/?p=0700.HK" TargetMode="External"/><Relationship Id="rId382" Type="http://schemas.openxmlformats.org/officeDocument/2006/relationships/hyperlink" Target="https://finance.yahoo.com/quote/0175.HK/?p=0175.HK" TargetMode="External"/><Relationship Id="rId438" Type="http://schemas.openxmlformats.org/officeDocument/2006/relationships/hyperlink" Target="https://finance.yahoo.com/quote/GBTC/?p=GBTC" TargetMode="External"/><Relationship Id="rId603" Type="http://schemas.openxmlformats.org/officeDocument/2006/relationships/hyperlink" Target="http://3690.hk/" TargetMode="External"/><Relationship Id="rId645" Type="http://schemas.openxmlformats.org/officeDocument/2006/relationships/hyperlink" Target="https://finance.yahoo.com/quote/0708.HK/?p=0708.HK" TargetMode="External"/><Relationship Id="rId242" Type="http://schemas.openxmlformats.org/officeDocument/2006/relationships/hyperlink" Target="https://finance.yahoo.com/quote/TSLA/?p=TSLA" TargetMode="External"/><Relationship Id="rId284" Type="http://schemas.openxmlformats.org/officeDocument/2006/relationships/hyperlink" Target="https://finance.yahoo.com/quote/RBLX/?p=RBLX" TargetMode="External"/><Relationship Id="rId491" Type="http://schemas.openxmlformats.org/officeDocument/2006/relationships/hyperlink" Target="https://finance.yahoo.com/quote/688076.SS/?p=688076.SS" TargetMode="External"/><Relationship Id="rId505" Type="http://schemas.openxmlformats.org/officeDocument/2006/relationships/hyperlink" Target="https://finance.yahoo.com/quote/GOOGL/?p=GOOGL" TargetMode="External"/><Relationship Id="rId37" Type="http://schemas.openxmlformats.org/officeDocument/2006/relationships/hyperlink" Target="https://finance.yahoo.com/quote/MSFT/?p=MSFT" TargetMode="External"/><Relationship Id="rId79" Type="http://schemas.openxmlformats.org/officeDocument/2006/relationships/hyperlink" Target="http://0700.hk/" TargetMode="External"/><Relationship Id="rId102" Type="http://schemas.openxmlformats.org/officeDocument/2006/relationships/hyperlink" Target="https://finance.yahoo.com/quote/TSLA/?p=TSLA" TargetMode="External"/><Relationship Id="rId144" Type="http://schemas.openxmlformats.org/officeDocument/2006/relationships/hyperlink" Target="https://finance.yahoo.com/quote/1024.HK/?p=1024.HK" TargetMode="External"/><Relationship Id="rId547" Type="http://schemas.openxmlformats.org/officeDocument/2006/relationships/hyperlink" Target="https://finance.yahoo.com/quote/0700.HK/?p=0700.HK" TargetMode="External"/><Relationship Id="rId589" Type="http://schemas.openxmlformats.org/officeDocument/2006/relationships/hyperlink" Target="https://finance.yahoo.com/quote/2800.HK/?p=2800.HK" TargetMode="External"/><Relationship Id="rId90" Type="http://schemas.openxmlformats.org/officeDocument/2006/relationships/hyperlink" Target="https://finance.yahoo.com/quote/BNTX/?p=BNTX" TargetMode="External"/><Relationship Id="rId186" Type="http://schemas.openxmlformats.org/officeDocument/2006/relationships/hyperlink" Target="https://finance.yahoo.com/quote/600519.SS/?p=600519.SS" TargetMode="External"/><Relationship Id="rId351" Type="http://schemas.openxmlformats.org/officeDocument/2006/relationships/hyperlink" Target="https://finance.yahoo.com/quote/6862.HK/?p=6862.HK" TargetMode="External"/><Relationship Id="rId393" Type="http://schemas.openxmlformats.org/officeDocument/2006/relationships/hyperlink" Target="https://finance.yahoo.com/quote/CL=F/?p=CL=F" TargetMode="External"/><Relationship Id="rId407" Type="http://schemas.openxmlformats.org/officeDocument/2006/relationships/hyperlink" Target="https://finance.yahoo.com/quote/AMAT/?p=AMAT" TargetMode="External"/><Relationship Id="rId449" Type="http://schemas.openxmlformats.org/officeDocument/2006/relationships/hyperlink" Target="https://finance.yahoo.com/quote/MGM/?p=MGM" TargetMode="External"/><Relationship Id="rId614" Type="http://schemas.openxmlformats.org/officeDocument/2006/relationships/hyperlink" Target="https://finance.yahoo.com/quote/SOFI/?p=SOFI" TargetMode="External"/><Relationship Id="rId656" Type="http://schemas.openxmlformats.org/officeDocument/2006/relationships/hyperlink" Target="http://0968.hk/" TargetMode="External"/><Relationship Id="rId211" Type="http://schemas.openxmlformats.org/officeDocument/2006/relationships/hyperlink" Target="https://finance.yahoo.com/quote/BABA/?p=BABA" TargetMode="External"/><Relationship Id="rId253" Type="http://schemas.openxmlformats.org/officeDocument/2006/relationships/hyperlink" Target="https://finance.yahoo.com/quote/TSLA/?p=TSLA" TargetMode="External"/><Relationship Id="rId295" Type="http://schemas.openxmlformats.org/officeDocument/2006/relationships/hyperlink" Target="https://finance.yahoo.com/quote/BAC/?p=BAC" TargetMode="External"/><Relationship Id="rId309" Type="http://schemas.openxmlformats.org/officeDocument/2006/relationships/hyperlink" Target="https://finance.yahoo.com/quote/3047.HK/?p=3047.HK" TargetMode="External"/><Relationship Id="rId460" Type="http://schemas.openxmlformats.org/officeDocument/2006/relationships/hyperlink" Target="https://finance.yahoo.com/quote/300922.SZ/?p=300922.SZ" TargetMode="External"/><Relationship Id="rId516" Type="http://schemas.openxmlformats.org/officeDocument/2006/relationships/hyperlink" Target="http://300157.sz/" TargetMode="External"/><Relationship Id="rId48" Type="http://schemas.openxmlformats.org/officeDocument/2006/relationships/hyperlink" Target="https://finance.yahoo.com/quote/XLI/?p=XLI" TargetMode="External"/><Relationship Id="rId113" Type="http://schemas.openxmlformats.org/officeDocument/2006/relationships/hyperlink" Target="http://9626.hk/" TargetMode="External"/><Relationship Id="rId320" Type="http://schemas.openxmlformats.org/officeDocument/2006/relationships/hyperlink" Target="http://0700.hk/" TargetMode="External"/><Relationship Id="rId558" Type="http://schemas.openxmlformats.org/officeDocument/2006/relationships/hyperlink" Target="https://finance.yahoo.com/quote/AAPL/?p=AAPL" TargetMode="External"/><Relationship Id="rId155" Type="http://schemas.openxmlformats.org/officeDocument/2006/relationships/hyperlink" Target="http://600519.ss/" TargetMode="External"/><Relationship Id="rId197" Type="http://schemas.openxmlformats.org/officeDocument/2006/relationships/hyperlink" Target="https://finance.yahoo.com/quote/0070.HK/?p=0070.HK" TargetMode="External"/><Relationship Id="rId362" Type="http://schemas.openxmlformats.org/officeDocument/2006/relationships/hyperlink" Target="https://finance.yahoo.com/quote/2318.HK/?p=2318.HK" TargetMode="External"/><Relationship Id="rId418" Type="http://schemas.openxmlformats.org/officeDocument/2006/relationships/hyperlink" Target="http://002230.sz/" TargetMode="External"/><Relationship Id="rId625" Type="http://schemas.openxmlformats.org/officeDocument/2006/relationships/hyperlink" Target="https://finance.yahoo.com/quote/6969.HK/?p=6969.HK" TargetMode="External"/><Relationship Id="rId222" Type="http://schemas.openxmlformats.org/officeDocument/2006/relationships/hyperlink" Target="https://finance.yahoo.com/quote/ANPDY/?p=ANPDY" TargetMode="External"/><Relationship Id="rId264" Type="http://schemas.openxmlformats.org/officeDocument/2006/relationships/hyperlink" Target="https://finance.yahoo.com/quote/2222.SR/?p=2222.SR" TargetMode="External"/><Relationship Id="rId471" Type="http://schemas.openxmlformats.org/officeDocument/2006/relationships/hyperlink" Target="http://300945.sz/" TargetMode="External"/><Relationship Id="rId667" Type="http://schemas.openxmlformats.org/officeDocument/2006/relationships/hyperlink" Target="http://0909.hk/" TargetMode="External"/><Relationship Id="rId17" Type="http://schemas.openxmlformats.org/officeDocument/2006/relationships/hyperlink" Target="https://finance.yahoo.com/quote/BA/?p=BA" TargetMode="External"/><Relationship Id="rId59" Type="http://schemas.openxmlformats.org/officeDocument/2006/relationships/hyperlink" Target="https://finance.yahoo.com/quote/GOLD/?p=GOLD" TargetMode="External"/><Relationship Id="rId124" Type="http://schemas.openxmlformats.org/officeDocument/2006/relationships/hyperlink" Target="https://finance.yahoo.com/quote/1024.HK/?p=1024.HK" TargetMode="External"/><Relationship Id="rId527" Type="http://schemas.openxmlformats.org/officeDocument/2006/relationships/hyperlink" Target="https://finance.yahoo.com/quote/IXHL/?p=IXHL" TargetMode="External"/><Relationship Id="rId569" Type="http://schemas.openxmlformats.org/officeDocument/2006/relationships/hyperlink" Target="https://finance.yahoo.com/quote/001896.SZ/?p=001896.SZ" TargetMode="External"/><Relationship Id="rId70" Type="http://schemas.openxmlformats.org/officeDocument/2006/relationships/hyperlink" Target="https://finance.yahoo.com/quote/NVDA/?p=NVDA" TargetMode="External"/><Relationship Id="rId166" Type="http://schemas.openxmlformats.org/officeDocument/2006/relationships/hyperlink" Target="http://600519.ss/" TargetMode="External"/><Relationship Id="rId331" Type="http://schemas.openxmlformats.org/officeDocument/2006/relationships/hyperlink" Target="https://finance.yahoo.com/quote/0001.HK/?p=0001.HK" TargetMode="External"/><Relationship Id="rId373" Type="http://schemas.openxmlformats.org/officeDocument/2006/relationships/hyperlink" Target="http://1810.hk/" TargetMode="External"/><Relationship Id="rId429" Type="http://schemas.openxmlformats.org/officeDocument/2006/relationships/hyperlink" Target="http://0700.hk/" TargetMode="External"/><Relationship Id="rId580" Type="http://schemas.openxmlformats.org/officeDocument/2006/relationships/hyperlink" Target="http://9988.hk/" TargetMode="External"/><Relationship Id="rId636" Type="http://schemas.openxmlformats.org/officeDocument/2006/relationships/hyperlink" Target="http://9988.hk/" TargetMode="External"/><Relationship Id="rId1" Type="http://schemas.openxmlformats.org/officeDocument/2006/relationships/hyperlink" Target="https://finance.yahoo.com/quote/AAPL/?p=AAPL" TargetMode="External"/><Relationship Id="rId233" Type="http://schemas.openxmlformats.org/officeDocument/2006/relationships/hyperlink" Target="http://3800.hk/" TargetMode="External"/><Relationship Id="rId440" Type="http://schemas.openxmlformats.org/officeDocument/2006/relationships/hyperlink" Target="https://finance.yahoo.com/quote/MSFT/?p=MSFT" TargetMode="External"/><Relationship Id="rId28" Type="http://schemas.openxmlformats.org/officeDocument/2006/relationships/hyperlink" Target="https://finance.yahoo.com/quote/NVDA/?p=NVDA" TargetMode="External"/><Relationship Id="rId275" Type="http://schemas.openxmlformats.org/officeDocument/2006/relationships/hyperlink" Target="https://finance.yahoo.com/quote/FB/?p=FB" TargetMode="External"/><Relationship Id="rId300" Type="http://schemas.openxmlformats.org/officeDocument/2006/relationships/hyperlink" Target="http://3047.hk/" TargetMode="External"/><Relationship Id="rId482" Type="http://schemas.openxmlformats.org/officeDocument/2006/relationships/hyperlink" Target="https://finance.yahoo.com/quote/603963.SS/?p=603963.SS" TargetMode="External"/><Relationship Id="rId538" Type="http://schemas.openxmlformats.org/officeDocument/2006/relationships/hyperlink" Target="http://000568.sz/" TargetMode="External"/><Relationship Id="rId81" Type="http://schemas.openxmlformats.org/officeDocument/2006/relationships/hyperlink" Target="https://finance.yahoo.com/quote/CL=F/?p=CL=F" TargetMode="External"/><Relationship Id="rId135" Type="http://schemas.openxmlformats.org/officeDocument/2006/relationships/hyperlink" Target="http://1024.hk/" TargetMode="External"/><Relationship Id="rId177" Type="http://schemas.openxmlformats.org/officeDocument/2006/relationships/hyperlink" Target="http://3988.hk/" TargetMode="External"/><Relationship Id="rId342" Type="http://schemas.openxmlformats.org/officeDocument/2006/relationships/hyperlink" Target="https://finance.yahoo.com/quote/9988.HK/?p=9988.HK" TargetMode="External"/><Relationship Id="rId384" Type="http://schemas.openxmlformats.org/officeDocument/2006/relationships/hyperlink" Target="https://finance.yahoo.com/quote/2333.HK/?p=2333.HK" TargetMode="External"/><Relationship Id="rId591" Type="http://schemas.openxmlformats.org/officeDocument/2006/relationships/hyperlink" Target="https://finance.yahoo.com/quote/0388.HK/?p=0388.HK" TargetMode="External"/><Relationship Id="rId605" Type="http://schemas.openxmlformats.org/officeDocument/2006/relationships/hyperlink" Target="http://2269.hk/" TargetMode="External"/><Relationship Id="rId202" Type="http://schemas.openxmlformats.org/officeDocument/2006/relationships/hyperlink" Target="https://finance.yahoo.com/quote/0700.HK/?p=0700.HK" TargetMode="External"/><Relationship Id="rId244" Type="http://schemas.openxmlformats.org/officeDocument/2006/relationships/hyperlink" Target="https://finance.yahoo.com/quote/TSLA/?p=TSLA" TargetMode="External"/><Relationship Id="rId647" Type="http://schemas.openxmlformats.org/officeDocument/2006/relationships/hyperlink" Target="https://finance.yahoo.com/quote/3690.HK/?p=3690.HK" TargetMode="External"/><Relationship Id="rId39" Type="http://schemas.openxmlformats.org/officeDocument/2006/relationships/hyperlink" Target="https://finance.yahoo.com/quote/PFE/?p=PFE" TargetMode="External"/><Relationship Id="rId286" Type="http://schemas.openxmlformats.org/officeDocument/2006/relationships/hyperlink" Target="http://6969.hk/" TargetMode="External"/><Relationship Id="rId451" Type="http://schemas.openxmlformats.org/officeDocument/2006/relationships/hyperlink" Target="http://1498.hk/" TargetMode="External"/><Relationship Id="rId493" Type="http://schemas.openxmlformats.org/officeDocument/2006/relationships/hyperlink" Target="https://finance.yahoo.com/quote/GC=F/?p=GC=F" TargetMode="External"/><Relationship Id="rId507" Type="http://schemas.openxmlformats.org/officeDocument/2006/relationships/hyperlink" Target="http://1398.hk/" TargetMode="External"/><Relationship Id="rId549" Type="http://schemas.openxmlformats.org/officeDocument/2006/relationships/hyperlink" Target="https://finance.yahoo.com/quote/3690.HK/?p=3690.HK" TargetMode="External"/><Relationship Id="rId50" Type="http://schemas.openxmlformats.org/officeDocument/2006/relationships/hyperlink" Target="https://finance.yahoo.com/quote/XLP/?p=XLP" TargetMode="External"/><Relationship Id="rId104" Type="http://schemas.openxmlformats.org/officeDocument/2006/relationships/hyperlink" Target="https://finance.yahoo.com/quote/1109.HK/?p=1109.HK" TargetMode="External"/><Relationship Id="rId146" Type="http://schemas.openxmlformats.org/officeDocument/2006/relationships/hyperlink" Target="https://finance.yahoo.com/quote/1024.HK/?p=1024.HK" TargetMode="External"/><Relationship Id="rId188" Type="http://schemas.openxmlformats.org/officeDocument/2006/relationships/hyperlink" Target="https://finance.yahoo.com/quote/0700.HK/?p=0700.HK" TargetMode="External"/><Relationship Id="rId311" Type="http://schemas.openxmlformats.org/officeDocument/2006/relationships/hyperlink" Target="https://finance.yahoo.com/quote/9988.HK/?p=9988.HK" TargetMode="External"/><Relationship Id="rId353" Type="http://schemas.openxmlformats.org/officeDocument/2006/relationships/hyperlink" Target="https://finance.yahoo.com/quote/3339.HK/?p=3339.HK" TargetMode="External"/><Relationship Id="rId395" Type="http://schemas.openxmlformats.org/officeDocument/2006/relationships/hyperlink" Target="https://finance.yahoo.com/quote/NET/?p=NET" TargetMode="External"/><Relationship Id="rId409" Type="http://schemas.openxmlformats.org/officeDocument/2006/relationships/hyperlink" Target="https://finance.yahoo.com/quote/CL=F/?p=CL=F" TargetMode="External"/><Relationship Id="rId560" Type="http://schemas.openxmlformats.org/officeDocument/2006/relationships/hyperlink" Target="https://finance.yahoo.com/quote/000950.SZ/?p=000950.SZ" TargetMode="External"/><Relationship Id="rId92" Type="http://schemas.openxmlformats.org/officeDocument/2006/relationships/hyperlink" Target="https://finance.yahoo.com/quote/BNTX/?p=BNTX" TargetMode="External"/><Relationship Id="rId213" Type="http://schemas.openxmlformats.org/officeDocument/2006/relationships/hyperlink" Target="https://finance.yahoo.com/quote/0700.HK/?p=0700.HK" TargetMode="External"/><Relationship Id="rId420" Type="http://schemas.openxmlformats.org/officeDocument/2006/relationships/hyperlink" Target="http://002475.sz/" TargetMode="External"/><Relationship Id="rId616" Type="http://schemas.openxmlformats.org/officeDocument/2006/relationships/hyperlink" Target="https://finance.yahoo.com/quote/UVXY/?p=UVXY" TargetMode="External"/><Relationship Id="rId658" Type="http://schemas.openxmlformats.org/officeDocument/2006/relationships/hyperlink" Target="http://3800.hk/" TargetMode="External"/><Relationship Id="rId255" Type="http://schemas.openxmlformats.org/officeDocument/2006/relationships/hyperlink" Target="https://finance.yahoo.com/quote/ABNB/?p=ABNB" TargetMode="External"/><Relationship Id="rId297" Type="http://schemas.openxmlformats.org/officeDocument/2006/relationships/hyperlink" Target="https://finance.yahoo.com/quote/BRK-B/?p=BRK-B" TargetMode="External"/><Relationship Id="rId462" Type="http://schemas.openxmlformats.org/officeDocument/2006/relationships/hyperlink" Target="https://finance.yahoo.com/quote/300945.SZ/?p=300945.SZ" TargetMode="External"/><Relationship Id="rId518" Type="http://schemas.openxmlformats.org/officeDocument/2006/relationships/hyperlink" Target="https://finance.yahoo.com/quote/AMAT/?p=AMAT" TargetMode="External"/><Relationship Id="rId115" Type="http://schemas.openxmlformats.org/officeDocument/2006/relationships/hyperlink" Target="http://9888.hk/" TargetMode="External"/><Relationship Id="rId157" Type="http://schemas.openxmlformats.org/officeDocument/2006/relationships/hyperlink" Target="http://6862.hk/" TargetMode="External"/><Relationship Id="rId322" Type="http://schemas.openxmlformats.org/officeDocument/2006/relationships/hyperlink" Target="http://0700.hk/" TargetMode="External"/><Relationship Id="rId364" Type="http://schemas.openxmlformats.org/officeDocument/2006/relationships/hyperlink" Target="https://finance.yahoo.com/quote/2318.HK/?p=2318.HK" TargetMode="External"/><Relationship Id="rId61" Type="http://schemas.openxmlformats.org/officeDocument/2006/relationships/hyperlink" Target="https://finance.yahoo.com/quote/ANPDY/?p=ANPDY" TargetMode="External"/><Relationship Id="rId199" Type="http://schemas.openxmlformats.org/officeDocument/2006/relationships/hyperlink" Target="http://0700.hk/" TargetMode="External"/><Relationship Id="rId571" Type="http://schemas.openxmlformats.org/officeDocument/2006/relationships/hyperlink" Target="https://finance.yahoo.com/quote/0700.HK/?p=0700.HK" TargetMode="External"/><Relationship Id="rId627" Type="http://schemas.openxmlformats.org/officeDocument/2006/relationships/hyperlink" Target="https://finance.yahoo.com/quote/9698.HK/?p=9698.HK" TargetMode="External"/><Relationship Id="rId669" Type="http://schemas.openxmlformats.org/officeDocument/2006/relationships/hyperlink" Target="http://9961.hk/" TargetMode="External"/><Relationship Id="rId19" Type="http://schemas.openxmlformats.org/officeDocument/2006/relationships/hyperlink" Target="https://finance.yahoo.com/quote/DIDI/?p=DIDI" TargetMode="External"/><Relationship Id="rId224" Type="http://schemas.openxmlformats.org/officeDocument/2006/relationships/hyperlink" Target="https://finance.yahoo.com/quote/GOLD/?p=GOLD" TargetMode="External"/><Relationship Id="rId266" Type="http://schemas.openxmlformats.org/officeDocument/2006/relationships/hyperlink" Target="https://finance.yahoo.com/quote/2222.SR/?p=2222.SR" TargetMode="External"/><Relationship Id="rId431" Type="http://schemas.openxmlformats.org/officeDocument/2006/relationships/hyperlink" Target="http://9868.hk/" TargetMode="External"/><Relationship Id="rId473" Type="http://schemas.openxmlformats.org/officeDocument/2006/relationships/hyperlink" Target="http://601808.ss/" TargetMode="External"/><Relationship Id="rId529" Type="http://schemas.openxmlformats.org/officeDocument/2006/relationships/hyperlink" Target="http://0700.hk/" TargetMode="External"/><Relationship Id="rId30" Type="http://schemas.openxmlformats.org/officeDocument/2006/relationships/hyperlink" Target="https://finance.yahoo.com/quote/SHOP/?p=SHOP" TargetMode="External"/><Relationship Id="rId126" Type="http://schemas.openxmlformats.org/officeDocument/2006/relationships/hyperlink" Target="https://finance.yahoo.com/quote/1810.HK/?p=1810.HK" TargetMode="External"/><Relationship Id="rId168" Type="http://schemas.openxmlformats.org/officeDocument/2006/relationships/hyperlink" Target="https://finance.yahoo.com/quote/XLV/?p=XLV" TargetMode="External"/><Relationship Id="rId333" Type="http://schemas.openxmlformats.org/officeDocument/2006/relationships/hyperlink" Target="https://finance.yahoo.com/quote/0151.HK/?p=0151.HK" TargetMode="External"/><Relationship Id="rId540" Type="http://schemas.openxmlformats.org/officeDocument/2006/relationships/hyperlink" Target="http://1024.hk/" TargetMode="External"/><Relationship Id="rId72" Type="http://schemas.openxmlformats.org/officeDocument/2006/relationships/hyperlink" Target="https://finance.yahoo.com/quote/tcehy/?p=tcehy" TargetMode="External"/><Relationship Id="rId375" Type="http://schemas.openxmlformats.org/officeDocument/2006/relationships/hyperlink" Target="http://2333.hk/" TargetMode="External"/><Relationship Id="rId582" Type="http://schemas.openxmlformats.org/officeDocument/2006/relationships/hyperlink" Target="http://2800.hk/" TargetMode="External"/><Relationship Id="rId638" Type="http://schemas.openxmlformats.org/officeDocument/2006/relationships/hyperlink" Target="https://finance.yahoo.com/quote/SOXL/?p=SOXL" TargetMode="External"/><Relationship Id="rId3" Type="http://schemas.openxmlformats.org/officeDocument/2006/relationships/hyperlink" Target="https://finance.yahoo.com/quote/TSLA/?p=TSLA" TargetMode="External"/><Relationship Id="rId235" Type="http://schemas.openxmlformats.org/officeDocument/2006/relationships/hyperlink" Target="http://3800.hk/" TargetMode="External"/><Relationship Id="rId277" Type="http://schemas.openxmlformats.org/officeDocument/2006/relationships/hyperlink" Target="https://finance.yahoo.com/quote/NFLX/?p=NFLX" TargetMode="External"/><Relationship Id="rId400" Type="http://schemas.openxmlformats.org/officeDocument/2006/relationships/hyperlink" Target="https://finance.yahoo.com/quote/AMAT/?p=AMAT" TargetMode="External"/><Relationship Id="rId442" Type="http://schemas.openxmlformats.org/officeDocument/2006/relationships/hyperlink" Target="https://finance.yahoo.com/quote/UVXY/?p=UVXY" TargetMode="External"/><Relationship Id="rId484" Type="http://schemas.openxmlformats.org/officeDocument/2006/relationships/hyperlink" Target="https://finance.yahoo.com/quote/603963.SS/?p=603963.SS" TargetMode="External"/><Relationship Id="rId137" Type="http://schemas.openxmlformats.org/officeDocument/2006/relationships/hyperlink" Target="http://1810.hk/" TargetMode="External"/><Relationship Id="rId302" Type="http://schemas.openxmlformats.org/officeDocument/2006/relationships/hyperlink" Target="http://9988.hk/" TargetMode="External"/><Relationship Id="rId344" Type="http://schemas.openxmlformats.org/officeDocument/2006/relationships/hyperlink" Target="http://6862.hk/" TargetMode="External"/><Relationship Id="rId41" Type="http://schemas.openxmlformats.org/officeDocument/2006/relationships/hyperlink" Target="https://finance.yahoo.com/quote/005930.KS/?p=005930.KS" TargetMode="External"/><Relationship Id="rId83" Type="http://schemas.openxmlformats.org/officeDocument/2006/relationships/hyperlink" Target="https://finance.yahoo.com/quote/TSLA/?p=TSLA" TargetMode="External"/><Relationship Id="rId179" Type="http://schemas.openxmlformats.org/officeDocument/2006/relationships/hyperlink" Target="https://finance.yahoo.com/quote/JPM/?p=JPM" TargetMode="External"/><Relationship Id="rId386" Type="http://schemas.openxmlformats.org/officeDocument/2006/relationships/hyperlink" Target="https://finance.yahoo.com/quote/0700.HK/?p=0700.HK" TargetMode="External"/><Relationship Id="rId551" Type="http://schemas.openxmlformats.org/officeDocument/2006/relationships/hyperlink" Target="https://finance.yahoo.com/quote/9626.HK/?p=9626.HK" TargetMode="External"/><Relationship Id="rId593" Type="http://schemas.openxmlformats.org/officeDocument/2006/relationships/hyperlink" Target="https://finance.yahoo.com/quote/9988.HK/?p=9988.HK" TargetMode="External"/><Relationship Id="rId607" Type="http://schemas.openxmlformats.org/officeDocument/2006/relationships/hyperlink" Target="https://finance.yahoo.com/quote/UVXY/?p=UVXY" TargetMode="External"/><Relationship Id="rId649" Type="http://schemas.openxmlformats.org/officeDocument/2006/relationships/hyperlink" Target="https://finance.yahoo.com/quote/SBRCY/?p=SBRCY" TargetMode="External"/><Relationship Id="rId190" Type="http://schemas.openxmlformats.org/officeDocument/2006/relationships/hyperlink" Target="https://finance.yahoo.com/quote/GOOG/?p=GOOG" TargetMode="External"/><Relationship Id="rId204" Type="http://schemas.openxmlformats.org/officeDocument/2006/relationships/hyperlink" Target="https://finance.yahoo.com/quote/BABA/?p=BABA" TargetMode="External"/><Relationship Id="rId246" Type="http://schemas.openxmlformats.org/officeDocument/2006/relationships/hyperlink" Target="https://finance.yahoo.com/quote/DIS/?p=DIS" TargetMode="External"/><Relationship Id="rId288" Type="http://schemas.openxmlformats.org/officeDocument/2006/relationships/hyperlink" Target="https://finance.yahoo.com/quote/TSLA/?p=TSLA" TargetMode="External"/><Relationship Id="rId411" Type="http://schemas.openxmlformats.org/officeDocument/2006/relationships/hyperlink" Target="https://finance.yahoo.com/quote/NET/?p=NET" TargetMode="External"/><Relationship Id="rId453" Type="http://schemas.openxmlformats.org/officeDocument/2006/relationships/hyperlink" Target="http://000554.sz/" TargetMode="External"/><Relationship Id="rId509" Type="http://schemas.openxmlformats.org/officeDocument/2006/relationships/hyperlink" Target="https://finance.yahoo.com/quote/NET/?p=NET" TargetMode="External"/><Relationship Id="rId660" Type="http://schemas.openxmlformats.org/officeDocument/2006/relationships/hyperlink" Target="http://9988.hk/" TargetMode="External"/><Relationship Id="rId106" Type="http://schemas.openxmlformats.org/officeDocument/2006/relationships/hyperlink" Target="https://finance.yahoo.com/quote/1109.HK/?p=1109.HK" TargetMode="External"/><Relationship Id="rId313" Type="http://schemas.openxmlformats.org/officeDocument/2006/relationships/hyperlink" Target="https://finance.yahoo.com/quote/9988.HK/?p=9988.HK" TargetMode="External"/><Relationship Id="rId495" Type="http://schemas.openxmlformats.org/officeDocument/2006/relationships/hyperlink" Target="https://finance.yahoo.com/quote/002670.SZ/?p=002670.SZ" TargetMode="External"/><Relationship Id="rId10" Type="http://schemas.openxmlformats.org/officeDocument/2006/relationships/hyperlink" Target="https://finance.yahoo.com/quote/MSFT/?p=MSFT" TargetMode="External"/><Relationship Id="rId52" Type="http://schemas.openxmlformats.org/officeDocument/2006/relationships/hyperlink" Target="https://finance.yahoo.com/quote/XLU/?p=XLU" TargetMode="External"/><Relationship Id="rId94" Type="http://schemas.openxmlformats.org/officeDocument/2006/relationships/hyperlink" Target="https://finance.yahoo.com/quote/DVN/?p=DVN" TargetMode="External"/><Relationship Id="rId148" Type="http://schemas.openxmlformats.org/officeDocument/2006/relationships/hyperlink" Target="https://finance.yahoo.com/quote/6680.HK/?p=6680.HK" TargetMode="External"/><Relationship Id="rId355" Type="http://schemas.openxmlformats.org/officeDocument/2006/relationships/hyperlink" Target="https://finance.yahoo.com/quote/PFE/?p=PFE" TargetMode="External"/><Relationship Id="rId397" Type="http://schemas.openxmlformats.org/officeDocument/2006/relationships/hyperlink" Target="https://finance.yahoo.com/quote/1398.HK/?p=1398.HK" TargetMode="External"/><Relationship Id="rId520" Type="http://schemas.openxmlformats.org/officeDocument/2006/relationships/hyperlink" Target="https://finance.yahoo.com/quote/AAPL/?p=AAPL" TargetMode="External"/><Relationship Id="rId562" Type="http://schemas.openxmlformats.org/officeDocument/2006/relationships/hyperlink" Target="https://finance.yahoo.com/quote/600661.SS/?p=600661.SS" TargetMode="External"/><Relationship Id="rId618" Type="http://schemas.openxmlformats.org/officeDocument/2006/relationships/hyperlink" Target="https://finance.yahoo.com/quote/9698.HK/?p=9698.HK" TargetMode="External"/><Relationship Id="rId215" Type="http://schemas.openxmlformats.org/officeDocument/2006/relationships/hyperlink" Target="http://ubi.pa/" TargetMode="External"/><Relationship Id="rId257" Type="http://schemas.openxmlformats.org/officeDocument/2006/relationships/hyperlink" Target="https://finance.yahoo.com/quote/AAPL/?p=AAPL" TargetMode="External"/><Relationship Id="rId422" Type="http://schemas.openxmlformats.org/officeDocument/2006/relationships/hyperlink" Target="https://finance.yahoo.com/quote/XLE/?p=XLE" TargetMode="External"/><Relationship Id="rId464" Type="http://schemas.openxmlformats.org/officeDocument/2006/relationships/hyperlink" Target="https://finance.yahoo.com/quote/601808.SS/?p=601808.SS" TargetMode="External"/><Relationship Id="rId299" Type="http://schemas.openxmlformats.org/officeDocument/2006/relationships/hyperlink" Target="https://finance.yahoo.com/quote/0941.HK/?p=0941.HK" TargetMode="External"/><Relationship Id="rId63" Type="http://schemas.openxmlformats.org/officeDocument/2006/relationships/hyperlink" Target="https://finance.yahoo.com/quote/VYGLX/?p=VYGLX" TargetMode="External"/><Relationship Id="rId159" Type="http://schemas.openxmlformats.org/officeDocument/2006/relationships/hyperlink" Target="http://9988.hk/" TargetMode="External"/><Relationship Id="rId366" Type="http://schemas.openxmlformats.org/officeDocument/2006/relationships/hyperlink" Target="https://finance.yahoo.com/quote/1610.HK/?p=1610.HK" TargetMode="External"/><Relationship Id="rId573" Type="http://schemas.openxmlformats.org/officeDocument/2006/relationships/hyperlink" Target="https://finance.yahoo.com/quote/0700.HK/?p=0700.HK" TargetMode="External"/><Relationship Id="rId226" Type="http://schemas.openxmlformats.org/officeDocument/2006/relationships/hyperlink" Target="https://finance.yahoo.com/quote/ANPDY/?p=ANPDY" TargetMode="External"/><Relationship Id="rId433" Type="http://schemas.openxmlformats.org/officeDocument/2006/relationships/hyperlink" Target="http://1810.hk/" TargetMode="External"/><Relationship Id="rId640" Type="http://schemas.openxmlformats.org/officeDocument/2006/relationships/hyperlink" Target="https://finance.yahoo.com/quote/TCEHY/?p=TCEHY" TargetMode="External"/><Relationship Id="rId74" Type="http://schemas.openxmlformats.org/officeDocument/2006/relationships/hyperlink" Target="https://finance.yahoo.com/quote/2318.hk/?p=2318.hk" TargetMode="External"/><Relationship Id="rId377" Type="http://schemas.openxmlformats.org/officeDocument/2006/relationships/hyperlink" Target="http://3339.hk/" TargetMode="External"/><Relationship Id="rId500" Type="http://schemas.openxmlformats.org/officeDocument/2006/relationships/hyperlink" Target="https://finance.yahoo.com/quote/GC=F/?p=GC=F" TargetMode="External"/><Relationship Id="rId584" Type="http://schemas.openxmlformats.org/officeDocument/2006/relationships/hyperlink" Target="http://9988.hk/" TargetMode="External"/><Relationship Id="rId5" Type="http://schemas.openxmlformats.org/officeDocument/2006/relationships/hyperlink" Target="https://finance.yahoo.com/quote/CL=F/?p=CL=F" TargetMode="External"/><Relationship Id="rId237" Type="http://schemas.openxmlformats.org/officeDocument/2006/relationships/hyperlink" Target="https://finance.yahoo.com/quote/TSLA/?p=TSLA" TargetMode="External"/><Relationship Id="rId444" Type="http://schemas.openxmlformats.org/officeDocument/2006/relationships/hyperlink" Target="http://600519.ss/" TargetMode="External"/><Relationship Id="rId651" Type="http://schemas.openxmlformats.org/officeDocument/2006/relationships/hyperlink" Target="https://finance.yahoo.com/quote/3833.HK/?p=3833.HK" TargetMode="External"/><Relationship Id="rId290" Type="http://schemas.openxmlformats.org/officeDocument/2006/relationships/hyperlink" Target="https://finance.yahoo.com/quote/AMZN/?p=AMZN" TargetMode="External"/><Relationship Id="rId304" Type="http://schemas.openxmlformats.org/officeDocument/2006/relationships/hyperlink" Target="https://finance.yahoo.com/quote/SARK/?p=SARK" TargetMode="External"/><Relationship Id="rId388" Type="http://schemas.openxmlformats.org/officeDocument/2006/relationships/hyperlink" Target="https://finance.yahoo.com/quote/3690.HK/?p=3690.HK" TargetMode="External"/><Relationship Id="rId511" Type="http://schemas.openxmlformats.org/officeDocument/2006/relationships/hyperlink" Target="https://finance.yahoo.com/quote/CL=F/?p=CL=F" TargetMode="External"/><Relationship Id="rId609" Type="http://schemas.openxmlformats.org/officeDocument/2006/relationships/hyperlink" Target="https://finance.yahoo.com/quote/9698.HK/?p=9698.HK" TargetMode="External"/><Relationship Id="rId85" Type="http://schemas.openxmlformats.org/officeDocument/2006/relationships/hyperlink" Target="https://finance.yahoo.com/quote/BMBL/?p=BMBL" TargetMode="External"/><Relationship Id="rId150" Type="http://schemas.openxmlformats.org/officeDocument/2006/relationships/hyperlink" Target="https://finance.yahoo.com/quote/9988.HK/?p=9988.HK" TargetMode="External"/><Relationship Id="rId595" Type="http://schemas.openxmlformats.org/officeDocument/2006/relationships/hyperlink" Target="https://finance.yahoo.com/quote/9988.HK/?p=9988.HK" TargetMode="External"/><Relationship Id="rId248" Type="http://schemas.openxmlformats.org/officeDocument/2006/relationships/hyperlink" Target="https://www.bondsupermart.com/bsm/general-search/US88032XAE40" TargetMode="External"/><Relationship Id="rId455" Type="http://schemas.openxmlformats.org/officeDocument/2006/relationships/hyperlink" Target="http://002665.sz/" TargetMode="External"/><Relationship Id="rId662" Type="http://schemas.openxmlformats.org/officeDocument/2006/relationships/hyperlink" Target="http://9999.hk/" TargetMode="External"/><Relationship Id="rId12" Type="http://schemas.openxmlformats.org/officeDocument/2006/relationships/hyperlink" Target="https://finance.yahoo.com/quote/%5ECMC200/?p=%5ECMC200" TargetMode="External"/><Relationship Id="rId108" Type="http://schemas.openxmlformats.org/officeDocument/2006/relationships/hyperlink" Target="https://finance.yahoo.com/quote/0700.hk/?p=0700.hk" TargetMode="External"/><Relationship Id="rId315" Type="http://schemas.openxmlformats.org/officeDocument/2006/relationships/hyperlink" Target="https://finance.yahoo.com/quote/SARK/?p=SARK" TargetMode="External"/><Relationship Id="rId522" Type="http://schemas.openxmlformats.org/officeDocument/2006/relationships/hyperlink" Target="https://finance.yahoo.com/quote/CL=F/?p=CL=F" TargetMode="External"/><Relationship Id="rId96" Type="http://schemas.openxmlformats.org/officeDocument/2006/relationships/hyperlink" Target="https://finance.yahoo.com/quote/TSLA/?p=TSLA" TargetMode="External"/><Relationship Id="rId161" Type="http://schemas.openxmlformats.org/officeDocument/2006/relationships/hyperlink" Target="https://finance.yahoo.com/quote/XLV/?p=XLV" TargetMode="External"/><Relationship Id="rId399" Type="http://schemas.openxmlformats.org/officeDocument/2006/relationships/hyperlink" Target="https://finance.yahoo.com/quote/300157.SZ/?p=300157.SZ" TargetMode="External"/><Relationship Id="rId259" Type="http://schemas.openxmlformats.org/officeDocument/2006/relationships/hyperlink" Target="https://finance.yahoo.com/quote/TSLA/?p=TSLA" TargetMode="External"/><Relationship Id="rId466" Type="http://schemas.openxmlformats.org/officeDocument/2006/relationships/hyperlink" Target="https://finance.yahoo.com/quote/000554.SZ/?p=000554.SZ" TargetMode="External"/><Relationship Id="rId673" Type="http://schemas.openxmlformats.org/officeDocument/2006/relationships/hyperlink" Target="https://finance.yahoo.com/quote/AMGN/?p=AMGN" TargetMode="External"/><Relationship Id="rId23" Type="http://schemas.openxmlformats.org/officeDocument/2006/relationships/hyperlink" Target="https://finance.yahoo.com/quote/LUNA1-USD/?p=LUNA1-USD" TargetMode="External"/><Relationship Id="rId119" Type="http://schemas.openxmlformats.org/officeDocument/2006/relationships/hyperlink" Target="https://finance.yahoo.com/quote/TSLA/?p=TSLA" TargetMode="External"/><Relationship Id="rId326" Type="http://schemas.openxmlformats.org/officeDocument/2006/relationships/hyperlink" Target="http://9988.hk/" TargetMode="External"/><Relationship Id="rId533" Type="http://schemas.openxmlformats.org/officeDocument/2006/relationships/hyperlink" Target="https://finance.yahoo.com/quote/JD/?p=JD" TargetMode="External"/><Relationship Id="rId172" Type="http://schemas.openxmlformats.org/officeDocument/2006/relationships/hyperlink" Target="https://finance.yahoo.com/quote/603392.SS/?p=603392.SS" TargetMode="External"/><Relationship Id="rId477" Type="http://schemas.openxmlformats.org/officeDocument/2006/relationships/hyperlink" Target="http://002665.sz/" TargetMode="External"/><Relationship Id="rId600" Type="http://schemas.openxmlformats.org/officeDocument/2006/relationships/hyperlink" Target="https://finance.yahoo.com/quote/9698.HK/?p=9698.HK" TargetMode="External"/><Relationship Id="rId337" Type="http://schemas.openxmlformats.org/officeDocument/2006/relationships/hyperlink" Target="https://finance.yahoo.com/quote/0151.HK/?p=0151.HK" TargetMode="External"/><Relationship Id="rId34" Type="http://schemas.openxmlformats.org/officeDocument/2006/relationships/hyperlink" Target="https://finance.yahoo.com/quote/F/?p=F" TargetMode="External"/><Relationship Id="rId544" Type="http://schemas.openxmlformats.org/officeDocument/2006/relationships/hyperlink" Target="http://3690.hk/" TargetMode="External"/><Relationship Id="rId183" Type="http://schemas.openxmlformats.org/officeDocument/2006/relationships/hyperlink" Target="http://0700.hk/" TargetMode="External"/><Relationship Id="rId390" Type="http://schemas.openxmlformats.org/officeDocument/2006/relationships/hyperlink" Target="https://finance.yahoo.com/quote/1398.HK/?p=1398.HK" TargetMode="External"/><Relationship Id="rId404" Type="http://schemas.openxmlformats.org/officeDocument/2006/relationships/hyperlink" Target="https://finance.yahoo.com/quote/BRK-B/?p=BRK-B" TargetMode="External"/><Relationship Id="rId611" Type="http://schemas.openxmlformats.org/officeDocument/2006/relationships/hyperlink" Target="https://finance.yahoo.com/quote/6969.HK/?p=6969.HK" TargetMode="External"/><Relationship Id="rId250" Type="http://schemas.openxmlformats.org/officeDocument/2006/relationships/hyperlink" Target="https://finance.yahoo.com/quote/2020.HK/?p=2020.HK" TargetMode="External"/><Relationship Id="rId488" Type="http://schemas.openxmlformats.org/officeDocument/2006/relationships/hyperlink" Target="http://603538.ss/" TargetMode="External"/><Relationship Id="rId45" Type="http://schemas.openxmlformats.org/officeDocument/2006/relationships/hyperlink" Target="https://finance.yahoo.com/quote/XLC/?p=XLC" TargetMode="External"/><Relationship Id="rId110" Type="http://schemas.openxmlformats.org/officeDocument/2006/relationships/hyperlink" Target="https://finance.yahoo.com/quote/SOFI/?p=SOFI" TargetMode="External"/><Relationship Id="rId348" Type="http://schemas.openxmlformats.org/officeDocument/2006/relationships/hyperlink" Target="http://0700.hk/" TargetMode="External"/><Relationship Id="rId555" Type="http://schemas.openxmlformats.org/officeDocument/2006/relationships/hyperlink" Target="https://finance.yahoo.com/quote/3690.HK/?p=3690.HK" TargetMode="External"/><Relationship Id="rId194" Type="http://schemas.openxmlformats.org/officeDocument/2006/relationships/hyperlink" Target="https://finance.yahoo.com/quote/AMZN/?p=AMZN" TargetMode="External"/><Relationship Id="rId208" Type="http://schemas.openxmlformats.org/officeDocument/2006/relationships/hyperlink" Target="https://finance.yahoo.com/quote/0700.HK/?p=0700.HK" TargetMode="External"/><Relationship Id="rId415" Type="http://schemas.openxmlformats.org/officeDocument/2006/relationships/hyperlink" Target="https://finance.yahoo.com/quote/601168.ss/?p=601168.ss" TargetMode="External"/><Relationship Id="rId622" Type="http://schemas.openxmlformats.org/officeDocument/2006/relationships/hyperlink" Target="https://finance.yahoo.com/quote/UVXY/?p=UVXY" TargetMode="External"/><Relationship Id="rId261" Type="http://schemas.openxmlformats.org/officeDocument/2006/relationships/hyperlink" Target="https://finance.yahoo.com/quote/DIS/?p=DIS" TargetMode="External"/><Relationship Id="rId499" Type="http://schemas.openxmlformats.org/officeDocument/2006/relationships/hyperlink" Target="https://finance.yahoo.com/quote/9988.HK/?p=9988.HK" TargetMode="External"/><Relationship Id="rId56" Type="http://schemas.openxmlformats.org/officeDocument/2006/relationships/hyperlink" Target="https://finance.yahoo.com/quote/TSLA/?p=TSLA" TargetMode="External"/><Relationship Id="rId359" Type="http://schemas.openxmlformats.org/officeDocument/2006/relationships/hyperlink" Target="https://finance.yahoo.com/quote/NFLX/?p=NFLX" TargetMode="External"/><Relationship Id="rId566" Type="http://schemas.openxmlformats.org/officeDocument/2006/relationships/hyperlink" Target="http://600661.ss/" TargetMode="External"/><Relationship Id="rId121" Type="http://schemas.openxmlformats.org/officeDocument/2006/relationships/hyperlink" Target="http://1810.hk/" TargetMode="External"/><Relationship Id="rId219" Type="http://schemas.openxmlformats.org/officeDocument/2006/relationships/hyperlink" Target="https://finance.yahoo.com/quote/SONY/?p=SONY" TargetMode="External"/><Relationship Id="rId426" Type="http://schemas.openxmlformats.org/officeDocument/2006/relationships/hyperlink" Target="https://finance.yahoo.com/quote/3800.HK/?p=3800.HK" TargetMode="External"/><Relationship Id="rId633" Type="http://schemas.openxmlformats.org/officeDocument/2006/relationships/hyperlink" Target="https://finance.yahoo.com/quote/NU/?p=NU" TargetMode="External"/><Relationship Id="rId67" Type="http://schemas.openxmlformats.org/officeDocument/2006/relationships/hyperlink" Target="https://finance.yahoo.com/quote/WMT/?p=WMT" TargetMode="External"/><Relationship Id="rId272" Type="http://schemas.openxmlformats.org/officeDocument/2006/relationships/hyperlink" Target="https://finance.yahoo.com/quote/FB/?p=FB" TargetMode="External"/><Relationship Id="rId577" Type="http://schemas.openxmlformats.org/officeDocument/2006/relationships/hyperlink" Target="https://finance.yahoo.com/quote/0941.HK/?p=0941.HK" TargetMode="External"/><Relationship Id="rId132" Type="http://schemas.openxmlformats.org/officeDocument/2006/relationships/hyperlink" Target="https://finance.yahoo.com/quote/1810.HK/?p=1810.HK" TargetMode="External"/><Relationship Id="rId437" Type="http://schemas.openxmlformats.org/officeDocument/2006/relationships/hyperlink" Target="https://finance.yahoo.com/quote/f/?p=f" TargetMode="External"/><Relationship Id="rId644" Type="http://schemas.openxmlformats.org/officeDocument/2006/relationships/hyperlink" Target="http://0708.hk/" TargetMode="External"/><Relationship Id="rId283" Type="http://schemas.openxmlformats.org/officeDocument/2006/relationships/hyperlink" Target="https://finance.yahoo.com/quote/GOOG/?p=GOOG" TargetMode="External"/><Relationship Id="rId490" Type="http://schemas.openxmlformats.org/officeDocument/2006/relationships/hyperlink" Target="http://688076.ss/" TargetMode="External"/><Relationship Id="rId504" Type="http://schemas.openxmlformats.org/officeDocument/2006/relationships/hyperlink" Target="https://finance.yahoo.com/quote/ISPO/?p=ISPO" TargetMode="External"/><Relationship Id="rId78" Type="http://schemas.openxmlformats.org/officeDocument/2006/relationships/hyperlink" Target="https://finance.yahoo.com/quote/2607.hk/?p=2607.hk" TargetMode="External"/><Relationship Id="rId143" Type="http://schemas.openxmlformats.org/officeDocument/2006/relationships/hyperlink" Target="http://1024.hk/" TargetMode="External"/><Relationship Id="rId350" Type="http://schemas.openxmlformats.org/officeDocument/2006/relationships/hyperlink" Target="http://6862.hk/" TargetMode="External"/><Relationship Id="rId588" Type="http://schemas.openxmlformats.org/officeDocument/2006/relationships/hyperlink" Target="http://2800.hk/" TargetMode="External"/><Relationship Id="rId9" Type="http://schemas.openxmlformats.org/officeDocument/2006/relationships/hyperlink" Target="https://finance.yahoo.com/quote/AMZN/?p=AMZN" TargetMode="External"/><Relationship Id="rId210" Type="http://schemas.openxmlformats.org/officeDocument/2006/relationships/hyperlink" Target="https://finance.yahoo.com/quote/AMZN/?p=AMZN" TargetMode="External"/><Relationship Id="rId448" Type="http://schemas.openxmlformats.org/officeDocument/2006/relationships/hyperlink" Target="https://finance.yahoo.com/quote/TSLA/?p=TSLA" TargetMode="External"/><Relationship Id="rId655" Type="http://schemas.openxmlformats.org/officeDocument/2006/relationships/hyperlink" Target="https://finance.yahoo.com/quote/0175.HK/?p=0175.HK" TargetMode="External"/><Relationship Id="rId294" Type="http://schemas.openxmlformats.org/officeDocument/2006/relationships/hyperlink" Target="https://finance.yahoo.com/quote/GC=F/?p=GC=F" TargetMode="External"/><Relationship Id="rId308" Type="http://schemas.openxmlformats.org/officeDocument/2006/relationships/hyperlink" Target="http://3047.hk/" TargetMode="External"/><Relationship Id="rId515" Type="http://schemas.openxmlformats.org/officeDocument/2006/relationships/hyperlink" Target="https://finance.yahoo.com/quote/1398.HK/?p=1398.HK" TargetMode="External"/><Relationship Id="rId89" Type="http://schemas.openxmlformats.org/officeDocument/2006/relationships/hyperlink" Target="https://finance.yahoo.com/quote/0388.HK/?p=0388.HK" TargetMode="External"/><Relationship Id="rId154" Type="http://schemas.openxmlformats.org/officeDocument/2006/relationships/hyperlink" Target="https://finance.yahoo.com/quote/9988.HK/?p=9988.HK" TargetMode="External"/><Relationship Id="rId361" Type="http://schemas.openxmlformats.org/officeDocument/2006/relationships/hyperlink" Target="http://2318.hk/" TargetMode="External"/><Relationship Id="rId599" Type="http://schemas.openxmlformats.org/officeDocument/2006/relationships/hyperlink" Target="http://9698.hk/" TargetMode="External"/><Relationship Id="rId459" Type="http://schemas.openxmlformats.org/officeDocument/2006/relationships/hyperlink" Target="http://300922.sz/" TargetMode="External"/><Relationship Id="rId666" Type="http://schemas.openxmlformats.org/officeDocument/2006/relationships/hyperlink" Target="https://finance.yahoo.com/quote/AMZN/?p=AMZN" TargetMode="External"/><Relationship Id="rId16" Type="http://schemas.openxmlformats.org/officeDocument/2006/relationships/hyperlink" Target="https://finance.yahoo.com/quote/AMC/?p=AMC" TargetMode="External"/><Relationship Id="rId221" Type="http://schemas.openxmlformats.org/officeDocument/2006/relationships/hyperlink" Target="https://finance.yahoo.com/quote/TSLA/?p=TSLA" TargetMode="External"/><Relationship Id="rId319" Type="http://schemas.openxmlformats.org/officeDocument/2006/relationships/hyperlink" Target="https://finance.yahoo.com/quote/0700.HK/?p=0700.HK" TargetMode="External"/><Relationship Id="rId526" Type="http://schemas.openxmlformats.org/officeDocument/2006/relationships/hyperlink" Target="https://finance.yahoo.com/quote/1398.HK/?p=1398.HK" TargetMode="External"/><Relationship Id="rId165" Type="http://schemas.openxmlformats.org/officeDocument/2006/relationships/hyperlink" Target="https://finance.yahoo.com/quote/9988.HK/?p=9988.HK" TargetMode="External"/><Relationship Id="rId372" Type="http://schemas.openxmlformats.org/officeDocument/2006/relationships/hyperlink" Target="https://finance.yahoo.com/quote/3339.HK/?p=3339.HK" TargetMode="External"/><Relationship Id="rId677" Type="http://schemas.openxmlformats.org/officeDocument/2006/relationships/hyperlink" Target="http://1024.hk/" TargetMode="External"/><Relationship Id="rId232" Type="http://schemas.openxmlformats.org/officeDocument/2006/relationships/hyperlink" Target="https://finance.yahoo.com/quote/3800.hk/?p=3800.hk" TargetMode="External"/><Relationship Id="rId27" Type="http://schemas.openxmlformats.org/officeDocument/2006/relationships/hyperlink" Target="https://finance.yahoo.com/quote/NKE/?p=NKE" TargetMode="External"/><Relationship Id="rId537" Type="http://schemas.openxmlformats.org/officeDocument/2006/relationships/hyperlink" Target="https://finance.yahoo.com/quote/0700.HK/?p=0700.HK" TargetMode="External"/><Relationship Id="rId80" Type="http://schemas.openxmlformats.org/officeDocument/2006/relationships/hyperlink" Target="https://finance.yahoo.com/quote/0700.HK/?p=0700.HK" TargetMode="External"/><Relationship Id="rId176" Type="http://schemas.openxmlformats.org/officeDocument/2006/relationships/hyperlink" Target="https://finance.yahoo.com/quote/BZ=F/?p=BZ=F" TargetMode="External"/><Relationship Id="rId383" Type="http://schemas.openxmlformats.org/officeDocument/2006/relationships/hyperlink" Target="http://2333.hk/" TargetMode="External"/><Relationship Id="rId590" Type="http://schemas.openxmlformats.org/officeDocument/2006/relationships/hyperlink" Target="http://0388.hk/" TargetMode="External"/><Relationship Id="rId604" Type="http://schemas.openxmlformats.org/officeDocument/2006/relationships/hyperlink" Target="https://finance.yahoo.com/quote/3690.HK/?p=3690.HK" TargetMode="External"/><Relationship Id="rId243" Type="http://schemas.openxmlformats.org/officeDocument/2006/relationships/hyperlink" Target="https://finance.yahoo.com/quote/DIS/?p=DIS" TargetMode="External"/><Relationship Id="rId450" Type="http://schemas.openxmlformats.org/officeDocument/2006/relationships/hyperlink" Target="https://finance.yahoo.com/quote/XPEV/?p=XPEV"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finance.yahoo.com/quote/ABNB/history?p=ABNB" TargetMode="External"/><Relationship Id="rId21" Type="http://schemas.openxmlformats.org/officeDocument/2006/relationships/hyperlink" Target="https://finance.yahoo.com/quote/601168.ss/history?p=601168.ss" TargetMode="External"/><Relationship Id="rId42" Type="http://schemas.openxmlformats.org/officeDocument/2006/relationships/hyperlink" Target="https://finance.yahoo.com/quote/tcehy/history?p=tcehy" TargetMode="External"/><Relationship Id="rId63" Type="http://schemas.openxmlformats.org/officeDocument/2006/relationships/hyperlink" Target="https://finance.yahoo.com/quote/TMUS/history?p=TMUS" TargetMode="External"/><Relationship Id="rId84" Type="http://schemas.openxmlformats.org/officeDocument/2006/relationships/hyperlink" Target="https://finance.yahoo.com/quote/300157.SZ/history?p=300157.SZ" TargetMode="External"/><Relationship Id="rId138" Type="http://schemas.openxmlformats.org/officeDocument/2006/relationships/hyperlink" Target="https://finance.yahoo.com/quote/XLV/history?p=XLV" TargetMode="External"/><Relationship Id="rId159" Type="http://schemas.openxmlformats.org/officeDocument/2006/relationships/hyperlink" Target="https://finance.yahoo.com/quote/DVN/history?p=DVN" TargetMode="External"/><Relationship Id="rId170" Type="http://schemas.openxmlformats.org/officeDocument/2006/relationships/hyperlink" Target="https://finance.yahoo.com/quote/SHOP/history?p=SHOP" TargetMode="External"/><Relationship Id="rId191" Type="http://schemas.openxmlformats.org/officeDocument/2006/relationships/hyperlink" Target="http://0909.hk/" TargetMode="External"/><Relationship Id="rId205" Type="http://schemas.openxmlformats.org/officeDocument/2006/relationships/hyperlink" Target="http://9888.hk/" TargetMode="External"/><Relationship Id="rId226" Type="http://schemas.openxmlformats.org/officeDocument/2006/relationships/hyperlink" Target="http://600519.ss/" TargetMode="External"/><Relationship Id="rId107" Type="http://schemas.openxmlformats.org/officeDocument/2006/relationships/hyperlink" Target="https://finance.yahoo.com/quote/603963.SS/history?p=603963.SS" TargetMode="External"/><Relationship Id="rId11" Type="http://schemas.openxmlformats.org/officeDocument/2006/relationships/hyperlink" Target="https://finance.yahoo.com/quote/3690.HK/history?p=3690.HK" TargetMode="External"/><Relationship Id="rId32" Type="http://schemas.openxmlformats.org/officeDocument/2006/relationships/hyperlink" Target="https://finance.yahoo.com/quote/2333.HK/history?p=2333.HK" TargetMode="External"/><Relationship Id="rId53" Type="http://schemas.openxmlformats.org/officeDocument/2006/relationships/hyperlink" Target="https://finance.yahoo.com/quote/0175.HK/history?p=0175.HK" TargetMode="External"/><Relationship Id="rId74" Type="http://schemas.openxmlformats.org/officeDocument/2006/relationships/hyperlink" Target="https://finance.yahoo.com/quote/NU/history?p=NU" TargetMode="External"/><Relationship Id="rId128" Type="http://schemas.openxmlformats.org/officeDocument/2006/relationships/hyperlink" Target="https://finance.yahoo.com/quote/TSLA220318C00005000/history?p=TSLA220318C00005000" TargetMode="External"/><Relationship Id="rId149" Type="http://schemas.openxmlformats.org/officeDocument/2006/relationships/hyperlink" Target="https://finance.yahoo.com/quote/BZ=F/history?p=BZ=F" TargetMode="External"/><Relationship Id="rId5" Type="http://schemas.openxmlformats.org/officeDocument/2006/relationships/hyperlink" Target="https://finance.yahoo.com/quote/0883.HK/history?p=0883.HK" TargetMode="External"/><Relationship Id="rId95" Type="http://schemas.openxmlformats.org/officeDocument/2006/relationships/hyperlink" Target="https://finance.yahoo.com/quote/SBRCY/history?p=SBRCY" TargetMode="External"/><Relationship Id="rId160" Type="http://schemas.openxmlformats.org/officeDocument/2006/relationships/hyperlink" Target="https://finance.yahoo.com/quote/OXY/history?p=OXY" TargetMode="External"/><Relationship Id="rId181" Type="http://schemas.openxmlformats.org/officeDocument/2006/relationships/hyperlink" Target="http://2333.hk/" TargetMode="External"/><Relationship Id="rId216" Type="http://schemas.openxmlformats.org/officeDocument/2006/relationships/hyperlink" Target="http://6680.hk/" TargetMode="External"/><Relationship Id="rId22" Type="http://schemas.openxmlformats.org/officeDocument/2006/relationships/hyperlink" Target="https://finance.yahoo.com/quote/MCD/history?p=MCD" TargetMode="External"/><Relationship Id="rId43" Type="http://schemas.openxmlformats.org/officeDocument/2006/relationships/hyperlink" Target="https://www.bondsupermart.com/bsm/bond-factsheet/US023135AN60" TargetMode="External"/><Relationship Id="rId64" Type="http://schemas.openxmlformats.org/officeDocument/2006/relationships/hyperlink" Target="https://finance.yahoo.com/quote/F/history?p=F" TargetMode="External"/><Relationship Id="rId118" Type="http://schemas.openxmlformats.org/officeDocument/2006/relationships/hyperlink" Target="https://finance.yahoo.com/quote/0388.HK/history?p=0388.HK" TargetMode="External"/><Relationship Id="rId139" Type="http://schemas.openxmlformats.org/officeDocument/2006/relationships/hyperlink" Target="https://finance.yahoo.com/quote/603939.SS/history?p=603939.SS" TargetMode="External"/><Relationship Id="rId85" Type="http://schemas.openxmlformats.org/officeDocument/2006/relationships/hyperlink" Target="https://finance.yahoo.com/quote/GOLD/history?p=GOLD" TargetMode="External"/><Relationship Id="rId150" Type="http://schemas.openxmlformats.org/officeDocument/2006/relationships/hyperlink" Target="https://finance.yahoo.com/quote/6078.HK/history?p=6078.HK" TargetMode="External"/><Relationship Id="rId171" Type="http://schemas.openxmlformats.org/officeDocument/2006/relationships/hyperlink" Target="http://0700.hk/" TargetMode="External"/><Relationship Id="rId192" Type="http://schemas.openxmlformats.org/officeDocument/2006/relationships/hyperlink" Target="http://1498.hk/" TargetMode="External"/><Relationship Id="rId206" Type="http://schemas.openxmlformats.org/officeDocument/2006/relationships/hyperlink" Target="http://002475.sz/" TargetMode="External"/><Relationship Id="rId227" Type="http://schemas.openxmlformats.org/officeDocument/2006/relationships/hyperlink" Target="http://6078.hk/" TargetMode="External"/><Relationship Id="rId12" Type="http://schemas.openxmlformats.org/officeDocument/2006/relationships/hyperlink" Target="https://finance.yahoo.com/quote/BTC-USD/history?p=BTC-USD" TargetMode="External"/><Relationship Id="rId33" Type="http://schemas.openxmlformats.org/officeDocument/2006/relationships/hyperlink" Target="https://finance.yahoo.com/quote/3339.HK/history?p=3339.HK" TargetMode="External"/><Relationship Id="rId108" Type="http://schemas.openxmlformats.org/officeDocument/2006/relationships/hyperlink" Target="https://finance.yahoo.com/quote/0151.HK/history?p=0151.HK" TargetMode="External"/><Relationship Id="rId129" Type="http://schemas.openxmlformats.org/officeDocument/2006/relationships/hyperlink" Target="https://finance.yahoo.com/quote/NVAX/history?p=NVAX" TargetMode="External"/><Relationship Id="rId54" Type="http://schemas.openxmlformats.org/officeDocument/2006/relationships/hyperlink" Target="https://finance.yahoo.com/quote/ISPO/history?p=ISPO" TargetMode="External"/><Relationship Id="rId75" Type="http://schemas.openxmlformats.org/officeDocument/2006/relationships/hyperlink" Target="https://finance.yahoo.com/quote/YINN/history?p=YINN" TargetMode="External"/><Relationship Id="rId96" Type="http://schemas.openxmlformats.org/officeDocument/2006/relationships/hyperlink" Target="https://finance.yahoo.com/quote/002475.SZ/history?p=002475.SZ" TargetMode="External"/><Relationship Id="rId140" Type="http://schemas.openxmlformats.org/officeDocument/2006/relationships/hyperlink" Target="https://finance.yahoo.com/quote/603392.SS/history?p=603392.SS" TargetMode="External"/><Relationship Id="rId161" Type="http://schemas.openxmlformats.org/officeDocument/2006/relationships/hyperlink" Target="https://finance.yahoo.com/quote/001896.SZ/history?p=001896.SZ" TargetMode="External"/><Relationship Id="rId182" Type="http://schemas.openxmlformats.org/officeDocument/2006/relationships/hyperlink" Target="http://3339.hk/" TargetMode="External"/><Relationship Id="rId217" Type="http://schemas.openxmlformats.org/officeDocument/2006/relationships/hyperlink" Target="http://0388.hk/" TargetMode="External"/><Relationship Id="rId6" Type="http://schemas.openxmlformats.org/officeDocument/2006/relationships/hyperlink" Target="https://finance.yahoo.com/quote/AAPL/history?p=AAPL" TargetMode="External"/><Relationship Id="rId23" Type="http://schemas.openxmlformats.org/officeDocument/2006/relationships/hyperlink" Target="https://finance.yahoo.com/quote/GOOG/history?p=GOOG" TargetMode="External"/><Relationship Id="rId119" Type="http://schemas.openxmlformats.org/officeDocument/2006/relationships/hyperlink" Target="https://finance.yahoo.com/quote/TQQQ220408P00056000/history?p=TQQQ220408P00056000" TargetMode="External"/><Relationship Id="rId44" Type="http://schemas.openxmlformats.org/officeDocument/2006/relationships/hyperlink" Target="https://finance.yahoo.com/quote/UVXY/history?p=UVXY" TargetMode="External"/><Relationship Id="rId65" Type="http://schemas.openxmlformats.org/officeDocument/2006/relationships/hyperlink" Target="https://finance.yahoo.com/quote/ANPDY/history?p=ANPDY" TargetMode="External"/><Relationship Id="rId86" Type="http://schemas.openxmlformats.org/officeDocument/2006/relationships/hyperlink" Target="https://finance.yahoo.com/quote/SARK/history?p=SARK" TargetMode="External"/><Relationship Id="rId130" Type="http://schemas.openxmlformats.org/officeDocument/2006/relationships/hyperlink" Target="https://finance.yahoo.com/quote/XLRE/history?p=XLRE" TargetMode="External"/><Relationship Id="rId151" Type="http://schemas.openxmlformats.org/officeDocument/2006/relationships/hyperlink" Target="https://finance.yahoo.com/quote/3833.HK/history?p=3833.HK" TargetMode="External"/><Relationship Id="rId172" Type="http://schemas.openxmlformats.org/officeDocument/2006/relationships/hyperlink" Target="http://0883.hk/" TargetMode="External"/><Relationship Id="rId193" Type="http://schemas.openxmlformats.org/officeDocument/2006/relationships/hyperlink" Target="http://002230.sz/" TargetMode="External"/><Relationship Id="rId207" Type="http://schemas.openxmlformats.org/officeDocument/2006/relationships/hyperlink" Target="http://2800.hk/" TargetMode="External"/><Relationship Id="rId228" Type="http://schemas.openxmlformats.org/officeDocument/2006/relationships/hyperlink" Target="http://3833.hk/" TargetMode="External"/><Relationship Id="rId13" Type="http://schemas.openxmlformats.org/officeDocument/2006/relationships/hyperlink" Target="https://finance.yahoo.com/quote/NFLX/history?p=NFLX" TargetMode="External"/><Relationship Id="rId109" Type="http://schemas.openxmlformats.org/officeDocument/2006/relationships/hyperlink" Target="https://finance.yahoo.com/quote/0001.HK/history?p=0001.HK" TargetMode="External"/><Relationship Id="rId34" Type="http://schemas.openxmlformats.org/officeDocument/2006/relationships/hyperlink" Target="https://finance.yahoo.com/quote/1610.HK/history?p=1610.HK" TargetMode="External"/><Relationship Id="rId55" Type="http://schemas.openxmlformats.org/officeDocument/2006/relationships/hyperlink" Target="https://finance.yahoo.com/quote/9961.HK/history?p=9961.HK" TargetMode="External"/><Relationship Id="rId76" Type="http://schemas.openxmlformats.org/officeDocument/2006/relationships/hyperlink" Target="https://finance.yahoo.com/quote/FUTU220225C00041500/history?p=FUTU220225C00041500" TargetMode="External"/><Relationship Id="rId97" Type="http://schemas.openxmlformats.org/officeDocument/2006/relationships/hyperlink" Target="https://finance.yahoo.com/quote/2800.HK/history?p=2800.HK" TargetMode="External"/><Relationship Id="rId120" Type="http://schemas.openxmlformats.org/officeDocument/2006/relationships/hyperlink" Target="https://finance.yahoo.com/quote/BABA/history?p=BABA" TargetMode="External"/><Relationship Id="rId141" Type="http://schemas.openxmlformats.org/officeDocument/2006/relationships/hyperlink" Target="https://finance.yahoo.com/quote/603538.SS/history?p=603538.SS" TargetMode="External"/><Relationship Id="rId7" Type="http://schemas.openxmlformats.org/officeDocument/2006/relationships/hyperlink" Target="https://finance.yahoo.com/quote/BILI220318P00040000/history?p=BILI220318P00040000" TargetMode="External"/><Relationship Id="rId162" Type="http://schemas.openxmlformats.org/officeDocument/2006/relationships/hyperlink" Target="https://finance.yahoo.com/quote/ASML/history?p=ASML" TargetMode="External"/><Relationship Id="rId183" Type="http://schemas.openxmlformats.org/officeDocument/2006/relationships/hyperlink" Target="http://1610.hk/" TargetMode="External"/><Relationship Id="rId218" Type="http://schemas.openxmlformats.org/officeDocument/2006/relationships/hyperlink" Target="http://0708.hk/" TargetMode="External"/><Relationship Id="rId24" Type="http://schemas.openxmlformats.org/officeDocument/2006/relationships/hyperlink" Target="https://finance.yahoo.com/quote/2318.HK/history?p=2318.HK" TargetMode="External"/><Relationship Id="rId45" Type="http://schemas.openxmlformats.org/officeDocument/2006/relationships/hyperlink" Target="https://finance.yahoo.com/quote/9988.HK/history?p=9988.HK" TargetMode="External"/><Relationship Id="rId66" Type="http://schemas.openxmlformats.org/officeDocument/2006/relationships/hyperlink" Target="https://finance.yahoo.com/quote/LVMHF/history?p=LVMHF" TargetMode="External"/><Relationship Id="rId87" Type="http://schemas.openxmlformats.org/officeDocument/2006/relationships/hyperlink" Target="https://finance.yahoo.com/quote/SPXL220318C00080000/history?p=SPXL220318C00080000" TargetMode="External"/><Relationship Id="rId110" Type="http://schemas.openxmlformats.org/officeDocument/2006/relationships/hyperlink" Target="https://finance.yahoo.com/quote/000950.SZ/history?p=000950.SZ" TargetMode="External"/><Relationship Id="rId131" Type="http://schemas.openxmlformats.org/officeDocument/2006/relationships/hyperlink" Target="https://finance.yahoo.com/quote/XLU/history?p=XLU" TargetMode="External"/><Relationship Id="rId152" Type="http://schemas.openxmlformats.org/officeDocument/2006/relationships/hyperlink" Target="https://finance.yahoo.com/quote/0968.HK/history?p=0968.HK" TargetMode="External"/><Relationship Id="rId173" Type="http://schemas.openxmlformats.org/officeDocument/2006/relationships/hyperlink" Target="http://9698.hk/" TargetMode="External"/><Relationship Id="rId194" Type="http://schemas.openxmlformats.org/officeDocument/2006/relationships/hyperlink" Target="http://1109.hk/" TargetMode="External"/><Relationship Id="rId208" Type="http://schemas.openxmlformats.org/officeDocument/2006/relationships/hyperlink" Target="http://3800.hk/" TargetMode="External"/><Relationship Id="rId229" Type="http://schemas.openxmlformats.org/officeDocument/2006/relationships/hyperlink" Target="http://0968.hk/" TargetMode="External"/><Relationship Id="rId14" Type="http://schemas.openxmlformats.org/officeDocument/2006/relationships/hyperlink" Target="https://finance.yahoo.com/quote/MSFT/history?p=MSFT" TargetMode="External"/><Relationship Id="rId35" Type="http://schemas.openxmlformats.org/officeDocument/2006/relationships/hyperlink" Target="https://finance.yahoo.com/quote/2020.HK/history?p=2020.HK" TargetMode="External"/><Relationship Id="rId56" Type="http://schemas.openxmlformats.org/officeDocument/2006/relationships/hyperlink" Target="https://finance.yahoo.com/quote/9999.HK/history?p=9999.HK" TargetMode="External"/><Relationship Id="rId77" Type="http://schemas.openxmlformats.org/officeDocument/2006/relationships/hyperlink" Target="https://finance.yahoo.com/quote/3047.HK/history?p=3047.HK" TargetMode="External"/><Relationship Id="rId100" Type="http://schemas.openxmlformats.org/officeDocument/2006/relationships/hyperlink" Target="https://finance.yahoo.com/quote/1208.HK/history?p=1208.HK" TargetMode="External"/><Relationship Id="rId8" Type="http://schemas.openxmlformats.org/officeDocument/2006/relationships/hyperlink" Target="https://finance.yahoo.com/quote/FB220325P00210000/history?p=FB220325P00210000" TargetMode="External"/><Relationship Id="rId98" Type="http://schemas.openxmlformats.org/officeDocument/2006/relationships/hyperlink" Target="https://finance.yahoo.com/quote/GC=F/history?p=GC=F" TargetMode="External"/><Relationship Id="rId121" Type="http://schemas.openxmlformats.org/officeDocument/2006/relationships/hyperlink" Target="https://finance.yahoo.com/quote/BILI220401P00020000/history?p=BILI220401P00020000" TargetMode="External"/><Relationship Id="rId142" Type="http://schemas.openxmlformats.org/officeDocument/2006/relationships/hyperlink" Target="https://finance.yahoo.com/quote/688076.SS/history?p=688076.SS" TargetMode="External"/><Relationship Id="rId163" Type="http://schemas.openxmlformats.org/officeDocument/2006/relationships/hyperlink" Target="https://finance.yahoo.com/quote/ABBV/history?p=ABBV" TargetMode="External"/><Relationship Id="rId184" Type="http://schemas.openxmlformats.org/officeDocument/2006/relationships/hyperlink" Target="http://2020.hk/" TargetMode="External"/><Relationship Id="rId219" Type="http://schemas.openxmlformats.org/officeDocument/2006/relationships/hyperlink" Target="http://1898.hk/" TargetMode="External"/><Relationship Id="rId230" Type="http://schemas.openxmlformats.org/officeDocument/2006/relationships/hyperlink" Target="http://3988.hk/" TargetMode="External"/><Relationship Id="rId25" Type="http://schemas.openxmlformats.org/officeDocument/2006/relationships/hyperlink" Target="https://finance.yahoo.com/quote/2269.HK/history?p=2269.HK" TargetMode="External"/><Relationship Id="rId46" Type="http://schemas.openxmlformats.org/officeDocument/2006/relationships/hyperlink" Target="https://finance.yahoo.com/quote/NTDOY/history?p=NTDOY" TargetMode="External"/><Relationship Id="rId67" Type="http://schemas.openxmlformats.org/officeDocument/2006/relationships/hyperlink" Target="https://finance.yahoo.com/quote/RIVN/history?p=RIVN" TargetMode="External"/><Relationship Id="rId20" Type="http://schemas.openxmlformats.org/officeDocument/2006/relationships/hyperlink" Target="https://finance.yahoo.com/quote/MGM/history?p=MGM" TargetMode="External"/><Relationship Id="rId41" Type="http://schemas.openxmlformats.org/officeDocument/2006/relationships/hyperlink" Target="https://finance.yahoo.com/quote/ATVI/history?p=ATVI" TargetMode="External"/><Relationship Id="rId62" Type="http://schemas.openxmlformats.org/officeDocument/2006/relationships/hyperlink" Target="https://finance.yahoo.com/quote/SNPS/history?p=SNPS" TargetMode="External"/><Relationship Id="rId83" Type="http://schemas.openxmlformats.org/officeDocument/2006/relationships/hyperlink" Target="https://finance.yahoo.com/quote/CL=F/history?p=CL=F" TargetMode="External"/><Relationship Id="rId88" Type="http://schemas.openxmlformats.org/officeDocument/2006/relationships/hyperlink" Target="https://finance.yahoo.com/quote/603967.SS/history?p=603967.SS" TargetMode="External"/><Relationship Id="rId111" Type="http://schemas.openxmlformats.org/officeDocument/2006/relationships/hyperlink" Target="https://finance.yahoo.com/quote/600661.SS/history?p=600661.SS" TargetMode="External"/><Relationship Id="rId132" Type="http://schemas.openxmlformats.org/officeDocument/2006/relationships/hyperlink" Target="https://finance.yahoo.com/quote/XLP/history?p=XLP" TargetMode="External"/><Relationship Id="rId153" Type="http://schemas.openxmlformats.org/officeDocument/2006/relationships/hyperlink" Target="https://finance.yahoo.com/quote/TME/history?p=TME" TargetMode="External"/><Relationship Id="rId174" Type="http://schemas.openxmlformats.org/officeDocument/2006/relationships/hyperlink" Target="http://3690.hk/" TargetMode="External"/><Relationship Id="rId179" Type="http://schemas.openxmlformats.org/officeDocument/2006/relationships/hyperlink" Target="http://600986.ss/" TargetMode="External"/><Relationship Id="rId195" Type="http://schemas.openxmlformats.org/officeDocument/2006/relationships/hyperlink" Target="http://0941.hk/" TargetMode="External"/><Relationship Id="rId209" Type="http://schemas.openxmlformats.org/officeDocument/2006/relationships/hyperlink" Target="http://1208.hk/" TargetMode="External"/><Relationship Id="rId190" Type="http://schemas.openxmlformats.org/officeDocument/2006/relationships/hyperlink" Target="http://9999.hk/" TargetMode="External"/><Relationship Id="rId204" Type="http://schemas.openxmlformats.org/officeDocument/2006/relationships/hyperlink" Target="http://9626.hk/" TargetMode="External"/><Relationship Id="rId220" Type="http://schemas.openxmlformats.org/officeDocument/2006/relationships/hyperlink" Target="http://6862.hk/" TargetMode="External"/><Relationship Id="rId225" Type="http://schemas.openxmlformats.org/officeDocument/2006/relationships/hyperlink" Target="http://688076.ss/" TargetMode="External"/><Relationship Id="rId15" Type="http://schemas.openxmlformats.org/officeDocument/2006/relationships/hyperlink" Target="https://finance.yahoo.com/quote/BMBL/history?p=BMBL" TargetMode="External"/><Relationship Id="rId36" Type="http://schemas.openxmlformats.org/officeDocument/2006/relationships/hyperlink" Target="https://finance.yahoo.com/quote/NVDA/history?p=NVDA" TargetMode="External"/><Relationship Id="rId57" Type="http://schemas.openxmlformats.org/officeDocument/2006/relationships/hyperlink" Target="https://finance.yahoo.com/quote/0909.HK/history?p=0909.HK" TargetMode="External"/><Relationship Id="rId106" Type="http://schemas.openxmlformats.org/officeDocument/2006/relationships/hyperlink" Target="https://finance.yahoo.com/quote/XLK/history?p=XLK" TargetMode="External"/><Relationship Id="rId127" Type="http://schemas.openxmlformats.org/officeDocument/2006/relationships/hyperlink" Target="https://finance.yahoo.com/quote/BITO/history?p=BITO" TargetMode="External"/><Relationship Id="rId10" Type="http://schemas.openxmlformats.org/officeDocument/2006/relationships/hyperlink" Target="https://finance.yahoo.com/quote/9698.HK/history?p=9698.HK" TargetMode="External"/><Relationship Id="rId31" Type="http://schemas.openxmlformats.org/officeDocument/2006/relationships/hyperlink" Target="https://finance.yahoo.com/quote/UBI.PA/history?p=UBI.PA" TargetMode="External"/><Relationship Id="rId52" Type="http://schemas.openxmlformats.org/officeDocument/2006/relationships/hyperlink" Target="https://finance.yahoo.com/quote/SPX220218P04220000/history?p=SPX220218P04220000" TargetMode="External"/><Relationship Id="rId73" Type="http://schemas.openxmlformats.org/officeDocument/2006/relationships/hyperlink" Target="https://finance.yahoo.com/quote/0941.HK/history?p=0941.HK" TargetMode="External"/><Relationship Id="rId78" Type="http://schemas.openxmlformats.org/officeDocument/2006/relationships/hyperlink" Target="https://finance.yahoo.com/quote/002665.SZ/history?p=002665.SZ" TargetMode="External"/><Relationship Id="rId94" Type="http://schemas.openxmlformats.org/officeDocument/2006/relationships/hyperlink" Target="https://finance.yahoo.com/quote/005930.KS/history?p=005930.KS" TargetMode="External"/><Relationship Id="rId99" Type="http://schemas.openxmlformats.org/officeDocument/2006/relationships/hyperlink" Target="https://finance.yahoo.com/quote/3800.hk/history?p=3800.hk" TargetMode="External"/><Relationship Id="rId101" Type="http://schemas.openxmlformats.org/officeDocument/2006/relationships/hyperlink" Target="https://finance.yahoo.com/quote/TQQQ220311P00057500/history?p=TQQQ220311P00057500" TargetMode="External"/><Relationship Id="rId122" Type="http://schemas.openxmlformats.org/officeDocument/2006/relationships/hyperlink" Target="https://finance.yahoo.com/quote/0708.HK/history?p=0708.HK" TargetMode="External"/><Relationship Id="rId143" Type="http://schemas.openxmlformats.org/officeDocument/2006/relationships/hyperlink" Target="https://finance.yahoo.com/quote/600519.SS/history?p=600519.SS" TargetMode="External"/><Relationship Id="rId148" Type="http://schemas.openxmlformats.org/officeDocument/2006/relationships/hyperlink" Target="https://finance.yahoo.com/quote/AEP/history?p=AEP" TargetMode="External"/><Relationship Id="rId164" Type="http://schemas.openxmlformats.org/officeDocument/2006/relationships/hyperlink" Target="https://finance.yahoo.com/quote/0346.hk/history?p=0346.hk" TargetMode="External"/><Relationship Id="rId169" Type="http://schemas.openxmlformats.org/officeDocument/2006/relationships/hyperlink" Target="https://finance.yahoo.com/quote/%5ECMC200/history?p=%5ECMC200" TargetMode="External"/><Relationship Id="rId185" Type="http://schemas.openxmlformats.org/officeDocument/2006/relationships/hyperlink" Target="http://1810.hk/" TargetMode="External"/><Relationship Id="rId4" Type="http://schemas.openxmlformats.org/officeDocument/2006/relationships/hyperlink" Target="https://finance.yahoo.com/quote/0700.HK/history?p=0700.HK" TargetMode="External"/><Relationship Id="rId9" Type="http://schemas.openxmlformats.org/officeDocument/2006/relationships/hyperlink" Target="https://finance.yahoo.com/quote/BAC220325C00045000/history?p=BAC220325C00045000" TargetMode="External"/><Relationship Id="rId180" Type="http://schemas.openxmlformats.org/officeDocument/2006/relationships/hyperlink" Target="http://ubi.pa/" TargetMode="External"/><Relationship Id="rId210" Type="http://schemas.openxmlformats.org/officeDocument/2006/relationships/hyperlink" Target="http://1024.hk/" TargetMode="External"/><Relationship Id="rId215" Type="http://schemas.openxmlformats.org/officeDocument/2006/relationships/hyperlink" Target="http://600661.ss/" TargetMode="External"/><Relationship Id="rId26" Type="http://schemas.openxmlformats.org/officeDocument/2006/relationships/hyperlink" Target="https://finance.yahoo.com/quote/NET/history?p=NET" TargetMode="External"/><Relationship Id="rId231" Type="http://schemas.openxmlformats.org/officeDocument/2006/relationships/hyperlink" Target="http://002670.sz/" TargetMode="External"/><Relationship Id="rId47" Type="http://schemas.openxmlformats.org/officeDocument/2006/relationships/hyperlink" Target="https://finance.yahoo.com/quote/DIS/history?p=DIS" TargetMode="External"/><Relationship Id="rId68" Type="http://schemas.openxmlformats.org/officeDocument/2006/relationships/hyperlink" Target="https://finance.yahoo.com/quote/SOFI/history?p=SOFI" TargetMode="External"/><Relationship Id="rId89" Type="http://schemas.openxmlformats.org/officeDocument/2006/relationships/hyperlink" Target="https://finance.yahoo.com/quote/GOOGL/history?p=GOOGL" TargetMode="External"/><Relationship Id="rId112" Type="http://schemas.openxmlformats.org/officeDocument/2006/relationships/hyperlink" Target="https://finance.yahoo.com/quote/WMT/history?p=WMT" TargetMode="External"/><Relationship Id="rId133" Type="http://schemas.openxmlformats.org/officeDocument/2006/relationships/hyperlink" Target="https://finance.yahoo.com/quote/XLF/history?p=XLF" TargetMode="External"/><Relationship Id="rId154" Type="http://schemas.openxmlformats.org/officeDocument/2006/relationships/hyperlink" Target="https://finance.yahoo.com/quote/BNTX/history?p=BNTX" TargetMode="External"/><Relationship Id="rId175" Type="http://schemas.openxmlformats.org/officeDocument/2006/relationships/hyperlink" Target="http://601168.ss/" TargetMode="External"/><Relationship Id="rId196" Type="http://schemas.openxmlformats.org/officeDocument/2006/relationships/hyperlink" Target="http://3047.hk/" TargetMode="External"/><Relationship Id="rId200" Type="http://schemas.openxmlformats.org/officeDocument/2006/relationships/hyperlink" Target="http://601808.ss/" TargetMode="External"/><Relationship Id="rId16" Type="http://schemas.openxmlformats.org/officeDocument/2006/relationships/hyperlink" Target="https://finance.yahoo.com/quote/NUSI/history?p=NUSI" TargetMode="External"/><Relationship Id="rId221" Type="http://schemas.openxmlformats.org/officeDocument/2006/relationships/hyperlink" Target="http://0070.hk/" TargetMode="External"/><Relationship Id="rId37" Type="http://schemas.openxmlformats.org/officeDocument/2006/relationships/hyperlink" Target="https://finance.yahoo.com/quote/1810.HK/history?p=1810.HK" TargetMode="External"/><Relationship Id="rId58" Type="http://schemas.openxmlformats.org/officeDocument/2006/relationships/hyperlink" Target="https://finance.yahoo.com/quote/PANW/history?p=PANW" TargetMode="External"/><Relationship Id="rId79" Type="http://schemas.openxmlformats.org/officeDocument/2006/relationships/hyperlink" Target="https://finance.yahoo.com/quote/000554.SZ/history?p=000554.SZ" TargetMode="External"/><Relationship Id="rId102" Type="http://schemas.openxmlformats.org/officeDocument/2006/relationships/hyperlink" Target="https://finance.yahoo.com/quote/RLX220414C00005000/history?p=RLX220414C00005000" TargetMode="External"/><Relationship Id="rId123" Type="http://schemas.openxmlformats.org/officeDocument/2006/relationships/hyperlink" Target="https://finance.yahoo.com/quote/1898.HK/history?p=1898.HK" TargetMode="External"/><Relationship Id="rId144" Type="http://schemas.openxmlformats.org/officeDocument/2006/relationships/hyperlink" Target="https://finance.yahoo.com/quote/IXHL/history?p=IXHL" TargetMode="External"/><Relationship Id="rId90" Type="http://schemas.openxmlformats.org/officeDocument/2006/relationships/hyperlink" Target="https://finance.yahoo.com/quote/FTCH220318P00017500/history?p=FTCH220318P00017500" TargetMode="External"/><Relationship Id="rId165" Type="http://schemas.openxmlformats.org/officeDocument/2006/relationships/hyperlink" Target="https://finance.yahoo.com/quote/2607.hk/history?p=2607.hk" TargetMode="External"/><Relationship Id="rId186" Type="http://schemas.openxmlformats.org/officeDocument/2006/relationships/hyperlink" Target="http://9988.hk/" TargetMode="External"/><Relationship Id="rId211" Type="http://schemas.openxmlformats.org/officeDocument/2006/relationships/hyperlink" Target="http://603963.ss/" TargetMode="External"/><Relationship Id="rId232" Type="http://schemas.openxmlformats.org/officeDocument/2006/relationships/hyperlink" Target="http://001896.sz/" TargetMode="External"/><Relationship Id="rId27" Type="http://schemas.openxmlformats.org/officeDocument/2006/relationships/hyperlink" Target="https://finance.yahoo.com/quote/1398.HK/history?p=1398.HK" TargetMode="External"/><Relationship Id="rId48" Type="http://schemas.openxmlformats.org/officeDocument/2006/relationships/hyperlink" Target="https://finance.yahoo.com/quote/AMAT/history?p=AMAT" TargetMode="External"/><Relationship Id="rId69" Type="http://schemas.openxmlformats.org/officeDocument/2006/relationships/hyperlink" Target="https://finance.yahoo.com/quote/SOXL/history?p=SOXL" TargetMode="External"/><Relationship Id="rId113" Type="http://schemas.openxmlformats.org/officeDocument/2006/relationships/hyperlink" Target="https://finance.yahoo.com/quote/FSR/history?p=FSR" TargetMode="External"/><Relationship Id="rId134" Type="http://schemas.openxmlformats.org/officeDocument/2006/relationships/hyperlink" Target="https://finance.yahoo.com/quote/XLB/history?p=XLB" TargetMode="External"/><Relationship Id="rId80" Type="http://schemas.openxmlformats.org/officeDocument/2006/relationships/hyperlink" Target="https://finance.yahoo.com/quote/300945.SZ/history?p=300945.SZ" TargetMode="External"/><Relationship Id="rId155" Type="http://schemas.openxmlformats.org/officeDocument/2006/relationships/hyperlink" Target="https://finance.yahoo.com/quote/SI=F/history?p=SI=F" TargetMode="External"/><Relationship Id="rId176" Type="http://schemas.openxmlformats.org/officeDocument/2006/relationships/hyperlink" Target="http://2318.hk/" TargetMode="External"/><Relationship Id="rId197" Type="http://schemas.openxmlformats.org/officeDocument/2006/relationships/hyperlink" Target="http://002665.sz/" TargetMode="External"/><Relationship Id="rId201" Type="http://schemas.openxmlformats.org/officeDocument/2006/relationships/hyperlink" Target="http://300922.sz/" TargetMode="External"/><Relationship Id="rId222" Type="http://schemas.openxmlformats.org/officeDocument/2006/relationships/hyperlink" Target="http://603939.ss/" TargetMode="External"/><Relationship Id="rId17" Type="http://schemas.openxmlformats.org/officeDocument/2006/relationships/hyperlink" Target="https://finance.yahoo.com/quote/JD/history?p=JD" TargetMode="External"/><Relationship Id="rId38" Type="http://schemas.openxmlformats.org/officeDocument/2006/relationships/hyperlink" Target="https://finance.yahoo.com/quote/BAC/history?p=BAC" TargetMode="External"/><Relationship Id="rId59" Type="http://schemas.openxmlformats.org/officeDocument/2006/relationships/hyperlink" Target="https://finance.yahoo.com/quote/TEAM/history?p=TEAM" TargetMode="External"/><Relationship Id="rId103" Type="http://schemas.openxmlformats.org/officeDocument/2006/relationships/hyperlink" Target="https://finance.yahoo.com/quote/1024.HK/history?p=1024.HK" TargetMode="External"/><Relationship Id="rId124" Type="http://schemas.openxmlformats.org/officeDocument/2006/relationships/hyperlink" Target="https://finance.yahoo.com/quote/PFE/history?p=PFE" TargetMode="External"/><Relationship Id="rId70" Type="http://schemas.openxmlformats.org/officeDocument/2006/relationships/hyperlink" Target="https://finance.yahoo.com/quote/1498.HK/history?p=1498.HK" TargetMode="External"/><Relationship Id="rId91" Type="http://schemas.openxmlformats.org/officeDocument/2006/relationships/hyperlink" Target="https://finance.yahoo.com/quote/9626.HK/history?p=9626.HK" TargetMode="External"/><Relationship Id="rId145" Type="http://schemas.openxmlformats.org/officeDocument/2006/relationships/hyperlink" Target="https://finance.yahoo.com/quote/OXY220318P00065000/history?p=OXY220318P00065000" TargetMode="External"/><Relationship Id="rId166" Type="http://schemas.openxmlformats.org/officeDocument/2006/relationships/hyperlink" Target="https://finance.yahoo.com/quote/000568.SZ/history?p=000568.SZ" TargetMode="External"/><Relationship Id="rId187" Type="http://schemas.openxmlformats.org/officeDocument/2006/relationships/hyperlink" Target="http://6969.hk/" TargetMode="External"/><Relationship Id="rId1" Type="http://schemas.openxmlformats.org/officeDocument/2006/relationships/hyperlink" Target="https://finance.yahoo.com/quote/AMZN/history?p=AMZN" TargetMode="External"/><Relationship Id="rId212" Type="http://schemas.openxmlformats.org/officeDocument/2006/relationships/hyperlink" Target="http://0151.hk/" TargetMode="External"/><Relationship Id="rId233" Type="http://schemas.openxmlformats.org/officeDocument/2006/relationships/hyperlink" Target="http://0346.hk/" TargetMode="External"/><Relationship Id="rId28" Type="http://schemas.openxmlformats.org/officeDocument/2006/relationships/hyperlink" Target="https://finance.yahoo.com/quote/XLE/history?p=XLE" TargetMode="External"/><Relationship Id="rId49" Type="http://schemas.openxmlformats.org/officeDocument/2006/relationships/hyperlink" Target="https://finance.yahoo.com/quote/6969.HK/history?p=6969.HK" TargetMode="External"/><Relationship Id="rId114" Type="http://schemas.openxmlformats.org/officeDocument/2006/relationships/hyperlink" Target="https://finance.yahoo.com/quote/NU220318C00005000/history?p=NU220318C00005000" TargetMode="External"/><Relationship Id="rId60" Type="http://schemas.openxmlformats.org/officeDocument/2006/relationships/hyperlink" Target="https://finance.yahoo.com/quote/AMGN/history?p=AMGN" TargetMode="External"/><Relationship Id="rId81" Type="http://schemas.openxmlformats.org/officeDocument/2006/relationships/hyperlink" Target="https://finance.yahoo.com/quote/601808.SS/history?p=601808.SS" TargetMode="External"/><Relationship Id="rId135" Type="http://schemas.openxmlformats.org/officeDocument/2006/relationships/hyperlink" Target="https://finance.yahoo.com/quote/XLY/history?p=XLY" TargetMode="External"/><Relationship Id="rId156" Type="http://schemas.openxmlformats.org/officeDocument/2006/relationships/hyperlink" Target="https://finance.yahoo.com/quote/3988.HK/history?p=3988.HK" TargetMode="External"/><Relationship Id="rId177" Type="http://schemas.openxmlformats.org/officeDocument/2006/relationships/hyperlink" Target="http://2269.hk/" TargetMode="External"/><Relationship Id="rId198" Type="http://schemas.openxmlformats.org/officeDocument/2006/relationships/hyperlink" Target="http://000554.sz/" TargetMode="External"/><Relationship Id="rId202" Type="http://schemas.openxmlformats.org/officeDocument/2006/relationships/hyperlink" Target="http://300157.sz/" TargetMode="External"/><Relationship Id="rId223" Type="http://schemas.openxmlformats.org/officeDocument/2006/relationships/hyperlink" Target="http://603392.ss/" TargetMode="External"/><Relationship Id="rId18" Type="http://schemas.openxmlformats.org/officeDocument/2006/relationships/hyperlink" Target="https://finance.yahoo.com/quote/GBTC/history?p=GBTC" TargetMode="External"/><Relationship Id="rId39" Type="http://schemas.openxmlformats.org/officeDocument/2006/relationships/hyperlink" Target="https://finance.yahoo.com/quote/BRK-B/history?p=BRK-B" TargetMode="External"/><Relationship Id="rId50" Type="http://schemas.openxmlformats.org/officeDocument/2006/relationships/hyperlink" Target="https://finance.yahoo.com/quote/RBLX/history?p=RBLX" TargetMode="External"/><Relationship Id="rId104" Type="http://schemas.openxmlformats.org/officeDocument/2006/relationships/hyperlink" Target="https://finance.yahoo.com/quote/MARA220401P00016000/history?p=MARA220401P00016000" TargetMode="External"/><Relationship Id="rId125" Type="http://schemas.openxmlformats.org/officeDocument/2006/relationships/hyperlink" Target="https://finance.yahoo.com/quote/6862.HK/history?p=6862.HK" TargetMode="External"/><Relationship Id="rId146" Type="http://schemas.openxmlformats.org/officeDocument/2006/relationships/hyperlink" Target="https://finance.yahoo.com/quote/NU220414C00006000/history?p=NU220414C00006000" TargetMode="External"/><Relationship Id="rId167" Type="http://schemas.openxmlformats.org/officeDocument/2006/relationships/hyperlink" Target="https://finance.yahoo.com/quote/ANTM/history?p=ANTM" TargetMode="External"/><Relationship Id="rId188" Type="http://schemas.openxmlformats.org/officeDocument/2006/relationships/hyperlink" Target="http://0175.hk/" TargetMode="External"/><Relationship Id="rId71" Type="http://schemas.openxmlformats.org/officeDocument/2006/relationships/hyperlink" Target="https://finance.yahoo.com/quote/002230.SZ/history?p=002230.SZ" TargetMode="External"/><Relationship Id="rId92" Type="http://schemas.openxmlformats.org/officeDocument/2006/relationships/hyperlink" Target="https://finance.yahoo.com/quote/9888.HK/history?p=9888.HK" TargetMode="External"/><Relationship Id="rId213" Type="http://schemas.openxmlformats.org/officeDocument/2006/relationships/hyperlink" Target="http://0001.hk/" TargetMode="External"/><Relationship Id="rId234" Type="http://schemas.openxmlformats.org/officeDocument/2006/relationships/hyperlink" Target="http://2607.hk/" TargetMode="External"/><Relationship Id="rId2" Type="http://schemas.openxmlformats.org/officeDocument/2006/relationships/hyperlink" Target="https://finance.yahoo.com/quote/FB/history?p=FB" TargetMode="External"/><Relationship Id="rId29" Type="http://schemas.openxmlformats.org/officeDocument/2006/relationships/hyperlink" Target="https://finance.yahoo.com/quote/VYGLX/history?p=VYGLX" TargetMode="External"/><Relationship Id="rId40" Type="http://schemas.openxmlformats.org/officeDocument/2006/relationships/hyperlink" Target="https://finance.yahoo.com/quote/SONY/history?p=SONY" TargetMode="External"/><Relationship Id="rId115" Type="http://schemas.openxmlformats.org/officeDocument/2006/relationships/hyperlink" Target="https://finance.yahoo.com/quote/6680.HK/history?p=6680.HK" TargetMode="External"/><Relationship Id="rId136" Type="http://schemas.openxmlformats.org/officeDocument/2006/relationships/hyperlink" Target="https://finance.yahoo.com/quote/XLC/history?p=XLC" TargetMode="External"/><Relationship Id="rId157" Type="http://schemas.openxmlformats.org/officeDocument/2006/relationships/hyperlink" Target="https://finance.yahoo.com/quote/JPM/history?p=JPM" TargetMode="External"/><Relationship Id="rId178" Type="http://schemas.openxmlformats.org/officeDocument/2006/relationships/hyperlink" Target="http://1398.hk/" TargetMode="External"/><Relationship Id="rId61" Type="http://schemas.openxmlformats.org/officeDocument/2006/relationships/hyperlink" Target="https://finance.yahoo.com/quote/LCID/history?p=LCID" TargetMode="External"/><Relationship Id="rId82" Type="http://schemas.openxmlformats.org/officeDocument/2006/relationships/hyperlink" Target="https://finance.yahoo.com/quote/300922.SZ/history?p=300922.SZ" TargetMode="External"/><Relationship Id="rId199" Type="http://schemas.openxmlformats.org/officeDocument/2006/relationships/hyperlink" Target="http://300945.sz/" TargetMode="External"/><Relationship Id="rId203" Type="http://schemas.openxmlformats.org/officeDocument/2006/relationships/hyperlink" Target="http://603967.ss/" TargetMode="External"/><Relationship Id="rId19" Type="http://schemas.openxmlformats.org/officeDocument/2006/relationships/hyperlink" Target="https://finance.yahoo.com/quote/XPEV/history?p=XPEV" TargetMode="External"/><Relationship Id="rId224" Type="http://schemas.openxmlformats.org/officeDocument/2006/relationships/hyperlink" Target="http://603538.ss/" TargetMode="External"/><Relationship Id="rId30" Type="http://schemas.openxmlformats.org/officeDocument/2006/relationships/hyperlink" Target="https://finance.yahoo.com/quote/600986.ss/history?p=600986.ss" TargetMode="External"/><Relationship Id="rId105" Type="http://schemas.openxmlformats.org/officeDocument/2006/relationships/hyperlink" Target="https://finance.yahoo.com/quote/NU220414C00009000/history?p=NU220414C00009000" TargetMode="External"/><Relationship Id="rId126" Type="http://schemas.openxmlformats.org/officeDocument/2006/relationships/hyperlink" Target="https://finance.yahoo.com/quote/0070.HK/history?p=0070.HK" TargetMode="External"/><Relationship Id="rId147" Type="http://schemas.openxmlformats.org/officeDocument/2006/relationships/hyperlink" Target="https://finance.yahoo.com/quote/ES=F/history?p=ES=F" TargetMode="External"/><Relationship Id="rId168" Type="http://schemas.openxmlformats.org/officeDocument/2006/relationships/hyperlink" Target="https://finance.yahoo.com/quote/NKE/history?p=NKE" TargetMode="External"/><Relationship Id="rId51" Type="http://schemas.openxmlformats.org/officeDocument/2006/relationships/hyperlink" Target="https://finance.yahoo.com/quote/SPXW220218P04300000/history?p=SPXW220218P04300000" TargetMode="External"/><Relationship Id="rId72" Type="http://schemas.openxmlformats.org/officeDocument/2006/relationships/hyperlink" Target="https://finance.yahoo.com/quote/1109.HK/history?p=1109.HK" TargetMode="External"/><Relationship Id="rId93" Type="http://schemas.openxmlformats.org/officeDocument/2006/relationships/hyperlink" Target="https://finance.yahoo.com/quote/ARKK/history?p=ARKK" TargetMode="External"/><Relationship Id="rId189" Type="http://schemas.openxmlformats.org/officeDocument/2006/relationships/hyperlink" Target="http://9961.hk/" TargetMode="External"/><Relationship Id="rId3" Type="http://schemas.openxmlformats.org/officeDocument/2006/relationships/hyperlink" Target="https://finance.yahoo.com/quote/TSLA/history?p=TSLA" TargetMode="External"/><Relationship Id="rId214" Type="http://schemas.openxmlformats.org/officeDocument/2006/relationships/hyperlink" Target="http://000950.sz/" TargetMode="External"/><Relationship Id="rId235" Type="http://schemas.openxmlformats.org/officeDocument/2006/relationships/hyperlink" Target="http://000568.sz/" TargetMode="External"/><Relationship Id="rId116" Type="http://schemas.openxmlformats.org/officeDocument/2006/relationships/hyperlink" Target="https://finance.yahoo.com/quote/LMT/history?p=LMT" TargetMode="External"/><Relationship Id="rId137" Type="http://schemas.openxmlformats.org/officeDocument/2006/relationships/hyperlink" Target="https://finance.yahoo.com/quote/XLI/history?p=XLI" TargetMode="External"/><Relationship Id="rId158" Type="http://schemas.openxmlformats.org/officeDocument/2006/relationships/hyperlink" Target="https://finance.yahoo.com/quote/002670.SZ/history?p=002670.SZ"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9626.hk/" TargetMode="External"/><Relationship Id="rId671" Type="http://schemas.openxmlformats.org/officeDocument/2006/relationships/hyperlink" Target="https://finance.yahoo.com/quote/YINN/?p=YINN" TargetMode="External"/><Relationship Id="rId21" Type="http://schemas.openxmlformats.org/officeDocument/2006/relationships/hyperlink" Target="https://finance.yahoo.com/quote/DIDI/?p=DIDI" TargetMode="External"/><Relationship Id="rId324" Type="http://schemas.openxmlformats.org/officeDocument/2006/relationships/hyperlink" Target="https://finance.yahoo.com/quote/9988.HK/?p=9988.HK" TargetMode="External"/><Relationship Id="rId531" Type="http://schemas.openxmlformats.org/officeDocument/2006/relationships/hyperlink" Target="http://0700.hk/" TargetMode="External"/><Relationship Id="rId629" Type="http://schemas.openxmlformats.org/officeDocument/2006/relationships/hyperlink" Target="http://9988.hk/" TargetMode="External"/><Relationship Id="rId170" Type="http://schemas.openxmlformats.org/officeDocument/2006/relationships/hyperlink" Target="https://finance.yahoo.com/quote/XLV/?p=XLV" TargetMode="External"/><Relationship Id="rId268" Type="http://schemas.openxmlformats.org/officeDocument/2006/relationships/hyperlink" Target="https://finance.yahoo.com/quote/DIS/?p=DIS" TargetMode="External"/><Relationship Id="rId475" Type="http://schemas.openxmlformats.org/officeDocument/2006/relationships/hyperlink" Target="https://finance.yahoo.com/quote/UVXY/?p=UVXY" TargetMode="External"/><Relationship Id="rId682" Type="http://schemas.openxmlformats.org/officeDocument/2006/relationships/hyperlink" Target="http://9988.hk/" TargetMode="External"/><Relationship Id="rId32" Type="http://schemas.openxmlformats.org/officeDocument/2006/relationships/hyperlink" Target="https://finance.yahoo.com/quote/MSFT/?p=MSFT" TargetMode="External"/><Relationship Id="rId128" Type="http://schemas.openxmlformats.org/officeDocument/2006/relationships/hyperlink" Target="http://9988.hk/" TargetMode="External"/><Relationship Id="rId335" Type="http://schemas.openxmlformats.org/officeDocument/2006/relationships/hyperlink" Target="https://finance.yahoo.com/quote/NET/?p=NET" TargetMode="External"/><Relationship Id="rId542" Type="http://schemas.openxmlformats.org/officeDocument/2006/relationships/hyperlink" Target="https://finance.yahoo.com/quote/GOOGL/?p=GOOGL" TargetMode="External"/><Relationship Id="rId181" Type="http://schemas.openxmlformats.org/officeDocument/2006/relationships/hyperlink" Target="http://603939.ss/" TargetMode="External"/><Relationship Id="rId402" Type="http://schemas.openxmlformats.org/officeDocument/2006/relationships/hyperlink" Target="http://3339.hk/" TargetMode="External"/><Relationship Id="rId279" Type="http://schemas.openxmlformats.org/officeDocument/2006/relationships/hyperlink" Target="https://finance.yahoo.com/quote/ABNB/?p=ABNB" TargetMode="External"/><Relationship Id="rId486" Type="http://schemas.openxmlformats.org/officeDocument/2006/relationships/hyperlink" Target="http://1498.hk/" TargetMode="External"/><Relationship Id="rId693" Type="http://schemas.openxmlformats.org/officeDocument/2006/relationships/hyperlink" Target="https://finance.yahoo.com/quote/ASML/?p=ASML" TargetMode="External"/><Relationship Id="rId707" Type="http://schemas.openxmlformats.org/officeDocument/2006/relationships/hyperlink" Target="http://9988.hk/" TargetMode="External"/><Relationship Id="rId43" Type="http://schemas.openxmlformats.org/officeDocument/2006/relationships/hyperlink" Target="https://finance.yahoo.com/quote/XLK/?p=XLK" TargetMode="External"/><Relationship Id="rId139" Type="http://schemas.openxmlformats.org/officeDocument/2006/relationships/hyperlink" Target="https://finance.yahoo.com/quote/1810.HK/?p=1810.HK" TargetMode="External"/><Relationship Id="rId346" Type="http://schemas.openxmlformats.org/officeDocument/2006/relationships/hyperlink" Target="https://finance.yahoo.com/quote/0700.HK/?p=0700.HK" TargetMode="External"/><Relationship Id="rId553" Type="http://schemas.openxmlformats.org/officeDocument/2006/relationships/hyperlink" Target="http://300157.sz/" TargetMode="External"/><Relationship Id="rId192" Type="http://schemas.openxmlformats.org/officeDocument/2006/relationships/hyperlink" Target="https://finance.yahoo.com/quote/NKE/?p=NKE" TargetMode="External"/><Relationship Id="rId206" Type="http://schemas.openxmlformats.org/officeDocument/2006/relationships/hyperlink" Target="https://finance.yahoo.com/quote/AMZN/?p=AMZN" TargetMode="External"/><Relationship Id="rId413" Type="http://schemas.openxmlformats.org/officeDocument/2006/relationships/hyperlink" Target="https://finance.yahoo.com/quote/2333.HK/?p=2333.HK" TargetMode="External"/><Relationship Id="rId497" Type="http://schemas.openxmlformats.org/officeDocument/2006/relationships/hyperlink" Target="https://finance.yahoo.com/quote/601808.SS/?p=601808.SS" TargetMode="External"/><Relationship Id="rId620" Type="http://schemas.openxmlformats.org/officeDocument/2006/relationships/hyperlink" Target="https://finance.yahoo.com/quote/9988.HK/?p=9988.HK" TargetMode="External"/><Relationship Id="rId718" Type="http://schemas.openxmlformats.org/officeDocument/2006/relationships/hyperlink" Target="https://finance.yahoo.com/quote/ATVI/?p=ATVI" TargetMode="External"/><Relationship Id="rId357" Type="http://schemas.openxmlformats.org/officeDocument/2006/relationships/hyperlink" Target="http://0700.hk/" TargetMode="External"/><Relationship Id="rId54" Type="http://schemas.openxmlformats.org/officeDocument/2006/relationships/hyperlink" Target="https://finance.yahoo.com/quote/XLI/?p=XLI" TargetMode="External"/><Relationship Id="rId217" Type="http://schemas.openxmlformats.org/officeDocument/2006/relationships/hyperlink" Target="https://finance.yahoo.com/quote/AMZN/?p=AMZN" TargetMode="External"/><Relationship Id="rId564" Type="http://schemas.openxmlformats.org/officeDocument/2006/relationships/hyperlink" Target="https://finance.yahoo.com/quote/IXHL/?p=IXHL" TargetMode="External"/><Relationship Id="rId424" Type="http://schemas.openxmlformats.org/officeDocument/2006/relationships/hyperlink" Target="https://finance.yahoo.com/quote/3690.HK/?p=3690.HK" TargetMode="External"/><Relationship Id="rId631" Type="http://schemas.openxmlformats.org/officeDocument/2006/relationships/hyperlink" Target="http://9988.hk/" TargetMode="External"/><Relationship Id="rId270" Type="http://schemas.openxmlformats.org/officeDocument/2006/relationships/hyperlink" Target="http://2020.hk/" TargetMode="External"/><Relationship Id="rId65" Type="http://schemas.openxmlformats.org/officeDocument/2006/relationships/hyperlink" Target="https://finance.yahoo.com/quote/VYGLX/?p=VYGLX" TargetMode="External"/><Relationship Id="rId130" Type="http://schemas.openxmlformats.org/officeDocument/2006/relationships/hyperlink" Target="http://1024.hk/" TargetMode="External"/><Relationship Id="rId368" Type="http://schemas.openxmlformats.org/officeDocument/2006/relationships/hyperlink" Target="https://finance.yahoo.com/quote/0001.HK/?p=0001.HK" TargetMode="External"/><Relationship Id="rId575" Type="http://schemas.openxmlformats.org/officeDocument/2006/relationships/hyperlink" Target="http://000568.sz/" TargetMode="External"/><Relationship Id="rId228" Type="http://schemas.openxmlformats.org/officeDocument/2006/relationships/hyperlink" Target="http://ubi.pa/" TargetMode="External"/><Relationship Id="rId435" Type="http://schemas.openxmlformats.org/officeDocument/2006/relationships/hyperlink" Target="https://finance.yahoo.com/quote/NET/?p=NET" TargetMode="External"/><Relationship Id="rId642" Type="http://schemas.openxmlformats.org/officeDocument/2006/relationships/hyperlink" Target="http://9698.hk/" TargetMode="External"/><Relationship Id="rId281" Type="http://schemas.openxmlformats.org/officeDocument/2006/relationships/hyperlink" Target="https://finance.yahoo.com/quote/BA/?p=BA" TargetMode="External"/><Relationship Id="rId502" Type="http://schemas.openxmlformats.org/officeDocument/2006/relationships/hyperlink" Target="http://000554.sz/" TargetMode="External"/><Relationship Id="rId76" Type="http://schemas.openxmlformats.org/officeDocument/2006/relationships/hyperlink" Target="http://2318.hk/" TargetMode="External"/><Relationship Id="rId141" Type="http://schemas.openxmlformats.org/officeDocument/2006/relationships/hyperlink" Target="https://finance.yahoo.com/quote/6680.HK/?p=6680.HK" TargetMode="External"/><Relationship Id="rId379" Type="http://schemas.openxmlformats.org/officeDocument/2006/relationships/hyperlink" Target="http://6862.hk/" TargetMode="External"/><Relationship Id="rId586" Type="http://schemas.openxmlformats.org/officeDocument/2006/relationships/hyperlink" Target="https://finance.yahoo.com/quote/3690.HK/?p=3690.HK" TargetMode="External"/><Relationship Id="rId7" Type="http://schemas.openxmlformats.org/officeDocument/2006/relationships/hyperlink" Target="https://finance.yahoo.com/quote/OXY/?p=OXY" TargetMode="External"/><Relationship Id="rId239" Type="http://schemas.openxmlformats.org/officeDocument/2006/relationships/hyperlink" Target="https://finance.yahoo.com/quote/ANPDY/?p=ANPDY" TargetMode="External"/><Relationship Id="rId446" Type="http://schemas.openxmlformats.org/officeDocument/2006/relationships/hyperlink" Target="https://finance.yahoo.com/quote/IXHL/?p=IXHL" TargetMode="External"/><Relationship Id="rId653" Type="http://schemas.openxmlformats.org/officeDocument/2006/relationships/hyperlink" Target="http://6969.hk/" TargetMode="External"/><Relationship Id="rId292" Type="http://schemas.openxmlformats.org/officeDocument/2006/relationships/hyperlink" Target="https://finance.yahoo.com/quote/0700.HK/?p=0700.HK" TargetMode="External"/><Relationship Id="rId306" Type="http://schemas.openxmlformats.org/officeDocument/2006/relationships/hyperlink" Target="https://finance.yahoo.com/quote/GOOG/?p=GOOG" TargetMode="External"/><Relationship Id="rId87" Type="http://schemas.openxmlformats.org/officeDocument/2006/relationships/hyperlink" Target="http://0700.hk/" TargetMode="External"/><Relationship Id="rId513" Type="http://schemas.openxmlformats.org/officeDocument/2006/relationships/hyperlink" Target="https://finance.yahoo.com/quote/300922.SZ/?p=300922.SZ" TargetMode="External"/><Relationship Id="rId597" Type="http://schemas.openxmlformats.org/officeDocument/2006/relationships/hyperlink" Target="https://finance.yahoo.com/quote/000950.SZ/?p=000950.SZ" TargetMode="External"/><Relationship Id="rId720" Type="http://schemas.openxmlformats.org/officeDocument/2006/relationships/hyperlink" Target="https://finance.yahoo.com/quote/LCID/?p=LCID" TargetMode="External"/><Relationship Id="rId152" Type="http://schemas.openxmlformats.org/officeDocument/2006/relationships/hyperlink" Target="http://1024.hk/" TargetMode="External"/><Relationship Id="rId457" Type="http://schemas.openxmlformats.org/officeDocument/2006/relationships/hyperlink" Target="https://finance.yahoo.com/quote/XLE/?p=XLE" TargetMode="External"/><Relationship Id="rId664" Type="http://schemas.openxmlformats.org/officeDocument/2006/relationships/hyperlink" Target="https://finance.yahoo.com/quote/TCEHY/?p=TCEHY" TargetMode="External"/><Relationship Id="rId14" Type="http://schemas.openxmlformats.org/officeDocument/2006/relationships/hyperlink" Target="https://finance.yahoo.com/quote/%5EN225/?p=%5EN225" TargetMode="External"/><Relationship Id="rId317" Type="http://schemas.openxmlformats.org/officeDocument/2006/relationships/hyperlink" Target="https://finance.yahoo.com/quote/GC=F/?p=GC=F" TargetMode="External"/><Relationship Id="rId524" Type="http://schemas.openxmlformats.org/officeDocument/2006/relationships/hyperlink" Target="https://finance.yahoo.com/quote/GC=F/?p=GC=F" TargetMode="External"/><Relationship Id="rId98" Type="http://schemas.openxmlformats.org/officeDocument/2006/relationships/hyperlink" Target="https://finance.yahoo.com/quote/DVN/?p=DVN" TargetMode="External"/><Relationship Id="rId163" Type="http://schemas.openxmlformats.org/officeDocument/2006/relationships/hyperlink" Target="https://finance.yahoo.com/quote/9988.HK/?p=9988.HK" TargetMode="External"/><Relationship Id="rId370" Type="http://schemas.openxmlformats.org/officeDocument/2006/relationships/hyperlink" Target="https://finance.yahoo.com/quote/0151.HK/?p=0151.HK" TargetMode="External"/><Relationship Id="rId230" Type="http://schemas.openxmlformats.org/officeDocument/2006/relationships/hyperlink" Target="https://finance.yahoo.com/quote/NVDA/?p=NVDA" TargetMode="External"/><Relationship Id="rId468" Type="http://schemas.openxmlformats.org/officeDocument/2006/relationships/hyperlink" Target="http://1810.hk/" TargetMode="External"/><Relationship Id="rId675" Type="http://schemas.openxmlformats.org/officeDocument/2006/relationships/hyperlink" Target="https://finance.yahoo.com/quote/NU/?p=NU" TargetMode="External"/><Relationship Id="rId25" Type="http://schemas.openxmlformats.org/officeDocument/2006/relationships/hyperlink" Target="https://finance.yahoo.com/quote/FB/?p=FB" TargetMode="External"/><Relationship Id="rId328" Type="http://schemas.openxmlformats.org/officeDocument/2006/relationships/hyperlink" Target="https://finance.yahoo.com/quote/ARKK/?p=ARKK" TargetMode="External"/><Relationship Id="rId535" Type="http://schemas.openxmlformats.org/officeDocument/2006/relationships/hyperlink" Target="http://002670.sz/" TargetMode="External"/><Relationship Id="rId174" Type="http://schemas.openxmlformats.org/officeDocument/2006/relationships/hyperlink" Target="https://finance.yahoo.com/quote/9988.HK/?p=9988.HK" TargetMode="External"/><Relationship Id="rId381" Type="http://schemas.openxmlformats.org/officeDocument/2006/relationships/hyperlink" Target="http://0700.hk/" TargetMode="External"/><Relationship Id="rId602" Type="http://schemas.openxmlformats.org/officeDocument/2006/relationships/hyperlink" Target="https://finance.yahoo.com/quote/000950.SZ/?p=000950.SZ" TargetMode="External"/><Relationship Id="rId241" Type="http://schemas.openxmlformats.org/officeDocument/2006/relationships/hyperlink" Target="https://finance.yahoo.com/quote/AEP/?p=AEP" TargetMode="External"/><Relationship Id="rId479" Type="http://schemas.openxmlformats.org/officeDocument/2006/relationships/hyperlink" Target="https://finance.yahoo.com/quote/600519.SS/?p=600519.SS" TargetMode="External"/><Relationship Id="rId686" Type="http://schemas.openxmlformats.org/officeDocument/2006/relationships/hyperlink" Target="http://0708.hk/" TargetMode="External"/><Relationship Id="rId36" Type="http://schemas.openxmlformats.org/officeDocument/2006/relationships/hyperlink" Target="https://finance.yahoo.com/quote/F/?p=F" TargetMode="External"/><Relationship Id="rId339" Type="http://schemas.openxmlformats.org/officeDocument/2006/relationships/hyperlink" Target="https://finance.yahoo.com/quote/SARK/?p=SARK" TargetMode="External"/><Relationship Id="rId546" Type="http://schemas.openxmlformats.org/officeDocument/2006/relationships/hyperlink" Target="http://1398.hk/" TargetMode="External"/><Relationship Id="rId101" Type="http://schemas.openxmlformats.org/officeDocument/2006/relationships/hyperlink" Target="https://finance.yahoo.com/quote/TSLA/?p=TSLA" TargetMode="External"/><Relationship Id="rId185" Type="http://schemas.openxmlformats.org/officeDocument/2006/relationships/hyperlink" Target="https://finance.yahoo.com/quote/BZ=F/?p=BZ=F" TargetMode="External"/><Relationship Id="rId406" Type="http://schemas.openxmlformats.org/officeDocument/2006/relationships/hyperlink" Target="http://1810.hk/" TargetMode="External"/><Relationship Id="rId392" Type="http://schemas.openxmlformats.org/officeDocument/2006/relationships/hyperlink" Target="https://finance.yahoo.com/quote/SOFI/?p=SOFI" TargetMode="External"/><Relationship Id="rId613" Type="http://schemas.openxmlformats.org/officeDocument/2006/relationships/hyperlink" Target="http://0941.hk/" TargetMode="External"/><Relationship Id="rId697" Type="http://schemas.openxmlformats.org/officeDocument/2006/relationships/hyperlink" Target="http://0968.hk/" TargetMode="External"/><Relationship Id="rId252" Type="http://schemas.openxmlformats.org/officeDocument/2006/relationships/hyperlink" Target="http://3315.hk/" TargetMode="External"/><Relationship Id="rId47" Type="http://schemas.openxmlformats.org/officeDocument/2006/relationships/hyperlink" Target="https://finance.yahoo.com/quote/XLP/?p=XLP" TargetMode="External"/><Relationship Id="rId112" Type="http://schemas.openxmlformats.org/officeDocument/2006/relationships/hyperlink" Target="http://0700.hk/" TargetMode="External"/><Relationship Id="rId557" Type="http://schemas.openxmlformats.org/officeDocument/2006/relationships/hyperlink" Target="https://finance.yahoo.com/quote/BRK-B/?p=BRK-B" TargetMode="External"/><Relationship Id="rId196" Type="http://schemas.openxmlformats.org/officeDocument/2006/relationships/hyperlink" Target="https://finance.yahoo.com/quote/0700.HK/?p=0700.HK" TargetMode="External"/><Relationship Id="rId417" Type="http://schemas.openxmlformats.org/officeDocument/2006/relationships/hyperlink" Target="https://finance.yahoo.com/quote/2333.HK/?p=2333.HK" TargetMode="External"/><Relationship Id="rId624" Type="http://schemas.openxmlformats.org/officeDocument/2006/relationships/hyperlink" Target="https://finance.yahoo.com/quote/0700.HK/?p=0700.HK" TargetMode="External"/><Relationship Id="rId263" Type="http://schemas.openxmlformats.org/officeDocument/2006/relationships/hyperlink" Target="https://finance.yahoo.com/quote/TSLA/?p=TSLA" TargetMode="External"/><Relationship Id="rId470" Type="http://schemas.openxmlformats.org/officeDocument/2006/relationships/hyperlink" Target="https://finance.yahoo.com/quote/GBTC/?p=GBTC" TargetMode="External"/><Relationship Id="rId58" Type="http://schemas.openxmlformats.org/officeDocument/2006/relationships/hyperlink" Target="https://finance.yahoo.com/quote/TSLA/?p=TSLA" TargetMode="External"/><Relationship Id="rId123" Type="http://schemas.openxmlformats.org/officeDocument/2006/relationships/hyperlink" Target="http://9988.hk/" TargetMode="External"/><Relationship Id="rId330" Type="http://schemas.openxmlformats.org/officeDocument/2006/relationships/hyperlink" Target="https://finance.yahoo.com/quote/SARK/?p=SARK" TargetMode="External"/><Relationship Id="rId568" Type="http://schemas.openxmlformats.org/officeDocument/2006/relationships/hyperlink" Target="http://3690.hk/" TargetMode="External"/><Relationship Id="rId428" Type="http://schemas.openxmlformats.org/officeDocument/2006/relationships/hyperlink" Target="https://finance.yahoo.com/quote/AMAT/?p=AMAT" TargetMode="External"/><Relationship Id="rId635" Type="http://schemas.openxmlformats.org/officeDocument/2006/relationships/hyperlink" Target="http://9988.hk/" TargetMode="External"/><Relationship Id="rId274" Type="http://schemas.openxmlformats.org/officeDocument/2006/relationships/hyperlink" Target="https://finance.yahoo.com/quote/TSLA/?p=TSLA" TargetMode="External"/><Relationship Id="rId481" Type="http://schemas.openxmlformats.org/officeDocument/2006/relationships/hyperlink" Target="https://finance.yahoo.com/quote/TSLA/?p=TSLA" TargetMode="External"/><Relationship Id="rId702" Type="http://schemas.openxmlformats.org/officeDocument/2006/relationships/hyperlink" Target="https://finance.yahoo.com/quote/0175.HK/?p=0175.HK" TargetMode="External"/><Relationship Id="rId69" Type="http://schemas.openxmlformats.org/officeDocument/2006/relationships/hyperlink" Target="https://finance.yahoo.com/quote/WMT/?p=WMT" TargetMode="External"/><Relationship Id="rId134" Type="http://schemas.openxmlformats.org/officeDocument/2006/relationships/hyperlink" Target="http://9988.hk/" TargetMode="External"/><Relationship Id="rId579" Type="http://schemas.openxmlformats.org/officeDocument/2006/relationships/hyperlink" Target="http://0700.hk/" TargetMode="External"/><Relationship Id="rId341" Type="http://schemas.openxmlformats.org/officeDocument/2006/relationships/hyperlink" Target="http://9988.hk/" TargetMode="External"/><Relationship Id="rId439" Type="http://schemas.openxmlformats.org/officeDocument/2006/relationships/hyperlink" Target="https://finance.yahoo.com/quote/CL=F/?p=CL=F" TargetMode="External"/><Relationship Id="rId646" Type="http://schemas.openxmlformats.org/officeDocument/2006/relationships/hyperlink" Target="http://2269.hk/" TargetMode="External"/><Relationship Id="rId201" Type="http://schemas.openxmlformats.org/officeDocument/2006/relationships/hyperlink" Target="https://finance.yahoo.com/quote/AMZN/?p=AMZN" TargetMode="External"/><Relationship Id="rId285" Type="http://schemas.openxmlformats.org/officeDocument/2006/relationships/hyperlink" Target="https://finance.yahoo.com/quote/DIS/?p=DIS" TargetMode="External"/><Relationship Id="rId506" Type="http://schemas.openxmlformats.org/officeDocument/2006/relationships/hyperlink" Target="http://601808.ss/" TargetMode="External"/><Relationship Id="rId492" Type="http://schemas.openxmlformats.org/officeDocument/2006/relationships/hyperlink" Target="http://300945.sz/" TargetMode="External"/><Relationship Id="rId713" Type="http://schemas.openxmlformats.org/officeDocument/2006/relationships/hyperlink" Target="https://finance.yahoo.com/quote/9999.HK/?p=9999.HK" TargetMode="External"/><Relationship Id="rId145" Type="http://schemas.openxmlformats.org/officeDocument/2006/relationships/hyperlink" Target="https://finance.yahoo.com/quote/1024.HK/?p=1024.HK" TargetMode="External"/><Relationship Id="rId352" Type="http://schemas.openxmlformats.org/officeDocument/2006/relationships/hyperlink" Target="https://finance.yahoo.com/quote/0700.HK/?p=0700.HK" TargetMode="External"/><Relationship Id="rId212" Type="http://schemas.openxmlformats.org/officeDocument/2006/relationships/hyperlink" Target="https://finance.yahoo.com/quote/0700.HK/?p=0700.HK" TargetMode="External"/><Relationship Id="rId657" Type="http://schemas.openxmlformats.org/officeDocument/2006/relationships/hyperlink" Target="https://finance.yahoo.com/quote/SOXL/?p=SOXL" TargetMode="External"/><Relationship Id="rId296" Type="http://schemas.openxmlformats.org/officeDocument/2006/relationships/hyperlink" Target="http://0883.hk/" TargetMode="External"/><Relationship Id="rId517" Type="http://schemas.openxmlformats.org/officeDocument/2006/relationships/hyperlink" Target="https://finance.yahoo.com/quote/603967.SS/?p=603967.SS" TargetMode="External"/><Relationship Id="rId60" Type="http://schemas.openxmlformats.org/officeDocument/2006/relationships/hyperlink" Target="https://finance.yahoo.com/quote/GOLD/?p=GOLD" TargetMode="External"/><Relationship Id="rId156" Type="http://schemas.openxmlformats.org/officeDocument/2006/relationships/hyperlink" Target="http://9988.hk/" TargetMode="External"/><Relationship Id="rId363" Type="http://schemas.openxmlformats.org/officeDocument/2006/relationships/hyperlink" Target="https://finance.yahoo.com/quote/AAPL/?p=AAPL" TargetMode="External"/><Relationship Id="rId570" Type="http://schemas.openxmlformats.org/officeDocument/2006/relationships/hyperlink" Target="https://finance.yahoo.com/quote/JD/?p=JD" TargetMode="External"/><Relationship Id="rId223" Type="http://schemas.openxmlformats.org/officeDocument/2006/relationships/hyperlink" Target="https://finance.yahoo.com/quote/BABA/?p=BABA" TargetMode="External"/><Relationship Id="rId430" Type="http://schemas.openxmlformats.org/officeDocument/2006/relationships/hyperlink" Target="https://finance.yahoo.com/quote/NET/?p=NET" TargetMode="External"/><Relationship Id="rId668" Type="http://schemas.openxmlformats.org/officeDocument/2006/relationships/hyperlink" Target="https://finance.yahoo.com/quote/6969.HK/?p=6969.HK" TargetMode="External"/><Relationship Id="rId18" Type="http://schemas.openxmlformats.org/officeDocument/2006/relationships/hyperlink" Target="https://finance.yahoo.com/quote/NVDA/?p=NVDA" TargetMode="External"/><Relationship Id="rId528" Type="http://schemas.openxmlformats.org/officeDocument/2006/relationships/hyperlink" Target="https://finance.yahoo.com/quote/688076.SS/?p=688076.SS" TargetMode="External"/><Relationship Id="rId167" Type="http://schemas.openxmlformats.org/officeDocument/2006/relationships/hyperlink" Target="https://finance.yahoo.com/quote/6862.HK/?p=6862.HK" TargetMode="External"/><Relationship Id="rId374" Type="http://schemas.openxmlformats.org/officeDocument/2006/relationships/hyperlink" Target="http://1898.hk/" TargetMode="External"/><Relationship Id="rId581" Type="http://schemas.openxmlformats.org/officeDocument/2006/relationships/hyperlink" Target="http://3690.hk/" TargetMode="External"/><Relationship Id="rId71" Type="http://schemas.openxmlformats.org/officeDocument/2006/relationships/hyperlink" Target="https://finance.yahoo.com/quote/NVDA/?p=NVDA" TargetMode="External"/><Relationship Id="rId234" Type="http://schemas.openxmlformats.org/officeDocument/2006/relationships/hyperlink" Target="https://finance.yahoo.com/quote/TSLA/?p=TSLA" TargetMode="External"/><Relationship Id="rId679" Type="http://schemas.openxmlformats.org/officeDocument/2006/relationships/hyperlink" Target="https://finance.yahoo.com/quote/SOXL/?p=SOXL" TargetMode="External"/><Relationship Id="rId2" Type="http://schemas.openxmlformats.org/officeDocument/2006/relationships/hyperlink" Target="https://finance.yahoo.com/quote/TSLA/?p=TSLA" TargetMode="External"/><Relationship Id="rId29" Type="http://schemas.openxmlformats.org/officeDocument/2006/relationships/hyperlink" Target="https://finance.yahoo.com/quote/BA/?p=BA" TargetMode="External"/><Relationship Id="rId441" Type="http://schemas.openxmlformats.org/officeDocument/2006/relationships/hyperlink" Target="https://finance.yahoo.com/quote/CL=F/?p=CL=F" TargetMode="External"/><Relationship Id="rId539" Type="http://schemas.openxmlformats.org/officeDocument/2006/relationships/hyperlink" Target="https://finance.yahoo.com/quote/MSFT/?p=MSFT" TargetMode="External"/><Relationship Id="rId178" Type="http://schemas.openxmlformats.org/officeDocument/2006/relationships/hyperlink" Target="https://finance.yahoo.com/quote/PFE/?p=PFE" TargetMode="External"/><Relationship Id="rId301" Type="http://schemas.openxmlformats.org/officeDocument/2006/relationships/hyperlink" Target="https://finance.yahoo.com/quote/MCD/?p=MCD" TargetMode="External"/><Relationship Id="rId82" Type="http://schemas.openxmlformats.org/officeDocument/2006/relationships/hyperlink" Target="http://0700.hk/" TargetMode="External"/><Relationship Id="rId203" Type="http://schemas.openxmlformats.org/officeDocument/2006/relationships/hyperlink" Target="https://finance.yahoo.com/quote/GOOG/?p=GOOG" TargetMode="External"/><Relationship Id="rId385" Type="http://schemas.openxmlformats.org/officeDocument/2006/relationships/hyperlink" Target="http://6862.hk/" TargetMode="External"/><Relationship Id="rId592" Type="http://schemas.openxmlformats.org/officeDocument/2006/relationships/hyperlink" Target="https://finance.yahoo.com/quote/6078.HK/?p=6078.HK" TargetMode="External"/><Relationship Id="rId606" Type="http://schemas.openxmlformats.org/officeDocument/2006/relationships/hyperlink" Target="https://finance.yahoo.com/quote/0700.HK/?p=0700.HK" TargetMode="External"/><Relationship Id="rId648" Type="http://schemas.openxmlformats.org/officeDocument/2006/relationships/hyperlink" Target="https://finance.yahoo.com/quote/UVXY/?p=UVXY" TargetMode="External"/><Relationship Id="rId245" Type="http://schemas.openxmlformats.org/officeDocument/2006/relationships/hyperlink" Target="https://finance.yahoo.com/quote/1208.HK/?p=1208.HK" TargetMode="External"/><Relationship Id="rId287" Type="http://schemas.openxmlformats.org/officeDocument/2006/relationships/hyperlink" Target="https://finance.yahoo.com/quote/2222.SR/?p=2222.SR" TargetMode="External"/><Relationship Id="rId410" Type="http://schemas.openxmlformats.org/officeDocument/2006/relationships/hyperlink" Target="http://3339.hk/" TargetMode="External"/><Relationship Id="rId452" Type="http://schemas.openxmlformats.org/officeDocument/2006/relationships/hyperlink" Target="https://finance.yahoo.com/quote/600986.ss/?p=600986.ss" TargetMode="External"/><Relationship Id="rId494" Type="http://schemas.openxmlformats.org/officeDocument/2006/relationships/hyperlink" Target="http://601808.ss/" TargetMode="External"/><Relationship Id="rId508" Type="http://schemas.openxmlformats.org/officeDocument/2006/relationships/hyperlink" Target="http://300922.sz/" TargetMode="External"/><Relationship Id="rId715" Type="http://schemas.openxmlformats.org/officeDocument/2006/relationships/hyperlink" Target="https://finance.yahoo.com/quote/0909.HK/?p=0909.HK" TargetMode="External"/><Relationship Id="rId105" Type="http://schemas.openxmlformats.org/officeDocument/2006/relationships/hyperlink" Target="https://finance.yahoo.com/quote/TSLA/?p=TSLA" TargetMode="External"/><Relationship Id="rId147" Type="http://schemas.openxmlformats.org/officeDocument/2006/relationships/hyperlink" Target="https://finance.yahoo.com/quote/1810.HK/?p=1810.HK" TargetMode="External"/><Relationship Id="rId312" Type="http://schemas.openxmlformats.org/officeDocument/2006/relationships/hyperlink" Target="https://finance.yahoo.com/quote/YINN/?p=YINN" TargetMode="External"/><Relationship Id="rId354" Type="http://schemas.openxmlformats.org/officeDocument/2006/relationships/hyperlink" Target="https://finance.yahoo.com/quote/9988.HK/?p=9988.HK" TargetMode="External"/><Relationship Id="rId51" Type="http://schemas.openxmlformats.org/officeDocument/2006/relationships/hyperlink" Target="https://finance.yahoo.com/quote/XLY/?p=XLY" TargetMode="External"/><Relationship Id="rId93" Type="http://schemas.openxmlformats.org/officeDocument/2006/relationships/hyperlink" Target="http://0388.hk/" TargetMode="External"/><Relationship Id="rId189" Type="http://schemas.openxmlformats.org/officeDocument/2006/relationships/hyperlink" Target="https://finance.yahoo.com/quote/JPM/?p=JPM" TargetMode="External"/><Relationship Id="rId396" Type="http://schemas.openxmlformats.org/officeDocument/2006/relationships/hyperlink" Target="http://2318.hk/" TargetMode="External"/><Relationship Id="rId561" Type="http://schemas.openxmlformats.org/officeDocument/2006/relationships/hyperlink" Target="https://finance.yahoo.com/quote/IXHL/?p=IXHL" TargetMode="External"/><Relationship Id="rId617" Type="http://schemas.openxmlformats.org/officeDocument/2006/relationships/hyperlink" Target="http://2800.hk/" TargetMode="External"/><Relationship Id="rId659" Type="http://schemas.openxmlformats.org/officeDocument/2006/relationships/hyperlink" Target="https://finance.yahoo.com/quote/9698.HK/?p=9698.HK" TargetMode="External"/><Relationship Id="rId214" Type="http://schemas.openxmlformats.org/officeDocument/2006/relationships/hyperlink" Target="http://0700.hk/" TargetMode="External"/><Relationship Id="rId256" Type="http://schemas.openxmlformats.org/officeDocument/2006/relationships/hyperlink" Target="https://finance.yahoo.com/quote/DIS/?p=DIS" TargetMode="External"/><Relationship Id="rId298" Type="http://schemas.openxmlformats.org/officeDocument/2006/relationships/hyperlink" Target="https://finance.yahoo.com/quote/FB/?p=FB" TargetMode="External"/><Relationship Id="rId421" Type="http://schemas.openxmlformats.org/officeDocument/2006/relationships/hyperlink" Target="http://0700.hk/" TargetMode="External"/><Relationship Id="rId463" Type="http://schemas.openxmlformats.org/officeDocument/2006/relationships/hyperlink" Target="https://finance.yahoo.com/quote/0700.HK/?p=0700.HK" TargetMode="External"/><Relationship Id="rId519" Type="http://schemas.openxmlformats.org/officeDocument/2006/relationships/hyperlink" Target="https://finance.yahoo.com/quote/603963.SS/?p=603963.SS" TargetMode="External"/><Relationship Id="rId670" Type="http://schemas.openxmlformats.org/officeDocument/2006/relationships/hyperlink" Target="https://finance.yahoo.com/quote/NU/?p=NU" TargetMode="External"/><Relationship Id="rId116" Type="http://schemas.openxmlformats.org/officeDocument/2006/relationships/hyperlink" Target="https://finance.yahoo.com/quote/SOFI/?p=SOFI" TargetMode="External"/><Relationship Id="rId158" Type="http://schemas.openxmlformats.org/officeDocument/2006/relationships/hyperlink" Target="http://6680.hk/" TargetMode="External"/><Relationship Id="rId323" Type="http://schemas.openxmlformats.org/officeDocument/2006/relationships/hyperlink" Target="http://9988.hk/" TargetMode="External"/><Relationship Id="rId530" Type="http://schemas.openxmlformats.org/officeDocument/2006/relationships/hyperlink" Target="https://finance.yahoo.com/quote/GC=F/?p=GC=F" TargetMode="External"/><Relationship Id="rId20" Type="http://schemas.openxmlformats.org/officeDocument/2006/relationships/hyperlink" Target="https://finance.yahoo.com/quote/NKE/?p=NKE" TargetMode="External"/><Relationship Id="rId62" Type="http://schemas.openxmlformats.org/officeDocument/2006/relationships/hyperlink" Target="https://finance.yahoo.com/quote/TSLA/?p=TSLA" TargetMode="External"/><Relationship Id="rId365" Type="http://schemas.openxmlformats.org/officeDocument/2006/relationships/hyperlink" Target="http://0151.hk/" TargetMode="External"/><Relationship Id="rId572" Type="http://schemas.openxmlformats.org/officeDocument/2006/relationships/hyperlink" Target="https://finance.yahoo.com/quote/0700.HK/?p=0700.HK" TargetMode="External"/><Relationship Id="rId628" Type="http://schemas.openxmlformats.org/officeDocument/2006/relationships/hyperlink" Target="https://finance.yahoo.com/quote/0388.HK/?p=0388.HK" TargetMode="External"/><Relationship Id="rId225" Type="http://schemas.openxmlformats.org/officeDocument/2006/relationships/hyperlink" Target="https://finance.yahoo.com/quote/0700.HK/?p=0700.HK" TargetMode="External"/><Relationship Id="rId267" Type="http://schemas.openxmlformats.org/officeDocument/2006/relationships/hyperlink" Target="https://finance.yahoo.com/quote/DIS/?p=DIS" TargetMode="External"/><Relationship Id="rId432" Type="http://schemas.openxmlformats.org/officeDocument/2006/relationships/hyperlink" Target="https://finance.yahoo.com/quote/1398.HK/?p=1398.HK" TargetMode="External"/><Relationship Id="rId474" Type="http://schemas.openxmlformats.org/officeDocument/2006/relationships/hyperlink" Target="https://finance.yahoo.com/quote/f/?p=f" TargetMode="External"/><Relationship Id="rId127" Type="http://schemas.openxmlformats.org/officeDocument/2006/relationships/hyperlink" Target="https://finance.yahoo.com/quote/1810.HK/?p=1810.HK" TargetMode="External"/><Relationship Id="rId681" Type="http://schemas.openxmlformats.org/officeDocument/2006/relationships/hyperlink" Target="https://finance.yahoo.com/quote/YINN/?p=YINN" TargetMode="External"/><Relationship Id="rId31" Type="http://schemas.openxmlformats.org/officeDocument/2006/relationships/hyperlink" Target="https://finance.yahoo.com/quote/AMC/?p=AMC" TargetMode="External"/><Relationship Id="rId73" Type="http://schemas.openxmlformats.org/officeDocument/2006/relationships/hyperlink" Target="https://finance.yahoo.com/quote/ATVI/?p=ATVI" TargetMode="External"/><Relationship Id="rId169" Type="http://schemas.openxmlformats.org/officeDocument/2006/relationships/hyperlink" Target="https://finance.yahoo.com/quote/600519.SS/?p=600519.SS" TargetMode="External"/><Relationship Id="rId334" Type="http://schemas.openxmlformats.org/officeDocument/2006/relationships/hyperlink" Target="https://finance.yahoo.com/quote/9988.HK/?p=9988.HK" TargetMode="External"/><Relationship Id="rId376" Type="http://schemas.openxmlformats.org/officeDocument/2006/relationships/hyperlink" Target="http://9988.hk/" TargetMode="External"/><Relationship Id="rId541" Type="http://schemas.openxmlformats.org/officeDocument/2006/relationships/hyperlink" Target="https://finance.yahoo.com/quote/ISPO/?p=ISPO" TargetMode="External"/><Relationship Id="rId583" Type="http://schemas.openxmlformats.org/officeDocument/2006/relationships/hyperlink" Target="http://0700.hk/" TargetMode="External"/><Relationship Id="rId639" Type="http://schemas.openxmlformats.org/officeDocument/2006/relationships/hyperlink" Target="https://finance.yahoo.com/quote/9698.HK/?p=9698.HK" TargetMode="External"/><Relationship Id="rId4" Type="http://schemas.openxmlformats.org/officeDocument/2006/relationships/hyperlink" Target="https://finance.yahoo.com/quote/GC=F/?p=GC=F" TargetMode="External"/><Relationship Id="rId180" Type="http://schemas.openxmlformats.org/officeDocument/2006/relationships/hyperlink" Target="https://finance.yahoo.com/quote/NVAX/?p=NVAX" TargetMode="External"/><Relationship Id="rId236" Type="http://schemas.openxmlformats.org/officeDocument/2006/relationships/hyperlink" Target="https://finance.yahoo.com/quote/GOLD/?p=GOLD" TargetMode="External"/><Relationship Id="rId278" Type="http://schemas.openxmlformats.org/officeDocument/2006/relationships/hyperlink" Target="https://finance.yahoo.com/quote/LMT/?p=LMT" TargetMode="External"/><Relationship Id="rId401" Type="http://schemas.openxmlformats.org/officeDocument/2006/relationships/hyperlink" Target="https://finance.yahoo.com/quote/2333.HK/?p=2333.HK" TargetMode="External"/><Relationship Id="rId443" Type="http://schemas.openxmlformats.org/officeDocument/2006/relationships/hyperlink" Target="https://finance.yahoo.com/quote/AMAT/?p=AMAT" TargetMode="External"/><Relationship Id="rId650" Type="http://schemas.openxmlformats.org/officeDocument/2006/relationships/hyperlink" Target="https://finance.yahoo.com/quote/9698.HK/?p=9698.HK" TargetMode="External"/><Relationship Id="rId303" Type="http://schemas.openxmlformats.org/officeDocument/2006/relationships/hyperlink" Target="https://finance.yahoo.com/quote/BTC-USD/?p=BTC-USD" TargetMode="External"/><Relationship Id="rId485" Type="http://schemas.openxmlformats.org/officeDocument/2006/relationships/hyperlink" Target="https://finance.yahoo.com/quote/MGM/?p=MGM" TargetMode="External"/><Relationship Id="rId692" Type="http://schemas.openxmlformats.org/officeDocument/2006/relationships/hyperlink" Target="https://finance.yahoo.com/quote/TCEHY/?p=TCEHY" TargetMode="External"/><Relationship Id="rId706" Type="http://schemas.openxmlformats.org/officeDocument/2006/relationships/hyperlink" Target="https://finance.yahoo.com/quote/9999.HK/?p=9999.HK" TargetMode="External"/><Relationship Id="rId42" Type="http://schemas.openxmlformats.org/officeDocument/2006/relationships/hyperlink" Target="https://finance.yahoo.com/quote/005930.KS/?p=005930.KS" TargetMode="External"/><Relationship Id="rId84" Type="http://schemas.openxmlformats.org/officeDocument/2006/relationships/hyperlink" Target="https://finance.yahoo.com/quote/TSLA/?p=TSLA" TargetMode="External"/><Relationship Id="rId138" Type="http://schemas.openxmlformats.org/officeDocument/2006/relationships/hyperlink" Target="http://1810.hk/" TargetMode="External"/><Relationship Id="rId345" Type="http://schemas.openxmlformats.org/officeDocument/2006/relationships/hyperlink" Target="http://0700.hk/" TargetMode="External"/><Relationship Id="rId387" Type="http://schemas.openxmlformats.org/officeDocument/2006/relationships/hyperlink" Target="https://finance.yahoo.com/quote/LMT/?p=LMT" TargetMode="External"/><Relationship Id="rId510" Type="http://schemas.openxmlformats.org/officeDocument/2006/relationships/hyperlink" Target="http://603967.ss/" TargetMode="External"/><Relationship Id="rId552" Type="http://schemas.openxmlformats.org/officeDocument/2006/relationships/hyperlink" Target="https://finance.yahoo.com/quote/1398.HK/?p=1398.HK" TargetMode="External"/><Relationship Id="rId594" Type="http://schemas.openxmlformats.org/officeDocument/2006/relationships/hyperlink" Target="https://finance.yahoo.com/quote/3690.HK/?p=3690.HK" TargetMode="External"/><Relationship Id="rId608" Type="http://schemas.openxmlformats.org/officeDocument/2006/relationships/hyperlink" Target="https://finance.yahoo.com/quote/001896.SZ/?p=001896.SZ" TargetMode="External"/><Relationship Id="rId191" Type="http://schemas.openxmlformats.org/officeDocument/2006/relationships/hyperlink" Target="https://finance.yahoo.com/quote/NKE/?p=NKE" TargetMode="External"/><Relationship Id="rId205" Type="http://schemas.openxmlformats.org/officeDocument/2006/relationships/hyperlink" Target="https://finance.yahoo.com/quote/CL=F/?p=CL=F" TargetMode="External"/><Relationship Id="rId247" Type="http://schemas.openxmlformats.org/officeDocument/2006/relationships/hyperlink" Target="https://finance.yahoo.com/quote/3800.HK/?p=3800.HK" TargetMode="External"/><Relationship Id="rId412" Type="http://schemas.openxmlformats.org/officeDocument/2006/relationships/hyperlink" Target="http://2333.hk/" TargetMode="External"/><Relationship Id="rId107" Type="http://schemas.openxmlformats.org/officeDocument/2006/relationships/hyperlink" Target="https://finance.yahoo.com/quote/TSLA/?p=TSLA" TargetMode="External"/><Relationship Id="rId289" Type="http://schemas.openxmlformats.org/officeDocument/2006/relationships/hyperlink" Target="https://finance.yahoo.com/quote/2222.SR/?p=2222.SR" TargetMode="External"/><Relationship Id="rId454" Type="http://schemas.openxmlformats.org/officeDocument/2006/relationships/hyperlink" Target="https://finance.yahoo.com/quote/002230.SZ/?p=002230.SZ" TargetMode="External"/><Relationship Id="rId496" Type="http://schemas.openxmlformats.org/officeDocument/2006/relationships/hyperlink" Target="http://601808.ss/" TargetMode="External"/><Relationship Id="rId661" Type="http://schemas.openxmlformats.org/officeDocument/2006/relationships/hyperlink" Target="https://finance.yahoo.com/quote/SOFI/?p=SOFI" TargetMode="External"/><Relationship Id="rId717" Type="http://schemas.openxmlformats.org/officeDocument/2006/relationships/hyperlink" Target="https://finance.yahoo.com/quote/TEAM/?p=TEAM" TargetMode="External"/><Relationship Id="rId11" Type="http://schemas.openxmlformats.org/officeDocument/2006/relationships/hyperlink" Target="https://finance.yahoo.com/quote/AMZN/?p=AMZN" TargetMode="External"/><Relationship Id="rId53" Type="http://schemas.openxmlformats.org/officeDocument/2006/relationships/hyperlink" Target="https://finance.yahoo.com/quote/XLK/?p=XLK" TargetMode="External"/><Relationship Id="rId149" Type="http://schemas.openxmlformats.org/officeDocument/2006/relationships/hyperlink" Target="https://finance.yahoo.com/quote/1024.HK/?p=1024.HK" TargetMode="External"/><Relationship Id="rId314" Type="http://schemas.openxmlformats.org/officeDocument/2006/relationships/hyperlink" Target="https://finance.yahoo.com/quote/NFLX/?p=NFLX" TargetMode="External"/><Relationship Id="rId356" Type="http://schemas.openxmlformats.org/officeDocument/2006/relationships/hyperlink" Target="https://finance.yahoo.com/quote/9988.HK/?p=9988.HK" TargetMode="External"/><Relationship Id="rId398" Type="http://schemas.openxmlformats.org/officeDocument/2006/relationships/hyperlink" Target="http://2318.hk/" TargetMode="External"/><Relationship Id="rId521" Type="http://schemas.openxmlformats.org/officeDocument/2006/relationships/hyperlink" Target="https://finance.yahoo.com/quote/603963.SS/?p=603963.SS" TargetMode="External"/><Relationship Id="rId563" Type="http://schemas.openxmlformats.org/officeDocument/2006/relationships/hyperlink" Target="https://finance.yahoo.com/quote/1398.HK/?p=1398.HK" TargetMode="External"/><Relationship Id="rId619" Type="http://schemas.openxmlformats.org/officeDocument/2006/relationships/hyperlink" Target="http://9988.hk/" TargetMode="External"/><Relationship Id="rId95" Type="http://schemas.openxmlformats.org/officeDocument/2006/relationships/hyperlink" Target="https://finance.yahoo.com/quote/TME/?p=TME" TargetMode="External"/><Relationship Id="rId160" Type="http://schemas.openxmlformats.org/officeDocument/2006/relationships/hyperlink" Target="http://1024.hk/" TargetMode="External"/><Relationship Id="rId216" Type="http://schemas.openxmlformats.org/officeDocument/2006/relationships/hyperlink" Target="https://finance.yahoo.com/quote/BABA/?p=BABA" TargetMode="External"/><Relationship Id="rId423" Type="http://schemas.openxmlformats.org/officeDocument/2006/relationships/hyperlink" Target="http://3690.hk/" TargetMode="External"/><Relationship Id="rId258" Type="http://schemas.openxmlformats.org/officeDocument/2006/relationships/hyperlink" Target="https://finance.yahoo.com/quote/RIVN/?p=RIVN" TargetMode="External"/><Relationship Id="rId465" Type="http://schemas.openxmlformats.org/officeDocument/2006/relationships/hyperlink" Target="https://finance.yahoo.com/quote/0700.HK/?p=0700.HK" TargetMode="External"/><Relationship Id="rId630" Type="http://schemas.openxmlformats.org/officeDocument/2006/relationships/hyperlink" Target="https://finance.yahoo.com/quote/9988.HK/?p=9988.HK" TargetMode="External"/><Relationship Id="rId672" Type="http://schemas.openxmlformats.org/officeDocument/2006/relationships/hyperlink" Target="https://finance.yahoo.com/quote/SOXL/?p=SOXL" TargetMode="External"/><Relationship Id="rId22" Type="http://schemas.openxmlformats.org/officeDocument/2006/relationships/hyperlink" Target="http://0700.hk/" TargetMode="External"/><Relationship Id="rId64" Type="http://schemas.openxmlformats.org/officeDocument/2006/relationships/hyperlink" Target="https://finance.yahoo.com/quote/TSLA/?p=TSLA" TargetMode="External"/><Relationship Id="rId118" Type="http://schemas.openxmlformats.org/officeDocument/2006/relationships/hyperlink" Target="https://finance.yahoo.com/quote/9626.HK/?p=9626.HK" TargetMode="External"/><Relationship Id="rId325" Type="http://schemas.openxmlformats.org/officeDocument/2006/relationships/hyperlink" Target="http://0941.hk/" TargetMode="External"/><Relationship Id="rId367" Type="http://schemas.openxmlformats.org/officeDocument/2006/relationships/hyperlink" Target="http://0001.hk/" TargetMode="External"/><Relationship Id="rId532" Type="http://schemas.openxmlformats.org/officeDocument/2006/relationships/hyperlink" Target="https://finance.yahoo.com/quote/0700.HK/?p=0700.HK" TargetMode="External"/><Relationship Id="rId574" Type="http://schemas.openxmlformats.org/officeDocument/2006/relationships/hyperlink" Target="https://finance.yahoo.com/quote/0700.HK/?p=0700.HK" TargetMode="External"/><Relationship Id="rId171" Type="http://schemas.openxmlformats.org/officeDocument/2006/relationships/hyperlink" Target="http://1810.hk/" TargetMode="External"/><Relationship Id="rId227" Type="http://schemas.openxmlformats.org/officeDocument/2006/relationships/hyperlink" Target="https://finance.yahoo.com/quote/MSFT/?p=MSFT" TargetMode="External"/><Relationship Id="rId269" Type="http://schemas.openxmlformats.org/officeDocument/2006/relationships/hyperlink" Target="https://www.bondsupermart.com/bsm/general-search/US88032XAE40" TargetMode="External"/><Relationship Id="rId434" Type="http://schemas.openxmlformats.org/officeDocument/2006/relationships/hyperlink" Target="https://finance.yahoo.com/quote/300157.SZ/?p=300157.SZ" TargetMode="External"/><Relationship Id="rId476" Type="http://schemas.openxmlformats.org/officeDocument/2006/relationships/hyperlink" Target="https://finance.yahoo.com/quote/UVXY/?p=UVXY" TargetMode="External"/><Relationship Id="rId641" Type="http://schemas.openxmlformats.org/officeDocument/2006/relationships/hyperlink" Target="https://finance.yahoo.com/quote/3690.HK/?p=3690.HK" TargetMode="External"/><Relationship Id="rId683" Type="http://schemas.openxmlformats.org/officeDocument/2006/relationships/hyperlink" Target="https://finance.yahoo.com/quote/9988.HK/?p=9988.HK" TargetMode="External"/><Relationship Id="rId33" Type="http://schemas.openxmlformats.org/officeDocument/2006/relationships/hyperlink" Target="https://finance.yahoo.com/quote/FB/?p=FB" TargetMode="External"/><Relationship Id="rId129" Type="http://schemas.openxmlformats.org/officeDocument/2006/relationships/hyperlink" Target="https://finance.yahoo.com/quote/9988.HK/?p=9988.HK" TargetMode="External"/><Relationship Id="rId280" Type="http://schemas.openxmlformats.org/officeDocument/2006/relationships/hyperlink" Target="https://finance.yahoo.com/quote/AAPL/?p=AAPL" TargetMode="External"/><Relationship Id="rId336" Type="http://schemas.openxmlformats.org/officeDocument/2006/relationships/hyperlink" Target="http://9988.hk/" TargetMode="External"/><Relationship Id="rId501" Type="http://schemas.openxmlformats.org/officeDocument/2006/relationships/hyperlink" Target="https://finance.yahoo.com/quote/300922.SZ/?p=300922.SZ" TargetMode="External"/><Relationship Id="rId543" Type="http://schemas.openxmlformats.org/officeDocument/2006/relationships/hyperlink" Target="https://finance.yahoo.com/quote/MSFT/?p=MSFT" TargetMode="External"/><Relationship Id="rId75" Type="http://schemas.openxmlformats.org/officeDocument/2006/relationships/hyperlink" Target="https://finance.yahoo.com/quote/BA/?p=BA" TargetMode="External"/><Relationship Id="rId140" Type="http://schemas.openxmlformats.org/officeDocument/2006/relationships/hyperlink" Target="http://6680.hk/" TargetMode="External"/><Relationship Id="rId182" Type="http://schemas.openxmlformats.org/officeDocument/2006/relationships/hyperlink" Target="https://finance.yahoo.com/quote/603939.SS/?p=603939.SS" TargetMode="External"/><Relationship Id="rId378" Type="http://schemas.openxmlformats.org/officeDocument/2006/relationships/hyperlink" Target="https://finance.yahoo.com/quote/AAPL/?p=AAPL" TargetMode="External"/><Relationship Id="rId403" Type="http://schemas.openxmlformats.org/officeDocument/2006/relationships/hyperlink" Target="https://finance.yahoo.com/quote/3339.HK/?p=3339.HK" TargetMode="External"/><Relationship Id="rId585" Type="http://schemas.openxmlformats.org/officeDocument/2006/relationships/hyperlink" Target="http://3690.hk/" TargetMode="External"/><Relationship Id="rId6" Type="http://schemas.openxmlformats.org/officeDocument/2006/relationships/hyperlink" Target="https://finance.yahoo.com/quote/SI=F/?p=SI=F" TargetMode="External"/><Relationship Id="rId238" Type="http://schemas.openxmlformats.org/officeDocument/2006/relationships/hyperlink" Target="https://finance.yahoo.com/quote/TSLA/?p=TSLA" TargetMode="External"/><Relationship Id="rId445" Type="http://schemas.openxmlformats.org/officeDocument/2006/relationships/hyperlink" Target="https://finance.yahoo.com/quote/BRK-B/?p=BRK-B" TargetMode="External"/><Relationship Id="rId487" Type="http://schemas.openxmlformats.org/officeDocument/2006/relationships/hyperlink" Target="https://finance.yahoo.com/quote/1498.HK/?p=1498.HK" TargetMode="External"/><Relationship Id="rId610" Type="http://schemas.openxmlformats.org/officeDocument/2006/relationships/hyperlink" Target="https://finance.yahoo.com/quote/0700.HK/?p=0700.HK" TargetMode="External"/><Relationship Id="rId652" Type="http://schemas.openxmlformats.org/officeDocument/2006/relationships/hyperlink" Target="https://finance.yahoo.com/quote/6969.HK/?p=6969.HK" TargetMode="External"/><Relationship Id="rId694" Type="http://schemas.openxmlformats.org/officeDocument/2006/relationships/hyperlink" Target="https://finance.yahoo.com/quote/ASML/?p=ASML" TargetMode="External"/><Relationship Id="rId708" Type="http://schemas.openxmlformats.org/officeDocument/2006/relationships/hyperlink" Target="https://finance.yahoo.com/quote/9988.HK/?p=9988.HK" TargetMode="External"/><Relationship Id="rId291" Type="http://schemas.openxmlformats.org/officeDocument/2006/relationships/hyperlink" Target="http://0700.hk/" TargetMode="External"/><Relationship Id="rId305" Type="http://schemas.openxmlformats.org/officeDocument/2006/relationships/hyperlink" Target="https://finance.yahoo.com/quote/0883.hk/?p=0883.hk" TargetMode="External"/><Relationship Id="rId347" Type="http://schemas.openxmlformats.org/officeDocument/2006/relationships/hyperlink" Target="http://0700.hk/" TargetMode="External"/><Relationship Id="rId512" Type="http://schemas.openxmlformats.org/officeDocument/2006/relationships/hyperlink" Target="http://300922.sz/" TargetMode="External"/><Relationship Id="rId44" Type="http://schemas.openxmlformats.org/officeDocument/2006/relationships/hyperlink" Target="https://finance.yahoo.com/quote/XLK/?p=XLK" TargetMode="External"/><Relationship Id="rId86" Type="http://schemas.openxmlformats.org/officeDocument/2006/relationships/hyperlink" Target="https://finance.yahoo.com/quote/TSLA/?p=TSLA" TargetMode="External"/><Relationship Id="rId151" Type="http://schemas.openxmlformats.org/officeDocument/2006/relationships/hyperlink" Target="https://finance.yahoo.com/quote/1024.HK/?p=1024.HK" TargetMode="External"/><Relationship Id="rId389" Type="http://schemas.openxmlformats.org/officeDocument/2006/relationships/hyperlink" Target="http://3339.hk/" TargetMode="External"/><Relationship Id="rId554" Type="http://schemas.openxmlformats.org/officeDocument/2006/relationships/hyperlink" Target="https://finance.yahoo.com/quote/300157.SZ/?p=300157.SZ" TargetMode="External"/><Relationship Id="rId596" Type="http://schemas.openxmlformats.org/officeDocument/2006/relationships/hyperlink" Target="http://000950.sz/" TargetMode="External"/><Relationship Id="rId193" Type="http://schemas.openxmlformats.org/officeDocument/2006/relationships/hyperlink" Target="https://finance.yahoo.com/quote/UNP/?p=UNP" TargetMode="External"/><Relationship Id="rId207" Type="http://schemas.openxmlformats.org/officeDocument/2006/relationships/hyperlink" Target="https://finance.yahoo.com/quote/BABA/?p=BABA" TargetMode="External"/><Relationship Id="rId249" Type="http://schemas.openxmlformats.org/officeDocument/2006/relationships/hyperlink" Target="https://finance.yahoo.com/quote/3800.HK/?p=3800.HK" TargetMode="External"/><Relationship Id="rId414" Type="http://schemas.openxmlformats.org/officeDocument/2006/relationships/hyperlink" Target="http://1810.hk/" TargetMode="External"/><Relationship Id="rId456" Type="http://schemas.openxmlformats.org/officeDocument/2006/relationships/hyperlink" Target="https://finance.yahoo.com/quote/002475.SZ/?p=002475.SZ" TargetMode="External"/><Relationship Id="rId498" Type="http://schemas.openxmlformats.org/officeDocument/2006/relationships/hyperlink" Target="http://300922.sz/" TargetMode="External"/><Relationship Id="rId621" Type="http://schemas.openxmlformats.org/officeDocument/2006/relationships/hyperlink" Target="http://2800.hk/" TargetMode="External"/><Relationship Id="rId663" Type="http://schemas.openxmlformats.org/officeDocument/2006/relationships/hyperlink" Target="https://finance.yahoo.com/quote/YINN/?p=YINN" TargetMode="External"/><Relationship Id="rId13" Type="http://schemas.openxmlformats.org/officeDocument/2006/relationships/hyperlink" Target="https://finance.yahoo.com/quote/SHOP/?p=SHOP" TargetMode="External"/><Relationship Id="rId109" Type="http://schemas.openxmlformats.org/officeDocument/2006/relationships/hyperlink" Target="https://finance.yahoo.com/quote/1109.HK/?p=1109.HK" TargetMode="External"/><Relationship Id="rId260" Type="http://schemas.openxmlformats.org/officeDocument/2006/relationships/hyperlink" Target="https://finance.yahoo.com/quote/TSLA/?p=TSLA" TargetMode="External"/><Relationship Id="rId316" Type="http://schemas.openxmlformats.org/officeDocument/2006/relationships/hyperlink" Target="https://finance.yahoo.com/quote/9988.HK/?p=9988.HK" TargetMode="External"/><Relationship Id="rId523" Type="http://schemas.openxmlformats.org/officeDocument/2006/relationships/hyperlink" Target="https://finance.yahoo.com/quote/603963.SS/?p=603963.SS" TargetMode="External"/><Relationship Id="rId719" Type="http://schemas.openxmlformats.org/officeDocument/2006/relationships/hyperlink" Target="https://finance.yahoo.com/quote/AMGN/?p=AMGN" TargetMode="External"/><Relationship Id="rId55" Type="http://schemas.openxmlformats.org/officeDocument/2006/relationships/hyperlink" Target="https://finance.yahoo.com/quote/XLV/?p=XLV" TargetMode="External"/><Relationship Id="rId97" Type="http://schemas.openxmlformats.org/officeDocument/2006/relationships/hyperlink" Target="https://finance.yahoo.com/quote/BNTX/?p=BNTX" TargetMode="External"/><Relationship Id="rId120" Type="http://schemas.openxmlformats.org/officeDocument/2006/relationships/hyperlink" Target="https://finance.yahoo.com/quote/9888.HK/?p=9888.HK" TargetMode="External"/><Relationship Id="rId358" Type="http://schemas.openxmlformats.org/officeDocument/2006/relationships/hyperlink" Target="https://finance.yahoo.com/quote/0700.HK/?p=0700.HK" TargetMode="External"/><Relationship Id="rId565" Type="http://schemas.openxmlformats.org/officeDocument/2006/relationships/hyperlink" Target="https://finance.yahoo.com/quote/JD/?p=JD" TargetMode="External"/><Relationship Id="rId162" Type="http://schemas.openxmlformats.org/officeDocument/2006/relationships/hyperlink" Target="http://9988.hk/" TargetMode="External"/><Relationship Id="rId218" Type="http://schemas.openxmlformats.org/officeDocument/2006/relationships/hyperlink" Target="https://finance.yahoo.com/quote/GC=F/?p=GC=F" TargetMode="External"/><Relationship Id="rId425" Type="http://schemas.openxmlformats.org/officeDocument/2006/relationships/hyperlink" Target="https://finance.yahoo.com/quote/NET/?p=NET" TargetMode="External"/><Relationship Id="rId467" Type="http://schemas.openxmlformats.org/officeDocument/2006/relationships/hyperlink" Target="https://finance.yahoo.com/quote/9868.HK/?p=9868.HK" TargetMode="External"/><Relationship Id="rId632" Type="http://schemas.openxmlformats.org/officeDocument/2006/relationships/hyperlink" Target="https://finance.yahoo.com/quote/9988.HK/?p=9988.HK" TargetMode="External"/><Relationship Id="rId271" Type="http://schemas.openxmlformats.org/officeDocument/2006/relationships/hyperlink" Target="https://finance.yahoo.com/quote/2020.HK/?p=2020.HK" TargetMode="External"/><Relationship Id="rId674" Type="http://schemas.openxmlformats.org/officeDocument/2006/relationships/hyperlink" Target="https://finance.yahoo.com/quote/SOFI/?p=SOFI" TargetMode="External"/><Relationship Id="rId24" Type="http://schemas.openxmlformats.org/officeDocument/2006/relationships/hyperlink" Target="https://finance.yahoo.com/quote/GOOG/?p=GOOG" TargetMode="External"/><Relationship Id="rId66" Type="http://schemas.openxmlformats.org/officeDocument/2006/relationships/hyperlink" Target="https://www.bondsupermart.com/bsm/general-search/US023135AN60" TargetMode="External"/><Relationship Id="rId131" Type="http://schemas.openxmlformats.org/officeDocument/2006/relationships/hyperlink" Target="https://finance.yahoo.com/quote/1024.HK/?p=1024.HK" TargetMode="External"/><Relationship Id="rId327" Type="http://schemas.openxmlformats.org/officeDocument/2006/relationships/hyperlink" Target="https://finance.yahoo.com/quote/SARK/?p=SARK" TargetMode="External"/><Relationship Id="rId369" Type="http://schemas.openxmlformats.org/officeDocument/2006/relationships/hyperlink" Target="http://0151.hk/" TargetMode="External"/><Relationship Id="rId534" Type="http://schemas.openxmlformats.org/officeDocument/2006/relationships/hyperlink" Target="https://finance.yahoo.com/quote/9988.HK/?p=9988.HK" TargetMode="External"/><Relationship Id="rId576" Type="http://schemas.openxmlformats.org/officeDocument/2006/relationships/hyperlink" Target="https://finance.yahoo.com/quote/000568.SZ/?p=000568.SZ" TargetMode="External"/><Relationship Id="rId173" Type="http://schemas.openxmlformats.org/officeDocument/2006/relationships/hyperlink" Target="http://9988.hk/" TargetMode="External"/><Relationship Id="rId229" Type="http://schemas.openxmlformats.org/officeDocument/2006/relationships/hyperlink" Target="https://finance.yahoo.com/quote/UBI.PA/?p=UBI.PA" TargetMode="External"/><Relationship Id="rId380" Type="http://schemas.openxmlformats.org/officeDocument/2006/relationships/hyperlink" Target="https://finance.yahoo.com/quote/6862.HK/?p=6862.HK" TargetMode="External"/><Relationship Id="rId436" Type="http://schemas.openxmlformats.org/officeDocument/2006/relationships/hyperlink" Target="https://finance.yahoo.com/quote/AMAT/?p=AMAT" TargetMode="External"/><Relationship Id="rId601" Type="http://schemas.openxmlformats.org/officeDocument/2006/relationships/hyperlink" Target="http://000950.sz/" TargetMode="External"/><Relationship Id="rId643" Type="http://schemas.openxmlformats.org/officeDocument/2006/relationships/hyperlink" Target="https://finance.yahoo.com/quote/9698.HK/?p=9698.HK" TargetMode="External"/><Relationship Id="rId240" Type="http://schemas.openxmlformats.org/officeDocument/2006/relationships/hyperlink" Target="https://finance.yahoo.com/quote/TSLA/?p=TSLA" TargetMode="External"/><Relationship Id="rId478" Type="http://schemas.openxmlformats.org/officeDocument/2006/relationships/hyperlink" Target="http://600519.ss/" TargetMode="External"/><Relationship Id="rId685" Type="http://schemas.openxmlformats.org/officeDocument/2006/relationships/hyperlink" Target="https://finance.yahoo.com/quote/3690.HK/?p=3690.HK" TargetMode="External"/><Relationship Id="rId35" Type="http://schemas.openxmlformats.org/officeDocument/2006/relationships/hyperlink" Target="https://finance.yahoo.com/quote/TSLA/?p=TSLA" TargetMode="External"/><Relationship Id="rId77" Type="http://schemas.openxmlformats.org/officeDocument/2006/relationships/hyperlink" Target="https://finance.yahoo.com/quote/2318.hk/?p=2318.hk" TargetMode="External"/><Relationship Id="rId100" Type="http://schemas.openxmlformats.org/officeDocument/2006/relationships/hyperlink" Target="https://finance.yahoo.com/quote/TSLA/?p=TSLA" TargetMode="External"/><Relationship Id="rId282" Type="http://schemas.openxmlformats.org/officeDocument/2006/relationships/hyperlink" Target="https://finance.yahoo.com/quote/TSLA/?p=TSLA" TargetMode="External"/><Relationship Id="rId338" Type="http://schemas.openxmlformats.org/officeDocument/2006/relationships/hyperlink" Target="https://finance.yahoo.com/quote/SARK/?p=SARK" TargetMode="External"/><Relationship Id="rId503" Type="http://schemas.openxmlformats.org/officeDocument/2006/relationships/hyperlink" Target="https://finance.yahoo.com/quote/000554.SZ/?p=000554.SZ" TargetMode="External"/><Relationship Id="rId545" Type="http://schemas.openxmlformats.org/officeDocument/2006/relationships/hyperlink" Target="https://finance.yahoo.com/quote/NET/?p=NET" TargetMode="External"/><Relationship Id="rId587" Type="http://schemas.openxmlformats.org/officeDocument/2006/relationships/hyperlink" Target="http://9988.hk/" TargetMode="External"/><Relationship Id="rId710" Type="http://schemas.openxmlformats.org/officeDocument/2006/relationships/hyperlink" Target="http://9961.hk/" TargetMode="External"/><Relationship Id="rId8" Type="http://schemas.openxmlformats.org/officeDocument/2006/relationships/hyperlink" Target="https://finance.yahoo.com/quote/ABBV/?p=ABBV" TargetMode="External"/><Relationship Id="rId142" Type="http://schemas.openxmlformats.org/officeDocument/2006/relationships/hyperlink" Target="http://9988.hk/" TargetMode="External"/><Relationship Id="rId184" Type="http://schemas.openxmlformats.org/officeDocument/2006/relationships/hyperlink" Target="https://finance.yahoo.com/quote/603392.SS/?p=603392.SS" TargetMode="External"/><Relationship Id="rId391" Type="http://schemas.openxmlformats.org/officeDocument/2006/relationships/hyperlink" Target="https://finance.yahoo.com/quote/PFE/?p=PFE" TargetMode="External"/><Relationship Id="rId405" Type="http://schemas.openxmlformats.org/officeDocument/2006/relationships/hyperlink" Target="https://finance.yahoo.com/quote/1610.HK/?p=1610.HK" TargetMode="External"/><Relationship Id="rId447" Type="http://schemas.openxmlformats.org/officeDocument/2006/relationships/hyperlink" Target="http://1398.hk/" TargetMode="External"/><Relationship Id="rId612" Type="http://schemas.openxmlformats.org/officeDocument/2006/relationships/hyperlink" Target="https://finance.yahoo.com/quote/9988.HK/?p=9988.HK" TargetMode="External"/><Relationship Id="rId251" Type="http://schemas.openxmlformats.org/officeDocument/2006/relationships/hyperlink" Target="https://finance.yahoo.com/quote/3800.HK/?p=3800.HK" TargetMode="External"/><Relationship Id="rId489" Type="http://schemas.openxmlformats.org/officeDocument/2006/relationships/hyperlink" Target="https://finance.yahoo.com/quote/002665.SZ/?p=002665.SZ" TargetMode="External"/><Relationship Id="rId654" Type="http://schemas.openxmlformats.org/officeDocument/2006/relationships/hyperlink" Target="https://finance.yahoo.com/quote/6969.HK/?p=6969.HK" TargetMode="External"/><Relationship Id="rId696" Type="http://schemas.openxmlformats.org/officeDocument/2006/relationships/hyperlink" Target="https://finance.yahoo.com/quote/ASML/?p=ASML" TargetMode="External"/><Relationship Id="rId46" Type="http://schemas.openxmlformats.org/officeDocument/2006/relationships/hyperlink" Target="https://finance.yahoo.com/quote/XLU/?p=XLU" TargetMode="External"/><Relationship Id="rId293" Type="http://schemas.openxmlformats.org/officeDocument/2006/relationships/hyperlink" Target="http://0700.hk/" TargetMode="External"/><Relationship Id="rId307" Type="http://schemas.openxmlformats.org/officeDocument/2006/relationships/hyperlink" Target="https://finance.yahoo.com/quote/RBLX/?p=RBLX" TargetMode="External"/><Relationship Id="rId349" Type="http://schemas.openxmlformats.org/officeDocument/2006/relationships/hyperlink" Target="http://9988.hk/" TargetMode="External"/><Relationship Id="rId514" Type="http://schemas.openxmlformats.org/officeDocument/2006/relationships/hyperlink" Target="http://002665.sz/" TargetMode="External"/><Relationship Id="rId556" Type="http://schemas.openxmlformats.org/officeDocument/2006/relationships/hyperlink" Target="https://finance.yahoo.com/quote/BRK-B/?p=BRK-B" TargetMode="External"/><Relationship Id="rId721" Type="http://schemas.openxmlformats.org/officeDocument/2006/relationships/hyperlink" Target="https://finance.yahoo.com/quote/SNPS/?p=SNPS" TargetMode="External"/><Relationship Id="rId88" Type="http://schemas.openxmlformats.org/officeDocument/2006/relationships/hyperlink" Target="https://finance.yahoo.com/quote/0700.HK/?p=0700.HK" TargetMode="External"/><Relationship Id="rId111" Type="http://schemas.openxmlformats.org/officeDocument/2006/relationships/hyperlink" Target="https://finance.yahoo.com/quote/1109.HK/?p=1109.HK" TargetMode="External"/><Relationship Id="rId153" Type="http://schemas.openxmlformats.org/officeDocument/2006/relationships/hyperlink" Target="https://finance.yahoo.com/quote/1024.HK/?p=1024.HK" TargetMode="External"/><Relationship Id="rId195" Type="http://schemas.openxmlformats.org/officeDocument/2006/relationships/hyperlink" Target="http://0700.hk/" TargetMode="External"/><Relationship Id="rId209" Type="http://schemas.openxmlformats.org/officeDocument/2006/relationships/hyperlink" Target="https://finance.yahoo.com/quote/0070.HK/?p=0070.HK" TargetMode="External"/><Relationship Id="rId360" Type="http://schemas.openxmlformats.org/officeDocument/2006/relationships/hyperlink" Target="https://finance.yahoo.com/quote/1810.HK/?p=1810.HK" TargetMode="External"/><Relationship Id="rId416" Type="http://schemas.openxmlformats.org/officeDocument/2006/relationships/hyperlink" Target="http://2333.hk/" TargetMode="External"/><Relationship Id="rId598" Type="http://schemas.openxmlformats.org/officeDocument/2006/relationships/hyperlink" Target="http://600661.ss/" TargetMode="External"/><Relationship Id="rId220" Type="http://schemas.openxmlformats.org/officeDocument/2006/relationships/hyperlink" Target="https://finance.yahoo.com/quote/0700.HK/?p=0700.HK" TargetMode="External"/><Relationship Id="rId458" Type="http://schemas.openxmlformats.org/officeDocument/2006/relationships/hyperlink" Target="http://0700.hk/" TargetMode="External"/><Relationship Id="rId623" Type="http://schemas.openxmlformats.org/officeDocument/2006/relationships/hyperlink" Target="http://0700.hk/" TargetMode="External"/><Relationship Id="rId665" Type="http://schemas.openxmlformats.org/officeDocument/2006/relationships/hyperlink" Target="http://9698.hk/" TargetMode="External"/><Relationship Id="rId15" Type="http://schemas.openxmlformats.org/officeDocument/2006/relationships/hyperlink" Target="https://finance.yahoo.com/quote/PFE/?p=PFE" TargetMode="External"/><Relationship Id="rId57" Type="http://schemas.openxmlformats.org/officeDocument/2006/relationships/hyperlink" Target="https://finance.yahoo.com/quote/TSLA/?p=TSLA" TargetMode="External"/><Relationship Id="rId262" Type="http://schemas.openxmlformats.org/officeDocument/2006/relationships/hyperlink" Target="https://finance.yahoo.com/quote/TSLA/?p=TSLA" TargetMode="External"/><Relationship Id="rId318" Type="http://schemas.openxmlformats.org/officeDocument/2006/relationships/hyperlink" Target="https://finance.yahoo.com/quote/BAC/?p=BAC" TargetMode="External"/><Relationship Id="rId525" Type="http://schemas.openxmlformats.org/officeDocument/2006/relationships/hyperlink" Target="http://603538.ss/" TargetMode="External"/><Relationship Id="rId567" Type="http://schemas.openxmlformats.org/officeDocument/2006/relationships/hyperlink" Target="https://finance.yahoo.com/quote/0700.HK/?p=0700.HK" TargetMode="External"/><Relationship Id="rId99" Type="http://schemas.openxmlformats.org/officeDocument/2006/relationships/hyperlink" Target="https://finance.yahoo.com/quote/CL=F/?p=CL=F" TargetMode="External"/><Relationship Id="rId122" Type="http://schemas.openxmlformats.org/officeDocument/2006/relationships/hyperlink" Target="https://finance.yahoo.com/quote/9626.HK/?p=9626.HK" TargetMode="External"/><Relationship Id="rId164" Type="http://schemas.openxmlformats.org/officeDocument/2006/relationships/hyperlink" Target="http://9988.hk/" TargetMode="External"/><Relationship Id="rId371" Type="http://schemas.openxmlformats.org/officeDocument/2006/relationships/hyperlink" Target="http://0151.hk/" TargetMode="External"/><Relationship Id="rId427" Type="http://schemas.openxmlformats.org/officeDocument/2006/relationships/hyperlink" Target="https://finance.yahoo.com/quote/1398.HK/?p=1398.HK" TargetMode="External"/><Relationship Id="rId469" Type="http://schemas.openxmlformats.org/officeDocument/2006/relationships/hyperlink" Target="https://finance.yahoo.com/quote/1810.hk/?p=1810.hk" TargetMode="External"/><Relationship Id="rId634" Type="http://schemas.openxmlformats.org/officeDocument/2006/relationships/hyperlink" Target="https://finance.yahoo.com/quote/2800.HK/?p=2800.HK" TargetMode="External"/><Relationship Id="rId676" Type="http://schemas.openxmlformats.org/officeDocument/2006/relationships/hyperlink" Target="https://finance.yahoo.com/quote/SOXL/?p=SOXL" TargetMode="External"/><Relationship Id="rId26" Type="http://schemas.openxmlformats.org/officeDocument/2006/relationships/hyperlink" Target="https://finance.yahoo.com/quote/MSFT/?p=MSFT" TargetMode="External"/><Relationship Id="rId231" Type="http://schemas.openxmlformats.org/officeDocument/2006/relationships/hyperlink" Target="https://finance.yahoo.com/quote/SONY/?p=SONY" TargetMode="External"/><Relationship Id="rId273" Type="http://schemas.openxmlformats.org/officeDocument/2006/relationships/hyperlink" Target="https://finance.yahoo.com/quote/2020.HK/?p=2020.HK" TargetMode="External"/><Relationship Id="rId329" Type="http://schemas.openxmlformats.org/officeDocument/2006/relationships/hyperlink" Target="https://finance.yahoo.com/quote/ARKK/?p=ARKK" TargetMode="External"/><Relationship Id="rId480" Type="http://schemas.openxmlformats.org/officeDocument/2006/relationships/hyperlink" Target="https://finance.yahoo.com/quote/aapl/?p=aapl" TargetMode="External"/><Relationship Id="rId536" Type="http://schemas.openxmlformats.org/officeDocument/2006/relationships/hyperlink" Target="https://finance.yahoo.com/quote/002670.SZ/?p=002670.SZ" TargetMode="External"/><Relationship Id="rId701" Type="http://schemas.openxmlformats.org/officeDocument/2006/relationships/hyperlink" Target="http://0175.hk/" TargetMode="External"/><Relationship Id="rId68" Type="http://schemas.openxmlformats.org/officeDocument/2006/relationships/hyperlink" Target="https://finance.yahoo.com/quote/WMT/?p=WMT" TargetMode="External"/><Relationship Id="rId133" Type="http://schemas.openxmlformats.org/officeDocument/2006/relationships/hyperlink" Target="https://finance.yahoo.com/quote/1810.HK/?p=1810.HK" TargetMode="External"/><Relationship Id="rId175" Type="http://schemas.openxmlformats.org/officeDocument/2006/relationships/hyperlink" Target="http://600519.ss/" TargetMode="External"/><Relationship Id="rId340" Type="http://schemas.openxmlformats.org/officeDocument/2006/relationships/hyperlink" Target="https://finance.yahoo.com/quote/SARK/?p=SARK" TargetMode="External"/><Relationship Id="rId578" Type="http://schemas.openxmlformats.org/officeDocument/2006/relationships/hyperlink" Target="https://finance.yahoo.com/quote/1024.HK/?p=1024.HK" TargetMode="External"/><Relationship Id="rId200" Type="http://schemas.openxmlformats.org/officeDocument/2006/relationships/hyperlink" Target="https://finance.yahoo.com/quote/0700.HK/?p=0700.HK" TargetMode="External"/><Relationship Id="rId382" Type="http://schemas.openxmlformats.org/officeDocument/2006/relationships/hyperlink" Target="https://finance.yahoo.com/quote/0700.HK/?p=0700.HK" TargetMode="External"/><Relationship Id="rId438" Type="http://schemas.openxmlformats.org/officeDocument/2006/relationships/hyperlink" Target="https://finance.yahoo.com/quote/BRK-B/?p=BRK-B" TargetMode="External"/><Relationship Id="rId603" Type="http://schemas.openxmlformats.org/officeDocument/2006/relationships/hyperlink" Target="http://600661.ss/" TargetMode="External"/><Relationship Id="rId645" Type="http://schemas.openxmlformats.org/officeDocument/2006/relationships/hyperlink" Target="https://finance.yahoo.com/quote/3690.HK/?p=3690.HK" TargetMode="External"/><Relationship Id="rId687" Type="http://schemas.openxmlformats.org/officeDocument/2006/relationships/hyperlink" Target="https://finance.yahoo.com/quote/0708.HK/?p=0708.HK" TargetMode="External"/><Relationship Id="rId242" Type="http://schemas.openxmlformats.org/officeDocument/2006/relationships/hyperlink" Target="http://3800.hk/" TargetMode="External"/><Relationship Id="rId284" Type="http://schemas.openxmlformats.org/officeDocument/2006/relationships/hyperlink" Target="https://finance.yahoo.com/quote/LVMHF/?p=LVMHF" TargetMode="External"/><Relationship Id="rId491" Type="http://schemas.openxmlformats.org/officeDocument/2006/relationships/hyperlink" Target="https://finance.yahoo.com/quote/000554.SZ/?p=000554.SZ" TargetMode="External"/><Relationship Id="rId505" Type="http://schemas.openxmlformats.org/officeDocument/2006/relationships/hyperlink" Target="https://finance.yahoo.com/quote/300945.SZ/?p=300945.SZ" TargetMode="External"/><Relationship Id="rId712" Type="http://schemas.openxmlformats.org/officeDocument/2006/relationships/hyperlink" Target="http://9999.hk/" TargetMode="External"/><Relationship Id="rId37" Type="http://schemas.openxmlformats.org/officeDocument/2006/relationships/hyperlink" Target="https://finance.yahoo.com/quote/BA/?p=BA" TargetMode="External"/><Relationship Id="rId79" Type="http://schemas.openxmlformats.org/officeDocument/2006/relationships/hyperlink" Target="https://finance.yahoo.com/quote/0346.hk/?p=0346.hk" TargetMode="External"/><Relationship Id="rId102" Type="http://schemas.openxmlformats.org/officeDocument/2006/relationships/hyperlink" Target="https://finance.yahoo.com/quote/ANPDY/?p=ANPDY" TargetMode="External"/><Relationship Id="rId144" Type="http://schemas.openxmlformats.org/officeDocument/2006/relationships/hyperlink" Target="http://1024.hk/" TargetMode="External"/><Relationship Id="rId547" Type="http://schemas.openxmlformats.org/officeDocument/2006/relationships/hyperlink" Target="https://finance.yahoo.com/quote/1398.HK/?p=1398.HK" TargetMode="External"/><Relationship Id="rId589" Type="http://schemas.openxmlformats.org/officeDocument/2006/relationships/hyperlink" Target="http://9626.hk/" TargetMode="External"/><Relationship Id="rId90" Type="http://schemas.openxmlformats.org/officeDocument/2006/relationships/hyperlink" Target="https://finance.yahoo.com/quote/FB/?p=FB" TargetMode="External"/><Relationship Id="rId186" Type="http://schemas.openxmlformats.org/officeDocument/2006/relationships/hyperlink" Target="https://finance.yahoo.com/quote/AAPL/?p=AAPL" TargetMode="External"/><Relationship Id="rId351" Type="http://schemas.openxmlformats.org/officeDocument/2006/relationships/hyperlink" Target="http://0700.hk/" TargetMode="External"/><Relationship Id="rId393" Type="http://schemas.openxmlformats.org/officeDocument/2006/relationships/hyperlink" Target="https://finance.yahoo.com/quote/NFLX/?p=NFLX" TargetMode="External"/><Relationship Id="rId407" Type="http://schemas.openxmlformats.org/officeDocument/2006/relationships/hyperlink" Target="https://finance.yahoo.com/quote/1810.HK/?p=1810.HK" TargetMode="External"/><Relationship Id="rId449" Type="http://schemas.openxmlformats.org/officeDocument/2006/relationships/hyperlink" Target="http://601168.ss/" TargetMode="External"/><Relationship Id="rId614" Type="http://schemas.openxmlformats.org/officeDocument/2006/relationships/hyperlink" Target="https://finance.yahoo.com/quote/0941.HK/?p=0941.HK" TargetMode="External"/><Relationship Id="rId656" Type="http://schemas.openxmlformats.org/officeDocument/2006/relationships/hyperlink" Target="https://finance.yahoo.com/quote/UVXY/?p=UVXY" TargetMode="External"/><Relationship Id="rId211" Type="http://schemas.openxmlformats.org/officeDocument/2006/relationships/hyperlink" Target="http://0700.hk/" TargetMode="External"/><Relationship Id="rId253" Type="http://schemas.openxmlformats.org/officeDocument/2006/relationships/hyperlink" Target="https://finance.yahoo.com/quote/3315.HK/?p=3315.HK" TargetMode="External"/><Relationship Id="rId295" Type="http://schemas.openxmlformats.org/officeDocument/2006/relationships/hyperlink" Target="https://finance.yahoo.com/quote/FB/?p=FB" TargetMode="External"/><Relationship Id="rId309" Type="http://schemas.openxmlformats.org/officeDocument/2006/relationships/hyperlink" Target="http://6969.hk/" TargetMode="External"/><Relationship Id="rId460" Type="http://schemas.openxmlformats.org/officeDocument/2006/relationships/hyperlink" Target="http://3800.hk/" TargetMode="External"/><Relationship Id="rId516" Type="http://schemas.openxmlformats.org/officeDocument/2006/relationships/hyperlink" Target="http://603967.ss/" TargetMode="External"/><Relationship Id="rId698" Type="http://schemas.openxmlformats.org/officeDocument/2006/relationships/hyperlink" Target="https://finance.yahoo.com/quote/0968.HK/?p=0968.HK" TargetMode="External"/><Relationship Id="rId48" Type="http://schemas.openxmlformats.org/officeDocument/2006/relationships/hyperlink" Target="https://finance.yahoo.com/quote/XLE/?p=XLE" TargetMode="External"/><Relationship Id="rId113" Type="http://schemas.openxmlformats.org/officeDocument/2006/relationships/hyperlink" Target="https://finance.yahoo.com/quote/0700.hk/?p=0700.hk" TargetMode="External"/><Relationship Id="rId320" Type="http://schemas.openxmlformats.org/officeDocument/2006/relationships/hyperlink" Target="https://finance.yahoo.com/quote/BRK-B/?p=BRK-B" TargetMode="External"/><Relationship Id="rId558" Type="http://schemas.openxmlformats.org/officeDocument/2006/relationships/hyperlink" Target="https://finance.yahoo.com/quote/CL=F/?p=CL=F" TargetMode="External"/><Relationship Id="rId723" Type="http://schemas.openxmlformats.org/officeDocument/2006/relationships/hyperlink" Target="https://finance.yahoo.com/quote/AMZN/?p=AMZN" TargetMode="External"/><Relationship Id="rId155" Type="http://schemas.openxmlformats.org/officeDocument/2006/relationships/hyperlink" Target="https://finance.yahoo.com/quote/1024.HK/?p=1024.HK" TargetMode="External"/><Relationship Id="rId197" Type="http://schemas.openxmlformats.org/officeDocument/2006/relationships/hyperlink" Target="http://600519.ss/" TargetMode="External"/><Relationship Id="rId362" Type="http://schemas.openxmlformats.org/officeDocument/2006/relationships/hyperlink" Target="https://finance.yahoo.com/quote/1299.HK/?p=1299.HK" TargetMode="External"/><Relationship Id="rId418" Type="http://schemas.openxmlformats.org/officeDocument/2006/relationships/hyperlink" Target="http://0175.hk/" TargetMode="External"/><Relationship Id="rId625" Type="http://schemas.openxmlformats.org/officeDocument/2006/relationships/hyperlink" Target="http://2800.hk/" TargetMode="External"/><Relationship Id="rId222" Type="http://schemas.openxmlformats.org/officeDocument/2006/relationships/hyperlink" Target="https://finance.yahoo.com/quote/AAPL/?p=AAPL" TargetMode="External"/><Relationship Id="rId264" Type="http://schemas.openxmlformats.org/officeDocument/2006/relationships/hyperlink" Target="http://9988.hk/" TargetMode="External"/><Relationship Id="rId471" Type="http://schemas.openxmlformats.org/officeDocument/2006/relationships/hyperlink" Target="https://finance.yahoo.com/quote/F/?p=F" TargetMode="External"/><Relationship Id="rId667" Type="http://schemas.openxmlformats.org/officeDocument/2006/relationships/hyperlink" Target="http://6969.hk/" TargetMode="External"/><Relationship Id="rId17" Type="http://schemas.openxmlformats.org/officeDocument/2006/relationships/hyperlink" Target="https://finance.yahoo.com/quote/NFLX/?p=NFLX" TargetMode="External"/><Relationship Id="rId59" Type="http://schemas.openxmlformats.org/officeDocument/2006/relationships/hyperlink" Target="https://finance.yahoo.com/quote/ANPDY/?p=ANPDY" TargetMode="External"/><Relationship Id="rId124" Type="http://schemas.openxmlformats.org/officeDocument/2006/relationships/hyperlink" Target="https://finance.yahoo.com/quote/9988.HK/?p=9988.HK" TargetMode="External"/><Relationship Id="rId527" Type="http://schemas.openxmlformats.org/officeDocument/2006/relationships/hyperlink" Target="http://688076.ss/" TargetMode="External"/><Relationship Id="rId569" Type="http://schemas.openxmlformats.org/officeDocument/2006/relationships/hyperlink" Target="https://finance.yahoo.com/quote/3690.HK/?p=3690.HK" TargetMode="External"/><Relationship Id="rId70" Type="http://schemas.openxmlformats.org/officeDocument/2006/relationships/hyperlink" Target="https://finance.yahoo.com/quote/AAPL/?p=AAPL" TargetMode="External"/><Relationship Id="rId166" Type="http://schemas.openxmlformats.org/officeDocument/2006/relationships/hyperlink" Target="http://6862.hk/" TargetMode="External"/><Relationship Id="rId331" Type="http://schemas.openxmlformats.org/officeDocument/2006/relationships/hyperlink" Target="http://3047.hk/" TargetMode="External"/><Relationship Id="rId373" Type="http://schemas.openxmlformats.org/officeDocument/2006/relationships/hyperlink" Target="https://finance.yahoo.com/quote/FSR/?p=FSR" TargetMode="External"/><Relationship Id="rId429" Type="http://schemas.openxmlformats.org/officeDocument/2006/relationships/hyperlink" Target="https://finance.yahoo.com/quote/CL=F/?p=CL=F" TargetMode="External"/><Relationship Id="rId580" Type="http://schemas.openxmlformats.org/officeDocument/2006/relationships/hyperlink" Target="https://finance.yahoo.com/quote/0700.HK/?p=0700.HK" TargetMode="External"/><Relationship Id="rId636" Type="http://schemas.openxmlformats.org/officeDocument/2006/relationships/hyperlink" Target="https://finance.yahoo.com/quote/9988.HK/?p=9988.HK" TargetMode="External"/><Relationship Id="rId1" Type="http://schemas.openxmlformats.org/officeDocument/2006/relationships/hyperlink" Target="https://finance.yahoo.com/quote/AAPL/?p=AAPL" TargetMode="External"/><Relationship Id="rId233" Type="http://schemas.openxmlformats.org/officeDocument/2006/relationships/hyperlink" Target="https://finance.yahoo.com/quote/TSLA/?p=TSLA" TargetMode="External"/><Relationship Id="rId440" Type="http://schemas.openxmlformats.org/officeDocument/2006/relationships/hyperlink" Target="https://finance.yahoo.com/quote/AAPL/?p=AAPL" TargetMode="External"/><Relationship Id="rId678" Type="http://schemas.openxmlformats.org/officeDocument/2006/relationships/hyperlink" Target="https://finance.yahoo.com/quote/9988.HK/?p=9988.HK" TargetMode="External"/><Relationship Id="rId28" Type="http://schemas.openxmlformats.org/officeDocument/2006/relationships/hyperlink" Target="https://finance.yahoo.com/quote/F/?p=F" TargetMode="External"/><Relationship Id="rId275" Type="http://schemas.openxmlformats.org/officeDocument/2006/relationships/hyperlink" Target="http://6049.hk/" TargetMode="External"/><Relationship Id="rId300" Type="http://schemas.openxmlformats.org/officeDocument/2006/relationships/hyperlink" Target="https://finance.yahoo.com/quote/NFLX/?p=NFLX" TargetMode="External"/><Relationship Id="rId482" Type="http://schemas.openxmlformats.org/officeDocument/2006/relationships/hyperlink" Target="https://finance.yahoo.com/quote/ES=F/?p=ES=F" TargetMode="External"/><Relationship Id="rId538" Type="http://schemas.openxmlformats.org/officeDocument/2006/relationships/hyperlink" Target="https://finance.yahoo.com/quote/TSLA/?p=TSLA" TargetMode="External"/><Relationship Id="rId703" Type="http://schemas.openxmlformats.org/officeDocument/2006/relationships/hyperlink" Target="http://9988.hk/" TargetMode="External"/><Relationship Id="rId81" Type="http://schemas.openxmlformats.org/officeDocument/2006/relationships/hyperlink" Target="https://finance.yahoo.com/quote/2607.hk/?p=2607.hk" TargetMode="External"/><Relationship Id="rId135" Type="http://schemas.openxmlformats.org/officeDocument/2006/relationships/hyperlink" Target="https://finance.yahoo.com/quote/9988.Hk/?p=9988.Hk" TargetMode="External"/><Relationship Id="rId177" Type="http://schemas.openxmlformats.org/officeDocument/2006/relationships/hyperlink" Target="https://finance.yahoo.com/quote/XLV/?p=XLV" TargetMode="External"/><Relationship Id="rId342" Type="http://schemas.openxmlformats.org/officeDocument/2006/relationships/hyperlink" Target="https://finance.yahoo.com/quote/9988.HK/?p=9988.HK" TargetMode="External"/><Relationship Id="rId384" Type="http://schemas.openxmlformats.org/officeDocument/2006/relationships/hyperlink" Target="https://finance.yahoo.com/quote/0700.HK/?p=0700.HK" TargetMode="External"/><Relationship Id="rId591" Type="http://schemas.openxmlformats.org/officeDocument/2006/relationships/hyperlink" Target="http://6078.hk/" TargetMode="External"/><Relationship Id="rId605" Type="http://schemas.openxmlformats.org/officeDocument/2006/relationships/hyperlink" Target="http://0700.hk/" TargetMode="External"/><Relationship Id="rId202" Type="http://schemas.openxmlformats.org/officeDocument/2006/relationships/hyperlink" Target="https://finance.yahoo.com/quote/GOOG/?p=GOOG" TargetMode="External"/><Relationship Id="rId244" Type="http://schemas.openxmlformats.org/officeDocument/2006/relationships/hyperlink" Target="http://1208.hk/" TargetMode="External"/><Relationship Id="rId647" Type="http://schemas.openxmlformats.org/officeDocument/2006/relationships/hyperlink" Target="https://finance.yahoo.com/quote/2269.HK/?p=2269.HK" TargetMode="External"/><Relationship Id="rId689" Type="http://schemas.openxmlformats.org/officeDocument/2006/relationships/hyperlink" Target="https://finance.yahoo.com/quote/SBRCY/?p=SBRCY" TargetMode="External"/><Relationship Id="rId39" Type="http://schemas.openxmlformats.org/officeDocument/2006/relationships/hyperlink" Target="https://finance.yahoo.com/quote/OXY/?p=OXY" TargetMode="External"/><Relationship Id="rId286" Type="http://schemas.openxmlformats.org/officeDocument/2006/relationships/hyperlink" Target="http://2222.sr/" TargetMode="External"/><Relationship Id="rId451" Type="http://schemas.openxmlformats.org/officeDocument/2006/relationships/hyperlink" Target="http://600986.ss/" TargetMode="External"/><Relationship Id="rId493" Type="http://schemas.openxmlformats.org/officeDocument/2006/relationships/hyperlink" Target="https://finance.yahoo.com/quote/300945.SZ/?p=300945.SZ" TargetMode="External"/><Relationship Id="rId507" Type="http://schemas.openxmlformats.org/officeDocument/2006/relationships/hyperlink" Target="https://finance.yahoo.com/quote/601808.SS/?p=601808.SS" TargetMode="External"/><Relationship Id="rId549" Type="http://schemas.openxmlformats.org/officeDocument/2006/relationships/hyperlink" Target="https://finance.yahoo.com/quote/CL=F/?p=CL=F" TargetMode="External"/><Relationship Id="rId714" Type="http://schemas.openxmlformats.org/officeDocument/2006/relationships/hyperlink" Target="http://0909.hk/" TargetMode="External"/><Relationship Id="rId50" Type="http://schemas.openxmlformats.org/officeDocument/2006/relationships/hyperlink" Target="https://finance.yahoo.com/quote/XLB/?p=XLB" TargetMode="External"/><Relationship Id="rId104" Type="http://schemas.openxmlformats.org/officeDocument/2006/relationships/hyperlink" Target="https://finance.yahoo.com/quote/GOLD/?p=GOLD" TargetMode="External"/><Relationship Id="rId146" Type="http://schemas.openxmlformats.org/officeDocument/2006/relationships/hyperlink" Target="http://1810.hk/" TargetMode="External"/><Relationship Id="rId188" Type="http://schemas.openxmlformats.org/officeDocument/2006/relationships/hyperlink" Target="https://finance.yahoo.com/quote/3988.HK/?p=3988.HK" TargetMode="External"/><Relationship Id="rId311" Type="http://schemas.openxmlformats.org/officeDocument/2006/relationships/hyperlink" Target="https://finance.yahoo.com/quote/TSLA/?p=TSLA" TargetMode="External"/><Relationship Id="rId353" Type="http://schemas.openxmlformats.org/officeDocument/2006/relationships/hyperlink" Target="http://9988.hk/" TargetMode="External"/><Relationship Id="rId395" Type="http://schemas.openxmlformats.org/officeDocument/2006/relationships/hyperlink" Target="https://finance.yahoo.com/quote/LMT/?p=LMT" TargetMode="External"/><Relationship Id="rId409" Type="http://schemas.openxmlformats.org/officeDocument/2006/relationships/hyperlink" Target="https://finance.yahoo.com/quote/3339.HK/?p=3339.HK" TargetMode="External"/><Relationship Id="rId560" Type="http://schemas.openxmlformats.org/officeDocument/2006/relationships/hyperlink" Target="https://finance.yahoo.com/quote/CL=F/?p=CL=F" TargetMode="External"/><Relationship Id="rId92" Type="http://schemas.openxmlformats.org/officeDocument/2006/relationships/hyperlink" Target="https://finance.yahoo.com/quote/NUSI/?p=NUSI" TargetMode="External"/><Relationship Id="rId213" Type="http://schemas.openxmlformats.org/officeDocument/2006/relationships/hyperlink" Target="https://finance.yahoo.com/quote/BABA/?p=BABA" TargetMode="External"/><Relationship Id="rId420" Type="http://schemas.openxmlformats.org/officeDocument/2006/relationships/hyperlink" Target="https://finance.yahoo.com/quote/TSLA/?p=TSLA" TargetMode="External"/><Relationship Id="rId616" Type="http://schemas.openxmlformats.org/officeDocument/2006/relationships/hyperlink" Target="https://finance.yahoo.com/quote/9988.HK/?p=9988.HK" TargetMode="External"/><Relationship Id="rId658" Type="http://schemas.openxmlformats.org/officeDocument/2006/relationships/hyperlink" Target="http://9698.hk/" TargetMode="External"/><Relationship Id="rId255" Type="http://schemas.openxmlformats.org/officeDocument/2006/relationships/hyperlink" Target="https://finance.yahoo.com/quote/DIS/?p=DIS" TargetMode="External"/><Relationship Id="rId297" Type="http://schemas.openxmlformats.org/officeDocument/2006/relationships/hyperlink" Target="https://finance.yahoo.com/quote/0883.HK/?p=0883.HK" TargetMode="External"/><Relationship Id="rId462" Type="http://schemas.openxmlformats.org/officeDocument/2006/relationships/hyperlink" Target="http://0700.hk/" TargetMode="External"/><Relationship Id="rId518" Type="http://schemas.openxmlformats.org/officeDocument/2006/relationships/hyperlink" Target="http://603963.ss/" TargetMode="External"/><Relationship Id="rId115" Type="http://schemas.openxmlformats.org/officeDocument/2006/relationships/hyperlink" Target="https://finance.yahoo.com/quote/0700.HK/?p=0700.HK" TargetMode="External"/><Relationship Id="rId157" Type="http://schemas.openxmlformats.org/officeDocument/2006/relationships/hyperlink" Target="https://finance.yahoo.com/quote/9988.HK/?p=9988.HK" TargetMode="External"/><Relationship Id="rId322" Type="http://schemas.openxmlformats.org/officeDocument/2006/relationships/hyperlink" Target="https://finance.yahoo.com/quote/3047.HK/?p=3047.HK" TargetMode="External"/><Relationship Id="rId364" Type="http://schemas.openxmlformats.org/officeDocument/2006/relationships/hyperlink" Target="https://finance.yahoo.com/quote/NFLX/?p=NFLX" TargetMode="External"/><Relationship Id="rId61" Type="http://schemas.openxmlformats.org/officeDocument/2006/relationships/hyperlink" Target="https://finance.yahoo.com/quote/GOLD/?p=GOLD" TargetMode="External"/><Relationship Id="rId199" Type="http://schemas.openxmlformats.org/officeDocument/2006/relationships/hyperlink" Target="http://0700.hk/" TargetMode="External"/><Relationship Id="rId571" Type="http://schemas.openxmlformats.org/officeDocument/2006/relationships/hyperlink" Target="http://0700.hk/" TargetMode="External"/><Relationship Id="rId627" Type="http://schemas.openxmlformats.org/officeDocument/2006/relationships/hyperlink" Target="http://0388.hk/" TargetMode="External"/><Relationship Id="rId669" Type="http://schemas.openxmlformats.org/officeDocument/2006/relationships/hyperlink" Target="https://finance.yahoo.com/quote/SOFI/?p=SOFI" TargetMode="External"/><Relationship Id="rId19" Type="http://schemas.openxmlformats.org/officeDocument/2006/relationships/hyperlink" Target="https://finance.yahoo.com/quote/CL=F/?p=CL=F" TargetMode="External"/><Relationship Id="rId224" Type="http://schemas.openxmlformats.org/officeDocument/2006/relationships/hyperlink" Target="http://0700.hk/" TargetMode="External"/><Relationship Id="rId266" Type="http://schemas.openxmlformats.org/officeDocument/2006/relationships/hyperlink" Target="https://finance.yahoo.com/quote/DIS/?p=DIS" TargetMode="External"/><Relationship Id="rId431" Type="http://schemas.openxmlformats.org/officeDocument/2006/relationships/hyperlink" Target="http://1398.hk/" TargetMode="External"/><Relationship Id="rId473" Type="http://schemas.openxmlformats.org/officeDocument/2006/relationships/hyperlink" Target="https://finance.yahoo.com/quote/GBTC/?p=GBTC" TargetMode="External"/><Relationship Id="rId529" Type="http://schemas.openxmlformats.org/officeDocument/2006/relationships/hyperlink" Target="https://finance.yahoo.com/quote/GC=F/?p=GC=F" TargetMode="External"/><Relationship Id="rId680" Type="http://schemas.openxmlformats.org/officeDocument/2006/relationships/hyperlink" Target="https://finance.yahoo.com/quote/TCEHY/?p=TCEHY" TargetMode="External"/><Relationship Id="rId30" Type="http://schemas.openxmlformats.org/officeDocument/2006/relationships/hyperlink" Target="https://finance.yahoo.com/quote/MMM/?p=MMM" TargetMode="External"/><Relationship Id="rId126" Type="http://schemas.openxmlformats.org/officeDocument/2006/relationships/hyperlink" Target="http://1810.hk/" TargetMode="External"/><Relationship Id="rId168" Type="http://schemas.openxmlformats.org/officeDocument/2006/relationships/hyperlink" Target="http://600519.ss/" TargetMode="External"/><Relationship Id="rId333" Type="http://schemas.openxmlformats.org/officeDocument/2006/relationships/hyperlink" Target="http://9988.hk/" TargetMode="External"/><Relationship Id="rId540" Type="http://schemas.openxmlformats.org/officeDocument/2006/relationships/hyperlink" Target="https://finance.yahoo.com/quote/NVDA/?p=NVDA" TargetMode="External"/><Relationship Id="rId72" Type="http://schemas.openxmlformats.org/officeDocument/2006/relationships/hyperlink" Target="https://finance.yahoo.com/quote/SONY/?p=SONY" TargetMode="External"/><Relationship Id="rId375" Type="http://schemas.openxmlformats.org/officeDocument/2006/relationships/hyperlink" Target="https://finance.yahoo.com/quote/1898.HK/?p=1898.HK" TargetMode="External"/><Relationship Id="rId582" Type="http://schemas.openxmlformats.org/officeDocument/2006/relationships/hyperlink" Target="https://finance.yahoo.com/quote/3690.HK/?p=3690.HK" TargetMode="External"/><Relationship Id="rId638" Type="http://schemas.openxmlformats.org/officeDocument/2006/relationships/hyperlink" Target="http://9698.hk/" TargetMode="External"/><Relationship Id="rId3" Type="http://schemas.openxmlformats.org/officeDocument/2006/relationships/hyperlink" Target="https://finance.yahoo.com/quote/TSLA/?p=TSLA" TargetMode="External"/><Relationship Id="rId235" Type="http://schemas.openxmlformats.org/officeDocument/2006/relationships/hyperlink" Target="https://finance.yahoo.com/quote/ANPDY/?p=ANPDY" TargetMode="External"/><Relationship Id="rId277" Type="http://schemas.openxmlformats.org/officeDocument/2006/relationships/hyperlink" Target="https://finance.yahoo.com/quote/AAPL/?p=AAPL" TargetMode="External"/><Relationship Id="rId400" Type="http://schemas.openxmlformats.org/officeDocument/2006/relationships/hyperlink" Target="http://2333.hk/" TargetMode="External"/><Relationship Id="rId442" Type="http://schemas.openxmlformats.org/officeDocument/2006/relationships/hyperlink" Target="https://finance.yahoo.com/quote/AAPL/?p=AAPL" TargetMode="External"/><Relationship Id="rId484" Type="http://schemas.openxmlformats.org/officeDocument/2006/relationships/hyperlink" Target="https://finance.yahoo.com/quote/XPEV/?p=XPEV" TargetMode="External"/><Relationship Id="rId705" Type="http://schemas.openxmlformats.org/officeDocument/2006/relationships/hyperlink" Target="http://9999.hk/" TargetMode="External"/><Relationship Id="rId137" Type="http://schemas.openxmlformats.org/officeDocument/2006/relationships/hyperlink" Target="https://finance.yahoo.com/quote/1024.HK/?p=1024.HK" TargetMode="External"/><Relationship Id="rId302" Type="http://schemas.openxmlformats.org/officeDocument/2006/relationships/hyperlink" Target="https://finance.yahoo.com/quote/TSLA/?p=TSLA" TargetMode="External"/><Relationship Id="rId344" Type="http://schemas.openxmlformats.org/officeDocument/2006/relationships/hyperlink" Target="https://finance.yahoo.com/quote/3047.HK/?p=3047.HK" TargetMode="External"/><Relationship Id="rId691" Type="http://schemas.openxmlformats.org/officeDocument/2006/relationships/hyperlink" Target="https://finance.yahoo.com/quote/3833.HK/?p=3833.HK" TargetMode="External"/><Relationship Id="rId41" Type="http://schemas.openxmlformats.org/officeDocument/2006/relationships/hyperlink" Target="https://finance.yahoo.com/quote/GOOG/?p=GOOG" TargetMode="External"/><Relationship Id="rId83" Type="http://schemas.openxmlformats.org/officeDocument/2006/relationships/hyperlink" Target="https://finance.yahoo.com/quote/0700.HK/?p=0700.HK" TargetMode="External"/><Relationship Id="rId179" Type="http://schemas.openxmlformats.org/officeDocument/2006/relationships/hyperlink" Target="https://finance.yahoo.com/quote/PFE/?p=PFE" TargetMode="External"/><Relationship Id="rId386" Type="http://schemas.openxmlformats.org/officeDocument/2006/relationships/hyperlink" Target="https://finance.yahoo.com/quote/6862.HK/?p=6862.HK" TargetMode="External"/><Relationship Id="rId551" Type="http://schemas.openxmlformats.org/officeDocument/2006/relationships/hyperlink" Target="http://1398.hk/" TargetMode="External"/><Relationship Id="rId593" Type="http://schemas.openxmlformats.org/officeDocument/2006/relationships/hyperlink" Target="http://3690.hk/" TargetMode="External"/><Relationship Id="rId607" Type="http://schemas.openxmlformats.org/officeDocument/2006/relationships/hyperlink" Target="http://001896.sz/" TargetMode="External"/><Relationship Id="rId649" Type="http://schemas.openxmlformats.org/officeDocument/2006/relationships/hyperlink" Target="http://9698.hk/" TargetMode="External"/><Relationship Id="rId190" Type="http://schemas.openxmlformats.org/officeDocument/2006/relationships/hyperlink" Target="https://finance.yahoo.com/quote/ANTM/?p=ANTM" TargetMode="External"/><Relationship Id="rId204" Type="http://schemas.openxmlformats.org/officeDocument/2006/relationships/hyperlink" Target="https://finance.yahoo.com/quote/BABA/?p=BABA" TargetMode="External"/><Relationship Id="rId246" Type="http://schemas.openxmlformats.org/officeDocument/2006/relationships/hyperlink" Target="http://3800.hk/" TargetMode="External"/><Relationship Id="rId288" Type="http://schemas.openxmlformats.org/officeDocument/2006/relationships/hyperlink" Target="http://2222.sr/" TargetMode="External"/><Relationship Id="rId411" Type="http://schemas.openxmlformats.org/officeDocument/2006/relationships/hyperlink" Target="https://finance.yahoo.com/quote/3339.HK/?p=3339.HK" TargetMode="External"/><Relationship Id="rId453" Type="http://schemas.openxmlformats.org/officeDocument/2006/relationships/hyperlink" Target="http://002230.sz/" TargetMode="External"/><Relationship Id="rId509" Type="http://schemas.openxmlformats.org/officeDocument/2006/relationships/hyperlink" Target="https://finance.yahoo.com/quote/300922.SZ/?p=300922.SZ" TargetMode="External"/><Relationship Id="rId660" Type="http://schemas.openxmlformats.org/officeDocument/2006/relationships/hyperlink" Target="https://finance.yahoo.com/quote/UVXY/?p=UVXY" TargetMode="External"/><Relationship Id="rId106" Type="http://schemas.openxmlformats.org/officeDocument/2006/relationships/hyperlink" Target="https://finance.yahoo.com/quote/ANPDY/?p=ANPDY" TargetMode="External"/><Relationship Id="rId313" Type="http://schemas.openxmlformats.org/officeDocument/2006/relationships/hyperlink" Target="https://finance.yahoo.com/quote/AMZN/?p=AMZN" TargetMode="External"/><Relationship Id="rId495" Type="http://schemas.openxmlformats.org/officeDocument/2006/relationships/hyperlink" Target="https://finance.yahoo.com/quote/601808.SS/?p=601808.SS" TargetMode="External"/><Relationship Id="rId716" Type="http://schemas.openxmlformats.org/officeDocument/2006/relationships/hyperlink" Target="https://finance.yahoo.com/quote/PANW/?p=PANW" TargetMode="External"/><Relationship Id="rId10" Type="http://schemas.openxmlformats.org/officeDocument/2006/relationships/hyperlink" Target="https://finance.yahoo.com/quote/MSFT/?p=MSFT" TargetMode="External"/><Relationship Id="rId52" Type="http://schemas.openxmlformats.org/officeDocument/2006/relationships/hyperlink" Target="https://finance.yahoo.com/quote/XLC/?p=XLC" TargetMode="External"/><Relationship Id="rId94" Type="http://schemas.openxmlformats.org/officeDocument/2006/relationships/hyperlink" Target="https://finance.yahoo.com/quote/0388.HK/?p=0388.HK" TargetMode="External"/><Relationship Id="rId148" Type="http://schemas.openxmlformats.org/officeDocument/2006/relationships/hyperlink" Target="http://1024.hk/" TargetMode="External"/><Relationship Id="rId355" Type="http://schemas.openxmlformats.org/officeDocument/2006/relationships/hyperlink" Target="http://9988.hk/" TargetMode="External"/><Relationship Id="rId397" Type="http://schemas.openxmlformats.org/officeDocument/2006/relationships/hyperlink" Target="https://finance.yahoo.com/quote/2318.HK/?p=2318.HK" TargetMode="External"/><Relationship Id="rId520" Type="http://schemas.openxmlformats.org/officeDocument/2006/relationships/hyperlink" Target="http://603963.ss/" TargetMode="External"/><Relationship Id="rId562" Type="http://schemas.openxmlformats.org/officeDocument/2006/relationships/hyperlink" Target="http://1398.hk/" TargetMode="External"/><Relationship Id="rId618" Type="http://schemas.openxmlformats.org/officeDocument/2006/relationships/hyperlink" Target="https://finance.yahoo.com/quote/2800.HK/?p=2800.HK" TargetMode="External"/><Relationship Id="rId215" Type="http://schemas.openxmlformats.org/officeDocument/2006/relationships/hyperlink" Target="https://finance.yahoo.com/quote/0700.HK/?p=0700.HK" TargetMode="External"/><Relationship Id="rId257" Type="http://schemas.openxmlformats.org/officeDocument/2006/relationships/hyperlink" Target="https://finance.yahoo.com/quote/TSLA/?p=TSLA" TargetMode="External"/><Relationship Id="rId422" Type="http://schemas.openxmlformats.org/officeDocument/2006/relationships/hyperlink" Target="https://finance.yahoo.com/quote/0700.HK/?p=0700.HK" TargetMode="External"/><Relationship Id="rId464" Type="http://schemas.openxmlformats.org/officeDocument/2006/relationships/hyperlink" Target="http://0700.hk/" TargetMode="External"/><Relationship Id="rId299" Type="http://schemas.openxmlformats.org/officeDocument/2006/relationships/hyperlink" Target="https://finance.yahoo.com/quote/BTC-USD/?p=BTC-USD" TargetMode="External"/><Relationship Id="rId63" Type="http://schemas.openxmlformats.org/officeDocument/2006/relationships/hyperlink" Target="https://finance.yahoo.com/quote/ANPDY/?p=ANPDY" TargetMode="External"/><Relationship Id="rId159" Type="http://schemas.openxmlformats.org/officeDocument/2006/relationships/hyperlink" Target="https://finance.yahoo.com/quote/6680.HK/?p=6680.HK" TargetMode="External"/><Relationship Id="rId366" Type="http://schemas.openxmlformats.org/officeDocument/2006/relationships/hyperlink" Target="https://finance.yahoo.com/quote/0151.HK/?p=0151.HK" TargetMode="External"/><Relationship Id="rId573" Type="http://schemas.openxmlformats.org/officeDocument/2006/relationships/hyperlink" Target="http://0700.hk/" TargetMode="External"/><Relationship Id="rId226" Type="http://schemas.openxmlformats.org/officeDocument/2006/relationships/hyperlink" Target="https://finance.yahoo.com/quote/AMZN/?p=AMZN" TargetMode="External"/><Relationship Id="rId433" Type="http://schemas.openxmlformats.org/officeDocument/2006/relationships/hyperlink" Target="http://300157.sz/" TargetMode="External"/><Relationship Id="rId640" Type="http://schemas.openxmlformats.org/officeDocument/2006/relationships/hyperlink" Target="http://3690.hk/" TargetMode="External"/><Relationship Id="rId74" Type="http://schemas.openxmlformats.org/officeDocument/2006/relationships/hyperlink" Target="https://finance.yahoo.com/quote/tcehy/?p=tcehy" TargetMode="External"/><Relationship Id="rId377" Type="http://schemas.openxmlformats.org/officeDocument/2006/relationships/hyperlink" Target="https://finance.yahoo.com/quote/9988.HK/?p=9988.HK" TargetMode="External"/><Relationship Id="rId500" Type="http://schemas.openxmlformats.org/officeDocument/2006/relationships/hyperlink" Target="http://300922.sz/" TargetMode="External"/><Relationship Id="rId584" Type="http://schemas.openxmlformats.org/officeDocument/2006/relationships/hyperlink" Target="https://finance.yahoo.com/quote/0700.HK/?p=0700.HK" TargetMode="External"/><Relationship Id="rId5" Type="http://schemas.openxmlformats.org/officeDocument/2006/relationships/hyperlink" Target="https://finance.yahoo.com/quote/CL=F/?p=CL=F" TargetMode="External"/><Relationship Id="rId237" Type="http://schemas.openxmlformats.org/officeDocument/2006/relationships/hyperlink" Target="https://finance.yahoo.com/quote/GOLD/?p=GOLD" TargetMode="External"/><Relationship Id="rId444" Type="http://schemas.openxmlformats.org/officeDocument/2006/relationships/hyperlink" Target="https://finance.yahoo.com/quote/NET/?p=NET" TargetMode="External"/><Relationship Id="rId651" Type="http://schemas.openxmlformats.org/officeDocument/2006/relationships/hyperlink" Target="http://6969.hk/" TargetMode="External"/><Relationship Id="rId290" Type="http://schemas.openxmlformats.org/officeDocument/2006/relationships/hyperlink" Target="https://finance.yahoo.com/quote/GOLD/?p=GOLD" TargetMode="External"/><Relationship Id="rId304" Type="http://schemas.openxmlformats.org/officeDocument/2006/relationships/hyperlink" Target="http://0883.hk/" TargetMode="External"/><Relationship Id="rId388" Type="http://schemas.openxmlformats.org/officeDocument/2006/relationships/hyperlink" Target="https://finance.yahoo.com/quote/PFE/?p=PFE" TargetMode="External"/><Relationship Id="rId511" Type="http://schemas.openxmlformats.org/officeDocument/2006/relationships/hyperlink" Target="https://finance.yahoo.com/quote/603967.SS/?p=603967.SS" TargetMode="External"/><Relationship Id="rId609" Type="http://schemas.openxmlformats.org/officeDocument/2006/relationships/hyperlink" Target="http://0700.hk/" TargetMode="External"/><Relationship Id="rId85" Type="http://schemas.openxmlformats.org/officeDocument/2006/relationships/hyperlink" Target="https://finance.yahoo.com/quote/CL=F/?p=CL=F" TargetMode="External"/><Relationship Id="rId150" Type="http://schemas.openxmlformats.org/officeDocument/2006/relationships/hyperlink" Target="http://1024.hk/" TargetMode="External"/><Relationship Id="rId595" Type="http://schemas.openxmlformats.org/officeDocument/2006/relationships/hyperlink" Target="https://finance.yahoo.com/quote/AAPL/?p=AAPL" TargetMode="External"/><Relationship Id="rId248" Type="http://schemas.openxmlformats.org/officeDocument/2006/relationships/hyperlink" Target="http://3800.hk/" TargetMode="External"/><Relationship Id="rId455" Type="http://schemas.openxmlformats.org/officeDocument/2006/relationships/hyperlink" Target="http://002475.sz/" TargetMode="External"/><Relationship Id="rId662" Type="http://schemas.openxmlformats.org/officeDocument/2006/relationships/hyperlink" Target="https://finance.yahoo.com/quote/NU/?p=NU" TargetMode="External"/><Relationship Id="rId12" Type="http://schemas.openxmlformats.org/officeDocument/2006/relationships/hyperlink" Target="https://finance.yahoo.com/quote/%5ECMC200/?p=%5ECMC200" TargetMode="External"/><Relationship Id="rId108" Type="http://schemas.openxmlformats.org/officeDocument/2006/relationships/hyperlink" Target="http://1109.hk/" TargetMode="External"/><Relationship Id="rId315" Type="http://schemas.openxmlformats.org/officeDocument/2006/relationships/hyperlink" Target="http://9988.hk/" TargetMode="External"/><Relationship Id="rId522" Type="http://schemas.openxmlformats.org/officeDocument/2006/relationships/hyperlink" Target="http://603963.ss/" TargetMode="External"/><Relationship Id="rId96" Type="http://schemas.openxmlformats.org/officeDocument/2006/relationships/hyperlink" Target="https://finance.yahoo.com/quote/BNTX/?p=BNTX" TargetMode="External"/><Relationship Id="rId161" Type="http://schemas.openxmlformats.org/officeDocument/2006/relationships/hyperlink" Target="https://finance.yahoo.com/quote/1024.HK/?p=1024.HK" TargetMode="External"/><Relationship Id="rId399" Type="http://schemas.openxmlformats.org/officeDocument/2006/relationships/hyperlink" Target="https://finance.yahoo.com/quote/2318.HK/?p=2318.HK" TargetMode="External"/><Relationship Id="rId259" Type="http://schemas.openxmlformats.org/officeDocument/2006/relationships/hyperlink" Target="https://finance.yahoo.com/quote/RIVN/?p=RIVN" TargetMode="External"/><Relationship Id="rId466" Type="http://schemas.openxmlformats.org/officeDocument/2006/relationships/hyperlink" Target="http://9868.hk/" TargetMode="External"/><Relationship Id="rId673" Type="http://schemas.openxmlformats.org/officeDocument/2006/relationships/hyperlink" Target="https://finance.yahoo.com/quote/SBRCY/?p=SBRCY" TargetMode="External"/><Relationship Id="rId23" Type="http://schemas.openxmlformats.org/officeDocument/2006/relationships/hyperlink" Target="https://finance.yahoo.com/quote/0700.HK/?p=0700.HK" TargetMode="External"/><Relationship Id="rId119" Type="http://schemas.openxmlformats.org/officeDocument/2006/relationships/hyperlink" Target="http://9888.hk/" TargetMode="External"/><Relationship Id="rId326" Type="http://schemas.openxmlformats.org/officeDocument/2006/relationships/hyperlink" Target="https://finance.yahoo.com/quote/0941.HK/?p=0941.HK" TargetMode="External"/><Relationship Id="rId533" Type="http://schemas.openxmlformats.org/officeDocument/2006/relationships/hyperlink" Target="http://9988.hk/" TargetMode="External"/><Relationship Id="rId172" Type="http://schemas.openxmlformats.org/officeDocument/2006/relationships/hyperlink" Target="https://finance.yahoo.com/quote/1810.HK/?p=1810.HK" TargetMode="External"/><Relationship Id="rId477" Type="http://schemas.openxmlformats.org/officeDocument/2006/relationships/hyperlink" Target="https://finance.yahoo.com/quote/WEAT/?p=WEAT" TargetMode="External"/><Relationship Id="rId600" Type="http://schemas.openxmlformats.org/officeDocument/2006/relationships/hyperlink" Target="https://finance.yahoo.com/quote/AAPL/?p=AAPL" TargetMode="External"/><Relationship Id="rId684" Type="http://schemas.openxmlformats.org/officeDocument/2006/relationships/hyperlink" Target="http://3690.hk/" TargetMode="External"/><Relationship Id="rId337" Type="http://schemas.openxmlformats.org/officeDocument/2006/relationships/hyperlink" Target="https://finance.yahoo.com/quote/9988.HK/?p=9988.HK" TargetMode="External"/><Relationship Id="rId34" Type="http://schemas.openxmlformats.org/officeDocument/2006/relationships/hyperlink" Target="https://finance.yahoo.com/quote/GOOG/?p=GOOG" TargetMode="External"/><Relationship Id="rId544" Type="http://schemas.openxmlformats.org/officeDocument/2006/relationships/hyperlink" Target="https://finance.yahoo.com/quote/MSFT/?p=MSFT" TargetMode="External"/><Relationship Id="rId183" Type="http://schemas.openxmlformats.org/officeDocument/2006/relationships/hyperlink" Target="http://603392.ss/" TargetMode="External"/><Relationship Id="rId390" Type="http://schemas.openxmlformats.org/officeDocument/2006/relationships/hyperlink" Target="https://finance.yahoo.com/quote/3339.HK/?p=3339.HK" TargetMode="External"/><Relationship Id="rId404" Type="http://schemas.openxmlformats.org/officeDocument/2006/relationships/hyperlink" Target="http://1610.hk/" TargetMode="External"/><Relationship Id="rId611" Type="http://schemas.openxmlformats.org/officeDocument/2006/relationships/hyperlink" Target="http://9988.hk/" TargetMode="External"/><Relationship Id="rId250" Type="http://schemas.openxmlformats.org/officeDocument/2006/relationships/hyperlink" Target="http://3800.hk/" TargetMode="External"/><Relationship Id="rId488" Type="http://schemas.openxmlformats.org/officeDocument/2006/relationships/hyperlink" Target="http://002665.sz/" TargetMode="External"/><Relationship Id="rId695" Type="http://schemas.openxmlformats.org/officeDocument/2006/relationships/hyperlink" Target="https://finance.yahoo.com/quote/ASML/?p=ASML" TargetMode="External"/><Relationship Id="rId709" Type="http://schemas.openxmlformats.org/officeDocument/2006/relationships/hyperlink" Target="https://finance.yahoo.com/quote/AMZN/?p=AMZN" TargetMode="External"/><Relationship Id="rId45" Type="http://schemas.openxmlformats.org/officeDocument/2006/relationships/hyperlink" Target="https://finance.yahoo.com/quote/XLRE/?p=XLRE" TargetMode="External"/><Relationship Id="rId110" Type="http://schemas.openxmlformats.org/officeDocument/2006/relationships/hyperlink" Target="http://1109.hk/" TargetMode="External"/><Relationship Id="rId348" Type="http://schemas.openxmlformats.org/officeDocument/2006/relationships/hyperlink" Target="https://finance.yahoo.com/quote/0700.HK/?p=0700.HK" TargetMode="External"/><Relationship Id="rId555" Type="http://schemas.openxmlformats.org/officeDocument/2006/relationships/hyperlink" Target="https://finance.yahoo.com/quote/AMAT/?p=AMAT" TargetMode="External"/><Relationship Id="rId194" Type="http://schemas.openxmlformats.org/officeDocument/2006/relationships/hyperlink" Target="https://finance.yahoo.com/quote/UNH/?p=UNH" TargetMode="External"/><Relationship Id="rId208" Type="http://schemas.openxmlformats.org/officeDocument/2006/relationships/hyperlink" Target="http://0070.hk/" TargetMode="External"/><Relationship Id="rId415" Type="http://schemas.openxmlformats.org/officeDocument/2006/relationships/hyperlink" Target="https://finance.yahoo.com/quote/1810.HK/?p=1810.HK" TargetMode="External"/><Relationship Id="rId622" Type="http://schemas.openxmlformats.org/officeDocument/2006/relationships/hyperlink" Target="https://finance.yahoo.com/quote/2800.HK/?p=2800.HK" TargetMode="External"/><Relationship Id="rId261" Type="http://schemas.openxmlformats.org/officeDocument/2006/relationships/hyperlink" Target="https://finance.yahoo.com/quote/DIS/?p=DIS" TargetMode="External"/><Relationship Id="rId499" Type="http://schemas.openxmlformats.org/officeDocument/2006/relationships/hyperlink" Target="https://finance.yahoo.com/quote/300922.SZ/?p=300922.SZ" TargetMode="External"/><Relationship Id="rId56" Type="http://schemas.openxmlformats.org/officeDocument/2006/relationships/hyperlink" Target="https://finance.yahoo.com/quote/XLV/?p=XLV" TargetMode="External"/><Relationship Id="rId359" Type="http://schemas.openxmlformats.org/officeDocument/2006/relationships/hyperlink" Target="http://1810.hk/" TargetMode="External"/><Relationship Id="rId566" Type="http://schemas.openxmlformats.org/officeDocument/2006/relationships/hyperlink" Target="http://0700.hk/" TargetMode="External"/><Relationship Id="rId121" Type="http://schemas.openxmlformats.org/officeDocument/2006/relationships/hyperlink" Target="http://9626.hk/" TargetMode="External"/><Relationship Id="rId219" Type="http://schemas.openxmlformats.org/officeDocument/2006/relationships/hyperlink" Target="http://0700.hk/" TargetMode="External"/><Relationship Id="rId426" Type="http://schemas.openxmlformats.org/officeDocument/2006/relationships/hyperlink" Target="http://1398.hk/" TargetMode="External"/><Relationship Id="rId633" Type="http://schemas.openxmlformats.org/officeDocument/2006/relationships/hyperlink" Target="http://2800.hk/" TargetMode="External"/><Relationship Id="rId67" Type="http://schemas.openxmlformats.org/officeDocument/2006/relationships/hyperlink" Target="https://finance.yahoo.com/quote/AAPL/?p=AAPL" TargetMode="External"/><Relationship Id="rId272" Type="http://schemas.openxmlformats.org/officeDocument/2006/relationships/hyperlink" Target="http://2020.hk/" TargetMode="External"/><Relationship Id="rId577" Type="http://schemas.openxmlformats.org/officeDocument/2006/relationships/hyperlink" Target="http://1024.hk/" TargetMode="External"/><Relationship Id="rId700" Type="http://schemas.openxmlformats.org/officeDocument/2006/relationships/hyperlink" Target="https://finance.yahoo.com/quote/3800.HK/?p=3800.HK" TargetMode="External"/><Relationship Id="rId132" Type="http://schemas.openxmlformats.org/officeDocument/2006/relationships/hyperlink" Target="http://1810.hk/" TargetMode="External"/><Relationship Id="rId437" Type="http://schemas.openxmlformats.org/officeDocument/2006/relationships/hyperlink" Target="https://finance.yahoo.com/quote/BRK-B/?p=BRK-B" TargetMode="External"/><Relationship Id="rId644" Type="http://schemas.openxmlformats.org/officeDocument/2006/relationships/hyperlink" Target="http://3690.hk/" TargetMode="External"/><Relationship Id="rId283" Type="http://schemas.openxmlformats.org/officeDocument/2006/relationships/hyperlink" Target="https://finance.yahoo.com/quote/TSLA/?p=TSLA" TargetMode="External"/><Relationship Id="rId490" Type="http://schemas.openxmlformats.org/officeDocument/2006/relationships/hyperlink" Target="http://000554.sz/" TargetMode="External"/><Relationship Id="rId504" Type="http://schemas.openxmlformats.org/officeDocument/2006/relationships/hyperlink" Target="http://300945.sz/" TargetMode="External"/><Relationship Id="rId711" Type="http://schemas.openxmlformats.org/officeDocument/2006/relationships/hyperlink" Target="https://finance.yahoo.com/quote/9961.HK/?p=9961.HK" TargetMode="External"/><Relationship Id="rId78" Type="http://schemas.openxmlformats.org/officeDocument/2006/relationships/hyperlink" Target="http://0346.hk/" TargetMode="External"/><Relationship Id="rId143" Type="http://schemas.openxmlformats.org/officeDocument/2006/relationships/hyperlink" Target="https://finance.yahoo.com/quote/9988.HK/?p=9988.HK" TargetMode="External"/><Relationship Id="rId350" Type="http://schemas.openxmlformats.org/officeDocument/2006/relationships/hyperlink" Target="https://finance.yahoo.com/quote/9988.HK/?p=9988.HK" TargetMode="External"/><Relationship Id="rId588" Type="http://schemas.openxmlformats.org/officeDocument/2006/relationships/hyperlink" Target="https://finance.yahoo.com/quote/9988.HK/?p=9988.HK" TargetMode="External"/><Relationship Id="rId9" Type="http://schemas.openxmlformats.org/officeDocument/2006/relationships/hyperlink" Target="https://finance.yahoo.com/quote/AAPL/?p=AAPL" TargetMode="External"/><Relationship Id="rId210" Type="http://schemas.openxmlformats.org/officeDocument/2006/relationships/hyperlink" Target="https://finance.yahoo.com/quote/BABA/?p=BABA" TargetMode="External"/><Relationship Id="rId448" Type="http://schemas.openxmlformats.org/officeDocument/2006/relationships/hyperlink" Target="https://finance.yahoo.com/quote/1398.HK/?p=1398.HK" TargetMode="External"/><Relationship Id="rId655" Type="http://schemas.openxmlformats.org/officeDocument/2006/relationships/hyperlink" Target="https://finance.yahoo.com/quote/SOFI/?p=SOFI" TargetMode="External"/><Relationship Id="rId294" Type="http://schemas.openxmlformats.org/officeDocument/2006/relationships/hyperlink" Target="https://finance.yahoo.com/quote/0700.hk/?p=0700.hk" TargetMode="External"/><Relationship Id="rId308" Type="http://schemas.openxmlformats.org/officeDocument/2006/relationships/hyperlink" Target="https://finance.yahoo.com/quote/BTC-USD/?p=BTC-USD" TargetMode="External"/><Relationship Id="rId515" Type="http://schemas.openxmlformats.org/officeDocument/2006/relationships/hyperlink" Target="https://finance.yahoo.com/quote/002665.SZ/?p=002665.SZ" TargetMode="External"/><Relationship Id="rId722" Type="http://schemas.openxmlformats.org/officeDocument/2006/relationships/hyperlink" Target="https://finance.yahoo.com/quote/TMUS/?p=TMUS" TargetMode="External"/><Relationship Id="rId89" Type="http://schemas.openxmlformats.org/officeDocument/2006/relationships/hyperlink" Target="https://finance.yahoo.com/quote/FB/?p=FB" TargetMode="External"/><Relationship Id="rId154" Type="http://schemas.openxmlformats.org/officeDocument/2006/relationships/hyperlink" Target="http://1024.hk/" TargetMode="External"/><Relationship Id="rId361" Type="http://schemas.openxmlformats.org/officeDocument/2006/relationships/hyperlink" Target="http://1299.hk/" TargetMode="External"/><Relationship Id="rId599" Type="http://schemas.openxmlformats.org/officeDocument/2006/relationships/hyperlink" Target="https://finance.yahoo.com/quote/600661.SS/?p=600661.SS" TargetMode="External"/><Relationship Id="rId459" Type="http://schemas.openxmlformats.org/officeDocument/2006/relationships/hyperlink" Target="https://finance.yahoo.com/quote/0700.HK/?p=0700.HK" TargetMode="External"/><Relationship Id="rId666" Type="http://schemas.openxmlformats.org/officeDocument/2006/relationships/hyperlink" Target="https://finance.yahoo.com/quote/9698.HK/?p=9698.HK" TargetMode="External"/><Relationship Id="rId16" Type="http://schemas.openxmlformats.org/officeDocument/2006/relationships/hyperlink" Target="https://finance.yahoo.com/quote/LUNA1-USD/?p=LUNA1-USD" TargetMode="External"/><Relationship Id="rId221" Type="http://schemas.openxmlformats.org/officeDocument/2006/relationships/hyperlink" Target="https://finance.yahoo.com/quote/AMZN/?p=AMZN" TargetMode="External"/><Relationship Id="rId319" Type="http://schemas.openxmlformats.org/officeDocument/2006/relationships/hyperlink" Target="https://finance.yahoo.com/quote/BRK-B/?p=BRK-B" TargetMode="External"/><Relationship Id="rId526" Type="http://schemas.openxmlformats.org/officeDocument/2006/relationships/hyperlink" Target="https://finance.yahoo.com/quote/603538.SS/?p=603538.SS" TargetMode="External"/><Relationship Id="rId165" Type="http://schemas.openxmlformats.org/officeDocument/2006/relationships/hyperlink" Target="https://finance.yahoo.com/quote/9988.HK/?p=9988.HK" TargetMode="External"/><Relationship Id="rId372" Type="http://schemas.openxmlformats.org/officeDocument/2006/relationships/hyperlink" Target="https://finance.yahoo.com/quote/0151.HK/?p=0151.HK" TargetMode="External"/><Relationship Id="rId677" Type="http://schemas.openxmlformats.org/officeDocument/2006/relationships/hyperlink" Target="http://9988.hk/" TargetMode="External"/><Relationship Id="rId232" Type="http://schemas.openxmlformats.org/officeDocument/2006/relationships/hyperlink" Target="https://finance.yahoo.com/quote/NTDOY/?p=NTDOY" TargetMode="External"/><Relationship Id="rId27" Type="http://schemas.openxmlformats.org/officeDocument/2006/relationships/hyperlink" Target="https://finance.yahoo.com/quote/TSLA/?p=TSLA" TargetMode="External"/><Relationship Id="rId537" Type="http://schemas.openxmlformats.org/officeDocument/2006/relationships/hyperlink" Target="https://finance.yahoo.com/quote/GC=F/?p=GC=F" TargetMode="External"/><Relationship Id="rId80" Type="http://schemas.openxmlformats.org/officeDocument/2006/relationships/hyperlink" Target="http://2607.hk/" TargetMode="External"/><Relationship Id="rId176" Type="http://schemas.openxmlformats.org/officeDocument/2006/relationships/hyperlink" Target="https://finance.yahoo.com/quote/600519.SS/?p=600519.SS" TargetMode="External"/><Relationship Id="rId383" Type="http://schemas.openxmlformats.org/officeDocument/2006/relationships/hyperlink" Target="http://0700.hk/" TargetMode="External"/><Relationship Id="rId590" Type="http://schemas.openxmlformats.org/officeDocument/2006/relationships/hyperlink" Target="https://finance.yahoo.com/quote/9626.HK/?p=9626.HK" TargetMode="External"/><Relationship Id="rId604" Type="http://schemas.openxmlformats.org/officeDocument/2006/relationships/hyperlink" Target="https://finance.yahoo.com/quote/600661.SS/?p=600661.SS" TargetMode="External"/><Relationship Id="rId243" Type="http://schemas.openxmlformats.org/officeDocument/2006/relationships/hyperlink" Target="https://finance.yahoo.com/quote/3800.hk/?p=3800.hk" TargetMode="External"/><Relationship Id="rId450" Type="http://schemas.openxmlformats.org/officeDocument/2006/relationships/hyperlink" Target="https://finance.yahoo.com/quote/601168.ss/?p=601168.ss" TargetMode="External"/><Relationship Id="rId688" Type="http://schemas.openxmlformats.org/officeDocument/2006/relationships/hyperlink" Target="https://finance.yahoo.com/quote/TCEHY/?p=TCEHY" TargetMode="External"/><Relationship Id="rId38" Type="http://schemas.openxmlformats.org/officeDocument/2006/relationships/hyperlink" Target="https://finance.yahoo.com/quote/BRK-B/?p=BRK-B" TargetMode="External"/><Relationship Id="rId103" Type="http://schemas.openxmlformats.org/officeDocument/2006/relationships/hyperlink" Target="https://finance.yahoo.com/quote/GOLD/?p=GOLD" TargetMode="External"/><Relationship Id="rId310" Type="http://schemas.openxmlformats.org/officeDocument/2006/relationships/hyperlink" Target="https://finance.yahoo.com/quote/6969.HK/?p=6969.HK" TargetMode="External"/><Relationship Id="rId548" Type="http://schemas.openxmlformats.org/officeDocument/2006/relationships/hyperlink" Target="https://finance.yahoo.com/quote/AMAT/?p=AMAT" TargetMode="External"/><Relationship Id="rId91" Type="http://schemas.openxmlformats.org/officeDocument/2006/relationships/hyperlink" Target="https://finance.yahoo.com/quote/BMBL/?p=BMBL" TargetMode="External"/><Relationship Id="rId187" Type="http://schemas.openxmlformats.org/officeDocument/2006/relationships/hyperlink" Target="http://3988.hk/" TargetMode="External"/><Relationship Id="rId394" Type="http://schemas.openxmlformats.org/officeDocument/2006/relationships/hyperlink" Target="https://finance.yahoo.com/quote/SOFI/?p=SOFI" TargetMode="External"/><Relationship Id="rId408" Type="http://schemas.openxmlformats.org/officeDocument/2006/relationships/hyperlink" Target="http://3339.hk/" TargetMode="External"/><Relationship Id="rId615" Type="http://schemas.openxmlformats.org/officeDocument/2006/relationships/hyperlink" Target="http://9988.hk/" TargetMode="External"/><Relationship Id="rId254" Type="http://schemas.openxmlformats.org/officeDocument/2006/relationships/hyperlink" Target="https://finance.yahoo.com/quote/TSLA/?p=TSLA" TargetMode="External"/><Relationship Id="rId699" Type="http://schemas.openxmlformats.org/officeDocument/2006/relationships/hyperlink" Target="http://3800.hk/" TargetMode="External"/><Relationship Id="rId49" Type="http://schemas.openxmlformats.org/officeDocument/2006/relationships/hyperlink" Target="https://finance.yahoo.com/quote/XLF/?p=XLF" TargetMode="External"/><Relationship Id="rId114" Type="http://schemas.openxmlformats.org/officeDocument/2006/relationships/hyperlink" Target="http://0700.hk/" TargetMode="External"/><Relationship Id="rId461" Type="http://schemas.openxmlformats.org/officeDocument/2006/relationships/hyperlink" Target="https://finance.yahoo.com/quote/3800.HK/?p=3800.HK" TargetMode="External"/><Relationship Id="rId559" Type="http://schemas.openxmlformats.org/officeDocument/2006/relationships/hyperlink" Target="https://finance.yahoo.com/quote/AAPL/?p=AAPL" TargetMode="External"/><Relationship Id="rId198" Type="http://schemas.openxmlformats.org/officeDocument/2006/relationships/hyperlink" Target="https://finance.yahoo.com/quote/600519.SS/?p=600519.SS" TargetMode="External"/><Relationship Id="rId321" Type="http://schemas.openxmlformats.org/officeDocument/2006/relationships/hyperlink" Target="http://3047.hk/" TargetMode="External"/><Relationship Id="rId419" Type="http://schemas.openxmlformats.org/officeDocument/2006/relationships/hyperlink" Target="https://finance.yahoo.com/quote/0175.HK/?p=0175.HK" TargetMode="External"/><Relationship Id="rId626" Type="http://schemas.openxmlformats.org/officeDocument/2006/relationships/hyperlink" Target="https://finance.yahoo.com/quote/2800.HK/?p=2800.HK" TargetMode="External"/><Relationship Id="rId265" Type="http://schemas.openxmlformats.org/officeDocument/2006/relationships/hyperlink" Target="https://finance.yahoo.com/quote/9988.HK/?p=9988.HK" TargetMode="External"/><Relationship Id="rId472" Type="http://schemas.openxmlformats.org/officeDocument/2006/relationships/hyperlink" Target="https://finance.yahoo.com/quote/MSFT/?p=MSFT" TargetMode="External"/><Relationship Id="rId125" Type="http://schemas.openxmlformats.org/officeDocument/2006/relationships/hyperlink" Target="https://finance.yahoo.com/quote/TSLA/?p=TSLA" TargetMode="External"/><Relationship Id="rId332" Type="http://schemas.openxmlformats.org/officeDocument/2006/relationships/hyperlink" Target="https://finance.yahoo.com/quote/3047.HK/?p=3047.HK" TargetMode="External"/><Relationship Id="rId637" Type="http://schemas.openxmlformats.org/officeDocument/2006/relationships/hyperlink" Target="https://finance.yahoo.com/quote/BITO/?p=BITO" TargetMode="External"/><Relationship Id="rId276" Type="http://schemas.openxmlformats.org/officeDocument/2006/relationships/hyperlink" Target="https://finance.yahoo.com/quote/6049.HK/?p=6049.HK" TargetMode="External"/><Relationship Id="rId483" Type="http://schemas.openxmlformats.org/officeDocument/2006/relationships/hyperlink" Target="https://www.bondsupermart.com/bsm/general-search/XS1974522853" TargetMode="External"/><Relationship Id="rId690" Type="http://schemas.openxmlformats.org/officeDocument/2006/relationships/hyperlink" Target="http://3833.hk/" TargetMode="External"/><Relationship Id="rId704" Type="http://schemas.openxmlformats.org/officeDocument/2006/relationships/hyperlink" Target="https://finance.yahoo.com/quote/9988.HK/?p=9988.HK" TargetMode="External"/><Relationship Id="rId40" Type="http://schemas.openxmlformats.org/officeDocument/2006/relationships/hyperlink" Target="https://finance.yahoo.com/quote/PFE/?p=PFE" TargetMode="External"/><Relationship Id="rId136" Type="http://schemas.openxmlformats.org/officeDocument/2006/relationships/hyperlink" Target="http://1024.hk/" TargetMode="External"/><Relationship Id="rId343" Type="http://schemas.openxmlformats.org/officeDocument/2006/relationships/hyperlink" Target="http://3047.hk/" TargetMode="External"/><Relationship Id="rId550" Type="http://schemas.openxmlformats.org/officeDocument/2006/relationships/hyperlink" Target="https://finance.yahoo.com/quote/NET/?p=NET"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2800.hk/" TargetMode="External"/><Relationship Id="rId21" Type="http://schemas.openxmlformats.org/officeDocument/2006/relationships/hyperlink" Target="http://2333.hk/" TargetMode="External"/><Relationship Id="rId63" Type="http://schemas.openxmlformats.org/officeDocument/2006/relationships/hyperlink" Target="http://300157.sz/" TargetMode="External"/><Relationship Id="rId159" Type="http://schemas.openxmlformats.org/officeDocument/2006/relationships/hyperlink" Target="http://0388.hk/" TargetMode="External"/><Relationship Id="rId170" Type="http://schemas.openxmlformats.org/officeDocument/2006/relationships/hyperlink" Target="http://600519.ss/" TargetMode="External"/><Relationship Id="rId226" Type="http://schemas.openxmlformats.org/officeDocument/2006/relationships/hyperlink" Target="http://9868.hk/" TargetMode="External"/><Relationship Id="rId268" Type="http://schemas.openxmlformats.org/officeDocument/2006/relationships/hyperlink" Target="http://0708.hk/" TargetMode="External"/><Relationship Id="rId32" Type="http://schemas.openxmlformats.org/officeDocument/2006/relationships/hyperlink" Target="http://9961.hk/" TargetMode="External"/><Relationship Id="rId74" Type="http://schemas.openxmlformats.org/officeDocument/2006/relationships/hyperlink" Target="http://00700.hk/" TargetMode="External"/><Relationship Id="rId128" Type="http://schemas.openxmlformats.org/officeDocument/2006/relationships/hyperlink" Target="http://9988.hk/" TargetMode="External"/><Relationship Id="rId5" Type="http://schemas.openxmlformats.org/officeDocument/2006/relationships/hyperlink" Target="http://9698.hk/" TargetMode="External"/><Relationship Id="rId181" Type="http://schemas.openxmlformats.org/officeDocument/2006/relationships/hyperlink" Target="http://6078.hk/" TargetMode="External"/><Relationship Id="rId237" Type="http://schemas.openxmlformats.org/officeDocument/2006/relationships/hyperlink" Target="http://2800.hk/" TargetMode="External"/><Relationship Id="rId258" Type="http://schemas.openxmlformats.org/officeDocument/2006/relationships/hyperlink" Target="http://3261.sh/" TargetMode="External"/><Relationship Id="rId22" Type="http://schemas.openxmlformats.org/officeDocument/2006/relationships/hyperlink" Target="http://1810.hk/" TargetMode="External"/><Relationship Id="rId43" Type="http://schemas.openxmlformats.org/officeDocument/2006/relationships/hyperlink" Target="http://1109.hk/" TargetMode="External"/><Relationship Id="rId64" Type="http://schemas.openxmlformats.org/officeDocument/2006/relationships/hyperlink" Target="http://300157.sz/" TargetMode="External"/><Relationship Id="rId118" Type="http://schemas.openxmlformats.org/officeDocument/2006/relationships/hyperlink" Target="http://603963.ss/" TargetMode="External"/><Relationship Id="rId139" Type="http://schemas.openxmlformats.org/officeDocument/2006/relationships/hyperlink" Target="http://6680.hk/" TargetMode="External"/><Relationship Id="rId85" Type="http://schemas.openxmlformats.org/officeDocument/2006/relationships/hyperlink" Target="http://9988.hk/" TargetMode="External"/><Relationship Id="rId150" Type="http://schemas.openxmlformats.org/officeDocument/2006/relationships/hyperlink" Target="http://9988.hk/" TargetMode="External"/><Relationship Id="rId171" Type="http://schemas.openxmlformats.org/officeDocument/2006/relationships/hyperlink" Target="http://0700.hk/" TargetMode="External"/><Relationship Id="rId192" Type="http://schemas.openxmlformats.org/officeDocument/2006/relationships/hyperlink" Target="http://000950.sz/" TargetMode="External"/><Relationship Id="rId206" Type="http://schemas.openxmlformats.org/officeDocument/2006/relationships/hyperlink" Target="http://001896.sz/" TargetMode="External"/><Relationship Id="rId227" Type="http://schemas.openxmlformats.org/officeDocument/2006/relationships/hyperlink" Target="http://2222.sr/" TargetMode="External"/><Relationship Id="rId248" Type="http://schemas.openxmlformats.org/officeDocument/2006/relationships/hyperlink" Target="http://3315.hk/" TargetMode="External"/><Relationship Id="rId269" Type="http://schemas.openxmlformats.org/officeDocument/2006/relationships/hyperlink" Target="http://0708.hk/" TargetMode="External"/><Relationship Id="rId12" Type="http://schemas.openxmlformats.org/officeDocument/2006/relationships/hyperlink" Target="http://600986.ss/" TargetMode="External"/><Relationship Id="rId33" Type="http://schemas.openxmlformats.org/officeDocument/2006/relationships/hyperlink" Target="http://9999.hk/" TargetMode="External"/><Relationship Id="rId108" Type="http://schemas.openxmlformats.org/officeDocument/2006/relationships/hyperlink" Target="http://0001.hk/" TargetMode="External"/><Relationship Id="rId129" Type="http://schemas.openxmlformats.org/officeDocument/2006/relationships/hyperlink" Target="http://6680.hk/" TargetMode="External"/><Relationship Id="rId54" Type="http://schemas.openxmlformats.org/officeDocument/2006/relationships/hyperlink" Target="http://002665.sz/" TargetMode="External"/><Relationship Id="rId75" Type="http://schemas.openxmlformats.org/officeDocument/2006/relationships/hyperlink" Target="http://9626.hk/" TargetMode="External"/><Relationship Id="rId96" Type="http://schemas.openxmlformats.org/officeDocument/2006/relationships/hyperlink" Target="http://9988.hk/" TargetMode="External"/><Relationship Id="rId140" Type="http://schemas.openxmlformats.org/officeDocument/2006/relationships/hyperlink" Target="http://1024.hk/" TargetMode="External"/><Relationship Id="rId161" Type="http://schemas.openxmlformats.org/officeDocument/2006/relationships/hyperlink" Target="http://0070.hk/" TargetMode="External"/><Relationship Id="rId182" Type="http://schemas.openxmlformats.org/officeDocument/2006/relationships/hyperlink" Target="http://3690.hk/" TargetMode="External"/><Relationship Id="rId217" Type="http://schemas.openxmlformats.org/officeDocument/2006/relationships/hyperlink" Target="http://2607.hk/" TargetMode="External"/><Relationship Id="rId6" Type="http://schemas.openxmlformats.org/officeDocument/2006/relationships/hyperlink" Target="http://3690.hk/" TargetMode="External"/><Relationship Id="rId238" Type="http://schemas.openxmlformats.org/officeDocument/2006/relationships/hyperlink" Target="http://9988.hk/" TargetMode="External"/><Relationship Id="rId259" Type="http://schemas.openxmlformats.org/officeDocument/2006/relationships/hyperlink" Target="http://600519.ss/" TargetMode="External"/><Relationship Id="rId23" Type="http://schemas.openxmlformats.org/officeDocument/2006/relationships/hyperlink" Target="http://9698.hk/" TargetMode="External"/><Relationship Id="rId119" Type="http://schemas.openxmlformats.org/officeDocument/2006/relationships/hyperlink" Target="http://00700.hk/" TargetMode="External"/><Relationship Id="rId270" Type="http://schemas.openxmlformats.org/officeDocument/2006/relationships/hyperlink" Target="http://0853.hk/" TargetMode="External"/><Relationship Id="rId44" Type="http://schemas.openxmlformats.org/officeDocument/2006/relationships/hyperlink" Target="http://0941.hk/" TargetMode="External"/><Relationship Id="rId65" Type="http://schemas.openxmlformats.org/officeDocument/2006/relationships/hyperlink" Target="http://000554.sz/" TargetMode="External"/><Relationship Id="rId86" Type="http://schemas.openxmlformats.org/officeDocument/2006/relationships/hyperlink" Target="http://2800.hk/" TargetMode="External"/><Relationship Id="rId130" Type="http://schemas.openxmlformats.org/officeDocument/2006/relationships/hyperlink" Target="http://9988.hk/" TargetMode="External"/><Relationship Id="rId151" Type="http://schemas.openxmlformats.org/officeDocument/2006/relationships/hyperlink" Target="http://0151.hk/" TargetMode="External"/><Relationship Id="rId172" Type="http://schemas.openxmlformats.org/officeDocument/2006/relationships/hyperlink" Target="http://6862.hk/" TargetMode="External"/><Relationship Id="rId193" Type="http://schemas.openxmlformats.org/officeDocument/2006/relationships/hyperlink" Target="http://600661.ss/" TargetMode="External"/><Relationship Id="rId207" Type="http://schemas.openxmlformats.org/officeDocument/2006/relationships/hyperlink" Target="http://0700.hk/" TargetMode="External"/><Relationship Id="rId228" Type="http://schemas.openxmlformats.org/officeDocument/2006/relationships/hyperlink" Target="http://0700.hk/" TargetMode="External"/><Relationship Id="rId249" Type="http://schemas.openxmlformats.org/officeDocument/2006/relationships/hyperlink" Target="http://9988.hk/" TargetMode="External"/><Relationship Id="rId13" Type="http://schemas.openxmlformats.org/officeDocument/2006/relationships/hyperlink" Target="http://ubi.pa/" TargetMode="External"/><Relationship Id="rId109" Type="http://schemas.openxmlformats.org/officeDocument/2006/relationships/hyperlink" Target="http://000950.sz/" TargetMode="External"/><Relationship Id="rId260" Type="http://schemas.openxmlformats.org/officeDocument/2006/relationships/hyperlink" Target="http://1211.hk/" TargetMode="External"/><Relationship Id="rId34" Type="http://schemas.openxmlformats.org/officeDocument/2006/relationships/hyperlink" Target="http://0909.hk/" TargetMode="External"/><Relationship Id="rId55" Type="http://schemas.openxmlformats.org/officeDocument/2006/relationships/hyperlink" Target="http://000554.sz/" TargetMode="External"/><Relationship Id="rId76" Type="http://schemas.openxmlformats.org/officeDocument/2006/relationships/hyperlink" Target="http://9888.hk/" TargetMode="External"/><Relationship Id="rId97" Type="http://schemas.openxmlformats.org/officeDocument/2006/relationships/hyperlink" Target="http://1024.hk/" TargetMode="External"/><Relationship Id="rId120" Type="http://schemas.openxmlformats.org/officeDocument/2006/relationships/hyperlink" Target="http://09988.hk/" TargetMode="External"/><Relationship Id="rId141" Type="http://schemas.openxmlformats.org/officeDocument/2006/relationships/hyperlink" Target="http://9988.hk/" TargetMode="External"/><Relationship Id="rId7" Type="http://schemas.openxmlformats.org/officeDocument/2006/relationships/hyperlink" Target="http://601168.ss/" TargetMode="External"/><Relationship Id="rId162" Type="http://schemas.openxmlformats.org/officeDocument/2006/relationships/hyperlink" Target="http://0700.hk/" TargetMode="External"/><Relationship Id="rId183" Type="http://schemas.openxmlformats.org/officeDocument/2006/relationships/hyperlink" Target="http://0700.hk/" TargetMode="External"/><Relationship Id="rId218" Type="http://schemas.openxmlformats.org/officeDocument/2006/relationships/hyperlink" Target="http://000568.sz/" TargetMode="External"/><Relationship Id="rId239" Type="http://schemas.openxmlformats.org/officeDocument/2006/relationships/hyperlink" Target="http://0700.hk/" TargetMode="External"/><Relationship Id="rId250" Type="http://schemas.openxmlformats.org/officeDocument/2006/relationships/hyperlink" Target="http://600519.sh/" TargetMode="External"/><Relationship Id="rId271" Type="http://schemas.openxmlformats.org/officeDocument/2006/relationships/hyperlink" Target="http://9988.hk/" TargetMode="External"/><Relationship Id="rId24" Type="http://schemas.openxmlformats.org/officeDocument/2006/relationships/hyperlink" Target="http://9988.hk/" TargetMode="External"/><Relationship Id="rId45" Type="http://schemas.openxmlformats.org/officeDocument/2006/relationships/hyperlink" Target="http://9698.hk/" TargetMode="External"/><Relationship Id="rId66" Type="http://schemas.openxmlformats.org/officeDocument/2006/relationships/hyperlink" Target="http://300945.sz/" TargetMode="External"/><Relationship Id="rId87" Type="http://schemas.openxmlformats.org/officeDocument/2006/relationships/hyperlink" Target="http://9988.hk/" TargetMode="External"/><Relationship Id="rId110" Type="http://schemas.openxmlformats.org/officeDocument/2006/relationships/hyperlink" Target="http://600661.ss/" TargetMode="External"/><Relationship Id="rId131" Type="http://schemas.openxmlformats.org/officeDocument/2006/relationships/hyperlink" Target="http://1024.hk/" TargetMode="External"/><Relationship Id="rId152" Type="http://schemas.openxmlformats.org/officeDocument/2006/relationships/hyperlink" Target="http://1024.hk/" TargetMode="External"/><Relationship Id="rId173" Type="http://schemas.openxmlformats.org/officeDocument/2006/relationships/hyperlink" Target="http://01024.hk/" TargetMode="External"/><Relationship Id="rId194" Type="http://schemas.openxmlformats.org/officeDocument/2006/relationships/hyperlink" Target="http://9988.hk/" TargetMode="External"/><Relationship Id="rId208" Type="http://schemas.openxmlformats.org/officeDocument/2006/relationships/hyperlink" Target="http://1109.hk/" TargetMode="External"/><Relationship Id="rId229" Type="http://schemas.openxmlformats.org/officeDocument/2006/relationships/hyperlink" Target="http://1810.hk/" TargetMode="External"/><Relationship Id="rId240" Type="http://schemas.openxmlformats.org/officeDocument/2006/relationships/hyperlink" Target="http://9988.hk/" TargetMode="External"/><Relationship Id="rId261" Type="http://schemas.openxmlformats.org/officeDocument/2006/relationships/hyperlink" Target="http://0968.hk/" TargetMode="External"/><Relationship Id="rId14" Type="http://schemas.openxmlformats.org/officeDocument/2006/relationships/hyperlink" Target="http://2333.hk/" TargetMode="External"/><Relationship Id="rId35" Type="http://schemas.openxmlformats.org/officeDocument/2006/relationships/hyperlink" Target="http://6969.hk/" TargetMode="External"/><Relationship Id="rId56" Type="http://schemas.openxmlformats.org/officeDocument/2006/relationships/hyperlink" Target="http://300945.sz/" TargetMode="External"/><Relationship Id="rId77" Type="http://schemas.openxmlformats.org/officeDocument/2006/relationships/hyperlink" Target="http://9626.hk/" TargetMode="External"/><Relationship Id="rId100" Type="http://schemas.openxmlformats.org/officeDocument/2006/relationships/hyperlink" Target="http://9988.hk/" TargetMode="External"/><Relationship Id="rId8" Type="http://schemas.openxmlformats.org/officeDocument/2006/relationships/hyperlink" Target="http://2318.hk/" TargetMode="External"/><Relationship Id="rId98" Type="http://schemas.openxmlformats.org/officeDocument/2006/relationships/hyperlink" Target="http://1810.hk/" TargetMode="External"/><Relationship Id="rId121" Type="http://schemas.openxmlformats.org/officeDocument/2006/relationships/hyperlink" Target="http://0700.hk/" TargetMode="External"/><Relationship Id="rId142" Type="http://schemas.openxmlformats.org/officeDocument/2006/relationships/hyperlink" Target="http://1024.hk/" TargetMode="External"/><Relationship Id="rId163" Type="http://schemas.openxmlformats.org/officeDocument/2006/relationships/hyperlink" Target="http://603939.ss/" TargetMode="External"/><Relationship Id="rId184" Type="http://schemas.openxmlformats.org/officeDocument/2006/relationships/hyperlink" Target="http://6862.hk/" TargetMode="External"/><Relationship Id="rId219" Type="http://schemas.openxmlformats.org/officeDocument/2006/relationships/hyperlink" Target="http://2318.hk/" TargetMode="External"/><Relationship Id="rId230" Type="http://schemas.openxmlformats.org/officeDocument/2006/relationships/hyperlink" Target="http://600519.ss/" TargetMode="External"/><Relationship Id="rId251" Type="http://schemas.openxmlformats.org/officeDocument/2006/relationships/hyperlink" Target="http://arow.us/" TargetMode="External"/><Relationship Id="rId25" Type="http://schemas.openxmlformats.org/officeDocument/2006/relationships/hyperlink" Target="http://0883.hk/" TargetMode="External"/><Relationship Id="rId46" Type="http://schemas.openxmlformats.org/officeDocument/2006/relationships/hyperlink" Target="http://0941.hk/" TargetMode="External"/><Relationship Id="rId67" Type="http://schemas.openxmlformats.org/officeDocument/2006/relationships/hyperlink" Target="http://601808.ss/" TargetMode="External"/><Relationship Id="rId272" Type="http://schemas.openxmlformats.org/officeDocument/2006/relationships/hyperlink" Target="http://0700.hk/" TargetMode="External"/><Relationship Id="rId88" Type="http://schemas.openxmlformats.org/officeDocument/2006/relationships/hyperlink" Target="http://0700.hk/" TargetMode="External"/><Relationship Id="rId111" Type="http://schemas.openxmlformats.org/officeDocument/2006/relationships/hyperlink" Target="http://9988.hk/" TargetMode="External"/><Relationship Id="rId132" Type="http://schemas.openxmlformats.org/officeDocument/2006/relationships/hyperlink" Target="http://1810.hk/" TargetMode="External"/><Relationship Id="rId153" Type="http://schemas.openxmlformats.org/officeDocument/2006/relationships/hyperlink" Target="http://1024.hk/" TargetMode="External"/><Relationship Id="rId174" Type="http://schemas.openxmlformats.org/officeDocument/2006/relationships/hyperlink" Target="http://0700.hk/" TargetMode="External"/><Relationship Id="rId195" Type="http://schemas.openxmlformats.org/officeDocument/2006/relationships/hyperlink" Target="http://600519.ss/" TargetMode="External"/><Relationship Id="rId209" Type="http://schemas.openxmlformats.org/officeDocument/2006/relationships/hyperlink" Target="http://3800.hk/" TargetMode="External"/><Relationship Id="rId220" Type="http://schemas.openxmlformats.org/officeDocument/2006/relationships/hyperlink" Target="http://2222.sr/" TargetMode="External"/><Relationship Id="rId241" Type="http://schemas.openxmlformats.org/officeDocument/2006/relationships/hyperlink" Target="http://0700.hk/" TargetMode="External"/><Relationship Id="rId15" Type="http://schemas.openxmlformats.org/officeDocument/2006/relationships/hyperlink" Target="http://3339.hk/" TargetMode="External"/><Relationship Id="rId36" Type="http://schemas.openxmlformats.org/officeDocument/2006/relationships/hyperlink" Target="http://0700.hk/" TargetMode="External"/><Relationship Id="rId57" Type="http://schemas.openxmlformats.org/officeDocument/2006/relationships/hyperlink" Target="http://601808.ss/" TargetMode="External"/><Relationship Id="rId262" Type="http://schemas.openxmlformats.org/officeDocument/2006/relationships/hyperlink" Target="http://603261.sh/" TargetMode="External"/><Relationship Id="rId78" Type="http://schemas.openxmlformats.org/officeDocument/2006/relationships/hyperlink" Target="http://9988.hk/" TargetMode="External"/><Relationship Id="rId99" Type="http://schemas.openxmlformats.org/officeDocument/2006/relationships/hyperlink" Target="http://0700.hk/" TargetMode="External"/><Relationship Id="rId101" Type="http://schemas.openxmlformats.org/officeDocument/2006/relationships/hyperlink" Target="http://0001.hk/" TargetMode="External"/><Relationship Id="rId122" Type="http://schemas.openxmlformats.org/officeDocument/2006/relationships/hyperlink" Target="http://3047.hk/" TargetMode="External"/><Relationship Id="rId143" Type="http://schemas.openxmlformats.org/officeDocument/2006/relationships/hyperlink" Target="http://9988.hk/" TargetMode="External"/><Relationship Id="rId164" Type="http://schemas.openxmlformats.org/officeDocument/2006/relationships/hyperlink" Target="http://603392.ss/" TargetMode="External"/><Relationship Id="rId185" Type="http://schemas.openxmlformats.org/officeDocument/2006/relationships/hyperlink" Target="http://3833.hk/" TargetMode="External"/><Relationship Id="rId9" Type="http://schemas.openxmlformats.org/officeDocument/2006/relationships/hyperlink" Target="http://2269.hk/" TargetMode="External"/><Relationship Id="rId210" Type="http://schemas.openxmlformats.org/officeDocument/2006/relationships/hyperlink" Target="http://600519.ss/" TargetMode="External"/><Relationship Id="rId26" Type="http://schemas.openxmlformats.org/officeDocument/2006/relationships/hyperlink" Target="http://2020.hk/" TargetMode="External"/><Relationship Id="rId231" Type="http://schemas.openxmlformats.org/officeDocument/2006/relationships/hyperlink" Target="http://0700.hk/" TargetMode="External"/><Relationship Id="rId252" Type="http://schemas.openxmlformats.org/officeDocument/2006/relationships/hyperlink" Target="http://atax.us/" TargetMode="External"/><Relationship Id="rId273" Type="http://schemas.openxmlformats.org/officeDocument/2006/relationships/hyperlink" Target="http://2800.hk/" TargetMode="External"/><Relationship Id="rId47" Type="http://schemas.openxmlformats.org/officeDocument/2006/relationships/hyperlink" Target="http://3047.hk/" TargetMode="External"/><Relationship Id="rId68" Type="http://schemas.openxmlformats.org/officeDocument/2006/relationships/hyperlink" Target="http://300922.sz/" TargetMode="External"/><Relationship Id="rId89" Type="http://schemas.openxmlformats.org/officeDocument/2006/relationships/hyperlink" Target="http://9988.hk/" TargetMode="External"/><Relationship Id="rId112" Type="http://schemas.openxmlformats.org/officeDocument/2006/relationships/hyperlink" Target="http://1024.hk/" TargetMode="External"/><Relationship Id="rId133" Type="http://schemas.openxmlformats.org/officeDocument/2006/relationships/hyperlink" Target="http://2318.hk/" TargetMode="External"/><Relationship Id="rId154" Type="http://schemas.openxmlformats.org/officeDocument/2006/relationships/hyperlink" Target="http://9988.hk/" TargetMode="External"/><Relationship Id="rId175" Type="http://schemas.openxmlformats.org/officeDocument/2006/relationships/hyperlink" Target="http://0700.hk/" TargetMode="External"/><Relationship Id="rId196" Type="http://schemas.openxmlformats.org/officeDocument/2006/relationships/hyperlink" Target="http://0700.hk/" TargetMode="External"/><Relationship Id="rId200" Type="http://schemas.openxmlformats.org/officeDocument/2006/relationships/hyperlink" Target="http://0700.hk/" TargetMode="External"/><Relationship Id="rId16" Type="http://schemas.openxmlformats.org/officeDocument/2006/relationships/hyperlink" Target="http://1610.hk/" TargetMode="External"/><Relationship Id="rId221" Type="http://schemas.openxmlformats.org/officeDocument/2006/relationships/hyperlink" Target="http://9988.hk/" TargetMode="External"/><Relationship Id="rId242" Type="http://schemas.openxmlformats.org/officeDocument/2006/relationships/hyperlink" Target="http://1810.hk/" TargetMode="External"/><Relationship Id="rId263" Type="http://schemas.openxmlformats.org/officeDocument/2006/relationships/hyperlink" Target="http://603261.ss/" TargetMode="External"/><Relationship Id="rId37" Type="http://schemas.openxmlformats.org/officeDocument/2006/relationships/hyperlink" Target="http://6969.hk/" TargetMode="External"/><Relationship Id="rId58" Type="http://schemas.openxmlformats.org/officeDocument/2006/relationships/hyperlink" Target="http://601808.ss/" TargetMode="External"/><Relationship Id="rId79" Type="http://schemas.openxmlformats.org/officeDocument/2006/relationships/hyperlink" Target="http://002665.sz/" TargetMode="External"/><Relationship Id="rId102" Type="http://schemas.openxmlformats.org/officeDocument/2006/relationships/hyperlink" Target="http://0151.hk/" TargetMode="External"/><Relationship Id="rId123" Type="http://schemas.openxmlformats.org/officeDocument/2006/relationships/hyperlink" Target="http://9988.hk/" TargetMode="External"/><Relationship Id="rId144" Type="http://schemas.openxmlformats.org/officeDocument/2006/relationships/hyperlink" Target="http://3800.hk/" TargetMode="External"/><Relationship Id="rId90" Type="http://schemas.openxmlformats.org/officeDocument/2006/relationships/hyperlink" Target="http://2800.hk/" TargetMode="External"/><Relationship Id="rId165" Type="http://schemas.openxmlformats.org/officeDocument/2006/relationships/hyperlink" Target="http://3339.hk/" TargetMode="External"/><Relationship Id="rId186" Type="http://schemas.openxmlformats.org/officeDocument/2006/relationships/hyperlink" Target="http://0968.hk/" TargetMode="External"/><Relationship Id="rId211" Type="http://schemas.openxmlformats.org/officeDocument/2006/relationships/hyperlink" Target="http://600519.ss/" TargetMode="External"/><Relationship Id="rId232" Type="http://schemas.openxmlformats.org/officeDocument/2006/relationships/hyperlink" Target="http://9988.hk/" TargetMode="External"/><Relationship Id="rId253" Type="http://schemas.openxmlformats.org/officeDocument/2006/relationships/hyperlink" Target="http://bksc.us/" TargetMode="External"/><Relationship Id="rId274" Type="http://schemas.openxmlformats.org/officeDocument/2006/relationships/hyperlink" Target="http://2800.hk/" TargetMode="External"/><Relationship Id="rId27" Type="http://schemas.openxmlformats.org/officeDocument/2006/relationships/hyperlink" Target="http://0700.hk/" TargetMode="External"/><Relationship Id="rId48" Type="http://schemas.openxmlformats.org/officeDocument/2006/relationships/hyperlink" Target="http://9988.hk/" TargetMode="External"/><Relationship Id="rId69" Type="http://schemas.openxmlformats.org/officeDocument/2006/relationships/hyperlink" Target="http://9698.hk/" TargetMode="External"/><Relationship Id="rId113" Type="http://schemas.openxmlformats.org/officeDocument/2006/relationships/hyperlink" Target="http://1810.hk/" TargetMode="External"/><Relationship Id="rId134" Type="http://schemas.openxmlformats.org/officeDocument/2006/relationships/hyperlink" Target="http://1024.hk/" TargetMode="External"/><Relationship Id="rId80" Type="http://schemas.openxmlformats.org/officeDocument/2006/relationships/hyperlink" Target="http://603967.ss/" TargetMode="External"/><Relationship Id="rId155" Type="http://schemas.openxmlformats.org/officeDocument/2006/relationships/hyperlink" Target="http://1024.hk/" TargetMode="External"/><Relationship Id="rId176" Type="http://schemas.openxmlformats.org/officeDocument/2006/relationships/hyperlink" Target="http://1398.hk/" TargetMode="External"/><Relationship Id="rId197" Type="http://schemas.openxmlformats.org/officeDocument/2006/relationships/hyperlink" Target="http://0700.hk/" TargetMode="External"/><Relationship Id="rId201" Type="http://schemas.openxmlformats.org/officeDocument/2006/relationships/hyperlink" Target="http://9988.hk/" TargetMode="External"/><Relationship Id="rId222" Type="http://schemas.openxmlformats.org/officeDocument/2006/relationships/hyperlink" Target="http://0700.hk/" TargetMode="External"/><Relationship Id="rId243" Type="http://schemas.openxmlformats.org/officeDocument/2006/relationships/hyperlink" Target="http://1299.hk/" TargetMode="External"/><Relationship Id="rId264" Type="http://schemas.openxmlformats.org/officeDocument/2006/relationships/hyperlink" Target="http://0700.hk/" TargetMode="External"/><Relationship Id="rId17" Type="http://schemas.openxmlformats.org/officeDocument/2006/relationships/hyperlink" Target="http://2020.hk/" TargetMode="External"/><Relationship Id="rId38" Type="http://schemas.openxmlformats.org/officeDocument/2006/relationships/hyperlink" Target="http://1498.hk/" TargetMode="External"/><Relationship Id="rId59" Type="http://schemas.openxmlformats.org/officeDocument/2006/relationships/hyperlink" Target="http://300922.sz/" TargetMode="External"/><Relationship Id="rId103" Type="http://schemas.openxmlformats.org/officeDocument/2006/relationships/hyperlink" Target="http://603963.ss/" TargetMode="External"/><Relationship Id="rId124" Type="http://schemas.openxmlformats.org/officeDocument/2006/relationships/hyperlink" Target="http://0151.hk/" TargetMode="External"/><Relationship Id="rId70" Type="http://schemas.openxmlformats.org/officeDocument/2006/relationships/hyperlink" Target="http://6969.hk/" TargetMode="External"/><Relationship Id="rId91" Type="http://schemas.openxmlformats.org/officeDocument/2006/relationships/hyperlink" Target="http://3800.hk/" TargetMode="External"/><Relationship Id="rId145" Type="http://schemas.openxmlformats.org/officeDocument/2006/relationships/hyperlink" Target="http://0388.hk/" TargetMode="External"/><Relationship Id="rId166" Type="http://schemas.openxmlformats.org/officeDocument/2006/relationships/hyperlink" Target="http://9988.hk/" TargetMode="External"/><Relationship Id="rId187" Type="http://schemas.openxmlformats.org/officeDocument/2006/relationships/hyperlink" Target="http://0189.hk/" TargetMode="External"/><Relationship Id="rId1" Type="http://schemas.openxmlformats.org/officeDocument/2006/relationships/hyperlink" Target="http://0700.hk/" TargetMode="External"/><Relationship Id="rId212" Type="http://schemas.openxmlformats.org/officeDocument/2006/relationships/hyperlink" Target="http://00386.hk/" TargetMode="External"/><Relationship Id="rId233" Type="http://schemas.openxmlformats.org/officeDocument/2006/relationships/hyperlink" Target="http://1810.hk/" TargetMode="External"/><Relationship Id="rId254" Type="http://schemas.openxmlformats.org/officeDocument/2006/relationships/hyperlink" Target="http://01211.hk/" TargetMode="External"/><Relationship Id="rId28" Type="http://schemas.openxmlformats.org/officeDocument/2006/relationships/hyperlink" Target="http://6969.hk/" TargetMode="External"/><Relationship Id="rId49" Type="http://schemas.openxmlformats.org/officeDocument/2006/relationships/hyperlink" Target="http://0941.hk/" TargetMode="External"/><Relationship Id="rId114" Type="http://schemas.openxmlformats.org/officeDocument/2006/relationships/hyperlink" Target="http://3690.hk/" TargetMode="External"/><Relationship Id="rId275" Type="http://schemas.openxmlformats.org/officeDocument/2006/relationships/hyperlink" Target="http://1810.hk/" TargetMode="External"/><Relationship Id="rId60" Type="http://schemas.openxmlformats.org/officeDocument/2006/relationships/hyperlink" Target="http://300922.sz/" TargetMode="External"/><Relationship Id="rId81" Type="http://schemas.openxmlformats.org/officeDocument/2006/relationships/hyperlink" Target="http://00700.hk/" TargetMode="External"/><Relationship Id="rId135" Type="http://schemas.openxmlformats.org/officeDocument/2006/relationships/hyperlink" Target="http://1024.hk/" TargetMode="External"/><Relationship Id="rId156" Type="http://schemas.openxmlformats.org/officeDocument/2006/relationships/hyperlink" Target="http://3690.hk/" TargetMode="External"/><Relationship Id="rId177" Type="http://schemas.openxmlformats.org/officeDocument/2006/relationships/hyperlink" Target="http://1398.hk/" TargetMode="External"/><Relationship Id="rId198" Type="http://schemas.openxmlformats.org/officeDocument/2006/relationships/hyperlink" Target="http://3988.hk/" TargetMode="External"/><Relationship Id="rId202" Type="http://schemas.openxmlformats.org/officeDocument/2006/relationships/hyperlink" Target="http://002670.sz/" TargetMode="External"/><Relationship Id="rId223" Type="http://schemas.openxmlformats.org/officeDocument/2006/relationships/hyperlink" Target="http://0700.hk/" TargetMode="External"/><Relationship Id="rId244" Type="http://schemas.openxmlformats.org/officeDocument/2006/relationships/hyperlink" Target="http://6049.hk/" TargetMode="External"/><Relationship Id="rId18" Type="http://schemas.openxmlformats.org/officeDocument/2006/relationships/hyperlink" Target="http://1810.hk/" TargetMode="External"/><Relationship Id="rId39" Type="http://schemas.openxmlformats.org/officeDocument/2006/relationships/hyperlink" Target="http://0700.hk/" TargetMode="External"/><Relationship Id="rId265" Type="http://schemas.openxmlformats.org/officeDocument/2006/relationships/hyperlink" Target="http://3690.hk/" TargetMode="External"/><Relationship Id="rId50" Type="http://schemas.openxmlformats.org/officeDocument/2006/relationships/hyperlink" Target="http://3047.hk/" TargetMode="External"/><Relationship Id="rId104" Type="http://schemas.openxmlformats.org/officeDocument/2006/relationships/hyperlink" Target="http://0700.hk/" TargetMode="External"/><Relationship Id="rId125" Type="http://schemas.openxmlformats.org/officeDocument/2006/relationships/hyperlink" Target="http://1772.hk/" TargetMode="External"/><Relationship Id="rId146" Type="http://schemas.openxmlformats.org/officeDocument/2006/relationships/hyperlink" Target="http://9988.hk/" TargetMode="External"/><Relationship Id="rId167" Type="http://schemas.openxmlformats.org/officeDocument/2006/relationships/hyperlink" Target="http://603538.ss/" TargetMode="External"/><Relationship Id="rId188" Type="http://schemas.openxmlformats.org/officeDocument/2006/relationships/hyperlink" Target="http://3800.hk/" TargetMode="External"/><Relationship Id="rId71" Type="http://schemas.openxmlformats.org/officeDocument/2006/relationships/hyperlink" Target="http://603967.ss/" TargetMode="External"/><Relationship Id="rId92" Type="http://schemas.openxmlformats.org/officeDocument/2006/relationships/hyperlink" Target="http://1208.hk/" TargetMode="External"/><Relationship Id="rId213" Type="http://schemas.openxmlformats.org/officeDocument/2006/relationships/hyperlink" Target="http://0700.hk/" TargetMode="External"/><Relationship Id="rId234" Type="http://schemas.openxmlformats.org/officeDocument/2006/relationships/hyperlink" Target="http://9988.hk/" TargetMode="External"/><Relationship Id="rId2" Type="http://schemas.openxmlformats.org/officeDocument/2006/relationships/hyperlink" Target="http://0883.hk/" TargetMode="External"/><Relationship Id="rId29" Type="http://schemas.openxmlformats.org/officeDocument/2006/relationships/hyperlink" Target="http://0700.hk/" TargetMode="External"/><Relationship Id="rId255" Type="http://schemas.openxmlformats.org/officeDocument/2006/relationships/hyperlink" Target="http://0700.hk/" TargetMode="External"/><Relationship Id="rId276" Type="http://schemas.openxmlformats.org/officeDocument/2006/relationships/hyperlink" Target="http://6862.hk/" TargetMode="External"/><Relationship Id="rId40" Type="http://schemas.openxmlformats.org/officeDocument/2006/relationships/hyperlink" Target="http://3690.hk/" TargetMode="External"/><Relationship Id="rId115" Type="http://schemas.openxmlformats.org/officeDocument/2006/relationships/hyperlink" Target="http://0700.hk/" TargetMode="External"/><Relationship Id="rId136" Type="http://schemas.openxmlformats.org/officeDocument/2006/relationships/hyperlink" Target="http://1024.hk/" TargetMode="External"/><Relationship Id="rId157" Type="http://schemas.openxmlformats.org/officeDocument/2006/relationships/hyperlink" Target="http://0708.hk/" TargetMode="External"/><Relationship Id="rId178" Type="http://schemas.openxmlformats.org/officeDocument/2006/relationships/hyperlink" Target="http://0700.hk/" TargetMode="External"/><Relationship Id="rId61" Type="http://schemas.openxmlformats.org/officeDocument/2006/relationships/hyperlink" Target="http://1398.hk/" TargetMode="External"/><Relationship Id="rId82" Type="http://schemas.openxmlformats.org/officeDocument/2006/relationships/hyperlink" Target="http://0700.hk/" TargetMode="External"/><Relationship Id="rId199" Type="http://schemas.openxmlformats.org/officeDocument/2006/relationships/hyperlink" Target="http://9988.hk/" TargetMode="External"/><Relationship Id="rId203" Type="http://schemas.openxmlformats.org/officeDocument/2006/relationships/hyperlink" Target="http://02607.hk/" TargetMode="External"/><Relationship Id="rId19" Type="http://schemas.openxmlformats.org/officeDocument/2006/relationships/hyperlink" Target="http://3339.hk/" TargetMode="External"/><Relationship Id="rId224" Type="http://schemas.openxmlformats.org/officeDocument/2006/relationships/hyperlink" Target="http://9988.hk/" TargetMode="External"/><Relationship Id="rId245" Type="http://schemas.openxmlformats.org/officeDocument/2006/relationships/hyperlink" Target="http://1024.hk/" TargetMode="External"/><Relationship Id="rId266" Type="http://schemas.openxmlformats.org/officeDocument/2006/relationships/hyperlink" Target="http://0346.hk/" TargetMode="External"/><Relationship Id="rId30" Type="http://schemas.openxmlformats.org/officeDocument/2006/relationships/hyperlink" Target="http://2333.hk/" TargetMode="External"/><Relationship Id="rId105" Type="http://schemas.openxmlformats.org/officeDocument/2006/relationships/hyperlink" Target="http://0151.hk/" TargetMode="External"/><Relationship Id="rId126" Type="http://schemas.openxmlformats.org/officeDocument/2006/relationships/hyperlink" Target="http://0700.hk/" TargetMode="External"/><Relationship Id="rId147" Type="http://schemas.openxmlformats.org/officeDocument/2006/relationships/hyperlink" Target="http://9626.hk/" TargetMode="External"/><Relationship Id="rId168" Type="http://schemas.openxmlformats.org/officeDocument/2006/relationships/hyperlink" Target="http://6862.hk/" TargetMode="External"/><Relationship Id="rId51" Type="http://schemas.openxmlformats.org/officeDocument/2006/relationships/hyperlink" Target="http://3047.hk/" TargetMode="External"/><Relationship Id="rId72" Type="http://schemas.openxmlformats.org/officeDocument/2006/relationships/hyperlink" Target="http://300922.sz/" TargetMode="External"/><Relationship Id="rId93" Type="http://schemas.openxmlformats.org/officeDocument/2006/relationships/hyperlink" Target="http://3800.hk/" TargetMode="External"/><Relationship Id="rId189" Type="http://schemas.openxmlformats.org/officeDocument/2006/relationships/hyperlink" Target="http://0175.hk/" TargetMode="External"/><Relationship Id="rId3" Type="http://schemas.openxmlformats.org/officeDocument/2006/relationships/hyperlink" Target="http://9698.hk/" TargetMode="External"/><Relationship Id="rId214" Type="http://schemas.openxmlformats.org/officeDocument/2006/relationships/hyperlink" Target="http://02607.hk/" TargetMode="External"/><Relationship Id="rId235" Type="http://schemas.openxmlformats.org/officeDocument/2006/relationships/hyperlink" Target="http://3047.hk/" TargetMode="External"/><Relationship Id="rId256" Type="http://schemas.openxmlformats.org/officeDocument/2006/relationships/hyperlink" Target="http://9988.hk/" TargetMode="External"/><Relationship Id="rId277" Type="http://schemas.openxmlformats.org/officeDocument/2006/relationships/hyperlink" Target="http://0700.hk/" TargetMode="External"/><Relationship Id="rId116" Type="http://schemas.openxmlformats.org/officeDocument/2006/relationships/hyperlink" Target="http://3690.hk/" TargetMode="External"/><Relationship Id="rId137" Type="http://schemas.openxmlformats.org/officeDocument/2006/relationships/hyperlink" Target="http://1024.hk/" TargetMode="External"/><Relationship Id="rId158" Type="http://schemas.openxmlformats.org/officeDocument/2006/relationships/hyperlink" Target="http://1898.hk/" TargetMode="External"/><Relationship Id="rId20" Type="http://schemas.openxmlformats.org/officeDocument/2006/relationships/hyperlink" Target="http://3339.hk/" TargetMode="External"/><Relationship Id="rId41" Type="http://schemas.openxmlformats.org/officeDocument/2006/relationships/hyperlink" Target="http://3690.hk/" TargetMode="External"/><Relationship Id="rId62" Type="http://schemas.openxmlformats.org/officeDocument/2006/relationships/hyperlink" Target="http://1398.hk/" TargetMode="External"/><Relationship Id="rId83" Type="http://schemas.openxmlformats.org/officeDocument/2006/relationships/hyperlink" Target="http://600519.ss/" TargetMode="External"/><Relationship Id="rId179" Type="http://schemas.openxmlformats.org/officeDocument/2006/relationships/hyperlink" Target="http://1810.hk/" TargetMode="External"/><Relationship Id="rId190" Type="http://schemas.openxmlformats.org/officeDocument/2006/relationships/hyperlink" Target="http://9988.hk/" TargetMode="External"/><Relationship Id="rId204" Type="http://schemas.openxmlformats.org/officeDocument/2006/relationships/hyperlink" Target="http://9988.hk/" TargetMode="External"/><Relationship Id="rId225" Type="http://schemas.openxmlformats.org/officeDocument/2006/relationships/hyperlink" Target="http://0700.hk/" TargetMode="External"/><Relationship Id="rId246" Type="http://schemas.openxmlformats.org/officeDocument/2006/relationships/hyperlink" Target="http://1024.hk/" TargetMode="External"/><Relationship Id="rId267" Type="http://schemas.openxmlformats.org/officeDocument/2006/relationships/hyperlink" Target="http://0853.hk/" TargetMode="External"/><Relationship Id="rId106" Type="http://schemas.openxmlformats.org/officeDocument/2006/relationships/hyperlink" Target="http://0001.hk/" TargetMode="External"/><Relationship Id="rId127" Type="http://schemas.openxmlformats.org/officeDocument/2006/relationships/hyperlink" Target="http://9988.hk/" TargetMode="External"/><Relationship Id="rId10" Type="http://schemas.openxmlformats.org/officeDocument/2006/relationships/hyperlink" Target="http://1398.hk/" TargetMode="External"/><Relationship Id="rId31" Type="http://schemas.openxmlformats.org/officeDocument/2006/relationships/hyperlink" Target="http://0175.hk/" TargetMode="External"/><Relationship Id="rId52" Type="http://schemas.openxmlformats.org/officeDocument/2006/relationships/hyperlink" Target="http://9988.hk/" TargetMode="External"/><Relationship Id="rId73" Type="http://schemas.openxmlformats.org/officeDocument/2006/relationships/hyperlink" Target="http://00700.hk/" TargetMode="External"/><Relationship Id="rId94" Type="http://schemas.openxmlformats.org/officeDocument/2006/relationships/hyperlink" Target="http://1810.hk/" TargetMode="External"/><Relationship Id="rId148" Type="http://schemas.openxmlformats.org/officeDocument/2006/relationships/hyperlink" Target="http://9988.hk/" TargetMode="External"/><Relationship Id="rId169" Type="http://schemas.openxmlformats.org/officeDocument/2006/relationships/hyperlink" Target="http://688076.ss/" TargetMode="External"/><Relationship Id="rId4" Type="http://schemas.openxmlformats.org/officeDocument/2006/relationships/hyperlink" Target="http://3690.hk/" TargetMode="External"/><Relationship Id="rId180" Type="http://schemas.openxmlformats.org/officeDocument/2006/relationships/hyperlink" Target="http://0700.hk/" TargetMode="External"/><Relationship Id="rId215" Type="http://schemas.openxmlformats.org/officeDocument/2006/relationships/hyperlink" Target="http://9988.hk/" TargetMode="External"/><Relationship Id="rId236" Type="http://schemas.openxmlformats.org/officeDocument/2006/relationships/hyperlink" Target="http://0700.hk/" TargetMode="External"/><Relationship Id="rId257" Type="http://schemas.openxmlformats.org/officeDocument/2006/relationships/hyperlink" Target="http://0059.sz/" TargetMode="External"/><Relationship Id="rId278" Type="http://schemas.openxmlformats.org/officeDocument/2006/relationships/hyperlink" Target="http://9868.hk/" TargetMode="External"/><Relationship Id="rId42" Type="http://schemas.openxmlformats.org/officeDocument/2006/relationships/hyperlink" Target="http://002230.sz/" TargetMode="External"/><Relationship Id="rId84" Type="http://schemas.openxmlformats.org/officeDocument/2006/relationships/hyperlink" Target="http://002475.sz/" TargetMode="External"/><Relationship Id="rId138" Type="http://schemas.openxmlformats.org/officeDocument/2006/relationships/hyperlink" Target="http://9988.hk/" TargetMode="External"/><Relationship Id="rId191" Type="http://schemas.openxmlformats.org/officeDocument/2006/relationships/hyperlink" Target="http://9999.hk/" TargetMode="External"/><Relationship Id="rId205" Type="http://schemas.openxmlformats.org/officeDocument/2006/relationships/hyperlink" Target="http://0700.hk/" TargetMode="External"/><Relationship Id="rId247" Type="http://schemas.openxmlformats.org/officeDocument/2006/relationships/hyperlink" Target="http://9988.hk/" TargetMode="External"/><Relationship Id="rId107" Type="http://schemas.openxmlformats.org/officeDocument/2006/relationships/hyperlink" Target="http://0151.hk/" TargetMode="External"/><Relationship Id="rId11" Type="http://schemas.openxmlformats.org/officeDocument/2006/relationships/hyperlink" Target="http://1398.hk/" TargetMode="External"/><Relationship Id="rId53" Type="http://schemas.openxmlformats.org/officeDocument/2006/relationships/hyperlink" Target="http://0941.hk/" TargetMode="External"/><Relationship Id="rId149" Type="http://schemas.openxmlformats.org/officeDocument/2006/relationships/hyperlink" Target="http://603963.ss/" TargetMode="External"/><Relationship Id="rId95" Type="http://schemas.openxmlformats.org/officeDocument/2006/relationships/hyperlink" Target="http://3800.hk/" TargetMode="External"/><Relationship Id="rId160" Type="http://schemas.openxmlformats.org/officeDocument/2006/relationships/hyperlink" Target="http://6862.hk/" TargetMode="External"/><Relationship Id="rId216" Type="http://schemas.openxmlformats.org/officeDocument/2006/relationships/hyperlink" Target="http://0346.hk/"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0001.hk/" TargetMode="External"/><Relationship Id="rId18" Type="http://schemas.openxmlformats.org/officeDocument/2006/relationships/hyperlink" Target="http://1024.hk/" TargetMode="External"/><Relationship Id="rId26" Type="http://schemas.openxmlformats.org/officeDocument/2006/relationships/hyperlink" Target="http://600519.ss/" TargetMode="External"/><Relationship Id="rId39" Type="http://schemas.openxmlformats.org/officeDocument/2006/relationships/hyperlink" Target="http://01211.hk/" TargetMode="External"/><Relationship Id="rId21" Type="http://schemas.openxmlformats.org/officeDocument/2006/relationships/hyperlink" Target="http://9988.hk/" TargetMode="External"/><Relationship Id="rId34" Type="http://schemas.openxmlformats.org/officeDocument/2006/relationships/hyperlink" Target="http://9988.hk/" TargetMode="External"/><Relationship Id="rId42" Type="http://schemas.openxmlformats.org/officeDocument/2006/relationships/hyperlink" Target="http://603261.sh/" TargetMode="External"/><Relationship Id="rId7" Type="http://schemas.openxmlformats.org/officeDocument/2006/relationships/hyperlink" Target="http://00700.hk/" TargetMode="External"/><Relationship Id="rId2" Type="http://schemas.openxmlformats.org/officeDocument/2006/relationships/hyperlink" Target="http://3047.hk/" TargetMode="External"/><Relationship Id="rId16" Type="http://schemas.openxmlformats.org/officeDocument/2006/relationships/hyperlink" Target="http://0700.hk/" TargetMode="External"/><Relationship Id="rId20" Type="http://schemas.openxmlformats.org/officeDocument/2006/relationships/hyperlink" Target="http://1024.hk/" TargetMode="External"/><Relationship Id="rId29" Type="http://schemas.openxmlformats.org/officeDocument/2006/relationships/hyperlink" Target="http://02607.hk/" TargetMode="External"/><Relationship Id="rId41" Type="http://schemas.openxmlformats.org/officeDocument/2006/relationships/hyperlink" Target="http://3261.sh/" TargetMode="External"/><Relationship Id="rId1" Type="http://schemas.openxmlformats.org/officeDocument/2006/relationships/hyperlink" Target="http://0941.hk/" TargetMode="External"/><Relationship Id="rId6" Type="http://schemas.openxmlformats.org/officeDocument/2006/relationships/hyperlink" Target="http://00700.hk/" TargetMode="External"/><Relationship Id="rId11" Type="http://schemas.openxmlformats.org/officeDocument/2006/relationships/hyperlink" Target="http://0151.hk/" TargetMode="External"/><Relationship Id="rId24" Type="http://schemas.openxmlformats.org/officeDocument/2006/relationships/hyperlink" Target="http://01024.hk/" TargetMode="External"/><Relationship Id="rId32" Type="http://schemas.openxmlformats.org/officeDocument/2006/relationships/hyperlink" Target="http://1024.hk/" TargetMode="External"/><Relationship Id="rId37" Type="http://schemas.openxmlformats.org/officeDocument/2006/relationships/hyperlink" Target="http://atax.us/" TargetMode="External"/><Relationship Id="rId40" Type="http://schemas.openxmlformats.org/officeDocument/2006/relationships/hyperlink" Target="http://0059.sz/" TargetMode="External"/><Relationship Id="rId5" Type="http://schemas.openxmlformats.org/officeDocument/2006/relationships/hyperlink" Target="http://3047.hk/" TargetMode="External"/><Relationship Id="rId15" Type="http://schemas.openxmlformats.org/officeDocument/2006/relationships/hyperlink" Target="http://09988.hk/" TargetMode="External"/><Relationship Id="rId23" Type="http://schemas.openxmlformats.org/officeDocument/2006/relationships/hyperlink" Target="http://6862.hk/" TargetMode="External"/><Relationship Id="rId28" Type="http://schemas.openxmlformats.org/officeDocument/2006/relationships/hyperlink" Target="http://00386.hk/" TargetMode="External"/><Relationship Id="rId36" Type="http://schemas.openxmlformats.org/officeDocument/2006/relationships/hyperlink" Target="http://arow.us/" TargetMode="External"/><Relationship Id="rId10" Type="http://schemas.openxmlformats.org/officeDocument/2006/relationships/hyperlink" Target="http://0001.hk/" TargetMode="External"/><Relationship Id="rId19" Type="http://schemas.openxmlformats.org/officeDocument/2006/relationships/hyperlink" Target="http://9988.hk/" TargetMode="External"/><Relationship Id="rId31" Type="http://schemas.openxmlformats.org/officeDocument/2006/relationships/hyperlink" Target="http://1810.hk/" TargetMode="External"/><Relationship Id="rId4" Type="http://schemas.openxmlformats.org/officeDocument/2006/relationships/hyperlink" Target="http://0941.hk/" TargetMode="External"/><Relationship Id="rId9" Type="http://schemas.openxmlformats.org/officeDocument/2006/relationships/hyperlink" Target="http://600519.ss/" TargetMode="External"/><Relationship Id="rId14" Type="http://schemas.openxmlformats.org/officeDocument/2006/relationships/hyperlink" Target="http://00700.hk/" TargetMode="External"/><Relationship Id="rId22" Type="http://schemas.openxmlformats.org/officeDocument/2006/relationships/hyperlink" Target="http://1024.hk/" TargetMode="External"/><Relationship Id="rId27" Type="http://schemas.openxmlformats.org/officeDocument/2006/relationships/hyperlink" Target="http://02607.hk/" TargetMode="External"/><Relationship Id="rId30" Type="http://schemas.openxmlformats.org/officeDocument/2006/relationships/hyperlink" Target="http://9988.hk/" TargetMode="External"/><Relationship Id="rId35" Type="http://schemas.openxmlformats.org/officeDocument/2006/relationships/hyperlink" Target="http://600519.sh/" TargetMode="External"/><Relationship Id="rId8" Type="http://schemas.openxmlformats.org/officeDocument/2006/relationships/hyperlink" Target="http://00700.hk/" TargetMode="External"/><Relationship Id="rId3" Type="http://schemas.openxmlformats.org/officeDocument/2006/relationships/hyperlink" Target="http://9988.hk/" TargetMode="External"/><Relationship Id="rId12" Type="http://schemas.openxmlformats.org/officeDocument/2006/relationships/hyperlink" Target="http://0151.hk/" TargetMode="External"/><Relationship Id="rId17" Type="http://schemas.openxmlformats.org/officeDocument/2006/relationships/hyperlink" Target="http://1772.hk/" TargetMode="External"/><Relationship Id="rId25" Type="http://schemas.openxmlformats.org/officeDocument/2006/relationships/hyperlink" Target="http://0189.hk/" TargetMode="External"/><Relationship Id="rId33" Type="http://schemas.openxmlformats.org/officeDocument/2006/relationships/hyperlink" Target="http://1024.hk/" TargetMode="External"/><Relationship Id="rId38" Type="http://schemas.openxmlformats.org/officeDocument/2006/relationships/hyperlink" Target="http://bksc.us/"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9888.hk/" TargetMode="External"/><Relationship Id="rId18" Type="http://schemas.openxmlformats.org/officeDocument/2006/relationships/hyperlink" Target="http://3800.hk/" TargetMode="External"/><Relationship Id="rId26" Type="http://schemas.openxmlformats.org/officeDocument/2006/relationships/hyperlink" Target="http://1024.hk/" TargetMode="External"/><Relationship Id="rId21" Type="http://schemas.openxmlformats.org/officeDocument/2006/relationships/hyperlink" Target="http://1024.hk/" TargetMode="External"/><Relationship Id="rId34" Type="http://schemas.openxmlformats.org/officeDocument/2006/relationships/hyperlink" Target="http://000568.sz/" TargetMode="External"/><Relationship Id="rId7" Type="http://schemas.openxmlformats.org/officeDocument/2006/relationships/hyperlink" Target="http://3339.hk/" TargetMode="External"/><Relationship Id="rId12" Type="http://schemas.openxmlformats.org/officeDocument/2006/relationships/hyperlink" Target="http://300157.sz/" TargetMode="External"/><Relationship Id="rId17" Type="http://schemas.openxmlformats.org/officeDocument/2006/relationships/hyperlink" Target="http://1208.hk/" TargetMode="External"/><Relationship Id="rId25" Type="http://schemas.openxmlformats.org/officeDocument/2006/relationships/hyperlink" Target="http://1024.hk/" TargetMode="External"/><Relationship Id="rId33" Type="http://schemas.openxmlformats.org/officeDocument/2006/relationships/hyperlink" Target="http://0700.hk/" TargetMode="External"/><Relationship Id="rId2" Type="http://schemas.openxmlformats.org/officeDocument/2006/relationships/hyperlink" Target="http://601168.ss/" TargetMode="External"/><Relationship Id="rId16" Type="http://schemas.openxmlformats.org/officeDocument/2006/relationships/hyperlink" Target="http://1810.hk/" TargetMode="External"/><Relationship Id="rId20" Type="http://schemas.openxmlformats.org/officeDocument/2006/relationships/hyperlink" Target="http://9988.hk/" TargetMode="External"/><Relationship Id="rId29" Type="http://schemas.openxmlformats.org/officeDocument/2006/relationships/hyperlink" Target="http://603392.ss/" TargetMode="External"/><Relationship Id="rId1" Type="http://schemas.openxmlformats.org/officeDocument/2006/relationships/hyperlink" Target="http://9698.hk/" TargetMode="External"/><Relationship Id="rId6" Type="http://schemas.openxmlformats.org/officeDocument/2006/relationships/hyperlink" Target="http://2333.hk/" TargetMode="External"/><Relationship Id="rId11" Type="http://schemas.openxmlformats.org/officeDocument/2006/relationships/hyperlink" Target="http://300157.sz/" TargetMode="External"/><Relationship Id="rId24" Type="http://schemas.openxmlformats.org/officeDocument/2006/relationships/hyperlink" Target="http://1024.hk/" TargetMode="External"/><Relationship Id="rId32" Type="http://schemas.openxmlformats.org/officeDocument/2006/relationships/hyperlink" Target="http://3800.hk/" TargetMode="External"/><Relationship Id="rId37" Type="http://schemas.openxmlformats.org/officeDocument/2006/relationships/hyperlink" Target="http://3315.hk/" TargetMode="External"/><Relationship Id="rId5" Type="http://schemas.openxmlformats.org/officeDocument/2006/relationships/hyperlink" Target="http://1810.hk/" TargetMode="External"/><Relationship Id="rId15" Type="http://schemas.openxmlformats.org/officeDocument/2006/relationships/hyperlink" Target="http://9988.hk/" TargetMode="External"/><Relationship Id="rId23" Type="http://schemas.openxmlformats.org/officeDocument/2006/relationships/hyperlink" Target="http://1810.hk/" TargetMode="External"/><Relationship Id="rId28" Type="http://schemas.openxmlformats.org/officeDocument/2006/relationships/hyperlink" Target="http://9988.hk/" TargetMode="External"/><Relationship Id="rId36" Type="http://schemas.openxmlformats.org/officeDocument/2006/relationships/hyperlink" Target="http://1810.hk/" TargetMode="External"/><Relationship Id="rId10" Type="http://schemas.openxmlformats.org/officeDocument/2006/relationships/hyperlink" Target="http://002230.sz/" TargetMode="External"/><Relationship Id="rId19" Type="http://schemas.openxmlformats.org/officeDocument/2006/relationships/hyperlink" Target="http://3800.hk/" TargetMode="External"/><Relationship Id="rId31" Type="http://schemas.openxmlformats.org/officeDocument/2006/relationships/hyperlink" Target="http://0700.hk/" TargetMode="External"/><Relationship Id="rId4" Type="http://schemas.openxmlformats.org/officeDocument/2006/relationships/hyperlink" Target="http://1610.hk/" TargetMode="External"/><Relationship Id="rId9" Type="http://schemas.openxmlformats.org/officeDocument/2006/relationships/hyperlink" Target="http://6969.hk/" TargetMode="External"/><Relationship Id="rId14" Type="http://schemas.openxmlformats.org/officeDocument/2006/relationships/hyperlink" Target="http://2800.hk/" TargetMode="External"/><Relationship Id="rId22" Type="http://schemas.openxmlformats.org/officeDocument/2006/relationships/hyperlink" Target="http://9988.hk/" TargetMode="External"/><Relationship Id="rId27" Type="http://schemas.openxmlformats.org/officeDocument/2006/relationships/hyperlink" Target="http://6680.hk/" TargetMode="External"/><Relationship Id="rId30" Type="http://schemas.openxmlformats.org/officeDocument/2006/relationships/hyperlink" Target="http://1398.hk/" TargetMode="External"/><Relationship Id="rId35" Type="http://schemas.openxmlformats.org/officeDocument/2006/relationships/hyperlink" Target="http://0700.hk/" TargetMode="External"/><Relationship Id="rId8" Type="http://schemas.openxmlformats.org/officeDocument/2006/relationships/hyperlink" Target="http://2333.hk/" TargetMode="External"/><Relationship Id="rId3" Type="http://schemas.openxmlformats.org/officeDocument/2006/relationships/hyperlink" Target="http://2269.h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outlinePr summaryBelow="0" summaryRight="0"/>
  </sheetPr>
  <dimension ref="A1:Q1000"/>
  <sheetViews>
    <sheetView workbookViewId="0"/>
  </sheetViews>
  <sheetFormatPr baseColWidth="10" defaultColWidth="12.6640625" defaultRowHeight="15.75" customHeight="1" outlineLevelRow="1" x14ac:dyDescent="0.15"/>
  <cols>
    <col min="6" max="6" width="3" customWidth="1"/>
    <col min="7" max="7" width="10.83203125" customWidth="1"/>
    <col min="8" max="8" width="4.1640625" customWidth="1"/>
    <col min="9" max="9" width="38.1640625" customWidth="1"/>
    <col min="10" max="10" width="9.1640625" customWidth="1"/>
    <col min="11" max="11" width="9" customWidth="1"/>
  </cols>
  <sheetData>
    <row r="1" spans="1:17" ht="19" x14ac:dyDescent="0.2">
      <c r="A1" s="1" t="str">
        <f ca="1">IFERROR(__xludf.DUMMYFUNCTION("importrange(""https://docs.google.com/spreadsheets/d/1mvA960mm3QaFyRdwkfIRxhE1UQJl45QEUTnDVxtxiIE/edit?usp=sharing"",""PnL!A1:g122"")"),"Latest PnL Summary")</f>
        <v>Latest PnL Summary</v>
      </c>
      <c r="B1" s="2"/>
      <c r="C1" s="3"/>
      <c r="D1" s="3" t="str">
        <f ca="1">IFERROR(__xludf.DUMMYFUNCTION("""COMPUTED_VALUE"""),"As of closing day of 2022-3-22")</f>
        <v>As of closing day of 2022-3-22</v>
      </c>
      <c r="E1" s="4"/>
      <c r="F1" s="5"/>
      <c r="G1" s="5"/>
      <c r="H1" s="6" t="str">
        <f ca="1">IFERROR(__xludf.DUMMYFUNCTION("importrange(""https://docs.google.com/spreadsheets/d/1mvA960mm3QaFyRdwkfIRxhE1UQJl45QEUTnDVxtxiIE/edit?usp=sharing"",""PnL!h1:q122"")"),"")</f>
        <v/>
      </c>
      <c r="I1" s="7" t="str">
        <f ca="1">IFERROR(__xludf.DUMMYFUNCTION("""COMPUTED_VALUE"""),"Total B-school traders:")</f>
        <v>Total B-school traders:</v>
      </c>
      <c r="J1" s="8">
        <f ca="1">IFERROR(__xludf.DUMMYFUNCTION("""COMPUTED_VALUE"""),113)</f>
        <v>113</v>
      </c>
      <c r="K1" s="5"/>
      <c r="L1" s="5"/>
      <c r="M1" s="5"/>
      <c r="N1" s="5"/>
      <c r="O1" s="5"/>
      <c r="P1" s="5"/>
      <c r="Q1" s="5"/>
    </row>
    <row r="2" spans="1:17" ht="13" x14ac:dyDescent="0.15">
      <c r="A2" s="9" t="str">
        <f ca="1">IFERROR(__xludf.DUMMYFUNCTION("""COMPUTED_VALUE"""),"* select the latest date for display")</f>
        <v>* select the latest date for display</v>
      </c>
      <c r="B2" s="2"/>
      <c r="C2" s="3"/>
      <c r="D2" s="3" t="str">
        <f ca="1">IFERROR(__xludf.DUMMYFUNCTION("""COMPUTED_VALUE"""),"* PnL assume trade day FX, not value day FX")</f>
        <v>* PnL assume trade day FX, not value day FX</v>
      </c>
      <c r="E2" s="4"/>
      <c r="F2" s="5"/>
      <c r="G2" s="5"/>
      <c r="H2" s="5"/>
      <c r="I2" s="7" t="str">
        <f ca="1">IFERROR(__xludf.DUMMYFUNCTION("""COMPUTED_VALUE"""),"Active:")</f>
        <v>Active:</v>
      </c>
      <c r="J2" s="8">
        <f ca="1">IFERROR(__xludf.DUMMYFUNCTION("""COMPUTED_VALUE"""),63)</f>
        <v>63</v>
      </c>
      <c r="K2" s="10">
        <f ca="1">IFERROR(__xludf.DUMMYFUNCTION("""COMPUTED_VALUE"""),0.557522123893805)</f>
        <v>0.55752212389380496</v>
      </c>
      <c r="L2" s="5"/>
      <c r="M2" s="5"/>
      <c r="N2" s="5"/>
      <c r="O2" s="5"/>
      <c r="P2" s="5"/>
      <c r="Q2" s="5"/>
    </row>
    <row r="3" spans="1:17" ht="13" x14ac:dyDescent="0.15">
      <c r="A3" s="11"/>
      <c r="B3" s="3"/>
      <c r="C3" s="3"/>
      <c r="D3" s="3"/>
      <c r="E3" s="4"/>
      <c r="F3" s="5"/>
      <c r="G3" s="5"/>
      <c r="H3" s="5"/>
      <c r="I3" s="7" t="str">
        <f ca="1">IFERROR(__xludf.DUMMYFUNCTION("""COMPUTED_VALUE"""),"Non-Active:")</f>
        <v>Non-Active:</v>
      </c>
      <c r="J3" s="8">
        <f ca="1">IFERROR(__xludf.DUMMYFUNCTION("""COMPUTED_VALUE"""),50)</f>
        <v>50</v>
      </c>
      <c r="K3" s="10">
        <f ca="1">IFERROR(__xludf.DUMMYFUNCTION("""COMPUTED_VALUE"""),0.442477876106194)</f>
        <v>0.44247787610619399</v>
      </c>
      <c r="L3" s="5"/>
      <c r="M3" s="5"/>
      <c r="N3" s="5"/>
      <c r="O3" s="5"/>
      <c r="P3" s="5"/>
      <c r="Q3" s="5"/>
    </row>
    <row r="4" spans="1:17" ht="42" collapsed="1" x14ac:dyDescent="0.15">
      <c r="A4" s="12" t="str">
        <f ca="1">IFERROR(__xludf.DUMMYFUNCTION("""COMPUTED_VALUE"""),"Acct#")</f>
        <v>Acct#</v>
      </c>
      <c r="B4" s="13" t="str">
        <f ca="1">IFERROR(__xludf.DUMMYFUNCTION("""COMPUTED_VALUE"""),"MTM AuM per value day")</f>
        <v>MTM AuM per value day</v>
      </c>
      <c r="C4" s="13" t="str">
        <f ca="1">IFERROR(__xludf.DUMMYFUNCTION("""COMPUTED_VALUE"""),"Post-Trade Ava Margin Balance")</f>
        <v>Post-Trade Ava Margin Balance</v>
      </c>
      <c r="D4" s="13" t="str">
        <f ca="1">IFERROR(__xludf.DUMMYFUNCTION("""COMPUTED_VALUE"""),"Post-Trade Margin Loan Balance")</f>
        <v>Post-Trade Margin Loan Balance</v>
      </c>
      <c r="E4" s="14" t="str">
        <f ca="1">IFERROR(__xludf.DUMMYFUNCTION("""COMPUTED_VALUE"""),"SUM of YTD return")</f>
        <v>SUM of YTD return</v>
      </c>
      <c r="F4" s="5"/>
      <c r="G4" s="15" t="str">
        <f ca="1">IFERROR(__xludf.DUMMYFUNCTION("""COMPUTED_VALUE"""),"Rank")</f>
        <v>Rank</v>
      </c>
      <c r="H4" s="5"/>
      <c r="I4" s="16" t="str">
        <f ca="1">IFERROR(__xludf.DUMMYFUNCTION("""COMPUTED_VALUE"""),"Number of days left before Assignment 2 due:")</f>
        <v>Number of days left before Assignment 2 due:</v>
      </c>
      <c r="J4" s="17">
        <f ca="1">IFERROR(__xludf.DUMMYFUNCTION("""COMPUTED_VALUE"""),21)</f>
        <v>21</v>
      </c>
      <c r="K4" s="18"/>
      <c r="L4" s="5"/>
      <c r="M4" s="5"/>
      <c r="N4" s="5"/>
      <c r="O4" s="5"/>
      <c r="P4" s="5"/>
      <c r="Q4" s="5"/>
    </row>
    <row r="5" spans="1:17" ht="13" hidden="1" outlineLevel="1" x14ac:dyDescent="0.15">
      <c r="A5" s="19" t="str">
        <f ca="1">IFERROR(__xludf.DUMMYFUNCTION("""COMPUTED_VALUE"""),"Acct Total")</f>
        <v>Acct Total</v>
      </c>
      <c r="B5" s="8" t="str">
        <f ca="1">IFERROR(__xludf.DUMMYFUNCTION("""COMPUTED_VALUE"""),"AuM")</f>
        <v>AuM</v>
      </c>
      <c r="C5" s="20" t="str">
        <f ca="1">IFERROR(__xludf.DUMMYFUNCTION("""COMPUTED_VALUE"""),"Post-Trade Ava Margin Balance")</f>
        <v>Post-Trade Ava Margin Balance</v>
      </c>
      <c r="D5" s="20" t="str">
        <f ca="1">IFERROR(__xludf.DUMMYFUNCTION("""COMPUTED_VALUE"""),"Post-Trade Margin Loan Balance")</f>
        <v>Post-Trade Margin Loan Balance</v>
      </c>
      <c r="E5" s="21" t="str">
        <f ca="1">IFERROR(__xludf.DUMMYFUNCTION("""COMPUTED_VALUE"""),"PnL in %")</f>
        <v>PnL in %</v>
      </c>
      <c r="F5" s="5"/>
      <c r="G5" s="22" t="str">
        <f ca="1">IFERROR(__xludf.DUMMYFUNCTION("""COMPUTED_VALUE"""),"Rank")</f>
        <v>Rank</v>
      </c>
      <c r="H5" s="5"/>
      <c r="I5" s="5"/>
      <c r="J5" s="5"/>
      <c r="K5" s="5"/>
      <c r="L5" s="5"/>
      <c r="M5" s="5"/>
      <c r="N5" s="5"/>
      <c r="O5" s="5"/>
      <c r="P5" s="5"/>
      <c r="Q5" s="5"/>
    </row>
    <row r="6" spans="1:17" ht="13" x14ac:dyDescent="0.15">
      <c r="A6" s="5" t="str">
        <f ca="1">IFERROR(__xludf.DUMMYFUNCTION("""COMPUTED_VALUE"""),"14626")</f>
        <v>14626</v>
      </c>
      <c r="B6" s="8">
        <f ca="1">IFERROR(__xludf.DUMMYFUNCTION("""COMPUTED_VALUE"""),492714.163614999)</f>
        <v>492714.16361499898</v>
      </c>
      <c r="C6" s="19">
        <f ca="1">IFERROR(__xludf.DUMMYFUNCTION("""COMPUTED_VALUE"""),-206368.101259999)</f>
        <v>-206368.10125999901</v>
      </c>
      <c r="D6" s="19">
        <f ca="1">IFERROR(__xludf.DUMMYFUNCTION("""COMPUTED_VALUE"""),206368.101259999)</f>
        <v>206368.10125999901</v>
      </c>
      <c r="E6" s="21">
        <f ca="1">IFERROR(__xludf.DUMMYFUNCTION("""COMPUTED_VALUE"""),-0.01457167277)</f>
        <v>-1.457167277E-2</v>
      </c>
      <c r="F6" s="5"/>
      <c r="G6" s="8">
        <f ca="1">IFERROR(__xludf.DUMMYFUNCTION("""COMPUTED_VALUE"""),92)</f>
        <v>92</v>
      </c>
      <c r="H6" s="5"/>
      <c r="I6" s="7" t="str">
        <f ca="1">IFERROR(__xludf.DUMMYFUNCTION("""COMPUTED_VALUE"""),"BEST Return:")</f>
        <v>BEST Return:</v>
      </c>
      <c r="J6" s="21">
        <f ca="1">IFERROR(__xludf.DUMMYFUNCTION("""COMPUTED_VALUE"""),17.7300412575)</f>
        <v>17.730041257500002</v>
      </c>
      <c r="K6" s="5"/>
      <c r="L6" s="5"/>
      <c r="M6" s="5"/>
      <c r="N6" s="5"/>
      <c r="O6" s="5"/>
      <c r="P6" s="5"/>
      <c r="Q6" s="5"/>
    </row>
    <row r="7" spans="1:17" ht="13" x14ac:dyDescent="0.15">
      <c r="A7" s="5" t="str">
        <f ca="1">IFERROR(__xludf.DUMMYFUNCTION("""COMPUTED_VALUE"""),"18111")</f>
        <v>18111</v>
      </c>
      <c r="B7" s="23">
        <f ca="1">IFERROR(__xludf.DUMMYFUNCTION("""COMPUTED_VALUE"""),500000)</f>
        <v>500000</v>
      </c>
      <c r="C7" s="19">
        <f ca="1">IFERROR(__xludf.DUMMYFUNCTION("""COMPUTED_VALUE"""),500000)</f>
        <v>500000</v>
      </c>
      <c r="D7" s="19">
        <f ca="1">IFERROR(__xludf.DUMMYFUNCTION("""COMPUTED_VALUE"""),0)</f>
        <v>0</v>
      </c>
      <c r="E7" s="21">
        <f ca="1">IFERROR(__xludf.DUMMYFUNCTION("""COMPUTED_VALUE"""),0)</f>
        <v>0</v>
      </c>
      <c r="F7" s="5"/>
      <c r="G7" s="8">
        <f ca="1">IFERROR(__xludf.DUMMYFUNCTION("""COMPUTED_VALUE"""),34)</f>
        <v>34</v>
      </c>
      <c r="H7" s="5"/>
      <c r="I7" s="7" t="str">
        <f ca="1">IFERROR(__xludf.DUMMYFUNCTION("""COMPUTED_VALUE"""),"Worst Return")</f>
        <v>Worst Return</v>
      </c>
      <c r="J7" s="21">
        <f ca="1">IFERROR(__xludf.DUMMYFUNCTION("""COMPUTED_VALUE"""),-0.162)</f>
        <v>-0.16200000000000001</v>
      </c>
      <c r="K7" s="5"/>
      <c r="L7" s="5"/>
      <c r="M7" s="5"/>
      <c r="N7" s="5"/>
      <c r="O7" s="5"/>
      <c r="P7" s="5"/>
      <c r="Q7" s="5"/>
    </row>
    <row r="8" spans="1:17" ht="13" x14ac:dyDescent="0.15">
      <c r="A8" s="23" t="str">
        <f ca="1">IFERROR(__xludf.DUMMYFUNCTION("""COMPUTED_VALUE"""),"18649")</f>
        <v>18649</v>
      </c>
      <c r="B8" s="23">
        <f ca="1">IFERROR(__xludf.DUMMYFUNCTION("""COMPUTED_VALUE"""),500000)</f>
        <v>500000</v>
      </c>
      <c r="C8" s="19">
        <f ca="1">IFERROR(__xludf.DUMMYFUNCTION("""COMPUTED_VALUE"""),500000)</f>
        <v>500000</v>
      </c>
      <c r="D8" s="19">
        <f ca="1">IFERROR(__xludf.DUMMYFUNCTION("""COMPUTED_VALUE"""),0)</f>
        <v>0</v>
      </c>
      <c r="E8" s="21">
        <f ca="1">IFERROR(__xludf.DUMMYFUNCTION("""COMPUTED_VALUE"""),0)</f>
        <v>0</v>
      </c>
      <c r="F8" s="5"/>
      <c r="G8" s="8">
        <f ca="1">IFERROR(__xludf.DUMMYFUNCTION("""COMPUTED_VALUE"""),34)</f>
        <v>34</v>
      </c>
      <c r="H8" s="5"/>
      <c r="I8" s="7" t="str">
        <f ca="1">IFERROR(__xludf.DUMMYFUNCTION("""COMPUTED_VALUE"""),"Zero Return # of traders:")</f>
        <v>Zero Return # of traders:</v>
      </c>
      <c r="J8" s="8">
        <f ca="1">IFERROR(__xludf.DUMMYFUNCTION("""COMPUTED_VALUE"""),50)</f>
        <v>50</v>
      </c>
      <c r="K8" s="5" t="str">
        <f ca="1">IFERROR(__xludf.DUMMYFUNCTION("""COMPUTED_VALUE"""),"(Inactive traders)")</f>
        <v>(Inactive traders)</v>
      </c>
      <c r="L8" s="5"/>
      <c r="M8" s="5"/>
      <c r="N8" s="5"/>
      <c r="O8" s="5"/>
      <c r="P8" s="5"/>
      <c r="Q8" s="5"/>
    </row>
    <row r="9" spans="1:17" ht="13" x14ac:dyDescent="0.15">
      <c r="A9" s="23" t="str">
        <f ca="1">IFERROR(__xludf.DUMMYFUNCTION("""COMPUTED_VALUE"""),"18874")</f>
        <v>18874</v>
      </c>
      <c r="B9" s="23">
        <f ca="1">IFERROR(__xludf.DUMMYFUNCTION("""COMPUTED_VALUE"""),500000)</f>
        <v>500000</v>
      </c>
      <c r="C9" s="19">
        <f ca="1">IFERROR(__xludf.DUMMYFUNCTION("""COMPUTED_VALUE"""),500000)</f>
        <v>500000</v>
      </c>
      <c r="D9" s="19">
        <f ca="1">IFERROR(__xludf.DUMMYFUNCTION("""COMPUTED_VALUE"""),0)</f>
        <v>0</v>
      </c>
      <c r="E9" s="21">
        <f ca="1">IFERROR(__xludf.DUMMYFUNCTION("""COMPUTED_VALUE"""),0)</f>
        <v>0</v>
      </c>
      <c r="F9" s="5"/>
      <c r="G9" s="8">
        <f ca="1">IFERROR(__xludf.DUMMYFUNCTION("""COMPUTED_VALUE"""),34)</f>
        <v>34</v>
      </c>
      <c r="H9" s="5"/>
      <c r="I9" s="5"/>
      <c r="J9" s="5"/>
      <c r="K9" s="5"/>
      <c r="L9" s="5"/>
      <c r="M9" s="5"/>
      <c r="N9" s="5"/>
      <c r="O9" s="5"/>
      <c r="P9" s="5"/>
      <c r="Q9" s="5"/>
    </row>
    <row r="10" spans="1:17" ht="13" x14ac:dyDescent="0.15">
      <c r="A10" s="23" t="str">
        <f ca="1">IFERROR(__xludf.DUMMYFUNCTION("""COMPUTED_VALUE"""),"24442")</f>
        <v>24442</v>
      </c>
      <c r="B10" s="23">
        <f ca="1">IFERROR(__xludf.DUMMYFUNCTION("""COMPUTED_VALUE"""),520543.763505)</f>
        <v>520543.76350499998</v>
      </c>
      <c r="C10" s="19">
        <f ca="1">IFERROR(__xludf.DUMMYFUNCTION("""COMPUTED_VALUE"""),-88189.5695575001)</f>
        <v>-88189.569557500101</v>
      </c>
      <c r="D10" s="19">
        <f ca="1">IFERROR(__xludf.DUMMYFUNCTION("""COMPUTED_VALUE"""),88189.5695575001)</f>
        <v>88189.569557500101</v>
      </c>
      <c r="E10" s="21">
        <f ca="1">IFERROR(__xludf.DUMMYFUNCTION("""COMPUTED_VALUE"""),0.0410875270100001)</f>
        <v>4.1087527010000097E-2</v>
      </c>
      <c r="F10" s="5"/>
      <c r="G10" s="8">
        <f ca="1">IFERROR(__xludf.DUMMYFUNCTION("""COMPUTED_VALUE"""),15)</f>
        <v>15</v>
      </c>
      <c r="H10" s="5"/>
      <c r="I10" s="5" t="str">
        <f ca="1">IFERROR(__xludf.DUMMYFUNCTION("""COMPUTED_VALUE"""),"Average Return:")</f>
        <v>Average Return:</v>
      </c>
      <c r="J10" s="21">
        <f ca="1">IFERROR(__xludf.DUMMYFUNCTION("""COMPUTED_VALUE"""),0.278420106517906)</f>
        <v>0.278420106517906</v>
      </c>
      <c r="K10" s="5" t="str">
        <f ca="1">IFERROR(__xludf.DUMMYFUNCTION("""COMPUTED_VALUE"""),"(not counted inactive traders)")</f>
        <v>(not counted inactive traders)</v>
      </c>
      <c r="L10" s="5"/>
      <c r="M10" s="5"/>
      <c r="N10" s="5"/>
      <c r="O10" s="5"/>
      <c r="P10" s="5"/>
      <c r="Q10" s="5"/>
    </row>
    <row r="11" spans="1:17" ht="13" x14ac:dyDescent="0.15">
      <c r="A11" s="23" t="str">
        <f ca="1">IFERROR(__xludf.DUMMYFUNCTION("""COMPUTED_VALUE"""),"32312")</f>
        <v>32312</v>
      </c>
      <c r="B11" s="23">
        <f ca="1">IFERROR(__xludf.DUMMYFUNCTION("""COMPUTED_VALUE"""),509410.622035)</f>
        <v>509410.62203500001</v>
      </c>
      <c r="C11" s="19">
        <f ca="1">IFERROR(__xludf.DUMMYFUNCTION("""COMPUTED_VALUE"""),414418.6717669)</f>
        <v>414418.67176689999</v>
      </c>
      <c r="D11" s="19">
        <f ca="1">IFERROR(__xludf.DUMMYFUNCTION("""COMPUTED_VALUE"""),0)</f>
        <v>0</v>
      </c>
      <c r="E11" s="21">
        <f ca="1">IFERROR(__xludf.DUMMYFUNCTION("""COMPUTED_VALUE"""),0.0188212440699999)</f>
        <v>1.8821244069999899E-2</v>
      </c>
      <c r="F11" s="5"/>
      <c r="G11" s="8">
        <f ca="1">IFERROR(__xludf.DUMMYFUNCTION("""COMPUTED_VALUE"""),18)</f>
        <v>18</v>
      </c>
      <c r="H11" s="5"/>
      <c r="I11" s="5" t="str">
        <f ca="1">IFERROR(__xludf.DUMMYFUNCTION("""COMPUTED_VALUE"""),"Average Return:")</f>
        <v>Average Return:</v>
      </c>
      <c r="J11" s="24">
        <f ca="1">IFERROR(__xludf.DUMMYFUNCTION("""COMPUTED_VALUE"""),0.15705749598446)</f>
        <v>0.15705749598446</v>
      </c>
      <c r="K11" s="168" t="str">
        <f ca="1">IFERROR(__xludf.DUMMYFUNCTION("""COMPUTED_VALUE"""),"(inactive traders included)")</f>
        <v>(inactive traders included)</v>
      </c>
      <c r="L11" s="169"/>
      <c r="M11" s="5"/>
      <c r="N11" s="5"/>
      <c r="O11" s="5"/>
      <c r="P11" s="5"/>
      <c r="Q11" s="5"/>
    </row>
    <row r="12" spans="1:17" ht="13" x14ac:dyDescent="0.15">
      <c r="A12" s="23" t="str">
        <f ca="1">IFERROR(__xludf.DUMMYFUNCTION("""COMPUTED_VALUE"""),"32582")</f>
        <v>32582</v>
      </c>
      <c r="B12" s="23">
        <f ca="1">IFERROR(__xludf.DUMMYFUNCTION("""COMPUTED_VALUE"""),500000)</f>
        <v>500000</v>
      </c>
      <c r="C12" s="19">
        <f ca="1">IFERROR(__xludf.DUMMYFUNCTION("""COMPUTED_VALUE"""),500000)</f>
        <v>500000</v>
      </c>
      <c r="D12" s="19">
        <f ca="1">IFERROR(__xludf.DUMMYFUNCTION("""COMPUTED_VALUE"""),0)</f>
        <v>0</v>
      </c>
      <c r="E12" s="21">
        <f ca="1">IFERROR(__xludf.DUMMYFUNCTION("""COMPUTED_VALUE"""),0)</f>
        <v>0</v>
      </c>
      <c r="F12" s="5"/>
      <c r="G12" s="8">
        <f ca="1">IFERROR(__xludf.DUMMYFUNCTION("""COMPUTED_VALUE"""),34)</f>
        <v>34</v>
      </c>
      <c r="H12" s="6"/>
      <c r="I12" s="7" t="str">
        <f ca="1">IFERROR(__xludf.DUMMYFUNCTION("""COMPUTED_VALUE"""),"Stdev Return")</f>
        <v>Stdev Return</v>
      </c>
      <c r="J12" s="21">
        <f ca="1">IFERROR(__xludf.DUMMYFUNCTION("""COMPUTED_VALUE"""),1.63958332795036)</f>
        <v>1.63958332795036</v>
      </c>
      <c r="K12" s="25" t="str">
        <f ca="1">IFERROR(__xludf.DUMMYFUNCTION("""COMPUTED_VALUE"""),"(inactive traders included)")</f>
        <v>(inactive traders included)</v>
      </c>
      <c r="L12" s="25"/>
      <c r="M12" s="5"/>
      <c r="N12" s="5"/>
      <c r="O12" s="5"/>
      <c r="P12" s="5"/>
      <c r="Q12" s="5"/>
    </row>
    <row r="13" spans="1:17" ht="13" x14ac:dyDescent="0.15">
      <c r="A13" s="23" t="str">
        <f ca="1">IFERROR(__xludf.DUMMYFUNCTION("""COMPUTED_VALUE"""),"33050")</f>
        <v>33050</v>
      </c>
      <c r="B13" s="23">
        <f ca="1">IFERROR(__xludf.DUMMYFUNCTION("""COMPUTED_VALUE"""),500000)</f>
        <v>500000</v>
      </c>
      <c r="C13" s="19">
        <f ca="1">IFERROR(__xludf.DUMMYFUNCTION("""COMPUTED_VALUE"""),500000)</f>
        <v>500000</v>
      </c>
      <c r="D13" s="19">
        <f ca="1">IFERROR(__xludf.DUMMYFUNCTION("""COMPUTED_VALUE"""),0)</f>
        <v>0</v>
      </c>
      <c r="E13" s="21">
        <f ca="1">IFERROR(__xludf.DUMMYFUNCTION("""COMPUTED_VALUE"""),0)</f>
        <v>0</v>
      </c>
      <c r="F13" s="5"/>
      <c r="G13" s="8">
        <f ca="1">IFERROR(__xludf.DUMMYFUNCTION("""COMPUTED_VALUE"""),34)</f>
        <v>34</v>
      </c>
      <c r="H13" s="5"/>
      <c r="I13" s="5"/>
      <c r="J13" s="5"/>
      <c r="K13" s="26"/>
      <c r="L13" s="5"/>
      <c r="M13" s="5"/>
      <c r="N13" s="5"/>
      <c r="O13" s="5"/>
      <c r="P13" s="5"/>
      <c r="Q13" s="5"/>
    </row>
    <row r="14" spans="1:17" ht="13" x14ac:dyDescent="0.15">
      <c r="A14" s="23" t="str">
        <f ca="1">IFERROR(__xludf.DUMMYFUNCTION("""COMPUTED_VALUE"""),"34857")</f>
        <v>34857</v>
      </c>
      <c r="B14" s="23">
        <f ca="1">IFERROR(__xludf.DUMMYFUNCTION("""COMPUTED_VALUE"""),500000)</f>
        <v>500000</v>
      </c>
      <c r="C14" s="19">
        <f ca="1">IFERROR(__xludf.DUMMYFUNCTION("""COMPUTED_VALUE"""),500000)</f>
        <v>500000</v>
      </c>
      <c r="D14" s="19">
        <f ca="1">IFERROR(__xludf.DUMMYFUNCTION("""COMPUTED_VALUE"""),0)</f>
        <v>0</v>
      </c>
      <c r="E14" s="21">
        <f ca="1">IFERROR(__xludf.DUMMYFUNCTION("""COMPUTED_VALUE"""),0)</f>
        <v>0</v>
      </c>
      <c r="F14" s="5"/>
      <c r="G14" s="8">
        <f ca="1">IFERROR(__xludf.DUMMYFUNCTION("""COMPUTED_VALUE"""),34)</f>
        <v>34</v>
      </c>
      <c r="H14" s="5"/>
      <c r="I14" s="5"/>
      <c r="J14" s="5"/>
      <c r="K14" s="26"/>
      <c r="L14" s="5"/>
      <c r="M14" s="5"/>
      <c r="N14" s="5"/>
      <c r="O14" s="5"/>
      <c r="P14" s="5"/>
      <c r="Q14" s="5"/>
    </row>
    <row r="15" spans="1:17" ht="13" x14ac:dyDescent="0.15">
      <c r="A15" s="23" t="str">
        <f ca="1">IFERROR(__xludf.DUMMYFUNCTION("""COMPUTED_VALUE"""),"35577")</f>
        <v>35577</v>
      </c>
      <c r="B15" s="23">
        <f ca="1">IFERROR(__xludf.DUMMYFUNCTION("""COMPUTED_VALUE"""),500784.610731457)</f>
        <v>500784.61073145701</v>
      </c>
      <c r="C15" s="19">
        <f ca="1">IFERROR(__xludf.DUMMYFUNCTION("""COMPUTED_VALUE"""),368886.84126345)</f>
        <v>368886.84126344998</v>
      </c>
      <c r="D15" s="19">
        <f ca="1">IFERROR(__xludf.DUMMYFUNCTION("""COMPUTED_VALUE"""),0)</f>
        <v>0</v>
      </c>
      <c r="E15" s="21">
        <f ca="1">IFERROR(__xludf.DUMMYFUNCTION("""COMPUTED_VALUE"""),0.00156922146291504)</f>
        <v>1.5692214629150401E-3</v>
      </c>
      <c r="F15" s="5"/>
      <c r="G15" s="8">
        <f ca="1">IFERROR(__xludf.DUMMYFUNCTION("""COMPUTED_VALUE"""),30)</f>
        <v>30</v>
      </c>
      <c r="H15" s="5"/>
      <c r="I15" s="5"/>
      <c r="J15" s="5"/>
      <c r="K15" s="5"/>
      <c r="L15" s="5"/>
      <c r="M15" s="5"/>
      <c r="N15" s="5"/>
      <c r="O15" s="5"/>
      <c r="P15" s="5"/>
      <c r="Q15" s="5"/>
    </row>
    <row r="16" spans="1:17" ht="13" x14ac:dyDescent="0.15">
      <c r="A16" s="23" t="str">
        <f ca="1">IFERROR(__xludf.DUMMYFUNCTION("""COMPUTED_VALUE"""),"35702")</f>
        <v>35702</v>
      </c>
      <c r="B16" s="23">
        <f ca="1">IFERROR(__xludf.DUMMYFUNCTION("""COMPUTED_VALUE"""),500000)</f>
        <v>500000</v>
      </c>
      <c r="C16" s="19">
        <f ca="1">IFERROR(__xludf.DUMMYFUNCTION("""COMPUTED_VALUE"""),500000)</f>
        <v>500000</v>
      </c>
      <c r="D16" s="19">
        <f ca="1">IFERROR(__xludf.DUMMYFUNCTION("""COMPUTED_VALUE"""),0)</f>
        <v>0</v>
      </c>
      <c r="E16" s="21">
        <f ca="1">IFERROR(__xludf.DUMMYFUNCTION("""COMPUTED_VALUE"""),0)</f>
        <v>0</v>
      </c>
      <c r="F16" s="5"/>
      <c r="G16" s="8">
        <f ca="1">IFERROR(__xludf.DUMMYFUNCTION("""COMPUTED_VALUE"""),34)</f>
        <v>34</v>
      </c>
      <c r="H16" s="5"/>
      <c r="I16" s="5"/>
      <c r="J16" s="5"/>
      <c r="K16" s="5"/>
      <c r="L16" s="5"/>
      <c r="M16" s="5"/>
      <c r="N16" s="5"/>
      <c r="O16" s="5"/>
      <c r="P16" s="5"/>
      <c r="Q16" s="5"/>
    </row>
    <row r="17" spans="1:17" ht="13" x14ac:dyDescent="0.15">
      <c r="A17" s="23" t="str">
        <f ca="1">IFERROR(__xludf.DUMMYFUNCTION("""COMPUTED_VALUE"""),"35792")</f>
        <v>35792</v>
      </c>
      <c r="B17" s="23">
        <f ca="1">IFERROR(__xludf.DUMMYFUNCTION("""COMPUTED_VALUE"""),500000)</f>
        <v>500000</v>
      </c>
      <c r="C17" s="19">
        <f ca="1">IFERROR(__xludf.DUMMYFUNCTION("""COMPUTED_VALUE"""),500000)</f>
        <v>500000</v>
      </c>
      <c r="D17" s="19">
        <f ca="1">IFERROR(__xludf.DUMMYFUNCTION("""COMPUTED_VALUE"""),0)</f>
        <v>0</v>
      </c>
      <c r="E17" s="21">
        <f ca="1">IFERROR(__xludf.DUMMYFUNCTION("""COMPUTED_VALUE"""),0)</f>
        <v>0</v>
      </c>
      <c r="F17" s="5"/>
      <c r="G17" s="8">
        <f ca="1">IFERROR(__xludf.DUMMYFUNCTION("""COMPUTED_VALUE"""),34)</f>
        <v>34</v>
      </c>
      <c r="H17" s="6"/>
      <c r="I17" s="27" t="str">
        <f ca="1">IFERROR(__xludf.DUMMYFUNCTION("""COMPUTED_VALUE"""),"Traders beating the below reference portfolio return will have 1% additional point reward for BMK, 2% for MONKEY, 2% for Trader X (seperate events)")</f>
        <v>Traders beating the below reference portfolio return will have 1% additional point reward for BMK, 2% for MONKEY, 2% for Trader X (seperate events)</v>
      </c>
      <c r="J17" s="27"/>
      <c r="K17" s="27"/>
      <c r="L17" s="27"/>
      <c r="M17" s="27"/>
      <c r="N17" s="27"/>
      <c r="O17" s="27"/>
      <c r="P17" s="27"/>
      <c r="Q17" s="5"/>
    </row>
    <row r="18" spans="1:17" ht="13" x14ac:dyDescent="0.15">
      <c r="A18" s="23" t="str">
        <f ca="1">IFERROR(__xludf.DUMMYFUNCTION("""COMPUTED_VALUE"""),"36196")</f>
        <v>36196</v>
      </c>
      <c r="B18" s="23">
        <f ca="1">IFERROR(__xludf.DUMMYFUNCTION("""COMPUTED_VALUE"""),500000)</f>
        <v>500000</v>
      </c>
      <c r="C18" s="19">
        <f ca="1">IFERROR(__xludf.DUMMYFUNCTION("""COMPUTED_VALUE"""),500000)</f>
        <v>500000</v>
      </c>
      <c r="D18" s="19">
        <f ca="1">IFERROR(__xludf.DUMMYFUNCTION("""COMPUTED_VALUE"""),0)</f>
        <v>0</v>
      </c>
      <c r="E18" s="21">
        <f ca="1">IFERROR(__xludf.DUMMYFUNCTION("""COMPUTED_VALUE"""),0)</f>
        <v>0</v>
      </c>
      <c r="F18" s="5"/>
      <c r="G18" s="8">
        <f ca="1">IFERROR(__xludf.DUMMYFUNCTION("""COMPUTED_VALUE"""),34)</f>
        <v>34</v>
      </c>
      <c r="H18" s="5"/>
      <c r="I18" s="5"/>
      <c r="J18" s="5"/>
      <c r="K18" s="5"/>
      <c r="L18" s="5" t="str">
        <f ca="1">IFERROR(__xludf.DUMMYFUNCTION("""COMPUTED_VALUE"""),"Return")</f>
        <v>Return</v>
      </c>
      <c r="M18" s="5" t="str">
        <f ca="1">IFERROR(__xludf.DUMMYFUNCTION("""COMPUTED_VALUE"""),"# of traders beating the portfolio")</f>
        <v># of traders beating the portfolio</v>
      </c>
      <c r="N18" s="5"/>
      <c r="O18" s="5"/>
      <c r="P18" s="5"/>
      <c r="Q18" s="5"/>
    </row>
    <row r="19" spans="1:17" ht="13" x14ac:dyDescent="0.15">
      <c r="A19" s="23" t="str">
        <f ca="1">IFERROR(__xludf.DUMMYFUNCTION("""COMPUTED_VALUE"""),"36221")</f>
        <v>36221</v>
      </c>
      <c r="B19" s="23">
        <f ca="1">IFERROR(__xludf.DUMMYFUNCTION("""COMPUTED_VALUE"""),476010.833375)</f>
        <v>476010.83337499999</v>
      </c>
      <c r="C19" s="19">
        <f ca="1">IFERROR(__xludf.DUMMYFUNCTION("""COMPUTED_VALUE"""),-172344.177964999)</f>
        <v>-172344.17796499899</v>
      </c>
      <c r="D19" s="19">
        <f ca="1">IFERROR(__xludf.DUMMYFUNCTION("""COMPUTED_VALUE"""),172344.177964999)</f>
        <v>172344.17796499899</v>
      </c>
      <c r="E19" s="21">
        <f ca="1">IFERROR(__xludf.DUMMYFUNCTION("""COMPUTED_VALUE"""),-0.0479783332499998)</f>
        <v>-4.7978333249999797E-2</v>
      </c>
      <c r="F19" s="5"/>
      <c r="G19" s="8">
        <f ca="1">IFERROR(__xludf.DUMMYFUNCTION("""COMPUTED_VALUE"""),103)</f>
        <v>103</v>
      </c>
      <c r="H19" s="5"/>
      <c r="I19" s="7" t="str">
        <f ca="1">IFERROR(__xludf.DUMMYFUNCTION("""COMPUTED_VALUE"""),"Customized Benchmark (BMK) Return:")</f>
        <v>Customized Benchmark (BMK) Return:</v>
      </c>
      <c r="J19" s="28" t="str">
        <f ca="1">IFERROR(__xludf.DUMMYFUNCTION("""COMPUTED_VALUE"""),"link to bmk formula")</f>
        <v>link to bmk formula</v>
      </c>
      <c r="K19" s="5"/>
      <c r="L19" s="21">
        <f ca="1">IFERROR(__xludf.DUMMYFUNCTION("""COMPUTED_VALUE"""),-0.0558673369742909)</f>
        <v>-5.5867336974290902E-2</v>
      </c>
      <c r="M19" s="5">
        <f ca="1">IFERROR(__xludf.DUMMYFUNCTION("""COMPUTED_VALUE"""),106)</f>
        <v>106</v>
      </c>
      <c r="N19" s="10">
        <f ca="1">IFERROR(__xludf.DUMMYFUNCTION("""COMPUTED_VALUE"""),0.938053097345132)</f>
        <v>0.93805309734513198</v>
      </c>
      <c r="O19" s="5" t="str">
        <f ca="1">IFERROR(__xludf.DUMMYFUNCTION("""COMPUTED_VALUE"""),"of the entire trading floor")</f>
        <v>of the entire trading floor</v>
      </c>
      <c r="P19" s="5"/>
      <c r="Q19" s="5"/>
    </row>
    <row r="20" spans="1:17" ht="13" x14ac:dyDescent="0.15">
      <c r="A20" s="23" t="str">
        <f ca="1">IFERROR(__xludf.DUMMYFUNCTION("""COMPUTED_VALUE"""),"36242")</f>
        <v>36242</v>
      </c>
      <c r="B20" s="23">
        <f ca="1">IFERROR(__xludf.DUMMYFUNCTION("""COMPUTED_VALUE"""),500000)</f>
        <v>500000</v>
      </c>
      <c r="C20" s="19">
        <f ca="1">IFERROR(__xludf.DUMMYFUNCTION("""COMPUTED_VALUE"""),500000)</f>
        <v>500000</v>
      </c>
      <c r="D20" s="19">
        <f ca="1">IFERROR(__xludf.DUMMYFUNCTION("""COMPUTED_VALUE"""),0)</f>
        <v>0</v>
      </c>
      <c r="E20" s="21">
        <f ca="1">IFERROR(__xludf.DUMMYFUNCTION("""COMPUTED_VALUE"""),0)</f>
        <v>0</v>
      </c>
      <c r="F20" s="5"/>
      <c r="G20" s="8">
        <f ca="1">IFERROR(__xludf.DUMMYFUNCTION("""COMPUTED_VALUE"""),34)</f>
        <v>34</v>
      </c>
      <c r="H20" s="5"/>
      <c r="I20" s="7" t="str">
        <f ca="1">IFERROR(__xludf.DUMMYFUNCTION("""COMPUTED_VALUE"""),"MONKEY's random stock selection return:")</f>
        <v>MONKEY's random stock selection return:</v>
      </c>
      <c r="J20" s="5"/>
      <c r="K20" s="5"/>
      <c r="L20" s="29">
        <f ca="1">IFERROR(__xludf.DUMMYFUNCTION("""COMPUTED_VALUE"""),0.0276232925129999)</f>
        <v>2.76232925129999E-2</v>
      </c>
      <c r="M20" s="5">
        <f ca="1">IFERROR(__xludf.DUMMYFUNCTION("""COMPUTED_VALUE"""),16)</f>
        <v>16</v>
      </c>
      <c r="N20" s="10">
        <f ca="1">IFERROR(__xludf.DUMMYFUNCTION("""COMPUTED_VALUE"""),0.253968253968253)</f>
        <v>0.25396825396825301</v>
      </c>
      <c r="O20" s="5" t="str">
        <f ca="1">IFERROR(__xludf.DUMMYFUNCTION("""COMPUTED_VALUE"""),"of the entire trading floor")</f>
        <v>of the entire trading floor</v>
      </c>
      <c r="P20" s="5"/>
      <c r="Q20" s="5"/>
    </row>
    <row r="21" spans="1:17" ht="13" x14ac:dyDescent="0.15">
      <c r="A21" s="23" t="str">
        <f ca="1">IFERROR(__xludf.DUMMYFUNCTION("""COMPUTED_VALUE"""),"36252")</f>
        <v>36252</v>
      </c>
      <c r="B21" s="23">
        <f ca="1">IFERROR(__xludf.DUMMYFUNCTION("""COMPUTED_VALUE"""),490500)</f>
        <v>490500</v>
      </c>
      <c r="C21" s="19">
        <f ca="1">IFERROR(__xludf.DUMMYFUNCTION("""COMPUTED_VALUE"""),198100)</f>
        <v>198100</v>
      </c>
      <c r="D21" s="19">
        <f ca="1">IFERROR(__xludf.DUMMYFUNCTION("""COMPUTED_VALUE"""),0)</f>
        <v>0</v>
      </c>
      <c r="E21" s="21">
        <f ca="1">IFERROR(__xludf.DUMMYFUNCTION("""COMPUTED_VALUE"""),-0.019)</f>
        <v>-1.9E-2</v>
      </c>
      <c r="F21" s="5"/>
      <c r="G21" s="8">
        <f ca="1">IFERROR(__xludf.DUMMYFUNCTION("""COMPUTED_VALUE"""),96)</f>
        <v>96</v>
      </c>
      <c r="H21" s="5"/>
      <c r="I21" s="7" t="str">
        <f ca="1">IFERROR(__xludf.DUMMYFUNCTION("""COMPUTED_VALUE"""),"Trader X's focus strategy return:")</f>
        <v>Trader X's focus strategy return:</v>
      </c>
      <c r="J21" s="5"/>
      <c r="K21" s="5"/>
      <c r="L21" s="21">
        <f ca="1">IFERROR(__xludf.DUMMYFUNCTION("""COMPUTED_VALUE"""),0.0617689908)</f>
        <v>6.17689908E-2</v>
      </c>
      <c r="M21" s="5">
        <f ca="1">IFERROR(__xludf.DUMMYFUNCTION("""COMPUTED_VALUE"""),11)</f>
        <v>11</v>
      </c>
      <c r="N21" s="10">
        <f ca="1">IFERROR(__xludf.DUMMYFUNCTION("""COMPUTED_VALUE"""),0.22)</f>
        <v>0.22</v>
      </c>
      <c r="O21" s="5" t="str">
        <f ca="1">IFERROR(__xludf.DUMMYFUNCTION("""COMPUTED_VALUE"""),"of the entire trading floor")</f>
        <v>of the entire trading floor</v>
      </c>
      <c r="P21" s="5"/>
      <c r="Q21" s="5"/>
    </row>
    <row r="22" spans="1:17" ht="13" x14ac:dyDescent="0.15">
      <c r="A22" s="23" t="str">
        <f ca="1">IFERROR(__xludf.DUMMYFUNCTION("""COMPUTED_VALUE"""),"36460")</f>
        <v>36460</v>
      </c>
      <c r="B22" s="23">
        <f ca="1">IFERROR(__xludf.DUMMYFUNCTION("""COMPUTED_VALUE"""),558224.13382)</f>
        <v>558224.13381999999</v>
      </c>
      <c r="C22" s="19">
        <f ca="1">IFERROR(__xludf.DUMMYFUNCTION("""COMPUTED_VALUE"""),378010.982004999)</f>
        <v>378010.98200499901</v>
      </c>
      <c r="D22" s="19">
        <f ca="1">IFERROR(__xludf.DUMMYFUNCTION("""COMPUTED_VALUE"""),0)</f>
        <v>0</v>
      </c>
      <c r="E22" s="21">
        <f ca="1">IFERROR(__xludf.DUMMYFUNCTION("""COMPUTED_VALUE"""),0.11644826764)</f>
        <v>0.11644826764000001</v>
      </c>
      <c r="F22" s="5"/>
      <c r="G22" s="8">
        <f ca="1">IFERROR(__xludf.DUMMYFUNCTION("""COMPUTED_VALUE"""),6)</f>
        <v>6</v>
      </c>
      <c r="H22" s="5"/>
      <c r="I22" s="5"/>
      <c r="J22" s="5"/>
      <c r="K22" s="5"/>
      <c r="L22" s="5"/>
      <c r="M22" s="5"/>
      <c r="N22" s="5"/>
      <c r="O22" s="5"/>
      <c r="P22" s="5"/>
      <c r="Q22" s="5"/>
    </row>
    <row r="23" spans="1:17" ht="13" x14ac:dyDescent="0.15">
      <c r="A23" s="23" t="str">
        <f ca="1">IFERROR(__xludf.DUMMYFUNCTION("""COMPUTED_VALUE"""),"36560")</f>
        <v>36560</v>
      </c>
      <c r="B23" s="23">
        <f ca="1">IFERROR(__xludf.DUMMYFUNCTION("""COMPUTED_VALUE"""),500000)</f>
        <v>500000</v>
      </c>
      <c r="C23" s="19">
        <f ca="1">IFERROR(__xludf.DUMMYFUNCTION("""COMPUTED_VALUE"""),500000)</f>
        <v>500000</v>
      </c>
      <c r="D23" s="19">
        <f ca="1">IFERROR(__xludf.DUMMYFUNCTION("""COMPUTED_VALUE"""),0)</f>
        <v>0</v>
      </c>
      <c r="E23" s="21">
        <f ca="1">IFERROR(__xludf.DUMMYFUNCTION("""COMPUTED_VALUE"""),0)</f>
        <v>0</v>
      </c>
      <c r="F23" s="5"/>
      <c r="G23" s="8">
        <f ca="1">IFERROR(__xludf.DUMMYFUNCTION("""COMPUTED_VALUE"""),34)</f>
        <v>34</v>
      </c>
      <c r="H23" s="5"/>
      <c r="I23" s="30" t="str">
        <f ca="1">IFERROR(__xludf.DUMMYFUNCTION("""COMPUTED_VALUE"""),"Customized Benchmark Value Date: ")</f>
        <v xml:space="preserve">Customized Benchmark Value Date: </v>
      </c>
      <c r="J23" s="31">
        <f ca="1">IFERROR(__xludf.DUMMYFUNCTION("""COMPUTED_VALUE"""),44642.6666666666)</f>
        <v>44642.666666666599</v>
      </c>
      <c r="K23" s="32"/>
      <c r="L23" s="32"/>
      <c r="M23" s="5"/>
      <c r="N23" s="5"/>
      <c r="O23" s="5"/>
      <c r="P23" s="5"/>
      <c r="Q23" s="5"/>
    </row>
    <row r="24" spans="1:17" ht="13" x14ac:dyDescent="0.15">
      <c r="A24" s="23" t="str">
        <f ca="1">IFERROR(__xludf.DUMMYFUNCTION("""COMPUTED_VALUE"""),"36903")</f>
        <v>36903</v>
      </c>
      <c r="B24" s="23">
        <f ca="1">IFERROR(__xludf.DUMMYFUNCTION("""COMPUTED_VALUE"""),480134.278255)</f>
        <v>480134.27825500001</v>
      </c>
      <c r="C24" s="19">
        <f ca="1">IFERROR(__xludf.DUMMYFUNCTION("""COMPUTED_VALUE"""),38871.9520749999)</f>
        <v>38871.952074999899</v>
      </c>
      <c r="D24" s="19">
        <f ca="1">IFERROR(__xludf.DUMMYFUNCTION("""COMPUTED_VALUE"""),0)</f>
        <v>0</v>
      </c>
      <c r="E24" s="21">
        <f ca="1">IFERROR(__xludf.DUMMYFUNCTION("""COMPUTED_VALUE"""),-0.0397314434899999)</f>
        <v>-3.97314434899999E-2</v>
      </c>
      <c r="F24" s="5"/>
      <c r="G24" s="8">
        <f ca="1">IFERROR(__xludf.DUMMYFUNCTION("""COMPUTED_VALUE"""),102)</f>
        <v>102</v>
      </c>
      <c r="H24" s="5"/>
      <c r="I24" s="5"/>
      <c r="J24" s="5"/>
      <c r="K24" s="5"/>
      <c r="L24" s="5"/>
      <c r="M24" s="5"/>
      <c r="N24" s="5"/>
      <c r="O24" s="5"/>
      <c r="P24" s="5"/>
      <c r="Q24" s="5"/>
    </row>
    <row r="25" spans="1:17" ht="13" x14ac:dyDescent="0.15">
      <c r="A25" s="23" t="str">
        <f ca="1">IFERROR(__xludf.DUMMYFUNCTION("""COMPUTED_VALUE"""),"37198")</f>
        <v>37198</v>
      </c>
      <c r="B25" s="23">
        <f ca="1">IFERROR(__xludf.DUMMYFUNCTION("""COMPUTED_VALUE"""),506043.261115)</f>
        <v>506043.261115</v>
      </c>
      <c r="C25" s="19">
        <f ca="1">IFERROR(__xludf.DUMMYFUNCTION("""COMPUTED_VALUE"""),452327.95123)</f>
        <v>452327.95123000001</v>
      </c>
      <c r="D25" s="19">
        <f ca="1">IFERROR(__xludf.DUMMYFUNCTION("""COMPUTED_VALUE"""),0)</f>
        <v>0</v>
      </c>
      <c r="E25" s="21">
        <f ca="1">IFERROR(__xludf.DUMMYFUNCTION("""COMPUTED_VALUE"""),0.0120865222299999)</f>
        <v>1.20865222299999E-2</v>
      </c>
      <c r="F25" s="5"/>
      <c r="G25" s="8">
        <f ca="1">IFERROR(__xludf.DUMMYFUNCTION("""COMPUTED_VALUE"""),24)</f>
        <v>24</v>
      </c>
      <c r="H25" s="5"/>
      <c r="I25" s="5"/>
      <c r="J25" s="5"/>
      <c r="K25" s="5"/>
      <c r="L25" s="5"/>
      <c r="M25" s="5"/>
      <c r="N25" s="5"/>
      <c r="O25" s="5"/>
      <c r="P25" s="5"/>
      <c r="Q25" s="5"/>
    </row>
    <row r="26" spans="1:17" ht="13" x14ac:dyDescent="0.15">
      <c r="A26" s="23" t="str">
        <f ca="1">IFERROR(__xludf.DUMMYFUNCTION("""COMPUTED_VALUE"""),"37400")</f>
        <v>37400</v>
      </c>
      <c r="B26" s="23">
        <f ca="1">IFERROR(__xludf.DUMMYFUNCTION("""COMPUTED_VALUE"""),509410.622035)</f>
        <v>509410.62203500001</v>
      </c>
      <c r="C26" s="19">
        <f ca="1">IFERROR(__xludf.DUMMYFUNCTION("""COMPUTED_VALUE"""),414418.6717669)</f>
        <v>414418.67176689999</v>
      </c>
      <c r="D26" s="19">
        <f ca="1">IFERROR(__xludf.DUMMYFUNCTION("""COMPUTED_VALUE"""),0)</f>
        <v>0</v>
      </c>
      <c r="E26" s="21">
        <f ca="1">IFERROR(__xludf.DUMMYFUNCTION("""COMPUTED_VALUE"""),0.0188212440699999)</f>
        <v>1.8821244069999899E-2</v>
      </c>
      <c r="F26" s="5"/>
      <c r="G26" s="8">
        <f ca="1">IFERROR(__xludf.DUMMYFUNCTION("""COMPUTED_VALUE"""),18)</f>
        <v>18</v>
      </c>
      <c r="H26" s="5"/>
      <c r="I26" s="5"/>
      <c r="J26" s="5"/>
      <c r="K26" s="5"/>
      <c r="L26" s="5"/>
      <c r="M26" s="5"/>
      <c r="N26" s="5"/>
      <c r="O26" s="5"/>
      <c r="P26" s="5"/>
      <c r="Q26" s="5"/>
    </row>
    <row r="27" spans="1:17" ht="13" x14ac:dyDescent="0.15">
      <c r="A27" s="23" t="str">
        <f ca="1">IFERROR(__xludf.DUMMYFUNCTION("""COMPUTED_VALUE"""),"37568")</f>
        <v>37568</v>
      </c>
      <c r="B27" s="23">
        <f ca="1">IFERROR(__xludf.DUMMYFUNCTION("""COMPUTED_VALUE"""),500000)</f>
        <v>500000</v>
      </c>
      <c r="C27" s="19">
        <f ca="1">IFERROR(__xludf.DUMMYFUNCTION("""COMPUTED_VALUE"""),500000)</f>
        <v>500000</v>
      </c>
      <c r="D27" s="19">
        <f ca="1">IFERROR(__xludf.DUMMYFUNCTION("""COMPUTED_VALUE"""),0)</f>
        <v>0</v>
      </c>
      <c r="E27" s="21">
        <f ca="1">IFERROR(__xludf.DUMMYFUNCTION("""COMPUTED_VALUE"""),0)</f>
        <v>0</v>
      </c>
      <c r="F27" s="5"/>
      <c r="G27" s="8">
        <f ca="1">IFERROR(__xludf.DUMMYFUNCTION("""COMPUTED_VALUE"""),34)</f>
        <v>34</v>
      </c>
      <c r="H27" s="5"/>
      <c r="I27" s="33" t="str">
        <f ca="1">IFERROR(__xludf.DUMMYFUNCTION("""COMPUTED_VALUE"""),"Below Traders will get extra bonus point for their performances and investment strategy sharing (keep updating till end of investment period)")</f>
        <v>Below Traders will get extra bonus point for their performances and investment strategy sharing (keep updating till end of investment period)</v>
      </c>
      <c r="J27" s="34"/>
      <c r="K27" s="35"/>
      <c r="L27" s="5"/>
      <c r="M27" s="5"/>
      <c r="N27" s="5"/>
      <c r="O27" s="5"/>
      <c r="P27" s="5"/>
      <c r="Q27" s="5"/>
    </row>
    <row r="28" spans="1:17" ht="13" x14ac:dyDescent="0.15">
      <c r="A28" s="23" t="str">
        <f ca="1">IFERROR(__xludf.DUMMYFUNCTION("""COMPUTED_VALUE"""),"37649")</f>
        <v>37649</v>
      </c>
      <c r="B28" s="23">
        <f ca="1">IFERROR(__xludf.DUMMYFUNCTION("""COMPUTED_VALUE"""),490000)</f>
        <v>490000</v>
      </c>
      <c r="C28" s="19">
        <f ca="1">IFERROR(__xludf.DUMMYFUNCTION("""COMPUTED_VALUE"""),490000)</f>
        <v>490000</v>
      </c>
      <c r="D28" s="19">
        <f ca="1">IFERROR(__xludf.DUMMYFUNCTION("""COMPUTED_VALUE"""),0)</f>
        <v>0</v>
      </c>
      <c r="E28" s="21">
        <f ca="1">IFERROR(__xludf.DUMMYFUNCTION("""COMPUTED_VALUE"""),-0.02)</f>
        <v>-0.02</v>
      </c>
      <c r="F28" s="5"/>
      <c r="G28" s="8">
        <f ca="1">IFERROR(__xludf.DUMMYFUNCTION("""COMPUTED_VALUE"""),98)</f>
        <v>98</v>
      </c>
      <c r="H28" s="5"/>
      <c r="I28" s="5"/>
      <c r="J28" s="36" t="str">
        <f ca="1">IFERROR(__xludf.DUMMYFUNCTION("""COMPUTED_VALUE"""),"Rank")</f>
        <v>Rank</v>
      </c>
      <c r="K28" s="37" t="str">
        <f ca="1">IFERROR(__xludf.DUMMYFUNCTION("""COMPUTED_VALUE"""),"Trader ID")</f>
        <v>Trader ID</v>
      </c>
      <c r="L28" s="37" t="str">
        <f ca="1">IFERROR(__xludf.DUMMYFUNCTION("""COMPUTED_VALUE"""),"PnL")</f>
        <v>PnL</v>
      </c>
      <c r="M28" s="38" t="str">
        <f ca="1">IFERROR(__xludf.DUMMYFUNCTION("""COMPUTED_VALUE"""),"# of trades executed")</f>
        <v># of trades executed</v>
      </c>
      <c r="N28" s="5"/>
      <c r="O28" s="5"/>
      <c r="P28" s="5"/>
      <c r="Q28" s="5"/>
    </row>
    <row r="29" spans="1:17" ht="13" x14ac:dyDescent="0.15">
      <c r="A29" s="23" t="str">
        <f ca="1">IFERROR(__xludf.DUMMYFUNCTION("""COMPUTED_VALUE"""),"37922")</f>
        <v>37922</v>
      </c>
      <c r="B29" s="23">
        <f ca="1">IFERROR(__xludf.DUMMYFUNCTION("""COMPUTED_VALUE"""),500091)</f>
        <v>500091</v>
      </c>
      <c r="C29" s="19">
        <f ca="1">IFERROR(__xludf.DUMMYFUNCTION("""COMPUTED_VALUE"""),500091)</f>
        <v>500091</v>
      </c>
      <c r="D29" s="19">
        <f ca="1">IFERROR(__xludf.DUMMYFUNCTION("""COMPUTED_VALUE"""),0)</f>
        <v>0</v>
      </c>
      <c r="E29" s="21">
        <f ca="1">IFERROR(__xludf.DUMMYFUNCTION("""COMPUTED_VALUE"""),0.000181999999999904)</f>
        <v>1.81999999999904E-4</v>
      </c>
      <c r="F29" s="5"/>
      <c r="G29" s="8">
        <f ca="1">IFERROR(__xludf.DUMMYFUNCTION("""COMPUTED_VALUE"""),33)</f>
        <v>33</v>
      </c>
      <c r="H29" s="5"/>
      <c r="I29" s="5"/>
      <c r="J29" s="39">
        <f ca="1">IFERROR(__xludf.DUMMYFUNCTION("""COMPUTED_VALUE"""),113)</f>
        <v>113</v>
      </c>
      <c r="K29" s="40" t="str">
        <f ca="1">IFERROR(__xludf.DUMMYFUNCTION("""COMPUTED_VALUE"""),"39296")</f>
        <v>39296</v>
      </c>
      <c r="L29" s="41">
        <f ca="1">IFERROR(__xludf.DUMMYFUNCTION("""COMPUTED_VALUE"""),-0.162)</f>
        <v>-0.16200000000000001</v>
      </c>
      <c r="M29" s="5">
        <f ca="1">IFERROR(__xludf.DUMMYFUNCTION("""COMPUTED_VALUE"""),1)</f>
        <v>1</v>
      </c>
      <c r="N29" s="5"/>
      <c r="O29" s="5"/>
      <c r="P29" s="5"/>
      <c r="Q29" s="5"/>
    </row>
    <row r="30" spans="1:17" ht="13" x14ac:dyDescent="0.15">
      <c r="A30" s="23" t="str">
        <f ca="1">IFERROR(__xludf.DUMMYFUNCTION("""COMPUTED_VALUE"""),"37934")</f>
        <v>37934</v>
      </c>
      <c r="B30" s="23">
        <f ca="1">IFERROR(__xludf.DUMMYFUNCTION("""COMPUTED_VALUE"""),543114.8814)</f>
        <v>543114.88139999995</v>
      </c>
      <c r="C30" s="19">
        <f ca="1">IFERROR(__xludf.DUMMYFUNCTION("""COMPUTED_VALUE"""),151708.76255)</f>
        <v>151708.76255000001</v>
      </c>
      <c r="D30" s="19">
        <f ca="1">IFERROR(__xludf.DUMMYFUNCTION("""COMPUTED_VALUE"""),0)</f>
        <v>0</v>
      </c>
      <c r="E30" s="21">
        <f ca="1">IFERROR(__xludf.DUMMYFUNCTION("""COMPUTED_VALUE"""),0.0862297628000001)</f>
        <v>8.6229762800000095E-2</v>
      </c>
      <c r="F30" s="5"/>
      <c r="G30" s="8">
        <f ca="1">IFERROR(__xludf.DUMMYFUNCTION("""COMPUTED_VALUE"""),8)</f>
        <v>8</v>
      </c>
      <c r="H30" s="5"/>
      <c r="I30" s="8"/>
      <c r="J30" s="39">
        <f ca="1">IFERROR(__xludf.DUMMYFUNCTION("""COMPUTED_VALUE"""),112)</f>
        <v>112</v>
      </c>
      <c r="K30" s="40" t="str">
        <f ca="1">IFERROR(__xludf.DUMMYFUNCTION("""COMPUTED_VALUE"""),"79521")</f>
        <v>79521</v>
      </c>
      <c r="L30" s="41">
        <f ca="1">IFERROR(__xludf.DUMMYFUNCTION("""COMPUTED_VALUE"""),-0.145466681149999)</f>
        <v>-0.145466681149999</v>
      </c>
      <c r="M30" s="5">
        <f ca="1">IFERROR(__xludf.DUMMYFUNCTION("""COMPUTED_VALUE"""),9)</f>
        <v>9</v>
      </c>
      <c r="N30" s="5"/>
      <c r="O30" s="5"/>
      <c r="P30" s="5"/>
      <c r="Q30" s="5"/>
    </row>
    <row r="31" spans="1:17" ht="13" x14ac:dyDescent="0.15">
      <c r="A31" s="23" t="str">
        <f ca="1">IFERROR(__xludf.DUMMYFUNCTION("""COMPUTED_VALUE"""),"38063")</f>
        <v>38063</v>
      </c>
      <c r="B31" s="23">
        <f ca="1">IFERROR(__xludf.DUMMYFUNCTION("""COMPUTED_VALUE"""),500000)</f>
        <v>500000</v>
      </c>
      <c r="C31" s="19">
        <f ca="1">IFERROR(__xludf.DUMMYFUNCTION("""COMPUTED_VALUE"""),500000)</f>
        <v>500000</v>
      </c>
      <c r="D31" s="19">
        <f ca="1">IFERROR(__xludf.DUMMYFUNCTION("""COMPUTED_VALUE"""),0)</f>
        <v>0</v>
      </c>
      <c r="E31" s="21">
        <f ca="1">IFERROR(__xludf.DUMMYFUNCTION("""COMPUTED_VALUE"""),0)</f>
        <v>0</v>
      </c>
      <c r="F31" s="5"/>
      <c r="G31" s="8">
        <f ca="1">IFERROR(__xludf.DUMMYFUNCTION("""COMPUTED_VALUE"""),34)</f>
        <v>34</v>
      </c>
      <c r="H31" s="5"/>
      <c r="I31" s="8"/>
      <c r="J31" s="39">
        <f ca="1">IFERROR(__xludf.DUMMYFUNCTION("""COMPUTED_VALUE"""),111)</f>
        <v>111</v>
      </c>
      <c r="K31" s="40" t="str">
        <f ca="1">IFERROR(__xludf.DUMMYFUNCTION("""COMPUTED_VALUE"""),"75415")</f>
        <v>75415</v>
      </c>
      <c r="L31" s="41">
        <f ca="1">IFERROR(__xludf.DUMMYFUNCTION("""COMPUTED_VALUE"""),-0.104304164429999)</f>
        <v>-0.104304164429999</v>
      </c>
      <c r="M31" s="5">
        <f ca="1">IFERROR(__xludf.DUMMYFUNCTION("""COMPUTED_VALUE"""),8)</f>
        <v>8</v>
      </c>
      <c r="N31" s="5"/>
      <c r="O31" s="5"/>
      <c r="P31" s="5"/>
      <c r="Q31" s="5"/>
    </row>
    <row r="32" spans="1:17" ht="13" x14ac:dyDescent="0.15">
      <c r="A32" s="23" t="str">
        <f ca="1">IFERROR(__xludf.DUMMYFUNCTION("""COMPUTED_VALUE"""),"38093")</f>
        <v>38093</v>
      </c>
      <c r="B32" s="23">
        <f ca="1">IFERROR(__xludf.DUMMYFUNCTION("""COMPUTED_VALUE"""),500000)</f>
        <v>500000</v>
      </c>
      <c r="C32" s="19">
        <f ca="1">IFERROR(__xludf.DUMMYFUNCTION("""COMPUTED_VALUE"""),500000)</f>
        <v>500000</v>
      </c>
      <c r="D32" s="19">
        <f ca="1">IFERROR(__xludf.DUMMYFUNCTION("""COMPUTED_VALUE"""),0)</f>
        <v>0</v>
      </c>
      <c r="E32" s="21">
        <f ca="1">IFERROR(__xludf.DUMMYFUNCTION("""COMPUTED_VALUE"""),0)</f>
        <v>0</v>
      </c>
      <c r="F32" s="5"/>
      <c r="G32" s="8">
        <f ca="1">IFERROR(__xludf.DUMMYFUNCTION("""COMPUTED_VALUE"""),34)</f>
        <v>34</v>
      </c>
      <c r="H32" s="5"/>
      <c r="I32" s="8"/>
      <c r="J32" s="39">
        <f ca="1">IFERROR(__xludf.DUMMYFUNCTION("""COMPUTED_VALUE"""),110)</f>
        <v>110</v>
      </c>
      <c r="K32" s="40" t="str">
        <f ca="1">IFERROR(__xludf.DUMMYFUNCTION("""COMPUTED_VALUE"""),"46322")</f>
        <v>46322</v>
      </c>
      <c r="L32" s="41">
        <f ca="1">IFERROR(__xludf.DUMMYFUNCTION("""COMPUTED_VALUE"""),-0.0788409473399996)</f>
        <v>-7.8840947339999606E-2</v>
      </c>
      <c r="M32" s="5">
        <f ca="1">IFERROR(__xludf.DUMMYFUNCTION("""COMPUTED_VALUE"""),16)</f>
        <v>16</v>
      </c>
      <c r="N32" s="5"/>
      <c r="O32" s="5"/>
      <c r="P32" s="5"/>
      <c r="Q32" s="5"/>
    </row>
    <row r="33" spans="1:17" ht="13" x14ac:dyDescent="0.15">
      <c r="A33" s="23" t="str">
        <f ca="1">IFERROR(__xludf.DUMMYFUNCTION("""COMPUTED_VALUE"""),"38105")</f>
        <v>38105</v>
      </c>
      <c r="B33" s="23">
        <f ca="1">IFERROR(__xludf.DUMMYFUNCTION("""COMPUTED_VALUE"""),500000)</f>
        <v>500000</v>
      </c>
      <c r="C33" s="19">
        <f ca="1">IFERROR(__xludf.DUMMYFUNCTION("""COMPUTED_VALUE"""),500000)</f>
        <v>500000</v>
      </c>
      <c r="D33" s="19">
        <f ca="1">IFERROR(__xludf.DUMMYFUNCTION("""COMPUTED_VALUE"""),0)</f>
        <v>0</v>
      </c>
      <c r="E33" s="21">
        <f ca="1">IFERROR(__xludf.DUMMYFUNCTION("""COMPUTED_VALUE"""),0)</f>
        <v>0</v>
      </c>
      <c r="F33" s="5"/>
      <c r="G33" s="8">
        <f ca="1">IFERROR(__xludf.DUMMYFUNCTION("""COMPUTED_VALUE"""),34)</f>
        <v>34</v>
      </c>
      <c r="H33" s="5"/>
      <c r="I33" s="8"/>
      <c r="J33" s="39">
        <f ca="1">IFERROR(__xludf.DUMMYFUNCTION("""COMPUTED_VALUE"""),109)</f>
        <v>109</v>
      </c>
      <c r="K33" s="40" t="str">
        <f ca="1">IFERROR(__xludf.DUMMYFUNCTION("""COMPUTED_VALUE"""),"70628")</f>
        <v>70628</v>
      </c>
      <c r="L33" s="41">
        <f ca="1">IFERROR(__xludf.DUMMYFUNCTION("""COMPUTED_VALUE"""),-0.0738783899999999)</f>
        <v>-7.3878389999999905E-2</v>
      </c>
      <c r="M33" s="5">
        <f ca="1">IFERROR(__xludf.DUMMYFUNCTION("""COMPUTED_VALUE"""),10)</f>
        <v>10</v>
      </c>
      <c r="N33" s="5"/>
      <c r="O33" s="5"/>
      <c r="P33" s="5"/>
      <c r="Q33" s="5"/>
    </row>
    <row r="34" spans="1:17" ht="13" x14ac:dyDescent="0.15">
      <c r="A34" s="23" t="str">
        <f ca="1">IFERROR(__xludf.DUMMYFUNCTION("""COMPUTED_VALUE"""),"38109")</f>
        <v>38109</v>
      </c>
      <c r="B34" s="23">
        <f ca="1">IFERROR(__xludf.DUMMYFUNCTION("""COMPUTED_VALUE"""),500000)</f>
        <v>500000</v>
      </c>
      <c r="C34" s="19">
        <f ca="1">IFERROR(__xludf.DUMMYFUNCTION("""COMPUTED_VALUE"""),500000)</f>
        <v>500000</v>
      </c>
      <c r="D34" s="19">
        <f ca="1">IFERROR(__xludf.DUMMYFUNCTION("""COMPUTED_VALUE"""),0)</f>
        <v>0</v>
      </c>
      <c r="E34" s="21">
        <f ca="1">IFERROR(__xludf.DUMMYFUNCTION("""COMPUTED_VALUE"""),0)</f>
        <v>0</v>
      </c>
      <c r="F34" s="5"/>
      <c r="G34" s="8">
        <f ca="1">IFERROR(__xludf.DUMMYFUNCTION("""COMPUTED_VALUE"""),34)</f>
        <v>34</v>
      </c>
      <c r="H34" s="5"/>
      <c r="I34" s="8"/>
      <c r="J34" s="39">
        <f ca="1">IFERROR(__xludf.DUMMYFUNCTION("""COMPUTED_VALUE"""),108)</f>
        <v>108</v>
      </c>
      <c r="K34" s="40" t="str">
        <f ca="1">IFERROR(__xludf.DUMMYFUNCTION("""COMPUTED_VALUE"""),"76975")</f>
        <v>76975</v>
      </c>
      <c r="L34" s="41">
        <f ca="1">IFERROR(__xludf.DUMMYFUNCTION("""COMPUTED_VALUE"""),-0.0730628967319999)</f>
        <v>-7.3062896731999893E-2</v>
      </c>
      <c r="M34" s="5">
        <f ca="1">IFERROR(__xludf.DUMMYFUNCTION("""COMPUTED_VALUE"""),6)</f>
        <v>6</v>
      </c>
      <c r="N34" s="5"/>
      <c r="O34" s="5"/>
      <c r="P34" s="5"/>
      <c r="Q34" s="5"/>
    </row>
    <row r="35" spans="1:17" ht="13" x14ac:dyDescent="0.15">
      <c r="A35" s="23" t="str">
        <f ca="1">IFERROR(__xludf.DUMMYFUNCTION("""COMPUTED_VALUE"""),"38209")</f>
        <v>38209</v>
      </c>
      <c r="B35" s="23">
        <f ca="1">IFERROR(__xludf.DUMMYFUNCTION("""COMPUTED_VALUE"""),530910.164764)</f>
        <v>530910.16476399999</v>
      </c>
      <c r="C35" s="19">
        <f ca="1">IFERROR(__xludf.DUMMYFUNCTION("""COMPUTED_VALUE"""),390777.312149)</f>
        <v>390777.312149</v>
      </c>
      <c r="D35" s="19">
        <f ca="1">IFERROR(__xludf.DUMMYFUNCTION("""COMPUTED_VALUE"""),0)</f>
        <v>0</v>
      </c>
      <c r="E35" s="21">
        <f ca="1">IFERROR(__xludf.DUMMYFUNCTION("""COMPUTED_VALUE"""),0.0618203295279999)</f>
        <v>6.1820329527999901E-2</v>
      </c>
      <c r="F35" s="5"/>
      <c r="G35" s="8">
        <f ca="1">IFERROR(__xludf.DUMMYFUNCTION("""COMPUTED_VALUE"""),11)</f>
        <v>11</v>
      </c>
      <c r="H35" s="5"/>
      <c r="I35" s="8"/>
      <c r="J35" s="39">
        <f ca="1">IFERROR(__xludf.DUMMYFUNCTION("""COMPUTED_VALUE"""),107)</f>
        <v>107</v>
      </c>
      <c r="K35" s="40" t="str">
        <f ca="1">IFERROR(__xludf.DUMMYFUNCTION("""COMPUTED_VALUE"""),"40105")</f>
        <v>40105</v>
      </c>
      <c r="L35" s="41">
        <f ca="1">IFERROR(__xludf.DUMMYFUNCTION("""COMPUTED_VALUE"""),-0.0716426703899999)</f>
        <v>-7.1642670389999899E-2</v>
      </c>
      <c r="M35" s="5">
        <f ca="1">IFERROR(__xludf.DUMMYFUNCTION("""COMPUTED_VALUE"""),5)</f>
        <v>5</v>
      </c>
      <c r="N35" s="5"/>
      <c r="O35" s="5"/>
      <c r="P35" s="5"/>
      <c r="Q35" s="5"/>
    </row>
    <row r="36" spans="1:17" ht="13" x14ac:dyDescent="0.15">
      <c r="A36" s="23" t="str">
        <f ca="1">IFERROR(__xludf.DUMMYFUNCTION("""COMPUTED_VALUE"""),"38302")</f>
        <v>38302</v>
      </c>
      <c r="B36" s="23">
        <f ca="1">IFERROR(__xludf.DUMMYFUNCTION("""COMPUTED_VALUE"""),500000)</f>
        <v>500000</v>
      </c>
      <c r="C36" s="19">
        <f ca="1">IFERROR(__xludf.DUMMYFUNCTION("""COMPUTED_VALUE"""),500000)</f>
        <v>500000</v>
      </c>
      <c r="D36" s="19">
        <f ca="1">IFERROR(__xludf.DUMMYFUNCTION("""COMPUTED_VALUE"""),0)</f>
        <v>0</v>
      </c>
      <c r="E36" s="21">
        <f ca="1">IFERROR(__xludf.DUMMYFUNCTION("""COMPUTED_VALUE"""),0)</f>
        <v>0</v>
      </c>
      <c r="F36" s="5"/>
      <c r="G36" s="8">
        <f ca="1">IFERROR(__xludf.DUMMYFUNCTION("""COMPUTED_VALUE"""),34)</f>
        <v>34</v>
      </c>
      <c r="H36" s="5"/>
      <c r="I36" s="8"/>
      <c r="J36" s="39">
        <f ca="1">IFERROR(__xludf.DUMMYFUNCTION("""COMPUTED_VALUE"""),106)</f>
        <v>106</v>
      </c>
      <c r="K36" s="40" t="str">
        <f ca="1">IFERROR(__xludf.DUMMYFUNCTION("""COMPUTED_VALUE"""),"39857")</f>
        <v>39857</v>
      </c>
      <c r="L36" s="41">
        <f ca="1">IFERROR(__xludf.DUMMYFUNCTION("""COMPUTED_VALUE"""),-0.0622517789603996)</f>
        <v>-6.2251778960399601E-2</v>
      </c>
      <c r="M36" s="5">
        <f ca="1">IFERROR(__xludf.DUMMYFUNCTION("""COMPUTED_VALUE"""),11)</f>
        <v>11</v>
      </c>
      <c r="N36" s="5"/>
      <c r="O36" s="5"/>
      <c r="P36" s="5"/>
      <c r="Q36" s="5"/>
    </row>
    <row r="37" spans="1:17" ht="13" x14ac:dyDescent="0.15">
      <c r="A37" s="23" t="str">
        <f ca="1">IFERROR(__xludf.DUMMYFUNCTION("""COMPUTED_VALUE"""),"38307")</f>
        <v>38307</v>
      </c>
      <c r="B37" s="23">
        <f ca="1">IFERROR(__xludf.DUMMYFUNCTION("""COMPUTED_VALUE"""),518038.865838)</f>
        <v>518038.86583800003</v>
      </c>
      <c r="C37" s="19">
        <f ca="1">IFERROR(__xludf.DUMMYFUNCTION("""COMPUTED_VALUE"""),-114548.567402)</f>
        <v>-114548.567402</v>
      </c>
      <c r="D37" s="19">
        <f ca="1">IFERROR(__xludf.DUMMYFUNCTION("""COMPUTED_VALUE"""),114548.567402)</f>
        <v>114548.567402</v>
      </c>
      <c r="E37" s="21">
        <f ca="1">IFERROR(__xludf.DUMMYFUNCTION("""COMPUTED_VALUE"""),0.0360777316760001)</f>
        <v>3.6077731676000098E-2</v>
      </c>
      <c r="F37" s="5"/>
      <c r="G37" s="8">
        <f ca="1">IFERROR(__xludf.DUMMYFUNCTION("""COMPUTED_VALUE"""),16)</f>
        <v>16</v>
      </c>
      <c r="H37" s="5"/>
      <c r="I37" s="8"/>
      <c r="J37" s="39">
        <f ca="1">IFERROR(__xludf.DUMMYFUNCTION("""COMPUTED_VALUE"""),105)</f>
        <v>105</v>
      </c>
      <c r="K37" s="40" t="str">
        <f ca="1">IFERROR(__xludf.DUMMYFUNCTION("""COMPUTED_VALUE"""),"45962")</f>
        <v>45962</v>
      </c>
      <c r="L37" s="41">
        <f ca="1">IFERROR(__xludf.DUMMYFUNCTION("""COMPUTED_VALUE"""),-0.0555999999999999)</f>
        <v>-5.55999999999999E-2</v>
      </c>
      <c r="M37" s="5">
        <f ca="1">IFERROR(__xludf.DUMMYFUNCTION("""COMPUTED_VALUE"""),2)</f>
        <v>2</v>
      </c>
      <c r="N37" s="5"/>
      <c r="O37" s="5"/>
      <c r="P37" s="5"/>
      <c r="Q37" s="5"/>
    </row>
    <row r="38" spans="1:17" ht="13" x14ac:dyDescent="0.15">
      <c r="A38" s="23" t="str">
        <f ca="1">IFERROR(__xludf.DUMMYFUNCTION("""COMPUTED_VALUE"""),"38369")</f>
        <v>38369</v>
      </c>
      <c r="B38" s="23">
        <f ca="1">IFERROR(__xludf.DUMMYFUNCTION("""COMPUTED_VALUE"""),500000)</f>
        <v>500000</v>
      </c>
      <c r="C38" s="19">
        <f ca="1">IFERROR(__xludf.DUMMYFUNCTION("""COMPUTED_VALUE"""),500000)</f>
        <v>500000</v>
      </c>
      <c r="D38" s="19">
        <f ca="1">IFERROR(__xludf.DUMMYFUNCTION("""COMPUTED_VALUE"""),0)</f>
        <v>0</v>
      </c>
      <c r="E38" s="21">
        <f ca="1">IFERROR(__xludf.DUMMYFUNCTION("""COMPUTED_VALUE"""),0)</f>
        <v>0</v>
      </c>
      <c r="F38" s="5"/>
      <c r="G38" s="8">
        <f ca="1">IFERROR(__xludf.DUMMYFUNCTION("""COMPUTED_VALUE"""),34)</f>
        <v>34</v>
      </c>
      <c r="H38" s="5"/>
      <c r="I38" s="8"/>
      <c r="J38" s="39">
        <f ca="1">IFERROR(__xludf.DUMMYFUNCTION("""COMPUTED_VALUE"""),104)</f>
        <v>104</v>
      </c>
      <c r="K38" s="40" t="str">
        <f ca="1">IFERROR(__xludf.DUMMYFUNCTION("""COMPUTED_VALUE"""),"39441")</f>
        <v>39441</v>
      </c>
      <c r="L38" s="41">
        <f ca="1">IFERROR(__xludf.DUMMYFUNCTION("""COMPUTED_VALUE"""),-0.0509054135229998)</f>
        <v>-5.09054135229998E-2</v>
      </c>
      <c r="M38" s="5">
        <f ca="1">IFERROR(__xludf.DUMMYFUNCTION("""COMPUTED_VALUE"""),22)</f>
        <v>22</v>
      </c>
      <c r="N38" s="5"/>
      <c r="O38" s="5"/>
      <c r="P38" s="5"/>
      <c r="Q38" s="5"/>
    </row>
    <row r="39" spans="1:17" ht="13" x14ac:dyDescent="0.15">
      <c r="A39" s="23" t="str">
        <f ca="1">IFERROR(__xludf.DUMMYFUNCTION("""COMPUTED_VALUE"""),"38381")</f>
        <v>38381</v>
      </c>
      <c r="B39" s="23">
        <f ca="1">IFERROR(__xludf.DUMMYFUNCTION("""COMPUTED_VALUE"""),562679.8877)</f>
        <v>562679.88769999996</v>
      </c>
      <c r="C39" s="19">
        <f ca="1">IFERROR(__xludf.DUMMYFUNCTION("""COMPUTED_VALUE"""),-29398.9484499999)</f>
        <v>-29398.948449999902</v>
      </c>
      <c r="D39" s="19">
        <f ca="1">IFERROR(__xludf.DUMMYFUNCTION("""COMPUTED_VALUE"""),29398.9484499999)</f>
        <v>29398.948449999902</v>
      </c>
      <c r="E39" s="21">
        <f ca="1">IFERROR(__xludf.DUMMYFUNCTION("""COMPUTED_VALUE"""),0.1253597754)</f>
        <v>0.12535977540000001</v>
      </c>
      <c r="F39" s="5"/>
      <c r="G39" s="8">
        <f ca="1">IFERROR(__xludf.DUMMYFUNCTION("""COMPUTED_VALUE"""),5)</f>
        <v>5</v>
      </c>
      <c r="H39" s="5"/>
      <c r="I39" s="5"/>
      <c r="J39" s="42"/>
      <c r="K39" s="3"/>
      <c r="L39" s="43"/>
      <c r="M39" s="5"/>
      <c r="N39" s="5"/>
      <c r="O39" s="5"/>
      <c r="P39" s="5"/>
      <c r="Q39" s="5"/>
    </row>
    <row r="40" spans="1:17" ht="13" x14ac:dyDescent="0.15">
      <c r="A40" s="23" t="str">
        <f ca="1">IFERROR(__xludf.DUMMYFUNCTION("""COMPUTED_VALUE"""),"38705")</f>
        <v>38705</v>
      </c>
      <c r="B40" s="23">
        <f ca="1">IFERROR(__xludf.DUMMYFUNCTION("""COMPUTED_VALUE"""),490312.09965)</f>
        <v>490312.09964999999</v>
      </c>
      <c r="C40" s="19">
        <f ca="1">IFERROR(__xludf.DUMMYFUNCTION("""COMPUTED_VALUE"""),-80770.0773599999)</f>
        <v>-80770.077359999894</v>
      </c>
      <c r="D40" s="19">
        <f ca="1">IFERROR(__xludf.DUMMYFUNCTION("""COMPUTED_VALUE"""),80770.0773599999)</f>
        <v>80770.077359999894</v>
      </c>
      <c r="E40" s="21">
        <f ca="1">IFERROR(__xludf.DUMMYFUNCTION("""COMPUTED_VALUE"""),-0.0193758007)</f>
        <v>-1.9375800700000001E-2</v>
      </c>
      <c r="F40" s="5"/>
      <c r="G40" s="8">
        <f ca="1">IFERROR(__xludf.DUMMYFUNCTION("""COMPUTED_VALUE"""),97)</f>
        <v>97</v>
      </c>
      <c r="H40" s="5"/>
      <c r="I40" s="5"/>
      <c r="J40" s="44">
        <f ca="1">IFERROR(__xludf.DUMMYFUNCTION("""COMPUTED_VALUE"""),1)</f>
        <v>1</v>
      </c>
      <c r="K40" s="45" t="str">
        <f ca="1">IFERROR(__xludf.DUMMYFUNCTION("""COMPUTED_VALUE"""),"82533")</f>
        <v>82533</v>
      </c>
      <c r="L40" s="46">
        <f ca="1">IFERROR(__xludf.DUMMYFUNCTION("""COMPUTED_VALUE"""),17.7300412575)</f>
        <v>17.730041257500002</v>
      </c>
      <c r="M40" s="5">
        <f ca="1">IFERROR(__xludf.DUMMYFUNCTION("""COMPUTED_VALUE"""),2)</f>
        <v>2</v>
      </c>
      <c r="N40" s="5"/>
      <c r="O40" s="5"/>
      <c r="P40" s="5"/>
      <c r="Q40" s="5"/>
    </row>
    <row r="41" spans="1:17" ht="13" x14ac:dyDescent="0.15">
      <c r="A41" s="23" t="str">
        <f ca="1">IFERROR(__xludf.DUMMYFUNCTION("""COMPUTED_VALUE"""),"38758")</f>
        <v>38758</v>
      </c>
      <c r="B41" s="23">
        <f ca="1">IFERROR(__xludf.DUMMYFUNCTION("""COMPUTED_VALUE"""),498925.4347008)</f>
        <v>498925.43470079999</v>
      </c>
      <c r="C41" s="19">
        <f ca="1">IFERROR(__xludf.DUMMYFUNCTION("""COMPUTED_VALUE"""),440984.7424)</f>
        <v>440984.74239999999</v>
      </c>
      <c r="D41" s="19">
        <f ca="1">IFERROR(__xludf.DUMMYFUNCTION("""COMPUTED_VALUE"""),0)</f>
        <v>0</v>
      </c>
      <c r="E41" s="21">
        <f ca="1">IFERROR(__xludf.DUMMYFUNCTION("""COMPUTED_VALUE"""),-0.00214913059840005)</f>
        <v>-2.14913059840005E-3</v>
      </c>
      <c r="F41" s="5"/>
      <c r="G41" s="8">
        <f ca="1">IFERROR(__xludf.DUMMYFUNCTION("""COMPUTED_VALUE"""),84)</f>
        <v>84</v>
      </c>
      <c r="H41" s="5"/>
      <c r="I41" s="8"/>
      <c r="J41" s="44">
        <f ca="1">IFERROR(__xludf.DUMMYFUNCTION("""COMPUTED_VALUE"""),2)</f>
        <v>2</v>
      </c>
      <c r="K41" s="45" t="str">
        <f ca="1">IFERROR(__xludf.DUMMYFUNCTION("""COMPUTED_VALUE"""),"89750")</f>
        <v>89750</v>
      </c>
      <c r="L41" s="46">
        <f ca="1">IFERROR(__xludf.DUMMYFUNCTION("""COMPUTED_VALUE"""),0.287641678301999)</f>
        <v>0.28764167830199899</v>
      </c>
      <c r="M41" s="5">
        <f ca="1">IFERROR(__xludf.DUMMYFUNCTION("""COMPUTED_VALUE"""),65)</f>
        <v>65</v>
      </c>
      <c r="N41" s="5"/>
      <c r="O41" s="5"/>
      <c r="P41" s="5"/>
      <c r="Q41" s="5"/>
    </row>
    <row r="42" spans="1:17" ht="13" x14ac:dyDescent="0.15">
      <c r="A42" s="23" t="str">
        <f ca="1">IFERROR(__xludf.DUMMYFUNCTION("""COMPUTED_VALUE"""),"39011")</f>
        <v>39011</v>
      </c>
      <c r="B42" s="23">
        <f ca="1">IFERROR(__xludf.DUMMYFUNCTION("""COMPUTED_VALUE"""),500000)</f>
        <v>500000</v>
      </c>
      <c r="C42" s="19">
        <f ca="1">IFERROR(__xludf.DUMMYFUNCTION("""COMPUTED_VALUE"""),500000)</f>
        <v>500000</v>
      </c>
      <c r="D42" s="19">
        <f ca="1">IFERROR(__xludf.DUMMYFUNCTION("""COMPUTED_VALUE"""),0)</f>
        <v>0</v>
      </c>
      <c r="E42" s="21">
        <f ca="1">IFERROR(__xludf.DUMMYFUNCTION("""COMPUTED_VALUE"""),0)</f>
        <v>0</v>
      </c>
      <c r="F42" s="5"/>
      <c r="G42" s="8">
        <f ca="1">IFERROR(__xludf.DUMMYFUNCTION("""COMPUTED_VALUE"""),34)</f>
        <v>34</v>
      </c>
      <c r="H42" s="5"/>
      <c r="I42" s="8"/>
      <c r="J42" s="44">
        <f ca="1">IFERROR(__xludf.DUMMYFUNCTION("""COMPUTED_VALUE"""),3)</f>
        <v>3</v>
      </c>
      <c r="K42" s="45" t="str">
        <f ca="1">IFERROR(__xludf.DUMMYFUNCTION("""COMPUTED_VALUE"""),"77603")</f>
        <v>77603</v>
      </c>
      <c r="L42" s="46">
        <f ca="1">IFERROR(__xludf.DUMMYFUNCTION("""COMPUTED_VALUE"""),0.28)</f>
        <v>0.28000000000000003</v>
      </c>
      <c r="M42" s="5">
        <f ca="1">IFERROR(__xludf.DUMMYFUNCTION("""COMPUTED_VALUE"""),1)</f>
        <v>1</v>
      </c>
      <c r="N42" s="5"/>
      <c r="O42" s="5"/>
      <c r="P42" s="5"/>
      <c r="Q42" s="5"/>
    </row>
    <row r="43" spans="1:17" ht="13" x14ac:dyDescent="0.15">
      <c r="A43" s="23" t="str">
        <f ca="1">IFERROR(__xludf.DUMMYFUNCTION("""COMPUTED_VALUE"""),"39296")</f>
        <v>39296</v>
      </c>
      <c r="B43" s="23">
        <f ca="1">IFERROR(__xludf.DUMMYFUNCTION("""COMPUTED_VALUE"""),419000)</f>
        <v>419000</v>
      </c>
      <c r="C43" s="19">
        <f ca="1">IFERROR(__xludf.DUMMYFUNCTION("""COMPUTED_VALUE"""),30000)</f>
        <v>30000</v>
      </c>
      <c r="D43" s="19">
        <f ca="1">IFERROR(__xludf.DUMMYFUNCTION("""COMPUTED_VALUE"""),0)</f>
        <v>0</v>
      </c>
      <c r="E43" s="21">
        <f ca="1">IFERROR(__xludf.DUMMYFUNCTION("""COMPUTED_VALUE"""),-0.162)</f>
        <v>-0.16200000000000001</v>
      </c>
      <c r="F43" s="5"/>
      <c r="G43" s="8">
        <f ca="1">IFERROR(__xludf.DUMMYFUNCTION("""COMPUTED_VALUE"""),113)</f>
        <v>113</v>
      </c>
      <c r="H43" s="5"/>
      <c r="I43" s="8"/>
      <c r="J43" s="44">
        <f ca="1">IFERROR(__xludf.DUMMYFUNCTION("""COMPUTED_VALUE"""),4)</f>
        <v>4</v>
      </c>
      <c r="K43" s="45" t="str">
        <f ca="1">IFERROR(__xludf.DUMMYFUNCTION("""COMPUTED_VALUE"""),"75965")</f>
        <v>75965</v>
      </c>
      <c r="L43" s="46">
        <f ca="1">IFERROR(__xludf.DUMMYFUNCTION("""COMPUTED_VALUE"""),0.1408637466)</f>
        <v>0.14086374660000001</v>
      </c>
      <c r="M43" s="5">
        <f ca="1">IFERROR(__xludf.DUMMYFUNCTION("""COMPUTED_VALUE"""),3)</f>
        <v>3</v>
      </c>
      <c r="N43" s="5"/>
      <c r="O43" s="5"/>
      <c r="P43" s="5"/>
      <c r="Q43" s="5"/>
    </row>
    <row r="44" spans="1:17" ht="13" x14ac:dyDescent="0.15">
      <c r="A44" s="23" t="str">
        <f ca="1">IFERROR(__xludf.DUMMYFUNCTION("""COMPUTED_VALUE"""),"39302")</f>
        <v>39302</v>
      </c>
      <c r="B44" s="23">
        <f ca="1">IFERROR(__xludf.DUMMYFUNCTION("""COMPUTED_VALUE"""),500000)</f>
        <v>500000</v>
      </c>
      <c r="C44" s="19">
        <f ca="1">IFERROR(__xludf.DUMMYFUNCTION("""COMPUTED_VALUE"""),500000)</f>
        <v>500000</v>
      </c>
      <c r="D44" s="19">
        <f ca="1">IFERROR(__xludf.DUMMYFUNCTION("""COMPUTED_VALUE"""),0)</f>
        <v>0</v>
      </c>
      <c r="E44" s="21">
        <f ca="1">IFERROR(__xludf.DUMMYFUNCTION("""COMPUTED_VALUE"""),0)</f>
        <v>0</v>
      </c>
      <c r="F44" s="5"/>
      <c r="G44" s="8">
        <f ca="1">IFERROR(__xludf.DUMMYFUNCTION("""COMPUTED_VALUE"""),34)</f>
        <v>34</v>
      </c>
      <c r="H44" s="5"/>
      <c r="I44" s="8"/>
      <c r="J44" s="44">
        <f ca="1">IFERROR(__xludf.DUMMYFUNCTION("""COMPUTED_VALUE"""),5)</f>
        <v>5</v>
      </c>
      <c r="K44" s="45" t="str">
        <f ca="1">IFERROR(__xludf.DUMMYFUNCTION("""COMPUTED_VALUE"""),"38381")</f>
        <v>38381</v>
      </c>
      <c r="L44" s="46">
        <f ca="1">IFERROR(__xludf.DUMMYFUNCTION("""COMPUTED_VALUE"""),0.1253597754)</f>
        <v>0.12535977540000001</v>
      </c>
      <c r="M44" s="5">
        <f ca="1">IFERROR(__xludf.DUMMYFUNCTION("""COMPUTED_VALUE"""),4)</f>
        <v>4</v>
      </c>
      <c r="N44" s="5"/>
      <c r="O44" s="5"/>
      <c r="P44" s="5"/>
      <c r="Q44" s="5"/>
    </row>
    <row r="45" spans="1:17" ht="13" x14ac:dyDescent="0.15">
      <c r="A45" s="23" t="str">
        <f ca="1">IFERROR(__xludf.DUMMYFUNCTION("""COMPUTED_VALUE"""),"39441")</f>
        <v>39441</v>
      </c>
      <c r="B45" s="23">
        <f ca="1">IFERROR(__xludf.DUMMYFUNCTION("""COMPUTED_VALUE"""),474547.2932385)</f>
        <v>474547.29323850002</v>
      </c>
      <c r="C45" s="19">
        <f ca="1">IFERROR(__xludf.DUMMYFUNCTION("""COMPUTED_VALUE"""),45859.96253525)</f>
        <v>45859.962535250001</v>
      </c>
      <c r="D45" s="19">
        <f ca="1">IFERROR(__xludf.DUMMYFUNCTION("""COMPUTED_VALUE"""),0)</f>
        <v>0</v>
      </c>
      <c r="E45" s="21">
        <f ca="1">IFERROR(__xludf.DUMMYFUNCTION("""COMPUTED_VALUE"""),-0.0509054135229998)</f>
        <v>-5.09054135229998E-2</v>
      </c>
      <c r="F45" s="5"/>
      <c r="G45" s="8">
        <f ca="1">IFERROR(__xludf.DUMMYFUNCTION("""COMPUTED_VALUE"""),104)</f>
        <v>104</v>
      </c>
      <c r="H45" s="5"/>
      <c r="I45" s="8"/>
      <c r="J45" s="44">
        <f ca="1">IFERROR(__xludf.DUMMYFUNCTION("""COMPUTED_VALUE"""),6)</f>
        <v>6</v>
      </c>
      <c r="K45" s="45" t="str">
        <f ca="1">IFERROR(__xludf.DUMMYFUNCTION("""COMPUTED_VALUE"""),"36460")</f>
        <v>36460</v>
      </c>
      <c r="L45" s="46">
        <f ca="1">IFERROR(__xludf.DUMMYFUNCTION("""COMPUTED_VALUE"""),0.11644826764)</f>
        <v>0.11644826764000001</v>
      </c>
      <c r="M45" s="5">
        <f ca="1">IFERROR(__xludf.DUMMYFUNCTION("""COMPUTED_VALUE"""),6)</f>
        <v>6</v>
      </c>
      <c r="N45" s="5"/>
      <c r="O45" s="5"/>
      <c r="P45" s="5"/>
      <c r="Q45" s="5"/>
    </row>
    <row r="46" spans="1:17" ht="13" x14ac:dyDescent="0.15">
      <c r="A46" s="23" t="str">
        <f ca="1">IFERROR(__xludf.DUMMYFUNCTION("""COMPUTED_VALUE"""),"39494")</f>
        <v>39494</v>
      </c>
      <c r="B46" s="23">
        <f ca="1">IFERROR(__xludf.DUMMYFUNCTION("""COMPUTED_VALUE"""),492717.22307715)</f>
        <v>492717.22307715</v>
      </c>
      <c r="C46" s="19">
        <f ca="1">IFERROR(__xludf.DUMMYFUNCTION("""COMPUTED_VALUE"""),151407.215306999)</f>
        <v>151407.21530699899</v>
      </c>
      <c r="D46" s="19">
        <f ca="1">IFERROR(__xludf.DUMMYFUNCTION("""COMPUTED_VALUE"""),0)</f>
        <v>0</v>
      </c>
      <c r="E46" s="21">
        <f ca="1">IFERROR(__xludf.DUMMYFUNCTION("""COMPUTED_VALUE"""),-0.0145655538457)</f>
        <v>-1.45655538457E-2</v>
      </c>
      <c r="F46" s="5"/>
      <c r="G46" s="8">
        <f ca="1">IFERROR(__xludf.DUMMYFUNCTION("""COMPUTED_VALUE"""),91)</f>
        <v>91</v>
      </c>
      <c r="H46" s="5"/>
      <c r="I46" s="8"/>
      <c r="J46" s="44">
        <f ca="1">IFERROR(__xludf.DUMMYFUNCTION("""COMPUTED_VALUE"""),7)</f>
        <v>7</v>
      </c>
      <c r="K46" s="45" t="str">
        <f ca="1">IFERROR(__xludf.DUMMYFUNCTION("""COMPUTED_VALUE"""),"77936")</f>
        <v>77936</v>
      </c>
      <c r="L46" s="46">
        <f ca="1">IFERROR(__xludf.DUMMYFUNCTION("""COMPUTED_VALUE"""),0.115799999999999)</f>
        <v>0.115799999999999</v>
      </c>
      <c r="M46" s="5">
        <f ca="1">IFERROR(__xludf.DUMMYFUNCTION("""COMPUTED_VALUE"""),4)</f>
        <v>4</v>
      </c>
      <c r="N46" s="5"/>
      <c r="O46" s="5"/>
      <c r="P46" s="5"/>
      <c r="Q46" s="5"/>
    </row>
    <row r="47" spans="1:17" ht="13" x14ac:dyDescent="0.15">
      <c r="A47" s="23" t="str">
        <f ca="1">IFERROR(__xludf.DUMMYFUNCTION("""COMPUTED_VALUE"""),"39563")</f>
        <v>39563</v>
      </c>
      <c r="B47" s="23">
        <f ca="1">IFERROR(__xludf.DUMMYFUNCTION("""COMPUTED_VALUE"""),500000)</f>
        <v>500000</v>
      </c>
      <c r="C47" s="19">
        <f ca="1">IFERROR(__xludf.DUMMYFUNCTION("""COMPUTED_VALUE"""),500000)</f>
        <v>500000</v>
      </c>
      <c r="D47" s="19">
        <f ca="1">IFERROR(__xludf.DUMMYFUNCTION("""COMPUTED_VALUE"""),0)</f>
        <v>0</v>
      </c>
      <c r="E47" s="21">
        <f ca="1">IFERROR(__xludf.DUMMYFUNCTION("""COMPUTED_VALUE"""),0)</f>
        <v>0</v>
      </c>
      <c r="F47" s="5"/>
      <c r="G47" s="8">
        <f ca="1">IFERROR(__xludf.DUMMYFUNCTION("""COMPUTED_VALUE"""),34)</f>
        <v>34</v>
      </c>
      <c r="H47" s="5"/>
      <c r="I47" s="8"/>
      <c r="J47" s="44">
        <f ca="1">IFERROR(__xludf.DUMMYFUNCTION("""COMPUTED_VALUE"""),8)</f>
        <v>8</v>
      </c>
      <c r="K47" s="45" t="str">
        <f ca="1">IFERROR(__xludf.DUMMYFUNCTION("""COMPUTED_VALUE"""),"37934")</f>
        <v>37934</v>
      </c>
      <c r="L47" s="46">
        <f ca="1">IFERROR(__xludf.DUMMYFUNCTION("""COMPUTED_VALUE"""),0.0862297628000001)</f>
        <v>8.6229762800000095E-2</v>
      </c>
      <c r="M47" s="5">
        <f ca="1">IFERROR(__xludf.DUMMYFUNCTION("""COMPUTED_VALUE"""),6)</f>
        <v>6</v>
      </c>
      <c r="N47" s="5"/>
      <c r="O47" s="5"/>
      <c r="P47" s="5"/>
      <c r="Q47" s="5"/>
    </row>
    <row r="48" spans="1:17" ht="13" x14ac:dyDescent="0.15">
      <c r="A48" s="23" t="str">
        <f ca="1">IFERROR(__xludf.DUMMYFUNCTION("""COMPUTED_VALUE"""),"39608")</f>
        <v>39608</v>
      </c>
      <c r="B48" s="23">
        <f ca="1">IFERROR(__xludf.DUMMYFUNCTION("""COMPUTED_VALUE"""),509410.622035)</f>
        <v>509410.62203500001</v>
      </c>
      <c r="C48" s="19">
        <f ca="1">IFERROR(__xludf.DUMMYFUNCTION("""COMPUTED_VALUE"""),414418.6717669)</f>
        <v>414418.67176689999</v>
      </c>
      <c r="D48" s="19">
        <f ca="1">IFERROR(__xludf.DUMMYFUNCTION("""COMPUTED_VALUE"""),0)</f>
        <v>0</v>
      </c>
      <c r="E48" s="21">
        <f ca="1">IFERROR(__xludf.DUMMYFUNCTION("""COMPUTED_VALUE"""),0.0188212440699999)</f>
        <v>1.8821244069999899E-2</v>
      </c>
      <c r="F48" s="5"/>
      <c r="G48" s="8">
        <f ca="1">IFERROR(__xludf.DUMMYFUNCTION("""COMPUTED_VALUE"""),18)</f>
        <v>18</v>
      </c>
      <c r="H48" s="5"/>
      <c r="I48" s="8"/>
      <c r="J48" s="44">
        <f ca="1">IFERROR(__xludf.DUMMYFUNCTION("""COMPUTED_VALUE"""),9)</f>
        <v>9</v>
      </c>
      <c r="K48" s="45" t="str">
        <f ca="1">IFERROR(__xludf.DUMMYFUNCTION("""COMPUTED_VALUE"""),"95516")</f>
        <v>95516</v>
      </c>
      <c r="L48" s="46">
        <f ca="1">IFERROR(__xludf.DUMMYFUNCTION("""COMPUTED_VALUE"""),0.0852999999999999)</f>
        <v>8.5299999999999904E-2</v>
      </c>
      <c r="M48" s="5">
        <f ca="1">IFERROR(__xludf.DUMMYFUNCTION("""COMPUTED_VALUE"""),6)</f>
        <v>6</v>
      </c>
      <c r="N48" s="5"/>
      <c r="O48" s="5"/>
      <c r="P48" s="5"/>
      <c r="Q48" s="5"/>
    </row>
    <row r="49" spans="1:17" ht="13" x14ac:dyDescent="0.15">
      <c r="A49" s="23" t="str">
        <f ca="1">IFERROR(__xludf.DUMMYFUNCTION("""COMPUTED_VALUE"""),"39670")</f>
        <v>39670</v>
      </c>
      <c r="B49" s="23">
        <f ca="1">IFERROR(__xludf.DUMMYFUNCTION("""COMPUTED_VALUE"""),500000)</f>
        <v>500000</v>
      </c>
      <c r="C49" s="19">
        <f ca="1">IFERROR(__xludf.DUMMYFUNCTION("""COMPUTED_VALUE"""),500000)</f>
        <v>500000</v>
      </c>
      <c r="D49" s="19">
        <f ca="1">IFERROR(__xludf.DUMMYFUNCTION("""COMPUTED_VALUE"""),0)</f>
        <v>0</v>
      </c>
      <c r="E49" s="21">
        <f ca="1">IFERROR(__xludf.DUMMYFUNCTION("""COMPUTED_VALUE"""),0)</f>
        <v>0</v>
      </c>
      <c r="F49" s="5"/>
      <c r="G49" s="8">
        <f ca="1">IFERROR(__xludf.DUMMYFUNCTION("""COMPUTED_VALUE"""),34)</f>
        <v>34</v>
      </c>
      <c r="H49" s="5"/>
      <c r="I49" s="8"/>
      <c r="J49" s="44">
        <f ca="1">IFERROR(__xludf.DUMMYFUNCTION("""COMPUTED_VALUE"""),10)</f>
        <v>10</v>
      </c>
      <c r="K49" s="45" t="str">
        <f ca="1">IFERROR(__xludf.DUMMYFUNCTION("""COMPUTED_VALUE"""),"75076")</f>
        <v>75076</v>
      </c>
      <c r="L49" s="46">
        <f ca="1">IFERROR(__xludf.DUMMYFUNCTION("""COMPUTED_VALUE"""),0.0806258129600001)</f>
        <v>8.0625812960000098E-2</v>
      </c>
      <c r="M49" s="5">
        <f ca="1">IFERROR(__xludf.DUMMYFUNCTION("""COMPUTED_VALUE"""),1)</f>
        <v>1</v>
      </c>
      <c r="N49" s="5"/>
      <c r="O49" s="5"/>
      <c r="P49" s="5"/>
      <c r="Q49" s="5"/>
    </row>
    <row r="50" spans="1:17" ht="13" x14ac:dyDescent="0.15">
      <c r="A50" s="23" t="str">
        <f ca="1">IFERROR(__xludf.DUMMYFUNCTION("""COMPUTED_VALUE"""),"39704")</f>
        <v>39704</v>
      </c>
      <c r="B50" s="23">
        <f ca="1">IFERROR(__xludf.DUMMYFUNCTION("""COMPUTED_VALUE"""),500735.1317)</f>
        <v>500735.13170000003</v>
      </c>
      <c r="C50" s="19">
        <f ca="1">IFERROR(__xludf.DUMMYFUNCTION("""COMPUTED_VALUE"""),425650.03115)</f>
        <v>425650.03115</v>
      </c>
      <c r="D50" s="19">
        <f ca="1">IFERROR(__xludf.DUMMYFUNCTION("""COMPUTED_VALUE"""),0)</f>
        <v>0</v>
      </c>
      <c r="E50" s="21">
        <f ca="1">IFERROR(__xludf.DUMMYFUNCTION("""COMPUTED_VALUE"""),0.00147026340000011)</f>
        <v>1.4702634000001099E-3</v>
      </c>
      <c r="F50" s="5"/>
      <c r="G50" s="8">
        <f ca="1">IFERROR(__xludf.DUMMYFUNCTION("""COMPUTED_VALUE"""),32)</f>
        <v>32</v>
      </c>
      <c r="H50" s="5"/>
      <c r="I50" s="5"/>
      <c r="J50" s="5"/>
      <c r="K50" s="5"/>
      <c r="L50" s="5"/>
      <c r="M50" s="5"/>
      <c r="N50" s="5"/>
      <c r="O50" s="5"/>
      <c r="P50" s="5"/>
      <c r="Q50" s="5"/>
    </row>
    <row r="51" spans="1:17" ht="13" x14ac:dyDescent="0.15">
      <c r="A51" s="23" t="str">
        <f ca="1">IFERROR(__xludf.DUMMYFUNCTION("""COMPUTED_VALUE"""),"39776")</f>
        <v>39776</v>
      </c>
      <c r="B51" s="23">
        <f ca="1">IFERROR(__xludf.DUMMYFUNCTION("""COMPUTED_VALUE"""),497950)</f>
        <v>497950</v>
      </c>
      <c r="C51" s="19">
        <f ca="1">IFERROR(__xludf.DUMMYFUNCTION("""COMPUTED_VALUE"""),485150)</f>
        <v>485150</v>
      </c>
      <c r="D51" s="19">
        <f ca="1">IFERROR(__xludf.DUMMYFUNCTION("""COMPUTED_VALUE"""),0)</f>
        <v>0</v>
      </c>
      <c r="E51" s="21">
        <f ca="1">IFERROR(__xludf.DUMMYFUNCTION("""COMPUTED_VALUE"""),-0.00409999999999999)</f>
        <v>-4.0999999999999899E-3</v>
      </c>
      <c r="F51" s="5"/>
      <c r="G51" s="8">
        <f ca="1">IFERROR(__xludf.DUMMYFUNCTION("""COMPUTED_VALUE"""),86)</f>
        <v>86</v>
      </c>
      <c r="H51" s="5"/>
      <c r="I51" s="5"/>
      <c r="J51" s="5"/>
      <c r="K51" s="5"/>
      <c r="L51" s="5"/>
      <c r="M51" s="5"/>
      <c r="N51" s="5"/>
      <c r="O51" s="5"/>
      <c r="P51" s="5"/>
      <c r="Q51" s="5"/>
    </row>
    <row r="52" spans="1:17" ht="13" x14ac:dyDescent="0.15">
      <c r="A52" s="23" t="str">
        <f ca="1">IFERROR(__xludf.DUMMYFUNCTION("""COMPUTED_VALUE"""),"39815")</f>
        <v>39815</v>
      </c>
      <c r="B52" s="23">
        <f ca="1">IFERROR(__xludf.DUMMYFUNCTION("""COMPUTED_VALUE"""),500000)</f>
        <v>500000</v>
      </c>
      <c r="C52" s="19">
        <f ca="1">IFERROR(__xludf.DUMMYFUNCTION("""COMPUTED_VALUE"""),500000)</f>
        <v>500000</v>
      </c>
      <c r="D52" s="19">
        <f ca="1">IFERROR(__xludf.DUMMYFUNCTION("""COMPUTED_VALUE"""),0)</f>
        <v>0</v>
      </c>
      <c r="E52" s="21">
        <f ca="1">IFERROR(__xludf.DUMMYFUNCTION("""COMPUTED_VALUE"""),0)</f>
        <v>0</v>
      </c>
      <c r="F52" s="5"/>
      <c r="G52" s="8">
        <f ca="1">IFERROR(__xludf.DUMMYFUNCTION("""COMPUTED_VALUE"""),34)</f>
        <v>34</v>
      </c>
      <c r="H52" s="5"/>
      <c r="I52" s="5"/>
      <c r="J52" s="5"/>
      <c r="K52" s="5"/>
      <c r="L52" s="5"/>
      <c r="M52" s="5"/>
      <c r="N52" s="5"/>
      <c r="O52" s="5"/>
      <c r="P52" s="5"/>
      <c r="Q52" s="5"/>
    </row>
    <row r="53" spans="1:17" ht="13" x14ac:dyDescent="0.15">
      <c r="A53" s="23" t="str">
        <f ca="1">IFERROR(__xludf.DUMMYFUNCTION("""COMPUTED_VALUE"""),"39857")</f>
        <v>39857</v>
      </c>
      <c r="B53" s="23">
        <f ca="1">IFERROR(__xludf.DUMMYFUNCTION("""COMPUTED_VALUE"""),468874.1105198)</f>
        <v>468874.11051979999</v>
      </c>
      <c r="C53" s="19">
        <f ca="1">IFERROR(__xludf.DUMMYFUNCTION("""COMPUTED_VALUE"""),342761.1881418)</f>
        <v>342761.1881418</v>
      </c>
      <c r="D53" s="19">
        <f ca="1">IFERROR(__xludf.DUMMYFUNCTION("""COMPUTED_VALUE"""),0)</f>
        <v>0</v>
      </c>
      <c r="E53" s="21">
        <f ca="1">IFERROR(__xludf.DUMMYFUNCTION("""COMPUTED_VALUE"""),-0.0622517789603996)</f>
        <v>-6.2251778960399601E-2</v>
      </c>
      <c r="F53" s="5"/>
      <c r="G53" s="8">
        <f ca="1">IFERROR(__xludf.DUMMYFUNCTION("""COMPUTED_VALUE"""),106)</f>
        <v>106</v>
      </c>
      <c r="H53" s="5"/>
      <c r="I53" s="5"/>
      <c r="J53" s="5"/>
      <c r="K53" s="5"/>
      <c r="L53" s="5"/>
      <c r="M53" s="5"/>
      <c r="N53" s="5"/>
      <c r="O53" s="5"/>
      <c r="P53" s="5"/>
      <c r="Q53" s="5"/>
    </row>
    <row r="54" spans="1:17" ht="13" x14ac:dyDescent="0.15">
      <c r="A54" s="23" t="str">
        <f ca="1">IFERROR(__xludf.DUMMYFUNCTION("""COMPUTED_VALUE"""),"40105")</f>
        <v>40105</v>
      </c>
      <c r="B54" s="23">
        <f ca="1">IFERROR(__xludf.DUMMYFUNCTION("""COMPUTED_VALUE"""),464178.664805)</f>
        <v>464178.66480500001</v>
      </c>
      <c r="C54" s="19">
        <f ca="1">IFERROR(__xludf.DUMMYFUNCTION("""COMPUTED_VALUE"""),42137.608225)</f>
        <v>42137.608225000004</v>
      </c>
      <c r="D54" s="19">
        <f ca="1">IFERROR(__xludf.DUMMYFUNCTION("""COMPUTED_VALUE"""),0)</f>
        <v>0</v>
      </c>
      <c r="E54" s="21">
        <f ca="1">IFERROR(__xludf.DUMMYFUNCTION("""COMPUTED_VALUE"""),-0.0716426703899999)</f>
        <v>-7.1642670389999899E-2</v>
      </c>
      <c r="F54" s="5"/>
      <c r="G54" s="8">
        <f ca="1">IFERROR(__xludf.DUMMYFUNCTION("""COMPUTED_VALUE"""),107)</f>
        <v>107</v>
      </c>
      <c r="H54" s="5"/>
      <c r="I54" s="5"/>
      <c r="J54" s="5"/>
      <c r="K54" s="5"/>
      <c r="L54" s="5"/>
      <c r="M54" s="5"/>
      <c r="N54" s="5"/>
      <c r="O54" s="5"/>
      <c r="P54" s="5"/>
      <c r="Q54" s="5"/>
    </row>
    <row r="55" spans="1:17" ht="13" x14ac:dyDescent="0.15">
      <c r="A55" s="23" t="str">
        <f ca="1">IFERROR(__xludf.DUMMYFUNCTION("""COMPUTED_VALUE"""),"40158")</f>
        <v>40158</v>
      </c>
      <c r="B55" s="23">
        <f ca="1">IFERROR(__xludf.DUMMYFUNCTION("""COMPUTED_VALUE"""),485011.2161444)</f>
        <v>485011.21614440001</v>
      </c>
      <c r="C55" s="19">
        <f ca="1">IFERROR(__xludf.DUMMYFUNCTION("""COMPUTED_VALUE"""),346242.8734185)</f>
        <v>346242.87341850001</v>
      </c>
      <c r="D55" s="19">
        <f ca="1">IFERROR(__xludf.DUMMYFUNCTION("""COMPUTED_VALUE"""),0)</f>
        <v>0</v>
      </c>
      <c r="E55" s="21">
        <f ca="1">IFERROR(__xludf.DUMMYFUNCTION("""COMPUTED_VALUE"""),-0.0299775677111999)</f>
        <v>-2.9977567711199901E-2</v>
      </c>
      <c r="F55" s="5"/>
      <c r="G55" s="8">
        <f ca="1">IFERROR(__xludf.DUMMYFUNCTION("""COMPUTED_VALUE"""),100)</f>
        <v>100</v>
      </c>
      <c r="H55" s="5"/>
      <c r="I55" s="5"/>
      <c r="J55" s="5"/>
      <c r="K55" s="5"/>
      <c r="L55" s="5"/>
      <c r="M55" s="5"/>
      <c r="N55" s="5"/>
      <c r="O55" s="5"/>
      <c r="P55" s="5"/>
      <c r="Q55" s="5"/>
    </row>
    <row r="56" spans="1:17" ht="13" x14ac:dyDescent="0.15">
      <c r="A56" s="23" t="str">
        <f ca="1">IFERROR(__xludf.DUMMYFUNCTION("""COMPUTED_VALUE"""),"40318")</f>
        <v>40318</v>
      </c>
      <c r="B56" s="23">
        <f ca="1">IFERROR(__xludf.DUMMYFUNCTION("""COMPUTED_VALUE"""),505436.633552)</f>
        <v>505436.63355199998</v>
      </c>
      <c r="C56" s="19">
        <f ca="1">IFERROR(__xludf.DUMMYFUNCTION("""COMPUTED_VALUE"""),358776.822434)</f>
        <v>358776.82243399997</v>
      </c>
      <c r="D56" s="19">
        <f ca="1">IFERROR(__xludf.DUMMYFUNCTION("""COMPUTED_VALUE"""),0)</f>
        <v>0</v>
      </c>
      <c r="E56" s="21">
        <f ca="1">IFERROR(__xludf.DUMMYFUNCTION("""COMPUTED_VALUE"""),0.0108732671039999)</f>
        <v>1.08732671039999E-2</v>
      </c>
      <c r="F56" s="5"/>
      <c r="G56" s="8">
        <f ca="1">IFERROR(__xludf.DUMMYFUNCTION("""COMPUTED_VALUE"""),25)</f>
        <v>25</v>
      </c>
      <c r="H56" s="5"/>
      <c r="I56" s="5"/>
      <c r="J56" s="5"/>
      <c r="K56" s="5"/>
      <c r="L56" s="5"/>
      <c r="M56" s="5"/>
      <c r="N56" s="5"/>
      <c r="O56" s="5"/>
      <c r="P56" s="5"/>
      <c r="Q56" s="5"/>
    </row>
    <row r="57" spans="1:17" ht="13" x14ac:dyDescent="0.15">
      <c r="A57" s="23" t="str">
        <f ca="1">IFERROR(__xludf.DUMMYFUNCTION("""COMPUTED_VALUE"""),"40433")</f>
        <v>40433</v>
      </c>
      <c r="B57" s="23">
        <f ca="1">IFERROR(__xludf.DUMMYFUNCTION("""COMPUTED_VALUE"""),496399.49123285)</f>
        <v>496399.49123285001</v>
      </c>
      <c r="C57" s="19">
        <f ca="1">IFERROR(__xludf.DUMMYFUNCTION("""COMPUTED_VALUE"""),464939.76030575)</f>
        <v>464939.76030575001</v>
      </c>
      <c r="D57" s="19">
        <f ca="1">IFERROR(__xludf.DUMMYFUNCTION("""COMPUTED_VALUE"""),0)</f>
        <v>0</v>
      </c>
      <c r="E57" s="21">
        <f ca="1">IFERROR(__xludf.DUMMYFUNCTION("""COMPUTED_VALUE"""),-0.00720101753430002)</f>
        <v>-7.2010175343000197E-3</v>
      </c>
      <c r="F57" s="5"/>
      <c r="G57" s="8">
        <f ca="1">IFERROR(__xludf.DUMMYFUNCTION("""COMPUTED_VALUE"""),88)</f>
        <v>88</v>
      </c>
      <c r="H57" s="5"/>
      <c r="I57" s="5"/>
      <c r="J57" s="5"/>
      <c r="K57" s="5"/>
      <c r="L57" s="5"/>
      <c r="M57" s="5"/>
      <c r="N57" s="5"/>
      <c r="O57" s="5"/>
      <c r="P57" s="5"/>
      <c r="Q57" s="5"/>
    </row>
    <row r="58" spans="1:17" ht="13" x14ac:dyDescent="0.15">
      <c r="A58" s="23" t="str">
        <f ca="1">IFERROR(__xludf.DUMMYFUNCTION("""COMPUTED_VALUE"""),"40658")</f>
        <v>40658</v>
      </c>
      <c r="B58" s="23">
        <f ca="1">IFERROR(__xludf.DUMMYFUNCTION("""COMPUTED_VALUE"""),500000)</f>
        <v>500000</v>
      </c>
      <c r="C58" s="19">
        <f ca="1">IFERROR(__xludf.DUMMYFUNCTION("""COMPUTED_VALUE"""),500000)</f>
        <v>500000</v>
      </c>
      <c r="D58" s="19">
        <f ca="1">IFERROR(__xludf.DUMMYFUNCTION("""COMPUTED_VALUE"""),0)</f>
        <v>0</v>
      </c>
      <c r="E58" s="21">
        <f ca="1">IFERROR(__xludf.DUMMYFUNCTION("""COMPUTED_VALUE"""),0)</f>
        <v>0</v>
      </c>
      <c r="F58" s="5"/>
      <c r="G58" s="8">
        <f ca="1">IFERROR(__xludf.DUMMYFUNCTION("""COMPUTED_VALUE"""),34)</f>
        <v>34</v>
      </c>
      <c r="H58" s="5"/>
      <c r="I58" s="5"/>
      <c r="J58" s="5"/>
      <c r="K58" s="5"/>
      <c r="L58" s="5"/>
      <c r="M58" s="5"/>
      <c r="N58" s="5"/>
      <c r="O58" s="5"/>
      <c r="P58" s="5"/>
      <c r="Q58" s="5"/>
    </row>
    <row r="59" spans="1:17" ht="13" x14ac:dyDescent="0.15">
      <c r="A59" s="23" t="str">
        <f ca="1">IFERROR(__xludf.DUMMYFUNCTION("""COMPUTED_VALUE"""),"40776")</f>
        <v>40776</v>
      </c>
      <c r="B59" s="23">
        <f ca="1">IFERROR(__xludf.DUMMYFUNCTION("""COMPUTED_VALUE"""),500000)</f>
        <v>500000</v>
      </c>
      <c r="C59" s="19">
        <f ca="1">IFERROR(__xludf.DUMMYFUNCTION("""COMPUTED_VALUE"""),500000)</f>
        <v>500000</v>
      </c>
      <c r="D59" s="19">
        <f ca="1">IFERROR(__xludf.DUMMYFUNCTION("""COMPUTED_VALUE"""),0)</f>
        <v>0</v>
      </c>
      <c r="E59" s="21">
        <f ca="1">IFERROR(__xludf.DUMMYFUNCTION("""COMPUTED_VALUE"""),0)</f>
        <v>0</v>
      </c>
      <c r="F59" s="5"/>
      <c r="G59" s="8">
        <f ca="1">IFERROR(__xludf.DUMMYFUNCTION("""COMPUTED_VALUE"""),34)</f>
        <v>34</v>
      </c>
      <c r="H59" s="5"/>
      <c r="I59" s="5"/>
      <c r="J59" s="5"/>
      <c r="K59" s="5"/>
      <c r="L59" s="5"/>
      <c r="M59" s="5"/>
      <c r="N59" s="5"/>
      <c r="O59" s="5"/>
      <c r="P59" s="5"/>
      <c r="Q59" s="5"/>
    </row>
    <row r="60" spans="1:17" ht="13" x14ac:dyDescent="0.15">
      <c r="A60" s="23" t="str">
        <f ca="1">IFERROR(__xludf.DUMMYFUNCTION("""COMPUTED_VALUE"""),"45962")</f>
        <v>45962</v>
      </c>
      <c r="B60" s="23">
        <f ca="1">IFERROR(__xludf.DUMMYFUNCTION("""COMPUTED_VALUE"""),472200)</f>
        <v>472200</v>
      </c>
      <c r="C60" s="19">
        <f ca="1">IFERROR(__xludf.DUMMYFUNCTION("""COMPUTED_VALUE"""),5400)</f>
        <v>5400</v>
      </c>
      <c r="D60" s="19">
        <f ca="1">IFERROR(__xludf.DUMMYFUNCTION("""COMPUTED_VALUE"""),0)</f>
        <v>0</v>
      </c>
      <c r="E60" s="21">
        <f ca="1">IFERROR(__xludf.DUMMYFUNCTION("""COMPUTED_VALUE"""),-0.0555999999999999)</f>
        <v>-5.55999999999999E-2</v>
      </c>
      <c r="F60" s="5"/>
      <c r="G60" s="8">
        <f ca="1">IFERROR(__xludf.DUMMYFUNCTION("""COMPUTED_VALUE"""),105)</f>
        <v>105</v>
      </c>
      <c r="H60" s="5"/>
      <c r="I60" s="5"/>
      <c r="J60" s="5"/>
      <c r="K60" s="5"/>
      <c r="L60" s="5"/>
      <c r="M60" s="5"/>
      <c r="N60" s="5"/>
      <c r="O60" s="5"/>
      <c r="P60" s="5"/>
      <c r="Q60" s="5"/>
    </row>
    <row r="61" spans="1:17" ht="13" x14ac:dyDescent="0.15">
      <c r="A61" s="23" t="str">
        <f ca="1">IFERROR(__xludf.DUMMYFUNCTION("""COMPUTED_VALUE"""),"45969")</f>
        <v>45969</v>
      </c>
      <c r="B61" s="23">
        <f ca="1">IFERROR(__xludf.DUMMYFUNCTION("""COMPUTED_VALUE"""),503650.636384999)</f>
        <v>503650.63638499897</v>
      </c>
      <c r="C61" s="19">
        <f ca="1">IFERROR(__xludf.DUMMYFUNCTION("""COMPUTED_VALUE"""),658399.901975)</f>
        <v>658399.90197500004</v>
      </c>
      <c r="D61" s="19">
        <f ca="1">IFERROR(__xludf.DUMMYFUNCTION("""COMPUTED_VALUE"""),0)</f>
        <v>0</v>
      </c>
      <c r="E61" s="21">
        <f ca="1">IFERROR(__xludf.DUMMYFUNCTION("""COMPUTED_VALUE"""),0.0073012727699997)</f>
        <v>7.3012727699997004E-3</v>
      </c>
      <c r="F61" s="5"/>
      <c r="G61" s="8">
        <f ca="1">IFERROR(__xludf.DUMMYFUNCTION("""COMPUTED_VALUE"""),27)</f>
        <v>27</v>
      </c>
      <c r="H61" s="5"/>
      <c r="I61" s="5"/>
      <c r="J61" s="5"/>
      <c r="K61" s="5"/>
      <c r="L61" s="5"/>
      <c r="M61" s="5"/>
      <c r="N61" s="5"/>
      <c r="O61" s="5"/>
      <c r="P61" s="5"/>
      <c r="Q61" s="5"/>
    </row>
    <row r="62" spans="1:17" ht="13" x14ac:dyDescent="0.15">
      <c r="A62" s="23" t="str">
        <f ca="1">IFERROR(__xludf.DUMMYFUNCTION("""COMPUTED_VALUE"""),"46104")</f>
        <v>46104</v>
      </c>
      <c r="B62" s="23">
        <f ca="1">IFERROR(__xludf.DUMMYFUNCTION("""COMPUTED_VALUE"""),500000)</f>
        <v>500000</v>
      </c>
      <c r="C62" s="19">
        <f ca="1">IFERROR(__xludf.DUMMYFUNCTION("""COMPUTED_VALUE"""),500000)</f>
        <v>500000</v>
      </c>
      <c r="D62" s="19">
        <f ca="1">IFERROR(__xludf.DUMMYFUNCTION("""COMPUTED_VALUE"""),0)</f>
        <v>0</v>
      </c>
      <c r="E62" s="21">
        <f ca="1">IFERROR(__xludf.DUMMYFUNCTION("""COMPUTED_VALUE"""),0)</f>
        <v>0</v>
      </c>
      <c r="F62" s="5"/>
      <c r="G62" s="8">
        <f ca="1">IFERROR(__xludf.DUMMYFUNCTION("""COMPUTED_VALUE"""),34)</f>
        <v>34</v>
      </c>
      <c r="H62" s="5"/>
      <c r="I62" s="5"/>
      <c r="J62" s="5"/>
      <c r="K62" s="5"/>
      <c r="L62" s="5"/>
      <c r="M62" s="5"/>
      <c r="N62" s="5"/>
      <c r="O62" s="5"/>
      <c r="P62" s="5"/>
      <c r="Q62" s="5"/>
    </row>
    <row r="63" spans="1:17" ht="13" x14ac:dyDescent="0.15">
      <c r="A63" s="23" t="str">
        <f ca="1">IFERROR(__xludf.DUMMYFUNCTION("""COMPUTED_VALUE"""),"46220")</f>
        <v>46220</v>
      </c>
      <c r="B63" s="23">
        <f ca="1">IFERROR(__xludf.DUMMYFUNCTION("""COMPUTED_VALUE"""),507750.91144225)</f>
        <v>507750.91144225001</v>
      </c>
      <c r="C63" s="19">
        <f ca="1">IFERROR(__xludf.DUMMYFUNCTION("""COMPUTED_VALUE"""),-200102.953082)</f>
        <v>-200102.95308199999</v>
      </c>
      <c r="D63" s="19">
        <f ca="1">IFERROR(__xludf.DUMMYFUNCTION("""COMPUTED_VALUE"""),200102.953082)</f>
        <v>200102.95308199999</v>
      </c>
      <c r="E63" s="21">
        <f ca="1">IFERROR(__xludf.DUMMYFUNCTION("""COMPUTED_VALUE"""),0.0155018228845)</f>
        <v>1.5501822884499999E-2</v>
      </c>
      <c r="F63" s="5"/>
      <c r="G63" s="8">
        <f ca="1">IFERROR(__xludf.DUMMYFUNCTION("""COMPUTED_VALUE"""),21)</f>
        <v>21</v>
      </c>
      <c r="H63" s="5"/>
      <c r="I63" s="5"/>
      <c r="J63" s="5"/>
      <c r="K63" s="5"/>
      <c r="L63" s="5"/>
      <c r="M63" s="5"/>
      <c r="N63" s="5"/>
      <c r="O63" s="5"/>
      <c r="P63" s="5"/>
      <c r="Q63" s="5"/>
    </row>
    <row r="64" spans="1:17" ht="13" x14ac:dyDescent="0.15">
      <c r="A64" s="23" t="str">
        <f ca="1">IFERROR(__xludf.DUMMYFUNCTION("""COMPUTED_VALUE"""),"46225")</f>
        <v>46225</v>
      </c>
      <c r="B64" s="23">
        <f ca="1">IFERROR(__xludf.DUMMYFUNCTION("""COMPUTED_VALUE"""),500000)</f>
        <v>500000</v>
      </c>
      <c r="C64" s="19">
        <f ca="1">IFERROR(__xludf.DUMMYFUNCTION("""COMPUTED_VALUE"""),500000)</f>
        <v>500000</v>
      </c>
      <c r="D64" s="19">
        <f ca="1">IFERROR(__xludf.DUMMYFUNCTION("""COMPUTED_VALUE"""),0)</f>
        <v>0</v>
      </c>
      <c r="E64" s="21">
        <f ca="1">IFERROR(__xludf.DUMMYFUNCTION("""COMPUTED_VALUE"""),0)</f>
        <v>0</v>
      </c>
      <c r="F64" s="5"/>
      <c r="G64" s="8">
        <f ca="1">IFERROR(__xludf.DUMMYFUNCTION("""COMPUTED_VALUE"""),34)</f>
        <v>34</v>
      </c>
      <c r="H64" s="5"/>
      <c r="I64" s="5"/>
      <c r="J64" s="5"/>
      <c r="K64" s="5"/>
      <c r="L64" s="5"/>
      <c r="M64" s="5"/>
      <c r="N64" s="5"/>
      <c r="O64" s="5"/>
      <c r="P64" s="5"/>
      <c r="Q64" s="5"/>
    </row>
    <row r="65" spans="1:17" ht="13" x14ac:dyDescent="0.15">
      <c r="A65" s="23" t="str">
        <f ca="1">IFERROR(__xludf.DUMMYFUNCTION("""COMPUTED_VALUE"""),"46276")</f>
        <v>46276</v>
      </c>
      <c r="B65" s="23">
        <f ca="1">IFERROR(__xludf.DUMMYFUNCTION("""COMPUTED_VALUE"""),504142.237613)</f>
        <v>504142.23761299998</v>
      </c>
      <c r="C65" s="19">
        <f ca="1">IFERROR(__xludf.DUMMYFUNCTION("""COMPUTED_VALUE"""),165972.043025)</f>
        <v>165972.04302499999</v>
      </c>
      <c r="D65" s="19">
        <f ca="1">IFERROR(__xludf.DUMMYFUNCTION("""COMPUTED_VALUE"""),0)</f>
        <v>0</v>
      </c>
      <c r="E65" s="21">
        <f ca="1">IFERROR(__xludf.DUMMYFUNCTION("""COMPUTED_VALUE"""),0.00828447522600028)</f>
        <v>8.2844752260002805E-3</v>
      </c>
      <c r="F65" s="5"/>
      <c r="G65" s="8">
        <f ca="1">IFERROR(__xludf.DUMMYFUNCTION("""COMPUTED_VALUE"""),26)</f>
        <v>26</v>
      </c>
      <c r="H65" s="5"/>
      <c r="I65" s="5"/>
      <c r="J65" s="5"/>
      <c r="K65" s="5"/>
      <c r="L65" s="5"/>
      <c r="M65" s="5"/>
      <c r="N65" s="5"/>
      <c r="O65" s="5"/>
      <c r="P65" s="5"/>
      <c r="Q65" s="5"/>
    </row>
    <row r="66" spans="1:17" ht="13" x14ac:dyDescent="0.15">
      <c r="A66" s="23" t="str">
        <f ca="1">IFERROR(__xludf.DUMMYFUNCTION("""COMPUTED_VALUE"""),"46322")</f>
        <v>46322</v>
      </c>
      <c r="B66" s="23">
        <f ca="1">IFERROR(__xludf.DUMMYFUNCTION("""COMPUTED_VALUE"""),460579.52633)</f>
        <v>460579.52633000002</v>
      </c>
      <c r="C66" s="19">
        <f ca="1">IFERROR(__xludf.DUMMYFUNCTION("""COMPUTED_VALUE"""),-104971.51035)</f>
        <v>-104971.51035</v>
      </c>
      <c r="D66" s="19">
        <f ca="1">IFERROR(__xludf.DUMMYFUNCTION("""COMPUTED_VALUE"""),104971.51035)</f>
        <v>104971.51035</v>
      </c>
      <c r="E66" s="21">
        <f ca="1">IFERROR(__xludf.DUMMYFUNCTION("""COMPUTED_VALUE"""),-0.0788409473399996)</f>
        <v>-7.8840947339999606E-2</v>
      </c>
      <c r="F66" s="5"/>
      <c r="G66" s="8">
        <f ca="1">IFERROR(__xludf.DUMMYFUNCTION("""COMPUTED_VALUE"""),110)</f>
        <v>110</v>
      </c>
      <c r="H66" s="5"/>
      <c r="I66" s="5"/>
      <c r="J66" s="5"/>
      <c r="K66" s="5"/>
      <c r="L66" s="5"/>
      <c r="M66" s="5"/>
      <c r="N66" s="5"/>
      <c r="O66" s="5"/>
      <c r="P66" s="5"/>
      <c r="Q66" s="5"/>
    </row>
    <row r="67" spans="1:17" ht="13" x14ac:dyDescent="0.15">
      <c r="A67" s="23" t="str">
        <f ca="1">IFERROR(__xludf.DUMMYFUNCTION("""COMPUTED_VALUE"""),"46446")</f>
        <v>46446</v>
      </c>
      <c r="B67" s="23">
        <f ca="1">IFERROR(__xludf.DUMMYFUNCTION("""COMPUTED_VALUE"""),500000)</f>
        <v>500000</v>
      </c>
      <c r="C67" s="19">
        <f ca="1">IFERROR(__xludf.DUMMYFUNCTION("""COMPUTED_VALUE"""),500000)</f>
        <v>500000</v>
      </c>
      <c r="D67" s="19">
        <f ca="1">IFERROR(__xludf.DUMMYFUNCTION("""COMPUTED_VALUE"""),0)</f>
        <v>0</v>
      </c>
      <c r="E67" s="21">
        <f ca="1">IFERROR(__xludf.DUMMYFUNCTION("""COMPUTED_VALUE"""),0)</f>
        <v>0</v>
      </c>
      <c r="F67" s="5"/>
      <c r="G67" s="8">
        <f ca="1">IFERROR(__xludf.DUMMYFUNCTION("""COMPUTED_VALUE"""),34)</f>
        <v>34</v>
      </c>
      <c r="H67" s="5"/>
      <c r="I67" s="5"/>
      <c r="J67" s="5"/>
      <c r="K67" s="5"/>
      <c r="L67" s="5"/>
      <c r="M67" s="5"/>
      <c r="N67" s="5"/>
      <c r="O67" s="5"/>
      <c r="P67" s="5"/>
      <c r="Q67" s="5"/>
    </row>
    <row r="68" spans="1:17" ht="13" x14ac:dyDescent="0.15">
      <c r="A68" s="23" t="str">
        <f ca="1">IFERROR(__xludf.DUMMYFUNCTION("""COMPUTED_VALUE"""),"46600")</f>
        <v>46600</v>
      </c>
      <c r="B68" s="23">
        <f ca="1">IFERROR(__xludf.DUMMYFUNCTION("""COMPUTED_VALUE"""),521027.5)</f>
        <v>521027.5</v>
      </c>
      <c r="C68" s="19">
        <f ca="1">IFERROR(__xludf.DUMMYFUNCTION("""COMPUTED_VALUE"""),499943.5)</f>
        <v>499943.5</v>
      </c>
      <c r="D68" s="19">
        <f ca="1">IFERROR(__xludf.DUMMYFUNCTION("""COMPUTED_VALUE"""),0)</f>
        <v>0</v>
      </c>
      <c r="E68" s="21">
        <f ca="1">IFERROR(__xludf.DUMMYFUNCTION("""COMPUTED_VALUE"""),0.0420549999999999)</f>
        <v>4.2054999999999898E-2</v>
      </c>
      <c r="F68" s="5"/>
      <c r="G68" s="8">
        <f ca="1">IFERROR(__xludf.DUMMYFUNCTION("""COMPUTED_VALUE"""),14)</f>
        <v>14</v>
      </c>
      <c r="H68" s="5"/>
      <c r="I68" s="5"/>
      <c r="J68" s="5"/>
      <c r="K68" s="5"/>
      <c r="L68" s="5"/>
      <c r="M68" s="5"/>
      <c r="N68" s="5"/>
      <c r="O68" s="5"/>
      <c r="P68" s="5"/>
      <c r="Q68" s="5"/>
    </row>
    <row r="69" spans="1:17" ht="13" x14ac:dyDescent="0.15">
      <c r="A69" s="23" t="str">
        <f ca="1">IFERROR(__xludf.DUMMYFUNCTION("""COMPUTED_VALUE"""),"46699")</f>
        <v>46699</v>
      </c>
      <c r="B69" s="23">
        <f ca="1">IFERROR(__xludf.DUMMYFUNCTION("""COMPUTED_VALUE"""),496655.793288)</f>
        <v>496655.79328799999</v>
      </c>
      <c r="C69" s="19">
        <f ca="1">IFERROR(__xludf.DUMMYFUNCTION("""COMPUTED_VALUE"""),411700.934846)</f>
        <v>411700.93484599999</v>
      </c>
      <c r="D69" s="19">
        <f ca="1">IFERROR(__xludf.DUMMYFUNCTION("""COMPUTED_VALUE"""),0)</f>
        <v>0</v>
      </c>
      <c r="E69" s="21">
        <f ca="1">IFERROR(__xludf.DUMMYFUNCTION("""COMPUTED_VALUE"""),-0.00668841342400006)</f>
        <v>-6.6884134240000597E-3</v>
      </c>
      <c r="F69" s="5"/>
      <c r="G69" s="8">
        <f ca="1">IFERROR(__xludf.DUMMYFUNCTION("""COMPUTED_VALUE"""),87)</f>
        <v>87</v>
      </c>
      <c r="H69" s="5"/>
      <c r="I69" s="5"/>
      <c r="J69" s="5"/>
      <c r="K69" s="5"/>
      <c r="L69" s="5"/>
      <c r="M69" s="5"/>
      <c r="N69" s="5"/>
      <c r="O69" s="5"/>
      <c r="P69" s="5"/>
      <c r="Q69" s="5"/>
    </row>
    <row r="70" spans="1:17" ht="13" x14ac:dyDescent="0.15">
      <c r="A70" s="23" t="str">
        <f ca="1">IFERROR(__xludf.DUMMYFUNCTION("""COMPUTED_VALUE"""),"46763")</f>
        <v>46763</v>
      </c>
      <c r="B70" s="23">
        <f ca="1">IFERROR(__xludf.DUMMYFUNCTION("""COMPUTED_VALUE"""),501475)</f>
        <v>501475</v>
      </c>
      <c r="C70" s="19">
        <f ca="1">IFERROR(__xludf.DUMMYFUNCTION("""COMPUTED_VALUE"""),343450)</f>
        <v>343450</v>
      </c>
      <c r="D70" s="19">
        <f ca="1">IFERROR(__xludf.DUMMYFUNCTION("""COMPUTED_VALUE"""),0)</f>
        <v>0</v>
      </c>
      <c r="E70" s="21">
        <f ca="1">IFERROR(__xludf.DUMMYFUNCTION("""COMPUTED_VALUE"""),0.00295)</f>
        <v>2.9499999999999999E-3</v>
      </c>
      <c r="F70" s="5"/>
      <c r="G70" s="8">
        <f ca="1">IFERROR(__xludf.DUMMYFUNCTION("""COMPUTED_VALUE"""),29)</f>
        <v>29</v>
      </c>
      <c r="H70" s="5"/>
      <c r="I70" s="5"/>
      <c r="J70" s="5"/>
      <c r="K70" s="5"/>
      <c r="L70" s="5"/>
      <c r="M70" s="5"/>
      <c r="N70" s="5"/>
      <c r="O70" s="5"/>
      <c r="P70" s="5"/>
      <c r="Q70" s="5"/>
    </row>
    <row r="71" spans="1:17" ht="13" x14ac:dyDescent="0.15">
      <c r="A71" s="23" t="str">
        <f ca="1">IFERROR(__xludf.DUMMYFUNCTION("""COMPUTED_VALUE"""),"46876")</f>
        <v>46876</v>
      </c>
      <c r="B71" s="23">
        <f ca="1">IFERROR(__xludf.DUMMYFUNCTION("""COMPUTED_VALUE"""),529150)</f>
        <v>529150</v>
      </c>
      <c r="C71" s="19">
        <f ca="1">IFERROR(__xludf.DUMMYFUNCTION("""COMPUTED_VALUE"""),149200)</f>
        <v>149200</v>
      </c>
      <c r="D71" s="19">
        <f ca="1">IFERROR(__xludf.DUMMYFUNCTION("""COMPUTED_VALUE"""),0)</f>
        <v>0</v>
      </c>
      <c r="E71" s="21">
        <f ca="1">IFERROR(__xludf.DUMMYFUNCTION("""COMPUTED_VALUE"""),0.0583)</f>
        <v>5.8299999999999998E-2</v>
      </c>
      <c r="F71" s="5"/>
      <c r="G71" s="8">
        <f ca="1">IFERROR(__xludf.DUMMYFUNCTION("""COMPUTED_VALUE"""),12)</f>
        <v>12</v>
      </c>
      <c r="H71" s="5"/>
      <c r="I71" s="5"/>
      <c r="J71" s="5"/>
      <c r="K71" s="5"/>
      <c r="L71" s="5"/>
      <c r="M71" s="5"/>
      <c r="N71" s="5"/>
      <c r="O71" s="5"/>
      <c r="P71" s="5"/>
      <c r="Q71" s="5"/>
    </row>
    <row r="72" spans="1:17" ht="13" x14ac:dyDescent="0.15">
      <c r="A72" s="23" t="str">
        <f ca="1">IFERROR(__xludf.DUMMYFUNCTION("""COMPUTED_VALUE"""),"46975")</f>
        <v>46975</v>
      </c>
      <c r="B72" s="23">
        <f ca="1">IFERROR(__xludf.DUMMYFUNCTION("""COMPUTED_VALUE"""),500780.879305)</f>
        <v>500780.87930500001</v>
      </c>
      <c r="C72" s="19">
        <f ca="1">IFERROR(__xludf.DUMMYFUNCTION("""COMPUTED_VALUE"""),341524.0624)</f>
        <v>341524.0624</v>
      </c>
      <c r="D72" s="19">
        <f ca="1">IFERROR(__xludf.DUMMYFUNCTION("""COMPUTED_VALUE"""),0)</f>
        <v>0</v>
      </c>
      <c r="E72" s="21">
        <f ca="1">IFERROR(__xludf.DUMMYFUNCTION("""COMPUTED_VALUE"""),0.00156175861000007)</f>
        <v>1.5617586100000701E-3</v>
      </c>
      <c r="F72" s="5"/>
      <c r="G72" s="8">
        <f ca="1">IFERROR(__xludf.DUMMYFUNCTION("""COMPUTED_VALUE"""),31)</f>
        <v>31</v>
      </c>
      <c r="H72" s="5"/>
      <c r="I72" s="5"/>
      <c r="J72" s="5"/>
      <c r="K72" s="5"/>
      <c r="L72" s="5"/>
      <c r="M72" s="5"/>
      <c r="N72" s="5"/>
      <c r="O72" s="5"/>
      <c r="P72" s="5"/>
      <c r="Q72" s="5"/>
    </row>
    <row r="73" spans="1:17" ht="13" x14ac:dyDescent="0.15">
      <c r="A73" s="23" t="str">
        <f ca="1">IFERROR(__xludf.DUMMYFUNCTION("""COMPUTED_VALUE"""),"52981")</f>
        <v>52981</v>
      </c>
      <c r="B73" s="23">
        <f ca="1">IFERROR(__xludf.DUMMYFUNCTION("""COMPUTED_VALUE"""),500000)</f>
        <v>500000</v>
      </c>
      <c r="C73" s="19">
        <f ca="1">IFERROR(__xludf.DUMMYFUNCTION("""COMPUTED_VALUE"""),500000)</f>
        <v>500000</v>
      </c>
      <c r="D73" s="19">
        <f ca="1">IFERROR(__xludf.DUMMYFUNCTION("""COMPUTED_VALUE"""),0)</f>
        <v>0</v>
      </c>
      <c r="E73" s="21">
        <f ca="1">IFERROR(__xludf.DUMMYFUNCTION("""COMPUTED_VALUE"""),0)</f>
        <v>0</v>
      </c>
      <c r="F73" s="5"/>
      <c r="G73" s="8">
        <f ca="1">IFERROR(__xludf.DUMMYFUNCTION("""COMPUTED_VALUE"""),34)</f>
        <v>34</v>
      </c>
      <c r="H73" s="5"/>
      <c r="I73" s="5"/>
      <c r="J73" s="5"/>
      <c r="K73" s="5"/>
      <c r="L73" s="5"/>
      <c r="M73" s="5"/>
      <c r="N73" s="5"/>
      <c r="O73" s="5"/>
      <c r="P73" s="5"/>
      <c r="Q73" s="5"/>
    </row>
    <row r="74" spans="1:17" ht="13" x14ac:dyDescent="0.15">
      <c r="A74" s="23" t="str">
        <f ca="1">IFERROR(__xludf.DUMMYFUNCTION("""COMPUTED_VALUE"""),"56118")</f>
        <v>56118</v>
      </c>
      <c r="B74" s="23">
        <f ca="1">IFERROR(__xludf.DUMMYFUNCTION("""COMPUTED_VALUE"""),513421.674349999)</f>
        <v>513421.674349999</v>
      </c>
      <c r="C74" s="19">
        <f ca="1">IFERROR(__xludf.DUMMYFUNCTION("""COMPUTED_VALUE"""),-153870.667315)</f>
        <v>-153870.667315</v>
      </c>
      <c r="D74" s="19">
        <f ca="1">IFERROR(__xludf.DUMMYFUNCTION("""COMPUTED_VALUE"""),153870.667315)</f>
        <v>153870.667315</v>
      </c>
      <c r="E74" s="21">
        <f ca="1">IFERROR(__xludf.DUMMYFUNCTION("""COMPUTED_VALUE"""),0.0268433486999999)</f>
        <v>2.6843348699999901E-2</v>
      </c>
      <c r="F74" s="5"/>
      <c r="G74" s="8">
        <f ca="1">IFERROR(__xludf.DUMMYFUNCTION("""COMPUTED_VALUE"""),17)</f>
        <v>17</v>
      </c>
      <c r="H74" s="5"/>
      <c r="I74" s="5"/>
      <c r="J74" s="5"/>
      <c r="K74" s="5"/>
      <c r="L74" s="5"/>
      <c r="M74" s="5"/>
      <c r="N74" s="5"/>
      <c r="O74" s="5"/>
      <c r="P74" s="5"/>
      <c r="Q74" s="5"/>
    </row>
    <row r="75" spans="1:17" ht="13" x14ac:dyDescent="0.15">
      <c r="A75" s="23" t="str">
        <f ca="1">IFERROR(__xludf.DUMMYFUNCTION("""COMPUTED_VALUE"""),"69930")</f>
        <v>69930</v>
      </c>
      <c r="B75" s="23">
        <f ca="1">IFERROR(__xludf.DUMMYFUNCTION("""COMPUTED_VALUE"""),498572.5)</f>
        <v>498572.5</v>
      </c>
      <c r="C75" s="19">
        <f ca="1">IFERROR(__xludf.DUMMYFUNCTION("""COMPUTED_VALUE"""),495737.5)</f>
        <v>495737.5</v>
      </c>
      <c r="D75" s="19">
        <f ca="1">IFERROR(__xludf.DUMMYFUNCTION("""COMPUTED_VALUE"""),0)</f>
        <v>0</v>
      </c>
      <c r="E75" s="21">
        <f ca="1">IFERROR(__xludf.DUMMYFUNCTION("""COMPUTED_VALUE"""),-0.00285500000000005)</f>
        <v>-2.8550000000000502E-3</v>
      </c>
      <c r="F75" s="5"/>
      <c r="G75" s="8">
        <f ca="1">IFERROR(__xludf.DUMMYFUNCTION("""COMPUTED_VALUE"""),85)</f>
        <v>85</v>
      </c>
      <c r="H75" s="5"/>
      <c r="I75" s="5"/>
      <c r="J75" s="5"/>
      <c r="K75" s="5"/>
      <c r="L75" s="5"/>
      <c r="M75" s="5"/>
      <c r="N75" s="5"/>
      <c r="O75" s="5"/>
      <c r="P75" s="5"/>
      <c r="Q75" s="5"/>
    </row>
    <row r="76" spans="1:17" ht="13" x14ac:dyDescent="0.15">
      <c r="A76" s="23" t="str">
        <f ca="1">IFERROR(__xludf.DUMMYFUNCTION("""COMPUTED_VALUE"""),"70227")</f>
        <v>70227</v>
      </c>
      <c r="B76" s="23">
        <f ca="1">IFERROR(__xludf.DUMMYFUNCTION("""COMPUTED_VALUE"""),500000)</f>
        <v>500000</v>
      </c>
      <c r="C76" s="19">
        <f ca="1">IFERROR(__xludf.DUMMYFUNCTION("""COMPUTED_VALUE"""),500000)</f>
        <v>500000</v>
      </c>
      <c r="D76" s="19">
        <f ca="1">IFERROR(__xludf.DUMMYFUNCTION("""COMPUTED_VALUE"""),0)</f>
        <v>0</v>
      </c>
      <c r="E76" s="21">
        <f ca="1">IFERROR(__xludf.DUMMYFUNCTION("""COMPUTED_VALUE"""),0)</f>
        <v>0</v>
      </c>
      <c r="F76" s="5"/>
      <c r="G76" s="8">
        <f ca="1">IFERROR(__xludf.DUMMYFUNCTION("""COMPUTED_VALUE"""),34)</f>
        <v>34</v>
      </c>
      <c r="H76" s="5"/>
      <c r="I76" s="5"/>
      <c r="J76" s="5"/>
      <c r="K76" s="5"/>
      <c r="L76" s="5"/>
      <c r="M76" s="5"/>
      <c r="N76" s="5"/>
      <c r="O76" s="5"/>
      <c r="P76" s="5"/>
      <c r="Q76" s="5"/>
    </row>
    <row r="77" spans="1:17" ht="13" x14ac:dyDescent="0.15">
      <c r="A77" s="23" t="str">
        <f ca="1">IFERROR(__xludf.DUMMYFUNCTION("""COMPUTED_VALUE"""),"70236")</f>
        <v>70236</v>
      </c>
      <c r="B77" s="23">
        <f ca="1">IFERROR(__xludf.DUMMYFUNCTION("""COMPUTED_VALUE"""),500000)</f>
        <v>500000</v>
      </c>
      <c r="C77" s="19">
        <f ca="1">IFERROR(__xludf.DUMMYFUNCTION("""COMPUTED_VALUE"""),500000)</f>
        <v>500000</v>
      </c>
      <c r="D77" s="19">
        <f ca="1">IFERROR(__xludf.DUMMYFUNCTION("""COMPUTED_VALUE"""),0)</f>
        <v>0</v>
      </c>
      <c r="E77" s="21">
        <f ca="1">IFERROR(__xludf.DUMMYFUNCTION("""COMPUTED_VALUE"""),0)</f>
        <v>0</v>
      </c>
      <c r="F77" s="5"/>
      <c r="G77" s="8">
        <f ca="1">IFERROR(__xludf.DUMMYFUNCTION("""COMPUTED_VALUE"""),34)</f>
        <v>34</v>
      </c>
      <c r="H77" s="5"/>
      <c r="I77" s="5"/>
      <c r="J77" s="5"/>
      <c r="K77" s="5"/>
      <c r="L77" s="5"/>
      <c r="M77" s="5"/>
      <c r="N77" s="5"/>
      <c r="O77" s="5"/>
      <c r="P77" s="5"/>
      <c r="Q77" s="5"/>
    </row>
    <row r="78" spans="1:17" ht="13" x14ac:dyDescent="0.15">
      <c r="A78" s="23" t="str">
        <f ca="1">IFERROR(__xludf.DUMMYFUNCTION("""COMPUTED_VALUE"""),"70628")</f>
        <v>70628</v>
      </c>
      <c r="B78" s="23">
        <f ca="1">IFERROR(__xludf.DUMMYFUNCTION("""COMPUTED_VALUE"""),463060.805)</f>
        <v>463060.80499999999</v>
      </c>
      <c r="C78" s="19">
        <f ca="1">IFERROR(__xludf.DUMMYFUNCTION("""COMPUTED_VALUE"""),105519.279)</f>
        <v>105519.27899999999</v>
      </c>
      <c r="D78" s="19">
        <f ca="1">IFERROR(__xludf.DUMMYFUNCTION("""COMPUTED_VALUE"""),0)</f>
        <v>0</v>
      </c>
      <c r="E78" s="21">
        <f ca="1">IFERROR(__xludf.DUMMYFUNCTION("""COMPUTED_VALUE"""),-0.0738783899999999)</f>
        <v>-7.3878389999999905E-2</v>
      </c>
      <c r="F78" s="5"/>
      <c r="G78" s="8">
        <f ca="1">IFERROR(__xludf.DUMMYFUNCTION("""COMPUTED_VALUE"""),109)</f>
        <v>109</v>
      </c>
      <c r="H78" s="5"/>
      <c r="I78" s="5"/>
      <c r="J78" s="5"/>
      <c r="K78" s="5"/>
      <c r="L78" s="5"/>
      <c r="M78" s="5"/>
      <c r="N78" s="5"/>
      <c r="O78" s="5"/>
      <c r="P78" s="5"/>
      <c r="Q78" s="5"/>
    </row>
    <row r="79" spans="1:17" ht="13" x14ac:dyDescent="0.15">
      <c r="A79" s="23" t="str">
        <f ca="1">IFERROR(__xludf.DUMMYFUNCTION("""COMPUTED_VALUE"""),"71502")</f>
        <v>71502</v>
      </c>
      <c r="B79" s="23">
        <f ca="1">IFERROR(__xludf.DUMMYFUNCTION("""COMPUTED_VALUE"""),500000)</f>
        <v>500000</v>
      </c>
      <c r="C79" s="19">
        <f ca="1">IFERROR(__xludf.DUMMYFUNCTION("""COMPUTED_VALUE"""),500000)</f>
        <v>500000</v>
      </c>
      <c r="D79" s="19">
        <f ca="1">IFERROR(__xludf.DUMMYFUNCTION("""COMPUTED_VALUE"""),0)</f>
        <v>0</v>
      </c>
      <c r="E79" s="21">
        <f ca="1">IFERROR(__xludf.DUMMYFUNCTION("""COMPUTED_VALUE"""),0)</f>
        <v>0</v>
      </c>
      <c r="F79" s="5"/>
      <c r="G79" s="8">
        <f ca="1">IFERROR(__xludf.DUMMYFUNCTION("""COMPUTED_VALUE"""),34)</f>
        <v>34</v>
      </c>
      <c r="H79" s="5"/>
      <c r="I79" s="5"/>
      <c r="J79" s="5"/>
      <c r="K79" s="5"/>
      <c r="L79" s="5"/>
      <c r="M79" s="5"/>
      <c r="N79" s="5"/>
      <c r="O79" s="5"/>
      <c r="P79" s="5"/>
      <c r="Q79" s="5"/>
    </row>
    <row r="80" spans="1:17" ht="13" x14ac:dyDescent="0.15">
      <c r="A80" s="23" t="str">
        <f ca="1">IFERROR(__xludf.DUMMYFUNCTION("""COMPUTED_VALUE"""),"73341")</f>
        <v>73341</v>
      </c>
      <c r="B80" s="23">
        <f ca="1">IFERROR(__xludf.DUMMYFUNCTION("""COMPUTED_VALUE"""),500000)</f>
        <v>500000</v>
      </c>
      <c r="C80" s="19">
        <f ca="1">IFERROR(__xludf.DUMMYFUNCTION("""COMPUTED_VALUE"""),500000)</f>
        <v>500000</v>
      </c>
      <c r="D80" s="19">
        <f ca="1">IFERROR(__xludf.DUMMYFUNCTION("""COMPUTED_VALUE"""),0)</f>
        <v>0</v>
      </c>
      <c r="E80" s="21">
        <f ca="1">IFERROR(__xludf.DUMMYFUNCTION("""COMPUTED_VALUE"""),0)</f>
        <v>0</v>
      </c>
      <c r="F80" s="5"/>
      <c r="G80" s="8">
        <f ca="1">IFERROR(__xludf.DUMMYFUNCTION("""COMPUTED_VALUE"""),34)</f>
        <v>34</v>
      </c>
      <c r="H80" s="5"/>
      <c r="I80" s="5"/>
      <c r="J80" s="5"/>
      <c r="K80" s="5"/>
      <c r="L80" s="5"/>
      <c r="M80" s="5"/>
      <c r="N80" s="5"/>
      <c r="O80" s="5"/>
      <c r="P80" s="5"/>
      <c r="Q80" s="5"/>
    </row>
    <row r="81" spans="1:17" ht="13" x14ac:dyDescent="0.15">
      <c r="A81" s="23" t="str">
        <f ca="1">IFERROR(__xludf.DUMMYFUNCTION("""COMPUTED_VALUE"""),"73542")</f>
        <v>73542</v>
      </c>
      <c r="B81" s="23">
        <f ca="1">IFERROR(__xludf.DUMMYFUNCTION("""COMPUTED_VALUE"""),500000)</f>
        <v>500000</v>
      </c>
      <c r="C81" s="19">
        <f ca="1">IFERROR(__xludf.DUMMYFUNCTION("""COMPUTED_VALUE"""),406199.8165286)</f>
        <v>406199.8165286</v>
      </c>
      <c r="D81" s="19">
        <f ca="1">IFERROR(__xludf.DUMMYFUNCTION("""COMPUTED_VALUE"""),0)</f>
        <v>0</v>
      </c>
      <c r="E81" s="21">
        <f ca="1">IFERROR(__xludf.DUMMYFUNCTION("""COMPUTED_VALUE"""),0)</f>
        <v>0</v>
      </c>
      <c r="F81" s="5"/>
      <c r="G81" s="8">
        <f ca="1">IFERROR(__xludf.DUMMYFUNCTION("""COMPUTED_VALUE"""),34)</f>
        <v>34</v>
      </c>
      <c r="H81" s="5"/>
      <c r="I81" s="5"/>
      <c r="J81" s="5"/>
      <c r="K81" s="5"/>
      <c r="L81" s="5"/>
      <c r="M81" s="5"/>
      <c r="N81" s="5"/>
      <c r="O81" s="5"/>
      <c r="P81" s="5"/>
      <c r="Q81" s="5"/>
    </row>
    <row r="82" spans="1:17" ht="13" x14ac:dyDescent="0.15">
      <c r="A82" s="23" t="str">
        <f ca="1">IFERROR(__xludf.DUMMYFUNCTION("""COMPUTED_VALUE"""),"73879")</f>
        <v>73879</v>
      </c>
      <c r="B82" s="23">
        <f ca="1">IFERROR(__xludf.DUMMYFUNCTION("""COMPUTED_VALUE"""),506908)</f>
        <v>506908</v>
      </c>
      <c r="C82" s="19">
        <f ca="1">IFERROR(__xludf.DUMMYFUNCTION("""COMPUTED_VALUE"""),306406.8)</f>
        <v>306406.8</v>
      </c>
      <c r="D82" s="19">
        <f ca="1">IFERROR(__xludf.DUMMYFUNCTION("""COMPUTED_VALUE"""),0)</f>
        <v>0</v>
      </c>
      <c r="E82" s="21">
        <f ca="1">IFERROR(__xludf.DUMMYFUNCTION("""COMPUTED_VALUE"""),0.013816)</f>
        <v>1.3816E-2</v>
      </c>
      <c r="F82" s="5"/>
      <c r="G82" s="8">
        <f ca="1">IFERROR(__xludf.DUMMYFUNCTION("""COMPUTED_VALUE"""),23)</f>
        <v>23</v>
      </c>
      <c r="H82" s="5"/>
      <c r="I82" s="5"/>
      <c r="J82" s="5"/>
      <c r="K82" s="5"/>
      <c r="L82" s="5"/>
      <c r="M82" s="5"/>
      <c r="N82" s="5"/>
      <c r="O82" s="5"/>
      <c r="P82" s="5"/>
      <c r="Q82" s="5"/>
    </row>
    <row r="83" spans="1:17" ht="13" x14ac:dyDescent="0.15">
      <c r="A83" s="23" t="str">
        <f ca="1">IFERROR(__xludf.DUMMYFUNCTION("""COMPUTED_VALUE"""),"74356")</f>
        <v>74356</v>
      </c>
      <c r="B83" s="23">
        <f ca="1">IFERROR(__xludf.DUMMYFUNCTION("""COMPUTED_VALUE"""),507035.628231)</f>
        <v>507035.62823099998</v>
      </c>
      <c r="C83" s="19">
        <f ca="1">IFERROR(__xludf.DUMMYFUNCTION("""COMPUTED_VALUE"""),122603.193902499)</f>
        <v>122603.193902499</v>
      </c>
      <c r="D83" s="19">
        <f ca="1">IFERROR(__xludf.DUMMYFUNCTION("""COMPUTED_VALUE"""),0)</f>
        <v>0</v>
      </c>
      <c r="E83" s="21">
        <f ca="1">IFERROR(__xludf.DUMMYFUNCTION("""COMPUTED_VALUE"""),0.014071256462)</f>
        <v>1.4071256462E-2</v>
      </c>
      <c r="F83" s="5"/>
      <c r="G83" s="8">
        <f ca="1">IFERROR(__xludf.DUMMYFUNCTION("""COMPUTED_VALUE"""),22)</f>
        <v>22</v>
      </c>
      <c r="H83" s="5"/>
      <c r="I83" s="5"/>
      <c r="J83" s="5"/>
      <c r="K83" s="5"/>
      <c r="L83" s="5"/>
      <c r="M83" s="5"/>
      <c r="N83" s="5"/>
      <c r="O83" s="5"/>
      <c r="P83" s="5"/>
      <c r="Q83" s="5"/>
    </row>
    <row r="84" spans="1:17" ht="13" x14ac:dyDescent="0.15">
      <c r="A84" s="23" t="str">
        <f ca="1">IFERROR(__xludf.DUMMYFUNCTION("""COMPUTED_VALUE"""),"74641")</f>
        <v>74641</v>
      </c>
      <c r="B84" s="23">
        <f ca="1">IFERROR(__xludf.DUMMYFUNCTION("""COMPUTED_VALUE"""),494685.39051)</f>
        <v>494685.39051</v>
      </c>
      <c r="C84" s="19">
        <f ca="1">IFERROR(__xludf.DUMMYFUNCTION("""COMPUTED_VALUE"""),465236.863589999)</f>
        <v>465236.86358999897</v>
      </c>
      <c r="D84" s="19">
        <f ca="1">IFERROR(__xludf.DUMMYFUNCTION("""COMPUTED_VALUE"""),0)</f>
        <v>0</v>
      </c>
      <c r="E84" s="21">
        <f ca="1">IFERROR(__xludf.DUMMYFUNCTION("""COMPUTED_VALUE"""),-0.01062921898)</f>
        <v>-1.0629218980000001E-2</v>
      </c>
      <c r="F84" s="5"/>
      <c r="G84" s="8">
        <f ca="1">IFERROR(__xludf.DUMMYFUNCTION("""COMPUTED_VALUE"""),89)</f>
        <v>89</v>
      </c>
      <c r="H84" s="5"/>
      <c r="I84" s="5"/>
      <c r="J84" s="5"/>
      <c r="K84" s="5"/>
      <c r="L84" s="5"/>
      <c r="M84" s="5"/>
      <c r="N84" s="5"/>
      <c r="O84" s="5"/>
      <c r="P84" s="5"/>
      <c r="Q84" s="5"/>
    </row>
    <row r="85" spans="1:17" ht="13" x14ac:dyDescent="0.15">
      <c r="A85" s="23" t="str">
        <f ca="1">IFERROR(__xludf.DUMMYFUNCTION("""COMPUTED_VALUE"""),"74972")</f>
        <v>74972</v>
      </c>
      <c r="B85" s="23">
        <f ca="1">IFERROR(__xludf.DUMMYFUNCTION("""COMPUTED_VALUE"""),500000)</f>
        <v>500000</v>
      </c>
      <c r="C85" s="19">
        <f ca="1">IFERROR(__xludf.DUMMYFUNCTION("""COMPUTED_VALUE"""),500000)</f>
        <v>500000</v>
      </c>
      <c r="D85" s="19">
        <f ca="1">IFERROR(__xludf.DUMMYFUNCTION("""COMPUTED_VALUE"""),0)</f>
        <v>0</v>
      </c>
      <c r="E85" s="21">
        <f ca="1">IFERROR(__xludf.DUMMYFUNCTION("""COMPUTED_VALUE"""),0)</f>
        <v>0</v>
      </c>
      <c r="F85" s="5"/>
      <c r="G85" s="8">
        <f ca="1">IFERROR(__xludf.DUMMYFUNCTION("""COMPUTED_VALUE"""),34)</f>
        <v>34</v>
      </c>
      <c r="H85" s="5"/>
      <c r="I85" s="5"/>
      <c r="J85" s="5"/>
      <c r="K85" s="5"/>
      <c r="L85" s="5"/>
      <c r="M85" s="5"/>
      <c r="N85" s="5"/>
      <c r="O85" s="5"/>
      <c r="P85" s="5"/>
      <c r="Q85" s="5"/>
    </row>
    <row r="86" spans="1:17" ht="13" x14ac:dyDescent="0.15">
      <c r="A86" s="23" t="str">
        <f ca="1">IFERROR(__xludf.DUMMYFUNCTION("""COMPUTED_VALUE"""),"75005")</f>
        <v>75005</v>
      </c>
      <c r="B86" s="23">
        <f ca="1">IFERROR(__xludf.DUMMYFUNCTION("""COMPUTED_VALUE"""),500000)</f>
        <v>500000</v>
      </c>
      <c r="C86" s="19">
        <f ca="1">IFERROR(__xludf.DUMMYFUNCTION("""COMPUTED_VALUE"""),500000)</f>
        <v>500000</v>
      </c>
      <c r="D86" s="19">
        <f ca="1">IFERROR(__xludf.DUMMYFUNCTION("""COMPUTED_VALUE"""),0)</f>
        <v>0</v>
      </c>
      <c r="E86" s="21">
        <f ca="1">IFERROR(__xludf.DUMMYFUNCTION("""COMPUTED_VALUE"""),0)</f>
        <v>0</v>
      </c>
      <c r="F86" s="5"/>
      <c r="G86" s="8">
        <f ca="1">IFERROR(__xludf.DUMMYFUNCTION("""COMPUTED_VALUE"""),34)</f>
        <v>34</v>
      </c>
      <c r="H86" s="5"/>
      <c r="I86" s="5"/>
      <c r="J86" s="5"/>
      <c r="K86" s="5"/>
      <c r="L86" s="5"/>
      <c r="M86" s="5"/>
      <c r="N86" s="5"/>
      <c r="O86" s="5"/>
      <c r="P86" s="5"/>
      <c r="Q86" s="5"/>
    </row>
    <row r="87" spans="1:17" ht="13" x14ac:dyDescent="0.15">
      <c r="A87" s="23" t="str">
        <f ca="1">IFERROR(__xludf.DUMMYFUNCTION("""COMPUTED_VALUE"""),"75076")</f>
        <v>75076</v>
      </c>
      <c r="B87" s="23">
        <f ca="1">IFERROR(__xludf.DUMMYFUNCTION("""COMPUTED_VALUE"""),540312.90648)</f>
        <v>540312.90648000001</v>
      </c>
      <c r="C87" s="19">
        <f ca="1">IFERROR(__xludf.DUMMYFUNCTION("""COMPUTED_VALUE"""),60614.2809199999)</f>
        <v>60614.280919999903</v>
      </c>
      <c r="D87" s="19">
        <f ca="1">IFERROR(__xludf.DUMMYFUNCTION("""COMPUTED_VALUE"""),0)</f>
        <v>0</v>
      </c>
      <c r="E87" s="21">
        <f ca="1">IFERROR(__xludf.DUMMYFUNCTION("""COMPUTED_VALUE"""),0.0806258129600001)</f>
        <v>8.0625812960000098E-2</v>
      </c>
      <c r="F87" s="5"/>
      <c r="G87" s="8">
        <f ca="1">IFERROR(__xludf.DUMMYFUNCTION("""COMPUTED_VALUE"""),10)</f>
        <v>10</v>
      </c>
      <c r="H87" s="5"/>
      <c r="I87" s="5"/>
      <c r="J87" s="5"/>
      <c r="K87" s="5"/>
      <c r="L87" s="5"/>
      <c r="M87" s="5"/>
      <c r="N87" s="5"/>
      <c r="O87" s="5"/>
      <c r="P87" s="5"/>
      <c r="Q87" s="5"/>
    </row>
    <row r="88" spans="1:17" ht="13" x14ac:dyDescent="0.15">
      <c r="A88" s="23" t="str">
        <f ca="1">IFERROR(__xludf.DUMMYFUNCTION("""COMPUTED_VALUE"""),"75288")</f>
        <v>75288</v>
      </c>
      <c r="B88" s="23">
        <f ca="1">IFERROR(__xludf.DUMMYFUNCTION("""COMPUTED_VALUE"""),485773.1)</f>
        <v>485773.1</v>
      </c>
      <c r="C88" s="19">
        <f ca="1">IFERROR(__xludf.DUMMYFUNCTION("""COMPUTED_VALUE"""),368087.22)</f>
        <v>368087.22</v>
      </c>
      <c r="D88" s="19">
        <f ca="1">IFERROR(__xludf.DUMMYFUNCTION("""COMPUTED_VALUE"""),0)</f>
        <v>0</v>
      </c>
      <c r="E88" s="21">
        <f ca="1">IFERROR(__xludf.DUMMYFUNCTION("""COMPUTED_VALUE"""),-0.0284538)</f>
        <v>-2.8453800000000001E-2</v>
      </c>
      <c r="F88" s="5"/>
      <c r="G88" s="8">
        <f ca="1">IFERROR(__xludf.DUMMYFUNCTION("""COMPUTED_VALUE"""),99)</f>
        <v>99</v>
      </c>
      <c r="H88" s="5"/>
      <c r="I88" s="5"/>
      <c r="J88" s="5"/>
      <c r="K88" s="5"/>
      <c r="L88" s="5"/>
      <c r="M88" s="5"/>
      <c r="N88" s="5"/>
      <c r="O88" s="5"/>
      <c r="P88" s="5"/>
      <c r="Q88" s="5"/>
    </row>
    <row r="89" spans="1:17" ht="13" x14ac:dyDescent="0.15">
      <c r="A89" s="23" t="str">
        <f ca="1">IFERROR(__xludf.DUMMYFUNCTION("""COMPUTED_VALUE"""),"75369")</f>
        <v>75369</v>
      </c>
      <c r="B89" s="23">
        <f ca="1">IFERROR(__xludf.DUMMYFUNCTION("""COMPUTED_VALUE"""),500000)</f>
        <v>500000</v>
      </c>
      <c r="C89" s="19">
        <f ca="1">IFERROR(__xludf.DUMMYFUNCTION("""COMPUTED_VALUE"""),500000)</f>
        <v>500000</v>
      </c>
      <c r="D89" s="19">
        <f ca="1">IFERROR(__xludf.DUMMYFUNCTION("""COMPUTED_VALUE"""),0)</f>
        <v>0</v>
      </c>
      <c r="E89" s="21">
        <f ca="1">IFERROR(__xludf.DUMMYFUNCTION("""COMPUTED_VALUE"""),0)</f>
        <v>0</v>
      </c>
      <c r="F89" s="5"/>
      <c r="G89" s="8">
        <f ca="1">IFERROR(__xludf.DUMMYFUNCTION("""COMPUTED_VALUE"""),34)</f>
        <v>34</v>
      </c>
      <c r="H89" s="5"/>
      <c r="I89" s="5"/>
      <c r="J89" s="5"/>
      <c r="K89" s="5"/>
      <c r="L89" s="5"/>
      <c r="M89" s="5"/>
      <c r="N89" s="5"/>
      <c r="O89" s="5"/>
      <c r="P89" s="5"/>
      <c r="Q89" s="5"/>
    </row>
    <row r="90" spans="1:17" ht="13" x14ac:dyDescent="0.15">
      <c r="A90" s="23" t="str">
        <f ca="1">IFERROR(__xludf.DUMMYFUNCTION("""COMPUTED_VALUE"""),"75415")</f>
        <v>75415</v>
      </c>
      <c r="B90" s="23">
        <f ca="1">IFERROR(__xludf.DUMMYFUNCTION("""COMPUTED_VALUE"""),447847.917785)</f>
        <v>447847.917785</v>
      </c>
      <c r="C90" s="19">
        <f ca="1">IFERROR(__xludf.DUMMYFUNCTION("""COMPUTED_VALUE"""),10769.30504)</f>
        <v>10769.305039999999</v>
      </c>
      <c r="D90" s="19">
        <f ca="1">IFERROR(__xludf.DUMMYFUNCTION("""COMPUTED_VALUE"""),0)</f>
        <v>0</v>
      </c>
      <c r="E90" s="21">
        <f ca="1">IFERROR(__xludf.DUMMYFUNCTION("""COMPUTED_VALUE"""),-0.104304164429999)</f>
        <v>-0.104304164429999</v>
      </c>
      <c r="F90" s="5"/>
      <c r="G90" s="8">
        <f ca="1">IFERROR(__xludf.DUMMYFUNCTION("""COMPUTED_VALUE"""),111)</f>
        <v>111</v>
      </c>
      <c r="H90" s="5"/>
      <c r="I90" s="5"/>
      <c r="J90" s="5"/>
      <c r="K90" s="5"/>
      <c r="L90" s="5"/>
      <c r="M90" s="5"/>
      <c r="N90" s="5"/>
      <c r="O90" s="5"/>
      <c r="P90" s="5"/>
      <c r="Q90" s="5"/>
    </row>
    <row r="91" spans="1:17" ht="13" x14ac:dyDescent="0.15">
      <c r="A91" s="23" t="str">
        <f ca="1">IFERROR(__xludf.DUMMYFUNCTION("""COMPUTED_VALUE"""),"75597")</f>
        <v>75597</v>
      </c>
      <c r="B91" s="23">
        <f ca="1">IFERROR(__xludf.DUMMYFUNCTION("""COMPUTED_VALUE"""),502947.9527575)</f>
        <v>502947.9527575</v>
      </c>
      <c r="C91" s="19">
        <f ca="1">IFERROR(__xludf.DUMMYFUNCTION("""COMPUTED_VALUE"""),395088.830975)</f>
        <v>395088.83097499999</v>
      </c>
      <c r="D91" s="19">
        <f ca="1">IFERROR(__xludf.DUMMYFUNCTION("""COMPUTED_VALUE"""),0)</f>
        <v>0</v>
      </c>
      <c r="E91" s="21">
        <f ca="1">IFERROR(__xludf.DUMMYFUNCTION("""COMPUTED_VALUE"""),0.00589590551500007)</f>
        <v>5.8959055150000703E-3</v>
      </c>
      <c r="F91" s="5"/>
      <c r="G91" s="8">
        <f ca="1">IFERROR(__xludf.DUMMYFUNCTION("""COMPUTED_VALUE"""),28)</f>
        <v>28</v>
      </c>
      <c r="H91" s="5"/>
      <c r="I91" s="5"/>
      <c r="J91" s="5"/>
      <c r="K91" s="5"/>
      <c r="L91" s="5"/>
      <c r="M91" s="5"/>
      <c r="N91" s="5"/>
      <c r="O91" s="5"/>
      <c r="P91" s="5"/>
      <c r="Q91" s="5"/>
    </row>
    <row r="92" spans="1:17" ht="13" x14ac:dyDescent="0.15">
      <c r="A92" s="23" t="str">
        <f ca="1">IFERROR(__xludf.DUMMYFUNCTION("""COMPUTED_VALUE"""),"75965")</f>
        <v>75965</v>
      </c>
      <c r="B92" s="23">
        <f ca="1">IFERROR(__xludf.DUMMYFUNCTION("""COMPUTED_VALUE"""),570431.8733)</f>
        <v>570431.87329999998</v>
      </c>
      <c r="C92" s="19">
        <f ca="1">IFERROR(__xludf.DUMMYFUNCTION("""COMPUTED_VALUE"""),46638.806225)</f>
        <v>46638.806225</v>
      </c>
      <c r="D92" s="19">
        <f ca="1">IFERROR(__xludf.DUMMYFUNCTION("""COMPUTED_VALUE"""),0)</f>
        <v>0</v>
      </c>
      <c r="E92" s="21">
        <f ca="1">IFERROR(__xludf.DUMMYFUNCTION("""COMPUTED_VALUE"""),0.1408637466)</f>
        <v>0.14086374660000001</v>
      </c>
      <c r="F92" s="5"/>
      <c r="G92" s="8">
        <f ca="1">IFERROR(__xludf.DUMMYFUNCTION("""COMPUTED_VALUE"""),4)</f>
        <v>4</v>
      </c>
      <c r="H92" s="5"/>
      <c r="I92" s="5"/>
      <c r="J92" s="5"/>
      <c r="K92" s="5"/>
      <c r="L92" s="5"/>
      <c r="M92" s="5"/>
      <c r="N92" s="5"/>
      <c r="O92" s="5"/>
      <c r="P92" s="5"/>
      <c r="Q92" s="5"/>
    </row>
    <row r="93" spans="1:17" ht="13" x14ac:dyDescent="0.15">
      <c r="A93" s="23" t="str">
        <f ca="1">IFERROR(__xludf.DUMMYFUNCTION("""COMPUTED_VALUE"""),"75973")</f>
        <v>75973</v>
      </c>
      <c r="B93" s="23">
        <f ca="1">IFERROR(__xludf.DUMMYFUNCTION("""COMPUTED_VALUE"""),490747.984308705)</f>
        <v>490747.98430870502</v>
      </c>
      <c r="C93" s="19">
        <f ca="1">IFERROR(__xludf.DUMMYFUNCTION("""COMPUTED_VALUE"""),407479.84308705)</f>
        <v>407479.84308705002</v>
      </c>
      <c r="D93" s="19">
        <f ca="1">IFERROR(__xludf.DUMMYFUNCTION("""COMPUTED_VALUE"""),0)</f>
        <v>0</v>
      </c>
      <c r="E93" s="21">
        <f ca="1">IFERROR(__xludf.DUMMYFUNCTION("""COMPUTED_VALUE"""),-0.0185040313825899)</f>
        <v>-1.8504031382589901E-2</v>
      </c>
      <c r="F93" s="5"/>
      <c r="G93" s="8">
        <f ca="1">IFERROR(__xludf.DUMMYFUNCTION("""COMPUTED_VALUE"""),95)</f>
        <v>95</v>
      </c>
      <c r="H93" s="5"/>
      <c r="I93" s="5"/>
      <c r="J93" s="5"/>
      <c r="K93" s="5"/>
      <c r="L93" s="5"/>
      <c r="M93" s="5"/>
      <c r="N93" s="5"/>
      <c r="O93" s="5"/>
      <c r="P93" s="5"/>
      <c r="Q93" s="5"/>
    </row>
    <row r="94" spans="1:17" ht="13" x14ac:dyDescent="0.15">
      <c r="A94" s="23" t="str">
        <f ca="1">IFERROR(__xludf.DUMMYFUNCTION("""COMPUTED_VALUE"""),"76369")</f>
        <v>76369</v>
      </c>
      <c r="B94" s="23">
        <f ca="1">IFERROR(__xludf.DUMMYFUNCTION("""COMPUTED_VALUE"""),491353.7887595)</f>
        <v>491353.78875950002</v>
      </c>
      <c r="C94" s="19">
        <f ca="1">IFERROR(__xludf.DUMMYFUNCTION("""COMPUTED_VALUE"""),363843.55826975)</f>
        <v>363843.55826974998</v>
      </c>
      <c r="D94" s="19">
        <f ca="1">IFERROR(__xludf.DUMMYFUNCTION("""COMPUTED_VALUE"""),0)</f>
        <v>0</v>
      </c>
      <c r="E94" s="21">
        <f ca="1">IFERROR(__xludf.DUMMYFUNCTION("""COMPUTED_VALUE"""),-0.0172924224809999)</f>
        <v>-1.7292422480999901E-2</v>
      </c>
      <c r="F94" s="5"/>
      <c r="G94" s="8">
        <f ca="1">IFERROR(__xludf.DUMMYFUNCTION("""COMPUTED_VALUE"""),93)</f>
        <v>93</v>
      </c>
      <c r="H94" s="5"/>
      <c r="I94" s="5"/>
      <c r="J94" s="5"/>
      <c r="K94" s="5"/>
      <c r="L94" s="5"/>
      <c r="M94" s="5"/>
      <c r="N94" s="5"/>
      <c r="O94" s="5"/>
      <c r="P94" s="5"/>
      <c r="Q94" s="5"/>
    </row>
    <row r="95" spans="1:17" ht="13" x14ac:dyDescent="0.15">
      <c r="A95" s="23" t="str">
        <f ca="1">IFERROR(__xludf.DUMMYFUNCTION("""COMPUTED_VALUE"""),"76796")</f>
        <v>76796</v>
      </c>
      <c r="B95" s="23">
        <f ca="1">IFERROR(__xludf.DUMMYFUNCTION("""COMPUTED_VALUE"""),490868.5378)</f>
        <v>490868.53779999999</v>
      </c>
      <c r="C95" s="19">
        <f ca="1">IFERROR(__xludf.DUMMYFUNCTION("""COMPUTED_VALUE"""),257525.39665)</f>
        <v>257525.39665000001</v>
      </c>
      <c r="D95" s="19">
        <f ca="1">IFERROR(__xludf.DUMMYFUNCTION("""COMPUTED_VALUE"""),0)</f>
        <v>0</v>
      </c>
      <c r="E95" s="21">
        <f ca="1">IFERROR(__xludf.DUMMYFUNCTION("""COMPUTED_VALUE"""),-0.0182629243999998)</f>
        <v>-1.82629243999998E-2</v>
      </c>
      <c r="F95" s="5"/>
      <c r="G95" s="8">
        <f ca="1">IFERROR(__xludf.DUMMYFUNCTION("""COMPUTED_VALUE"""),94)</f>
        <v>94</v>
      </c>
      <c r="H95" s="5"/>
      <c r="I95" s="5"/>
      <c r="J95" s="5"/>
      <c r="K95" s="5"/>
      <c r="L95" s="5"/>
      <c r="M95" s="5"/>
      <c r="N95" s="5"/>
      <c r="O95" s="5"/>
      <c r="P95" s="5"/>
      <c r="Q95" s="5"/>
    </row>
    <row r="96" spans="1:17" ht="13" x14ac:dyDescent="0.15">
      <c r="A96" s="23" t="str">
        <f ca="1">IFERROR(__xludf.DUMMYFUNCTION("""COMPUTED_VALUE"""),"76848")</f>
        <v>76848</v>
      </c>
      <c r="B96" s="23">
        <f ca="1">IFERROR(__xludf.DUMMYFUNCTION("""COMPUTED_VALUE"""),494118.907923)</f>
        <v>494118.90792299999</v>
      </c>
      <c r="C96" s="19">
        <f ca="1">IFERROR(__xludf.DUMMYFUNCTION("""COMPUTED_VALUE"""),409714.769477499)</f>
        <v>409714.76947749901</v>
      </c>
      <c r="D96" s="19">
        <f ca="1">IFERROR(__xludf.DUMMYFUNCTION("""COMPUTED_VALUE"""),0)</f>
        <v>0</v>
      </c>
      <c r="E96" s="21">
        <f ca="1">IFERROR(__xludf.DUMMYFUNCTION("""COMPUTED_VALUE"""),-0.0117621841539998)</f>
        <v>-1.1762184153999799E-2</v>
      </c>
      <c r="F96" s="5"/>
      <c r="G96" s="8">
        <f ca="1">IFERROR(__xludf.DUMMYFUNCTION("""COMPUTED_VALUE"""),90)</f>
        <v>90</v>
      </c>
      <c r="H96" s="5"/>
      <c r="I96" s="5"/>
      <c r="J96" s="5"/>
      <c r="K96" s="5"/>
      <c r="L96" s="5"/>
      <c r="M96" s="5"/>
      <c r="N96" s="5"/>
      <c r="O96" s="5"/>
      <c r="P96" s="5"/>
      <c r="Q96" s="5"/>
    </row>
    <row r="97" spans="1:17" ht="13" x14ac:dyDescent="0.15">
      <c r="A97" s="23" t="str">
        <f ca="1">IFERROR(__xludf.DUMMYFUNCTION("""COMPUTED_VALUE"""),"76937")</f>
        <v>76937</v>
      </c>
      <c r="B97" s="23">
        <f ca="1">IFERROR(__xludf.DUMMYFUNCTION("""COMPUTED_VALUE"""),500000)</f>
        <v>500000</v>
      </c>
      <c r="C97" s="19">
        <f ca="1">IFERROR(__xludf.DUMMYFUNCTION("""COMPUTED_VALUE"""),500000)</f>
        <v>500000</v>
      </c>
      <c r="D97" s="19">
        <f ca="1">IFERROR(__xludf.DUMMYFUNCTION("""COMPUTED_VALUE"""),0)</f>
        <v>0</v>
      </c>
      <c r="E97" s="21">
        <f ca="1">IFERROR(__xludf.DUMMYFUNCTION("""COMPUTED_VALUE"""),0)</f>
        <v>0</v>
      </c>
      <c r="F97" s="5"/>
      <c r="G97" s="8">
        <f ca="1">IFERROR(__xludf.DUMMYFUNCTION("""COMPUTED_VALUE"""),34)</f>
        <v>34</v>
      </c>
      <c r="H97" s="5"/>
      <c r="I97" s="5"/>
      <c r="J97" s="5"/>
      <c r="K97" s="5"/>
      <c r="L97" s="5"/>
      <c r="M97" s="5"/>
      <c r="N97" s="5"/>
      <c r="O97" s="5"/>
      <c r="P97" s="5"/>
      <c r="Q97" s="5"/>
    </row>
    <row r="98" spans="1:17" ht="13" x14ac:dyDescent="0.15">
      <c r="A98" s="23" t="str">
        <f ca="1">IFERROR(__xludf.DUMMYFUNCTION("""COMPUTED_VALUE"""),"76938")</f>
        <v>76938</v>
      </c>
      <c r="B98" s="23">
        <f ca="1">IFERROR(__xludf.DUMMYFUNCTION("""COMPUTED_VALUE"""),500000)</f>
        <v>500000</v>
      </c>
      <c r="C98" s="19">
        <f ca="1">IFERROR(__xludf.DUMMYFUNCTION("""COMPUTED_VALUE"""),500000)</f>
        <v>500000</v>
      </c>
      <c r="D98" s="19">
        <f ca="1">IFERROR(__xludf.DUMMYFUNCTION("""COMPUTED_VALUE"""),0)</f>
        <v>0</v>
      </c>
      <c r="E98" s="21">
        <f ca="1">IFERROR(__xludf.DUMMYFUNCTION("""COMPUTED_VALUE"""),0)</f>
        <v>0</v>
      </c>
      <c r="F98" s="5"/>
      <c r="G98" s="8">
        <f ca="1">IFERROR(__xludf.DUMMYFUNCTION("""COMPUTED_VALUE"""),34)</f>
        <v>34</v>
      </c>
      <c r="H98" s="5"/>
      <c r="I98" s="5"/>
      <c r="J98" s="5"/>
      <c r="K98" s="5"/>
      <c r="L98" s="5"/>
      <c r="M98" s="5"/>
      <c r="N98" s="5"/>
      <c r="O98" s="5"/>
      <c r="P98" s="5"/>
      <c r="Q98" s="5"/>
    </row>
    <row r="99" spans="1:17" ht="13" x14ac:dyDescent="0.15">
      <c r="A99" s="23" t="str">
        <f ca="1">IFERROR(__xludf.DUMMYFUNCTION("""COMPUTED_VALUE"""),"76975")</f>
        <v>76975</v>
      </c>
      <c r="B99" s="23">
        <f ca="1">IFERROR(__xludf.DUMMYFUNCTION("""COMPUTED_VALUE"""),463468.551634)</f>
        <v>463468.55163399997</v>
      </c>
      <c r="C99" s="19">
        <f ca="1">IFERROR(__xludf.DUMMYFUNCTION("""COMPUTED_VALUE"""),131487.17922)</f>
        <v>131487.17921999999</v>
      </c>
      <c r="D99" s="19">
        <f ca="1">IFERROR(__xludf.DUMMYFUNCTION("""COMPUTED_VALUE"""),0)</f>
        <v>0</v>
      </c>
      <c r="E99" s="21">
        <f ca="1">IFERROR(__xludf.DUMMYFUNCTION("""COMPUTED_VALUE"""),-0.0730628967319999)</f>
        <v>-7.3062896731999893E-2</v>
      </c>
      <c r="F99" s="5"/>
      <c r="G99" s="8">
        <f ca="1">IFERROR(__xludf.DUMMYFUNCTION("""COMPUTED_VALUE"""),108)</f>
        <v>108</v>
      </c>
      <c r="H99" s="5"/>
      <c r="I99" s="5"/>
      <c r="J99" s="5"/>
      <c r="K99" s="5"/>
      <c r="L99" s="5"/>
      <c r="M99" s="5"/>
      <c r="N99" s="5"/>
      <c r="O99" s="5"/>
      <c r="P99" s="5"/>
      <c r="Q99" s="5"/>
    </row>
    <row r="100" spans="1:17" ht="13" x14ac:dyDescent="0.15">
      <c r="A100" s="23" t="str">
        <f ca="1">IFERROR(__xludf.DUMMYFUNCTION("""COMPUTED_VALUE"""),"77134")</f>
        <v>77134</v>
      </c>
      <c r="B100" s="23">
        <f ca="1">IFERROR(__xludf.DUMMYFUNCTION("""COMPUTED_VALUE"""),500000)</f>
        <v>500000</v>
      </c>
      <c r="C100" s="19">
        <f ca="1">IFERROR(__xludf.DUMMYFUNCTION("""COMPUTED_VALUE"""),500000)</f>
        <v>500000</v>
      </c>
      <c r="D100" s="19">
        <f ca="1">IFERROR(__xludf.DUMMYFUNCTION("""COMPUTED_VALUE"""),0)</f>
        <v>0</v>
      </c>
      <c r="E100" s="21">
        <f ca="1">IFERROR(__xludf.DUMMYFUNCTION("""COMPUTED_VALUE"""),0)</f>
        <v>0</v>
      </c>
      <c r="F100" s="5"/>
      <c r="G100" s="8">
        <f ca="1">IFERROR(__xludf.DUMMYFUNCTION("""COMPUTED_VALUE"""),34)</f>
        <v>34</v>
      </c>
      <c r="H100" s="5"/>
      <c r="I100" s="5"/>
      <c r="J100" s="5"/>
      <c r="K100" s="5"/>
      <c r="L100" s="5"/>
      <c r="M100" s="5"/>
      <c r="N100" s="5"/>
      <c r="O100" s="5"/>
      <c r="P100" s="5"/>
      <c r="Q100" s="5"/>
    </row>
    <row r="101" spans="1:17" ht="13" x14ac:dyDescent="0.15">
      <c r="A101" s="23" t="str">
        <f ca="1">IFERROR(__xludf.DUMMYFUNCTION("""COMPUTED_VALUE"""),"77216")</f>
        <v>77216</v>
      </c>
      <c r="B101" s="23">
        <f ca="1">IFERROR(__xludf.DUMMYFUNCTION("""COMPUTED_VALUE"""),500000)</f>
        <v>500000</v>
      </c>
      <c r="C101" s="19">
        <f ca="1">IFERROR(__xludf.DUMMYFUNCTION("""COMPUTED_VALUE"""),500000)</f>
        <v>500000</v>
      </c>
      <c r="D101" s="19">
        <f ca="1">IFERROR(__xludf.DUMMYFUNCTION("""COMPUTED_VALUE"""),0)</f>
        <v>0</v>
      </c>
      <c r="E101" s="21">
        <f ca="1">IFERROR(__xludf.DUMMYFUNCTION("""COMPUTED_VALUE"""),0)</f>
        <v>0</v>
      </c>
      <c r="F101" s="5"/>
      <c r="G101" s="8">
        <f ca="1">IFERROR(__xludf.DUMMYFUNCTION("""COMPUTED_VALUE"""),34)</f>
        <v>34</v>
      </c>
      <c r="H101" s="5"/>
      <c r="I101" s="5"/>
      <c r="J101" s="5"/>
      <c r="K101" s="5"/>
      <c r="L101" s="5"/>
      <c r="M101" s="5"/>
      <c r="N101" s="5"/>
      <c r="O101" s="5"/>
      <c r="P101" s="5"/>
      <c r="Q101" s="5"/>
    </row>
    <row r="102" spans="1:17" ht="13" x14ac:dyDescent="0.15">
      <c r="A102" s="23" t="str">
        <f ca="1">IFERROR(__xludf.DUMMYFUNCTION("""COMPUTED_VALUE"""),"77393")</f>
        <v>77393</v>
      </c>
      <c r="B102" s="23">
        <f ca="1">IFERROR(__xludf.DUMMYFUNCTION("""COMPUTED_VALUE"""),500000)</f>
        <v>500000</v>
      </c>
      <c r="C102" s="19">
        <f ca="1">IFERROR(__xludf.DUMMYFUNCTION("""COMPUTED_VALUE"""),500000)</f>
        <v>500000</v>
      </c>
      <c r="D102" s="19">
        <f ca="1">IFERROR(__xludf.DUMMYFUNCTION("""COMPUTED_VALUE"""),0)</f>
        <v>0</v>
      </c>
      <c r="E102" s="21">
        <f ca="1">IFERROR(__xludf.DUMMYFUNCTION("""COMPUTED_VALUE"""),0)</f>
        <v>0</v>
      </c>
      <c r="F102" s="5"/>
      <c r="G102" s="8">
        <f ca="1">IFERROR(__xludf.DUMMYFUNCTION("""COMPUTED_VALUE"""),34)</f>
        <v>34</v>
      </c>
      <c r="H102" s="5"/>
      <c r="I102" s="5"/>
      <c r="J102" s="5"/>
      <c r="K102" s="5"/>
      <c r="L102" s="5"/>
      <c r="M102" s="5"/>
      <c r="N102" s="5"/>
      <c r="O102" s="5"/>
      <c r="P102" s="5"/>
      <c r="Q102" s="5"/>
    </row>
    <row r="103" spans="1:17" ht="13" x14ac:dyDescent="0.15">
      <c r="A103" s="23" t="str">
        <f ca="1">IFERROR(__xludf.DUMMYFUNCTION("""COMPUTED_VALUE"""),"77603")</f>
        <v>77603</v>
      </c>
      <c r="B103" s="23">
        <f ca="1">IFERROR(__xludf.DUMMYFUNCTION("""COMPUTED_VALUE"""),640000)</f>
        <v>640000</v>
      </c>
      <c r="C103" s="19">
        <f ca="1">IFERROR(__xludf.DUMMYFUNCTION("""COMPUTED_VALUE"""),78600)</f>
        <v>78600</v>
      </c>
      <c r="D103" s="19">
        <f ca="1">IFERROR(__xludf.DUMMYFUNCTION("""COMPUTED_VALUE"""),0)</f>
        <v>0</v>
      </c>
      <c r="E103" s="21">
        <f ca="1">IFERROR(__xludf.DUMMYFUNCTION("""COMPUTED_VALUE"""),0.28)</f>
        <v>0.28000000000000003</v>
      </c>
      <c r="F103" s="5"/>
      <c r="G103" s="8">
        <f ca="1">IFERROR(__xludf.DUMMYFUNCTION("""COMPUTED_VALUE"""),3)</f>
        <v>3</v>
      </c>
      <c r="H103" s="5"/>
      <c r="I103" s="5"/>
      <c r="J103" s="5"/>
      <c r="K103" s="5"/>
      <c r="L103" s="5"/>
      <c r="M103" s="5"/>
      <c r="N103" s="5"/>
      <c r="O103" s="5"/>
      <c r="P103" s="5"/>
      <c r="Q103" s="5"/>
    </row>
    <row r="104" spans="1:17" ht="13" x14ac:dyDescent="0.15">
      <c r="A104" s="23" t="str">
        <f ca="1">IFERROR(__xludf.DUMMYFUNCTION("""COMPUTED_VALUE"""),"77665")</f>
        <v>77665</v>
      </c>
      <c r="B104" s="23">
        <f ca="1">IFERROR(__xludf.DUMMYFUNCTION("""COMPUTED_VALUE"""),500000)</f>
        <v>500000</v>
      </c>
      <c r="C104" s="19">
        <f ca="1">IFERROR(__xludf.DUMMYFUNCTION("""COMPUTED_VALUE"""),500000)</f>
        <v>500000</v>
      </c>
      <c r="D104" s="19">
        <f ca="1">IFERROR(__xludf.DUMMYFUNCTION("""COMPUTED_VALUE"""),0)</f>
        <v>0</v>
      </c>
      <c r="E104" s="21">
        <f ca="1">IFERROR(__xludf.DUMMYFUNCTION("""COMPUTED_VALUE"""),0)</f>
        <v>0</v>
      </c>
      <c r="F104" s="5"/>
      <c r="G104" s="8">
        <f ca="1">IFERROR(__xludf.DUMMYFUNCTION("""COMPUTED_VALUE"""),34)</f>
        <v>34</v>
      </c>
      <c r="H104" s="5"/>
      <c r="I104" s="5"/>
      <c r="J104" s="5"/>
      <c r="K104" s="5"/>
      <c r="L104" s="5"/>
      <c r="M104" s="5"/>
      <c r="N104" s="5"/>
      <c r="O104" s="5"/>
      <c r="P104" s="5"/>
      <c r="Q104" s="5"/>
    </row>
    <row r="105" spans="1:17" ht="13" x14ac:dyDescent="0.15">
      <c r="A105" s="23" t="str">
        <f ca="1">IFERROR(__xludf.DUMMYFUNCTION("""COMPUTED_VALUE"""),"77729")</f>
        <v>77729</v>
      </c>
      <c r="B105" s="23">
        <f ca="1">IFERROR(__xludf.DUMMYFUNCTION("""COMPUTED_VALUE"""),484393.8)</f>
        <v>484393.8</v>
      </c>
      <c r="C105" s="19">
        <f ca="1">IFERROR(__xludf.DUMMYFUNCTION("""COMPUTED_VALUE"""),213307.8)</f>
        <v>213307.8</v>
      </c>
      <c r="D105" s="19">
        <f ca="1">IFERROR(__xludf.DUMMYFUNCTION("""COMPUTED_VALUE"""),0)</f>
        <v>0</v>
      </c>
      <c r="E105" s="21">
        <f ca="1">IFERROR(__xludf.DUMMYFUNCTION("""COMPUTED_VALUE"""),-0.0312124)</f>
        <v>-3.1212400000000001E-2</v>
      </c>
      <c r="F105" s="5"/>
      <c r="G105" s="8">
        <f ca="1">IFERROR(__xludf.DUMMYFUNCTION("""COMPUTED_VALUE"""),101)</f>
        <v>101</v>
      </c>
      <c r="H105" s="5"/>
      <c r="I105" s="5"/>
      <c r="J105" s="5"/>
      <c r="K105" s="5"/>
      <c r="L105" s="5"/>
      <c r="M105" s="5"/>
      <c r="N105" s="5"/>
      <c r="O105" s="5"/>
      <c r="P105" s="5"/>
      <c r="Q105" s="5"/>
    </row>
    <row r="106" spans="1:17" ht="13" x14ac:dyDescent="0.15">
      <c r="A106" s="23" t="str">
        <f ca="1">IFERROR(__xludf.DUMMYFUNCTION("""COMPUTED_VALUE"""),"77936")</f>
        <v>77936</v>
      </c>
      <c r="B106" s="23">
        <f ca="1">IFERROR(__xludf.DUMMYFUNCTION("""COMPUTED_VALUE"""),557900)</f>
        <v>557900</v>
      </c>
      <c r="C106" s="19">
        <f ca="1">IFERROR(__xludf.DUMMYFUNCTION("""COMPUTED_VALUE"""),195630)</f>
        <v>195630</v>
      </c>
      <c r="D106" s="19">
        <f ca="1">IFERROR(__xludf.DUMMYFUNCTION("""COMPUTED_VALUE"""),0)</f>
        <v>0</v>
      </c>
      <c r="E106" s="21">
        <f ca="1">IFERROR(__xludf.DUMMYFUNCTION("""COMPUTED_VALUE"""),0.115799999999999)</f>
        <v>0.115799999999999</v>
      </c>
      <c r="F106" s="5"/>
      <c r="G106" s="8">
        <f ca="1">IFERROR(__xludf.DUMMYFUNCTION("""COMPUTED_VALUE"""),7)</f>
        <v>7</v>
      </c>
      <c r="H106" s="5"/>
      <c r="I106" s="5"/>
      <c r="J106" s="5"/>
      <c r="K106" s="5"/>
      <c r="L106" s="5"/>
      <c r="M106" s="5"/>
      <c r="N106" s="5"/>
      <c r="O106" s="5"/>
      <c r="P106" s="5"/>
      <c r="Q106" s="5"/>
    </row>
    <row r="107" spans="1:17" ht="13" x14ac:dyDescent="0.15">
      <c r="A107" s="23" t="str">
        <f ca="1">IFERROR(__xludf.DUMMYFUNCTION("""COMPUTED_VALUE"""),"79521")</f>
        <v>79521</v>
      </c>
      <c r="B107" s="23">
        <f ca="1">IFERROR(__xludf.DUMMYFUNCTION("""COMPUTED_VALUE"""),427266.659425)</f>
        <v>427266.65942500002</v>
      </c>
      <c r="C107" s="19">
        <f ca="1">IFERROR(__xludf.DUMMYFUNCTION("""COMPUTED_VALUE"""),348412.012875)</f>
        <v>348412.01287500001</v>
      </c>
      <c r="D107" s="19">
        <f ca="1">IFERROR(__xludf.DUMMYFUNCTION("""COMPUTED_VALUE"""),0)</f>
        <v>0</v>
      </c>
      <c r="E107" s="21">
        <f ca="1">IFERROR(__xludf.DUMMYFUNCTION("""COMPUTED_VALUE"""),-0.145466681149999)</f>
        <v>-0.145466681149999</v>
      </c>
      <c r="F107" s="5"/>
      <c r="G107" s="8">
        <f ca="1">IFERROR(__xludf.DUMMYFUNCTION("""COMPUTED_VALUE"""),112)</f>
        <v>112</v>
      </c>
      <c r="H107" s="5"/>
      <c r="I107" s="5"/>
      <c r="J107" s="5"/>
      <c r="K107" s="5"/>
      <c r="L107" s="5"/>
      <c r="M107" s="5"/>
      <c r="N107" s="5"/>
      <c r="O107" s="5"/>
      <c r="P107" s="5"/>
      <c r="Q107" s="5"/>
    </row>
    <row r="108" spans="1:17" ht="13" x14ac:dyDescent="0.15">
      <c r="A108" s="23" t="str">
        <f ca="1">IFERROR(__xludf.DUMMYFUNCTION("""COMPUTED_VALUE"""),"82124")</f>
        <v>82124</v>
      </c>
      <c r="B108" s="23">
        <f ca="1">IFERROR(__xludf.DUMMYFUNCTION("""COMPUTED_VALUE"""),527210)</f>
        <v>527210</v>
      </c>
      <c r="C108" s="19">
        <f ca="1">IFERROR(__xludf.DUMMYFUNCTION("""COMPUTED_VALUE"""),218680)</f>
        <v>218680</v>
      </c>
      <c r="D108" s="19">
        <f ca="1">IFERROR(__xludf.DUMMYFUNCTION("""COMPUTED_VALUE"""),0)</f>
        <v>0</v>
      </c>
      <c r="E108" s="21">
        <f ca="1">IFERROR(__xludf.DUMMYFUNCTION("""COMPUTED_VALUE"""),0.0544199999999999)</f>
        <v>5.4419999999999899E-2</v>
      </c>
      <c r="F108" s="5"/>
      <c r="G108" s="8">
        <f ca="1">IFERROR(__xludf.DUMMYFUNCTION("""COMPUTED_VALUE"""),13)</f>
        <v>13</v>
      </c>
      <c r="H108" s="5"/>
      <c r="I108" s="5"/>
      <c r="J108" s="5"/>
      <c r="K108" s="5"/>
      <c r="L108" s="5"/>
      <c r="M108" s="5"/>
      <c r="N108" s="5"/>
      <c r="O108" s="5"/>
      <c r="P108" s="5"/>
      <c r="Q108" s="5"/>
    </row>
    <row r="109" spans="1:17" ht="13" x14ac:dyDescent="0.15">
      <c r="A109" s="23" t="str">
        <f ca="1">IFERROR(__xludf.DUMMYFUNCTION("""COMPUTED_VALUE"""),"82458")</f>
        <v>82458</v>
      </c>
      <c r="B109" s="23">
        <f ca="1">IFERROR(__xludf.DUMMYFUNCTION("""COMPUTED_VALUE"""),500000)</f>
        <v>500000</v>
      </c>
      <c r="C109" s="19">
        <f ca="1">IFERROR(__xludf.DUMMYFUNCTION("""COMPUTED_VALUE"""),500000)</f>
        <v>500000</v>
      </c>
      <c r="D109" s="19">
        <f ca="1">IFERROR(__xludf.DUMMYFUNCTION("""COMPUTED_VALUE"""),0)</f>
        <v>0</v>
      </c>
      <c r="E109" s="21">
        <f ca="1">IFERROR(__xludf.DUMMYFUNCTION("""COMPUTED_VALUE"""),0)</f>
        <v>0</v>
      </c>
      <c r="F109" s="5"/>
      <c r="G109" s="8">
        <f ca="1">IFERROR(__xludf.DUMMYFUNCTION("""COMPUTED_VALUE"""),34)</f>
        <v>34</v>
      </c>
      <c r="H109" s="5"/>
      <c r="I109" s="5"/>
      <c r="J109" s="5"/>
      <c r="K109" s="5"/>
      <c r="L109" s="5"/>
      <c r="M109" s="5"/>
      <c r="N109" s="5"/>
      <c r="O109" s="5"/>
      <c r="P109" s="5"/>
      <c r="Q109" s="5"/>
    </row>
    <row r="110" spans="1:17" ht="13" x14ac:dyDescent="0.15">
      <c r="A110" s="23" t="str">
        <f ca="1">IFERROR(__xludf.DUMMYFUNCTION("""COMPUTED_VALUE"""),"82533")</f>
        <v>82533</v>
      </c>
      <c r="B110" s="23">
        <f ca="1">IFERROR(__xludf.DUMMYFUNCTION("""COMPUTED_VALUE"""),9365020.62875)</f>
        <v>9365020.6287500001</v>
      </c>
      <c r="C110" s="19">
        <f ca="1">IFERROR(__xludf.DUMMYFUNCTION("""COMPUTED_VALUE"""),9157545.50375)</f>
        <v>9157545.5037500001</v>
      </c>
      <c r="D110" s="19">
        <f ca="1">IFERROR(__xludf.DUMMYFUNCTION("""COMPUTED_VALUE"""),0)</f>
        <v>0</v>
      </c>
      <c r="E110" s="21">
        <f ca="1">IFERROR(__xludf.DUMMYFUNCTION("""COMPUTED_VALUE"""),17.7300412575)</f>
        <v>17.730041257500002</v>
      </c>
      <c r="F110" s="5"/>
      <c r="G110" s="8">
        <f ca="1">IFERROR(__xludf.DUMMYFUNCTION("""COMPUTED_VALUE"""),1)</f>
        <v>1</v>
      </c>
      <c r="H110" s="5"/>
      <c r="I110" s="5"/>
      <c r="J110" s="5"/>
      <c r="K110" s="5"/>
      <c r="L110" s="5"/>
      <c r="M110" s="5"/>
      <c r="N110" s="5"/>
      <c r="O110" s="5"/>
      <c r="P110" s="5"/>
      <c r="Q110" s="5"/>
    </row>
    <row r="111" spans="1:17" ht="13" x14ac:dyDescent="0.15">
      <c r="A111" s="23" t="str">
        <f ca="1">IFERROR(__xludf.DUMMYFUNCTION("""COMPUTED_VALUE"""),"83293")</f>
        <v>83293</v>
      </c>
      <c r="B111" s="23">
        <f ca="1">IFERROR(__xludf.DUMMYFUNCTION("""COMPUTED_VALUE"""),500000)</f>
        <v>500000</v>
      </c>
      <c r="C111" s="19">
        <f ca="1">IFERROR(__xludf.DUMMYFUNCTION("""COMPUTED_VALUE"""),500000)</f>
        <v>500000</v>
      </c>
      <c r="D111" s="19">
        <f ca="1">IFERROR(__xludf.DUMMYFUNCTION("""COMPUTED_VALUE"""),0)</f>
        <v>0</v>
      </c>
      <c r="E111" s="21">
        <f ca="1">IFERROR(__xludf.DUMMYFUNCTION("""COMPUTED_VALUE"""),0)</f>
        <v>0</v>
      </c>
      <c r="F111" s="5"/>
      <c r="G111" s="8">
        <f ca="1">IFERROR(__xludf.DUMMYFUNCTION("""COMPUTED_VALUE"""),34)</f>
        <v>34</v>
      </c>
      <c r="H111" s="5"/>
      <c r="I111" s="5"/>
      <c r="J111" s="5"/>
      <c r="K111" s="5"/>
      <c r="L111" s="5"/>
      <c r="M111" s="5"/>
      <c r="N111" s="5"/>
      <c r="O111" s="5"/>
      <c r="P111" s="5"/>
      <c r="Q111" s="5"/>
    </row>
    <row r="112" spans="1:17" ht="13" x14ac:dyDescent="0.15">
      <c r="A112" s="23" t="str">
        <f ca="1">IFERROR(__xludf.DUMMYFUNCTION("""COMPUTED_VALUE"""),"83314")</f>
        <v>83314</v>
      </c>
      <c r="B112" s="23">
        <f ca="1">IFERROR(__xludf.DUMMYFUNCTION("""COMPUTED_VALUE"""),500000)</f>
        <v>500000</v>
      </c>
      <c r="C112" s="19">
        <f ca="1">IFERROR(__xludf.DUMMYFUNCTION("""COMPUTED_VALUE"""),500000)</f>
        <v>500000</v>
      </c>
      <c r="D112" s="19">
        <f ca="1">IFERROR(__xludf.DUMMYFUNCTION("""COMPUTED_VALUE"""),0)</f>
        <v>0</v>
      </c>
      <c r="E112" s="21">
        <f ca="1">IFERROR(__xludf.DUMMYFUNCTION("""COMPUTED_VALUE"""),0)</f>
        <v>0</v>
      </c>
      <c r="F112" s="5"/>
      <c r="G112" s="8">
        <f ca="1">IFERROR(__xludf.DUMMYFUNCTION("""COMPUTED_VALUE"""),34)</f>
        <v>34</v>
      </c>
      <c r="H112" s="5"/>
      <c r="I112" s="5"/>
      <c r="J112" s="5"/>
      <c r="K112" s="5"/>
      <c r="L112" s="5"/>
      <c r="M112" s="5"/>
      <c r="N112" s="5"/>
      <c r="O112" s="5"/>
      <c r="P112" s="5"/>
      <c r="Q112" s="5"/>
    </row>
    <row r="113" spans="1:17" ht="13" x14ac:dyDescent="0.15">
      <c r="A113" s="23" t="str">
        <f ca="1">IFERROR(__xludf.DUMMYFUNCTION("""COMPUTED_VALUE"""),"84216")</f>
        <v>84216</v>
      </c>
      <c r="B113" s="23">
        <f ca="1">IFERROR(__xludf.DUMMYFUNCTION("""COMPUTED_VALUE"""),500000)</f>
        <v>500000</v>
      </c>
      <c r="C113" s="19">
        <f ca="1">IFERROR(__xludf.DUMMYFUNCTION("""COMPUTED_VALUE"""),500000)</f>
        <v>500000</v>
      </c>
      <c r="D113" s="19">
        <f ca="1">IFERROR(__xludf.DUMMYFUNCTION("""COMPUTED_VALUE"""),0)</f>
        <v>0</v>
      </c>
      <c r="E113" s="21">
        <f ca="1">IFERROR(__xludf.DUMMYFUNCTION("""COMPUTED_VALUE"""),0)</f>
        <v>0</v>
      </c>
      <c r="F113" s="5"/>
      <c r="G113" s="8">
        <f ca="1">IFERROR(__xludf.DUMMYFUNCTION("""COMPUTED_VALUE"""),34)</f>
        <v>34</v>
      </c>
      <c r="H113" s="5"/>
      <c r="I113" s="5"/>
      <c r="J113" s="5"/>
      <c r="K113" s="5"/>
      <c r="L113" s="5"/>
      <c r="M113" s="5"/>
      <c r="N113" s="5"/>
      <c r="O113" s="5"/>
      <c r="P113" s="5"/>
      <c r="Q113" s="5"/>
    </row>
    <row r="114" spans="1:17" ht="13" x14ac:dyDescent="0.15">
      <c r="A114" s="23" t="str">
        <f ca="1">IFERROR(__xludf.DUMMYFUNCTION("""COMPUTED_VALUE"""),"89651")</f>
        <v>89651</v>
      </c>
      <c r="B114" s="23">
        <f ca="1">IFERROR(__xludf.DUMMYFUNCTION("""COMPUTED_VALUE"""),500000)</f>
        <v>500000</v>
      </c>
      <c r="C114" s="19">
        <f ca="1">IFERROR(__xludf.DUMMYFUNCTION("""COMPUTED_VALUE"""),500000)</f>
        <v>500000</v>
      </c>
      <c r="D114" s="19">
        <f ca="1">IFERROR(__xludf.DUMMYFUNCTION("""COMPUTED_VALUE"""),0)</f>
        <v>0</v>
      </c>
      <c r="E114" s="21">
        <f ca="1">IFERROR(__xludf.DUMMYFUNCTION("""COMPUTED_VALUE"""),0)</f>
        <v>0</v>
      </c>
      <c r="F114" s="5"/>
      <c r="G114" s="8">
        <f ca="1">IFERROR(__xludf.DUMMYFUNCTION("""COMPUTED_VALUE"""),34)</f>
        <v>34</v>
      </c>
      <c r="H114" s="5"/>
      <c r="I114" s="5"/>
      <c r="J114" s="5"/>
      <c r="K114" s="5"/>
      <c r="L114" s="5"/>
      <c r="M114" s="5"/>
      <c r="N114" s="5"/>
      <c r="O114" s="5"/>
      <c r="P114" s="5"/>
      <c r="Q114" s="5"/>
    </row>
    <row r="115" spans="1:17" ht="13" x14ac:dyDescent="0.15">
      <c r="A115" s="23" t="str">
        <f ca="1">IFERROR(__xludf.DUMMYFUNCTION("""COMPUTED_VALUE"""),"89750")</f>
        <v>89750</v>
      </c>
      <c r="B115" s="23">
        <f ca="1">IFERROR(__xludf.DUMMYFUNCTION("""COMPUTED_VALUE"""),643820.839151)</f>
        <v>643820.83915100002</v>
      </c>
      <c r="C115" s="19">
        <f ca="1">IFERROR(__xludf.DUMMYFUNCTION("""COMPUTED_VALUE"""),64362.7910489999)</f>
        <v>64362.791048999898</v>
      </c>
      <c r="D115" s="19">
        <f ca="1">IFERROR(__xludf.DUMMYFUNCTION("""COMPUTED_VALUE"""),0)</f>
        <v>0</v>
      </c>
      <c r="E115" s="21">
        <f ca="1">IFERROR(__xludf.DUMMYFUNCTION("""COMPUTED_VALUE"""),0.287641678301999)</f>
        <v>0.28764167830199899</v>
      </c>
      <c r="F115" s="5"/>
      <c r="G115" s="8">
        <f ca="1">IFERROR(__xludf.DUMMYFUNCTION("""COMPUTED_VALUE"""),2)</f>
        <v>2</v>
      </c>
      <c r="H115" s="5"/>
      <c r="I115" s="5"/>
      <c r="J115" s="5"/>
      <c r="K115" s="5"/>
      <c r="L115" s="5"/>
      <c r="M115" s="5"/>
      <c r="N115" s="5"/>
      <c r="O115" s="5"/>
      <c r="P115" s="5"/>
      <c r="Q115" s="5"/>
    </row>
    <row r="116" spans="1:17" ht="13" x14ac:dyDescent="0.15">
      <c r="A116" s="23" t="str">
        <f ca="1">IFERROR(__xludf.DUMMYFUNCTION("""COMPUTED_VALUE"""),"89833")</f>
        <v>89833</v>
      </c>
      <c r="B116" s="23">
        <f ca="1">IFERROR(__xludf.DUMMYFUNCTION("""COMPUTED_VALUE"""),500000)</f>
        <v>500000</v>
      </c>
      <c r="C116" s="19">
        <f ca="1">IFERROR(__xludf.DUMMYFUNCTION("""COMPUTED_VALUE"""),500000)</f>
        <v>500000</v>
      </c>
      <c r="D116" s="19">
        <f ca="1">IFERROR(__xludf.DUMMYFUNCTION("""COMPUTED_VALUE"""),0)</f>
        <v>0</v>
      </c>
      <c r="E116" s="21">
        <f ca="1">IFERROR(__xludf.DUMMYFUNCTION("""COMPUTED_VALUE"""),0)</f>
        <v>0</v>
      </c>
      <c r="F116" s="5"/>
      <c r="G116" s="8">
        <f ca="1">IFERROR(__xludf.DUMMYFUNCTION("""COMPUTED_VALUE"""),34)</f>
        <v>34</v>
      </c>
      <c r="H116" s="5"/>
      <c r="I116" s="5"/>
      <c r="J116" s="5"/>
      <c r="K116" s="5"/>
      <c r="L116" s="5"/>
      <c r="M116" s="5"/>
      <c r="N116" s="5"/>
      <c r="O116" s="5"/>
      <c r="P116" s="5"/>
      <c r="Q116" s="5"/>
    </row>
    <row r="117" spans="1:17" ht="13" x14ac:dyDescent="0.15">
      <c r="A117" s="23" t="str">
        <f ca="1">IFERROR(__xludf.DUMMYFUNCTION("""COMPUTED_VALUE"""),"89845")</f>
        <v>89845</v>
      </c>
      <c r="B117" s="23">
        <f ca="1">IFERROR(__xludf.DUMMYFUNCTION("""COMPUTED_VALUE"""),500000)</f>
        <v>500000</v>
      </c>
      <c r="C117" s="19">
        <f ca="1">IFERROR(__xludf.DUMMYFUNCTION("""COMPUTED_VALUE"""),500000)</f>
        <v>500000</v>
      </c>
      <c r="D117" s="19">
        <f ca="1">IFERROR(__xludf.DUMMYFUNCTION("""COMPUTED_VALUE"""),0)</f>
        <v>0</v>
      </c>
      <c r="E117" s="21">
        <f ca="1">IFERROR(__xludf.DUMMYFUNCTION("""COMPUTED_VALUE"""),0)</f>
        <v>0</v>
      </c>
      <c r="F117" s="5"/>
      <c r="G117" s="8">
        <f ca="1">IFERROR(__xludf.DUMMYFUNCTION("""COMPUTED_VALUE"""),34)</f>
        <v>34</v>
      </c>
      <c r="H117" s="5"/>
      <c r="I117" s="5"/>
      <c r="J117" s="5"/>
      <c r="K117" s="5"/>
      <c r="L117" s="5"/>
      <c r="M117" s="5"/>
      <c r="N117" s="5"/>
      <c r="O117" s="5"/>
      <c r="P117" s="5"/>
      <c r="Q117" s="5"/>
    </row>
    <row r="118" spans="1:17" ht="13" x14ac:dyDescent="0.15">
      <c r="A118" s="23" t="str">
        <f ca="1">IFERROR(__xludf.DUMMYFUNCTION("""COMPUTED_VALUE"""),"95516")</f>
        <v>95516</v>
      </c>
      <c r="B118" s="23">
        <f ca="1">IFERROR(__xludf.DUMMYFUNCTION("""COMPUTED_VALUE"""),542650)</f>
        <v>542650</v>
      </c>
      <c r="C118" s="19">
        <f ca="1">IFERROR(__xludf.DUMMYFUNCTION("""COMPUTED_VALUE"""),5800)</f>
        <v>5800</v>
      </c>
      <c r="D118" s="19">
        <f ca="1">IFERROR(__xludf.DUMMYFUNCTION("""COMPUTED_VALUE"""),0)</f>
        <v>0</v>
      </c>
      <c r="E118" s="21">
        <f ca="1">IFERROR(__xludf.DUMMYFUNCTION("""COMPUTED_VALUE"""),0.0852999999999999)</f>
        <v>8.5299999999999904E-2</v>
      </c>
      <c r="F118" s="5"/>
      <c r="G118" s="8">
        <f ca="1">IFERROR(__xludf.DUMMYFUNCTION("""COMPUTED_VALUE"""),9)</f>
        <v>9</v>
      </c>
      <c r="H118" s="5"/>
      <c r="I118" s="5"/>
      <c r="J118" s="5"/>
      <c r="K118" s="5"/>
      <c r="L118" s="5"/>
      <c r="M118" s="5"/>
      <c r="N118" s="5"/>
      <c r="O118" s="5"/>
      <c r="P118" s="5"/>
      <c r="Q118" s="5"/>
    </row>
    <row r="119" spans="1:17" ht="13" x14ac:dyDescent="0.15">
      <c r="A119" s="23" t="str">
        <f ca="1">IFERROR(__xludf.DUMMYFUNCTION("""COMPUTED_VALUE"""),"C0007")</f>
        <v>C0007</v>
      </c>
      <c r="B119" s="23">
        <f ca="1">IFERROR(__xludf.DUMMYFUNCTION("""COMPUTED_VALUE"""),500000)</f>
        <v>500000</v>
      </c>
      <c r="C119" s="19">
        <f ca="1">IFERROR(__xludf.DUMMYFUNCTION("""COMPUTED_VALUE"""),500000)</f>
        <v>500000</v>
      </c>
      <c r="D119" s="19">
        <f ca="1">IFERROR(__xludf.DUMMYFUNCTION("""COMPUTED_VALUE"""),0)</f>
        <v>0</v>
      </c>
      <c r="E119" s="21">
        <f ca="1">IFERROR(__xludf.DUMMYFUNCTION("""COMPUTED_VALUE"""),0)</f>
        <v>0</v>
      </c>
      <c r="F119" s="5"/>
      <c r="G119" s="5"/>
      <c r="H119" s="5"/>
      <c r="I119" s="5"/>
      <c r="J119" s="5"/>
      <c r="K119" s="5"/>
      <c r="L119" s="5"/>
      <c r="M119" s="5"/>
      <c r="N119" s="5"/>
      <c r="O119" s="5"/>
      <c r="P119" s="5"/>
      <c r="Q119" s="5"/>
    </row>
    <row r="120" spans="1:17" ht="13" x14ac:dyDescent="0.15">
      <c r="A120" s="23" t="str">
        <f ca="1">IFERROR(__xludf.DUMMYFUNCTION("""COMPUTED_VALUE"""),"MONKEY")</f>
        <v>MONKEY</v>
      </c>
      <c r="B120" s="23">
        <f ca="1">IFERROR(__xludf.DUMMYFUNCTION("""COMPUTED_VALUE"""),513811.6462565)</f>
        <v>513811.64625649998</v>
      </c>
      <c r="C120" s="19">
        <f ca="1">IFERROR(__xludf.DUMMYFUNCTION("""COMPUTED_VALUE"""),131473.7478175)</f>
        <v>131473.7478175</v>
      </c>
      <c r="D120" s="19">
        <f ca="1">IFERROR(__xludf.DUMMYFUNCTION("""COMPUTED_VALUE"""),0)</f>
        <v>0</v>
      </c>
      <c r="E120" s="21">
        <f ca="1">IFERROR(__xludf.DUMMYFUNCTION("""COMPUTED_VALUE"""),0.0276232925129999)</f>
        <v>2.76232925129999E-2</v>
      </c>
      <c r="F120" s="5"/>
      <c r="G120" s="5"/>
      <c r="H120" s="5"/>
      <c r="I120" s="5"/>
      <c r="J120" s="5"/>
      <c r="K120" s="5"/>
      <c r="L120" s="5"/>
      <c r="M120" s="5"/>
      <c r="N120" s="5"/>
      <c r="O120" s="5"/>
      <c r="P120" s="5"/>
      <c r="Q120" s="5"/>
    </row>
    <row r="121" spans="1:17" ht="13" x14ac:dyDescent="0.15">
      <c r="A121" s="23" t="str">
        <f ca="1">IFERROR(__xludf.DUMMYFUNCTION("""COMPUTED_VALUE"""),"Steve")</f>
        <v>Steve</v>
      </c>
      <c r="B121" s="23">
        <f ca="1">IFERROR(__xludf.DUMMYFUNCTION("""COMPUTED_VALUE"""),503828.4340625)</f>
        <v>503828.43406250002</v>
      </c>
      <c r="C121" s="19">
        <f ca="1">IFERROR(__xludf.DUMMYFUNCTION("""COMPUTED_VALUE"""),478358.8461425)</f>
        <v>478358.8461425</v>
      </c>
      <c r="D121" s="19">
        <f ca="1">IFERROR(__xludf.DUMMYFUNCTION("""COMPUTED_VALUE"""),0)</f>
        <v>0</v>
      </c>
      <c r="E121" s="21">
        <f ca="1">IFERROR(__xludf.DUMMYFUNCTION("""COMPUTED_VALUE"""),0.00765686812499999)</f>
        <v>7.6568681249999902E-3</v>
      </c>
      <c r="F121" s="5"/>
      <c r="G121" s="5"/>
      <c r="H121" s="5"/>
      <c r="I121" s="5"/>
      <c r="J121" s="5"/>
      <c r="K121" s="5"/>
      <c r="L121" s="5"/>
      <c r="M121" s="5"/>
      <c r="N121" s="5"/>
      <c r="O121" s="5"/>
      <c r="P121" s="5"/>
      <c r="Q121" s="5"/>
    </row>
    <row r="122" spans="1:17" ht="13" x14ac:dyDescent="0.15">
      <c r="A122" s="23" t="str">
        <f ca="1">IFERROR(__xludf.DUMMYFUNCTION("""COMPUTED_VALUE"""),"TraderX")</f>
        <v>TraderX</v>
      </c>
      <c r="B122" s="23">
        <f ca="1">IFERROR(__xludf.DUMMYFUNCTION("""COMPUTED_VALUE"""),530884.4954)</f>
        <v>530884.49540000001</v>
      </c>
      <c r="C122" s="19">
        <f ca="1">IFERROR(__xludf.DUMMYFUNCTION("""COMPUTED_VALUE"""),26833521.76)</f>
        <v>26833521.760000002</v>
      </c>
      <c r="D122" s="19">
        <f ca="1">IFERROR(__xludf.DUMMYFUNCTION("""COMPUTED_VALUE"""),0)</f>
        <v>0</v>
      </c>
      <c r="E122" s="21">
        <f ca="1">IFERROR(__xludf.DUMMYFUNCTION("""COMPUTED_VALUE"""),0.0617689908)</f>
        <v>6.17689908E-2</v>
      </c>
      <c r="F122" s="5"/>
      <c r="G122" s="5"/>
      <c r="H122" s="5"/>
      <c r="I122" s="5"/>
      <c r="J122" s="5"/>
      <c r="K122" s="5"/>
      <c r="L122" s="5"/>
      <c r="M122" s="5"/>
      <c r="N122" s="5"/>
      <c r="O122" s="5"/>
      <c r="P122" s="5"/>
      <c r="Q122" s="5"/>
    </row>
    <row r="123" spans="1:17" ht="13" x14ac:dyDescent="0.15">
      <c r="E123" s="21"/>
    </row>
    <row r="124" spans="1:17" ht="13" x14ac:dyDescent="0.15">
      <c r="E124" s="21"/>
    </row>
    <row r="125" spans="1:17" ht="13" x14ac:dyDescent="0.15">
      <c r="E125" s="21"/>
    </row>
    <row r="126" spans="1:17" ht="13" x14ac:dyDescent="0.15">
      <c r="E126" s="21"/>
    </row>
    <row r="127" spans="1:17" ht="13" x14ac:dyDescent="0.15">
      <c r="E127" s="21"/>
    </row>
    <row r="128" spans="1:17" ht="13" x14ac:dyDescent="0.15">
      <c r="E128" s="21"/>
    </row>
    <row r="129" spans="5:5" ht="13" x14ac:dyDescent="0.15">
      <c r="E129" s="21"/>
    </row>
    <row r="130" spans="5:5" ht="13" x14ac:dyDescent="0.15">
      <c r="E130" s="21"/>
    </row>
    <row r="131" spans="5:5" ht="13" x14ac:dyDescent="0.15">
      <c r="E131" s="21"/>
    </row>
    <row r="132" spans="5:5" ht="13" x14ac:dyDescent="0.15">
      <c r="E132" s="21"/>
    </row>
    <row r="133" spans="5:5" ht="13" x14ac:dyDescent="0.15">
      <c r="E133" s="21"/>
    </row>
    <row r="134" spans="5:5" ht="13" x14ac:dyDescent="0.15">
      <c r="E134" s="21"/>
    </row>
    <row r="135" spans="5:5" ht="13" x14ac:dyDescent="0.15">
      <c r="E135" s="21"/>
    </row>
    <row r="136" spans="5:5" ht="13" x14ac:dyDescent="0.15">
      <c r="E136" s="21"/>
    </row>
    <row r="137" spans="5:5" ht="13" x14ac:dyDescent="0.15">
      <c r="E137" s="21"/>
    </row>
    <row r="138" spans="5:5" ht="13" x14ac:dyDescent="0.15">
      <c r="E138" s="21"/>
    </row>
    <row r="139" spans="5:5" ht="13" x14ac:dyDescent="0.15">
      <c r="E139" s="21"/>
    </row>
    <row r="140" spans="5:5" ht="13" x14ac:dyDescent="0.15">
      <c r="E140" s="21"/>
    </row>
    <row r="141" spans="5:5" ht="13" x14ac:dyDescent="0.15">
      <c r="E141" s="21"/>
    </row>
    <row r="142" spans="5:5" ht="13" x14ac:dyDescent="0.15">
      <c r="E142" s="21"/>
    </row>
    <row r="143" spans="5:5" ht="13" x14ac:dyDescent="0.15">
      <c r="E143" s="21"/>
    </row>
    <row r="144" spans="5:5" ht="13" x14ac:dyDescent="0.15">
      <c r="E144" s="21"/>
    </row>
    <row r="145" spans="5:5" ht="13" x14ac:dyDescent="0.15">
      <c r="E145" s="21"/>
    </row>
    <row r="146" spans="5:5" ht="13" x14ac:dyDescent="0.15">
      <c r="E146" s="21"/>
    </row>
    <row r="147" spans="5:5" ht="13" x14ac:dyDescent="0.15">
      <c r="E147" s="21"/>
    </row>
    <row r="148" spans="5:5" ht="13" x14ac:dyDescent="0.15">
      <c r="E148" s="21"/>
    </row>
    <row r="149" spans="5:5" ht="13" x14ac:dyDescent="0.15">
      <c r="E149" s="21"/>
    </row>
    <row r="150" spans="5:5" ht="13" x14ac:dyDescent="0.15">
      <c r="E150" s="21"/>
    </row>
    <row r="151" spans="5:5" ht="13" x14ac:dyDescent="0.15">
      <c r="E151" s="21"/>
    </row>
    <row r="152" spans="5:5" ht="13" x14ac:dyDescent="0.15">
      <c r="E152" s="21"/>
    </row>
    <row r="153" spans="5:5" ht="13" x14ac:dyDescent="0.15">
      <c r="E153" s="21"/>
    </row>
    <row r="154" spans="5:5" ht="13" x14ac:dyDescent="0.15">
      <c r="E154" s="21"/>
    </row>
    <row r="155" spans="5:5" ht="13" x14ac:dyDescent="0.15">
      <c r="E155" s="21"/>
    </row>
    <row r="156" spans="5:5" ht="13" x14ac:dyDescent="0.15">
      <c r="E156" s="21"/>
    </row>
    <row r="157" spans="5:5" ht="13" x14ac:dyDescent="0.15">
      <c r="E157" s="21"/>
    </row>
    <row r="158" spans="5:5" ht="13" x14ac:dyDescent="0.15">
      <c r="E158" s="21"/>
    </row>
    <row r="159" spans="5:5" ht="13" x14ac:dyDescent="0.15">
      <c r="E159" s="21"/>
    </row>
    <row r="160" spans="5:5" ht="13" x14ac:dyDescent="0.15">
      <c r="E160" s="21"/>
    </row>
    <row r="161" spans="5:5" ht="13" x14ac:dyDescent="0.15">
      <c r="E161" s="21"/>
    </row>
    <row r="162" spans="5:5" ht="13" x14ac:dyDescent="0.15">
      <c r="E162" s="21"/>
    </row>
    <row r="163" spans="5:5" ht="13" x14ac:dyDescent="0.15">
      <c r="E163" s="21"/>
    </row>
    <row r="164" spans="5:5" ht="13" x14ac:dyDescent="0.15">
      <c r="E164" s="21"/>
    </row>
    <row r="165" spans="5:5" ht="13" x14ac:dyDescent="0.15">
      <c r="E165" s="21"/>
    </row>
    <row r="166" spans="5:5" ht="13" x14ac:dyDescent="0.15">
      <c r="E166" s="21"/>
    </row>
    <row r="167" spans="5:5" ht="13" x14ac:dyDescent="0.15">
      <c r="E167" s="21"/>
    </row>
    <row r="168" spans="5:5" ht="13" x14ac:dyDescent="0.15">
      <c r="E168" s="21"/>
    </row>
    <row r="169" spans="5:5" ht="13" x14ac:dyDescent="0.15">
      <c r="E169" s="21"/>
    </row>
    <row r="170" spans="5:5" ht="13" x14ac:dyDescent="0.15">
      <c r="E170" s="21"/>
    </row>
    <row r="171" spans="5:5" ht="13" x14ac:dyDescent="0.15">
      <c r="E171" s="21"/>
    </row>
    <row r="172" spans="5:5" ht="13" x14ac:dyDescent="0.15">
      <c r="E172" s="21"/>
    </row>
    <row r="173" spans="5:5" ht="13" x14ac:dyDescent="0.15">
      <c r="E173" s="21"/>
    </row>
    <row r="174" spans="5:5" ht="13" x14ac:dyDescent="0.15">
      <c r="E174" s="21"/>
    </row>
    <row r="175" spans="5:5" ht="13" x14ac:dyDescent="0.15">
      <c r="E175" s="21"/>
    </row>
    <row r="176" spans="5:5" ht="13" x14ac:dyDescent="0.15">
      <c r="E176" s="21"/>
    </row>
    <row r="177" spans="5:5" ht="13" x14ac:dyDescent="0.15">
      <c r="E177" s="21"/>
    </row>
    <row r="178" spans="5:5" ht="13" x14ac:dyDescent="0.15">
      <c r="E178" s="21"/>
    </row>
    <row r="179" spans="5:5" ht="13" x14ac:dyDescent="0.15">
      <c r="E179" s="21"/>
    </row>
    <row r="180" spans="5:5" ht="13" x14ac:dyDescent="0.15">
      <c r="E180" s="21"/>
    </row>
    <row r="181" spans="5:5" ht="13" x14ac:dyDescent="0.15">
      <c r="E181" s="21"/>
    </row>
    <row r="182" spans="5:5" ht="13" x14ac:dyDescent="0.15">
      <c r="E182" s="21"/>
    </row>
    <row r="183" spans="5:5" ht="13" x14ac:dyDescent="0.15">
      <c r="E183" s="21"/>
    </row>
    <row r="184" spans="5:5" ht="13" x14ac:dyDescent="0.15">
      <c r="E184" s="21"/>
    </row>
    <row r="185" spans="5:5" ht="13" x14ac:dyDescent="0.15">
      <c r="E185" s="21"/>
    </row>
    <row r="186" spans="5:5" ht="13" x14ac:dyDescent="0.15">
      <c r="E186" s="21"/>
    </row>
    <row r="187" spans="5:5" ht="13" x14ac:dyDescent="0.15">
      <c r="E187" s="21"/>
    </row>
    <row r="188" spans="5:5" ht="13" x14ac:dyDescent="0.15">
      <c r="E188" s="21"/>
    </row>
    <row r="189" spans="5:5" ht="13" x14ac:dyDescent="0.15">
      <c r="E189" s="21"/>
    </row>
    <row r="190" spans="5:5" ht="13" x14ac:dyDescent="0.15">
      <c r="E190" s="21"/>
    </row>
    <row r="191" spans="5:5" ht="13" x14ac:dyDescent="0.15">
      <c r="E191" s="21"/>
    </row>
    <row r="192" spans="5:5" ht="13" x14ac:dyDescent="0.15">
      <c r="E192" s="21"/>
    </row>
    <row r="193" spans="5:5" ht="13" x14ac:dyDescent="0.15">
      <c r="E193" s="21"/>
    </row>
    <row r="194" spans="5:5" ht="13" x14ac:dyDescent="0.15">
      <c r="E194" s="21"/>
    </row>
    <row r="195" spans="5:5" ht="13" x14ac:dyDescent="0.15">
      <c r="E195" s="21"/>
    </row>
    <row r="196" spans="5:5" ht="13" x14ac:dyDescent="0.15">
      <c r="E196" s="21"/>
    </row>
    <row r="197" spans="5:5" ht="13" x14ac:dyDescent="0.15">
      <c r="E197" s="21"/>
    </row>
    <row r="198" spans="5:5" ht="13" x14ac:dyDescent="0.15">
      <c r="E198" s="21"/>
    </row>
    <row r="199" spans="5:5" ht="13" x14ac:dyDescent="0.15">
      <c r="E199" s="21"/>
    </row>
    <row r="200" spans="5:5" ht="13" x14ac:dyDescent="0.15">
      <c r="E200" s="21"/>
    </row>
    <row r="201" spans="5:5" ht="13" x14ac:dyDescent="0.15">
      <c r="E201" s="21"/>
    </row>
    <row r="202" spans="5:5" ht="13" x14ac:dyDescent="0.15">
      <c r="E202" s="21"/>
    </row>
    <row r="203" spans="5:5" ht="13" x14ac:dyDescent="0.15">
      <c r="E203" s="21"/>
    </row>
    <row r="204" spans="5:5" ht="13" x14ac:dyDescent="0.15">
      <c r="E204" s="21"/>
    </row>
    <row r="205" spans="5:5" ht="13" x14ac:dyDescent="0.15">
      <c r="E205" s="21"/>
    </row>
    <row r="206" spans="5:5" ht="13" x14ac:dyDescent="0.15">
      <c r="E206" s="21"/>
    </row>
    <row r="207" spans="5:5" ht="13" x14ac:dyDescent="0.15">
      <c r="E207" s="21"/>
    </row>
    <row r="208" spans="5:5" ht="13" x14ac:dyDescent="0.15">
      <c r="E208" s="21"/>
    </row>
    <row r="209" spans="5:5" ht="13" x14ac:dyDescent="0.15">
      <c r="E209" s="21"/>
    </row>
    <row r="210" spans="5:5" ht="13" x14ac:dyDescent="0.15">
      <c r="E210" s="21"/>
    </row>
    <row r="211" spans="5:5" ht="13" x14ac:dyDescent="0.15">
      <c r="E211" s="21"/>
    </row>
    <row r="212" spans="5:5" ht="13" x14ac:dyDescent="0.15">
      <c r="E212" s="21"/>
    </row>
    <row r="213" spans="5:5" ht="13" x14ac:dyDescent="0.15">
      <c r="E213" s="21"/>
    </row>
    <row r="214" spans="5:5" ht="13" x14ac:dyDescent="0.15">
      <c r="E214" s="21"/>
    </row>
    <row r="215" spans="5:5" ht="13" x14ac:dyDescent="0.15">
      <c r="E215" s="21"/>
    </row>
    <row r="216" spans="5:5" ht="13" x14ac:dyDescent="0.15">
      <c r="E216" s="21"/>
    </row>
    <row r="217" spans="5:5" ht="13" x14ac:dyDescent="0.15">
      <c r="E217" s="21"/>
    </row>
    <row r="218" spans="5:5" ht="13" x14ac:dyDescent="0.15">
      <c r="E218" s="21"/>
    </row>
    <row r="219" spans="5:5" ht="13" x14ac:dyDescent="0.15">
      <c r="E219" s="21"/>
    </row>
    <row r="220" spans="5:5" ht="13" x14ac:dyDescent="0.15">
      <c r="E220" s="21"/>
    </row>
    <row r="221" spans="5:5" ht="13" x14ac:dyDescent="0.15">
      <c r="E221" s="21"/>
    </row>
    <row r="222" spans="5:5" ht="13" x14ac:dyDescent="0.15">
      <c r="E222" s="21"/>
    </row>
    <row r="223" spans="5:5" ht="13" x14ac:dyDescent="0.15">
      <c r="E223" s="21"/>
    </row>
    <row r="224" spans="5:5" ht="13" x14ac:dyDescent="0.15">
      <c r="E224" s="21"/>
    </row>
    <row r="225" spans="5:5" ht="13" x14ac:dyDescent="0.15">
      <c r="E225" s="21"/>
    </row>
    <row r="226" spans="5:5" ht="13" x14ac:dyDescent="0.15">
      <c r="E226" s="21"/>
    </row>
    <row r="227" spans="5:5" ht="13" x14ac:dyDescent="0.15">
      <c r="E227" s="21"/>
    </row>
    <row r="228" spans="5:5" ht="13" x14ac:dyDescent="0.15">
      <c r="E228" s="21"/>
    </row>
    <row r="229" spans="5:5" ht="13" x14ac:dyDescent="0.15">
      <c r="E229" s="21"/>
    </row>
    <row r="230" spans="5:5" ht="13" x14ac:dyDescent="0.15">
      <c r="E230" s="21"/>
    </row>
    <row r="231" spans="5:5" ht="13" x14ac:dyDescent="0.15">
      <c r="E231" s="21"/>
    </row>
    <row r="232" spans="5:5" ht="13" x14ac:dyDescent="0.15">
      <c r="E232" s="21"/>
    </row>
    <row r="233" spans="5:5" ht="13" x14ac:dyDescent="0.15">
      <c r="E233" s="21"/>
    </row>
    <row r="234" spans="5:5" ht="13" x14ac:dyDescent="0.15">
      <c r="E234" s="21"/>
    </row>
    <row r="235" spans="5:5" ht="13" x14ac:dyDescent="0.15">
      <c r="E235" s="21"/>
    </row>
    <row r="236" spans="5:5" ht="13" x14ac:dyDescent="0.15">
      <c r="E236" s="21"/>
    </row>
    <row r="237" spans="5:5" ht="13" x14ac:dyDescent="0.15">
      <c r="E237" s="21"/>
    </row>
    <row r="238" spans="5:5" ht="13" x14ac:dyDescent="0.15">
      <c r="E238" s="21"/>
    </row>
    <row r="239" spans="5:5" ht="13" x14ac:dyDescent="0.15">
      <c r="E239" s="21"/>
    </row>
    <row r="240" spans="5:5" ht="13" x14ac:dyDescent="0.15">
      <c r="E240" s="21"/>
    </row>
    <row r="241" spans="5:5" ht="13" x14ac:dyDescent="0.15">
      <c r="E241" s="21"/>
    </row>
    <row r="242" spans="5:5" ht="13" x14ac:dyDescent="0.15">
      <c r="E242" s="21"/>
    </row>
    <row r="243" spans="5:5" ht="13" x14ac:dyDescent="0.15">
      <c r="E243" s="21"/>
    </row>
    <row r="244" spans="5:5" ht="13" x14ac:dyDescent="0.15">
      <c r="E244" s="21"/>
    </row>
    <row r="245" spans="5:5" ht="13" x14ac:dyDescent="0.15">
      <c r="E245" s="21"/>
    </row>
    <row r="246" spans="5:5" ht="13" x14ac:dyDescent="0.15">
      <c r="E246" s="21"/>
    </row>
    <row r="247" spans="5:5" ht="13" x14ac:dyDescent="0.15">
      <c r="E247" s="21"/>
    </row>
    <row r="248" spans="5:5" ht="13" x14ac:dyDescent="0.15">
      <c r="E248" s="21"/>
    </row>
    <row r="249" spans="5:5" ht="13" x14ac:dyDescent="0.15">
      <c r="E249" s="21"/>
    </row>
    <row r="250" spans="5:5" ht="13" x14ac:dyDescent="0.15">
      <c r="E250" s="21"/>
    </row>
    <row r="251" spans="5:5" ht="13" x14ac:dyDescent="0.15">
      <c r="E251" s="21"/>
    </row>
    <row r="252" spans="5:5" ht="13" x14ac:dyDescent="0.15">
      <c r="E252" s="21"/>
    </row>
    <row r="253" spans="5:5" ht="13" x14ac:dyDescent="0.15">
      <c r="E253" s="21"/>
    </row>
    <row r="254" spans="5:5" ht="13" x14ac:dyDescent="0.15">
      <c r="E254" s="21"/>
    </row>
    <row r="255" spans="5:5" ht="13" x14ac:dyDescent="0.15">
      <c r="E255" s="21"/>
    </row>
    <row r="256" spans="5:5" ht="13" x14ac:dyDescent="0.15">
      <c r="E256" s="21"/>
    </row>
    <row r="257" spans="5:5" ht="13" x14ac:dyDescent="0.15">
      <c r="E257" s="21"/>
    </row>
    <row r="258" spans="5:5" ht="13" x14ac:dyDescent="0.15">
      <c r="E258" s="21"/>
    </row>
    <row r="259" spans="5:5" ht="13" x14ac:dyDescent="0.15">
      <c r="E259" s="21"/>
    </row>
    <row r="260" spans="5:5" ht="13" x14ac:dyDescent="0.15">
      <c r="E260" s="21"/>
    </row>
    <row r="261" spans="5:5" ht="13" x14ac:dyDescent="0.15">
      <c r="E261" s="21"/>
    </row>
    <row r="262" spans="5:5" ht="13" x14ac:dyDescent="0.15">
      <c r="E262" s="21"/>
    </row>
    <row r="263" spans="5:5" ht="13" x14ac:dyDescent="0.15">
      <c r="E263" s="21"/>
    </row>
    <row r="264" spans="5:5" ht="13" x14ac:dyDescent="0.15">
      <c r="E264" s="21"/>
    </row>
    <row r="265" spans="5:5" ht="13" x14ac:dyDescent="0.15">
      <c r="E265" s="21"/>
    </row>
    <row r="266" spans="5:5" ht="13" x14ac:dyDescent="0.15">
      <c r="E266" s="21"/>
    </row>
    <row r="267" spans="5:5" ht="13" x14ac:dyDescent="0.15">
      <c r="E267" s="21"/>
    </row>
    <row r="268" spans="5:5" ht="13" x14ac:dyDescent="0.15">
      <c r="E268" s="21"/>
    </row>
    <row r="269" spans="5:5" ht="13" x14ac:dyDescent="0.15">
      <c r="E269" s="21"/>
    </row>
    <row r="270" spans="5:5" ht="13" x14ac:dyDescent="0.15">
      <c r="E270" s="21"/>
    </row>
    <row r="271" spans="5:5" ht="13" x14ac:dyDescent="0.15">
      <c r="E271" s="21"/>
    </row>
    <row r="272" spans="5:5" ht="13" x14ac:dyDescent="0.15">
      <c r="E272" s="21"/>
    </row>
    <row r="273" spans="5:5" ht="13" x14ac:dyDescent="0.15">
      <c r="E273" s="21"/>
    </row>
    <row r="274" spans="5:5" ht="13" x14ac:dyDescent="0.15">
      <c r="E274" s="21"/>
    </row>
    <row r="275" spans="5:5" ht="13" x14ac:dyDescent="0.15">
      <c r="E275" s="21"/>
    </row>
    <row r="276" spans="5:5" ht="13" x14ac:dyDescent="0.15">
      <c r="E276" s="21"/>
    </row>
    <row r="277" spans="5:5" ht="13" x14ac:dyDescent="0.15">
      <c r="E277" s="21"/>
    </row>
    <row r="278" spans="5:5" ht="13" x14ac:dyDescent="0.15">
      <c r="E278" s="21"/>
    </row>
    <row r="279" spans="5:5" ht="13" x14ac:dyDescent="0.15">
      <c r="E279" s="21"/>
    </row>
    <row r="280" spans="5:5" ht="13" x14ac:dyDescent="0.15">
      <c r="E280" s="21"/>
    </row>
    <row r="281" spans="5:5" ht="13" x14ac:dyDescent="0.15">
      <c r="E281" s="21"/>
    </row>
    <row r="282" spans="5:5" ht="13" x14ac:dyDescent="0.15">
      <c r="E282" s="21"/>
    </row>
    <row r="283" spans="5:5" ht="13" x14ac:dyDescent="0.15">
      <c r="E283" s="21"/>
    </row>
    <row r="284" spans="5:5" ht="13" x14ac:dyDescent="0.15">
      <c r="E284" s="21"/>
    </row>
    <row r="285" spans="5:5" ht="13" x14ac:dyDescent="0.15">
      <c r="E285" s="21"/>
    </row>
    <row r="286" spans="5:5" ht="13" x14ac:dyDescent="0.15">
      <c r="E286" s="21"/>
    </row>
    <row r="287" spans="5:5" ht="13" x14ac:dyDescent="0.15">
      <c r="E287" s="21"/>
    </row>
    <row r="288" spans="5:5" ht="13" x14ac:dyDescent="0.15">
      <c r="E288" s="21"/>
    </row>
    <row r="289" spans="5:5" ht="13" x14ac:dyDescent="0.15">
      <c r="E289" s="21"/>
    </row>
    <row r="290" spans="5:5" ht="13" x14ac:dyDescent="0.15">
      <c r="E290" s="21"/>
    </row>
    <row r="291" spans="5:5" ht="13" x14ac:dyDescent="0.15">
      <c r="E291" s="21"/>
    </row>
    <row r="292" spans="5:5" ht="13" x14ac:dyDescent="0.15">
      <c r="E292" s="21"/>
    </row>
    <row r="293" spans="5:5" ht="13" x14ac:dyDescent="0.15">
      <c r="E293" s="21"/>
    </row>
    <row r="294" spans="5:5" ht="13" x14ac:dyDescent="0.15">
      <c r="E294" s="21"/>
    </row>
    <row r="295" spans="5:5" ht="13" x14ac:dyDescent="0.15">
      <c r="E295" s="21"/>
    </row>
    <row r="296" spans="5:5" ht="13" x14ac:dyDescent="0.15">
      <c r="E296" s="21"/>
    </row>
    <row r="297" spans="5:5" ht="13" x14ac:dyDescent="0.15">
      <c r="E297" s="21"/>
    </row>
    <row r="298" spans="5:5" ht="13" x14ac:dyDescent="0.15">
      <c r="E298" s="21"/>
    </row>
    <row r="299" spans="5:5" ht="13" x14ac:dyDescent="0.15">
      <c r="E299" s="21"/>
    </row>
    <row r="300" spans="5:5" ht="13" x14ac:dyDescent="0.15">
      <c r="E300" s="21"/>
    </row>
    <row r="301" spans="5:5" ht="13" x14ac:dyDescent="0.15">
      <c r="E301" s="21"/>
    </row>
    <row r="302" spans="5:5" ht="13" x14ac:dyDescent="0.15">
      <c r="E302" s="21"/>
    </row>
    <row r="303" spans="5:5" ht="13" x14ac:dyDescent="0.15">
      <c r="E303" s="21"/>
    </row>
    <row r="304" spans="5:5" ht="13" x14ac:dyDescent="0.15">
      <c r="E304" s="21"/>
    </row>
    <row r="305" spans="5:5" ht="13" x14ac:dyDescent="0.15">
      <c r="E305" s="21"/>
    </row>
    <row r="306" spans="5:5" ht="13" x14ac:dyDescent="0.15">
      <c r="E306" s="21"/>
    </row>
    <row r="307" spans="5:5" ht="13" x14ac:dyDescent="0.15">
      <c r="E307" s="21"/>
    </row>
    <row r="308" spans="5:5" ht="13" x14ac:dyDescent="0.15">
      <c r="E308" s="21"/>
    </row>
    <row r="309" spans="5:5" ht="13" x14ac:dyDescent="0.15">
      <c r="E309" s="21"/>
    </row>
    <row r="310" spans="5:5" ht="13" x14ac:dyDescent="0.15">
      <c r="E310" s="21"/>
    </row>
    <row r="311" spans="5:5" ht="13" x14ac:dyDescent="0.15">
      <c r="E311" s="21"/>
    </row>
    <row r="312" spans="5:5" ht="13" x14ac:dyDescent="0.15">
      <c r="E312" s="21"/>
    </row>
    <row r="313" spans="5:5" ht="13" x14ac:dyDescent="0.15">
      <c r="E313" s="21"/>
    </row>
    <row r="314" spans="5:5" ht="13" x14ac:dyDescent="0.15">
      <c r="E314" s="21"/>
    </row>
    <row r="315" spans="5:5" ht="13" x14ac:dyDescent="0.15">
      <c r="E315" s="21"/>
    </row>
    <row r="316" spans="5:5" ht="13" x14ac:dyDescent="0.15">
      <c r="E316" s="21"/>
    </row>
    <row r="317" spans="5:5" ht="13" x14ac:dyDescent="0.15">
      <c r="E317" s="21"/>
    </row>
    <row r="318" spans="5:5" ht="13" x14ac:dyDescent="0.15">
      <c r="E318" s="21"/>
    </row>
    <row r="319" spans="5:5" ht="13" x14ac:dyDescent="0.15">
      <c r="E319" s="21"/>
    </row>
    <row r="320" spans="5:5" ht="13" x14ac:dyDescent="0.15">
      <c r="E320" s="21"/>
    </row>
    <row r="321" spans="5:5" ht="13" x14ac:dyDescent="0.15">
      <c r="E321" s="21"/>
    </row>
    <row r="322" spans="5:5" ht="13" x14ac:dyDescent="0.15">
      <c r="E322" s="21"/>
    </row>
    <row r="323" spans="5:5" ht="13" x14ac:dyDescent="0.15">
      <c r="E323" s="21"/>
    </row>
    <row r="324" spans="5:5" ht="13" x14ac:dyDescent="0.15">
      <c r="E324" s="21"/>
    </row>
    <row r="325" spans="5:5" ht="13" x14ac:dyDescent="0.15">
      <c r="E325" s="21"/>
    </row>
    <row r="326" spans="5:5" ht="13" x14ac:dyDescent="0.15">
      <c r="E326" s="21"/>
    </row>
    <row r="327" spans="5:5" ht="13" x14ac:dyDescent="0.15">
      <c r="E327" s="21"/>
    </row>
    <row r="328" spans="5:5" ht="13" x14ac:dyDescent="0.15">
      <c r="E328" s="21"/>
    </row>
    <row r="329" spans="5:5" ht="13" x14ac:dyDescent="0.15">
      <c r="E329" s="21"/>
    </row>
    <row r="330" spans="5:5" ht="13" x14ac:dyDescent="0.15">
      <c r="E330" s="21"/>
    </row>
    <row r="331" spans="5:5" ht="13" x14ac:dyDescent="0.15">
      <c r="E331" s="21"/>
    </row>
    <row r="332" spans="5:5" ht="13" x14ac:dyDescent="0.15">
      <c r="E332" s="21"/>
    </row>
    <row r="333" spans="5:5" ht="13" x14ac:dyDescent="0.15">
      <c r="E333" s="21"/>
    </row>
    <row r="334" spans="5:5" ht="13" x14ac:dyDescent="0.15">
      <c r="E334" s="21"/>
    </row>
    <row r="335" spans="5:5" ht="13" x14ac:dyDescent="0.15">
      <c r="E335" s="21"/>
    </row>
    <row r="336" spans="5:5" ht="13" x14ac:dyDescent="0.15">
      <c r="E336" s="21"/>
    </row>
    <row r="337" spans="5:5" ht="13" x14ac:dyDescent="0.15">
      <c r="E337" s="21"/>
    </row>
    <row r="338" spans="5:5" ht="13" x14ac:dyDescent="0.15">
      <c r="E338" s="21"/>
    </row>
    <row r="339" spans="5:5" ht="13" x14ac:dyDescent="0.15">
      <c r="E339" s="21"/>
    </row>
    <row r="340" spans="5:5" ht="13" x14ac:dyDescent="0.15">
      <c r="E340" s="21"/>
    </row>
    <row r="341" spans="5:5" ht="13" x14ac:dyDescent="0.15">
      <c r="E341" s="21"/>
    </row>
    <row r="342" spans="5:5" ht="13" x14ac:dyDescent="0.15">
      <c r="E342" s="21"/>
    </row>
    <row r="343" spans="5:5" ht="13" x14ac:dyDescent="0.15">
      <c r="E343" s="21"/>
    </row>
    <row r="344" spans="5:5" ht="13" x14ac:dyDescent="0.15">
      <c r="E344" s="21"/>
    </row>
    <row r="345" spans="5:5" ht="13" x14ac:dyDescent="0.15">
      <c r="E345" s="21"/>
    </row>
    <row r="346" spans="5:5" ht="13" x14ac:dyDescent="0.15">
      <c r="E346" s="21"/>
    </row>
    <row r="347" spans="5:5" ht="13" x14ac:dyDescent="0.15">
      <c r="E347" s="21"/>
    </row>
    <row r="348" spans="5:5" ht="13" x14ac:dyDescent="0.15">
      <c r="E348" s="21"/>
    </row>
    <row r="349" spans="5:5" ht="13" x14ac:dyDescent="0.15">
      <c r="E349" s="21"/>
    </row>
    <row r="350" spans="5:5" ht="13" x14ac:dyDescent="0.15">
      <c r="E350" s="21"/>
    </row>
    <row r="351" spans="5:5" ht="13" x14ac:dyDescent="0.15">
      <c r="E351" s="21"/>
    </row>
    <row r="352" spans="5:5" ht="13" x14ac:dyDescent="0.15">
      <c r="E352" s="21"/>
    </row>
    <row r="353" spans="5:5" ht="13" x14ac:dyDescent="0.15">
      <c r="E353" s="21"/>
    </row>
    <row r="354" spans="5:5" ht="13" x14ac:dyDescent="0.15">
      <c r="E354" s="21"/>
    </row>
    <row r="355" spans="5:5" ht="13" x14ac:dyDescent="0.15">
      <c r="E355" s="21"/>
    </row>
    <row r="356" spans="5:5" ht="13" x14ac:dyDescent="0.15">
      <c r="E356" s="21"/>
    </row>
    <row r="357" spans="5:5" ht="13" x14ac:dyDescent="0.15">
      <c r="E357" s="21"/>
    </row>
    <row r="358" spans="5:5" ht="13" x14ac:dyDescent="0.15">
      <c r="E358" s="21"/>
    </row>
    <row r="359" spans="5:5" ht="13" x14ac:dyDescent="0.15">
      <c r="E359" s="21"/>
    </row>
    <row r="360" spans="5:5" ht="13" x14ac:dyDescent="0.15">
      <c r="E360" s="21"/>
    </row>
    <row r="361" spans="5:5" ht="13" x14ac:dyDescent="0.15">
      <c r="E361" s="21"/>
    </row>
    <row r="362" spans="5:5" ht="13" x14ac:dyDescent="0.15">
      <c r="E362" s="21"/>
    </row>
    <row r="363" spans="5:5" ht="13" x14ac:dyDescent="0.15">
      <c r="E363" s="21"/>
    </row>
    <row r="364" spans="5:5" ht="13" x14ac:dyDescent="0.15">
      <c r="E364" s="21"/>
    </row>
    <row r="365" spans="5:5" ht="13" x14ac:dyDescent="0.15">
      <c r="E365" s="21"/>
    </row>
    <row r="366" spans="5:5" ht="13" x14ac:dyDescent="0.15">
      <c r="E366" s="21"/>
    </row>
    <row r="367" spans="5:5" ht="13" x14ac:dyDescent="0.15">
      <c r="E367" s="21"/>
    </row>
    <row r="368" spans="5:5" ht="13" x14ac:dyDescent="0.15">
      <c r="E368" s="21"/>
    </row>
    <row r="369" spans="5:5" ht="13" x14ac:dyDescent="0.15">
      <c r="E369" s="21"/>
    </row>
    <row r="370" spans="5:5" ht="13" x14ac:dyDescent="0.15">
      <c r="E370" s="21"/>
    </row>
    <row r="371" spans="5:5" ht="13" x14ac:dyDescent="0.15">
      <c r="E371" s="21"/>
    </row>
    <row r="372" spans="5:5" ht="13" x14ac:dyDescent="0.15">
      <c r="E372" s="21"/>
    </row>
    <row r="373" spans="5:5" ht="13" x14ac:dyDescent="0.15">
      <c r="E373" s="21"/>
    </row>
    <row r="374" spans="5:5" ht="13" x14ac:dyDescent="0.15">
      <c r="E374" s="21"/>
    </row>
    <row r="375" spans="5:5" ht="13" x14ac:dyDescent="0.15">
      <c r="E375" s="21"/>
    </row>
    <row r="376" spans="5:5" ht="13" x14ac:dyDescent="0.15">
      <c r="E376" s="21"/>
    </row>
    <row r="377" spans="5:5" ht="13" x14ac:dyDescent="0.15">
      <c r="E377" s="21"/>
    </row>
    <row r="378" spans="5:5" ht="13" x14ac:dyDescent="0.15">
      <c r="E378" s="21"/>
    </row>
    <row r="379" spans="5:5" ht="13" x14ac:dyDescent="0.15">
      <c r="E379" s="21"/>
    </row>
    <row r="380" spans="5:5" ht="13" x14ac:dyDescent="0.15">
      <c r="E380" s="21"/>
    </row>
    <row r="381" spans="5:5" ht="13" x14ac:dyDescent="0.15">
      <c r="E381" s="21"/>
    </row>
    <row r="382" spans="5:5" ht="13" x14ac:dyDescent="0.15">
      <c r="E382" s="21"/>
    </row>
    <row r="383" spans="5:5" ht="13" x14ac:dyDescent="0.15">
      <c r="E383" s="21"/>
    </row>
    <row r="384" spans="5:5" ht="13" x14ac:dyDescent="0.15">
      <c r="E384" s="21"/>
    </row>
    <row r="385" spans="5:5" ht="13" x14ac:dyDescent="0.15">
      <c r="E385" s="21"/>
    </row>
    <row r="386" spans="5:5" ht="13" x14ac:dyDescent="0.15">
      <c r="E386" s="21"/>
    </row>
    <row r="387" spans="5:5" ht="13" x14ac:dyDescent="0.15">
      <c r="E387" s="21"/>
    </row>
    <row r="388" spans="5:5" ht="13" x14ac:dyDescent="0.15">
      <c r="E388" s="21"/>
    </row>
    <row r="389" spans="5:5" ht="13" x14ac:dyDescent="0.15">
      <c r="E389" s="21"/>
    </row>
    <row r="390" spans="5:5" ht="13" x14ac:dyDescent="0.15">
      <c r="E390" s="21"/>
    </row>
    <row r="391" spans="5:5" ht="13" x14ac:dyDescent="0.15">
      <c r="E391" s="21"/>
    </row>
    <row r="392" spans="5:5" ht="13" x14ac:dyDescent="0.15">
      <c r="E392" s="21"/>
    </row>
    <row r="393" spans="5:5" ht="13" x14ac:dyDescent="0.15">
      <c r="E393" s="21"/>
    </row>
    <row r="394" spans="5:5" ht="13" x14ac:dyDescent="0.15">
      <c r="E394" s="21"/>
    </row>
    <row r="395" spans="5:5" ht="13" x14ac:dyDescent="0.15">
      <c r="E395" s="21"/>
    </row>
    <row r="396" spans="5:5" ht="13" x14ac:dyDescent="0.15">
      <c r="E396" s="21"/>
    </row>
    <row r="397" spans="5:5" ht="13" x14ac:dyDescent="0.15">
      <c r="E397" s="21"/>
    </row>
    <row r="398" spans="5:5" ht="13" x14ac:dyDescent="0.15">
      <c r="E398" s="21"/>
    </row>
    <row r="399" spans="5:5" ht="13" x14ac:dyDescent="0.15">
      <c r="E399" s="21"/>
    </row>
    <row r="400" spans="5:5" ht="13" x14ac:dyDescent="0.15">
      <c r="E400" s="21"/>
    </row>
    <row r="401" spans="5:5" ht="13" x14ac:dyDescent="0.15">
      <c r="E401" s="21"/>
    </row>
    <row r="402" spans="5:5" ht="13" x14ac:dyDescent="0.15">
      <c r="E402" s="21"/>
    </row>
    <row r="403" spans="5:5" ht="13" x14ac:dyDescent="0.15">
      <c r="E403" s="21"/>
    </row>
    <row r="404" spans="5:5" ht="13" x14ac:dyDescent="0.15">
      <c r="E404" s="21"/>
    </row>
    <row r="405" spans="5:5" ht="13" x14ac:dyDescent="0.15">
      <c r="E405" s="21"/>
    </row>
    <row r="406" spans="5:5" ht="13" x14ac:dyDescent="0.15">
      <c r="E406" s="21"/>
    </row>
    <row r="407" spans="5:5" ht="13" x14ac:dyDescent="0.15">
      <c r="E407" s="21"/>
    </row>
    <row r="408" spans="5:5" ht="13" x14ac:dyDescent="0.15">
      <c r="E408" s="21"/>
    </row>
    <row r="409" spans="5:5" ht="13" x14ac:dyDescent="0.15">
      <c r="E409" s="21"/>
    </row>
    <row r="410" spans="5:5" ht="13" x14ac:dyDescent="0.15">
      <c r="E410" s="21"/>
    </row>
    <row r="411" spans="5:5" ht="13" x14ac:dyDescent="0.15">
      <c r="E411" s="21"/>
    </row>
    <row r="412" spans="5:5" ht="13" x14ac:dyDescent="0.15">
      <c r="E412" s="21"/>
    </row>
    <row r="413" spans="5:5" ht="13" x14ac:dyDescent="0.15">
      <c r="E413" s="21"/>
    </row>
    <row r="414" spans="5:5" ht="13" x14ac:dyDescent="0.15">
      <c r="E414" s="21"/>
    </row>
    <row r="415" spans="5:5" ht="13" x14ac:dyDescent="0.15">
      <c r="E415" s="21"/>
    </row>
    <row r="416" spans="5:5" ht="13" x14ac:dyDescent="0.15">
      <c r="E416" s="21"/>
    </row>
    <row r="417" spans="5:5" ht="13" x14ac:dyDescent="0.15">
      <c r="E417" s="21"/>
    </row>
    <row r="418" spans="5:5" ht="13" x14ac:dyDescent="0.15">
      <c r="E418" s="21"/>
    </row>
    <row r="419" spans="5:5" ht="13" x14ac:dyDescent="0.15">
      <c r="E419" s="21"/>
    </row>
    <row r="420" spans="5:5" ht="13" x14ac:dyDescent="0.15">
      <c r="E420" s="21"/>
    </row>
    <row r="421" spans="5:5" ht="13" x14ac:dyDescent="0.15">
      <c r="E421" s="21"/>
    </row>
    <row r="422" spans="5:5" ht="13" x14ac:dyDescent="0.15">
      <c r="E422" s="21"/>
    </row>
    <row r="423" spans="5:5" ht="13" x14ac:dyDescent="0.15">
      <c r="E423" s="21"/>
    </row>
    <row r="424" spans="5:5" ht="13" x14ac:dyDescent="0.15">
      <c r="E424" s="21"/>
    </row>
    <row r="425" spans="5:5" ht="13" x14ac:dyDescent="0.15">
      <c r="E425" s="21"/>
    </row>
    <row r="426" spans="5:5" ht="13" x14ac:dyDescent="0.15">
      <c r="E426" s="21"/>
    </row>
    <row r="427" spans="5:5" ht="13" x14ac:dyDescent="0.15">
      <c r="E427" s="21"/>
    </row>
    <row r="428" spans="5:5" ht="13" x14ac:dyDescent="0.15">
      <c r="E428" s="21"/>
    </row>
    <row r="429" spans="5:5" ht="13" x14ac:dyDescent="0.15">
      <c r="E429" s="21"/>
    </row>
    <row r="430" spans="5:5" ht="13" x14ac:dyDescent="0.15">
      <c r="E430" s="21"/>
    </row>
    <row r="431" spans="5:5" ht="13" x14ac:dyDescent="0.15">
      <c r="E431" s="21"/>
    </row>
    <row r="432" spans="5:5" ht="13" x14ac:dyDescent="0.15">
      <c r="E432" s="21"/>
    </row>
    <row r="433" spans="5:5" ht="13" x14ac:dyDescent="0.15">
      <c r="E433" s="21"/>
    </row>
    <row r="434" spans="5:5" ht="13" x14ac:dyDescent="0.15">
      <c r="E434" s="21"/>
    </row>
    <row r="435" spans="5:5" ht="13" x14ac:dyDescent="0.15">
      <c r="E435" s="21"/>
    </row>
    <row r="436" spans="5:5" ht="13" x14ac:dyDescent="0.15">
      <c r="E436" s="21"/>
    </row>
    <row r="437" spans="5:5" ht="13" x14ac:dyDescent="0.15">
      <c r="E437" s="21"/>
    </row>
    <row r="438" spans="5:5" ht="13" x14ac:dyDescent="0.15">
      <c r="E438" s="21"/>
    </row>
    <row r="439" spans="5:5" ht="13" x14ac:dyDescent="0.15">
      <c r="E439" s="21"/>
    </row>
    <row r="440" spans="5:5" ht="13" x14ac:dyDescent="0.15">
      <c r="E440" s="21"/>
    </row>
    <row r="441" spans="5:5" ht="13" x14ac:dyDescent="0.15">
      <c r="E441" s="21"/>
    </row>
    <row r="442" spans="5:5" ht="13" x14ac:dyDescent="0.15">
      <c r="E442" s="21"/>
    </row>
    <row r="443" spans="5:5" ht="13" x14ac:dyDescent="0.15">
      <c r="E443" s="21"/>
    </row>
    <row r="444" spans="5:5" ht="13" x14ac:dyDescent="0.15">
      <c r="E444" s="21"/>
    </row>
    <row r="445" spans="5:5" ht="13" x14ac:dyDescent="0.15">
      <c r="E445" s="21"/>
    </row>
    <row r="446" spans="5:5" ht="13" x14ac:dyDescent="0.15">
      <c r="E446" s="21"/>
    </row>
    <row r="447" spans="5:5" ht="13" x14ac:dyDescent="0.15">
      <c r="E447" s="21"/>
    </row>
    <row r="448" spans="5:5" ht="13" x14ac:dyDescent="0.15">
      <c r="E448" s="21"/>
    </row>
    <row r="449" spans="5:5" ht="13" x14ac:dyDescent="0.15">
      <c r="E449" s="21"/>
    </row>
    <row r="450" spans="5:5" ht="13" x14ac:dyDescent="0.15">
      <c r="E450" s="21"/>
    </row>
    <row r="451" spans="5:5" ht="13" x14ac:dyDescent="0.15">
      <c r="E451" s="21"/>
    </row>
    <row r="452" spans="5:5" ht="13" x14ac:dyDescent="0.15">
      <c r="E452" s="21"/>
    </row>
    <row r="453" spans="5:5" ht="13" x14ac:dyDescent="0.15">
      <c r="E453" s="21"/>
    </row>
    <row r="454" spans="5:5" ht="13" x14ac:dyDescent="0.15">
      <c r="E454" s="21"/>
    </row>
    <row r="455" spans="5:5" ht="13" x14ac:dyDescent="0.15">
      <c r="E455" s="21"/>
    </row>
    <row r="456" spans="5:5" ht="13" x14ac:dyDescent="0.15">
      <c r="E456" s="21"/>
    </row>
    <row r="457" spans="5:5" ht="13" x14ac:dyDescent="0.15">
      <c r="E457" s="21"/>
    </row>
    <row r="458" spans="5:5" ht="13" x14ac:dyDescent="0.15">
      <c r="E458" s="21"/>
    </row>
    <row r="459" spans="5:5" ht="13" x14ac:dyDescent="0.15">
      <c r="E459" s="21"/>
    </row>
    <row r="460" spans="5:5" ht="13" x14ac:dyDescent="0.15">
      <c r="E460" s="21"/>
    </row>
    <row r="461" spans="5:5" ht="13" x14ac:dyDescent="0.15">
      <c r="E461" s="21"/>
    </row>
    <row r="462" spans="5:5" ht="13" x14ac:dyDescent="0.15">
      <c r="E462" s="21"/>
    </row>
    <row r="463" spans="5:5" ht="13" x14ac:dyDescent="0.15">
      <c r="E463" s="21"/>
    </row>
    <row r="464" spans="5:5" ht="13" x14ac:dyDescent="0.15">
      <c r="E464" s="21"/>
    </row>
    <row r="465" spans="5:5" ht="13" x14ac:dyDescent="0.15">
      <c r="E465" s="21"/>
    </row>
    <row r="466" spans="5:5" ht="13" x14ac:dyDescent="0.15">
      <c r="E466" s="21"/>
    </row>
    <row r="467" spans="5:5" ht="13" x14ac:dyDescent="0.15">
      <c r="E467" s="21"/>
    </row>
    <row r="468" spans="5:5" ht="13" x14ac:dyDescent="0.15">
      <c r="E468" s="21"/>
    </row>
    <row r="469" spans="5:5" ht="13" x14ac:dyDescent="0.15">
      <c r="E469" s="21"/>
    </row>
    <row r="470" spans="5:5" ht="13" x14ac:dyDescent="0.15">
      <c r="E470" s="21"/>
    </row>
    <row r="471" spans="5:5" ht="13" x14ac:dyDescent="0.15">
      <c r="E471" s="21"/>
    </row>
    <row r="472" spans="5:5" ht="13" x14ac:dyDescent="0.15">
      <c r="E472" s="21"/>
    </row>
    <row r="473" spans="5:5" ht="13" x14ac:dyDescent="0.15">
      <c r="E473" s="21"/>
    </row>
    <row r="474" spans="5:5" ht="13" x14ac:dyDescent="0.15">
      <c r="E474" s="21"/>
    </row>
    <row r="475" spans="5:5" ht="13" x14ac:dyDescent="0.15">
      <c r="E475" s="21"/>
    </row>
    <row r="476" spans="5:5" ht="13" x14ac:dyDescent="0.15">
      <c r="E476" s="21"/>
    </row>
    <row r="477" spans="5:5" ht="13" x14ac:dyDescent="0.15">
      <c r="E477" s="21"/>
    </row>
    <row r="478" spans="5:5" ht="13" x14ac:dyDescent="0.15">
      <c r="E478" s="21"/>
    </row>
    <row r="479" spans="5:5" ht="13" x14ac:dyDescent="0.15">
      <c r="E479" s="21"/>
    </row>
    <row r="480" spans="5:5" ht="13" x14ac:dyDescent="0.15">
      <c r="E480" s="21"/>
    </row>
    <row r="481" spans="5:5" ht="13" x14ac:dyDescent="0.15">
      <c r="E481" s="21"/>
    </row>
    <row r="482" spans="5:5" ht="13" x14ac:dyDescent="0.15">
      <c r="E482" s="21"/>
    </row>
    <row r="483" spans="5:5" ht="13" x14ac:dyDescent="0.15">
      <c r="E483" s="21"/>
    </row>
    <row r="484" spans="5:5" ht="13" x14ac:dyDescent="0.15">
      <c r="E484" s="21"/>
    </row>
    <row r="485" spans="5:5" ht="13" x14ac:dyDescent="0.15">
      <c r="E485" s="21"/>
    </row>
    <row r="486" spans="5:5" ht="13" x14ac:dyDescent="0.15">
      <c r="E486" s="21"/>
    </row>
    <row r="487" spans="5:5" ht="13" x14ac:dyDescent="0.15">
      <c r="E487" s="21"/>
    </row>
    <row r="488" spans="5:5" ht="13" x14ac:dyDescent="0.15">
      <c r="E488" s="21"/>
    </row>
    <row r="489" spans="5:5" ht="13" x14ac:dyDescent="0.15">
      <c r="E489" s="21"/>
    </row>
    <row r="490" spans="5:5" ht="13" x14ac:dyDescent="0.15">
      <c r="E490" s="21"/>
    </row>
    <row r="491" spans="5:5" ht="13" x14ac:dyDescent="0.15">
      <c r="E491" s="21"/>
    </row>
    <row r="492" spans="5:5" ht="13" x14ac:dyDescent="0.15">
      <c r="E492" s="21"/>
    </row>
    <row r="493" spans="5:5" ht="13" x14ac:dyDescent="0.15">
      <c r="E493" s="21"/>
    </row>
    <row r="494" spans="5:5" ht="13" x14ac:dyDescent="0.15">
      <c r="E494" s="21"/>
    </row>
    <row r="495" spans="5:5" ht="13" x14ac:dyDescent="0.15">
      <c r="E495" s="21"/>
    </row>
    <row r="496" spans="5:5" ht="13" x14ac:dyDescent="0.15">
      <c r="E496" s="21"/>
    </row>
    <row r="497" spans="5:5" ht="13" x14ac:dyDescent="0.15">
      <c r="E497" s="21"/>
    </row>
    <row r="498" spans="5:5" ht="13" x14ac:dyDescent="0.15">
      <c r="E498" s="21"/>
    </row>
    <row r="499" spans="5:5" ht="13" x14ac:dyDescent="0.15">
      <c r="E499" s="21"/>
    </row>
    <row r="500" spans="5:5" ht="13" x14ac:dyDescent="0.15">
      <c r="E500" s="21"/>
    </row>
    <row r="501" spans="5:5" ht="13" x14ac:dyDescent="0.15">
      <c r="E501" s="21"/>
    </row>
    <row r="502" spans="5:5" ht="13" x14ac:dyDescent="0.15">
      <c r="E502" s="21"/>
    </row>
    <row r="503" spans="5:5" ht="13" x14ac:dyDescent="0.15">
      <c r="E503" s="21"/>
    </row>
    <row r="504" spans="5:5" ht="13" x14ac:dyDescent="0.15">
      <c r="E504" s="21"/>
    </row>
    <row r="505" spans="5:5" ht="13" x14ac:dyDescent="0.15">
      <c r="E505" s="21"/>
    </row>
    <row r="506" spans="5:5" ht="13" x14ac:dyDescent="0.15">
      <c r="E506" s="21"/>
    </row>
    <row r="507" spans="5:5" ht="13" x14ac:dyDescent="0.15">
      <c r="E507" s="21"/>
    </row>
    <row r="508" spans="5:5" ht="13" x14ac:dyDescent="0.15">
      <c r="E508" s="21"/>
    </row>
    <row r="509" spans="5:5" ht="13" x14ac:dyDescent="0.15">
      <c r="E509" s="21"/>
    </row>
    <row r="510" spans="5:5" ht="13" x14ac:dyDescent="0.15">
      <c r="E510" s="21"/>
    </row>
    <row r="511" spans="5:5" ht="13" x14ac:dyDescent="0.15">
      <c r="E511" s="21"/>
    </row>
    <row r="512" spans="5:5" ht="13" x14ac:dyDescent="0.15">
      <c r="E512" s="21"/>
    </row>
    <row r="513" spans="5:5" ht="13" x14ac:dyDescent="0.15">
      <c r="E513" s="21"/>
    </row>
    <row r="514" spans="5:5" ht="13" x14ac:dyDescent="0.15">
      <c r="E514" s="21"/>
    </row>
    <row r="515" spans="5:5" ht="13" x14ac:dyDescent="0.15">
      <c r="E515" s="21"/>
    </row>
    <row r="516" spans="5:5" ht="13" x14ac:dyDescent="0.15">
      <c r="E516" s="21"/>
    </row>
    <row r="517" spans="5:5" ht="13" x14ac:dyDescent="0.15">
      <c r="E517" s="21"/>
    </row>
    <row r="518" spans="5:5" ht="13" x14ac:dyDescent="0.15">
      <c r="E518" s="21"/>
    </row>
    <row r="519" spans="5:5" ht="13" x14ac:dyDescent="0.15">
      <c r="E519" s="21"/>
    </row>
    <row r="520" spans="5:5" ht="13" x14ac:dyDescent="0.15">
      <c r="E520" s="21"/>
    </row>
    <row r="521" spans="5:5" ht="13" x14ac:dyDescent="0.15">
      <c r="E521" s="21"/>
    </row>
    <row r="522" spans="5:5" ht="13" x14ac:dyDescent="0.15">
      <c r="E522" s="21"/>
    </row>
    <row r="523" spans="5:5" ht="13" x14ac:dyDescent="0.15">
      <c r="E523" s="21"/>
    </row>
    <row r="524" spans="5:5" ht="13" x14ac:dyDescent="0.15">
      <c r="E524" s="21"/>
    </row>
    <row r="525" spans="5:5" ht="13" x14ac:dyDescent="0.15">
      <c r="E525" s="21"/>
    </row>
    <row r="526" spans="5:5" ht="13" x14ac:dyDescent="0.15">
      <c r="E526" s="21"/>
    </row>
    <row r="527" spans="5:5" ht="13" x14ac:dyDescent="0.15">
      <c r="E527" s="21"/>
    </row>
    <row r="528" spans="5:5" ht="13" x14ac:dyDescent="0.15">
      <c r="E528" s="21"/>
    </row>
    <row r="529" spans="5:5" ht="13" x14ac:dyDescent="0.15">
      <c r="E529" s="21"/>
    </row>
    <row r="530" spans="5:5" ht="13" x14ac:dyDescent="0.15">
      <c r="E530" s="21"/>
    </row>
    <row r="531" spans="5:5" ht="13" x14ac:dyDescent="0.15">
      <c r="E531" s="21"/>
    </row>
    <row r="532" spans="5:5" ht="13" x14ac:dyDescent="0.15">
      <c r="E532" s="21"/>
    </row>
    <row r="533" spans="5:5" ht="13" x14ac:dyDescent="0.15">
      <c r="E533" s="21"/>
    </row>
    <row r="534" spans="5:5" ht="13" x14ac:dyDescent="0.15">
      <c r="E534" s="21"/>
    </row>
    <row r="535" spans="5:5" ht="13" x14ac:dyDescent="0.15">
      <c r="E535" s="21"/>
    </row>
    <row r="536" spans="5:5" ht="13" x14ac:dyDescent="0.15">
      <c r="E536" s="21"/>
    </row>
    <row r="537" spans="5:5" ht="13" x14ac:dyDescent="0.15">
      <c r="E537" s="21"/>
    </row>
    <row r="538" spans="5:5" ht="13" x14ac:dyDescent="0.15">
      <c r="E538" s="21"/>
    </row>
    <row r="539" spans="5:5" ht="13" x14ac:dyDescent="0.15">
      <c r="E539" s="21"/>
    </row>
    <row r="540" spans="5:5" ht="13" x14ac:dyDescent="0.15">
      <c r="E540" s="21"/>
    </row>
    <row r="541" spans="5:5" ht="13" x14ac:dyDescent="0.15">
      <c r="E541" s="21"/>
    </row>
    <row r="542" spans="5:5" ht="13" x14ac:dyDescent="0.15">
      <c r="E542" s="21"/>
    </row>
    <row r="543" spans="5:5" ht="13" x14ac:dyDescent="0.15">
      <c r="E543" s="21"/>
    </row>
    <row r="544" spans="5:5" ht="13" x14ac:dyDescent="0.15">
      <c r="E544" s="21"/>
    </row>
    <row r="545" spans="5:5" ht="13" x14ac:dyDescent="0.15">
      <c r="E545" s="21"/>
    </row>
    <row r="546" spans="5:5" ht="13" x14ac:dyDescent="0.15">
      <c r="E546" s="21"/>
    </row>
    <row r="547" spans="5:5" ht="13" x14ac:dyDescent="0.15">
      <c r="E547" s="21"/>
    </row>
    <row r="548" spans="5:5" ht="13" x14ac:dyDescent="0.15">
      <c r="E548" s="21"/>
    </row>
    <row r="549" spans="5:5" ht="13" x14ac:dyDescent="0.15">
      <c r="E549" s="21"/>
    </row>
    <row r="550" spans="5:5" ht="13" x14ac:dyDescent="0.15">
      <c r="E550" s="21"/>
    </row>
    <row r="551" spans="5:5" ht="13" x14ac:dyDescent="0.15">
      <c r="E551" s="21"/>
    </row>
    <row r="552" spans="5:5" ht="13" x14ac:dyDescent="0.15">
      <c r="E552" s="21"/>
    </row>
    <row r="553" spans="5:5" ht="13" x14ac:dyDescent="0.15">
      <c r="E553" s="21"/>
    </row>
    <row r="554" spans="5:5" ht="13" x14ac:dyDescent="0.15">
      <c r="E554" s="21"/>
    </row>
    <row r="555" spans="5:5" ht="13" x14ac:dyDescent="0.15">
      <c r="E555" s="21"/>
    </row>
    <row r="556" spans="5:5" ht="13" x14ac:dyDescent="0.15">
      <c r="E556" s="21"/>
    </row>
    <row r="557" spans="5:5" ht="13" x14ac:dyDescent="0.15">
      <c r="E557" s="21"/>
    </row>
    <row r="558" spans="5:5" ht="13" x14ac:dyDescent="0.15">
      <c r="E558" s="21"/>
    </row>
    <row r="559" spans="5:5" ht="13" x14ac:dyDescent="0.15">
      <c r="E559" s="21"/>
    </row>
    <row r="560" spans="5:5" ht="13" x14ac:dyDescent="0.15">
      <c r="E560" s="21"/>
    </row>
    <row r="561" spans="5:5" ht="13" x14ac:dyDescent="0.15">
      <c r="E561" s="21"/>
    </row>
    <row r="562" spans="5:5" ht="13" x14ac:dyDescent="0.15">
      <c r="E562" s="21"/>
    </row>
    <row r="563" spans="5:5" ht="13" x14ac:dyDescent="0.15">
      <c r="E563" s="21"/>
    </row>
    <row r="564" spans="5:5" ht="13" x14ac:dyDescent="0.15">
      <c r="E564" s="21"/>
    </row>
    <row r="565" spans="5:5" ht="13" x14ac:dyDescent="0.15">
      <c r="E565" s="21"/>
    </row>
    <row r="566" spans="5:5" ht="13" x14ac:dyDescent="0.15">
      <c r="E566" s="21"/>
    </row>
    <row r="567" spans="5:5" ht="13" x14ac:dyDescent="0.15">
      <c r="E567" s="21"/>
    </row>
    <row r="568" spans="5:5" ht="13" x14ac:dyDescent="0.15">
      <c r="E568" s="21"/>
    </row>
    <row r="569" spans="5:5" ht="13" x14ac:dyDescent="0.15">
      <c r="E569" s="21"/>
    </row>
    <row r="570" spans="5:5" ht="13" x14ac:dyDescent="0.15">
      <c r="E570" s="21"/>
    </row>
    <row r="571" spans="5:5" ht="13" x14ac:dyDescent="0.15">
      <c r="E571" s="21"/>
    </row>
    <row r="572" spans="5:5" ht="13" x14ac:dyDescent="0.15">
      <c r="E572" s="21"/>
    </row>
    <row r="573" spans="5:5" ht="13" x14ac:dyDescent="0.15">
      <c r="E573" s="21"/>
    </row>
    <row r="574" spans="5:5" ht="13" x14ac:dyDescent="0.15">
      <c r="E574" s="21"/>
    </row>
    <row r="575" spans="5:5" ht="13" x14ac:dyDescent="0.15">
      <c r="E575" s="21"/>
    </row>
    <row r="576" spans="5:5" ht="13" x14ac:dyDescent="0.15">
      <c r="E576" s="21"/>
    </row>
    <row r="577" spans="5:5" ht="13" x14ac:dyDescent="0.15">
      <c r="E577" s="21"/>
    </row>
    <row r="578" spans="5:5" ht="13" x14ac:dyDescent="0.15">
      <c r="E578" s="21"/>
    </row>
    <row r="579" spans="5:5" ht="13" x14ac:dyDescent="0.15">
      <c r="E579" s="21"/>
    </row>
    <row r="580" spans="5:5" ht="13" x14ac:dyDescent="0.15">
      <c r="E580" s="21"/>
    </row>
    <row r="581" spans="5:5" ht="13" x14ac:dyDescent="0.15">
      <c r="E581" s="21"/>
    </row>
    <row r="582" spans="5:5" ht="13" x14ac:dyDescent="0.15">
      <c r="E582" s="21"/>
    </row>
    <row r="583" spans="5:5" ht="13" x14ac:dyDescent="0.15">
      <c r="E583" s="21"/>
    </row>
    <row r="584" spans="5:5" ht="13" x14ac:dyDescent="0.15">
      <c r="E584" s="21"/>
    </row>
    <row r="585" spans="5:5" ht="13" x14ac:dyDescent="0.15">
      <c r="E585" s="21"/>
    </row>
    <row r="586" spans="5:5" ht="13" x14ac:dyDescent="0.15">
      <c r="E586" s="21"/>
    </row>
    <row r="587" spans="5:5" ht="13" x14ac:dyDescent="0.15">
      <c r="E587" s="21"/>
    </row>
    <row r="588" spans="5:5" ht="13" x14ac:dyDescent="0.15">
      <c r="E588" s="21"/>
    </row>
    <row r="589" spans="5:5" ht="13" x14ac:dyDescent="0.15">
      <c r="E589" s="21"/>
    </row>
    <row r="590" spans="5:5" ht="13" x14ac:dyDescent="0.15">
      <c r="E590" s="21"/>
    </row>
    <row r="591" spans="5:5" ht="13" x14ac:dyDescent="0.15">
      <c r="E591" s="21"/>
    </row>
    <row r="592" spans="5:5" ht="13" x14ac:dyDescent="0.15">
      <c r="E592" s="21"/>
    </row>
    <row r="593" spans="5:5" ht="13" x14ac:dyDescent="0.15">
      <c r="E593" s="21"/>
    </row>
    <row r="594" spans="5:5" ht="13" x14ac:dyDescent="0.15">
      <c r="E594" s="21"/>
    </row>
    <row r="595" spans="5:5" ht="13" x14ac:dyDescent="0.15">
      <c r="E595" s="21"/>
    </row>
    <row r="596" spans="5:5" ht="13" x14ac:dyDescent="0.15">
      <c r="E596" s="21"/>
    </row>
    <row r="597" spans="5:5" ht="13" x14ac:dyDescent="0.15">
      <c r="E597" s="21"/>
    </row>
    <row r="598" spans="5:5" ht="13" x14ac:dyDescent="0.15">
      <c r="E598" s="21"/>
    </row>
    <row r="599" spans="5:5" ht="13" x14ac:dyDescent="0.15">
      <c r="E599" s="21"/>
    </row>
    <row r="600" spans="5:5" ht="13" x14ac:dyDescent="0.15">
      <c r="E600" s="21"/>
    </row>
    <row r="601" spans="5:5" ht="13" x14ac:dyDescent="0.15">
      <c r="E601" s="21"/>
    </row>
    <row r="602" spans="5:5" ht="13" x14ac:dyDescent="0.15">
      <c r="E602" s="21"/>
    </row>
    <row r="603" spans="5:5" ht="13" x14ac:dyDescent="0.15">
      <c r="E603" s="21"/>
    </row>
    <row r="604" spans="5:5" ht="13" x14ac:dyDescent="0.15">
      <c r="E604" s="21"/>
    </row>
    <row r="605" spans="5:5" ht="13" x14ac:dyDescent="0.15">
      <c r="E605" s="21"/>
    </row>
    <row r="606" spans="5:5" ht="13" x14ac:dyDescent="0.15">
      <c r="E606" s="21"/>
    </row>
    <row r="607" spans="5:5" ht="13" x14ac:dyDescent="0.15">
      <c r="E607" s="21"/>
    </row>
    <row r="608" spans="5:5" ht="13" x14ac:dyDescent="0.15">
      <c r="E608" s="21"/>
    </row>
    <row r="609" spans="5:5" ht="13" x14ac:dyDescent="0.15">
      <c r="E609" s="21"/>
    </row>
    <row r="610" spans="5:5" ht="13" x14ac:dyDescent="0.15">
      <c r="E610" s="21"/>
    </row>
    <row r="611" spans="5:5" ht="13" x14ac:dyDescent="0.15">
      <c r="E611" s="21"/>
    </row>
    <row r="612" spans="5:5" ht="13" x14ac:dyDescent="0.15">
      <c r="E612" s="21"/>
    </row>
    <row r="613" spans="5:5" ht="13" x14ac:dyDescent="0.15">
      <c r="E613" s="21"/>
    </row>
    <row r="614" spans="5:5" ht="13" x14ac:dyDescent="0.15">
      <c r="E614" s="21"/>
    </row>
    <row r="615" spans="5:5" ht="13" x14ac:dyDescent="0.15">
      <c r="E615" s="21"/>
    </row>
    <row r="616" spans="5:5" ht="13" x14ac:dyDescent="0.15">
      <c r="E616" s="21"/>
    </row>
    <row r="617" spans="5:5" ht="13" x14ac:dyDescent="0.15">
      <c r="E617" s="21"/>
    </row>
    <row r="618" spans="5:5" ht="13" x14ac:dyDescent="0.15">
      <c r="E618" s="21"/>
    </row>
    <row r="619" spans="5:5" ht="13" x14ac:dyDescent="0.15">
      <c r="E619" s="21"/>
    </row>
    <row r="620" spans="5:5" ht="13" x14ac:dyDescent="0.15">
      <c r="E620" s="21"/>
    </row>
    <row r="621" spans="5:5" ht="13" x14ac:dyDescent="0.15">
      <c r="E621" s="21"/>
    </row>
    <row r="622" spans="5:5" ht="13" x14ac:dyDescent="0.15">
      <c r="E622" s="21"/>
    </row>
    <row r="623" spans="5:5" ht="13" x14ac:dyDescent="0.15">
      <c r="E623" s="21"/>
    </row>
    <row r="624" spans="5:5" ht="13" x14ac:dyDescent="0.15">
      <c r="E624" s="21"/>
    </row>
    <row r="625" spans="5:5" ht="13" x14ac:dyDescent="0.15">
      <c r="E625" s="21"/>
    </row>
    <row r="626" spans="5:5" ht="13" x14ac:dyDescent="0.15">
      <c r="E626" s="21"/>
    </row>
    <row r="627" spans="5:5" ht="13" x14ac:dyDescent="0.15">
      <c r="E627" s="21"/>
    </row>
    <row r="628" spans="5:5" ht="13" x14ac:dyDescent="0.15">
      <c r="E628" s="21"/>
    </row>
    <row r="629" spans="5:5" ht="13" x14ac:dyDescent="0.15">
      <c r="E629" s="21"/>
    </row>
    <row r="630" spans="5:5" ht="13" x14ac:dyDescent="0.15">
      <c r="E630" s="21"/>
    </row>
    <row r="631" spans="5:5" ht="13" x14ac:dyDescent="0.15">
      <c r="E631" s="21"/>
    </row>
    <row r="632" spans="5:5" ht="13" x14ac:dyDescent="0.15">
      <c r="E632" s="21"/>
    </row>
    <row r="633" spans="5:5" ht="13" x14ac:dyDescent="0.15">
      <c r="E633" s="21"/>
    </row>
    <row r="634" spans="5:5" ht="13" x14ac:dyDescent="0.15">
      <c r="E634" s="21"/>
    </row>
    <row r="635" spans="5:5" ht="13" x14ac:dyDescent="0.15">
      <c r="E635" s="21"/>
    </row>
    <row r="636" spans="5:5" ht="13" x14ac:dyDescent="0.15">
      <c r="E636" s="21"/>
    </row>
    <row r="637" spans="5:5" ht="13" x14ac:dyDescent="0.15">
      <c r="E637" s="21"/>
    </row>
    <row r="638" spans="5:5" ht="13" x14ac:dyDescent="0.15">
      <c r="E638" s="21"/>
    </row>
    <row r="639" spans="5:5" ht="13" x14ac:dyDescent="0.15">
      <c r="E639" s="21"/>
    </row>
    <row r="640" spans="5:5" ht="13" x14ac:dyDescent="0.15">
      <c r="E640" s="21"/>
    </row>
    <row r="641" spans="5:5" ht="13" x14ac:dyDescent="0.15">
      <c r="E641" s="21"/>
    </row>
    <row r="642" spans="5:5" ht="13" x14ac:dyDescent="0.15">
      <c r="E642" s="21"/>
    </row>
    <row r="643" spans="5:5" ht="13" x14ac:dyDescent="0.15">
      <c r="E643" s="21"/>
    </row>
    <row r="644" spans="5:5" ht="13" x14ac:dyDescent="0.15">
      <c r="E644" s="21"/>
    </row>
    <row r="645" spans="5:5" ht="13" x14ac:dyDescent="0.15">
      <c r="E645" s="21"/>
    </row>
    <row r="646" spans="5:5" ht="13" x14ac:dyDescent="0.15">
      <c r="E646" s="21"/>
    </row>
    <row r="647" spans="5:5" ht="13" x14ac:dyDescent="0.15">
      <c r="E647" s="21"/>
    </row>
    <row r="648" spans="5:5" ht="13" x14ac:dyDescent="0.15">
      <c r="E648" s="21"/>
    </row>
    <row r="649" spans="5:5" ht="13" x14ac:dyDescent="0.15">
      <c r="E649" s="21"/>
    </row>
    <row r="650" spans="5:5" ht="13" x14ac:dyDescent="0.15">
      <c r="E650" s="21"/>
    </row>
    <row r="651" spans="5:5" ht="13" x14ac:dyDescent="0.15">
      <c r="E651" s="21"/>
    </row>
    <row r="652" spans="5:5" ht="13" x14ac:dyDescent="0.15">
      <c r="E652" s="21"/>
    </row>
    <row r="653" spans="5:5" ht="13" x14ac:dyDescent="0.15">
      <c r="E653" s="21"/>
    </row>
    <row r="654" spans="5:5" ht="13" x14ac:dyDescent="0.15">
      <c r="E654" s="21"/>
    </row>
    <row r="655" spans="5:5" ht="13" x14ac:dyDescent="0.15">
      <c r="E655" s="21"/>
    </row>
    <row r="656" spans="5:5" ht="13" x14ac:dyDescent="0.15">
      <c r="E656" s="21"/>
    </row>
    <row r="657" spans="5:5" ht="13" x14ac:dyDescent="0.15">
      <c r="E657" s="21"/>
    </row>
    <row r="658" spans="5:5" ht="13" x14ac:dyDescent="0.15">
      <c r="E658" s="21"/>
    </row>
    <row r="659" spans="5:5" ht="13" x14ac:dyDescent="0.15">
      <c r="E659" s="21"/>
    </row>
    <row r="660" spans="5:5" ht="13" x14ac:dyDescent="0.15">
      <c r="E660" s="21"/>
    </row>
    <row r="661" spans="5:5" ht="13" x14ac:dyDescent="0.15">
      <c r="E661" s="21"/>
    </row>
    <row r="662" spans="5:5" ht="13" x14ac:dyDescent="0.15">
      <c r="E662" s="21"/>
    </row>
    <row r="663" spans="5:5" ht="13" x14ac:dyDescent="0.15">
      <c r="E663" s="21"/>
    </row>
    <row r="664" spans="5:5" ht="13" x14ac:dyDescent="0.15">
      <c r="E664" s="21"/>
    </row>
    <row r="665" spans="5:5" ht="13" x14ac:dyDescent="0.15">
      <c r="E665" s="21"/>
    </row>
    <row r="666" spans="5:5" ht="13" x14ac:dyDescent="0.15">
      <c r="E666" s="21"/>
    </row>
    <row r="667" spans="5:5" ht="13" x14ac:dyDescent="0.15">
      <c r="E667" s="21"/>
    </row>
    <row r="668" spans="5:5" ht="13" x14ac:dyDescent="0.15">
      <c r="E668" s="21"/>
    </row>
    <row r="669" spans="5:5" ht="13" x14ac:dyDescent="0.15">
      <c r="E669" s="21"/>
    </row>
    <row r="670" spans="5:5" ht="13" x14ac:dyDescent="0.15">
      <c r="E670" s="21"/>
    </row>
    <row r="671" spans="5:5" ht="13" x14ac:dyDescent="0.15">
      <c r="E671" s="21"/>
    </row>
    <row r="672" spans="5:5" ht="13" x14ac:dyDescent="0.15">
      <c r="E672" s="21"/>
    </row>
    <row r="673" spans="5:5" ht="13" x14ac:dyDescent="0.15">
      <c r="E673" s="21"/>
    </row>
    <row r="674" spans="5:5" ht="13" x14ac:dyDescent="0.15">
      <c r="E674" s="21"/>
    </row>
    <row r="675" spans="5:5" ht="13" x14ac:dyDescent="0.15">
      <c r="E675" s="21"/>
    </row>
    <row r="676" spans="5:5" ht="13" x14ac:dyDescent="0.15">
      <c r="E676" s="21"/>
    </row>
    <row r="677" spans="5:5" ht="13" x14ac:dyDescent="0.15">
      <c r="E677" s="21"/>
    </row>
    <row r="678" spans="5:5" ht="13" x14ac:dyDescent="0.15">
      <c r="E678" s="21"/>
    </row>
    <row r="679" spans="5:5" ht="13" x14ac:dyDescent="0.15">
      <c r="E679" s="21"/>
    </row>
    <row r="680" spans="5:5" ht="13" x14ac:dyDescent="0.15">
      <c r="E680" s="21"/>
    </row>
    <row r="681" spans="5:5" ht="13" x14ac:dyDescent="0.15">
      <c r="E681" s="21"/>
    </row>
    <row r="682" spans="5:5" ht="13" x14ac:dyDescent="0.15">
      <c r="E682" s="21"/>
    </row>
    <row r="683" spans="5:5" ht="13" x14ac:dyDescent="0.15">
      <c r="E683" s="21"/>
    </row>
    <row r="684" spans="5:5" ht="13" x14ac:dyDescent="0.15">
      <c r="E684" s="21"/>
    </row>
    <row r="685" spans="5:5" ht="13" x14ac:dyDescent="0.15">
      <c r="E685" s="21"/>
    </row>
    <row r="686" spans="5:5" ht="13" x14ac:dyDescent="0.15">
      <c r="E686" s="21"/>
    </row>
    <row r="687" spans="5:5" ht="13" x14ac:dyDescent="0.15">
      <c r="E687" s="21"/>
    </row>
    <row r="688" spans="5:5" ht="13" x14ac:dyDescent="0.15">
      <c r="E688" s="21"/>
    </row>
    <row r="689" spans="5:5" ht="13" x14ac:dyDescent="0.15">
      <c r="E689" s="21"/>
    </row>
    <row r="690" spans="5:5" ht="13" x14ac:dyDescent="0.15">
      <c r="E690" s="21"/>
    </row>
    <row r="691" spans="5:5" ht="13" x14ac:dyDescent="0.15">
      <c r="E691" s="21"/>
    </row>
    <row r="692" spans="5:5" ht="13" x14ac:dyDescent="0.15">
      <c r="E692" s="21"/>
    </row>
    <row r="693" spans="5:5" ht="13" x14ac:dyDescent="0.15">
      <c r="E693" s="21"/>
    </row>
    <row r="694" spans="5:5" ht="13" x14ac:dyDescent="0.15">
      <c r="E694" s="21"/>
    </row>
    <row r="695" spans="5:5" ht="13" x14ac:dyDescent="0.15">
      <c r="E695" s="21"/>
    </row>
    <row r="696" spans="5:5" ht="13" x14ac:dyDescent="0.15">
      <c r="E696" s="21"/>
    </row>
    <row r="697" spans="5:5" ht="13" x14ac:dyDescent="0.15">
      <c r="E697" s="21"/>
    </row>
    <row r="698" spans="5:5" ht="13" x14ac:dyDescent="0.15">
      <c r="E698" s="21"/>
    </row>
    <row r="699" spans="5:5" ht="13" x14ac:dyDescent="0.15">
      <c r="E699" s="21"/>
    </row>
    <row r="700" spans="5:5" ht="13" x14ac:dyDescent="0.15">
      <c r="E700" s="21"/>
    </row>
    <row r="701" spans="5:5" ht="13" x14ac:dyDescent="0.15">
      <c r="E701" s="21"/>
    </row>
    <row r="702" spans="5:5" ht="13" x14ac:dyDescent="0.15">
      <c r="E702" s="21"/>
    </row>
    <row r="703" spans="5:5" ht="13" x14ac:dyDescent="0.15">
      <c r="E703" s="21"/>
    </row>
    <row r="704" spans="5:5" ht="13" x14ac:dyDescent="0.15">
      <c r="E704" s="21"/>
    </row>
    <row r="705" spans="5:5" ht="13" x14ac:dyDescent="0.15">
      <c r="E705" s="21"/>
    </row>
    <row r="706" spans="5:5" ht="13" x14ac:dyDescent="0.15">
      <c r="E706" s="21"/>
    </row>
    <row r="707" spans="5:5" ht="13" x14ac:dyDescent="0.15">
      <c r="E707" s="21"/>
    </row>
    <row r="708" spans="5:5" ht="13" x14ac:dyDescent="0.15">
      <c r="E708" s="21"/>
    </row>
    <row r="709" spans="5:5" ht="13" x14ac:dyDescent="0.15">
      <c r="E709" s="21"/>
    </row>
    <row r="710" spans="5:5" ht="13" x14ac:dyDescent="0.15">
      <c r="E710" s="21"/>
    </row>
    <row r="711" spans="5:5" ht="13" x14ac:dyDescent="0.15">
      <c r="E711" s="21"/>
    </row>
    <row r="712" spans="5:5" ht="13" x14ac:dyDescent="0.15">
      <c r="E712" s="21"/>
    </row>
    <row r="713" spans="5:5" ht="13" x14ac:dyDescent="0.15">
      <c r="E713" s="21"/>
    </row>
    <row r="714" spans="5:5" ht="13" x14ac:dyDescent="0.15">
      <c r="E714" s="21"/>
    </row>
    <row r="715" spans="5:5" ht="13" x14ac:dyDescent="0.15">
      <c r="E715" s="21"/>
    </row>
    <row r="716" spans="5:5" ht="13" x14ac:dyDescent="0.15">
      <c r="E716" s="21"/>
    </row>
    <row r="717" spans="5:5" ht="13" x14ac:dyDescent="0.15">
      <c r="E717" s="21"/>
    </row>
    <row r="718" spans="5:5" ht="13" x14ac:dyDescent="0.15">
      <c r="E718" s="21"/>
    </row>
    <row r="719" spans="5:5" ht="13" x14ac:dyDescent="0.15">
      <c r="E719" s="21"/>
    </row>
    <row r="720" spans="5:5" ht="13" x14ac:dyDescent="0.15">
      <c r="E720" s="21"/>
    </row>
    <row r="721" spans="5:5" ht="13" x14ac:dyDescent="0.15">
      <c r="E721" s="21"/>
    </row>
    <row r="722" spans="5:5" ht="13" x14ac:dyDescent="0.15">
      <c r="E722" s="21"/>
    </row>
    <row r="723" spans="5:5" ht="13" x14ac:dyDescent="0.15">
      <c r="E723" s="21"/>
    </row>
    <row r="724" spans="5:5" ht="13" x14ac:dyDescent="0.15">
      <c r="E724" s="21"/>
    </row>
    <row r="725" spans="5:5" ht="13" x14ac:dyDescent="0.15">
      <c r="E725" s="21"/>
    </row>
    <row r="726" spans="5:5" ht="13" x14ac:dyDescent="0.15">
      <c r="E726" s="21"/>
    </row>
    <row r="727" spans="5:5" ht="13" x14ac:dyDescent="0.15">
      <c r="E727" s="21"/>
    </row>
    <row r="728" spans="5:5" ht="13" x14ac:dyDescent="0.15">
      <c r="E728" s="21"/>
    </row>
    <row r="729" spans="5:5" ht="13" x14ac:dyDescent="0.15">
      <c r="E729" s="21"/>
    </row>
    <row r="730" spans="5:5" ht="13" x14ac:dyDescent="0.15">
      <c r="E730" s="21"/>
    </row>
    <row r="731" spans="5:5" ht="13" x14ac:dyDescent="0.15">
      <c r="E731" s="21"/>
    </row>
    <row r="732" spans="5:5" ht="13" x14ac:dyDescent="0.15">
      <c r="E732" s="21"/>
    </row>
    <row r="733" spans="5:5" ht="13" x14ac:dyDescent="0.15">
      <c r="E733" s="21"/>
    </row>
    <row r="734" spans="5:5" ht="13" x14ac:dyDescent="0.15">
      <c r="E734" s="21"/>
    </row>
    <row r="735" spans="5:5" ht="13" x14ac:dyDescent="0.15">
      <c r="E735" s="21"/>
    </row>
    <row r="736" spans="5:5" ht="13" x14ac:dyDescent="0.15">
      <c r="E736" s="21"/>
    </row>
    <row r="737" spans="5:5" ht="13" x14ac:dyDescent="0.15">
      <c r="E737" s="21"/>
    </row>
    <row r="738" spans="5:5" ht="13" x14ac:dyDescent="0.15">
      <c r="E738" s="21"/>
    </row>
    <row r="739" spans="5:5" ht="13" x14ac:dyDescent="0.15">
      <c r="E739" s="21"/>
    </row>
    <row r="740" spans="5:5" ht="13" x14ac:dyDescent="0.15">
      <c r="E740" s="21"/>
    </row>
    <row r="741" spans="5:5" ht="13" x14ac:dyDescent="0.15">
      <c r="E741" s="21"/>
    </row>
    <row r="742" spans="5:5" ht="13" x14ac:dyDescent="0.15">
      <c r="E742" s="21"/>
    </row>
    <row r="743" spans="5:5" ht="13" x14ac:dyDescent="0.15">
      <c r="E743" s="21"/>
    </row>
    <row r="744" spans="5:5" ht="13" x14ac:dyDescent="0.15">
      <c r="E744" s="21"/>
    </row>
    <row r="745" spans="5:5" ht="13" x14ac:dyDescent="0.15">
      <c r="E745" s="21"/>
    </row>
    <row r="746" spans="5:5" ht="13" x14ac:dyDescent="0.15">
      <c r="E746" s="21"/>
    </row>
    <row r="747" spans="5:5" ht="13" x14ac:dyDescent="0.15">
      <c r="E747" s="21"/>
    </row>
    <row r="748" spans="5:5" ht="13" x14ac:dyDescent="0.15">
      <c r="E748" s="21"/>
    </row>
    <row r="749" spans="5:5" ht="13" x14ac:dyDescent="0.15">
      <c r="E749" s="21"/>
    </row>
    <row r="750" spans="5:5" ht="13" x14ac:dyDescent="0.15">
      <c r="E750" s="21"/>
    </row>
    <row r="751" spans="5:5" ht="13" x14ac:dyDescent="0.15">
      <c r="E751" s="21"/>
    </row>
    <row r="752" spans="5:5" ht="13" x14ac:dyDescent="0.15">
      <c r="E752" s="21"/>
    </row>
    <row r="753" spans="5:5" ht="13" x14ac:dyDescent="0.15">
      <c r="E753" s="21"/>
    </row>
    <row r="754" spans="5:5" ht="13" x14ac:dyDescent="0.15">
      <c r="E754" s="21"/>
    </row>
    <row r="755" spans="5:5" ht="13" x14ac:dyDescent="0.15">
      <c r="E755" s="21"/>
    </row>
    <row r="756" spans="5:5" ht="13" x14ac:dyDescent="0.15">
      <c r="E756" s="21"/>
    </row>
    <row r="757" spans="5:5" ht="13" x14ac:dyDescent="0.15">
      <c r="E757" s="21"/>
    </row>
    <row r="758" spans="5:5" ht="13" x14ac:dyDescent="0.15">
      <c r="E758" s="21"/>
    </row>
    <row r="759" spans="5:5" ht="13" x14ac:dyDescent="0.15">
      <c r="E759" s="21"/>
    </row>
    <row r="760" spans="5:5" ht="13" x14ac:dyDescent="0.15">
      <c r="E760" s="21"/>
    </row>
    <row r="761" spans="5:5" ht="13" x14ac:dyDescent="0.15">
      <c r="E761" s="21"/>
    </row>
    <row r="762" spans="5:5" ht="13" x14ac:dyDescent="0.15">
      <c r="E762" s="21"/>
    </row>
    <row r="763" spans="5:5" ht="13" x14ac:dyDescent="0.15">
      <c r="E763" s="21"/>
    </row>
    <row r="764" spans="5:5" ht="13" x14ac:dyDescent="0.15">
      <c r="E764" s="21"/>
    </row>
    <row r="765" spans="5:5" ht="13" x14ac:dyDescent="0.15">
      <c r="E765" s="21"/>
    </row>
    <row r="766" spans="5:5" ht="13" x14ac:dyDescent="0.15">
      <c r="E766" s="21"/>
    </row>
    <row r="767" spans="5:5" ht="13" x14ac:dyDescent="0.15">
      <c r="E767" s="21"/>
    </row>
    <row r="768" spans="5:5" ht="13" x14ac:dyDescent="0.15">
      <c r="E768" s="21"/>
    </row>
    <row r="769" spans="5:5" ht="13" x14ac:dyDescent="0.15">
      <c r="E769" s="21"/>
    </row>
    <row r="770" spans="5:5" ht="13" x14ac:dyDescent="0.15">
      <c r="E770" s="21"/>
    </row>
    <row r="771" spans="5:5" ht="13" x14ac:dyDescent="0.15">
      <c r="E771" s="21"/>
    </row>
    <row r="772" spans="5:5" ht="13" x14ac:dyDescent="0.15">
      <c r="E772" s="21"/>
    </row>
    <row r="773" spans="5:5" ht="13" x14ac:dyDescent="0.15">
      <c r="E773" s="21"/>
    </row>
    <row r="774" spans="5:5" ht="13" x14ac:dyDescent="0.15">
      <c r="E774" s="21"/>
    </row>
    <row r="775" spans="5:5" ht="13" x14ac:dyDescent="0.15">
      <c r="E775" s="21"/>
    </row>
    <row r="776" spans="5:5" ht="13" x14ac:dyDescent="0.15">
      <c r="E776" s="21"/>
    </row>
    <row r="777" spans="5:5" ht="13" x14ac:dyDescent="0.15">
      <c r="E777" s="21"/>
    </row>
    <row r="778" spans="5:5" ht="13" x14ac:dyDescent="0.15">
      <c r="E778" s="21"/>
    </row>
    <row r="779" spans="5:5" ht="13" x14ac:dyDescent="0.15">
      <c r="E779" s="21"/>
    </row>
    <row r="780" spans="5:5" ht="13" x14ac:dyDescent="0.15">
      <c r="E780" s="21"/>
    </row>
    <row r="781" spans="5:5" ht="13" x14ac:dyDescent="0.15">
      <c r="E781" s="21"/>
    </row>
    <row r="782" spans="5:5" ht="13" x14ac:dyDescent="0.15">
      <c r="E782" s="21"/>
    </row>
    <row r="783" spans="5:5" ht="13" x14ac:dyDescent="0.15">
      <c r="E783" s="21"/>
    </row>
    <row r="784" spans="5:5" ht="13" x14ac:dyDescent="0.15">
      <c r="E784" s="21"/>
    </row>
    <row r="785" spans="5:5" ht="13" x14ac:dyDescent="0.15">
      <c r="E785" s="21"/>
    </row>
    <row r="786" spans="5:5" ht="13" x14ac:dyDescent="0.15">
      <c r="E786" s="21"/>
    </row>
    <row r="787" spans="5:5" ht="13" x14ac:dyDescent="0.15">
      <c r="E787" s="21"/>
    </row>
    <row r="788" spans="5:5" ht="13" x14ac:dyDescent="0.15">
      <c r="E788" s="21"/>
    </row>
    <row r="789" spans="5:5" ht="13" x14ac:dyDescent="0.15">
      <c r="E789" s="21"/>
    </row>
    <row r="790" spans="5:5" ht="13" x14ac:dyDescent="0.15">
      <c r="E790" s="21"/>
    </row>
    <row r="791" spans="5:5" ht="13" x14ac:dyDescent="0.15">
      <c r="E791" s="21"/>
    </row>
    <row r="792" spans="5:5" ht="13" x14ac:dyDescent="0.15">
      <c r="E792" s="21"/>
    </row>
    <row r="793" spans="5:5" ht="13" x14ac:dyDescent="0.15">
      <c r="E793" s="21"/>
    </row>
    <row r="794" spans="5:5" ht="13" x14ac:dyDescent="0.15">
      <c r="E794" s="21"/>
    </row>
    <row r="795" spans="5:5" ht="13" x14ac:dyDescent="0.15">
      <c r="E795" s="21"/>
    </row>
    <row r="796" spans="5:5" ht="13" x14ac:dyDescent="0.15">
      <c r="E796" s="21"/>
    </row>
    <row r="797" spans="5:5" ht="13" x14ac:dyDescent="0.15">
      <c r="E797" s="21"/>
    </row>
    <row r="798" spans="5:5" ht="13" x14ac:dyDescent="0.15">
      <c r="E798" s="21"/>
    </row>
    <row r="799" spans="5:5" ht="13" x14ac:dyDescent="0.15">
      <c r="E799" s="21"/>
    </row>
    <row r="800" spans="5:5" ht="13" x14ac:dyDescent="0.15">
      <c r="E800" s="21"/>
    </row>
    <row r="801" spans="5:5" ht="13" x14ac:dyDescent="0.15">
      <c r="E801" s="21"/>
    </row>
    <row r="802" spans="5:5" ht="13" x14ac:dyDescent="0.15">
      <c r="E802" s="21"/>
    </row>
    <row r="803" spans="5:5" ht="13" x14ac:dyDescent="0.15">
      <c r="E803" s="21"/>
    </row>
    <row r="804" spans="5:5" ht="13" x14ac:dyDescent="0.15">
      <c r="E804" s="21"/>
    </row>
    <row r="805" spans="5:5" ht="13" x14ac:dyDescent="0.15">
      <c r="E805" s="21"/>
    </row>
    <row r="806" spans="5:5" ht="13" x14ac:dyDescent="0.15">
      <c r="E806" s="21"/>
    </row>
    <row r="807" spans="5:5" ht="13" x14ac:dyDescent="0.15">
      <c r="E807" s="21"/>
    </row>
    <row r="808" spans="5:5" ht="13" x14ac:dyDescent="0.15">
      <c r="E808" s="21"/>
    </row>
    <row r="809" spans="5:5" ht="13" x14ac:dyDescent="0.15">
      <c r="E809" s="21"/>
    </row>
    <row r="810" spans="5:5" ht="13" x14ac:dyDescent="0.15">
      <c r="E810" s="21"/>
    </row>
    <row r="811" spans="5:5" ht="13" x14ac:dyDescent="0.15">
      <c r="E811" s="21"/>
    </row>
    <row r="812" spans="5:5" ht="13" x14ac:dyDescent="0.15">
      <c r="E812" s="21"/>
    </row>
    <row r="813" spans="5:5" ht="13" x14ac:dyDescent="0.15">
      <c r="E813" s="21"/>
    </row>
    <row r="814" spans="5:5" ht="13" x14ac:dyDescent="0.15">
      <c r="E814" s="21"/>
    </row>
    <row r="815" spans="5:5" ht="13" x14ac:dyDescent="0.15">
      <c r="E815" s="21"/>
    </row>
    <row r="816" spans="5:5" ht="13" x14ac:dyDescent="0.15">
      <c r="E816" s="21"/>
    </row>
    <row r="817" spans="5:5" ht="13" x14ac:dyDescent="0.15">
      <c r="E817" s="21"/>
    </row>
    <row r="818" spans="5:5" ht="13" x14ac:dyDescent="0.15">
      <c r="E818" s="21"/>
    </row>
    <row r="819" spans="5:5" ht="13" x14ac:dyDescent="0.15">
      <c r="E819" s="21"/>
    </row>
    <row r="820" spans="5:5" ht="13" x14ac:dyDescent="0.15">
      <c r="E820" s="21"/>
    </row>
    <row r="821" spans="5:5" ht="13" x14ac:dyDescent="0.15">
      <c r="E821" s="21"/>
    </row>
    <row r="822" spans="5:5" ht="13" x14ac:dyDescent="0.15">
      <c r="E822" s="21"/>
    </row>
    <row r="823" spans="5:5" ht="13" x14ac:dyDescent="0.15">
      <c r="E823" s="21"/>
    </row>
    <row r="824" spans="5:5" ht="13" x14ac:dyDescent="0.15">
      <c r="E824" s="21"/>
    </row>
    <row r="825" spans="5:5" ht="13" x14ac:dyDescent="0.15">
      <c r="E825" s="21"/>
    </row>
    <row r="826" spans="5:5" ht="13" x14ac:dyDescent="0.15">
      <c r="E826" s="21"/>
    </row>
    <row r="827" spans="5:5" ht="13" x14ac:dyDescent="0.15">
      <c r="E827" s="21"/>
    </row>
    <row r="828" spans="5:5" ht="13" x14ac:dyDescent="0.15">
      <c r="E828" s="21"/>
    </row>
    <row r="829" spans="5:5" ht="13" x14ac:dyDescent="0.15">
      <c r="E829" s="21"/>
    </row>
    <row r="830" spans="5:5" ht="13" x14ac:dyDescent="0.15">
      <c r="E830" s="21"/>
    </row>
    <row r="831" spans="5:5" ht="13" x14ac:dyDescent="0.15">
      <c r="E831" s="21"/>
    </row>
    <row r="832" spans="5:5" ht="13" x14ac:dyDescent="0.15">
      <c r="E832" s="21"/>
    </row>
    <row r="833" spans="5:5" ht="13" x14ac:dyDescent="0.15">
      <c r="E833" s="21"/>
    </row>
    <row r="834" spans="5:5" ht="13" x14ac:dyDescent="0.15">
      <c r="E834" s="21"/>
    </row>
    <row r="835" spans="5:5" ht="13" x14ac:dyDescent="0.15">
      <c r="E835" s="21"/>
    </row>
    <row r="836" spans="5:5" ht="13" x14ac:dyDescent="0.15">
      <c r="E836" s="21"/>
    </row>
    <row r="837" spans="5:5" ht="13" x14ac:dyDescent="0.15">
      <c r="E837" s="21"/>
    </row>
    <row r="838" spans="5:5" ht="13" x14ac:dyDescent="0.15">
      <c r="E838" s="21"/>
    </row>
    <row r="839" spans="5:5" ht="13" x14ac:dyDescent="0.15">
      <c r="E839" s="21"/>
    </row>
    <row r="840" spans="5:5" ht="13" x14ac:dyDescent="0.15">
      <c r="E840" s="21"/>
    </row>
    <row r="841" spans="5:5" ht="13" x14ac:dyDescent="0.15">
      <c r="E841" s="21"/>
    </row>
    <row r="842" spans="5:5" ht="13" x14ac:dyDescent="0.15">
      <c r="E842" s="21"/>
    </row>
    <row r="843" spans="5:5" ht="13" x14ac:dyDescent="0.15">
      <c r="E843" s="21"/>
    </row>
    <row r="844" spans="5:5" ht="13" x14ac:dyDescent="0.15">
      <c r="E844" s="21"/>
    </row>
    <row r="845" spans="5:5" ht="13" x14ac:dyDescent="0.15">
      <c r="E845" s="21"/>
    </row>
    <row r="846" spans="5:5" ht="13" x14ac:dyDescent="0.15">
      <c r="E846" s="21"/>
    </row>
    <row r="847" spans="5:5" ht="13" x14ac:dyDescent="0.15">
      <c r="E847" s="21"/>
    </row>
    <row r="848" spans="5:5" ht="13" x14ac:dyDescent="0.15">
      <c r="E848" s="21"/>
    </row>
    <row r="849" spans="5:5" ht="13" x14ac:dyDescent="0.15">
      <c r="E849" s="21"/>
    </row>
    <row r="850" spans="5:5" ht="13" x14ac:dyDescent="0.15">
      <c r="E850" s="21"/>
    </row>
    <row r="851" spans="5:5" ht="13" x14ac:dyDescent="0.15">
      <c r="E851" s="21"/>
    </row>
    <row r="852" spans="5:5" ht="13" x14ac:dyDescent="0.15">
      <c r="E852" s="21"/>
    </row>
    <row r="853" spans="5:5" ht="13" x14ac:dyDescent="0.15">
      <c r="E853" s="21"/>
    </row>
    <row r="854" spans="5:5" ht="13" x14ac:dyDescent="0.15">
      <c r="E854" s="21"/>
    </row>
    <row r="855" spans="5:5" ht="13" x14ac:dyDescent="0.15">
      <c r="E855" s="21"/>
    </row>
    <row r="856" spans="5:5" ht="13" x14ac:dyDescent="0.15">
      <c r="E856" s="21"/>
    </row>
    <row r="857" spans="5:5" ht="13" x14ac:dyDescent="0.15">
      <c r="E857" s="21"/>
    </row>
    <row r="858" spans="5:5" ht="13" x14ac:dyDescent="0.15">
      <c r="E858" s="21"/>
    </row>
    <row r="859" spans="5:5" ht="13" x14ac:dyDescent="0.15">
      <c r="E859" s="21"/>
    </row>
    <row r="860" spans="5:5" ht="13" x14ac:dyDescent="0.15">
      <c r="E860" s="21"/>
    </row>
    <row r="861" spans="5:5" ht="13" x14ac:dyDescent="0.15">
      <c r="E861" s="21"/>
    </row>
    <row r="862" spans="5:5" ht="13" x14ac:dyDescent="0.15">
      <c r="E862" s="21"/>
    </row>
    <row r="863" spans="5:5" ht="13" x14ac:dyDescent="0.15">
      <c r="E863" s="21"/>
    </row>
    <row r="864" spans="5:5" ht="13" x14ac:dyDescent="0.15">
      <c r="E864" s="21"/>
    </row>
    <row r="865" spans="5:5" ht="13" x14ac:dyDescent="0.15">
      <c r="E865" s="21"/>
    </row>
    <row r="866" spans="5:5" ht="13" x14ac:dyDescent="0.15">
      <c r="E866" s="21"/>
    </row>
    <row r="867" spans="5:5" ht="13" x14ac:dyDescent="0.15">
      <c r="E867" s="21"/>
    </row>
    <row r="868" spans="5:5" ht="13" x14ac:dyDescent="0.15">
      <c r="E868" s="21"/>
    </row>
    <row r="869" spans="5:5" ht="13" x14ac:dyDescent="0.15">
      <c r="E869" s="21"/>
    </row>
    <row r="870" spans="5:5" ht="13" x14ac:dyDescent="0.15">
      <c r="E870" s="21"/>
    </row>
    <row r="871" spans="5:5" ht="13" x14ac:dyDescent="0.15">
      <c r="E871" s="21"/>
    </row>
    <row r="872" spans="5:5" ht="13" x14ac:dyDescent="0.15">
      <c r="E872" s="21"/>
    </row>
    <row r="873" spans="5:5" ht="13" x14ac:dyDescent="0.15">
      <c r="E873" s="21"/>
    </row>
    <row r="874" spans="5:5" ht="13" x14ac:dyDescent="0.15">
      <c r="E874" s="21"/>
    </row>
    <row r="875" spans="5:5" ht="13" x14ac:dyDescent="0.15">
      <c r="E875" s="21"/>
    </row>
    <row r="876" spans="5:5" ht="13" x14ac:dyDescent="0.15">
      <c r="E876" s="21"/>
    </row>
    <row r="877" spans="5:5" ht="13" x14ac:dyDescent="0.15">
      <c r="E877" s="21"/>
    </row>
    <row r="878" spans="5:5" ht="13" x14ac:dyDescent="0.15">
      <c r="E878" s="21"/>
    </row>
    <row r="879" spans="5:5" ht="13" x14ac:dyDescent="0.15">
      <c r="E879" s="21"/>
    </row>
    <row r="880" spans="5:5" ht="13" x14ac:dyDescent="0.15">
      <c r="E880" s="21"/>
    </row>
    <row r="881" spans="5:5" ht="13" x14ac:dyDescent="0.15">
      <c r="E881" s="21"/>
    </row>
    <row r="882" spans="5:5" ht="13" x14ac:dyDescent="0.15">
      <c r="E882" s="21"/>
    </row>
    <row r="883" spans="5:5" ht="13" x14ac:dyDescent="0.15">
      <c r="E883" s="21"/>
    </row>
    <row r="884" spans="5:5" ht="13" x14ac:dyDescent="0.15">
      <c r="E884" s="21"/>
    </row>
    <row r="885" spans="5:5" ht="13" x14ac:dyDescent="0.15">
      <c r="E885" s="21"/>
    </row>
    <row r="886" spans="5:5" ht="13" x14ac:dyDescent="0.15">
      <c r="E886" s="21"/>
    </row>
    <row r="887" spans="5:5" ht="13" x14ac:dyDescent="0.15">
      <c r="E887" s="21"/>
    </row>
    <row r="888" spans="5:5" ht="13" x14ac:dyDescent="0.15">
      <c r="E888" s="21"/>
    </row>
    <row r="889" spans="5:5" ht="13" x14ac:dyDescent="0.15">
      <c r="E889" s="21"/>
    </row>
    <row r="890" spans="5:5" ht="13" x14ac:dyDescent="0.15">
      <c r="E890" s="21"/>
    </row>
    <row r="891" spans="5:5" ht="13" x14ac:dyDescent="0.15">
      <c r="E891" s="21"/>
    </row>
    <row r="892" spans="5:5" ht="13" x14ac:dyDescent="0.15">
      <c r="E892" s="21"/>
    </row>
    <row r="893" spans="5:5" ht="13" x14ac:dyDescent="0.15">
      <c r="E893" s="21"/>
    </row>
    <row r="894" spans="5:5" ht="13" x14ac:dyDescent="0.15">
      <c r="E894" s="21"/>
    </row>
    <row r="895" spans="5:5" ht="13" x14ac:dyDescent="0.15">
      <c r="E895" s="21"/>
    </row>
    <row r="896" spans="5:5" ht="13" x14ac:dyDescent="0.15">
      <c r="E896" s="21"/>
    </row>
    <row r="897" spans="5:5" ht="13" x14ac:dyDescent="0.15">
      <c r="E897" s="21"/>
    </row>
    <row r="898" spans="5:5" ht="13" x14ac:dyDescent="0.15">
      <c r="E898" s="21"/>
    </row>
    <row r="899" spans="5:5" ht="13" x14ac:dyDescent="0.15">
      <c r="E899" s="21"/>
    </row>
    <row r="900" spans="5:5" ht="13" x14ac:dyDescent="0.15">
      <c r="E900" s="21"/>
    </row>
    <row r="901" spans="5:5" ht="13" x14ac:dyDescent="0.15">
      <c r="E901" s="21"/>
    </row>
    <row r="902" spans="5:5" ht="13" x14ac:dyDescent="0.15">
      <c r="E902" s="21"/>
    </row>
    <row r="903" spans="5:5" ht="13" x14ac:dyDescent="0.15">
      <c r="E903" s="21"/>
    </row>
    <row r="904" spans="5:5" ht="13" x14ac:dyDescent="0.15">
      <c r="E904" s="21"/>
    </row>
    <row r="905" spans="5:5" ht="13" x14ac:dyDescent="0.15">
      <c r="E905" s="21"/>
    </row>
    <row r="906" spans="5:5" ht="13" x14ac:dyDescent="0.15">
      <c r="E906" s="21"/>
    </row>
    <row r="907" spans="5:5" ht="13" x14ac:dyDescent="0.15">
      <c r="E907" s="21"/>
    </row>
    <row r="908" spans="5:5" ht="13" x14ac:dyDescent="0.15">
      <c r="E908" s="21"/>
    </row>
    <row r="909" spans="5:5" ht="13" x14ac:dyDescent="0.15">
      <c r="E909" s="21"/>
    </row>
    <row r="910" spans="5:5" ht="13" x14ac:dyDescent="0.15">
      <c r="E910" s="21"/>
    </row>
    <row r="911" spans="5:5" ht="13" x14ac:dyDescent="0.15">
      <c r="E911" s="21"/>
    </row>
    <row r="912" spans="5:5" ht="13" x14ac:dyDescent="0.15">
      <c r="E912" s="21"/>
    </row>
    <row r="913" spans="5:5" ht="13" x14ac:dyDescent="0.15">
      <c r="E913" s="21"/>
    </row>
    <row r="914" spans="5:5" ht="13" x14ac:dyDescent="0.15">
      <c r="E914" s="21"/>
    </row>
    <row r="915" spans="5:5" ht="13" x14ac:dyDescent="0.15">
      <c r="E915" s="21"/>
    </row>
    <row r="916" spans="5:5" ht="13" x14ac:dyDescent="0.15">
      <c r="E916" s="21"/>
    </row>
    <row r="917" spans="5:5" ht="13" x14ac:dyDescent="0.15">
      <c r="E917" s="21"/>
    </row>
    <row r="918" spans="5:5" ht="13" x14ac:dyDescent="0.15">
      <c r="E918" s="21"/>
    </row>
    <row r="919" spans="5:5" ht="13" x14ac:dyDescent="0.15">
      <c r="E919" s="21"/>
    </row>
    <row r="920" spans="5:5" ht="13" x14ac:dyDescent="0.15">
      <c r="E920" s="21"/>
    </row>
    <row r="921" spans="5:5" ht="13" x14ac:dyDescent="0.15">
      <c r="E921" s="21"/>
    </row>
    <row r="922" spans="5:5" ht="13" x14ac:dyDescent="0.15">
      <c r="E922" s="21"/>
    </row>
    <row r="923" spans="5:5" ht="13" x14ac:dyDescent="0.15">
      <c r="E923" s="21"/>
    </row>
    <row r="924" spans="5:5" ht="13" x14ac:dyDescent="0.15">
      <c r="E924" s="21"/>
    </row>
    <row r="925" spans="5:5" ht="13" x14ac:dyDescent="0.15">
      <c r="E925" s="21"/>
    </row>
    <row r="926" spans="5:5" ht="13" x14ac:dyDescent="0.15">
      <c r="E926" s="21"/>
    </row>
    <row r="927" spans="5:5" ht="13" x14ac:dyDescent="0.15">
      <c r="E927" s="21"/>
    </row>
    <row r="928" spans="5:5" ht="13" x14ac:dyDescent="0.15">
      <c r="E928" s="21"/>
    </row>
    <row r="929" spans="5:5" ht="13" x14ac:dyDescent="0.15">
      <c r="E929" s="21"/>
    </row>
    <row r="930" spans="5:5" ht="13" x14ac:dyDescent="0.15">
      <c r="E930" s="21"/>
    </row>
    <row r="931" spans="5:5" ht="13" x14ac:dyDescent="0.15">
      <c r="E931" s="21"/>
    </row>
    <row r="932" spans="5:5" ht="13" x14ac:dyDescent="0.15">
      <c r="E932" s="21"/>
    </row>
    <row r="933" spans="5:5" ht="13" x14ac:dyDescent="0.15">
      <c r="E933" s="21"/>
    </row>
    <row r="934" spans="5:5" ht="13" x14ac:dyDescent="0.15">
      <c r="E934" s="21"/>
    </row>
    <row r="935" spans="5:5" ht="13" x14ac:dyDescent="0.15">
      <c r="E935" s="21"/>
    </row>
    <row r="936" spans="5:5" ht="13" x14ac:dyDescent="0.15">
      <c r="E936" s="21"/>
    </row>
    <row r="937" spans="5:5" ht="13" x14ac:dyDescent="0.15">
      <c r="E937" s="21"/>
    </row>
    <row r="938" spans="5:5" ht="13" x14ac:dyDescent="0.15">
      <c r="E938" s="21"/>
    </row>
    <row r="939" spans="5:5" ht="13" x14ac:dyDescent="0.15">
      <c r="E939" s="21"/>
    </row>
    <row r="940" spans="5:5" ht="13" x14ac:dyDescent="0.15">
      <c r="E940" s="21"/>
    </row>
    <row r="941" spans="5:5" ht="13" x14ac:dyDescent="0.15">
      <c r="E941" s="21"/>
    </row>
    <row r="942" spans="5:5" ht="13" x14ac:dyDescent="0.15">
      <c r="E942" s="21"/>
    </row>
    <row r="943" spans="5:5" ht="13" x14ac:dyDescent="0.15">
      <c r="E943" s="21"/>
    </row>
    <row r="944" spans="5:5" ht="13" x14ac:dyDescent="0.15">
      <c r="E944" s="21"/>
    </row>
    <row r="945" spans="5:5" ht="13" x14ac:dyDescent="0.15">
      <c r="E945" s="21"/>
    </row>
    <row r="946" spans="5:5" ht="13" x14ac:dyDescent="0.15">
      <c r="E946" s="21"/>
    </row>
    <row r="947" spans="5:5" ht="13" x14ac:dyDescent="0.15">
      <c r="E947" s="21"/>
    </row>
    <row r="948" spans="5:5" ht="13" x14ac:dyDescent="0.15">
      <c r="E948" s="21"/>
    </row>
    <row r="949" spans="5:5" ht="13" x14ac:dyDescent="0.15">
      <c r="E949" s="21"/>
    </row>
    <row r="950" spans="5:5" ht="13" x14ac:dyDescent="0.15">
      <c r="E950" s="21"/>
    </row>
    <row r="951" spans="5:5" ht="13" x14ac:dyDescent="0.15">
      <c r="E951" s="21"/>
    </row>
    <row r="952" spans="5:5" ht="13" x14ac:dyDescent="0.15">
      <c r="E952" s="21"/>
    </row>
    <row r="953" spans="5:5" ht="13" x14ac:dyDescent="0.15">
      <c r="E953" s="21"/>
    </row>
    <row r="954" spans="5:5" ht="13" x14ac:dyDescent="0.15">
      <c r="E954" s="21"/>
    </row>
    <row r="955" spans="5:5" ht="13" x14ac:dyDescent="0.15">
      <c r="E955" s="21"/>
    </row>
    <row r="956" spans="5:5" ht="13" x14ac:dyDescent="0.15">
      <c r="E956" s="21"/>
    </row>
    <row r="957" spans="5:5" ht="13" x14ac:dyDescent="0.15">
      <c r="E957" s="21"/>
    </row>
    <row r="958" spans="5:5" ht="13" x14ac:dyDescent="0.15">
      <c r="E958" s="21"/>
    </row>
    <row r="959" spans="5:5" ht="13" x14ac:dyDescent="0.15">
      <c r="E959" s="21"/>
    </row>
    <row r="960" spans="5:5" ht="13" x14ac:dyDescent="0.15">
      <c r="E960" s="21"/>
    </row>
    <row r="961" spans="5:5" ht="13" x14ac:dyDescent="0.15">
      <c r="E961" s="21"/>
    </row>
    <row r="962" spans="5:5" ht="13" x14ac:dyDescent="0.15">
      <c r="E962" s="21"/>
    </row>
    <row r="963" spans="5:5" ht="13" x14ac:dyDescent="0.15">
      <c r="E963" s="21"/>
    </row>
    <row r="964" spans="5:5" ht="13" x14ac:dyDescent="0.15">
      <c r="E964" s="21"/>
    </row>
    <row r="965" spans="5:5" ht="13" x14ac:dyDescent="0.15">
      <c r="E965" s="21"/>
    </row>
    <row r="966" spans="5:5" ht="13" x14ac:dyDescent="0.15">
      <c r="E966" s="21"/>
    </row>
    <row r="967" spans="5:5" ht="13" x14ac:dyDescent="0.15">
      <c r="E967" s="21"/>
    </row>
    <row r="968" spans="5:5" ht="13" x14ac:dyDescent="0.15">
      <c r="E968" s="21"/>
    </row>
    <row r="969" spans="5:5" ht="13" x14ac:dyDescent="0.15">
      <c r="E969" s="21"/>
    </row>
    <row r="970" spans="5:5" ht="13" x14ac:dyDescent="0.15">
      <c r="E970" s="21"/>
    </row>
    <row r="971" spans="5:5" ht="13" x14ac:dyDescent="0.15">
      <c r="E971" s="21"/>
    </row>
    <row r="972" spans="5:5" ht="13" x14ac:dyDescent="0.15">
      <c r="E972" s="21"/>
    </row>
    <row r="973" spans="5:5" ht="13" x14ac:dyDescent="0.15">
      <c r="E973" s="21"/>
    </row>
    <row r="974" spans="5:5" ht="13" x14ac:dyDescent="0.15">
      <c r="E974" s="21"/>
    </row>
    <row r="975" spans="5:5" ht="13" x14ac:dyDescent="0.15">
      <c r="E975" s="21"/>
    </row>
    <row r="976" spans="5:5" ht="13" x14ac:dyDescent="0.15">
      <c r="E976" s="21"/>
    </row>
    <row r="977" spans="5:5" ht="13" x14ac:dyDescent="0.15">
      <c r="E977" s="21"/>
    </row>
    <row r="978" spans="5:5" ht="13" x14ac:dyDescent="0.15">
      <c r="E978" s="21"/>
    </row>
    <row r="979" spans="5:5" ht="13" x14ac:dyDescent="0.15">
      <c r="E979" s="21"/>
    </row>
    <row r="980" spans="5:5" ht="13" x14ac:dyDescent="0.15">
      <c r="E980" s="21"/>
    </row>
    <row r="981" spans="5:5" ht="13" x14ac:dyDescent="0.15">
      <c r="E981" s="21"/>
    </row>
    <row r="982" spans="5:5" ht="13" x14ac:dyDescent="0.15">
      <c r="E982" s="21"/>
    </row>
    <row r="983" spans="5:5" ht="13" x14ac:dyDescent="0.15">
      <c r="E983" s="21"/>
    </row>
    <row r="984" spans="5:5" ht="13" x14ac:dyDescent="0.15">
      <c r="E984" s="21"/>
    </row>
    <row r="985" spans="5:5" ht="13" x14ac:dyDescent="0.15">
      <c r="E985" s="21"/>
    </row>
    <row r="986" spans="5:5" ht="13" x14ac:dyDescent="0.15">
      <c r="E986" s="21"/>
    </row>
    <row r="987" spans="5:5" ht="13" x14ac:dyDescent="0.15">
      <c r="E987" s="21"/>
    </row>
    <row r="988" spans="5:5" ht="13" x14ac:dyDescent="0.15">
      <c r="E988" s="21"/>
    </row>
    <row r="989" spans="5:5" ht="13" x14ac:dyDescent="0.15">
      <c r="E989" s="21"/>
    </row>
    <row r="990" spans="5:5" ht="13" x14ac:dyDescent="0.15">
      <c r="E990" s="21"/>
    </row>
    <row r="991" spans="5:5" ht="13" x14ac:dyDescent="0.15">
      <c r="E991" s="21"/>
    </row>
    <row r="992" spans="5:5" ht="13" x14ac:dyDescent="0.15">
      <c r="E992" s="21"/>
    </row>
    <row r="993" spans="5:5" ht="13" x14ac:dyDescent="0.15">
      <c r="E993" s="21"/>
    </row>
    <row r="994" spans="5:5" ht="13" x14ac:dyDescent="0.15">
      <c r="E994" s="21"/>
    </row>
    <row r="995" spans="5:5" ht="13" x14ac:dyDescent="0.15">
      <c r="E995" s="21"/>
    </row>
    <row r="996" spans="5:5" ht="13" x14ac:dyDescent="0.15">
      <c r="E996" s="21"/>
    </row>
    <row r="997" spans="5:5" ht="13" x14ac:dyDescent="0.15">
      <c r="E997" s="21"/>
    </row>
    <row r="998" spans="5:5" ht="13" x14ac:dyDescent="0.15">
      <c r="E998" s="21"/>
    </row>
    <row r="999" spans="5:5" ht="13" x14ac:dyDescent="0.15">
      <c r="E999" s="21"/>
    </row>
    <row r="1000" spans="5:5" ht="13" x14ac:dyDescent="0.15">
      <c r="E1000" s="21"/>
    </row>
  </sheetData>
  <mergeCells count="1">
    <mergeCell ref="K11:L11"/>
  </mergeCells>
  <hyperlinks>
    <hyperlink ref="J19" r:id="rId1" location="gid=1674547729" display="https://docs.google.com/spreadsheets/d/1S2MIyFB1-1iDMDfXsVNQjGv_J2pj5uGVEtQBWF2IfTg/edit - gid=1674547729"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I5406"/>
  <sheetViews>
    <sheetView tabSelected="1" workbookViewId="0">
      <pane ySplit="2" topLeftCell="A4" activePane="bottomLeft" state="frozen"/>
      <selection pane="bottomLeft" activeCell="B4" sqref="B4"/>
    </sheetView>
  </sheetViews>
  <sheetFormatPr baseColWidth="10" defaultColWidth="12.6640625" defaultRowHeight="15.75" customHeight="1" outlineLevelRow="1" x14ac:dyDescent="0.15"/>
  <cols>
    <col min="2" max="2" width="9.5" customWidth="1"/>
  </cols>
  <sheetData>
    <row r="1" spans="1:9" ht="20" x14ac:dyDescent="0.2">
      <c r="A1" s="47" t="str">
        <f ca="1">IFERROR(__xludf.DUMMYFUNCTION("importrange(""https://docs.google.com/spreadsheets/d/1mvA960mm3QaFyRdwkfIRxhE1UQJl45QEUTnDVxtxiIE/edit?usp=sharing"",""PortPerf!A1:H"" &amp; right(I1,4))"),"Portfolio Performance")</f>
        <v>Portfolio Performance</v>
      </c>
      <c r="B1" s="48"/>
      <c r="C1" s="3"/>
      <c r="D1" s="3"/>
      <c r="E1" s="3" t="str">
        <f ca="1">IFERROR(__xludf.DUMMYFUNCTION("""COMPUTED_VALUE"""),"As of closing day of 2022-3-22")</f>
        <v>As of closing day of 2022-3-22</v>
      </c>
      <c r="F1" s="3"/>
      <c r="G1" s="3"/>
      <c r="H1" s="42"/>
      <c r="I1" s="8" t="str">
        <f ca="1">IFERROR(__xludf.DUMMYFUNCTION("importrange(""https://docs.google.com/spreadsheets/d/1mvA960mm3QaFyRdwkfIRxhE1UQJl45QEUTnDVxtxiIE/edit?usp=sharing"",""PortPerf!i1"")"),"Last row: 5406")</f>
        <v>Last row: 5406</v>
      </c>
    </row>
    <row r="2" spans="1:9" ht="56" collapsed="1" x14ac:dyDescent="0.15">
      <c r="A2" s="12" t="str">
        <f ca="1">IFERROR(__xludf.DUMMYFUNCTION("""COMPUTED_VALUE"""),"Acct#")</f>
        <v>Acct#</v>
      </c>
      <c r="B2" s="49" t="str">
        <f ca="1">IFERROR(__xludf.DUMMYFUNCTION("""COMPUTED_VALUE"""),"Cumulative Date")</f>
        <v>Cumulative Date</v>
      </c>
      <c r="C2" s="13" t="str">
        <f ca="1">IFERROR(__xludf.DUMMYFUNCTION("""COMPUTED_VALUE"""),"Post-Trade Cash Balance")</f>
        <v>Post-Trade Cash Balance</v>
      </c>
      <c r="D2" s="13" t="str">
        <f ca="1">IFERROR(__xludf.DUMMYFUNCTION("""COMPUTED_VALUE"""),"Post-Trade Total Securities Value Balance")</f>
        <v>Post-Trade Total Securities Value Balance</v>
      </c>
      <c r="E2" s="13" t="str">
        <f ca="1">IFERROR(__xludf.DUMMYFUNCTION("""COMPUTED_VALUE"""),"Post-Trade Total Asset Balance")</f>
        <v>Post-Trade Total Asset Balance</v>
      </c>
      <c r="F2" s="50" t="str">
        <f ca="1">IFERROR(__xludf.DUMMYFUNCTION("""COMPUTED_VALUE"""),"Post-Trade Ava Margin Balance")</f>
        <v>Post-Trade Ava Margin Balance</v>
      </c>
      <c r="G2" s="50" t="str">
        <f ca="1">IFERROR(__xludf.DUMMYFUNCTION("""COMPUTED_VALUE"""),"Post-Trade Margin Loan Balance")</f>
        <v>Post-Trade Margin Loan Balance</v>
      </c>
      <c r="H2" s="13" t="str">
        <f ca="1">IFERROR(__xludf.DUMMYFUNCTION("""COMPUTED_VALUE"""),"MTM AuM per value day")</f>
        <v>MTM AuM per value day</v>
      </c>
    </row>
    <row r="3" spans="1:9" ht="13" hidden="1" outlineLevel="1" x14ac:dyDescent="0.15">
      <c r="A3" s="5" t="str">
        <f ca="1">IFERROR(__xludf.DUMMYFUNCTION("""COMPUTED_VALUE"""),"Acct#")</f>
        <v>Acct#</v>
      </c>
      <c r="B3" s="51" t="str">
        <f ca="1">IFERROR(__xludf.DUMMYFUNCTION("""COMPUTED_VALUE"""),"Cumulative Date")</f>
        <v>Cumulative Date</v>
      </c>
      <c r="C3" s="22" t="str">
        <f ca="1">IFERROR(__xludf.DUMMYFUNCTION("""COMPUTED_VALUE"""),"Post-Trade Cash Balance")</f>
        <v>Post-Trade Cash Balance</v>
      </c>
      <c r="D3" s="22" t="str">
        <f ca="1">IFERROR(__xludf.DUMMYFUNCTION("""COMPUTED_VALUE"""),"Post-Trade Total Securities Value Balance")</f>
        <v>Post-Trade Total Securities Value Balance</v>
      </c>
      <c r="E3" s="22" t="str">
        <f ca="1">IFERROR(__xludf.DUMMYFUNCTION("""COMPUTED_VALUE"""),"Post-Trade Total Asset Balance")</f>
        <v>Post-Trade Total Asset Balance</v>
      </c>
      <c r="F3" s="22" t="str">
        <f ca="1">IFERROR(__xludf.DUMMYFUNCTION("""COMPUTED_VALUE"""),"Post-Trade Ava Margin Balance")</f>
        <v>Post-Trade Ava Margin Balance</v>
      </c>
      <c r="G3" s="22" t="str">
        <f ca="1">IFERROR(__xludf.DUMMYFUNCTION("""COMPUTED_VALUE"""),"Post-Trade Margin Loan Balance")</f>
        <v>Post-Trade Margin Loan Balance</v>
      </c>
      <c r="H3" s="7" t="str">
        <f ca="1">IFERROR(__xludf.DUMMYFUNCTION("""COMPUTED_VALUE"""),"MTM AuM per value day")</f>
        <v>MTM AuM per value day</v>
      </c>
    </row>
    <row r="4" spans="1:9" ht="13" x14ac:dyDescent="0.15">
      <c r="A4" s="5" t="str">
        <f ca="1">IFERROR(__xludf.DUMMYFUNCTION("""COMPUTED_VALUE"""),"14626")</f>
        <v>14626</v>
      </c>
      <c r="B4" s="51">
        <f ca="1">IFERROR(__xludf.DUMMYFUNCTION("""COMPUTED_VALUE"""),44597)</f>
        <v>44597</v>
      </c>
      <c r="C4" s="22">
        <f ca="1">IFERROR(__xludf.DUMMYFUNCTION("""COMPUTED_VALUE"""),500000)</f>
        <v>500000</v>
      </c>
      <c r="D4" s="22">
        <f ca="1">IFERROR(__xludf.DUMMYFUNCTION("""COMPUTED_VALUE"""),0)</f>
        <v>0</v>
      </c>
      <c r="E4" s="22">
        <f ca="1">IFERROR(__xludf.DUMMYFUNCTION("""COMPUTED_VALUE"""),500000)</f>
        <v>500000</v>
      </c>
      <c r="F4" s="22">
        <f ca="1">IFERROR(__xludf.DUMMYFUNCTION("""COMPUTED_VALUE"""),500000)</f>
        <v>500000</v>
      </c>
      <c r="G4" s="22">
        <f ca="1">IFERROR(__xludf.DUMMYFUNCTION("""COMPUTED_VALUE"""),0)</f>
        <v>0</v>
      </c>
      <c r="H4" s="7">
        <f ca="1">IFERROR(__xludf.DUMMYFUNCTION("""COMPUTED_VALUE"""),500000)</f>
        <v>500000</v>
      </c>
    </row>
    <row r="5" spans="1:9" ht="13" x14ac:dyDescent="0.15">
      <c r="A5" s="5" t="str">
        <f ca="1">IFERROR(__xludf.DUMMYFUNCTION("""COMPUTED_VALUE"""),"14626")</f>
        <v>14626</v>
      </c>
      <c r="B5" s="51">
        <f ca="1">IFERROR(__xludf.DUMMYFUNCTION("""COMPUTED_VALUE"""),44598)</f>
        <v>44598</v>
      </c>
      <c r="C5" s="22">
        <f ca="1">IFERROR(__xludf.DUMMYFUNCTION("""COMPUTED_VALUE"""),500000)</f>
        <v>500000</v>
      </c>
      <c r="D5" s="22">
        <f ca="1">IFERROR(__xludf.DUMMYFUNCTION("""COMPUTED_VALUE"""),0)</f>
        <v>0</v>
      </c>
      <c r="E5" s="22">
        <f ca="1">IFERROR(__xludf.DUMMYFUNCTION("""COMPUTED_VALUE"""),500000)</f>
        <v>500000</v>
      </c>
      <c r="F5" s="22">
        <f ca="1">IFERROR(__xludf.DUMMYFUNCTION("""COMPUTED_VALUE"""),500000)</f>
        <v>500000</v>
      </c>
      <c r="G5" s="22">
        <f ca="1">IFERROR(__xludf.DUMMYFUNCTION("""COMPUTED_VALUE"""),0)</f>
        <v>0</v>
      </c>
      <c r="H5" s="7">
        <f ca="1">IFERROR(__xludf.DUMMYFUNCTION("""COMPUTED_VALUE"""),500000)</f>
        <v>500000</v>
      </c>
    </row>
    <row r="6" spans="1:9" ht="13" x14ac:dyDescent="0.15">
      <c r="A6" s="5" t="str">
        <f ca="1">IFERROR(__xludf.DUMMYFUNCTION("""COMPUTED_VALUE"""),"14626")</f>
        <v>14626</v>
      </c>
      <c r="B6" s="51">
        <f ca="1">IFERROR(__xludf.DUMMYFUNCTION("""COMPUTED_VALUE"""),44599)</f>
        <v>44599</v>
      </c>
      <c r="C6" s="22">
        <f ca="1">IFERROR(__xludf.DUMMYFUNCTION("""COMPUTED_VALUE"""),500000)</f>
        <v>500000</v>
      </c>
      <c r="D6" s="22">
        <f ca="1">IFERROR(__xludf.DUMMYFUNCTION("""COMPUTED_VALUE"""),0)</f>
        <v>0</v>
      </c>
      <c r="E6" s="22">
        <f ca="1">IFERROR(__xludf.DUMMYFUNCTION("""COMPUTED_VALUE"""),500000)</f>
        <v>500000</v>
      </c>
      <c r="F6" s="22">
        <f ca="1">IFERROR(__xludf.DUMMYFUNCTION("""COMPUTED_VALUE"""),500000)</f>
        <v>500000</v>
      </c>
      <c r="G6" s="22">
        <f ca="1">IFERROR(__xludf.DUMMYFUNCTION("""COMPUTED_VALUE"""),0)</f>
        <v>0</v>
      </c>
      <c r="H6" s="7">
        <f ca="1">IFERROR(__xludf.DUMMYFUNCTION("""COMPUTED_VALUE"""),500000)</f>
        <v>500000</v>
      </c>
    </row>
    <row r="7" spans="1:9" ht="13" x14ac:dyDescent="0.15">
      <c r="A7" s="5" t="str">
        <f ca="1">IFERROR(__xludf.DUMMYFUNCTION("""COMPUTED_VALUE"""),"14626")</f>
        <v>14626</v>
      </c>
      <c r="B7" s="51">
        <f ca="1">IFERROR(__xludf.DUMMYFUNCTION("""COMPUTED_VALUE"""),44600)</f>
        <v>44600</v>
      </c>
      <c r="C7" s="22">
        <f ca="1">IFERROR(__xludf.DUMMYFUNCTION("""COMPUTED_VALUE"""),500000)</f>
        <v>500000</v>
      </c>
      <c r="D7" s="22">
        <f ca="1">IFERROR(__xludf.DUMMYFUNCTION("""COMPUTED_VALUE"""),0)</f>
        <v>0</v>
      </c>
      <c r="E7" s="22">
        <f ca="1">IFERROR(__xludf.DUMMYFUNCTION("""COMPUTED_VALUE"""),500000)</f>
        <v>500000</v>
      </c>
      <c r="F7" s="22">
        <f ca="1">IFERROR(__xludf.DUMMYFUNCTION("""COMPUTED_VALUE"""),500000)</f>
        <v>500000</v>
      </c>
      <c r="G7" s="22">
        <f ca="1">IFERROR(__xludf.DUMMYFUNCTION("""COMPUTED_VALUE"""),0)</f>
        <v>0</v>
      </c>
      <c r="H7" s="7">
        <f ca="1">IFERROR(__xludf.DUMMYFUNCTION("""COMPUTED_VALUE"""),500000)</f>
        <v>500000</v>
      </c>
    </row>
    <row r="8" spans="1:9" ht="13" x14ac:dyDescent="0.15">
      <c r="A8" s="5" t="str">
        <f ca="1">IFERROR(__xludf.DUMMYFUNCTION("""COMPUTED_VALUE"""),"14626")</f>
        <v>14626</v>
      </c>
      <c r="B8" s="51">
        <f ca="1">IFERROR(__xludf.DUMMYFUNCTION("""COMPUTED_VALUE"""),44601)</f>
        <v>44601</v>
      </c>
      <c r="C8" s="22">
        <f ca="1">IFERROR(__xludf.DUMMYFUNCTION("""COMPUTED_VALUE"""),500000)</f>
        <v>500000</v>
      </c>
      <c r="D8" s="22">
        <f ca="1">IFERROR(__xludf.DUMMYFUNCTION("""COMPUTED_VALUE"""),0)</f>
        <v>0</v>
      </c>
      <c r="E8" s="22">
        <f ca="1">IFERROR(__xludf.DUMMYFUNCTION("""COMPUTED_VALUE"""),500000)</f>
        <v>500000</v>
      </c>
      <c r="F8" s="22">
        <f ca="1">IFERROR(__xludf.DUMMYFUNCTION("""COMPUTED_VALUE"""),500000)</f>
        <v>500000</v>
      </c>
      <c r="G8" s="22">
        <f ca="1">IFERROR(__xludf.DUMMYFUNCTION("""COMPUTED_VALUE"""),0)</f>
        <v>0</v>
      </c>
      <c r="H8" s="7">
        <f ca="1">IFERROR(__xludf.DUMMYFUNCTION("""COMPUTED_VALUE"""),500000)</f>
        <v>500000</v>
      </c>
    </row>
    <row r="9" spans="1:9" ht="13" x14ac:dyDescent="0.15">
      <c r="A9" s="5" t="str">
        <f ca="1">IFERROR(__xludf.DUMMYFUNCTION("""COMPUTED_VALUE"""),"14626")</f>
        <v>14626</v>
      </c>
      <c r="B9" s="51">
        <f ca="1">IFERROR(__xludf.DUMMYFUNCTION("""COMPUTED_VALUE"""),44602)</f>
        <v>44602</v>
      </c>
      <c r="C9" s="22">
        <f ca="1">IFERROR(__xludf.DUMMYFUNCTION("""COMPUTED_VALUE"""),500000)</f>
        <v>500000</v>
      </c>
      <c r="D9" s="22">
        <f ca="1">IFERROR(__xludf.DUMMYFUNCTION("""COMPUTED_VALUE"""),0)</f>
        <v>0</v>
      </c>
      <c r="E9" s="22">
        <f ca="1">IFERROR(__xludf.DUMMYFUNCTION("""COMPUTED_VALUE"""),500000)</f>
        <v>500000</v>
      </c>
      <c r="F9" s="22">
        <f ca="1">IFERROR(__xludf.DUMMYFUNCTION("""COMPUTED_VALUE"""),500000)</f>
        <v>500000</v>
      </c>
      <c r="G9" s="22">
        <f ca="1">IFERROR(__xludf.DUMMYFUNCTION("""COMPUTED_VALUE"""),0)</f>
        <v>0</v>
      </c>
      <c r="H9" s="7">
        <f ca="1">IFERROR(__xludf.DUMMYFUNCTION("""COMPUTED_VALUE"""),500000)</f>
        <v>500000</v>
      </c>
    </row>
    <row r="10" spans="1:9" ht="13" x14ac:dyDescent="0.15">
      <c r="A10" s="5" t="str">
        <f ca="1">IFERROR(__xludf.DUMMYFUNCTION("""COMPUTED_VALUE"""),"14626")</f>
        <v>14626</v>
      </c>
      <c r="B10" s="51">
        <f ca="1">IFERROR(__xludf.DUMMYFUNCTION("""COMPUTED_VALUE"""),44603)</f>
        <v>44603</v>
      </c>
      <c r="C10" s="22">
        <f ca="1">IFERROR(__xludf.DUMMYFUNCTION("""COMPUTED_VALUE"""),500000)</f>
        <v>500000</v>
      </c>
      <c r="D10" s="22">
        <f ca="1">IFERROR(__xludf.DUMMYFUNCTION("""COMPUTED_VALUE"""),0)</f>
        <v>0</v>
      </c>
      <c r="E10" s="22">
        <f ca="1">IFERROR(__xludf.DUMMYFUNCTION("""COMPUTED_VALUE"""),500000)</f>
        <v>500000</v>
      </c>
      <c r="F10" s="22">
        <f ca="1">IFERROR(__xludf.DUMMYFUNCTION("""COMPUTED_VALUE"""),500000)</f>
        <v>500000</v>
      </c>
      <c r="G10" s="22">
        <f ca="1">IFERROR(__xludf.DUMMYFUNCTION("""COMPUTED_VALUE"""),0)</f>
        <v>0</v>
      </c>
      <c r="H10" s="7">
        <f ca="1">IFERROR(__xludf.DUMMYFUNCTION("""COMPUTED_VALUE"""),500000)</f>
        <v>500000</v>
      </c>
    </row>
    <row r="11" spans="1:9" ht="13" x14ac:dyDescent="0.15">
      <c r="A11" s="5" t="str">
        <f ca="1">IFERROR(__xludf.DUMMYFUNCTION("""COMPUTED_VALUE"""),"14626")</f>
        <v>14626</v>
      </c>
      <c r="B11" s="51">
        <f ca="1">IFERROR(__xludf.DUMMYFUNCTION("""COMPUTED_VALUE"""),44604)</f>
        <v>44604</v>
      </c>
      <c r="C11" s="22">
        <f ca="1">IFERROR(__xludf.DUMMYFUNCTION("""COMPUTED_VALUE"""),500000)</f>
        <v>500000</v>
      </c>
      <c r="D11" s="22">
        <f ca="1">IFERROR(__xludf.DUMMYFUNCTION("""COMPUTED_VALUE"""),0)</f>
        <v>0</v>
      </c>
      <c r="E11" s="22">
        <f ca="1">IFERROR(__xludf.DUMMYFUNCTION("""COMPUTED_VALUE"""),500000)</f>
        <v>500000</v>
      </c>
      <c r="F11" s="22">
        <f ca="1">IFERROR(__xludf.DUMMYFUNCTION("""COMPUTED_VALUE"""),500000)</f>
        <v>500000</v>
      </c>
      <c r="G11" s="22">
        <f ca="1">IFERROR(__xludf.DUMMYFUNCTION("""COMPUTED_VALUE"""),0)</f>
        <v>0</v>
      </c>
      <c r="H11" s="7">
        <f ca="1">IFERROR(__xludf.DUMMYFUNCTION("""COMPUTED_VALUE"""),500000)</f>
        <v>500000</v>
      </c>
    </row>
    <row r="12" spans="1:9" ht="13" x14ac:dyDescent="0.15">
      <c r="A12" s="5" t="str">
        <f ca="1">IFERROR(__xludf.DUMMYFUNCTION("""COMPUTED_VALUE"""),"14626")</f>
        <v>14626</v>
      </c>
      <c r="B12" s="51">
        <f ca="1">IFERROR(__xludf.DUMMYFUNCTION("""COMPUTED_VALUE"""),44605)</f>
        <v>44605</v>
      </c>
      <c r="C12" s="22">
        <f ca="1">IFERROR(__xludf.DUMMYFUNCTION("""COMPUTED_VALUE"""),500000)</f>
        <v>500000</v>
      </c>
      <c r="D12" s="22">
        <f ca="1">IFERROR(__xludf.DUMMYFUNCTION("""COMPUTED_VALUE"""),0)</f>
        <v>0</v>
      </c>
      <c r="E12" s="22">
        <f ca="1">IFERROR(__xludf.DUMMYFUNCTION("""COMPUTED_VALUE"""),500000)</f>
        <v>500000</v>
      </c>
      <c r="F12" s="22">
        <f ca="1">IFERROR(__xludf.DUMMYFUNCTION("""COMPUTED_VALUE"""),500000)</f>
        <v>500000</v>
      </c>
      <c r="G12" s="22">
        <f ca="1">IFERROR(__xludf.DUMMYFUNCTION("""COMPUTED_VALUE"""),0)</f>
        <v>0</v>
      </c>
      <c r="H12" s="7">
        <f ca="1">IFERROR(__xludf.DUMMYFUNCTION("""COMPUTED_VALUE"""),500000)</f>
        <v>500000</v>
      </c>
    </row>
    <row r="13" spans="1:9" ht="13" x14ac:dyDescent="0.15">
      <c r="A13" s="5" t="str">
        <f ca="1">IFERROR(__xludf.DUMMYFUNCTION("""COMPUTED_VALUE"""),"14626")</f>
        <v>14626</v>
      </c>
      <c r="B13" s="51">
        <f ca="1">IFERROR(__xludf.DUMMYFUNCTION("""COMPUTED_VALUE"""),44606)</f>
        <v>44606</v>
      </c>
      <c r="C13" s="22">
        <f ca="1">IFERROR(__xludf.DUMMYFUNCTION("""COMPUTED_VALUE"""),500000)</f>
        <v>500000</v>
      </c>
      <c r="D13" s="22">
        <f ca="1">IFERROR(__xludf.DUMMYFUNCTION("""COMPUTED_VALUE"""),0)</f>
        <v>0</v>
      </c>
      <c r="E13" s="22">
        <f ca="1">IFERROR(__xludf.DUMMYFUNCTION("""COMPUTED_VALUE"""),500000)</f>
        <v>500000</v>
      </c>
      <c r="F13" s="22">
        <f ca="1">IFERROR(__xludf.DUMMYFUNCTION("""COMPUTED_VALUE"""),500000)</f>
        <v>500000</v>
      </c>
      <c r="G13" s="22">
        <f ca="1">IFERROR(__xludf.DUMMYFUNCTION("""COMPUTED_VALUE"""),0)</f>
        <v>0</v>
      </c>
      <c r="H13" s="7">
        <f ca="1">IFERROR(__xludf.DUMMYFUNCTION("""COMPUTED_VALUE"""),500000)</f>
        <v>500000</v>
      </c>
    </row>
    <row r="14" spans="1:9" ht="13" x14ac:dyDescent="0.15">
      <c r="A14" s="5" t="str">
        <f ca="1">IFERROR(__xludf.DUMMYFUNCTION("""COMPUTED_VALUE"""),"14626")</f>
        <v>14626</v>
      </c>
      <c r="B14" s="51">
        <f ca="1">IFERROR(__xludf.DUMMYFUNCTION("""COMPUTED_VALUE"""),44607)</f>
        <v>44607</v>
      </c>
      <c r="C14" s="22">
        <f ca="1">IFERROR(__xludf.DUMMYFUNCTION("""COMPUTED_VALUE"""),500000)</f>
        <v>500000</v>
      </c>
      <c r="D14" s="22">
        <f ca="1">IFERROR(__xludf.DUMMYFUNCTION("""COMPUTED_VALUE"""),0)</f>
        <v>0</v>
      </c>
      <c r="E14" s="22">
        <f ca="1">IFERROR(__xludf.DUMMYFUNCTION("""COMPUTED_VALUE"""),500000)</f>
        <v>500000</v>
      </c>
      <c r="F14" s="22">
        <f ca="1">IFERROR(__xludf.DUMMYFUNCTION("""COMPUTED_VALUE"""),500000)</f>
        <v>500000</v>
      </c>
      <c r="G14" s="22">
        <f ca="1">IFERROR(__xludf.DUMMYFUNCTION("""COMPUTED_VALUE"""),0)</f>
        <v>0</v>
      </c>
      <c r="H14" s="7">
        <f ca="1">IFERROR(__xludf.DUMMYFUNCTION("""COMPUTED_VALUE"""),500000)</f>
        <v>500000</v>
      </c>
    </row>
    <row r="15" spans="1:9" ht="13" x14ac:dyDescent="0.15">
      <c r="A15" s="5" t="str">
        <f ca="1">IFERROR(__xludf.DUMMYFUNCTION("""COMPUTED_VALUE"""),"14626")</f>
        <v>14626</v>
      </c>
      <c r="B15" s="51">
        <f ca="1">IFERROR(__xludf.DUMMYFUNCTION("""COMPUTED_VALUE"""),44608)</f>
        <v>44608</v>
      </c>
      <c r="C15" s="22">
        <f ca="1">IFERROR(__xludf.DUMMYFUNCTION("""COMPUTED_VALUE"""),500000)</f>
        <v>500000</v>
      </c>
      <c r="D15" s="22">
        <f ca="1">IFERROR(__xludf.DUMMYFUNCTION("""COMPUTED_VALUE"""),0)</f>
        <v>0</v>
      </c>
      <c r="E15" s="22">
        <f ca="1">IFERROR(__xludf.DUMMYFUNCTION("""COMPUTED_VALUE"""),500000)</f>
        <v>500000</v>
      </c>
      <c r="F15" s="22">
        <f ca="1">IFERROR(__xludf.DUMMYFUNCTION("""COMPUTED_VALUE"""),500000)</f>
        <v>500000</v>
      </c>
      <c r="G15" s="22">
        <f ca="1">IFERROR(__xludf.DUMMYFUNCTION("""COMPUTED_VALUE"""),0)</f>
        <v>0</v>
      </c>
      <c r="H15" s="7">
        <f ca="1">IFERROR(__xludf.DUMMYFUNCTION("""COMPUTED_VALUE"""),500000)</f>
        <v>500000</v>
      </c>
    </row>
    <row r="16" spans="1:9" ht="13" x14ac:dyDescent="0.15">
      <c r="A16" s="5" t="str">
        <f ca="1">IFERROR(__xludf.DUMMYFUNCTION("""COMPUTED_VALUE"""),"14626")</f>
        <v>14626</v>
      </c>
      <c r="B16" s="51">
        <f ca="1">IFERROR(__xludf.DUMMYFUNCTION("""COMPUTED_VALUE"""),44609)</f>
        <v>44609</v>
      </c>
      <c r="C16" s="22">
        <f ca="1">IFERROR(__xludf.DUMMYFUNCTION("""COMPUTED_VALUE"""),500000)</f>
        <v>500000</v>
      </c>
      <c r="D16" s="22">
        <f ca="1">IFERROR(__xludf.DUMMYFUNCTION("""COMPUTED_VALUE"""),0)</f>
        <v>0</v>
      </c>
      <c r="E16" s="22">
        <f ca="1">IFERROR(__xludf.DUMMYFUNCTION("""COMPUTED_VALUE"""),500000)</f>
        <v>500000</v>
      </c>
      <c r="F16" s="22">
        <f ca="1">IFERROR(__xludf.DUMMYFUNCTION("""COMPUTED_VALUE"""),500000)</f>
        <v>500000</v>
      </c>
      <c r="G16" s="22">
        <f ca="1">IFERROR(__xludf.DUMMYFUNCTION("""COMPUTED_VALUE"""),0)</f>
        <v>0</v>
      </c>
      <c r="H16" s="7">
        <f ca="1">IFERROR(__xludf.DUMMYFUNCTION("""COMPUTED_VALUE"""),500000)</f>
        <v>500000</v>
      </c>
    </row>
    <row r="17" spans="1:8" ht="13" x14ac:dyDescent="0.15">
      <c r="A17" s="5" t="str">
        <f ca="1">IFERROR(__xludf.DUMMYFUNCTION("""COMPUTED_VALUE"""),"14626")</f>
        <v>14626</v>
      </c>
      <c r="B17" s="51">
        <f ca="1">IFERROR(__xludf.DUMMYFUNCTION("""COMPUTED_VALUE"""),44610)</f>
        <v>44610</v>
      </c>
      <c r="C17" s="22">
        <f ca="1">IFERROR(__xludf.DUMMYFUNCTION("""COMPUTED_VALUE"""),500000)</f>
        <v>500000</v>
      </c>
      <c r="D17" s="22">
        <f ca="1">IFERROR(__xludf.DUMMYFUNCTION("""COMPUTED_VALUE"""),0)</f>
        <v>0</v>
      </c>
      <c r="E17" s="22">
        <f ca="1">IFERROR(__xludf.DUMMYFUNCTION("""COMPUTED_VALUE"""),500000)</f>
        <v>500000</v>
      </c>
      <c r="F17" s="22">
        <f ca="1">IFERROR(__xludf.DUMMYFUNCTION("""COMPUTED_VALUE"""),500000)</f>
        <v>500000</v>
      </c>
      <c r="G17" s="22">
        <f ca="1">IFERROR(__xludf.DUMMYFUNCTION("""COMPUTED_VALUE"""),0)</f>
        <v>0</v>
      </c>
      <c r="H17" s="7">
        <f ca="1">IFERROR(__xludf.DUMMYFUNCTION("""COMPUTED_VALUE"""),500000)</f>
        <v>500000</v>
      </c>
    </row>
    <row r="18" spans="1:8" ht="13" x14ac:dyDescent="0.15">
      <c r="A18" s="5" t="str">
        <f ca="1">IFERROR(__xludf.DUMMYFUNCTION("""COMPUTED_VALUE"""),"14626")</f>
        <v>14626</v>
      </c>
      <c r="B18" s="51">
        <f ca="1">IFERROR(__xludf.DUMMYFUNCTION("""COMPUTED_VALUE"""),44611)</f>
        <v>44611</v>
      </c>
      <c r="C18" s="22">
        <f ca="1">IFERROR(__xludf.DUMMYFUNCTION("""COMPUTED_VALUE"""),500000)</f>
        <v>500000</v>
      </c>
      <c r="D18" s="22">
        <f ca="1">IFERROR(__xludf.DUMMYFUNCTION("""COMPUTED_VALUE"""),0)</f>
        <v>0</v>
      </c>
      <c r="E18" s="22">
        <f ca="1">IFERROR(__xludf.DUMMYFUNCTION("""COMPUTED_VALUE"""),500000)</f>
        <v>500000</v>
      </c>
      <c r="F18" s="22">
        <f ca="1">IFERROR(__xludf.DUMMYFUNCTION("""COMPUTED_VALUE"""),500000)</f>
        <v>500000</v>
      </c>
      <c r="G18" s="22">
        <f ca="1">IFERROR(__xludf.DUMMYFUNCTION("""COMPUTED_VALUE"""),0)</f>
        <v>0</v>
      </c>
      <c r="H18" s="7">
        <f ca="1">IFERROR(__xludf.DUMMYFUNCTION("""COMPUTED_VALUE"""),500000)</f>
        <v>500000</v>
      </c>
    </row>
    <row r="19" spans="1:8" ht="13" x14ac:dyDescent="0.15">
      <c r="A19" s="5" t="str">
        <f ca="1">IFERROR(__xludf.DUMMYFUNCTION("""COMPUTED_VALUE"""),"14626")</f>
        <v>14626</v>
      </c>
      <c r="B19" s="51">
        <f ca="1">IFERROR(__xludf.DUMMYFUNCTION("""COMPUTED_VALUE"""),44612)</f>
        <v>44612</v>
      </c>
      <c r="C19" s="22">
        <f ca="1">IFERROR(__xludf.DUMMYFUNCTION("""COMPUTED_VALUE"""),500000)</f>
        <v>500000</v>
      </c>
      <c r="D19" s="22">
        <f ca="1">IFERROR(__xludf.DUMMYFUNCTION("""COMPUTED_VALUE"""),0)</f>
        <v>0</v>
      </c>
      <c r="E19" s="22">
        <f ca="1">IFERROR(__xludf.DUMMYFUNCTION("""COMPUTED_VALUE"""),500000)</f>
        <v>500000</v>
      </c>
      <c r="F19" s="22">
        <f ca="1">IFERROR(__xludf.DUMMYFUNCTION("""COMPUTED_VALUE"""),500000)</f>
        <v>500000</v>
      </c>
      <c r="G19" s="22">
        <f ca="1">IFERROR(__xludf.DUMMYFUNCTION("""COMPUTED_VALUE"""),0)</f>
        <v>0</v>
      </c>
      <c r="H19" s="7">
        <f ca="1">IFERROR(__xludf.DUMMYFUNCTION("""COMPUTED_VALUE"""),500000)</f>
        <v>500000</v>
      </c>
    </row>
    <row r="20" spans="1:8" ht="13" x14ac:dyDescent="0.15">
      <c r="A20" s="5" t="str">
        <f ca="1">IFERROR(__xludf.DUMMYFUNCTION("""COMPUTED_VALUE"""),"14626")</f>
        <v>14626</v>
      </c>
      <c r="B20" s="51">
        <f ca="1">IFERROR(__xludf.DUMMYFUNCTION("""COMPUTED_VALUE"""),44613)</f>
        <v>44613</v>
      </c>
      <c r="C20" s="22">
        <f ca="1">IFERROR(__xludf.DUMMYFUNCTION("""COMPUTED_VALUE"""),500000)</f>
        <v>500000</v>
      </c>
      <c r="D20" s="22">
        <f ca="1">IFERROR(__xludf.DUMMYFUNCTION("""COMPUTED_VALUE"""),0)</f>
        <v>0</v>
      </c>
      <c r="E20" s="22">
        <f ca="1">IFERROR(__xludf.DUMMYFUNCTION("""COMPUTED_VALUE"""),500000)</f>
        <v>500000</v>
      </c>
      <c r="F20" s="22">
        <f ca="1">IFERROR(__xludf.DUMMYFUNCTION("""COMPUTED_VALUE"""),500000)</f>
        <v>500000</v>
      </c>
      <c r="G20" s="22">
        <f ca="1">IFERROR(__xludf.DUMMYFUNCTION("""COMPUTED_VALUE"""),0)</f>
        <v>0</v>
      </c>
      <c r="H20" s="7">
        <f ca="1">IFERROR(__xludf.DUMMYFUNCTION("""COMPUTED_VALUE"""),500000)</f>
        <v>500000</v>
      </c>
    </row>
    <row r="21" spans="1:8" ht="13" x14ac:dyDescent="0.15">
      <c r="A21" s="5" t="str">
        <f ca="1">IFERROR(__xludf.DUMMYFUNCTION("""COMPUTED_VALUE"""),"14626")</f>
        <v>14626</v>
      </c>
      <c r="B21" s="51">
        <f ca="1">IFERROR(__xludf.DUMMYFUNCTION("""COMPUTED_VALUE"""),44614)</f>
        <v>44614</v>
      </c>
      <c r="C21" s="22">
        <f ca="1">IFERROR(__xludf.DUMMYFUNCTION("""COMPUTED_VALUE"""),500000)</f>
        <v>500000</v>
      </c>
      <c r="D21" s="22">
        <f ca="1">IFERROR(__xludf.DUMMYFUNCTION("""COMPUTED_VALUE"""),0)</f>
        <v>0</v>
      </c>
      <c r="E21" s="22">
        <f ca="1">IFERROR(__xludf.DUMMYFUNCTION("""COMPUTED_VALUE"""),500000)</f>
        <v>500000</v>
      </c>
      <c r="F21" s="22">
        <f ca="1">IFERROR(__xludf.DUMMYFUNCTION("""COMPUTED_VALUE"""),500000)</f>
        <v>500000</v>
      </c>
      <c r="G21" s="22">
        <f ca="1">IFERROR(__xludf.DUMMYFUNCTION("""COMPUTED_VALUE"""),0)</f>
        <v>0</v>
      </c>
      <c r="H21" s="7">
        <f ca="1">IFERROR(__xludf.DUMMYFUNCTION("""COMPUTED_VALUE"""),500000)</f>
        <v>500000</v>
      </c>
    </row>
    <row r="22" spans="1:8" ht="13" x14ac:dyDescent="0.15">
      <c r="A22" s="5" t="str">
        <f ca="1">IFERROR(__xludf.DUMMYFUNCTION("""COMPUTED_VALUE"""),"14626")</f>
        <v>14626</v>
      </c>
      <c r="B22" s="51">
        <f ca="1">IFERROR(__xludf.DUMMYFUNCTION("""COMPUTED_VALUE"""),44615)</f>
        <v>44615</v>
      </c>
      <c r="C22" s="22">
        <f ca="1">IFERROR(__xludf.DUMMYFUNCTION("""COMPUTED_VALUE"""),500000)</f>
        <v>500000</v>
      </c>
      <c r="D22" s="22">
        <f ca="1">IFERROR(__xludf.DUMMYFUNCTION("""COMPUTED_VALUE"""),0)</f>
        <v>0</v>
      </c>
      <c r="E22" s="22">
        <f ca="1">IFERROR(__xludf.DUMMYFUNCTION("""COMPUTED_VALUE"""),500000)</f>
        <v>500000</v>
      </c>
      <c r="F22" s="22">
        <f ca="1">IFERROR(__xludf.DUMMYFUNCTION("""COMPUTED_VALUE"""),500000)</f>
        <v>500000</v>
      </c>
      <c r="G22" s="22">
        <f ca="1">IFERROR(__xludf.DUMMYFUNCTION("""COMPUTED_VALUE"""),0)</f>
        <v>0</v>
      </c>
      <c r="H22" s="7">
        <f ca="1">IFERROR(__xludf.DUMMYFUNCTION("""COMPUTED_VALUE"""),500000)</f>
        <v>500000</v>
      </c>
    </row>
    <row r="23" spans="1:8" ht="13" x14ac:dyDescent="0.15">
      <c r="A23" s="5" t="str">
        <f ca="1">IFERROR(__xludf.DUMMYFUNCTION("""COMPUTED_VALUE"""),"14626")</f>
        <v>14626</v>
      </c>
      <c r="B23" s="51">
        <f ca="1">IFERROR(__xludf.DUMMYFUNCTION("""COMPUTED_VALUE"""),44616)</f>
        <v>44616</v>
      </c>
      <c r="C23" s="22">
        <f ca="1">IFERROR(__xludf.DUMMYFUNCTION("""COMPUTED_VALUE"""),500000)</f>
        <v>500000</v>
      </c>
      <c r="D23" s="22">
        <f ca="1">IFERROR(__xludf.DUMMYFUNCTION("""COMPUTED_VALUE"""),0)</f>
        <v>0</v>
      </c>
      <c r="E23" s="22">
        <f ca="1">IFERROR(__xludf.DUMMYFUNCTION("""COMPUTED_VALUE"""),500000)</f>
        <v>500000</v>
      </c>
      <c r="F23" s="22">
        <f ca="1">IFERROR(__xludf.DUMMYFUNCTION("""COMPUTED_VALUE"""),500000)</f>
        <v>500000</v>
      </c>
      <c r="G23" s="22">
        <f ca="1">IFERROR(__xludf.DUMMYFUNCTION("""COMPUTED_VALUE"""),0)</f>
        <v>0</v>
      </c>
      <c r="H23" s="7">
        <f ca="1">IFERROR(__xludf.DUMMYFUNCTION("""COMPUTED_VALUE"""),500000)</f>
        <v>500000</v>
      </c>
    </row>
    <row r="24" spans="1:8" ht="13" x14ac:dyDescent="0.15">
      <c r="A24" s="5" t="str">
        <f ca="1">IFERROR(__xludf.DUMMYFUNCTION("""COMPUTED_VALUE"""),"14626")</f>
        <v>14626</v>
      </c>
      <c r="B24" s="51">
        <f ca="1">IFERROR(__xludf.DUMMYFUNCTION("""COMPUTED_VALUE"""),44617)</f>
        <v>44617</v>
      </c>
      <c r="C24" s="22">
        <f ca="1">IFERROR(__xludf.DUMMYFUNCTION("""COMPUTED_VALUE"""),500000)</f>
        <v>500000</v>
      </c>
      <c r="D24" s="22">
        <f ca="1">IFERROR(__xludf.DUMMYFUNCTION("""COMPUTED_VALUE"""),0)</f>
        <v>0</v>
      </c>
      <c r="E24" s="22">
        <f ca="1">IFERROR(__xludf.DUMMYFUNCTION("""COMPUTED_VALUE"""),500000)</f>
        <v>500000</v>
      </c>
      <c r="F24" s="22">
        <f ca="1">IFERROR(__xludf.DUMMYFUNCTION("""COMPUTED_VALUE"""),500000)</f>
        <v>500000</v>
      </c>
      <c r="G24" s="22">
        <f ca="1">IFERROR(__xludf.DUMMYFUNCTION("""COMPUTED_VALUE"""),0)</f>
        <v>0</v>
      </c>
      <c r="H24" s="7">
        <f ca="1">IFERROR(__xludf.DUMMYFUNCTION("""COMPUTED_VALUE"""),500000)</f>
        <v>500000</v>
      </c>
    </row>
    <row r="25" spans="1:8" ht="13" x14ac:dyDescent="0.15">
      <c r="A25" s="5" t="str">
        <f ca="1">IFERROR(__xludf.DUMMYFUNCTION("""COMPUTED_VALUE"""),"14626")</f>
        <v>14626</v>
      </c>
      <c r="B25" s="51">
        <f ca="1">IFERROR(__xludf.DUMMYFUNCTION("""COMPUTED_VALUE"""),44618)</f>
        <v>44618</v>
      </c>
      <c r="C25" s="22">
        <f ca="1">IFERROR(__xludf.DUMMYFUNCTION("""COMPUTED_VALUE"""),500000)</f>
        <v>500000</v>
      </c>
      <c r="D25" s="22">
        <f ca="1">IFERROR(__xludf.DUMMYFUNCTION("""COMPUTED_VALUE"""),0)</f>
        <v>0</v>
      </c>
      <c r="E25" s="22">
        <f ca="1">IFERROR(__xludf.DUMMYFUNCTION("""COMPUTED_VALUE"""),500000)</f>
        <v>500000</v>
      </c>
      <c r="F25" s="22">
        <f ca="1">IFERROR(__xludf.DUMMYFUNCTION("""COMPUTED_VALUE"""),500000)</f>
        <v>500000</v>
      </c>
      <c r="G25" s="22">
        <f ca="1">IFERROR(__xludf.DUMMYFUNCTION("""COMPUTED_VALUE"""),0)</f>
        <v>0</v>
      </c>
      <c r="H25" s="7">
        <f ca="1">IFERROR(__xludf.DUMMYFUNCTION("""COMPUTED_VALUE"""),500000)</f>
        <v>500000</v>
      </c>
    </row>
    <row r="26" spans="1:8" ht="13" x14ac:dyDescent="0.15">
      <c r="A26" s="5" t="str">
        <f ca="1">IFERROR(__xludf.DUMMYFUNCTION("""COMPUTED_VALUE"""),"14626")</f>
        <v>14626</v>
      </c>
      <c r="B26" s="51">
        <f ca="1">IFERROR(__xludf.DUMMYFUNCTION("""COMPUTED_VALUE"""),44619)</f>
        <v>44619</v>
      </c>
      <c r="C26" s="22">
        <f ca="1">IFERROR(__xludf.DUMMYFUNCTION("""COMPUTED_VALUE"""),500000)</f>
        <v>500000</v>
      </c>
      <c r="D26" s="22">
        <f ca="1">IFERROR(__xludf.DUMMYFUNCTION("""COMPUTED_VALUE"""),0)</f>
        <v>0</v>
      </c>
      <c r="E26" s="22">
        <f ca="1">IFERROR(__xludf.DUMMYFUNCTION("""COMPUTED_VALUE"""),500000)</f>
        <v>500000</v>
      </c>
      <c r="F26" s="22">
        <f ca="1">IFERROR(__xludf.DUMMYFUNCTION("""COMPUTED_VALUE"""),500000)</f>
        <v>500000</v>
      </c>
      <c r="G26" s="22">
        <f ca="1">IFERROR(__xludf.DUMMYFUNCTION("""COMPUTED_VALUE"""),0)</f>
        <v>0</v>
      </c>
      <c r="H26" s="7">
        <f ca="1">IFERROR(__xludf.DUMMYFUNCTION("""COMPUTED_VALUE"""),500000)</f>
        <v>500000</v>
      </c>
    </row>
    <row r="27" spans="1:8" ht="13" x14ac:dyDescent="0.15">
      <c r="A27" s="5" t="str">
        <f ca="1">IFERROR(__xludf.DUMMYFUNCTION("""COMPUTED_VALUE"""),"14626")</f>
        <v>14626</v>
      </c>
      <c r="B27" s="51">
        <f ca="1">IFERROR(__xludf.DUMMYFUNCTION("""COMPUTED_VALUE"""),44620)</f>
        <v>44620</v>
      </c>
      <c r="C27" s="22">
        <f ca="1">IFERROR(__xludf.DUMMYFUNCTION("""COMPUTED_VALUE"""),500000)</f>
        <v>500000</v>
      </c>
      <c r="D27" s="22">
        <f ca="1">IFERROR(__xludf.DUMMYFUNCTION("""COMPUTED_VALUE"""),0)</f>
        <v>0</v>
      </c>
      <c r="E27" s="22">
        <f ca="1">IFERROR(__xludf.DUMMYFUNCTION("""COMPUTED_VALUE"""),500000)</f>
        <v>500000</v>
      </c>
      <c r="F27" s="22">
        <f ca="1">IFERROR(__xludf.DUMMYFUNCTION("""COMPUTED_VALUE"""),500000)</f>
        <v>500000</v>
      </c>
      <c r="G27" s="22">
        <f ca="1">IFERROR(__xludf.DUMMYFUNCTION("""COMPUTED_VALUE"""),0)</f>
        <v>0</v>
      </c>
      <c r="H27" s="7">
        <f ca="1">IFERROR(__xludf.DUMMYFUNCTION("""COMPUTED_VALUE"""),500000)</f>
        <v>500000</v>
      </c>
    </row>
    <row r="28" spans="1:8" ht="13" x14ac:dyDescent="0.15">
      <c r="A28" s="5" t="str">
        <f ca="1">IFERROR(__xludf.DUMMYFUNCTION("""COMPUTED_VALUE"""),"14626")</f>
        <v>14626</v>
      </c>
      <c r="B28" s="51">
        <f ca="1">IFERROR(__xludf.DUMMYFUNCTION("""COMPUTED_VALUE"""),44621)</f>
        <v>44621</v>
      </c>
      <c r="C28" s="22">
        <f ca="1">IFERROR(__xludf.DUMMYFUNCTION("""COMPUTED_VALUE"""),651939.2492)</f>
        <v>651939.24919999996</v>
      </c>
      <c r="D28" s="22">
        <f ca="1">IFERROR(__xludf.DUMMYFUNCTION("""COMPUTED_VALUE"""),-151939.2492)</f>
        <v>-151939.24919999999</v>
      </c>
      <c r="E28" s="22">
        <f ca="1">IFERROR(__xludf.DUMMYFUNCTION("""COMPUTED_VALUE"""),500000)</f>
        <v>500000</v>
      </c>
      <c r="F28" s="22">
        <f ca="1">IFERROR(__xludf.DUMMYFUNCTION("""COMPUTED_VALUE"""),348060.7508)</f>
        <v>348060.75079999998</v>
      </c>
      <c r="G28" s="22">
        <f ca="1">IFERROR(__xludf.DUMMYFUNCTION("""COMPUTED_VALUE"""),0)</f>
        <v>0</v>
      </c>
      <c r="H28" s="7">
        <f ca="1">IFERROR(__xludf.DUMMYFUNCTION("""COMPUTED_VALUE"""),500000)</f>
        <v>500000</v>
      </c>
    </row>
    <row r="29" spans="1:8" ht="13" x14ac:dyDescent="0.15">
      <c r="A29" s="5" t="str">
        <f ca="1">IFERROR(__xludf.DUMMYFUNCTION("""COMPUTED_VALUE"""),"14626")</f>
        <v>14626</v>
      </c>
      <c r="B29" s="51">
        <f ca="1">IFERROR(__xludf.DUMMYFUNCTION("""COMPUTED_VALUE"""),44622)</f>
        <v>44622</v>
      </c>
      <c r="C29" s="22">
        <f ca="1">IFERROR(__xludf.DUMMYFUNCTION("""COMPUTED_VALUE"""),651939.2492)</f>
        <v>651939.24919999996</v>
      </c>
      <c r="D29" s="22">
        <f ca="1">IFERROR(__xludf.DUMMYFUNCTION("""COMPUTED_VALUE"""),-151939.2492)</f>
        <v>-151939.24919999999</v>
      </c>
      <c r="E29" s="22">
        <f ca="1">IFERROR(__xludf.DUMMYFUNCTION("""COMPUTED_VALUE"""),500000)</f>
        <v>500000</v>
      </c>
      <c r="F29" s="22">
        <f ca="1">IFERROR(__xludf.DUMMYFUNCTION("""COMPUTED_VALUE"""),348060.7508)</f>
        <v>348060.75079999998</v>
      </c>
      <c r="G29" s="22">
        <f ca="1">IFERROR(__xludf.DUMMYFUNCTION("""COMPUTED_VALUE"""),0)</f>
        <v>0</v>
      </c>
      <c r="H29" s="7">
        <f ca="1">IFERROR(__xludf.DUMMYFUNCTION("""COMPUTED_VALUE"""),500926.8515)</f>
        <v>500926.85149999999</v>
      </c>
    </row>
    <row r="30" spans="1:8" ht="13" x14ac:dyDescent="0.15">
      <c r="A30" s="5" t="str">
        <f ca="1">IFERROR(__xludf.DUMMYFUNCTION("""COMPUTED_VALUE"""),"14626")</f>
        <v>14626</v>
      </c>
      <c r="B30" s="51">
        <f ca="1">IFERROR(__xludf.DUMMYFUNCTION("""COMPUTED_VALUE"""),44623)</f>
        <v>44623</v>
      </c>
      <c r="C30" s="22">
        <f ca="1">IFERROR(__xludf.DUMMYFUNCTION("""COMPUTED_VALUE"""),651939.2492)</f>
        <v>651939.24919999996</v>
      </c>
      <c r="D30" s="22">
        <f ca="1">IFERROR(__xludf.DUMMYFUNCTION("""COMPUTED_VALUE"""),-151939.2492)</f>
        <v>-151939.24919999999</v>
      </c>
      <c r="E30" s="22">
        <f ca="1">IFERROR(__xludf.DUMMYFUNCTION("""COMPUTED_VALUE"""),500000)</f>
        <v>500000</v>
      </c>
      <c r="F30" s="22">
        <f ca="1">IFERROR(__xludf.DUMMYFUNCTION("""COMPUTED_VALUE"""),348060.7508)</f>
        <v>348060.75079999998</v>
      </c>
      <c r="G30" s="22">
        <f ca="1">IFERROR(__xludf.DUMMYFUNCTION("""COMPUTED_VALUE"""),0)</f>
        <v>0</v>
      </c>
      <c r="H30" s="7">
        <f ca="1">IFERROR(__xludf.DUMMYFUNCTION("""COMPUTED_VALUE"""),500225.784849999)</f>
        <v>500225.78484999901</v>
      </c>
    </row>
    <row r="31" spans="1:8" ht="13" x14ac:dyDescent="0.15">
      <c r="A31" s="5" t="str">
        <f ca="1">IFERROR(__xludf.DUMMYFUNCTION("""COMPUTED_VALUE"""),"14626")</f>
        <v>14626</v>
      </c>
      <c r="B31" s="51">
        <f ca="1">IFERROR(__xludf.DUMMYFUNCTION("""COMPUTED_VALUE"""),44624)</f>
        <v>44624</v>
      </c>
      <c r="C31" s="22">
        <f ca="1">IFERROR(__xludf.DUMMYFUNCTION("""COMPUTED_VALUE"""),651939.2492)</f>
        <v>651939.24919999996</v>
      </c>
      <c r="D31" s="22">
        <f ca="1">IFERROR(__xludf.DUMMYFUNCTION("""COMPUTED_VALUE"""),-151939.2492)</f>
        <v>-151939.24919999999</v>
      </c>
      <c r="E31" s="22">
        <f ca="1">IFERROR(__xludf.DUMMYFUNCTION("""COMPUTED_VALUE"""),500000)</f>
        <v>500000</v>
      </c>
      <c r="F31" s="22">
        <f ca="1">IFERROR(__xludf.DUMMYFUNCTION("""COMPUTED_VALUE"""),348060.7508)</f>
        <v>348060.75079999998</v>
      </c>
      <c r="G31" s="22">
        <f ca="1">IFERROR(__xludf.DUMMYFUNCTION("""COMPUTED_VALUE"""),0)</f>
        <v>0</v>
      </c>
      <c r="H31" s="7">
        <f ca="1">IFERROR(__xludf.DUMMYFUNCTION("""COMPUTED_VALUE"""),497615.03348)</f>
        <v>497615.03347999998</v>
      </c>
    </row>
    <row r="32" spans="1:8" ht="13" x14ac:dyDescent="0.15">
      <c r="A32" s="5" t="str">
        <f ca="1">IFERROR(__xludf.DUMMYFUNCTION("""COMPUTED_VALUE"""),"14626")</f>
        <v>14626</v>
      </c>
      <c r="B32" s="51">
        <f ca="1">IFERROR(__xludf.DUMMYFUNCTION("""COMPUTED_VALUE"""),44625)</f>
        <v>44625</v>
      </c>
      <c r="C32" s="22">
        <f ca="1">IFERROR(__xludf.DUMMYFUNCTION("""COMPUTED_VALUE"""),651939.2492)</f>
        <v>651939.24919999996</v>
      </c>
      <c r="D32" s="22">
        <f ca="1">IFERROR(__xludf.DUMMYFUNCTION("""COMPUTED_VALUE"""),-151939.2492)</f>
        <v>-151939.24919999999</v>
      </c>
      <c r="E32" s="22">
        <f ca="1">IFERROR(__xludf.DUMMYFUNCTION("""COMPUTED_VALUE"""),500000)</f>
        <v>500000</v>
      </c>
      <c r="F32" s="22">
        <f ca="1">IFERROR(__xludf.DUMMYFUNCTION("""COMPUTED_VALUE"""),348060.7508)</f>
        <v>348060.75079999998</v>
      </c>
      <c r="G32" s="22">
        <f ca="1">IFERROR(__xludf.DUMMYFUNCTION("""COMPUTED_VALUE"""),0)</f>
        <v>0</v>
      </c>
      <c r="H32" s="7">
        <f ca="1">IFERROR(__xludf.DUMMYFUNCTION("""COMPUTED_VALUE"""),497615.03348)</f>
        <v>497615.03347999998</v>
      </c>
    </row>
    <row r="33" spans="1:8" ht="13" x14ac:dyDescent="0.15">
      <c r="A33" s="5" t="str">
        <f ca="1">IFERROR(__xludf.DUMMYFUNCTION("""COMPUTED_VALUE"""),"14626")</f>
        <v>14626</v>
      </c>
      <c r="B33" s="51">
        <f ca="1">IFERROR(__xludf.DUMMYFUNCTION("""COMPUTED_VALUE"""),44626)</f>
        <v>44626</v>
      </c>
      <c r="C33" s="22">
        <f ca="1">IFERROR(__xludf.DUMMYFUNCTION("""COMPUTED_VALUE"""),651939.2492)</f>
        <v>651939.24919999996</v>
      </c>
      <c r="D33" s="22">
        <f ca="1">IFERROR(__xludf.DUMMYFUNCTION("""COMPUTED_VALUE"""),-151939.2492)</f>
        <v>-151939.24919999999</v>
      </c>
      <c r="E33" s="22">
        <f ca="1">IFERROR(__xludf.DUMMYFUNCTION("""COMPUTED_VALUE"""),500000)</f>
        <v>500000</v>
      </c>
      <c r="F33" s="22">
        <f ca="1">IFERROR(__xludf.DUMMYFUNCTION("""COMPUTED_VALUE"""),348060.7508)</f>
        <v>348060.75079999998</v>
      </c>
      <c r="G33" s="22">
        <f ca="1">IFERROR(__xludf.DUMMYFUNCTION("""COMPUTED_VALUE"""),0)</f>
        <v>0</v>
      </c>
      <c r="H33" s="7">
        <f ca="1">IFERROR(__xludf.DUMMYFUNCTION("""COMPUTED_VALUE"""),497593.803304999)</f>
        <v>497593.80330499902</v>
      </c>
    </row>
    <row r="34" spans="1:8" ht="13" x14ac:dyDescent="0.15">
      <c r="A34" s="5" t="str">
        <f ca="1">IFERROR(__xludf.DUMMYFUNCTION("""COMPUTED_VALUE"""),"14626")</f>
        <v>14626</v>
      </c>
      <c r="B34" s="51">
        <f ca="1">IFERROR(__xludf.DUMMYFUNCTION("""COMPUTED_VALUE"""),44627)</f>
        <v>44627</v>
      </c>
      <c r="C34" s="22">
        <f ca="1">IFERROR(__xludf.DUMMYFUNCTION("""COMPUTED_VALUE"""),651939.2492)</f>
        <v>651939.24919999996</v>
      </c>
      <c r="D34" s="22">
        <f ca="1">IFERROR(__xludf.DUMMYFUNCTION("""COMPUTED_VALUE"""),-151939.2492)</f>
        <v>-151939.24919999999</v>
      </c>
      <c r="E34" s="22">
        <f ca="1">IFERROR(__xludf.DUMMYFUNCTION("""COMPUTED_VALUE"""),500000)</f>
        <v>500000</v>
      </c>
      <c r="F34" s="22">
        <f ca="1">IFERROR(__xludf.DUMMYFUNCTION("""COMPUTED_VALUE"""),348060.7508)</f>
        <v>348060.75079999998</v>
      </c>
      <c r="G34" s="22">
        <f ca="1">IFERROR(__xludf.DUMMYFUNCTION("""COMPUTED_VALUE"""),0)</f>
        <v>0</v>
      </c>
      <c r="H34" s="7">
        <f ca="1">IFERROR(__xludf.DUMMYFUNCTION("""COMPUTED_VALUE"""),495818.442799999)</f>
        <v>495818.44279999897</v>
      </c>
    </row>
    <row r="35" spans="1:8" ht="13" x14ac:dyDescent="0.15">
      <c r="A35" s="5" t="str">
        <f ca="1">IFERROR(__xludf.DUMMYFUNCTION("""COMPUTED_VALUE"""),"14626")</f>
        <v>14626</v>
      </c>
      <c r="B35" s="51">
        <f ca="1">IFERROR(__xludf.DUMMYFUNCTION("""COMPUTED_VALUE"""),44628)</f>
        <v>44628</v>
      </c>
      <c r="C35" s="22">
        <f ca="1">IFERROR(__xludf.DUMMYFUNCTION("""COMPUTED_VALUE"""),651939.2492)</f>
        <v>651939.24919999996</v>
      </c>
      <c r="D35" s="22">
        <f ca="1">IFERROR(__xludf.DUMMYFUNCTION("""COMPUTED_VALUE"""),-151939.2492)</f>
        <v>-151939.24919999999</v>
      </c>
      <c r="E35" s="22">
        <f ca="1">IFERROR(__xludf.DUMMYFUNCTION("""COMPUTED_VALUE"""),500000)</f>
        <v>500000</v>
      </c>
      <c r="F35" s="22">
        <f ca="1">IFERROR(__xludf.DUMMYFUNCTION("""COMPUTED_VALUE"""),348060.7508)</f>
        <v>348060.75079999998</v>
      </c>
      <c r="G35" s="22">
        <f ca="1">IFERROR(__xludf.DUMMYFUNCTION("""COMPUTED_VALUE"""),0)</f>
        <v>0</v>
      </c>
      <c r="H35" s="7">
        <f ca="1">IFERROR(__xludf.DUMMYFUNCTION("""COMPUTED_VALUE"""),491517.339125)</f>
        <v>491517.339125</v>
      </c>
    </row>
    <row r="36" spans="1:8" ht="13" x14ac:dyDescent="0.15">
      <c r="A36" s="5" t="str">
        <f ca="1">IFERROR(__xludf.DUMMYFUNCTION("""COMPUTED_VALUE"""),"14626")</f>
        <v>14626</v>
      </c>
      <c r="B36" s="51">
        <f ca="1">IFERROR(__xludf.DUMMYFUNCTION("""COMPUTED_VALUE"""),44629)</f>
        <v>44629</v>
      </c>
      <c r="C36" s="22">
        <f ca="1">IFERROR(__xludf.DUMMYFUNCTION("""COMPUTED_VALUE"""),651939.2492)</f>
        <v>651939.24919999996</v>
      </c>
      <c r="D36" s="22">
        <f ca="1">IFERROR(__xludf.DUMMYFUNCTION("""COMPUTED_VALUE"""),-151939.2492)</f>
        <v>-151939.24919999999</v>
      </c>
      <c r="E36" s="22">
        <f ca="1">IFERROR(__xludf.DUMMYFUNCTION("""COMPUTED_VALUE"""),500000)</f>
        <v>500000</v>
      </c>
      <c r="F36" s="22">
        <f ca="1">IFERROR(__xludf.DUMMYFUNCTION("""COMPUTED_VALUE"""),348060.7508)</f>
        <v>348060.75079999998</v>
      </c>
      <c r="G36" s="22">
        <f ca="1">IFERROR(__xludf.DUMMYFUNCTION("""COMPUTED_VALUE"""),0)</f>
        <v>0</v>
      </c>
      <c r="H36" s="7">
        <f ca="1">IFERROR(__xludf.DUMMYFUNCTION("""COMPUTED_VALUE"""),651851.67248)</f>
        <v>651851.67247999995</v>
      </c>
    </row>
    <row r="37" spans="1:8" ht="13" x14ac:dyDescent="0.15">
      <c r="A37" s="5" t="str">
        <f ca="1">IFERROR(__xludf.DUMMYFUNCTION("""COMPUTED_VALUE"""),"14626")</f>
        <v>14626</v>
      </c>
      <c r="B37" s="51">
        <f ca="1">IFERROR(__xludf.DUMMYFUNCTION("""COMPUTED_VALUE"""),44630)</f>
        <v>44630</v>
      </c>
      <c r="C37" s="22">
        <f ca="1">IFERROR(__xludf.DUMMYFUNCTION("""COMPUTED_VALUE"""),651939.2492)</f>
        <v>651939.24919999996</v>
      </c>
      <c r="D37" s="22">
        <f ca="1">IFERROR(__xludf.DUMMYFUNCTION("""COMPUTED_VALUE"""),-151939.2492)</f>
        <v>-151939.24919999999</v>
      </c>
      <c r="E37" s="22">
        <f ca="1">IFERROR(__xludf.DUMMYFUNCTION("""COMPUTED_VALUE"""),500000)</f>
        <v>500000</v>
      </c>
      <c r="F37" s="22">
        <f ca="1">IFERROR(__xludf.DUMMYFUNCTION("""COMPUTED_VALUE"""),348060.7508)</f>
        <v>348060.75079999998</v>
      </c>
      <c r="G37" s="22">
        <f ca="1">IFERROR(__xludf.DUMMYFUNCTION("""COMPUTED_VALUE"""),0)</f>
        <v>0</v>
      </c>
      <c r="H37" s="7">
        <f ca="1">IFERROR(__xludf.DUMMYFUNCTION("""COMPUTED_VALUE"""),495404.0207)</f>
        <v>495404.02069999999</v>
      </c>
    </row>
    <row r="38" spans="1:8" ht="13" x14ac:dyDescent="0.15">
      <c r="A38" s="5" t="str">
        <f ca="1">IFERROR(__xludf.DUMMYFUNCTION("""COMPUTED_VALUE"""),"14626")</f>
        <v>14626</v>
      </c>
      <c r="B38" s="51">
        <f ca="1">IFERROR(__xludf.DUMMYFUNCTION("""COMPUTED_VALUE"""),44631)</f>
        <v>44631</v>
      </c>
      <c r="C38" s="22">
        <f ca="1">IFERROR(__xludf.DUMMYFUNCTION("""COMPUTED_VALUE"""),651939.2492)</f>
        <v>651939.24919999996</v>
      </c>
      <c r="D38" s="22">
        <f ca="1">IFERROR(__xludf.DUMMYFUNCTION("""COMPUTED_VALUE"""),-151939.2492)</f>
        <v>-151939.24919999999</v>
      </c>
      <c r="E38" s="22">
        <f ca="1">IFERROR(__xludf.DUMMYFUNCTION("""COMPUTED_VALUE"""),500000)</f>
        <v>500000</v>
      </c>
      <c r="F38" s="22">
        <f ca="1">IFERROR(__xludf.DUMMYFUNCTION("""COMPUTED_VALUE"""),348060.7508)</f>
        <v>348060.75079999998</v>
      </c>
      <c r="G38" s="22">
        <f ca="1">IFERROR(__xludf.DUMMYFUNCTION("""COMPUTED_VALUE"""),0)</f>
        <v>0</v>
      </c>
      <c r="H38" s="7">
        <f ca="1">IFERROR(__xludf.DUMMYFUNCTION("""COMPUTED_VALUE"""),495952.120699999)</f>
        <v>495952.12069999898</v>
      </c>
    </row>
    <row r="39" spans="1:8" ht="13" x14ac:dyDescent="0.15">
      <c r="A39" s="5" t="str">
        <f ca="1">IFERROR(__xludf.DUMMYFUNCTION("""COMPUTED_VALUE"""),"14626")</f>
        <v>14626</v>
      </c>
      <c r="B39" s="51">
        <f ca="1">IFERROR(__xludf.DUMMYFUNCTION("""COMPUTED_VALUE"""),44632)</f>
        <v>44632</v>
      </c>
      <c r="C39" s="22">
        <f ca="1">IFERROR(__xludf.DUMMYFUNCTION("""COMPUTED_VALUE"""),651939.2492)</f>
        <v>651939.24919999996</v>
      </c>
      <c r="D39" s="22">
        <f ca="1">IFERROR(__xludf.DUMMYFUNCTION("""COMPUTED_VALUE"""),-151939.2492)</f>
        <v>-151939.24919999999</v>
      </c>
      <c r="E39" s="22">
        <f ca="1">IFERROR(__xludf.DUMMYFUNCTION("""COMPUTED_VALUE"""),500000)</f>
        <v>500000</v>
      </c>
      <c r="F39" s="22">
        <f ca="1">IFERROR(__xludf.DUMMYFUNCTION("""COMPUTED_VALUE"""),348060.7508)</f>
        <v>348060.75079999998</v>
      </c>
      <c r="G39" s="22">
        <f ca="1">IFERROR(__xludf.DUMMYFUNCTION("""COMPUTED_VALUE"""),0)</f>
        <v>0</v>
      </c>
      <c r="H39" s="7">
        <f ca="1">IFERROR(__xludf.DUMMYFUNCTION("""COMPUTED_VALUE"""),495952.120699999)</f>
        <v>495952.12069999898</v>
      </c>
    </row>
    <row r="40" spans="1:8" ht="13" x14ac:dyDescent="0.15">
      <c r="A40" s="5" t="str">
        <f ca="1">IFERROR(__xludf.DUMMYFUNCTION("""COMPUTED_VALUE"""),"14626")</f>
        <v>14626</v>
      </c>
      <c r="B40" s="51">
        <f ca="1">IFERROR(__xludf.DUMMYFUNCTION("""COMPUTED_VALUE"""),44633)</f>
        <v>44633</v>
      </c>
      <c r="C40" s="22">
        <f ca="1">IFERROR(__xludf.DUMMYFUNCTION("""COMPUTED_VALUE"""),651939.2492)</f>
        <v>651939.24919999996</v>
      </c>
      <c r="D40" s="22">
        <f ca="1">IFERROR(__xludf.DUMMYFUNCTION("""COMPUTED_VALUE"""),-151939.2492)</f>
        <v>-151939.24919999999</v>
      </c>
      <c r="E40" s="22">
        <f ca="1">IFERROR(__xludf.DUMMYFUNCTION("""COMPUTED_VALUE"""),500000)</f>
        <v>500000</v>
      </c>
      <c r="F40" s="22">
        <f ca="1">IFERROR(__xludf.DUMMYFUNCTION("""COMPUTED_VALUE"""),348060.7508)</f>
        <v>348060.75079999998</v>
      </c>
      <c r="G40" s="22">
        <f ca="1">IFERROR(__xludf.DUMMYFUNCTION("""COMPUTED_VALUE"""),0)</f>
        <v>0</v>
      </c>
      <c r="H40" s="7">
        <f ca="1">IFERROR(__xludf.DUMMYFUNCTION("""COMPUTED_VALUE"""),495965.469109999)</f>
        <v>495965.46910999902</v>
      </c>
    </row>
    <row r="41" spans="1:8" ht="13" x14ac:dyDescent="0.15">
      <c r="A41" s="5" t="str">
        <f ca="1">IFERROR(__xludf.DUMMYFUNCTION("""COMPUTED_VALUE"""),"14626")</f>
        <v>14626</v>
      </c>
      <c r="B41" s="51">
        <f ca="1">IFERROR(__xludf.DUMMYFUNCTION("""COMPUTED_VALUE"""),44634)</f>
        <v>44634</v>
      </c>
      <c r="C41" s="22">
        <f ca="1">IFERROR(__xludf.DUMMYFUNCTION("""COMPUTED_VALUE"""),651939.2492)</f>
        <v>651939.24919999996</v>
      </c>
      <c r="D41" s="22">
        <f ca="1">IFERROR(__xludf.DUMMYFUNCTION("""COMPUTED_VALUE"""),-151939.2492)</f>
        <v>-151939.24919999999</v>
      </c>
      <c r="E41" s="22">
        <f ca="1">IFERROR(__xludf.DUMMYFUNCTION("""COMPUTED_VALUE"""),500000)</f>
        <v>500000</v>
      </c>
      <c r="F41" s="22">
        <f ca="1">IFERROR(__xludf.DUMMYFUNCTION("""COMPUTED_VALUE"""),348060.7508)</f>
        <v>348060.75079999998</v>
      </c>
      <c r="G41" s="22">
        <f ca="1">IFERROR(__xludf.DUMMYFUNCTION("""COMPUTED_VALUE"""),0)</f>
        <v>0</v>
      </c>
      <c r="H41" s="7">
        <f ca="1">IFERROR(__xludf.DUMMYFUNCTION("""COMPUTED_VALUE"""),499096.6307)</f>
        <v>499096.63069999998</v>
      </c>
    </row>
    <row r="42" spans="1:8" ht="13" x14ac:dyDescent="0.15">
      <c r="A42" s="5" t="str">
        <f ca="1">IFERROR(__xludf.DUMMYFUNCTION("""COMPUTED_VALUE"""),"14626")</f>
        <v>14626</v>
      </c>
      <c r="B42" s="51">
        <f ca="1">IFERROR(__xludf.DUMMYFUNCTION("""COMPUTED_VALUE"""),44635)</f>
        <v>44635</v>
      </c>
      <c r="C42" s="22">
        <f ca="1">IFERROR(__xludf.DUMMYFUNCTION("""COMPUTED_VALUE"""),651939.2492)</f>
        <v>651939.24919999996</v>
      </c>
      <c r="D42" s="22">
        <f ca="1">IFERROR(__xludf.DUMMYFUNCTION("""COMPUTED_VALUE"""),-151939.2492)</f>
        <v>-151939.24919999999</v>
      </c>
      <c r="E42" s="22">
        <f ca="1">IFERROR(__xludf.DUMMYFUNCTION("""COMPUTED_VALUE"""),500000)</f>
        <v>500000</v>
      </c>
      <c r="F42" s="22">
        <f ca="1">IFERROR(__xludf.DUMMYFUNCTION("""COMPUTED_VALUE"""),348060.7508)</f>
        <v>348060.75079999998</v>
      </c>
      <c r="G42" s="22">
        <f ca="1">IFERROR(__xludf.DUMMYFUNCTION("""COMPUTED_VALUE"""),0)</f>
        <v>0</v>
      </c>
      <c r="H42" s="7">
        <f ca="1">IFERROR(__xludf.DUMMYFUNCTION("""COMPUTED_VALUE"""),501301.769499999)</f>
        <v>501301.76949999901</v>
      </c>
    </row>
    <row r="43" spans="1:8" ht="13" x14ac:dyDescent="0.15">
      <c r="A43" s="5" t="str">
        <f ca="1">IFERROR(__xludf.DUMMYFUNCTION("""COMPUTED_VALUE"""),"14626")</f>
        <v>14626</v>
      </c>
      <c r="B43" s="51">
        <f ca="1">IFERROR(__xludf.DUMMYFUNCTION("""COMPUTED_VALUE"""),44636)</f>
        <v>44636</v>
      </c>
      <c r="C43" s="22">
        <f ca="1">IFERROR(__xludf.DUMMYFUNCTION("""COMPUTED_VALUE"""),651939.2492)</f>
        <v>651939.24919999996</v>
      </c>
      <c r="D43" s="22">
        <f ca="1">IFERROR(__xludf.DUMMYFUNCTION("""COMPUTED_VALUE"""),-151939.2492)</f>
        <v>-151939.24919999999</v>
      </c>
      <c r="E43" s="22">
        <f ca="1">IFERROR(__xludf.DUMMYFUNCTION("""COMPUTED_VALUE"""),500000)</f>
        <v>500000</v>
      </c>
      <c r="F43" s="22">
        <f ca="1">IFERROR(__xludf.DUMMYFUNCTION("""COMPUTED_VALUE"""),348060.7508)</f>
        <v>348060.75079999998</v>
      </c>
      <c r="G43" s="22">
        <f ca="1">IFERROR(__xludf.DUMMYFUNCTION("""COMPUTED_VALUE"""),0)</f>
        <v>0</v>
      </c>
      <c r="H43" s="7">
        <f ca="1">IFERROR(__xludf.DUMMYFUNCTION("""COMPUTED_VALUE"""),501112.121899999)</f>
        <v>501112.12189999898</v>
      </c>
    </row>
    <row r="44" spans="1:8" ht="13" x14ac:dyDescent="0.15">
      <c r="A44" s="5" t="str">
        <f ca="1">IFERROR(__xludf.DUMMYFUNCTION("""COMPUTED_VALUE"""),"14626")</f>
        <v>14626</v>
      </c>
      <c r="B44" s="51">
        <f ca="1">IFERROR(__xludf.DUMMYFUNCTION("""COMPUTED_VALUE"""),44637)</f>
        <v>44637</v>
      </c>
      <c r="C44" s="22">
        <f ca="1">IFERROR(__xludf.DUMMYFUNCTION("""COMPUTED_VALUE"""),551245.207775)</f>
        <v>551245.20777500002</v>
      </c>
      <c r="D44" s="22">
        <f ca="1">IFERROR(__xludf.DUMMYFUNCTION("""COMPUTED_VALUE"""),-50884.436025)</f>
        <v>-50884.436025000003</v>
      </c>
      <c r="E44" s="22">
        <f ca="1">IFERROR(__xludf.DUMMYFUNCTION("""COMPUTED_VALUE"""),500360.77175)</f>
        <v>500360.77175000001</v>
      </c>
      <c r="F44" s="22">
        <f ca="1">IFERROR(__xludf.DUMMYFUNCTION("""COMPUTED_VALUE"""),247366.709375)</f>
        <v>247366.70937500001</v>
      </c>
      <c r="G44" s="22">
        <f ca="1">IFERROR(__xludf.DUMMYFUNCTION("""COMPUTED_VALUE"""),0)</f>
        <v>0</v>
      </c>
      <c r="H44" s="7">
        <f ca="1">IFERROR(__xludf.DUMMYFUNCTION("""COMPUTED_VALUE"""),500380.314125)</f>
        <v>500380.31412499998</v>
      </c>
    </row>
    <row r="45" spans="1:8" ht="13" x14ac:dyDescent="0.15">
      <c r="A45" s="5" t="str">
        <f ca="1">IFERROR(__xludf.DUMMYFUNCTION("""COMPUTED_VALUE"""),"14626")</f>
        <v>14626</v>
      </c>
      <c r="B45" s="51">
        <f ca="1">IFERROR(__xludf.DUMMYFUNCTION("""COMPUTED_VALUE"""),44638)</f>
        <v>44638</v>
      </c>
      <c r="C45" s="22">
        <f ca="1">IFERROR(__xludf.DUMMYFUNCTION("""COMPUTED_VALUE"""),551224.72619)</f>
        <v>551224.72618999996</v>
      </c>
      <c r="D45" s="22">
        <f ca="1">IFERROR(__xludf.DUMMYFUNCTION("""COMPUTED_VALUE"""),-48448.177925)</f>
        <v>-48448.177925000004</v>
      </c>
      <c r="E45" s="22">
        <f ca="1">IFERROR(__xludf.DUMMYFUNCTION("""COMPUTED_VALUE"""),502776.548264999)</f>
        <v>502776.548264999</v>
      </c>
      <c r="F45" s="22">
        <f ca="1">IFERROR(__xludf.DUMMYFUNCTION("""COMPUTED_VALUE"""),247346.22779)</f>
        <v>247346.22779</v>
      </c>
      <c r="G45" s="22">
        <f ca="1">IFERROR(__xludf.DUMMYFUNCTION("""COMPUTED_VALUE"""),0)</f>
        <v>0</v>
      </c>
      <c r="H45" s="7">
        <f ca="1">IFERROR(__xludf.DUMMYFUNCTION("""COMPUTED_VALUE"""),502776.548264999)</f>
        <v>502776.548264999</v>
      </c>
    </row>
    <row r="46" spans="1:8" ht="13" x14ac:dyDescent="0.15">
      <c r="A46" s="5" t="str">
        <f ca="1">IFERROR(__xludf.DUMMYFUNCTION("""COMPUTED_VALUE"""),"14626")</f>
        <v>14626</v>
      </c>
      <c r="B46" s="51">
        <f ca="1">IFERROR(__xludf.DUMMYFUNCTION("""COMPUTED_VALUE"""),44639)</f>
        <v>44639</v>
      </c>
      <c r="C46" s="22">
        <f ca="1">IFERROR(__xludf.DUMMYFUNCTION("""COMPUTED_VALUE"""),551224.72619)</f>
        <v>551224.72618999996</v>
      </c>
      <c r="D46" s="22">
        <f ca="1">IFERROR(__xludf.DUMMYFUNCTION("""COMPUTED_VALUE"""),-48448.177925)</f>
        <v>-48448.177925000004</v>
      </c>
      <c r="E46" s="22">
        <f ca="1">IFERROR(__xludf.DUMMYFUNCTION("""COMPUTED_VALUE"""),502776.548264999)</f>
        <v>502776.548264999</v>
      </c>
      <c r="F46" s="22">
        <f ca="1">IFERROR(__xludf.DUMMYFUNCTION("""COMPUTED_VALUE"""),247346.22779)</f>
        <v>247346.22779</v>
      </c>
      <c r="G46" s="22">
        <f ca="1">IFERROR(__xludf.DUMMYFUNCTION("""COMPUTED_VALUE"""),0)</f>
        <v>0</v>
      </c>
      <c r="H46" s="7">
        <f ca="1">IFERROR(__xludf.DUMMYFUNCTION("""COMPUTED_VALUE"""),502776.548264999)</f>
        <v>502776.548264999</v>
      </c>
    </row>
    <row r="47" spans="1:8" ht="13" x14ac:dyDescent="0.15">
      <c r="A47" s="5" t="str">
        <f ca="1">IFERROR(__xludf.DUMMYFUNCTION("""COMPUTED_VALUE"""),"14626")</f>
        <v>14626</v>
      </c>
      <c r="B47" s="51">
        <f ca="1">IFERROR(__xludf.DUMMYFUNCTION("""COMPUTED_VALUE"""),44640)</f>
        <v>44640</v>
      </c>
      <c r="C47" s="22">
        <f ca="1">IFERROR(__xludf.DUMMYFUNCTION("""COMPUTED_VALUE"""),551224.72619)</f>
        <v>551224.72618999996</v>
      </c>
      <c r="D47" s="22">
        <f ca="1">IFERROR(__xludf.DUMMYFUNCTION("""COMPUTED_VALUE"""),-48437.6214174999)</f>
        <v>-48437.621417499897</v>
      </c>
      <c r="E47" s="22">
        <f ca="1">IFERROR(__xludf.DUMMYFUNCTION("""COMPUTED_VALUE"""),502787.1047725)</f>
        <v>502787.1047725</v>
      </c>
      <c r="F47" s="22">
        <f ca="1">IFERROR(__xludf.DUMMYFUNCTION("""COMPUTED_VALUE"""),247346.22779)</f>
        <v>247346.22779</v>
      </c>
      <c r="G47" s="22">
        <f ca="1">IFERROR(__xludf.DUMMYFUNCTION("""COMPUTED_VALUE"""),0)</f>
        <v>0</v>
      </c>
      <c r="H47" s="7">
        <f ca="1">IFERROR(__xludf.DUMMYFUNCTION("""COMPUTED_VALUE"""),502787.1047725)</f>
        <v>502787.1047725</v>
      </c>
    </row>
    <row r="48" spans="1:8" ht="13" x14ac:dyDescent="0.15">
      <c r="A48" s="5" t="str">
        <f ca="1">IFERROR(__xludf.DUMMYFUNCTION("""COMPUTED_VALUE"""),"14626")</f>
        <v>14626</v>
      </c>
      <c r="B48" s="51">
        <f ca="1">IFERROR(__xludf.DUMMYFUNCTION("""COMPUTED_VALUE"""),44641)</f>
        <v>44641</v>
      </c>
      <c r="C48" s="22">
        <f ca="1">IFERROR(__xludf.DUMMYFUNCTION("""COMPUTED_VALUE"""),110886.654689999)</f>
        <v>110886.65468999901</v>
      </c>
      <c r="D48" s="22">
        <f ca="1">IFERROR(__xludf.DUMMYFUNCTION("""COMPUTED_VALUE"""),397963.259749999)</f>
        <v>397963.25974999898</v>
      </c>
      <c r="E48" s="22">
        <f ca="1">IFERROR(__xludf.DUMMYFUNCTION("""COMPUTED_VALUE"""),508849.914439999)</f>
        <v>508849.91443999897</v>
      </c>
      <c r="F48" s="22">
        <f ca="1">IFERROR(__xludf.DUMMYFUNCTION("""COMPUTED_VALUE"""),-192991.843709999)</f>
        <v>-192991.843709999</v>
      </c>
      <c r="G48" s="22">
        <f ca="1">IFERROR(__xludf.DUMMYFUNCTION("""COMPUTED_VALUE"""),192991.843709999)</f>
        <v>192991.843709999</v>
      </c>
      <c r="H48" s="7">
        <f ca="1">IFERROR(__xludf.DUMMYFUNCTION("""COMPUTED_VALUE"""),508849.914439999)</f>
        <v>508849.91443999897</v>
      </c>
    </row>
    <row r="49" spans="1:8" ht="13" x14ac:dyDescent="0.15">
      <c r="A49" s="5" t="str">
        <f ca="1">IFERROR(__xludf.DUMMYFUNCTION("""COMPUTED_VALUE"""),"14626")</f>
        <v>14626</v>
      </c>
      <c r="B49" s="51">
        <f ca="1">IFERROR(__xludf.DUMMYFUNCTION("""COMPUTED_VALUE"""),44642)</f>
        <v>44642</v>
      </c>
      <c r="C49" s="22">
        <f ca="1">IFERROR(__xludf.DUMMYFUNCTION("""COMPUTED_VALUE"""),124262.912239999)</f>
        <v>124262.912239999</v>
      </c>
      <c r="D49" s="22">
        <f ca="1">IFERROR(__xludf.DUMMYFUNCTION("""COMPUTED_VALUE"""),373846.4398)</f>
        <v>373846.43979999999</v>
      </c>
      <c r="E49" s="22">
        <f ca="1">IFERROR(__xludf.DUMMYFUNCTION("""COMPUTED_VALUE"""),498109.35204)</f>
        <v>498109.35204000003</v>
      </c>
      <c r="F49" s="22">
        <f ca="1">IFERROR(__xludf.DUMMYFUNCTION("""COMPUTED_VALUE"""),-206368.101259999)</f>
        <v>-206368.10125999901</v>
      </c>
      <c r="G49" s="22">
        <f ca="1">IFERROR(__xludf.DUMMYFUNCTION("""COMPUTED_VALUE"""),206368.101259999)</f>
        <v>206368.10125999901</v>
      </c>
      <c r="H49" s="7">
        <f ca="1">IFERROR(__xludf.DUMMYFUNCTION("""COMPUTED_VALUE"""),511485.60959)</f>
        <v>511485.60959000001</v>
      </c>
    </row>
    <row r="50" spans="1:8" ht="13" x14ac:dyDescent="0.15">
      <c r="A50" s="5" t="str">
        <f ca="1">IFERROR(__xludf.DUMMYFUNCTION("""COMPUTED_VALUE"""),"18111")</f>
        <v>18111</v>
      </c>
      <c r="B50" s="51">
        <f ca="1">IFERROR(__xludf.DUMMYFUNCTION("""COMPUTED_VALUE"""),44597)</f>
        <v>44597</v>
      </c>
      <c r="C50" s="22">
        <f ca="1">IFERROR(__xludf.DUMMYFUNCTION("""COMPUTED_VALUE"""),500000)</f>
        <v>500000</v>
      </c>
      <c r="D50" s="22">
        <f ca="1">IFERROR(__xludf.DUMMYFUNCTION("""COMPUTED_VALUE"""),0)</f>
        <v>0</v>
      </c>
      <c r="E50" s="22">
        <f ca="1">IFERROR(__xludf.DUMMYFUNCTION("""COMPUTED_VALUE"""),500000)</f>
        <v>500000</v>
      </c>
      <c r="F50" s="22">
        <f ca="1">IFERROR(__xludf.DUMMYFUNCTION("""COMPUTED_VALUE"""),500000)</f>
        <v>500000</v>
      </c>
      <c r="G50" s="22">
        <f ca="1">IFERROR(__xludf.DUMMYFUNCTION("""COMPUTED_VALUE"""),0)</f>
        <v>0</v>
      </c>
      <c r="H50" s="7">
        <f ca="1">IFERROR(__xludf.DUMMYFUNCTION("""COMPUTED_VALUE"""),500000)</f>
        <v>500000</v>
      </c>
    </row>
    <row r="51" spans="1:8" ht="13" x14ac:dyDescent="0.15">
      <c r="A51" s="5" t="str">
        <f ca="1">IFERROR(__xludf.DUMMYFUNCTION("""COMPUTED_VALUE"""),"18111")</f>
        <v>18111</v>
      </c>
      <c r="B51" s="51">
        <f ca="1">IFERROR(__xludf.DUMMYFUNCTION("""COMPUTED_VALUE"""),44598)</f>
        <v>44598</v>
      </c>
      <c r="C51" s="22">
        <f ca="1">IFERROR(__xludf.DUMMYFUNCTION("""COMPUTED_VALUE"""),500000)</f>
        <v>500000</v>
      </c>
      <c r="D51" s="22">
        <f ca="1">IFERROR(__xludf.DUMMYFUNCTION("""COMPUTED_VALUE"""),0)</f>
        <v>0</v>
      </c>
      <c r="E51" s="22">
        <f ca="1">IFERROR(__xludf.DUMMYFUNCTION("""COMPUTED_VALUE"""),500000)</f>
        <v>500000</v>
      </c>
      <c r="F51" s="22">
        <f ca="1">IFERROR(__xludf.DUMMYFUNCTION("""COMPUTED_VALUE"""),500000)</f>
        <v>500000</v>
      </c>
      <c r="G51" s="22">
        <f ca="1">IFERROR(__xludf.DUMMYFUNCTION("""COMPUTED_VALUE"""),0)</f>
        <v>0</v>
      </c>
      <c r="H51" s="7">
        <f ca="1">IFERROR(__xludf.DUMMYFUNCTION("""COMPUTED_VALUE"""),500000)</f>
        <v>500000</v>
      </c>
    </row>
    <row r="52" spans="1:8" ht="13" x14ac:dyDescent="0.15">
      <c r="A52" s="5" t="str">
        <f ca="1">IFERROR(__xludf.DUMMYFUNCTION("""COMPUTED_VALUE"""),"18111")</f>
        <v>18111</v>
      </c>
      <c r="B52" s="51">
        <f ca="1">IFERROR(__xludf.DUMMYFUNCTION("""COMPUTED_VALUE"""),44599)</f>
        <v>44599</v>
      </c>
      <c r="C52" s="22">
        <f ca="1">IFERROR(__xludf.DUMMYFUNCTION("""COMPUTED_VALUE"""),500000)</f>
        <v>500000</v>
      </c>
      <c r="D52" s="22">
        <f ca="1">IFERROR(__xludf.DUMMYFUNCTION("""COMPUTED_VALUE"""),0)</f>
        <v>0</v>
      </c>
      <c r="E52" s="22">
        <f ca="1">IFERROR(__xludf.DUMMYFUNCTION("""COMPUTED_VALUE"""),500000)</f>
        <v>500000</v>
      </c>
      <c r="F52" s="22">
        <f ca="1">IFERROR(__xludf.DUMMYFUNCTION("""COMPUTED_VALUE"""),500000)</f>
        <v>500000</v>
      </c>
      <c r="G52" s="22">
        <f ca="1">IFERROR(__xludf.DUMMYFUNCTION("""COMPUTED_VALUE"""),0)</f>
        <v>0</v>
      </c>
      <c r="H52" s="7">
        <f ca="1">IFERROR(__xludf.DUMMYFUNCTION("""COMPUTED_VALUE"""),500000)</f>
        <v>500000</v>
      </c>
    </row>
    <row r="53" spans="1:8" ht="13" x14ac:dyDescent="0.15">
      <c r="A53" s="5" t="str">
        <f ca="1">IFERROR(__xludf.DUMMYFUNCTION("""COMPUTED_VALUE"""),"18111")</f>
        <v>18111</v>
      </c>
      <c r="B53" s="51">
        <f ca="1">IFERROR(__xludf.DUMMYFUNCTION("""COMPUTED_VALUE"""),44600)</f>
        <v>44600</v>
      </c>
      <c r="C53" s="22">
        <f ca="1">IFERROR(__xludf.DUMMYFUNCTION("""COMPUTED_VALUE"""),500000)</f>
        <v>500000</v>
      </c>
      <c r="D53" s="22">
        <f ca="1">IFERROR(__xludf.DUMMYFUNCTION("""COMPUTED_VALUE"""),0)</f>
        <v>0</v>
      </c>
      <c r="E53" s="22">
        <f ca="1">IFERROR(__xludf.DUMMYFUNCTION("""COMPUTED_VALUE"""),500000)</f>
        <v>500000</v>
      </c>
      <c r="F53" s="22">
        <f ca="1">IFERROR(__xludf.DUMMYFUNCTION("""COMPUTED_VALUE"""),500000)</f>
        <v>500000</v>
      </c>
      <c r="G53" s="22">
        <f ca="1">IFERROR(__xludf.DUMMYFUNCTION("""COMPUTED_VALUE"""),0)</f>
        <v>0</v>
      </c>
      <c r="H53" s="7">
        <f ca="1">IFERROR(__xludf.DUMMYFUNCTION("""COMPUTED_VALUE"""),500000)</f>
        <v>500000</v>
      </c>
    </row>
    <row r="54" spans="1:8" ht="13" x14ac:dyDescent="0.15">
      <c r="A54" s="5" t="str">
        <f ca="1">IFERROR(__xludf.DUMMYFUNCTION("""COMPUTED_VALUE"""),"18111")</f>
        <v>18111</v>
      </c>
      <c r="B54" s="51">
        <f ca="1">IFERROR(__xludf.DUMMYFUNCTION("""COMPUTED_VALUE"""),44601)</f>
        <v>44601</v>
      </c>
      <c r="C54" s="22">
        <f ca="1">IFERROR(__xludf.DUMMYFUNCTION("""COMPUTED_VALUE"""),500000)</f>
        <v>500000</v>
      </c>
      <c r="D54" s="22">
        <f ca="1">IFERROR(__xludf.DUMMYFUNCTION("""COMPUTED_VALUE"""),0)</f>
        <v>0</v>
      </c>
      <c r="E54" s="22">
        <f ca="1">IFERROR(__xludf.DUMMYFUNCTION("""COMPUTED_VALUE"""),500000)</f>
        <v>500000</v>
      </c>
      <c r="F54" s="22">
        <f ca="1">IFERROR(__xludf.DUMMYFUNCTION("""COMPUTED_VALUE"""),500000)</f>
        <v>500000</v>
      </c>
      <c r="G54" s="22">
        <f ca="1">IFERROR(__xludf.DUMMYFUNCTION("""COMPUTED_VALUE"""),0)</f>
        <v>0</v>
      </c>
      <c r="H54" s="7">
        <f ca="1">IFERROR(__xludf.DUMMYFUNCTION("""COMPUTED_VALUE"""),500000)</f>
        <v>500000</v>
      </c>
    </row>
    <row r="55" spans="1:8" ht="13" x14ac:dyDescent="0.15">
      <c r="A55" s="5" t="str">
        <f ca="1">IFERROR(__xludf.DUMMYFUNCTION("""COMPUTED_VALUE"""),"18111")</f>
        <v>18111</v>
      </c>
      <c r="B55" s="51">
        <f ca="1">IFERROR(__xludf.DUMMYFUNCTION("""COMPUTED_VALUE"""),44602)</f>
        <v>44602</v>
      </c>
      <c r="C55" s="22">
        <f ca="1">IFERROR(__xludf.DUMMYFUNCTION("""COMPUTED_VALUE"""),500000)</f>
        <v>500000</v>
      </c>
      <c r="D55" s="22">
        <f ca="1">IFERROR(__xludf.DUMMYFUNCTION("""COMPUTED_VALUE"""),0)</f>
        <v>0</v>
      </c>
      <c r="E55" s="22">
        <f ca="1">IFERROR(__xludf.DUMMYFUNCTION("""COMPUTED_VALUE"""),500000)</f>
        <v>500000</v>
      </c>
      <c r="F55" s="22">
        <f ca="1">IFERROR(__xludf.DUMMYFUNCTION("""COMPUTED_VALUE"""),500000)</f>
        <v>500000</v>
      </c>
      <c r="G55" s="22">
        <f ca="1">IFERROR(__xludf.DUMMYFUNCTION("""COMPUTED_VALUE"""),0)</f>
        <v>0</v>
      </c>
      <c r="H55" s="7">
        <f ca="1">IFERROR(__xludf.DUMMYFUNCTION("""COMPUTED_VALUE"""),500000)</f>
        <v>500000</v>
      </c>
    </row>
    <row r="56" spans="1:8" ht="13" x14ac:dyDescent="0.15">
      <c r="A56" s="5" t="str">
        <f ca="1">IFERROR(__xludf.DUMMYFUNCTION("""COMPUTED_VALUE"""),"18111")</f>
        <v>18111</v>
      </c>
      <c r="B56" s="51">
        <f ca="1">IFERROR(__xludf.DUMMYFUNCTION("""COMPUTED_VALUE"""),44603)</f>
        <v>44603</v>
      </c>
      <c r="C56" s="22">
        <f ca="1">IFERROR(__xludf.DUMMYFUNCTION("""COMPUTED_VALUE"""),500000)</f>
        <v>500000</v>
      </c>
      <c r="D56" s="22">
        <f ca="1">IFERROR(__xludf.DUMMYFUNCTION("""COMPUTED_VALUE"""),0)</f>
        <v>0</v>
      </c>
      <c r="E56" s="22">
        <f ca="1">IFERROR(__xludf.DUMMYFUNCTION("""COMPUTED_VALUE"""),500000)</f>
        <v>500000</v>
      </c>
      <c r="F56" s="22">
        <f ca="1">IFERROR(__xludf.DUMMYFUNCTION("""COMPUTED_VALUE"""),500000)</f>
        <v>500000</v>
      </c>
      <c r="G56" s="22">
        <f ca="1">IFERROR(__xludf.DUMMYFUNCTION("""COMPUTED_VALUE"""),0)</f>
        <v>0</v>
      </c>
      <c r="H56" s="7">
        <f ca="1">IFERROR(__xludf.DUMMYFUNCTION("""COMPUTED_VALUE"""),500000)</f>
        <v>500000</v>
      </c>
    </row>
    <row r="57" spans="1:8" ht="13" x14ac:dyDescent="0.15">
      <c r="A57" s="5" t="str">
        <f ca="1">IFERROR(__xludf.DUMMYFUNCTION("""COMPUTED_VALUE"""),"18111")</f>
        <v>18111</v>
      </c>
      <c r="B57" s="51">
        <f ca="1">IFERROR(__xludf.DUMMYFUNCTION("""COMPUTED_VALUE"""),44604)</f>
        <v>44604</v>
      </c>
      <c r="C57" s="22">
        <f ca="1">IFERROR(__xludf.DUMMYFUNCTION("""COMPUTED_VALUE"""),500000)</f>
        <v>500000</v>
      </c>
      <c r="D57" s="22">
        <f ca="1">IFERROR(__xludf.DUMMYFUNCTION("""COMPUTED_VALUE"""),0)</f>
        <v>0</v>
      </c>
      <c r="E57" s="22">
        <f ca="1">IFERROR(__xludf.DUMMYFUNCTION("""COMPUTED_VALUE"""),500000)</f>
        <v>500000</v>
      </c>
      <c r="F57" s="22">
        <f ca="1">IFERROR(__xludf.DUMMYFUNCTION("""COMPUTED_VALUE"""),500000)</f>
        <v>500000</v>
      </c>
      <c r="G57" s="22">
        <f ca="1">IFERROR(__xludf.DUMMYFUNCTION("""COMPUTED_VALUE"""),0)</f>
        <v>0</v>
      </c>
      <c r="H57" s="7">
        <f ca="1">IFERROR(__xludf.DUMMYFUNCTION("""COMPUTED_VALUE"""),500000)</f>
        <v>500000</v>
      </c>
    </row>
    <row r="58" spans="1:8" ht="13" x14ac:dyDescent="0.15">
      <c r="A58" s="5" t="str">
        <f ca="1">IFERROR(__xludf.DUMMYFUNCTION("""COMPUTED_VALUE"""),"18111")</f>
        <v>18111</v>
      </c>
      <c r="B58" s="51">
        <f ca="1">IFERROR(__xludf.DUMMYFUNCTION("""COMPUTED_VALUE"""),44605)</f>
        <v>44605</v>
      </c>
      <c r="C58" s="22">
        <f ca="1">IFERROR(__xludf.DUMMYFUNCTION("""COMPUTED_VALUE"""),500000)</f>
        <v>500000</v>
      </c>
      <c r="D58" s="22">
        <f ca="1">IFERROR(__xludf.DUMMYFUNCTION("""COMPUTED_VALUE"""),0)</f>
        <v>0</v>
      </c>
      <c r="E58" s="22">
        <f ca="1">IFERROR(__xludf.DUMMYFUNCTION("""COMPUTED_VALUE"""),500000)</f>
        <v>500000</v>
      </c>
      <c r="F58" s="22">
        <f ca="1">IFERROR(__xludf.DUMMYFUNCTION("""COMPUTED_VALUE"""),500000)</f>
        <v>500000</v>
      </c>
      <c r="G58" s="22">
        <f ca="1">IFERROR(__xludf.DUMMYFUNCTION("""COMPUTED_VALUE"""),0)</f>
        <v>0</v>
      </c>
      <c r="H58" s="7">
        <f ca="1">IFERROR(__xludf.DUMMYFUNCTION("""COMPUTED_VALUE"""),500000)</f>
        <v>500000</v>
      </c>
    </row>
    <row r="59" spans="1:8" ht="13" x14ac:dyDescent="0.15">
      <c r="A59" s="5" t="str">
        <f ca="1">IFERROR(__xludf.DUMMYFUNCTION("""COMPUTED_VALUE"""),"18111")</f>
        <v>18111</v>
      </c>
      <c r="B59" s="51">
        <f ca="1">IFERROR(__xludf.DUMMYFUNCTION("""COMPUTED_VALUE"""),44606)</f>
        <v>44606</v>
      </c>
      <c r="C59" s="22">
        <f ca="1">IFERROR(__xludf.DUMMYFUNCTION("""COMPUTED_VALUE"""),500000)</f>
        <v>500000</v>
      </c>
      <c r="D59" s="22">
        <f ca="1">IFERROR(__xludf.DUMMYFUNCTION("""COMPUTED_VALUE"""),0)</f>
        <v>0</v>
      </c>
      <c r="E59" s="22">
        <f ca="1">IFERROR(__xludf.DUMMYFUNCTION("""COMPUTED_VALUE"""),500000)</f>
        <v>500000</v>
      </c>
      <c r="F59" s="22">
        <f ca="1">IFERROR(__xludf.DUMMYFUNCTION("""COMPUTED_VALUE"""),500000)</f>
        <v>500000</v>
      </c>
      <c r="G59" s="22">
        <f ca="1">IFERROR(__xludf.DUMMYFUNCTION("""COMPUTED_VALUE"""),0)</f>
        <v>0</v>
      </c>
      <c r="H59" s="7">
        <f ca="1">IFERROR(__xludf.DUMMYFUNCTION("""COMPUTED_VALUE"""),500000)</f>
        <v>500000</v>
      </c>
    </row>
    <row r="60" spans="1:8" ht="13" x14ac:dyDescent="0.15">
      <c r="A60" s="5" t="str">
        <f ca="1">IFERROR(__xludf.DUMMYFUNCTION("""COMPUTED_VALUE"""),"18111")</f>
        <v>18111</v>
      </c>
      <c r="B60" s="51">
        <f ca="1">IFERROR(__xludf.DUMMYFUNCTION("""COMPUTED_VALUE"""),44607)</f>
        <v>44607</v>
      </c>
      <c r="C60" s="22">
        <f ca="1">IFERROR(__xludf.DUMMYFUNCTION("""COMPUTED_VALUE"""),500000)</f>
        <v>500000</v>
      </c>
      <c r="D60" s="22">
        <f ca="1">IFERROR(__xludf.DUMMYFUNCTION("""COMPUTED_VALUE"""),0)</f>
        <v>0</v>
      </c>
      <c r="E60" s="22">
        <f ca="1">IFERROR(__xludf.DUMMYFUNCTION("""COMPUTED_VALUE"""),500000)</f>
        <v>500000</v>
      </c>
      <c r="F60" s="22">
        <f ca="1">IFERROR(__xludf.DUMMYFUNCTION("""COMPUTED_VALUE"""),500000)</f>
        <v>500000</v>
      </c>
      <c r="G60" s="22">
        <f ca="1">IFERROR(__xludf.DUMMYFUNCTION("""COMPUTED_VALUE"""),0)</f>
        <v>0</v>
      </c>
      <c r="H60" s="7">
        <f ca="1">IFERROR(__xludf.DUMMYFUNCTION("""COMPUTED_VALUE"""),500000)</f>
        <v>500000</v>
      </c>
    </row>
    <row r="61" spans="1:8" ht="13" x14ac:dyDescent="0.15">
      <c r="A61" s="5" t="str">
        <f ca="1">IFERROR(__xludf.DUMMYFUNCTION("""COMPUTED_VALUE"""),"18111")</f>
        <v>18111</v>
      </c>
      <c r="B61" s="51">
        <f ca="1">IFERROR(__xludf.DUMMYFUNCTION("""COMPUTED_VALUE"""),44608)</f>
        <v>44608</v>
      </c>
      <c r="C61" s="22">
        <f ca="1">IFERROR(__xludf.DUMMYFUNCTION("""COMPUTED_VALUE"""),500000)</f>
        <v>500000</v>
      </c>
      <c r="D61" s="22">
        <f ca="1">IFERROR(__xludf.DUMMYFUNCTION("""COMPUTED_VALUE"""),0)</f>
        <v>0</v>
      </c>
      <c r="E61" s="22">
        <f ca="1">IFERROR(__xludf.DUMMYFUNCTION("""COMPUTED_VALUE"""),500000)</f>
        <v>500000</v>
      </c>
      <c r="F61" s="22">
        <f ca="1">IFERROR(__xludf.DUMMYFUNCTION("""COMPUTED_VALUE"""),500000)</f>
        <v>500000</v>
      </c>
      <c r="G61" s="22">
        <f ca="1">IFERROR(__xludf.DUMMYFUNCTION("""COMPUTED_VALUE"""),0)</f>
        <v>0</v>
      </c>
      <c r="H61" s="7">
        <f ca="1">IFERROR(__xludf.DUMMYFUNCTION("""COMPUTED_VALUE"""),500000)</f>
        <v>500000</v>
      </c>
    </row>
    <row r="62" spans="1:8" ht="13" x14ac:dyDescent="0.15">
      <c r="A62" s="5" t="str">
        <f ca="1">IFERROR(__xludf.DUMMYFUNCTION("""COMPUTED_VALUE"""),"18111")</f>
        <v>18111</v>
      </c>
      <c r="B62" s="51">
        <f ca="1">IFERROR(__xludf.DUMMYFUNCTION("""COMPUTED_VALUE"""),44609)</f>
        <v>44609</v>
      </c>
      <c r="C62" s="22">
        <f ca="1">IFERROR(__xludf.DUMMYFUNCTION("""COMPUTED_VALUE"""),500000)</f>
        <v>500000</v>
      </c>
      <c r="D62" s="22">
        <f ca="1">IFERROR(__xludf.DUMMYFUNCTION("""COMPUTED_VALUE"""),0)</f>
        <v>0</v>
      </c>
      <c r="E62" s="22">
        <f ca="1">IFERROR(__xludf.DUMMYFUNCTION("""COMPUTED_VALUE"""),500000)</f>
        <v>500000</v>
      </c>
      <c r="F62" s="22">
        <f ca="1">IFERROR(__xludf.DUMMYFUNCTION("""COMPUTED_VALUE"""),500000)</f>
        <v>500000</v>
      </c>
      <c r="G62" s="22">
        <f ca="1">IFERROR(__xludf.DUMMYFUNCTION("""COMPUTED_VALUE"""),0)</f>
        <v>0</v>
      </c>
      <c r="H62" s="7">
        <f ca="1">IFERROR(__xludf.DUMMYFUNCTION("""COMPUTED_VALUE"""),500000)</f>
        <v>500000</v>
      </c>
    </row>
    <row r="63" spans="1:8" ht="13" x14ac:dyDescent="0.15">
      <c r="A63" s="5" t="str">
        <f ca="1">IFERROR(__xludf.DUMMYFUNCTION("""COMPUTED_VALUE"""),"18111")</f>
        <v>18111</v>
      </c>
      <c r="B63" s="51">
        <f ca="1">IFERROR(__xludf.DUMMYFUNCTION("""COMPUTED_VALUE"""),44610)</f>
        <v>44610</v>
      </c>
      <c r="C63" s="22">
        <f ca="1">IFERROR(__xludf.DUMMYFUNCTION("""COMPUTED_VALUE"""),500000)</f>
        <v>500000</v>
      </c>
      <c r="D63" s="22">
        <f ca="1">IFERROR(__xludf.DUMMYFUNCTION("""COMPUTED_VALUE"""),0)</f>
        <v>0</v>
      </c>
      <c r="E63" s="22">
        <f ca="1">IFERROR(__xludf.DUMMYFUNCTION("""COMPUTED_VALUE"""),500000)</f>
        <v>500000</v>
      </c>
      <c r="F63" s="22">
        <f ca="1">IFERROR(__xludf.DUMMYFUNCTION("""COMPUTED_VALUE"""),500000)</f>
        <v>500000</v>
      </c>
      <c r="G63" s="22">
        <f ca="1">IFERROR(__xludf.DUMMYFUNCTION("""COMPUTED_VALUE"""),0)</f>
        <v>0</v>
      </c>
      <c r="H63" s="7">
        <f ca="1">IFERROR(__xludf.DUMMYFUNCTION("""COMPUTED_VALUE"""),500000)</f>
        <v>500000</v>
      </c>
    </row>
    <row r="64" spans="1:8" ht="13" x14ac:dyDescent="0.15">
      <c r="A64" s="5" t="str">
        <f ca="1">IFERROR(__xludf.DUMMYFUNCTION("""COMPUTED_VALUE"""),"18111")</f>
        <v>18111</v>
      </c>
      <c r="B64" s="51">
        <f ca="1">IFERROR(__xludf.DUMMYFUNCTION("""COMPUTED_VALUE"""),44611)</f>
        <v>44611</v>
      </c>
      <c r="C64" s="22">
        <f ca="1">IFERROR(__xludf.DUMMYFUNCTION("""COMPUTED_VALUE"""),500000)</f>
        <v>500000</v>
      </c>
      <c r="D64" s="22">
        <f ca="1">IFERROR(__xludf.DUMMYFUNCTION("""COMPUTED_VALUE"""),0)</f>
        <v>0</v>
      </c>
      <c r="E64" s="22">
        <f ca="1">IFERROR(__xludf.DUMMYFUNCTION("""COMPUTED_VALUE"""),500000)</f>
        <v>500000</v>
      </c>
      <c r="F64" s="22">
        <f ca="1">IFERROR(__xludf.DUMMYFUNCTION("""COMPUTED_VALUE"""),500000)</f>
        <v>500000</v>
      </c>
      <c r="G64" s="22">
        <f ca="1">IFERROR(__xludf.DUMMYFUNCTION("""COMPUTED_VALUE"""),0)</f>
        <v>0</v>
      </c>
      <c r="H64" s="7">
        <f ca="1">IFERROR(__xludf.DUMMYFUNCTION("""COMPUTED_VALUE"""),500000)</f>
        <v>500000</v>
      </c>
    </row>
    <row r="65" spans="1:8" ht="13" x14ac:dyDescent="0.15">
      <c r="A65" s="5" t="str">
        <f ca="1">IFERROR(__xludf.DUMMYFUNCTION("""COMPUTED_VALUE"""),"18111")</f>
        <v>18111</v>
      </c>
      <c r="B65" s="51">
        <f ca="1">IFERROR(__xludf.DUMMYFUNCTION("""COMPUTED_VALUE"""),44612)</f>
        <v>44612</v>
      </c>
      <c r="C65" s="22">
        <f ca="1">IFERROR(__xludf.DUMMYFUNCTION("""COMPUTED_VALUE"""),500000)</f>
        <v>500000</v>
      </c>
      <c r="D65" s="22">
        <f ca="1">IFERROR(__xludf.DUMMYFUNCTION("""COMPUTED_VALUE"""),0)</f>
        <v>0</v>
      </c>
      <c r="E65" s="22">
        <f ca="1">IFERROR(__xludf.DUMMYFUNCTION("""COMPUTED_VALUE"""),500000)</f>
        <v>500000</v>
      </c>
      <c r="F65" s="22">
        <f ca="1">IFERROR(__xludf.DUMMYFUNCTION("""COMPUTED_VALUE"""),500000)</f>
        <v>500000</v>
      </c>
      <c r="G65" s="22">
        <f ca="1">IFERROR(__xludf.DUMMYFUNCTION("""COMPUTED_VALUE"""),0)</f>
        <v>0</v>
      </c>
      <c r="H65" s="7">
        <f ca="1">IFERROR(__xludf.DUMMYFUNCTION("""COMPUTED_VALUE"""),500000)</f>
        <v>500000</v>
      </c>
    </row>
    <row r="66" spans="1:8" ht="13" x14ac:dyDescent="0.15">
      <c r="A66" s="5" t="str">
        <f ca="1">IFERROR(__xludf.DUMMYFUNCTION("""COMPUTED_VALUE"""),"18111")</f>
        <v>18111</v>
      </c>
      <c r="B66" s="51">
        <f ca="1">IFERROR(__xludf.DUMMYFUNCTION("""COMPUTED_VALUE"""),44613)</f>
        <v>44613</v>
      </c>
      <c r="C66" s="22">
        <f ca="1">IFERROR(__xludf.DUMMYFUNCTION("""COMPUTED_VALUE"""),500000)</f>
        <v>500000</v>
      </c>
      <c r="D66" s="22">
        <f ca="1">IFERROR(__xludf.DUMMYFUNCTION("""COMPUTED_VALUE"""),0)</f>
        <v>0</v>
      </c>
      <c r="E66" s="22">
        <f ca="1">IFERROR(__xludf.DUMMYFUNCTION("""COMPUTED_VALUE"""),500000)</f>
        <v>500000</v>
      </c>
      <c r="F66" s="22">
        <f ca="1">IFERROR(__xludf.DUMMYFUNCTION("""COMPUTED_VALUE"""),500000)</f>
        <v>500000</v>
      </c>
      <c r="G66" s="22">
        <f ca="1">IFERROR(__xludf.DUMMYFUNCTION("""COMPUTED_VALUE"""),0)</f>
        <v>0</v>
      </c>
      <c r="H66" s="7">
        <f ca="1">IFERROR(__xludf.DUMMYFUNCTION("""COMPUTED_VALUE"""),500000)</f>
        <v>500000</v>
      </c>
    </row>
    <row r="67" spans="1:8" ht="13" x14ac:dyDescent="0.15">
      <c r="A67" s="5" t="str">
        <f ca="1">IFERROR(__xludf.DUMMYFUNCTION("""COMPUTED_VALUE"""),"18111")</f>
        <v>18111</v>
      </c>
      <c r="B67" s="51">
        <f ca="1">IFERROR(__xludf.DUMMYFUNCTION("""COMPUTED_VALUE"""),44614)</f>
        <v>44614</v>
      </c>
      <c r="C67" s="22">
        <f ca="1">IFERROR(__xludf.DUMMYFUNCTION("""COMPUTED_VALUE"""),500000)</f>
        <v>500000</v>
      </c>
      <c r="D67" s="22">
        <f ca="1">IFERROR(__xludf.DUMMYFUNCTION("""COMPUTED_VALUE"""),0)</f>
        <v>0</v>
      </c>
      <c r="E67" s="22">
        <f ca="1">IFERROR(__xludf.DUMMYFUNCTION("""COMPUTED_VALUE"""),500000)</f>
        <v>500000</v>
      </c>
      <c r="F67" s="22">
        <f ca="1">IFERROR(__xludf.DUMMYFUNCTION("""COMPUTED_VALUE"""),500000)</f>
        <v>500000</v>
      </c>
      <c r="G67" s="22">
        <f ca="1">IFERROR(__xludf.DUMMYFUNCTION("""COMPUTED_VALUE"""),0)</f>
        <v>0</v>
      </c>
      <c r="H67" s="7">
        <f ca="1">IFERROR(__xludf.DUMMYFUNCTION("""COMPUTED_VALUE"""),500000)</f>
        <v>500000</v>
      </c>
    </row>
    <row r="68" spans="1:8" ht="13" x14ac:dyDescent="0.15">
      <c r="A68" s="5" t="str">
        <f ca="1">IFERROR(__xludf.DUMMYFUNCTION("""COMPUTED_VALUE"""),"18111")</f>
        <v>18111</v>
      </c>
      <c r="B68" s="51">
        <f ca="1">IFERROR(__xludf.DUMMYFUNCTION("""COMPUTED_VALUE"""),44615)</f>
        <v>44615</v>
      </c>
      <c r="C68" s="22">
        <f ca="1">IFERROR(__xludf.DUMMYFUNCTION("""COMPUTED_VALUE"""),500000)</f>
        <v>500000</v>
      </c>
      <c r="D68" s="22">
        <f ca="1">IFERROR(__xludf.DUMMYFUNCTION("""COMPUTED_VALUE"""),0)</f>
        <v>0</v>
      </c>
      <c r="E68" s="22">
        <f ca="1">IFERROR(__xludf.DUMMYFUNCTION("""COMPUTED_VALUE"""),500000)</f>
        <v>500000</v>
      </c>
      <c r="F68" s="22">
        <f ca="1">IFERROR(__xludf.DUMMYFUNCTION("""COMPUTED_VALUE"""),500000)</f>
        <v>500000</v>
      </c>
      <c r="G68" s="22">
        <f ca="1">IFERROR(__xludf.DUMMYFUNCTION("""COMPUTED_VALUE"""),0)</f>
        <v>0</v>
      </c>
      <c r="H68" s="7">
        <f ca="1">IFERROR(__xludf.DUMMYFUNCTION("""COMPUTED_VALUE"""),500000)</f>
        <v>500000</v>
      </c>
    </row>
    <row r="69" spans="1:8" ht="13" x14ac:dyDescent="0.15">
      <c r="A69" s="5" t="str">
        <f ca="1">IFERROR(__xludf.DUMMYFUNCTION("""COMPUTED_VALUE"""),"18111")</f>
        <v>18111</v>
      </c>
      <c r="B69" s="51">
        <f ca="1">IFERROR(__xludf.DUMMYFUNCTION("""COMPUTED_VALUE"""),44616)</f>
        <v>44616</v>
      </c>
      <c r="C69" s="22">
        <f ca="1">IFERROR(__xludf.DUMMYFUNCTION("""COMPUTED_VALUE"""),500000)</f>
        <v>500000</v>
      </c>
      <c r="D69" s="22">
        <f ca="1">IFERROR(__xludf.DUMMYFUNCTION("""COMPUTED_VALUE"""),0)</f>
        <v>0</v>
      </c>
      <c r="E69" s="22">
        <f ca="1">IFERROR(__xludf.DUMMYFUNCTION("""COMPUTED_VALUE"""),500000)</f>
        <v>500000</v>
      </c>
      <c r="F69" s="22">
        <f ca="1">IFERROR(__xludf.DUMMYFUNCTION("""COMPUTED_VALUE"""),500000)</f>
        <v>500000</v>
      </c>
      <c r="G69" s="22">
        <f ca="1">IFERROR(__xludf.DUMMYFUNCTION("""COMPUTED_VALUE"""),0)</f>
        <v>0</v>
      </c>
      <c r="H69" s="7">
        <f ca="1">IFERROR(__xludf.DUMMYFUNCTION("""COMPUTED_VALUE"""),500000)</f>
        <v>500000</v>
      </c>
    </row>
    <row r="70" spans="1:8" ht="13" x14ac:dyDescent="0.15">
      <c r="A70" s="5" t="str">
        <f ca="1">IFERROR(__xludf.DUMMYFUNCTION("""COMPUTED_VALUE"""),"18111")</f>
        <v>18111</v>
      </c>
      <c r="B70" s="51">
        <f ca="1">IFERROR(__xludf.DUMMYFUNCTION("""COMPUTED_VALUE"""),44617)</f>
        <v>44617</v>
      </c>
      <c r="C70" s="22">
        <f ca="1">IFERROR(__xludf.DUMMYFUNCTION("""COMPUTED_VALUE"""),500000)</f>
        <v>500000</v>
      </c>
      <c r="D70" s="22">
        <f ca="1">IFERROR(__xludf.DUMMYFUNCTION("""COMPUTED_VALUE"""),0)</f>
        <v>0</v>
      </c>
      <c r="E70" s="22">
        <f ca="1">IFERROR(__xludf.DUMMYFUNCTION("""COMPUTED_VALUE"""),500000)</f>
        <v>500000</v>
      </c>
      <c r="F70" s="22">
        <f ca="1">IFERROR(__xludf.DUMMYFUNCTION("""COMPUTED_VALUE"""),500000)</f>
        <v>500000</v>
      </c>
      <c r="G70" s="22">
        <f ca="1">IFERROR(__xludf.DUMMYFUNCTION("""COMPUTED_VALUE"""),0)</f>
        <v>0</v>
      </c>
      <c r="H70" s="7">
        <f ca="1">IFERROR(__xludf.DUMMYFUNCTION("""COMPUTED_VALUE"""),500000)</f>
        <v>500000</v>
      </c>
    </row>
    <row r="71" spans="1:8" ht="13" x14ac:dyDescent="0.15">
      <c r="A71" s="5" t="str">
        <f ca="1">IFERROR(__xludf.DUMMYFUNCTION("""COMPUTED_VALUE"""),"18111")</f>
        <v>18111</v>
      </c>
      <c r="B71" s="51">
        <f ca="1">IFERROR(__xludf.DUMMYFUNCTION("""COMPUTED_VALUE"""),44618)</f>
        <v>44618</v>
      </c>
      <c r="C71" s="22">
        <f ca="1">IFERROR(__xludf.DUMMYFUNCTION("""COMPUTED_VALUE"""),500000)</f>
        <v>500000</v>
      </c>
      <c r="D71" s="22">
        <f ca="1">IFERROR(__xludf.DUMMYFUNCTION("""COMPUTED_VALUE"""),0)</f>
        <v>0</v>
      </c>
      <c r="E71" s="22">
        <f ca="1">IFERROR(__xludf.DUMMYFUNCTION("""COMPUTED_VALUE"""),500000)</f>
        <v>500000</v>
      </c>
      <c r="F71" s="22">
        <f ca="1">IFERROR(__xludf.DUMMYFUNCTION("""COMPUTED_VALUE"""),500000)</f>
        <v>500000</v>
      </c>
      <c r="G71" s="22">
        <f ca="1">IFERROR(__xludf.DUMMYFUNCTION("""COMPUTED_VALUE"""),0)</f>
        <v>0</v>
      </c>
      <c r="H71" s="7">
        <f ca="1">IFERROR(__xludf.DUMMYFUNCTION("""COMPUTED_VALUE"""),500000)</f>
        <v>500000</v>
      </c>
    </row>
    <row r="72" spans="1:8" ht="13" x14ac:dyDescent="0.15">
      <c r="A72" s="5" t="str">
        <f ca="1">IFERROR(__xludf.DUMMYFUNCTION("""COMPUTED_VALUE"""),"18111")</f>
        <v>18111</v>
      </c>
      <c r="B72" s="51">
        <f ca="1">IFERROR(__xludf.DUMMYFUNCTION("""COMPUTED_VALUE"""),44619)</f>
        <v>44619</v>
      </c>
      <c r="C72" s="22">
        <f ca="1">IFERROR(__xludf.DUMMYFUNCTION("""COMPUTED_VALUE"""),500000)</f>
        <v>500000</v>
      </c>
      <c r="D72" s="22">
        <f ca="1">IFERROR(__xludf.DUMMYFUNCTION("""COMPUTED_VALUE"""),0)</f>
        <v>0</v>
      </c>
      <c r="E72" s="22">
        <f ca="1">IFERROR(__xludf.DUMMYFUNCTION("""COMPUTED_VALUE"""),500000)</f>
        <v>500000</v>
      </c>
      <c r="F72" s="22">
        <f ca="1">IFERROR(__xludf.DUMMYFUNCTION("""COMPUTED_VALUE"""),500000)</f>
        <v>500000</v>
      </c>
      <c r="G72" s="22">
        <f ca="1">IFERROR(__xludf.DUMMYFUNCTION("""COMPUTED_VALUE"""),0)</f>
        <v>0</v>
      </c>
      <c r="H72" s="7">
        <f ca="1">IFERROR(__xludf.DUMMYFUNCTION("""COMPUTED_VALUE"""),500000)</f>
        <v>500000</v>
      </c>
    </row>
    <row r="73" spans="1:8" ht="13" x14ac:dyDescent="0.15">
      <c r="A73" s="5" t="str">
        <f ca="1">IFERROR(__xludf.DUMMYFUNCTION("""COMPUTED_VALUE"""),"18111")</f>
        <v>18111</v>
      </c>
      <c r="B73" s="51">
        <f ca="1">IFERROR(__xludf.DUMMYFUNCTION("""COMPUTED_VALUE"""),44620)</f>
        <v>44620</v>
      </c>
      <c r="C73" s="22">
        <f ca="1">IFERROR(__xludf.DUMMYFUNCTION("""COMPUTED_VALUE"""),500000)</f>
        <v>500000</v>
      </c>
      <c r="D73" s="22">
        <f ca="1">IFERROR(__xludf.DUMMYFUNCTION("""COMPUTED_VALUE"""),0)</f>
        <v>0</v>
      </c>
      <c r="E73" s="22">
        <f ca="1">IFERROR(__xludf.DUMMYFUNCTION("""COMPUTED_VALUE"""),500000)</f>
        <v>500000</v>
      </c>
      <c r="F73" s="22">
        <f ca="1">IFERROR(__xludf.DUMMYFUNCTION("""COMPUTED_VALUE"""),500000)</f>
        <v>500000</v>
      </c>
      <c r="G73" s="22">
        <f ca="1">IFERROR(__xludf.DUMMYFUNCTION("""COMPUTED_VALUE"""),0)</f>
        <v>0</v>
      </c>
      <c r="H73" s="7">
        <f ca="1">IFERROR(__xludf.DUMMYFUNCTION("""COMPUTED_VALUE"""),500000)</f>
        <v>500000</v>
      </c>
    </row>
    <row r="74" spans="1:8" ht="13" x14ac:dyDescent="0.15">
      <c r="A74" s="5" t="str">
        <f ca="1">IFERROR(__xludf.DUMMYFUNCTION("""COMPUTED_VALUE"""),"18111")</f>
        <v>18111</v>
      </c>
      <c r="B74" s="51">
        <f ca="1">IFERROR(__xludf.DUMMYFUNCTION("""COMPUTED_VALUE"""),44621)</f>
        <v>44621</v>
      </c>
      <c r="C74" s="22">
        <f ca="1">IFERROR(__xludf.DUMMYFUNCTION("""COMPUTED_VALUE"""),500000)</f>
        <v>500000</v>
      </c>
      <c r="D74" s="22">
        <f ca="1">IFERROR(__xludf.DUMMYFUNCTION("""COMPUTED_VALUE"""),0)</f>
        <v>0</v>
      </c>
      <c r="E74" s="22">
        <f ca="1">IFERROR(__xludf.DUMMYFUNCTION("""COMPUTED_VALUE"""),500000)</f>
        <v>500000</v>
      </c>
      <c r="F74" s="22">
        <f ca="1">IFERROR(__xludf.DUMMYFUNCTION("""COMPUTED_VALUE"""),500000)</f>
        <v>500000</v>
      </c>
      <c r="G74" s="22">
        <f ca="1">IFERROR(__xludf.DUMMYFUNCTION("""COMPUTED_VALUE"""),0)</f>
        <v>0</v>
      </c>
      <c r="H74" s="7">
        <f ca="1">IFERROR(__xludf.DUMMYFUNCTION("""COMPUTED_VALUE"""),500000)</f>
        <v>500000</v>
      </c>
    </row>
    <row r="75" spans="1:8" ht="13" x14ac:dyDescent="0.15">
      <c r="A75" s="5" t="str">
        <f ca="1">IFERROR(__xludf.DUMMYFUNCTION("""COMPUTED_VALUE"""),"18111")</f>
        <v>18111</v>
      </c>
      <c r="B75" s="51">
        <f ca="1">IFERROR(__xludf.DUMMYFUNCTION("""COMPUTED_VALUE"""),44622)</f>
        <v>44622</v>
      </c>
      <c r="C75" s="22">
        <f ca="1">IFERROR(__xludf.DUMMYFUNCTION("""COMPUTED_VALUE"""),500000)</f>
        <v>500000</v>
      </c>
      <c r="D75" s="22">
        <f ca="1">IFERROR(__xludf.DUMMYFUNCTION("""COMPUTED_VALUE"""),0)</f>
        <v>0</v>
      </c>
      <c r="E75" s="22">
        <f ca="1">IFERROR(__xludf.DUMMYFUNCTION("""COMPUTED_VALUE"""),500000)</f>
        <v>500000</v>
      </c>
      <c r="F75" s="22">
        <f ca="1">IFERROR(__xludf.DUMMYFUNCTION("""COMPUTED_VALUE"""),500000)</f>
        <v>500000</v>
      </c>
      <c r="G75" s="22">
        <f ca="1">IFERROR(__xludf.DUMMYFUNCTION("""COMPUTED_VALUE"""),0)</f>
        <v>0</v>
      </c>
      <c r="H75" s="7">
        <f ca="1">IFERROR(__xludf.DUMMYFUNCTION("""COMPUTED_VALUE"""),500000)</f>
        <v>500000</v>
      </c>
    </row>
    <row r="76" spans="1:8" ht="13" x14ac:dyDescent="0.15">
      <c r="A76" s="5" t="str">
        <f ca="1">IFERROR(__xludf.DUMMYFUNCTION("""COMPUTED_VALUE"""),"18111")</f>
        <v>18111</v>
      </c>
      <c r="B76" s="51">
        <f ca="1">IFERROR(__xludf.DUMMYFUNCTION("""COMPUTED_VALUE"""),44623)</f>
        <v>44623</v>
      </c>
      <c r="C76" s="22">
        <f ca="1">IFERROR(__xludf.DUMMYFUNCTION("""COMPUTED_VALUE"""),500000)</f>
        <v>500000</v>
      </c>
      <c r="D76" s="22">
        <f ca="1">IFERROR(__xludf.DUMMYFUNCTION("""COMPUTED_VALUE"""),0)</f>
        <v>0</v>
      </c>
      <c r="E76" s="22">
        <f ca="1">IFERROR(__xludf.DUMMYFUNCTION("""COMPUTED_VALUE"""),500000)</f>
        <v>500000</v>
      </c>
      <c r="F76" s="22">
        <f ca="1">IFERROR(__xludf.DUMMYFUNCTION("""COMPUTED_VALUE"""),500000)</f>
        <v>500000</v>
      </c>
      <c r="G76" s="22">
        <f ca="1">IFERROR(__xludf.DUMMYFUNCTION("""COMPUTED_VALUE"""),0)</f>
        <v>0</v>
      </c>
      <c r="H76" s="7">
        <f ca="1">IFERROR(__xludf.DUMMYFUNCTION("""COMPUTED_VALUE"""),500000)</f>
        <v>500000</v>
      </c>
    </row>
    <row r="77" spans="1:8" ht="13" x14ac:dyDescent="0.15">
      <c r="A77" s="5" t="str">
        <f ca="1">IFERROR(__xludf.DUMMYFUNCTION("""COMPUTED_VALUE"""),"18111")</f>
        <v>18111</v>
      </c>
      <c r="B77" s="51">
        <f ca="1">IFERROR(__xludf.DUMMYFUNCTION("""COMPUTED_VALUE"""),44624)</f>
        <v>44624</v>
      </c>
      <c r="C77" s="22">
        <f ca="1">IFERROR(__xludf.DUMMYFUNCTION("""COMPUTED_VALUE"""),500000)</f>
        <v>500000</v>
      </c>
      <c r="D77" s="22">
        <f ca="1">IFERROR(__xludf.DUMMYFUNCTION("""COMPUTED_VALUE"""),0)</f>
        <v>0</v>
      </c>
      <c r="E77" s="22">
        <f ca="1">IFERROR(__xludf.DUMMYFUNCTION("""COMPUTED_VALUE"""),500000)</f>
        <v>500000</v>
      </c>
      <c r="F77" s="22">
        <f ca="1">IFERROR(__xludf.DUMMYFUNCTION("""COMPUTED_VALUE"""),500000)</f>
        <v>500000</v>
      </c>
      <c r="G77" s="22">
        <f ca="1">IFERROR(__xludf.DUMMYFUNCTION("""COMPUTED_VALUE"""),0)</f>
        <v>0</v>
      </c>
      <c r="H77" s="7">
        <f ca="1">IFERROR(__xludf.DUMMYFUNCTION("""COMPUTED_VALUE"""),500000)</f>
        <v>500000</v>
      </c>
    </row>
    <row r="78" spans="1:8" ht="13" x14ac:dyDescent="0.15">
      <c r="A78" s="5" t="str">
        <f ca="1">IFERROR(__xludf.DUMMYFUNCTION("""COMPUTED_VALUE"""),"18111")</f>
        <v>18111</v>
      </c>
      <c r="B78" s="51">
        <f ca="1">IFERROR(__xludf.DUMMYFUNCTION("""COMPUTED_VALUE"""),44625)</f>
        <v>44625</v>
      </c>
      <c r="C78" s="22">
        <f ca="1">IFERROR(__xludf.DUMMYFUNCTION("""COMPUTED_VALUE"""),500000)</f>
        <v>500000</v>
      </c>
      <c r="D78" s="22">
        <f ca="1">IFERROR(__xludf.DUMMYFUNCTION("""COMPUTED_VALUE"""),0)</f>
        <v>0</v>
      </c>
      <c r="E78" s="22">
        <f ca="1">IFERROR(__xludf.DUMMYFUNCTION("""COMPUTED_VALUE"""),500000)</f>
        <v>500000</v>
      </c>
      <c r="F78" s="22">
        <f ca="1">IFERROR(__xludf.DUMMYFUNCTION("""COMPUTED_VALUE"""),500000)</f>
        <v>500000</v>
      </c>
      <c r="G78" s="22">
        <f ca="1">IFERROR(__xludf.DUMMYFUNCTION("""COMPUTED_VALUE"""),0)</f>
        <v>0</v>
      </c>
      <c r="H78" s="7">
        <f ca="1">IFERROR(__xludf.DUMMYFUNCTION("""COMPUTED_VALUE"""),500000)</f>
        <v>500000</v>
      </c>
    </row>
    <row r="79" spans="1:8" ht="13" x14ac:dyDescent="0.15">
      <c r="A79" s="5" t="str">
        <f ca="1">IFERROR(__xludf.DUMMYFUNCTION("""COMPUTED_VALUE"""),"18111")</f>
        <v>18111</v>
      </c>
      <c r="B79" s="51">
        <f ca="1">IFERROR(__xludf.DUMMYFUNCTION("""COMPUTED_VALUE"""),44626)</f>
        <v>44626</v>
      </c>
      <c r="C79" s="22">
        <f ca="1">IFERROR(__xludf.DUMMYFUNCTION("""COMPUTED_VALUE"""),500000)</f>
        <v>500000</v>
      </c>
      <c r="D79" s="22">
        <f ca="1">IFERROR(__xludf.DUMMYFUNCTION("""COMPUTED_VALUE"""),0)</f>
        <v>0</v>
      </c>
      <c r="E79" s="22">
        <f ca="1">IFERROR(__xludf.DUMMYFUNCTION("""COMPUTED_VALUE"""),500000)</f>
        <v>500000</v>
      </c>
      <c r="F79" s="22">
        <f ca="1">IFERROR(__xludf.DUMMYFUNCTION("""COMPUTED_VALUE"""),500000)</f>
        <v>500000</v>
      </c>
      <c r="G79" s="22">
        <f ca="1">IFERROR(__xludf.DUMMYFUNCTION("""COMPUTED_VALUE"""),0)</f>
        <v>0</v>
      </c>
      <c r="H79" s="7">
        <f ca="1">IFERROR(__xludf.DUMMYFUNCTION("""COMPUTED_VALUE"""),500000)</f>
        <v>500000</v>
      </c>
    </row>
    <row r="80" spans="1:8" ht="13" x14ac:dyDescent="0.15">
      <c r="A80" s="5" t="str">
        <f ca="1">IFERROR(__xludf.DUMMYFUNCTION("""COMPUTED_VALUE"""),"18111")</f>
        <v>18111</v>
      </c>
      <c r="B80" s="51">
        <f ca="1">IFERROR(__xludf.DUMMYFUNCTION("""COMPUTED_VALUE"""),44627)</f>
        <v>44627</v>
      </c>
      <c r="C80" s="22">
        <f ca="1">IFERROR(__xludf.DUMMYFUNCTION("""COMPUTED_VALUE"""),500000)</f>
        <v>500000</v>
      </c>
      <c r="D80" s="22">
        <f ca="1">IFERROR(__xludf.DUMMYFUNCTION("""COMPUTED_VALUE"""),0)</f>
        <v>0</v>
      </c>
      <c r="E80" s="22">
        <f ca="1">IFERROR(__xludf.DUMMYFUNCTION("""COMPUTED_VALUE"""),500000)</f>
        <v>500000</v>
      </c>
      <c r="F80" s="22">
        <f ca="1">IFERROR(__xludf.DUMMYFUNCTION("""COMPUTED_VALUE"""),500000)</f>
        <v>500000</v>
      </c>
      <c r="G80" s="22">
        <f ca="1">IFERROR(__xludf.DUMMYFUNCTION("""COMPUTED_VALUE"""),0)</f>
        <v>0</v>
      </c>
      <c r="H80" s="7">
        <f ca="1">IFERROR(__xludf.DUMMYFUNCTION("""COMPUTED_VALUE"""),500000)</f>
        <v>500000</v>
      </c>
    </row>
    <row r="81" spans="1:8" ht="13" x14ac:dyDescent="0.15">
      <c r="A81" s="5" t="str">
        <f ca="1">IFERROR(__xludf.DUMMYFUNCTION("""COMPUTED_VALUE"""),"18111")</f>
        <v>18111</v>
      </c>
      <c r="B81" s="51">
        <f ca="1">IFERROR(__xludf.DUMMYFUNCTION("""COMPUTED_VALUE"""),44628)</f>
        <v>44628</v>
      </c>
      <c r="C81" s="22">
        <f ca="1">IFERROR(__xludf.DUMMYFUNCTION("""COMPUTED_VALUE"""),500000)</f>
        <v>500000</v>
      </c>
      <c r="D81" s="22">
        <f ca="1">IFERROR(__xludf.DUMMYFUNCTION("""COMPUTED_VALUE"""),0)</f>
        <v>0</v>
      </c>
      <c r="E81" s="22">
        <f ca="1">IFERROR(__xludf.DUMMYFUNCTION("""COMPUTED_VALUE"""),500000)</f>
        <v>500000</v>
      </c>
      <c r="F81" s="22">
        <f ca="1">IFERROR(__xludf.DUMMYFUNCTION("""COMPUTED_VALUE"""),500000)</f>
        <v>500000</v>
      </c>
      <c r="G81" s="22">
        <f ca="1">IFERROR(__xludf.DUMMYFUNCTION("""COMPUTED_VALUE"""),0)</f>
        <v>0</v>
      </c>
      <c r="H81" s="7">
        <f ca="1">IFERROR(__xludf.DUMMYFUNCTION("""COMPUTED_VALUE"""),500000)</f>
        <v>500000</v>
      </c>
    </row>
    <row r="82" spans="1:8" ht="13" x14ac:dyDescent="0.15">
      <c r="A82" s="5" t="str">
        <f ca="1">IFERROR(__xludf.DUMMYFUNCTION("""COMPUTED_VALUE"""),"18111")</f>
        <v>18111</v>
      </c>
      <c r="B82" s="51">
        <f ca="1">IFERROR(__xludf.DUMMYFUNCTION("""COMPUTED_VALUE"""),44629)</f>
        <v>44629</v>
      </c>
      <c r="C82" s="22">
        <f ca="1">IFERROR(__xludf.DUMMYFUNCTION("""COMPUTED_VALUE"""),500000)</f>
        <v>500000</v>
      </c>
      <c r="D82" s="22">
        <f ca="1">IFERROR(__xludf.DUMMYFUNCTION("""COMPUTED_VALUE"""),0)</f>
        <v>0</v>
      </c>
      <c r="E82" s="22">
        <f ca="1">IFERROR(__xludf.DUMMYFUNCTION("""COMPUTED_VALUE"""),500000)</f>
        <v>500000</v>
      </c>
      <c r="F82" s="22">
        <f ca="1">IFERROR(__xludf.DUMMYFUNCTION("""COMPUTED_VALUE"""),500000)</f>
        <v>500000</v>
      </c>
      <c r="G82" s="22">
        <f ca="1">IFERROR(__xludf.DUMMYFUNCTION("""COMPUTED_VALUE"""),0)</f>
        <v>0</v>
      </c>
      <c r="H82" s="7">
        <f ca="1">IFERROR(__xludf.DUMMYFUNCTION("""COMPUTED_VALUE"""),500000)</f>
        <v>500000</v>
      </c>
    </row>
    <row r="83" spans="1:8" ht="13" x14ac:dyDescent="0.15">
      <c r="A83" s="5" t="str">
        <f ca="1">IFERROR(__xludf.DUMMYFUNCTION("""COMPUTED_VALUE"""),"18111")</f>
        <v>18111</v>
      </c>
      <c r="B83" s="51">
        <f ca="1">IFERROR(__xludf.DUMMYFUNCTION("""COMPUTED_VALUE"""),44630)</f>
        <v>44630</v>
      </c>
      <c r="C83" s="22">
        <f ca="1">IFERROR(__xludf.DUMMYFUNCTION("""COMPUTED_VALUE"""),500000)</f>
        <v>500000</v>
      </c>
      <c r="D83" s="22">
        <f ca="1">IFERROR(__xludf.DUMMYFUNCTION("""COMPUTED_VALUE"""),0)</f>
        <v>0</v>
      </c>
      <c r="E83" s="22">
        <f ca="1">IFERROR(__xludf.DUMMYFUNCTION("""COMPUTED_VALUE"""),500000)</f>
        <v>500000</v>
      </c>
      <c r="F83" s="22">
        <f ca="1">IFERROR(__xludf.DUMMYFUNCTION("""COMPUTED_VALUE"""),500000)</f>
        <v>500000</v>
      </c>
      <c r="G83" s="22">
        <f ca="1">IFERROR(__xludf.DUMMYFUNCTION("""COMPUTED_VALUE"""),0)</f>
        <v>0</v>
      </c>
      <c r="H83" s="7">
        <f ca="1">IFERROR(__xludf.DUMMYFUNCTION("""COMPUTED_VALUE"""),500000)</f>
        <v>500000</v>
      </c>
    </row>
    <row r="84" spans="1:8" ht="13" x14ac:dyDescent="0.15">
      <c r="A84" s="5" t="str">
        <f ca="1">IFERROR(__xludf.DUMMYFUNCTION("""COMPUTED_VALUE"""),"18111")</f>
        <v>18111</v>
      </c>
      <c r="B84" s="51">
        <f ca="1">IFERROR(__xludf.DUMMYFUNCTION("""COMPUTED_VALUE"""),44631)</f>
        <v>44631</v>
      </c>
      <c r="C84" s="22">
        <f ca="1">IFERROR(__xludf.DUMMYFUNCTION("""COMPUTED_VALUE"""),500000)</f>
        <v>500000</v>
      </c>
      <c r="D84" s="22">
        <f ca="1">IFERROR(__xludf.DUMMYFUNCTION("""COMPUTED_VALUE"""),0)</f>
        <v>0</v>
      </c>
      <c r="E84" s="22">
        <f ca="1">IFERROR(__xludf.DUMMYFUNCTION("""COMPUTED_VALUE"""),500000)</f>
        <v>500000</v>
      </c>
      <c r="F84" s="22">
        <f ca="1">IFERROR(__xludf.DUMMYFUNCTION("""COMPUTED_VALUE"""),500000)</f>
        <v>500000</v>
      </c>
      <c r="G84" s="22">
        <f ca="1">IFERROR(__xludf.DUMMYFUNCTION("""COMPUTED_VALUE"""),0)</f>
        <v>0</v>
      </c>
      <c r="H84" s="7">
        <f ca="1">IFERROR(__xludf.DUMMYFUNCTION("""COMPUTED_VALUE"""),500000)</f>
        <v>500000</v>
      </c>
    </row>
    <row r="85" spans="1:8" ht="13" x14ac:dyDescent="0.15">
      <c r="A85" s="5" t="str">
        <f ca="1">IFERROR(__xludf.DUMMYFUNCTION("""COMPUTED_VALUE"""),"18111")</f>
        <v>18111</v>
      </c>
      <c r="B85" s="51">
        <f ca="1">IFERROR(__xludf.DUMMYFUNCTION("""COMPUTED_VALUE"""),44632)</f>
        <v>44632</v>
      </c>
      <c r="C85" s="22">
        <f ca="1">IFERROR(__xludf.DUMMYFUNCTION("""COMPUTED_VALUE"""),500000)</f>
        <v>500000</v>
      </c>
      <c r="D85" s="22">
        <f ca="1">IFERROR(__xludf.DUMMYFUNCTION("""COMPUTED_VALUE"""),0)</f>
        <v>0</v>
      </c>
      <c r="E85" s="22">
        <f ca="1">IFERROR(__xludf.DUMMYFUNCTION("""COMPUTED_VALUE"""),500000)</f>
        <v>500000</v>
      </c>
      <c r="F85" s="22">
        <f ca="1">IFERROR(__xludf.DUMMYFUNCTION("""COMPUTED_VALUE"""),500000)</f>
        <v>500000</v>
      </c>
      <c r="G85" s="22">
        <f ca="1">IFERROR(__xludf.DUMMYFUNCTION("""COMPUTED_VALUE"""),0)</f>
        <v>0</v>
      </c>
      <c r="H85" s="7">
        <f ca="1">IFERROR(__xludf.DUMMYFUNCTION("""COMPUTED_VALUE"""),500000)</f>
        <v>500000</v>
      </c>
    </row>
    <row r="86" spans="1:8" ht="13" x14ac:dyDescent="0.15">
      <c r="A86" s="5" t="str">
        <f ca="1">IFERROR(__xludf.DUMMYFUNCTION("""COMPUTED_VALUE"""),"18111")</f>
        <v>18111</v>
      </c>
      <c r="B86" s="51">
        <f ca="1">IFERROR(__xludf.DUMMYFUNCTION("""COMPUTED_VALUE"""),44633)</f>
        <v>44633</v>
      </c>
      <c r="C86" s="22">
        <f ca="1">IFERROR(__xludf.DUMMYFUNCTION("""COMPUTED_VALUE"""),500000)</f>
        <v>500000</v>
      </c>
      <c r="D86" s="22">
        <f ca="1">IFERROR(__xludf.DUMMYFUNCTION("""COMPUTED_VALUE"""),0)</f>
        <v>0</v>
      </c>
      <c r="E86" s="22">
        <f ca="1">IFERROR(__xludf.DUMMYFUNCTION("""COMPUTED_VALUE"""),500000)</f>
        <v>500000</v>
      </c>
      <c r="F86" s="22">
        <f ca="1">IFERROR(__xludf.DUMMYFUNCTION("""COMPUTED_VALUE"""),500000)</f>
        <v>500000</v>
      </c>
      <c r="G86" s="22">
        <f ca="1">IFERROR(__xludf.DUMMYFUNCTION("""COMPUTED_VALUE"""),0)</f>
        <v>0</v>
      </c>
      <c r="H86" s="7">
        <f ca="1">IFERROR(__xludf.DUMMYFUNCTION("""COMPUTED_VALUE"""),500000)</f>
        <v>500000</v>
      </c>
    </row>
    <row r="87" spans="1:8" ht="13" x14ac:dyDescent="0.15">
      <c r="A87" s="5" t="str">
        <f ca="1">IFERROR(__xludf.DUMMYFUNCTION("""COMPUTED_VALUE"""),"18111")</f>
        <v>18111</v>
      </c>
      <c r="B87" s="51">
        <f ca="1">IFERROR(__xludf.DUMMYFUNCTION("""COMPUTED_VALUE"""),44634)</f>
        <v>44634</v>
      </c>
      <c r="C87" s="22">
        <f ca="1">IFERROR(__xludf.DUMMYFUNCTION("""COMPUTED_VALUE"""),500000)</f>
        <v>500000</v>
      </c>
      <c r="D87" s="22">
        <f ca="1">IFERROR(__xludf.DUMMYFUNCTION("""COMPUTED_VALUE"""),0)</f>
        <v>0</v>
      </c>
      <c r="E87" s="22">
        <f ca="1">IFERROR(__xludf.DUMMYFUNCTION("""COMPUTED_VALUE"""),500000)</f>
        <v>500000</v>
      </c>
      <c r="F87" s="22">
        <f ca="1">IFERROR(__xludf.DUMMYFUNCTION("""COMPUTED_VALUE"""),500000)</f>
        <v>500000</v>
      </c>
      <c r="G87" s="22">
        <f ca="1">IFERROR(__xludf.DUMMYFUNCTION("""COMPUTED_VALUE"""),0)</f>
        <v>0</v>
      </c>
      <c r="H87" s="7">
        <f ca="1">IFERROR(__xludf.DUMMYFUNCTION("""COMPUTED_VALUE"""),500000)</f>
        <v>500000</v>
      </c>
    </row>
    <row r="88" spans="1:8" ht="13" x14ac:dyDescent="0.15">
      <c r="A88" s="5" t="str">
        <f ca="1">IFERROR(__xludf.DUMMYFUNCTION("""COMPUTED_VALUE"""),"18111")</f>
        <v>18111</v>
      </c>
      <c r="B88" s="51">
        <f ca="1">IFERROR(__xludf.DUMMYFUNCTION("""COMPUTED_VALUE"""),44635)</f>
        <v>44635</v>
      </c>
      <c r="C88" s="22">
        <f ca="1">IFERROR(__xludf.DUMMYFUNCTION("""COMPUTED_VALUE"""),500000)</f>
        <v>500000</v>
      </c>
      <c r="D88" s="22">
        <f ca="1">IFERROR(__xludf.DUMMYFUNCTION("""COMPUTED_VALUE"""),0)</f>
        <v>0</v>
      </c>
      <c r="E88" s="22">
        <f ca="1">IFERROR(__xludf.DUMMYFUNCTION("""COMPUTED_VALUE"""),500000)</f>
        <v>500000</v>
      </c>
      <c r="F88" s="22">
        <f ca="1">IFERROR(__xludf.DUMMYFUNCTION("""COMPUTED_VALUE"""),500000)</f>
        <v>500000</v>
      </c>
      <c r="G88" s="22">
        <f ca="1">IFERROR(__xludf.DUMMYFUNCTION("""COMPUTED_VALUE"""),0)</f>
        <v>0</v>
      </c>
      <c r="H88" s="7">
        <f ca="1">IFERROR(__xludf.DUMMYFUNCTION("""COMPUTED_VALUE"""),500000)</f>
        <v>500000</v>
      </c>
    </row>
    <row r="89" spans="1:8" ht="13" x14ac:dyDescent="0.15">
      <c r="A89" s="5" t="str">
        <f ca="1">IFERROR(__xludf.DUMMYFUNCTION("""COMPUTED_VALUE"""),"18111")</f>
        <v>18111</v>
      </c>
      <c r="B89" s="51">
        <f ca="1">IFERROR(__xludf.DUMMYFUNCTION("""COMPUTED_VALUE"""),44636)</f>
        <v>44636</v>
      </c>
      <c r="C89" s="22">
        <f ca="1">IFERROR(__xludf.DUMMYFUNCTION("""COMPUTED_VALUE"""),500000)</f>
        <v>500000</v>
      </c>
      <c r="D89" s="22">
        <f ca="1">IFERROR(__xludf.DUMMYFUNCTION("""COMPUTED_VALUE"""),0)</f>
        <v>0</v>
      </c>
      <c r="E89" s="22">
        <f ca="1">IFERROR(__xludf.DUMMYFUNCTION("""COMPUTED_VALUE"""),500000)</f>
        <v>500000</v>
      </c>
      <c r="F89" s="22">
        <f ca="1">IFERROR(__xludf.DUMMYFUNCTION("""COMPUTED_VALUE"""),500000)</f>
        <v>500000</v>
      </c>
      <c r="G89" s="22">
        <f ca="1">IFERROR(__xludf.DUMMYFUNCTION("""COMPUTED_VALUE"""),0)</f>
        <v>0</v>
      </c>
      <c r="H89" s="7">
        <f ca="1">IFERROR(__xludf.DUMMYFUNCTION("""COMPUTED_VALUE"""),500000)</f>
        <v>500000</v>
      </c>
    </row>
    <row r="90" spans="1:8" ht="13" x14ac:dyDescent="0.15">
      <c r="A90" s="5" t="str">
        <f ca="1">IFERROR(__xludf.DUMMYFUNCTION("""COMPUTED_VALUE"""),"18111")</f>
        <v>18111</v>
      </c>
      <c r="B90" s="51">
        <f ca="1">IFERROR(__xludf.DUMMYFUNCTION("""COMPUTED_VALUE"""),44637)</f>
        <v>44637</v>
      </c>
      <c r="C90" s="22">
        <f ca="1">IFERROR(__xludf.DUMMYFUNCTION("""COMPUTED_VALUE"""),500000)</f>
        <v>500000</v>
      </c>
      <c r="D90" s="22">
        <f ca="1">IFERROR(__xludf.DUMMYFUNCTION("""COMPUTED_VALUE"""),0)</f>
        <v>0</v>
      </c>
      <c r="E90" s="22">
        <f ca="1">IFERROR(__xludf.DUMMYFUNCTION("""COMPUTED_VALUE"""),500000)</f>
        <v>500000</v>
      </c>
      <c r="F90" s="22">
        <f ca="1">IFERROR(__xludf.DUMMYFUNCTION("""COMPUTED_VALUE"""),500000)</f>
        <v>500000</v>
      </c>
      <c r="G90" s="22">
        <f ca="1">IFERROR(__xludf.DUMMYFUNCTION("""COMPUTED_VALUE"""),0)</f>
        <v>0</v>
      </c>
      <c r="H90" s="7">
        <f ca="1">IFERROR(__xludf.DUMMYFUNCTION("""COMPUTED_VALUE"""),500000)</f>
        <v>500000</v>
      </c>
    </row>
    <row r="91" spans="1:8" ht="13" x14ac:dyDescent="0.15">
      <c r="A91" s="5" t="str">
        <f ca="1">IFERROR(__xludf.DUMMYFUNCTION("""COMPUTED_VALUE"""),"18111")</f>
        <v>18111</v>
      </c>
      <c r="B91" s="51">
        <f ca="1">IFERROR(__xludf.DUMMYFUNCTION("""COMPUTED_VALUE"""),44638)</f>
        <v>44638</v>
      </c>
      <c r="C91" s="22">
        <f ca="1">IFERROR(__xludf.DUMMYFUNCTION("""COMPUTED_VALUE"""),500000)</f>
        <v>500000</v>
      </c>
      <c r="D91" s="22">
        <f ca="1">IFERROR(__xludf.DUMMYFUNCTION("""COMPUTED_VALUE"""),0)</f>
        <v>0</v>
      </c>
      <c r="E91" s="22">
        <f ca="1">IFERROR(__xludf.DUMMYFUNCTION("""COMPUTED_VALUE"""),500000)</f>
        <v>500000</v>
      </c>
      <c r="F91" s="22">
        <f ca="1">IFERROR(__xludf.DUMMYFUNCTION("""COMPUTED_VALUE"""),500000)</f>
        <v>500000</v>
      </c>
      <c r="G91" s="22">
        <f ca="1">IFERROR(__xludf.DUMMYFUNCTION("""COMPUTED_VALUE"""),0)</f>
        <v>0</v>
      </c>
      <c r="H91" s="7">
        <f ca="1">IFERROR(__xludf.DUMMYFUNCTION("""COMPUTED_VALUE"""),500000)</f>
        <v>500000</v>
      </c>
    </row>
    <row r="92" spans="1:8" ht="13" x14ac:dyDescent="0.15">
      <c r="A92" s="5" t="str">
        <f ca="1">IFERROR(__xludf.DUMMYFUNCTION("""COMPUTED_VALUE"""),"18111")</f>
        <v>18111</v>
      </c>
      <c r="B92" s="51">
        <f ca="1">IFERROR(__xludf.DUMMYFUNCTION("""COMPUTED_VALUE"""),44639)</f>
        <v>44639</v>
      </c>
      <c r="C92" s="22">
        <f ca="1">IFERROR(__xludf.DUMMYFUNCTION("""COMPUTED_VALUE"""),500000)</f>
        <v>500000</v>
      </c>
      <c r="D92" s="22">
        <f ca="1">IFERROR(__xludf.DUMMYFUNCTION("""COMPUTED_VALUE"""),0)</f>
        <v>0</v>
      </c>
      <c r="E92" s="22">
        <f ca="1">IFERROR(__xludf.DUMMYFUNCTION("""COMPUTED_VALUE"""),500000)</f>
        <v>500000</v>
      </c>
      <c r="F92" s="22">
        <f ca="1">IFERROR(__xludf.DUMMYFUNCTION("""COMPUTED_VALUE"""),500000)</f>
        <v>500000</v>
      </c>
      <c r="G92" s="22">
        <f ca="1">IFERROR(__xludf.DUMMYFUNCTION("""COMPUTED_VALUE"""),0)</f>
        <v>0</v>
      </c>
      <c r="H92" s="7">
        <f ca="1">IFERROR(__xludf.DUMMYFUNCTION("""COMPUTED_VALUE"""),500000)</f>
        <v>500000</v>
      </c>
    </row>
    <row r="93" spans="1:8" ht="13" x14ac:dyDescent="0.15">
      <c r="A93" s="5" t="str">
        <f ca="1">IFERROR(__xludf.DUMMYFUNCTION("""COMPUTED_VALUE"""),"18111")</f>
        <v>18111</v>
      </c>
      <c r="B93" s="51">
        <f ca="1">IFERROR(__xludf.DUMMYFUNCTION("""COMPUTED_VALUE"""),44640)</f>
        <v>44640</v>
      </c>
      <c r="C93" s="22">
        <f ca="1">IFERROR(__xludf.DUMMYFUNCTION("""COMPUTED_VALUE"""),500000)</f>
        <v>500000</v>
      </c>
      <c r="D93" s="22">
        <f ca="1">IFERROR(__xludf.DUMMYFUNCTION("""COMPUTED_VALUE"""),0)</f>
        <v>0</v>
      </c>
      <c r="E93" s="22">
        <f ca="1">IFERROR(__xludf.DUMMYFUNCTION("""COMPUTED_VALUE"""),500000)</f>
        <v>500000</v>
      </c>
      <c r="F93" s="22">
        <f ca="1">IFERROR(__xludf.DUMMYFUNCTION("""COMPUTED_VALUE"""),500000)</f>
        <v>500000</v>
      </c>
      <c r="G93" s="22">
        <f ca="1">IFERROR(__xludf.DUMMYFUNCTION("""COMPUTED_VALUE"""),0)</f>
        <v>0</v>
      </c>
      <c r="H93" s="7">
        <f ca="1">IFERROR(__xludf.DUMMYFUNCTION("""COMPUTED_VALUE"""),500000)</f>
        <v>500000</v>
      </c>
    </row>
    <row r="94" spans="1:8" ht="13" x14ac:dyDescent="0.15">
      <c r="A94" s="5" t="str">
        <f ca="1">IFERROR(__xludf.DUMMYFUNCTION("""COMPUTED_VALUE"""),"18111")</f>
        <v>18111</v>
      </c>
      <c r="B94" s="51">
        <f ca="1">IFERROR(__xludf.DUMMYFUNCTION("""COMPUTED_VALUE"""),44641)</f>
        <v>44641</v>
      </c>
      <c r="C94" s="22">
        <f ca="1">IFERROR(__xludf.DUMMYFUNCTION("""COMPUTED_VALUE"""),500000)</f>
        <v>500000</v>
      </c>
      <c r="D94" s="22">
        <f ca="1">IFERROR(__xludf.DUMMYFUNCTION("""COMPUTED_VALUE"""),0)</f>
        <v>0</v>
      </c>
      <c r="E94" s="22">
        <f ca="1">IFERROR(__xludf.DUMMYFUNCTION("""COMPUTED_VALUE"""),500000)</f>
        <v>500000</v>
      </c>
      <c r="F94" s="22">
        <f ca="1">IFERROR(__xludf.DUMMYFUNCTION("""COMPUTED_VALUE"""),500000)</f>
        <v>500000</v>
      </c>
      <c r="G94" s="22">
        <f ca="1">IFERROR(__xludf.DUMMYFUNCTION("""COMPUTED_VALUE"""),0)</f>
        <v>0</v>
      </c>
      <c r="H94" s="7">
        <f ca="1">IFERROR(__xludf.DUMMYFUNCTION("""COMPUTED_VALUE"""),500000)</f>
        <v>500000</v>
      </c>
    </row>
    <row r="95" spans="1:8" ht="13" x14ac:dyDescent="0.15">
      <c r="A95" s="5" t="str">
        <f ca="1">IFERROR(__xludf.DUMMYFUNCTION("""COMPUTED_VALUE"""),"18111")</f>
        <v>18111</v>
      </c>
      <c r="B95" s="51">
        <f ca="1">IFERROR(__xludf.DUMMYFUNCTION("""COMPUTED_VALUE"""),44642)</f>
        <v>44642</v>
      </c>
      <c r="C95" s="22">
        <f ca="1">IFERROR(__xludf.DUMMYFUNCTION("""COMPUTED_VALUE"""),500000)</f>
        <v>500000</v>
      </c>
      <c r="D95" s="22">
        <f ca="1">IFERROR(__xludf.DUMMYFUNCTION("""COMPUTED_VALUE"""),0)</f>
        <v>0</v>
      </c>
      <c r="E95" s="22">
        <f ca="1">IFERROR(__xludf.DUMMYFUNCTION("""COMPUTED_VALUE"""),500000)</f>
        <v>500000</v>
      </c>
      <c r="F95" s="22">
        <f ca="1">IFERROR(__xludf.DUMMYFUNCTION("""COMPUTED_VALUE"""),500000)</f>
        <v>500000</v>
      </c>
      <c r="G95" s="22">
        <f ca="1">IFERROR(__xludf.DUMMYFUNCTION("""COMPUTED_VALUE"""),0)</f>
        <v>0</v>
      </c>
      <c r="H95" s="7">
        <f ca="1">IFERROR(__xludf.DUMMYFUNCTION("""COMPUTED_VALUE"""),500000)</f>
        <v>500000</v>
      </c>
    </row>
    <row r="96" spans="1:8" ht="13" x14ac:dyDescent="0.15">
      <c r="A96" s="5" t="str">
        <f ca="1">IFERROR(__xludf.DUMMYFUNCTION("""COMPUTED_VALUE"""),"18649")</f>
        <v>18649</v>
      </c>
      <c r="B96" s="51">
        <f ca="1">IFERROR(__xludf.DUMMYFUNCTION("""COMPUTED_VALUE"""),44597)</f>
        <v>44597</v>
      </c>
      <c r="C96" s="22">
        <f ca="1">IFERROR(__xludf.DUMMYFUNCTION("""COMPUTED_VALUE"""),500000)</f>
        <v>500000</v>
      </c>
      <c r="D96" s="22">
        <f ca="1">IFERROR(__xludf.DUMMYFUNCTION("""COMPUTED_VALUE"""),0)</f>
        <v>0</v>
      </c>
      <c r="E96" s="22">
        <f ca="1">IFERROR(__xludf.DUMMYFUNCTION("""COMPUTED_VALUE"""),500000)</f>
        <v>500000</v>
      </c>
      <c r="F96" s="22">
        <f ca="1">IFERROR(__xludf.DUMMYFUNCTION("""COMPUTED_VALUE"""),500000)</f>
        <v>500000</v>
      </c>
      <c r="G96" s="22">
        <f ca="1">IFERROR(__xludf.DUMMYFUNCTION("""COMPUTED_VALUE"""),0)</f>
        <v>0</v>
      </c>
      <c r="H96" s="7">
        <f ca="1">IFERROR(__xludf.DUMMYFUNCTION("""COMPUTED_VALUE"""),500000)</f>
        <v>500000</v>
      </c>
    </row>
    <row r="97" spans="1:8" ht="13" x14ac:dyDescent="0.15">
      <c r="A97" s="5" t="str">
        <f ca="1">IFERROR(__xludf.DUMMYFUNCTION("""COMPUTED_VALUE"""),"18649")</f>
        <v>18649</v>
      </c>
      <c r="B97" s="51">
        <f ca="1">IFERROR(__xludf.DUMMYFUNCTION("""COMPUTED_VALUE"""),44598)</f>
        <v>44598</v>
      </c>
      <c r="C97" s="22">
        <f ca="1">IFERROR(__xludf.DUMMYFUNCTION("""COMPUTED_VALUE"""),500000)</f>
        <v>500000</v>
      </c>
      <c r="D97" s="22">
        <f ca="1">IFERROR(__xludf.DUMMYFUNCTION("""COMPUTED_VALUE"""),0)</f>
        <v>0</v>
      </c>
      <c r="E97" s="22">
        <f ca="1">IFERROR(__xludf.DUMMYFUNCTION("""COMPUTED_VALUE"""),500000)</f>
        <v>500000</v>
      </c>
      <c r="F97" s="22">
        <f ca="1">IFERROR(__xludf.DUMMYFUNCTION("""COMPUTED_VALUE"""),500000)</f>
        <v>500000</v>
      </c>
      <c r="G97" s="22">
        <f ca="1">IFERROR(__xludf.DUMMYFUNCTION("""COMPUTED_VALUE"""),0)</f>
        <v>0</v>
      </c>
      <c r="H97" s="7">
        <f ca="1">IFERROR(__xludf.DUMMYFUNCTION("""COMPUTED_VALUE"""),500000)</f>
        <v>500000</v>
      </c>
    </row>
    <row r="98" spans="1:8" ht="13" x14ac:dyDescent="0.15">
      <c r="A98" s="5" t="str">
        <f ca="1">IFERROR(__xludf.DUMMYFUNCTION("""COMPUTED_VALUE"""),"18649")</f>
        <v>18649</v>
      </c>
      <c r="B98" s="51">
        <f ca="1">IFERROR(__xludf.DUMMYFUNCTION("""COMPUTED_VALUE"""),44599)</f>
        <v>44599</v>
      </c>
      <c r="C98" s="22">
        <f ca="1">IFERROR(__xludf.DUMMYFUNCTION("""COMPUTED_VALUE"""),500000)</f>
        <v>500000</v>
      </c>
      <c r="D98" s="22">
        <f ca="1">IFERROR(__xludf.DUMMYFUNCTION("""COMPUTED_VALUE"""),0)</f>
        <v>0</v>
      </c>
      <c r="E98" s="22">
        <f ca="1">IFERROR(__xludf.DUMMYFUNCTION("""COMPUTED_VALUE"""),500000)</f>
        <v>500000</v>
      </c>
      <c r="F98" s="22">
        <f ca="1">IFERROR(__xludf.DUMMYFUNCTION("""COMPUTED_VALUE"""),500000)</f>
        <v>500000</v>
      </c>
      <c r="G98" s="22">
        <f ca="1">IFERROR(__xludf.DUMMYFUNCTION("""COMPUTED_VALUE"""),0)</f>
        <v>0</v>
      </c>
      <c r="H98" s="7">
        <f ca="1">IFERROR(__xludf.DUMMYFUNCTION("""COMPUTED_VALUE"""),500000)</f>
        <v>500000</v>
      </c>
    </row>
    <row r="99" spans="1:8" ht="13" x14ac:dyDescent="0.15">
      <c r="A99" s="5" t="str">
        <f ca="1">IFERROR(__xludf.DUMMYFUNCTION("""COMPUTED_VALUE"""),"18649")</f>
        <v>18649</v>
      </c>
      <c r="B99" s="51">
        <f ca="1">IFERROR(__xludf.DUMMYFUNCTION("""COMPUTED_VALUE"""),44600)</f>
        <v>44600</v>
      </c>
      <c r="C99" s="22">
        <f ca="1">IFERROR(__xludf.DUMMYFUNCTION("""COMPUTED_VALUE"""),500000)</f>
        <v>500000</v>
      </c>
      <c r="D99" s="22">
        <f ca="1">IFERROR(__xludf.DUMMYFUNCTION("""COMPUTED_VALUE"""),0)</f>
        <v>0</v>
      </c>
      <c r="E99" s="22">
        <f ca="1">IFERROR(__xludf.DUMMYFUNCTION("""COMPUTED_VALUE"""),500000)</f>
        <v>500000</v>
      </c>
      <c r="F99" s="22">
        <f ca="1">IFERROR(__xludf.DUMMYFUNCTION("""COMPUTED_VALUE"""),500000)</f>
        <v>500000</v>
      </c>
      <c r="G99" s="22">
        <f ca="1">IFERROR(__xludf.DUMMYFUNCTION("""COMPUTED_VALUE"""),0)</f>
        <v>0</v>
      </c>
      <c r="H99" s="7">
        <f ca="1">IFERROR(__xludf.DUMMYFUNCTION("""COMPUTED_VALUE"""),500000)</f>
        <v>500000</v>
      </c>
    </row>
    <row r="100" spans="1:8" ht="13" x14ac:dyDescent="0.15">
      <c r="A100" s="5" t="str">
        <f ca="1">IFERROR(__xludf.DUMMYFUNCTION("""COMPUTED_VALUE"""),"18649")</f>
        <v>18649</v>
      </c>
      <c r="B100" s="51">
        <f ca="1">IFERROR(__xludf.DUMMYFUNCTION("""COMPUTED_VALUE"""),44601)</f>
        <v>44601</v>
      </c>
      <c r="C100" s="22">
        <f ca="1">IFERROR(__xludf.DUMMYFUNCTION("""COMPUTED_VALUE"""),500000)</f>
        <v>500000</v>
      </c>
      <c r="D100" s="22">
        <f ca="1">IFERROR(__xludf.DUMMYFUNCTION("""COMPUTED_VALUE"""),0)</f>
        <v>0</v>
      </c>
      <c r="E100" s="22">
        <f ca="1">IFERROR(__xludf.DUMMYFUNCTION("""COMPUTED_VALUE"""),500000)</f>
        <v>500000</v>
      </c>
      <c r="F100" s="22">
        <f ca="1">IFERROR(__xludf.DUMMYFUNCTION("""COMPUTED_VALUE"""),500000)</f>
        <v>500000</v>
      </c>
      <c r="G100" s="22">
        <f ca="1">IFERROR(__xludf.DUMMYFUNCTION("""COMPUTED_VALUE"""),0)</f>
        <v>0</v>
      </c>
      <c r="H100" s="7">
        <f ca="1">IFERROR(__xludf.DUMMYFUNCTION("""COMPUTED_VALUE"""),500000)</f>
        <v>500000</v>
      </c>
    </row>
    <row r="101" spans="1:8" ht="13" x14ac:dyDescent="0.15">
      <c r="A101" s="5" t="str">
        <f ca="1">IFERROR(__xludf.DUMMYFUNCTION("""COMPUTED_VALUE"""),"18649")</f>
        <v>18649</v>
      </c>
      <c r="B101" s="51">
        <f ca="1">IFERROR(__xludf.DUMMYFUNCTION("""COMPUTED_VALUE"""),44602)</f>
        <v>44602</v>
      </c>
      <c r="C101" s="22">
        <f ca="1">IFERROR(__xludf.DUMMYFUNCTION("""COMPUTED_VALUE"""),500000)</f>
        <v>500000</v>
      </c>
      <c r="D101" s="22">
        <f ca="1">IFERROR(__xludf.DUMMYFUNCTION("""COMPUTED_VALUE"""),0)</f>
        <v>0</v>
      </c>
      <c r="E101" s="22">
        <f ca="1">IFERROR(__xludf.DUMMYFUNCTION("""COMPUTED_VALUE"""),500000)</f>
        <v>500000</v>
      </c>
      <c r="F101" s="22">
        <f ca="1">IFERROR(__xludf.DUMMYFUNCTION("""COMPUTED_VALUE"""),500000)</f>
        <v>500000</v>
      </c>
      <c r="G101" s="22">
        <f ca="1">IFERROR(__xludf.DUMMYFUNCTION("""COMPUTED_VALUE"""),0)</f>
        <v>0</v>
      </c>
      <c r="H101" s="7">
        <f ca="1">IFERROR(__xludf.DUMMYFUNCTION("""COMPUTED_VALUE"""),500000)</f>
        <v>500000</v>
      </c>
    </row>
    <row r="102" spans="1:8" ht="13" x14ac:dyDescent="0.15">
      <c r="A102" s="5" t="str">
        <f ca="1">IFERROR(__xludf.DUMMYFUNCTION("""COMPUTED_VALUE"""),"18649")</f>
        <v>18649</v>
      </c>
      <c r="B102" s="51">
        <f ca="1">IFERROR(__xludf.DUMMYFUNCTION("""COMPUTED_VALUE"""),44603)</f>
        <v>44603</v>
      </c>
      <c r="C102" s="22">
        <f ca="1">IFERROR(__xludf.DUMMYFUNCTION("""COMPUTED_VALUE"""),500000)</f>
        <v>500000</v>
      </c>
      <c r="D102" s="22">
        <f ca="1">IFERROR(__xludf.DUMMYFUNCTION("""COMPUTED_VALUE"""),0)</f>
        <v>0</v>
      </c>
      <c r="E102" s="22">
        <f ca="1">IFERROR(__xludf.DUMMYFUNCTION("""COMPUTED_VALUE"""),500000)</f>
        <v>500000</v>
      </c>
      <c r="F102" s="22">
        <f ca="1">IFERROR(__xludf.DUMMYFUNCTION("""COMPUTED_VALUE"""),500000)</f>
        <v>500000</v>
      </c>
      <c r="G102" s="22">
        <f ca="1">IFERROR(__xludf.DUMMYFUNCTION("""COMPUTED_VALUE"""),0)</f>
        <v>0</v>
      </c>
      <c r="H102" s="7">
        <f ca="1">IFERROR(__xludf.DUMMYFUNCTION("""COMPUTED_VALUE"""),500000)</f>
        <v>500000</v>
      </c>
    </row>
    <row r="103" spans="1:8" ht="13" x14ac:dyDescent="0.15">
      <c r="A103" s="5" t="str">
        <f ca="1">IFERROR(__xludf.DUMMYFUNCTION("""COMPUTED_VALUE"""),"18649")</f>
        <v>18649</v>
      </c>
      <c r="B103" s="51">
        <f ca="1">IFERROR(__xludf.DUMMYFUNCTION("""COMPUTED_VALUE"""),44604)</f>
        <v>44604</v>
      </c>
      <c r="C103" s="22">
        <f ca="1">IFERROR(__xludf.DUMMYFUNCTION("""COMPUTED_VALUE"""),500000)</f>
        <v>500000</v>
      </c>
      <c r="D103" s="22">
        <f ca="1">IFERROR(__xludf.DUMMYFUNCTION("""COMPUTED_VALUE"""),0)</f>
        <v>0</v>
      </c>
      <c r="E103" s="22">
        <f ca="1">IFERROR(__xludf.DUMMYFUNCTION("""COMPUTED_VALUE"""),500000)</f>
        <v>500000</v>
      </c>
      <c r="F103" s="22">
        <f ca="1">IFERROR(__xludf.DUMMYFUNCTION("""COMPUTED_VALUE"""),500000)</f>
        <v>500000</v>
      </c>
      <c r="G103" s="22">
        <f ca="1">IFERROR(__xludf.DUMMYFUNCTION("""COMPUTED_VALUE"""),0)</f>
        <v>0</v>
      </c>
      <c r="H103" s="7">
        <f ca="1">IFERROR(__xludf.DUMMYFUNCTION("""COMPUTED_VALUE"""),500000)</f>
        <v>500000</v>
      </c>
    </row>
    <row r="104" spans="1:8" ht="13" x14ac:dyDescent="0.15">
      <c r="A104" s="5" t="str">
        <f ca="1">IFERROR(__xludf.DUMMYFUNCTION("""COMPUTED_VALUE"""),"18649")</f>
        <v>18649</v>
      </c>
      <c r="B104" s="51">
        <f ca="1">IFERROR(__xludf.DUMMYFUNCTION("""COMPUTED_VALUE"""),44605)</f>
        <v>44605</v>
      </c>
      <c r="C104" s="22">
        <f ca="1">IFERROR(__xludf.DUMMYFUNCTION("""COMPUTED_VALUE"""),500000)</f>
        <v>500000</v>
      </c>
      <c r="D104" s="22">
        <f ca="1">IFERROR(__xludf.DUMMYFUNCTION("""COMPUTED_VALUE"""),0)</f>
        <v>0</v>
      </c>
      <c r="E104" s="22">
        <f ca="1">IFERROR(__xludf.DUMMYFUNCTION("""COMPUTED_VALUE"""),500000)</f>
        <v>500000</v>
      </c>
      <c r="F104" s="22">
        <f ca="1">IFERROR(__xludf.DUMMYFUNCTION("""COMPUTED_VALUE"""),500000)</f>
        <v>500000</v>
      </c>
      <c r="G104" s="22">
        <f ca="1">IFERROR(__xludf.DUMMYFUNCTION("""COMPUTED_VALUE"""),0)</f>
        <v>0</v>
      </c>
      <c r="H104" s="7">
        <f ca="1">IFERROR(__xludf.DUMMYFUNCTION("""COMPUTED_VALUE"""),500000)</f>
        <v>500000</v>
      </c>
    </row>
    <row r="105" spans="1:8" ht="13" x14ac:dyDescent="0.15">
      <c r="A105" s="5" t="str">
        <f ca="1">IFERROR(__xludf.DUMMYFUNCTION("""COMPUTED_VALUE"""),"18649")</f>
        <v>18649</v>
      </c>
      <c r="B105" s="51">
        <f ca="1">IFERROR(__xludf.DUMMYFUNCTION("""COMPUTED_VALUE"""),44606)</f>
        <v>44606</v>
      </c>
      <c r="C105" s="22">
        <f ca="1">IFERROR(__xludf.DUMMYFUNCTION("""COMPUTED_VALUE"""),500000)</f>
        <v>500000</v>
      </c>
      <c r="D105" s="22">
        <f ca="1">IFERROR(__xludf.DUMMYFUNCTION("""COMPUTED_VALUE"""),0)</f>
        <v>0</v>
      </c>
      <c r="E105" s="22">
        <f ca="1">IFERROR(__xludf.DUMMYFUNCTION("""COMPUTED_VALUE"""),500000)</f>
        <v>500000</v>
      </c>
      <c r="F105" s="22">
        <f ca="1">IFERROR(__xludf.DUMMYFUNCTION("""COMPUTED_VALUE"""),500000)</f>
        <v>500000</v>
      </c>
      <c r="G105" s="22">
        <f ca="1">IFERROR(__xludf.DUMMYFUNCTION("""COMPUTED_VALUE"""),0)</f>
        <v>0</v>
      </c>
      <c r="H105" s="7">
        <f ca="1">IFERROR(__xludf.DUMMYFUNCTION("""COMPUTED_VALUE"""),500000)</f>
        <v>500000</v>
      </c>
    </row>
    <row r="106" spans="1:8" ht="13" x14ac:dyDescent="0.15">
      <c r="A106" s="5" t="str">
        <f ca="1">IFERROR(__xludf.DUMMYFUNCTION("""COMPUTED_VALUE"""),"18649")</f>
        <v>18649</v>
      </c>
      <c r="B106" s="51">
        <f ca="1">IFERROR(__xludf.DUMMYFUNCTION("""COMPUTED_VALUE"""),44607)</f>
        <v>44607</v>
      </c>
      <c r="C106" s="22">
        <f ca="1">IFERROR(__xludf.DUMMYFUNCTION("""COMPUTED_VALUE"""),500000)</f>
        <v>500000</v>
      </c>
      <c r="D106" s="22">
        <f ca="1">IFERROR(__xludf.DUMMYFUNCTION("""COMPUTED_VALUE"""),0)</f>
        <v>0</v>
      </c>
      <c r="E106" s="22">
        <f ca="1">IFERROR(__xludf.DUMMYFUNCTION("""COMPUTED_VALUE"""),500000)</f>
        <v>500000</v>
      </c>
      <c r="F106" s="22">
        <f ca="1">IFERROR(__xludf.DUMMYFUNCTION("""COMPUTED_VALUE"""),500000)</f>
        <v>500000</v>
      </c>
      <c r="G106" s="22">
        <f ca="1">IFERROR(__xludf.DUMMYFUNCTION("""COMPUTED_VALUE"""),0)</f>
        <v>0</v>
      </c>
      <c r="H106" s="7">
        <f ca="1">IFERROR(__xludf.DUMMYFUNCTION("""COMPUTED_VALUE"""),500000)</f>
        <v>500000</v>
      </c>
    </row>
    <row r="107" spans="1:8" ht="13" x14ac:dyDescent="0.15">
      <c r="A107" s="5" t="str">
        <f ca="1">IFERROR(__xludf.DUMMYFUNCTION("""COMPUTED_VALUE"""),"18649")</f>
        <v>18649</v>
      </c>
      <c r="B107" s="51">
        <f ca="1">IFERROR(__xludf.DUMMYFUNCTION("""COMPUTED_VALUE"""),44608)</f>
        <v>44608</v>
      </c>
      <c r="C107" s="22">
        <f ca="1">IFERROR(__xludf.DUMMYFUNCTION("""COMPUTED_VALUE"""),500000)</f>
        <v>500000</v>
      </c>
      <c r="D107" s="22">
        <f ca="1">IFERROR(__xludf.DUMMYFUNCTION("""COMPUTED_VALUE"""),0)</f>
        <v>0</v>
      </c>
      <c r="E107" s="22">
        <f ca="1">IFERROR(__xludf.DUMMYFUNCTION("""COMPUTED_VALUE"""),500000)</f>
        <v>500000</v>
      </c>
      <c r="F107" s="22">
        <f ca="1">IFERROR(__xludf.DUMMYFUNCTION("""COMPUTED_VALUE"""),500000)</f>
        <v>500000</v>
      </c>
      <c r="G107" s="22">
        <f ca="1">IFERROR(__xludf.DUMMYFUNCTION("""COMPUTED_VALUE"""),0)</f>
        <v>0</v>
      </c>
      <c r="H107" s="7">
        <f ca="1">IFERROR(__xludf.DUMMYFUNCTION("""COMPUTED_VALUE"""),500000)</f>
        <v>500000</v>
      </c>
    </row>
    <row r="108" spans="1:8" ht="13" x14ac:dyDescent="0.15">
      <c r="A108" s="5" t="str">
        <f ca="1">IFERROR(__xludf.DUMMYFUNCTION("""COMPUTED_VALUE"""),"18649")</f>
        <v>18649</v>
      </c>
      <c r="B108" s="51">
        <f ca="1">IFERROR(__xludf.DUMMYFUNCTION("""COMPUTED_VALUE"""),44609)</f>
        <v>44609</v>
      </c>
      <c r="C108" s="22">
        <f ca="1">IFERROR(__xludf.DUMMYFUNCTION("""COMPUTED_VALUE"""),500000)</f>
        <v>500000</v>
      </c>
      <c r="D108" s="22">
        <f ca="1">IFERROR(__xludf.DUMMYFUNCTION("""COMPUTED_VALUE"""),0)</f>
        <v>0</v>
      </c>
      <c r="E108" s="22">
        <f ca="1">IFERROR(__xludf.DUMMYFUNCTION("""COMPUTED_VALUE"""),500000)</f>
        <v>500000</v>
      </c>
      <c r="F108" s="22">
        <f ca="1">IFERROR(__xludf.DUMMYFUNCTION("""COMPUTED_VALUE"""),500000)</f>
        <v>500000</v>
      </c>
      <c r="G108" s="22">
        <f ca="1">IFERROR(__xludf.DUMMYFUNCTION("""COMPUTED_VALUE"""),0)</f>
        <v>0</v>
      </c>
      <c r="H108" s="7">
        <f ca="1">IFERROR(__xludf.DUMMYFUNCTION("""COMPUTED_VALUE"""),500000)</f>
        <v>500000</v>
      </c>
    </row>
    <row r="109" spans="1:8" ht="13" x14ac:dyDescent="0.15">
      <c r="A109" s="5" t="str">
        <f ca="1">IFERROR(__xludf.DUMMYFUNCTION("""COMPUTED_VALUE"""),"18649")</f>
        <v>18649</v>
      </c>
      <c r="B109" s="51">
        <f ca="1">IFERROR(__xludf.DUMMYFUNCTION("""COMPUTED_VALUE"""),44610)</f>
        <v>44610</v>
      </c>
      <c r="C109" s="22">
        <f ca="1">IFERROR(__xludf.DUMMYFUNCTION("""COMPUTED_VALUE"""),500000)</f>
        <v>500000</v>
      </c>
      <c r="D109" s="22">
        <f ca="1">IFERROR(__xludf.DUMMYFUNCTION("""COMPUTED_VALUE"""),0)</f>
        <v>0</v>
      </c>
      <c r="E109" s="22">
        <f ca="1">IFERROR(__xludf.DUMMYFUNCTION("""COMPUTED_VALUE"""),500000)</f>
        <v>500000</v>
      </c>
      <c r="F109" s="22">
        <f ca="1">IFERROR(__xludf.DUMMYFUNCTION("""COMPUTED_VALUE"""),500000)</f>
        <v>500000</v>
      </c>
      <c r="G109" s="22">
        <f ca="1">IFERROR(__xludf.DUMMYFUNCTION("""COMPUTED_VALUE"""),0)</f>
        <v>0</v>
      </c>
      <c r="H109" s="7">
        <f ca="1">IFERROR(__xludf.DUMMYFUNCTION("""COMPUTED_VALUE"""),500000)</f>
        <v>500000</v>
      </c>
    </row>
    <row r="110" spans="1:8" ht="13" x14ac:dyDescent="0.15">
      <c r="A110" s="5" t="str">
        <f ca="1">IFERROR(__xludf.DUMMYFUNCTION("""COMPUTED_VALUE"""),"18649")</f>
        <v>18649</v>
      </c>
      <c r="B110" s="51">
        <f ca="1">IFERROR(__xludf.DUMMYFUNCTION("""COMPUTED_VALUE"""),44611)</f>
        <v>44611</v>
      </c>
      <c r="C110" s="22">
        <f ca="1">IFERROR(__xludf.DUMMYFUNCTION("""COMPUTED_VALUE"""),500000)</f>
        <v>500000</v>
      </c>
      <c r="D110" s="22">
        <f ca="1">IFERROR(__xludf.DUMMYFUNCTION("""COMPUTED_VALUE"""),0)</f>
        <v>0</v>
      </c>
      <c r="E110" s="22">
        <f ca="1">IFERROR(__xludf.DUMMYFUNCTION("""COMPUTED_VALUE"""),500000)</f>
        <v>500000</v>
      </c>
      <c r="F110" s="22">
        <f ca="1">IFERROR(__xludf.DUMMYFUNCTION("""COMPUTED_VALUE"""),500000)</f>
        <v>500000</v>
      </c>
      <c r="G110" s="22">
        <f ca="1">IFERROR(__xludf.DUMMYFUNCTION("""COMPUTED_VALUE"""),0)</f>
        <v>0</v>
      </c>
      <c r="H110" s="7">
        <f ca="1">IFERROR(__xludf.DUMMYFUNCTION("""COMPUTED_VALUE"""),500000)</f>
        <v>500000</v>
      </c>
    </row>
    <row r="111" spans="1:8" ht="13" x14ac:dyDescent="0.15">
      <c r="A111" s="5" t="str">
        <f ca="1">IFERROR(__xludf.DUMMYFUNCTION("""COMPUTED_VALUE"""),"18649")</f>
        <v>18649</v>
      </c>
      <c r="B111" s="51">
        <f ca="1">IFERROR(__xludf.DUMMYFUNCTION("""COMPUTED_VALUE"""),44612)</f>
        <v>44612</v>
      </c>
      <c r="C111" s="22">
        <f ca="1">IFERROR(__xludf.DUMMYFUNCTION("""COMPUTED_VALUE"""),500000)</f>
        <v>500000</v>
      </c>
      <c r="D111" s="22">
        <f ca="1">IFERROR(__xludf.DUMMYFUNCTION("""COMPUTED_VALUE"""),0)</f>
        <v>0</v>
      </c>
      <c r="E111" s="22">
        <f ca="1">IFERROR(__xludf.DUMMYFUNCTION("""COMPUTED_VALUE"""),500000)</f>
        <v>500000</v>
      </c>
      <c r="F111" s="22">
        <f ca="1">IFERROR(__xludf.DUMMYFUNCTION("""COMPUTED_VALUE"""),500000)</f>
        <v>500000</v>
      </c>
      <c r="G111" s="22">
        <f ca="1">IFERROR(__xludf.DUMMYFUNCTION("""COMPUTED_VALUE"""),0)</f>
        <v>0</v>
      </c>
      <c r="H111" s="7">
        <f ca="1">IFERROR(__xludf.DUMMYFUNCTION("""COMPUTED_VALUE"""),500000)</f>
        <v>500000</v>
      </c>
    </row>
    <row r="112" spans="1:8" ht="13" x14ac:dyDescent="0.15">
      <c r="A112" s="5" t="str">
        <f ca="1">IFERROR(__xludf.DUMMYFUNCTION("""COMPUTED_VALUE"""),"18649")</f>
        <v>18649</v>
      </c>
      <c r="B112" s="51">
        <f ca="1">IFERROR(__xludf.DUMMYFUNCTION("""COMPUTED_VALUE"""),44613)</f>
        <v>44613</v>
      </c>
      <c r="C112" s="22">
        <f ca="1">IFERROR(__xludf.DUMMYFUNCTION("""COMPUTED_VALUE"""),500000)</f>
        <v>500000</v>
      </c>
      <c r="D112" s="22">
        <f ca="1">IFERROR(__xludf.DUMMYFUNCTION("""COMPUTED_VALUE"""),0)</f>
        <v>0</v>
      </c>
      <c r="E112" s="22">
        <f ca="1">IFERROR(__xludf.DUMMYFUNCTION("""COMPUTED_VALUE"""),500000)</f>
        <v>500000</v>
      </c>
      <c r="F112" s="22">
        <f ca="1">IFERROR(__xludf.DUMMYFUNCTION("""COMPUTED_VALUE"""),500000)</f>
        <v>500000</v>
      </c>
      <c r="G112" s="22">
        <f ca="1">IFERROR(__xludf.DUMMYFUNCTION("""COMPUTED_VALUE"""),0)</f>
        <v>0</v>
      </c>
      <c r="H112" s="7">
        <f ca="1">IFERROR(__xludf.DUMMYFUNCTION("""COMPUTED_VALUE"""),500000)</f>
        <v>500000</v>
      </c>
    </row>
    <row r="113" spans="1:8" ht="13" x14ac:dyDescent="0.15">
      <c r="A113" s="5" t="str">
        <f ca="1">IFERROR(__xludf.DUMMYFUNCTION("""COMPUTED_VALUE"""),"18649")</f>
        <v>18649</v>
      </c>
      <c r="B113" s="51">
        <f ca="1">IFERROR(__xludf.DUMMYFUNCTION("""COMPUTED_VALUE"""),44614)</f>
        <v>44614</v>
      </c>
      <c r="C113" s="22">
        <f ca="1">IFERROR(__xludf.DUMMYFUNCTION("""COMPUTED_VALUE"""),500000)</f>
        <v>500000</v>
      </c>
      <c r="D113" s="22">
        <f ca="1">IFERROR(__xludf.DUMMYFUNCTION("""COMPUTED_VALUE"""),0)</f>
        <v>0</v>
      </c>
      <c r="E113" s="22">
        <f ca="1">IFERROR(__xludf.DUMMYFUNCTION("""COMPUTED_VALUE"""),500000)</f>
        <v>500000</v>
      </c>
      <c r="F113" s="22">
        <f ca="1">IFERROR(__xludf.DUMMYFUNCTION("""COMPUTED_VALUE"""),500000)</f>
        <v>500000</v>
      </c>
      <c r="G113" s="22">
        <f ca="1">IFERROR(__xludf.DUMMYFUNCTION("""COMPUTED_VALUE"""),0)</f>
        <v>0</v>
      </c>
      <c r="H113" s="7">
        <f ca="1">IFERROR(__xludf.DUMMYFUNCTION("""COMPUTED_VALUE"""),500000)</f>
        <v>500000</v>
      </c>
    </row>
    <row r="114" spans="1:8" ht="13" x14ac:dyDescent="0.15">
      <c r="A114" s="5" t="str">
        <f ca="1">IFERROR(__xludf.DUMMYFUNCTION("""COMPUTED_VALUE"""),"18649")</f>
        <v>18649</v>
      </c>
      <c r="B114" s="51">
        <f ca="1">IFERROR(__xludf.DUMMYFUNCTION("""COMPUTED_VALUE"""),44615)</f>
        <v>44615</v>
      </c>
      <c r="C114" s="22">
        <f ca="1">IFERROR(__xludf.DUMMYFUNCTION("""COMPUTED_VALUE"""),500000)</f>
        <v>500000</v>
      </c>
      <c r="D114" s="22">
        <f ca="1">IFERROR(__xludf.DUMMYFUNCTION("""COMPUTED_VALUE"""),0)</f>
        <v>0</v>
      </c>
      <c r="E114" s="22">
        <f ca="1">IFERROR(__xludf.DUMMYFUNCTION("""COMPUTED_VALUE"""),500000)</f>
        <v>500000</v>
      </c>
      <c r="F114" s="22">
        <f ca="1">IFERROR(__xludf.DUMMYFUNCTION("""COMPUTED_VALUE"""),500000)</f>
        <v>500000</v>
      </c>
      <c r="G114" s="22">
        <f ca="1">IFERROR(__xludf.DUMMYFUNCTION("""COMPUTED_VALUE"""),0)</f>
        <v>0</v>
      </c>
      <c r="H114" s="7">
        <f ca="1">IFERROR(__xludf.DUMMYFUNCTION("""COMPUTED_VALUE"""),500000)</f>
        <v>500000</v>
      </c>
    </row>
    <row r="115" spans="1:8" ht="13" x14ac:dyDescent="0.15">
      <c r="A115" s="5" t="str">
        <f ca="1">IFERROR(__xludf.DUMMYFUNCTION("""COMPUTED_VALUE"""),"18649")</f>
        <v>18649</v>
      </c>
      <c r="B115" s="51">
        <f ca="1">IFERROR(__xludf.DUMMYFUNCTION("""COMPUTED_VALUE"""),44616)</f>
        <v>44616</v>
      </c>
      <c r="C115" s="22">
        <f ca="1">IFERROR(__xludf.DUMMYFUNCTION("""COMPUTED_VALUE"""),500000)</f>
        <v>500000</v>
      </c>
      <c r="D115" s="22">
        <f ca="1">IFERROR(__xludf.DUMMYFUNCTION("""COMPUTED_VALUE"""),0)</f>
        <v>0</v>
      </c>
      <c r="E115" s="22">
        <f ca="1">IFERROR(__xludf.DUMMYFUNCTION("""COMPUTED_VALUE"""),500000)</f>
        <v>500000</v>
      </c>
      <c r="F115" s="22">
        <f ca="1">IFERROR(__xludf.DUMMYFUNCTION("""COMPUTED_VALUE"""),500000)</f>
        <v>500000</v>
      </c>
      <c r="G115" s="22">
        <f ca="1">IFERROR(__xludf.DUMMYFUNCTION("""COMPUTED_VALUE"""),0)</f>
        <v>0</v>
      </c>
      <c r="H115" s="7">
        <f ca="1">IFERROR(__xludf.DUMMYFUNCTION("""COMPUTED_VALUE"""),500000)</f>
        <v>500000</v>
      </c>
    </row>
    <row r="116" spans="1:8" ht="13" x14ac:dyDescent="0.15">
      <c r="A116" s="5" t="str">
        <f ca="1">IFERROR(__xludf.DUMMYFUNCTION("""COMPUTED_VALUE"""),"18649")</f>
        <v>18649</v>
      </c>
      <c r="B116" s="51">
        <f ca="1">IFERROR(__xludf.DUMMYFUNCTION("""COMPUTED_VALUE"""),44617)</f>
        <v>44617</v>
      </c>
      <c r="C116" s="22">
        <f ca="1">IFERROR(__xludf.DUMMYFUNCTION("""COMPUTED_VALUE"""),500000)</f>
        <v>500000</v>
      </c>
      <c r="D116" s="22">
        <f ca="1">IFERROR(__xludf.DUMMYFUNCTION("""COMPUTED_VALUE"""),0)</f>
        <v>0</v>
      </c>
      <c r="E116" s="22">
        <f ca="1">IFERROR(__xludf.DUMMYFUNCTION("""COMPUTED_VALUE"""),500000)</f>
        <v>500000</v>
      </c>
      <c r="F116" s="22">
        <f ca="1">IFERROR(__xludf.DUMMYFUNCTION("""COMPUTED_VALUE"""),500000)</f>
        <v>500000</v>
      </c>
      <c r="G116" s="22">
        <f ca="1">IFERROR(__xludf.DUMMYFUNCTION("""COMPUTED_VALUE"""),0)</f>
        <v>0</v>
      </c>
      <c r="H116" s="7">
        <f ca="1">IFERROR(__xludf.DUMMYFUNCTION("""COMPUTED_VALUE"""),500000)</f>
        <v>500000</v>
      </c>
    </row>
    <row r="117" spans="1:8" ht="13" x14ac:dyDescent="0.15">
      <c r="A117" s="5" t="str">
        <f ca="1">IFERROR(__xludf.DUMMYFUNCTION("""COMPUTED_VALUE"""),"18649")</f>
        <v>18649</v>
      </c>
      <c r="B117" s="51">
        <f ca="1">IFERROR(__xludf.DUMMYFUNCTION("""COMPUTED_VALUE"""),44618)</f>
        <v>44618</v>
      </c>
      <c r="C117" s="22">
        <f ca="1">IFERROR(__xludf.DUMMYFUNCTION("""COMPUTED_VALUE"""),500000)</f>
        <v>500000</v>
      </c>
      <c r="D117" s="22">
        <f ca="1">IFERROR(__xludf.DUMMYFUNCTION("""COMPUTED_VALUE"""),0)</f>
        <v>0</v>
      </c>
      <c r="E117" s="22">
        <f ca="1">IFERROR(__xludf.DUMMYFUNCTION("""COMPUTED_VALUE"""),500000)</f>
        <v>500000</v>
      </c>
      <c r="F117" s="22">
        <f ca="1">IFERROR(__xludf.DUMMYFUNCTION("""COMPUTED_VALUE"""),500000)</f>
        <v>500000</v>
      </c>
      <c r="G117" s="22">
        <f ca="1">IFERROR(__xludf.DUMMYFUNCTION("""COMPUTED_VALUE"""),0)</f>
        <v>0</v>
      </c>
      <c r="H117" s="7">
        <f ca="1">IFERROR(__xludf.DUMMYFUNCTION("""COMPUTED_VALUE"""),500000)</f>
        <v>500000</v>
      </c>
    </row>
    <row r="118" spans="1:8" ht="13" x14ac:dyDescent="0.15">
      <c r="A118" s="5" t="str">
        <f ca="1">IFERROR(__xludf.DUMMYFUNCTION("""COMPUTED_VALUE"""),"18649")</f>
        <v>18649</v>
      </c>
      <c r="B118" s="51">
        <f ca="1">IFERROR(__xludf.DUMMYFUNCTION("""COMPUTED_VALUE"""),44619)</f>
        <v>44619</v>
      </c>
      <c r="C118" s="22">
        <f ca="1">IFERROR(__xludf.DUMMYFUNCTION("""COMPUTED_VALUE"""),500000)</f>
        <v>500000</v>
      </c>
      <c r="D118" s="22">
        <f ca="1">IFERROR(__xludf.DUMMYFUNCTION("""COMPUTED_VALUE"""),0)</f>
        <v>0</v>
      </c>
      <c r="E118" s="22">
        <f ca="1">IFERROR(__xludf.DUMMYFUNCTION("""COMPUTED_VALUE"""),500000)</f>
        <v>500000</v>
      </c>
      <c r="F118" s="22">
        <f ca="1">IFERROR(__xludf.DUMMYFUNCTION("""COMPUTED_VALUE"""),500000)</f>
        <v>500000</v>
      </c>
      <c r="G118" s="22">
        <f ca="1">IFERROR(__xludf.DUMMYFUNCTION("""COMPUTED_VALUE"""),0)</f>
        <v>0</v>
      </c>
      <c r="H118" s="7">
        <f ca="1">IFERROR(__xludf.DUMMYFUNCTION("""COMPUTED_VALUE"""),500000)</f>
        <v>500000</v>
      </c>
    </row>
    <row r="119" spans="1:8" ht="13" x14ac:dyDescent="0.15">
      <c r="A119" s="5" t="str">
        <f ca="1">IFERROR(__xludf.DUMMYFUNCTION("""COMPUTED_VALUE"""),"18649")</f>
        <v>18649</v>
      </c>
      <c r="B119" s="51">
        <f ca="1">IFERROR(__xludf.DUMMYFUNCTION("""COMPUTED_VALUE"""),44620)</f>
        <v>44620</v>
      </c>
      <c r="C119" s="22">
        <f ca="1">IFERROR(__xludf.DUMMYFUNCTION("""COMPUTED_VALUE"""),500000)</f>
        <v>500000</v>
      </c>
      <c r="D119" s="22">
        <f ca="1">IFERROR(__xludf.DUMMYFUNCTION("""COMPUTED_VALUE"""),0)</f>
        <v>0</v>
      </c>
      <c r="E119" s="22">
        <f ca="1">IFERROR(__xludf.DUMMYFUNCTION("""COMPUTED_VALUE"""),500000)</f>
        <v>500000</v>
      </c>
      <c r="F119" s="22">
        <f ca="1">IFERROR(__xludf.DUMMYFUNCTION("""COMPUTED_VALUE"""),500000)</f>
        <v>500000</v>
      </c>
      <c r="G119" s="22">
        <f ca="1">IFERROR(__xludf.DUMMYFUNCTION("""COMPUTED_VALUE"""),0)</f>
        <v>0</v>
      </c>
      <c r="H119" s="7">
        <f ca="1">IFERROR(__xludf.DUMMYFUNCTION("""COMPUTED_VALUE"""),500000)</f>
        <v>500000</v>
      </c>
    </row>
    <row r="120" spans="1:8" ht="13" x14ac:dyDescent="0.15">
      <c r="A120" s="5" t="str">
        <f ca="1">IFERROR(__xludf.DUMMYFUNCTION("""COMPUTED_VALUE"""),"18649")</f>
        <v>18649</v>
      </c>
      <c r="B120" s="51">
        <f ca="1">IFERROR(__xludf.DUMMYFUNCTION("""COMPUTED_VALUE"""),44621)</f>
        <v>44621</v>
      </c>
      <c r="C120" s="22">
        <f ca="1">IFERROR(__xludf.DUMMYFUNCTION("""COMPUTED_VALUE"""),500000)</f>
        <v>500000</v>
      </c>
      <c r="D120" s="22">
        <f ca="1">IFERROR(__xludf.DUMMYFUNCTION("""COMPUTED_VALUE"""),0)</f>
        <v>0</v>
      </c>
      <c r="E120" s="22">
        <f ca="1">IFERROR(__xludf.DUMMYFUNCTION("""COMPUTED_VALUE"""),500000)</f>
        <v>500000</v>
      </c>
      <c r="F120" s="22">
        <f ca="1">IFERROR(__xludf.DUMMYFUNCTION("""COMPUTED_VALUE"""),500000)</f>
        <v>500000</v>
      </c>
      <c r="G120" s="22">
        <f ca="1">IFERROR(__xludf.DUMMYFUNCTION("""COMPUTED_VALUE"""),0)</f>
        <v>0</v>
      </c>
      <c r="H120" s="7">
        <f ca="1">IFERROR(__xludf.DUMMYFUNCTION("""COMPUTED_VALUE"""),500000)</f>
        <v>500000</v>
      </c>
    </row>
    <row r="121" spans="1:8" ht="13" x14ac:dyDescent="0.15">
      <c r="A121" s="5" t="str">
        <f ca="1">IFERROR(__xludf.DUMMYFUNCTION("""COMPUTED_VALUE"""),"18649")</f>
        <v>18649</v>
      </c>
      <c r="B121" s="51">
        <f ca="1">IFERROR(__xludf.DUMMYFUNCTION("""COMPUTED_VALUE"""),44622)</f>
        <v>44622</v>
      </c>
      <c r="C121" s="22">
        <f ca="1">IFERROR(__xludf.DUMMYFUNCTION("""COMPUTED_VALUE"""),500000)</f>
        <v>500000</v>
      </c>
      <c r="D121" s="22">
        <f ca="1">IFERROR(__xludf.DUMMYFUNCTION("""COMPUTED_VALUE"""),0)</f>
        <v>0</v>
      </c>
      <c r="E121" s="22">
        <f ca="1">IFERROR(__xludf.DUMMYFUNCTION("""COMPUTED_VALUE"""),500000)</f>
        <v>500000</v>
      </c>
      <c r="F121" s="22">
        <f ca="1">IFERROR(__xludf.DUMMYFUNCTION("""COMPUTED_VALUE"""),500000)</f>
        <v>500000</v>
      </c>
      <c r="G121" s="22">
        <f ca="1">IFERROR(__xludf.DUMMYFUNCTION("""COMPUTED_VALUE"""),0)</f>
        <v>0</v>
      </c>
      <c r="H121" s="7">
        <f ca="1">IFERROR(__xludf.DUMMYFUNCTION("""COMPUTED_VALUE"""),500000)</f>
        <v>500000</v>
      </c>
    </row>
    <row r="122" spans="1:8" ht="13" x14ac:dyDescent="0.15">
      <c r="A122" s="5" t="str">
        <f ca="1">IFERROR(__xludf.DUMMYFUNCTION("""COMPUTED_VALUE"""),"18649")</f>
        <v>18649</v>
      </c>
      <c r="B122" s="51">
        <f ca="1">IFERROR(__xludf.DUMMYFUNCTION("""COMPUTED_VALUE"""),44623)</f>
        <v>44623</v>
      </c>
      <c r="C122" s="22">
        <f ca="1">IFERROR(__xludf.DUMMYFUNCTION("""COMPUTED_VALUE"""),500000)</f>
        <v>500000</v>
      </c>
      <c r="D122" s="22">
        <f ca="1">IFERROR(__xludf.DUMMYFUNCTION("""COMPUTED_VALUE"""),0)</f>
        <v>0</v>
      </c>
      <c r="E122" s="22">
        <f ca="1">IFERROR(__xludf.DUMMYFUNCTION("""COMPUTED_VALUE"""),500000)</f>
        <v>500000</v>
      </c>
      <c r="F122" s="22">
        <f ca="1">IFERROR(__xludf.DUMMYFUNCTION("""COMPUTED_VALUE"""),500000)</f>
        <v>500000</v>
      </c>
      <c r="G122" s="22">
        <f ca="1">IFERROR(__xludf.DUMMYFUNCTION("""COMPUTED_VALUE"""),0)</f>
        <v>0</v>
      </c>
      <c r="H122" s="7">
        <f ca="1">IFERROR(__xludf.DUMMYFUNCTION("""COMPUTED_VALUE"""),500000)</f>
        <v>500000</v>
      </c>
    </row>
    <row r="123" spans="1:8" ht="13" x14ac:dyDescent="0.15">
      <c r="A123" s="5" t="str">
        <f ca="1">IFERROR(__xludf.DUMMYFUNCTION("""COMPUTED_VALUE"""),"18649")</f>
        <v>18649</v>
      </c>
      <c r="B123" s="51">
        <f ca="1">IFERROR(__xludf.DUMMYFUNCTION("""COMPUTED_VALUE"""),44624)</f>
        <v>44624</v>
      </c>
      <c r="C123" s="22">
        <f ca="1">IFERROR(__xludf.DUMMYFUNCTION("""COMPUTED_VALUE"""),500000)</f>
        <v>500000</v>
      </c>
      <c r="D123" s="22">
        <f ca="1">IFERROR(__xludf.DUMMYFUNCTION("""COMPUTED_VALUE"""),0)</f>
        <v>0</v>
      </c>
      <c r="E123" s="22">
        <f ca="1">IFERROR(__xludf.DUMMYFUNCTION("""COMPUTED_VALUE"""),500000)</f>
        <v>500000</v>
      </c>
      <c r="F123" s="22">
        <f ca="1">IFERROR(__xludf.DUMMYFUNCTION("""COMPUTED_VALUE"""),500000)</f>
        <v>500000</v>
      </c>
      <c r="G123" s="22">
        <f ca="1">IFERROR(__xludf.DUMMYFUNCTION("""COMPUTED_VALUE"""),0)</f>
        <v>0</v>
      </c>
      <c r="H123" s="7">
        <f ca="1">IFERROR(__xludf.DUMMYFUNCTION("""COMPUTED_VALUE"""),500000)</f>
        <v>500000</v>
      </c>
    </row>
    <row r="124" spans="1:8" ht="13" x14ac:dyDescent="0.15">
      <c r="A124" s="5" t="str">
        <f ca="1">IFERROR(__xludf.DUMMYFUNCTION("""COMPUTED_VALUE"""),"18649")</f>
        <v>18649</v>
      </c>
      <c r="B124" s="51">
        <f ca="1">IFERROR(__xludf.DUMMYFUNCTION("""COMPUTED_VALUE"""),44625)</f>
        <v>44625</v>
      </c>
      <c r="C124" s="22">
        <f ca="1">IFERROR(__xludf.DUMMYFUNCTION("""COMPUTED_VALUE"""),500000)</f>
        <v>500000</v>
      </c>
      <c r="D124" s="22">
        <f ca="1">IFERROR(__xludf.DUMMYFUNCTION("""COMPUTED_VALUE"""),0)</f>
        <v>0</v>
      </c>
      <c r="E124" s="22">
        <f ca="1">IFERROR(__xludf.DUMMYFUNCTION("""COMPUTED_VALUE"""),500000)</f>
        <v>500000</v>
      </c>
      <c r="F124" s="22">
        <f ca="1">IFERROR(__xludf.DUMMYFUNCTION("""COMPUTED_VALUE"""),500000)</f>
        <v>500000</v>
      </c>
      <c r="G124" s="22">
        <f ca="1">IFERROR(__xludf.DUMMYFUNCTION("""COMPUTED_VALUE"""),0)</f>
        <v>0</v>
      </c>
      <c r="H124" s="7">
        <f ca="1">IFERROR(__xludf.DUMMYFUNCTION("""COMPUTED_VALUE"""),500000)</f>
        <v>500000</v>
      </c>
    </row>
    <row r="125" spans="1:8" ht="13" x14ac:dyDescent="0.15">
      <c r="A125" s="5" t="str">
        <f ca="1">IFERROR(__xludf.DUMMYFUNCTION("""COMPUTED_VALUE"""),"18649")</f>
        <v>18649</v>
      </c>
      <c r="B125" s="51">
        <f ca="1">IFERROR(__xludf.DUMMYFUNCTION("""COMPUTED_VALUE"""),44626)</f>
        <v>44626</v>
      </c>
      <c r="C125" s="22">
        <f ca="1">IFERROR(__xludf.DUMMYFUNCTION("""COMPUTED_VALUE"""),500000)</f>
        <v>500000</v>
      </c>
      <c r="D125" s="22">
        <f ca="1">IFERROR(__xludf.DUMMYFUNCTION("""COMPUTED_VALUE"""),0)</f>
        <v>0</v>
      </c>
      <c r="E125" s="22">
        <f ca="1">IFERROR(__xludf.DUMMYFUNCTION("""COMPUTED_VALUE"""),500000)</f>
        <v>500000</v>
      </c>
      <c r="F125" s="22">
        <f ca="1">IFERROR(__xludf.DUMMYFUNCTION("""COMPUTED_VALUE"""),500000)</f>
        <v>500000</v>
      </c>
      <c r="G125" s="22">
        <f ca="1">IFERROR(__xludf.DUMMYFUNCTION("""COMPUTED_VALUE"""),0)</f>
        <v>0</v>
      </c>
      <c r="H125" s="7">
        <f ca="1">IFERROR(__xludf.DUMMYFUNCTION("""COMPUTED_VALUE"""),500000)</f>
        <v>500000</v>
      </c>
    </row>
    <row r="126" spans="1:8" ht="13" x14ac:dyDescent="0.15">
      <c r="A126" s="5" t="str">
        <f ca="1">IFERROR(__xludf.DUMMYFUNCTION("""COMPUTED_VALUE"""),"18649")</f>
        <v>18649</v>
      </c>
      <c r="B126" s="51">
        <f ca="1">IFERROR(__xludf.DUMMYFUNCTION("""COMPUTED_VALUE"""),44627)</f>
        <v>44627</v>
      </c>
      <c r="C126" s="22">
        <f ca="1">IFERROR(__xludf.DUMMYFUNCTION("""COMPUTED_VALUE"""),500000)</f>
        <v>500000</v>
      </c>
      <c r="D126" s="22">
        <f ca="1">IFERROR(__xludf.DUMMYFUNCTION("""COMPUTED_VALUE"""),0)</f>
        <v>0</v>
      </c>
      <c r="E126" s="22">
        <f ca="1">IFERROR(__xludf.DUMMYFUNCTION("""COMPUTED_VALUE"""),500000)</f>
        <v>500000</v>
      </c>
      <c r="F126" s="22">
        <f ca="1">IFERROR(__xludf.DUMMYFUNCTION("""COMPUTED_VALUE"""),500000)</f>
        <v>500000</v>
      </c>
      <c r="G126" s="22">
        <f ca="1">IFERROR(__xludf.DUMMYFUNCTION("""COMPUTED_VALUE"""),0)</f>
        <v>0</v>
      </c>
      <c r="H126" s="7">
        <f ca="1">IFERROR(__xludf.DUMMYFUNCTION("""COMPUTED_VALUE"""),500000)</f>
        <v>500000</v>
      </c>
    </row>
    <row r="127" spans="1:8" ht="13" x14ac:dyDescent="0.15">
      <c r="A127" s="5" t="str">
        <f ca="1">IFERROR(__xludf.DUMMYFUNCTION("""COMPUTED_VALUE"""),"18649")</f>
        <v>18649</v>
      </c>
      <c r="B127" s="51">
        <f ca="1">IFERROR(__xludf.DUMMYFUNCTION("""COMPUTED_VALUE"""),44628)</f>
        <v>44628</v>
      </c>
      <c r="C127" s="22">
        <f ca="1">IFERROR(__xludf.DUMMYFUNCTION("""COMPUTED_VALUE"""),500000)</f>
        <v>500000</v>
      </c>
      <c r="D127" s="22">
        <f ca="1">IFERROR(__xludf.DUMMYFUNCTION("""COMPUTED_VALUE"""),0)</f>
        <v>0</v>
      </c>
      <c r="E127" s="22">
        <f ca="1">IFERROR(__xludf.DUMMYFUNCTION("""COMPUTED_VALUE"""),500000)</f>
        <v>500000</v>
      </c>
      <c r="F127" s="22">
        <f ca="1">IFERROR(__xludf.DUMMYFUNCTION("""COMPUTED_VALUE"""),500000)</f>
        <v>500000</v>
      </c>
      <c r="G127" s="22">
        <f ca="1">IFERROR(__xludf.DUMMYFUNCTION("""COMPUTED_VALUE"""),0)</f>
        <v>0</v>
      </c>
      <c r="H127" s="7">
        <f ca="1">IFERROR(__xludf.DUMMYFUNCTION("""COMPUTED_VALUE"""),500000)</f>
        <v>500000</v>
      </c>
    </row>
    <row r="128" spans="1:8" ht="13" x14ac:dyDescent="0.15">
      <c r="A128" s="5" t="str">
        <f ca="1">IFERROR(__xludf.DUMMYFUNCTION("""COMPUTED_VALUE"""),"18649")</f>
        <v>18649</v>
      </c>
      <c r="B128" s="51">
        <f ca="1">IFERROR(__xludf.DUMMYFUNCTION("""COMPUTED_VALUE"""),44629)</f>
        <v>44629</v>
      </c>
      <c r="C128" s="22">
        <f ca="1">IFERROR(__xludf.DUMMYFUNCTION("""COMPUTED_VALUE"""),500000)</f>
        <v>500000</v>
      </c>
      <c r="D128" s="22">
        <f ca="1">IFERROR(__xludf.DUMMYFUNCTION("""COMPUTED_VALUE"""),0)</f>
        <v>0</v>
      </c>
      <c r="E128" s="22">
        <f ca="1">IFERROR(__xludf.DUMMYFUNCTION("""COMPUTED_VALUE"""),500000)</f>
        <v>500000</v>
      </c>
      <c r="F128" s="22">
        <f ca="1">IFERROR(__xludf.DUMMYFUNCTION("""COMPUTED_VALUE"""),500000)</f>
        <v>500000</v>
      </c>
      <c r="G128" s="22">
        <f ca="1">IFERROR(__xludf.DUMMYFUNCTION("""COMPUTED_VALUE"""),0)</f>
        <v>0</v>
      </c>
      <c r="H128" s="7">
        <f ca="1">IFERROR(__xludf.DUMMYFUNCTION("""COMPUTED_VALUE"""),500000)</f>
        <v>500000</v>
      </c>
    </row>
    <row r="129" spans="1:8" ht="13" x14ac:dyDescent="0.15">
      <c r="A129" s="5" t="str">
        <f ca="1">IFERROR(__xludf.DUMMYFUNCTION("""COMPUTED_VALUE"""),"18649")</f>
        <v>18649</v>
      </c>
      <c r="B129" s="51">
        <f ca="1">IFERROR(__xludf.DUMMYFUNCTION("""COMPUTED_VALUE"""),44630)</f>
        <v>44630</v>
      </c>
      <c r="C129" s="22">
        <f ca="1">IFERROR(__xludf.DUMMYFUNCTION("""COMPUTED_VALUE"""),500000)</f>
        <v>500000</v>
      </c>
      <c r="D129" s="22">
        <f ca="1">IFERROR(__xludf.DUMMYFUNCTION("""COMPUTED_VALUE"""),0)</f>
        <v>0</v>
      </c>
      <c r="E129" s="22">
        <f ca="1">IFERROR(__xludf.DUMMYFUNCTION("""COMPUTED_VALUE"""),500000)</f>
        <v>500000</v>
      </c>
      <c r="F129" s="22">
        <f ca="1">IFERROR(__xludf.DUMMYFUNCTION("""COMPUTED_VALUE"""),500000)</f>
        <v>500000</v>
      </c>
      <c r="G129" s="22">
        <f ca="1">IFERROR(__xludf.DUMMYFUNCTION("""COMPUTED_VALUE"""),0)</f>
        <v>0</v>
      </c>
      <c r="H129" s="7">
        <f ca="1">IFERROR(__xludf.DUMMYFUNCTION("""COMPUTED_VALUE"""),500000)</f>
        <v>500000</v>
      </c>
    </row>
    <row r="130" spans="1:8" ht="13" x14ac:dyDescent="0.15">
      <c r="A130" s="5" t="str">
        <f ca="1">IFERROR(__xludf.DUMMYFUNCTION("""COMPUTED_VALUE"""),"18649")</f>
        <v>18649</v>
      </c>
      <c r="B130" s="51">
        <f ca="1">IFERROR(__xludf.DUMMYFUNCTION("""COMPUTED_VALUE"""),44631)</f>
        <v>44631</v>
      </c>
      <c r="C130" s="22">
        <f ca="1">IFERROR(__xludf.DUMMYFUNCTION("""COMPUTED_VALUE"""),500000)</f>
        <v>500000</v>
      </c>
      <c r="D130" s="22">
        <f ca="1">IFERROR(__xludf.DUMMYFUNCTION("""COMPUTED_VALUE"""),0)</f>
        <v>0</v>
      </c>
      <c r="E130" s="22">
        <f ca="1">IFERROR(__xludf.DUMMYFUNCTION("""COMPUTED_VALUE"""),500000)</f>
        <v>500000</v>
      </c>
      <c r="F130" s="22">
        <f ca="1">IFERROR(__xludf.DUMMYFUNCTION("""COMPUTED_VALUE"""),500000)</f>
        <v>500000</v>
      </c>
      <c r="G130" s="22">
        <f ca="1">IFERROR(__xludf.DUMMYFUNCTION("""COMPUTED_VALUE"""),0)</f>
        <v>0</v>
      </c>
      <c r="H130" s="7">
        <f ca="1">IFERROR(__xludf.DUMMYFUNCTION("""COMPUTED_VALUE"""),500000)</f>
        <v>500000</v>
      </c>
    </row>
    <row r="131" spans="1:8" ht="13" x14ac:dyDescent="0.15">
      <c r="A131" s="5" t="str">
        <f ca="1">IFERROR(__xludf.DUMMYFUNCTION("""COMPUTED_VALUE"""),"18649")</f>
        <v>18649</v>
      </c>
      <c r="B131" s="51">
        <f ca="1">IFERROR(__xludf.DUMMYFUNCTION("""COMPUTED_VALUE"""),44632)</f>
        <v>44632</v>
      </c>
      <c r="C131" s="22">
        <f ca="1">IFERROR(__xludf.DUMMYFUNCTION("""COMPUTED_VALUE"""),500000)</f>
        <v>500000</v>
      </c>
      <c r="D131" s="22">
        <f ca="1">IFERROR(__xludf.DUMMYFUNCTION("""COMPUTED_VALUE"""),0)</f>
        <v>0</v>
      </c>
      <c r="E131" s="22">
        <f ca="1">IFERROR(__xludf.DUMMYFUNCTION("""COMPUTED_VALUE"""),500000)</f>
        <v>500000</v>
      </c>
      <c r="F131" s="22">
        <f ca="1">IFERROR(__xludf.DUMMYFUNCTION("""COMPUTED_VALUE"""),500000)</f>
        <v>500000</v>
      </c>
      <c r="G131" s="22">
        <f ca="1">IFERROR(__xludf.DUMMYFUNCTION("""COMPUTED_VALUE"""),0)</f>
        <v>0</v>
      </c>
      <c r="H131" s="7">
        <f ca="1">IFERROR(__xludf.DUMMYFUNCTION("""COMPUTED_VALUE"""),500000)</f>
        <v>500000</v>
      </c>
    </row>
    <row r="132" spans="1:8" ht="13" x14ac:dyDescent="0.15">
      <c r="A132" s="5" t="str">
        <f ca="1">IFERROR(__xludf.DUMMYFUNCTION("""COMPUTED_VALUE"""),"18649")</f>
        <v>18649</v>
      </c>
      <c r="B132" s="51">
        <f ca="1">IFERROR(__xludf.DUMMYFUNCTION("""COMPUTED_VALUE"""),44633)</f>
        <v>44633</v>
      </c>
      <c r="C132" s="22">
        <f ca="1">IFERROR(__xludf.DUMMYFUNCTION("""COMPUTED_VALUE"""),500000)</f>
        <v>500000</v>
      </c>
      <c r="D132" s="22">
        <f ca="1">IFERROR(__xludf.DUMMYFUNCTION("""COMPUTED_VALUE"""),0)</f>
        <v>0</v>
      </c>
      <c r="E132" s="22">
        <f ca="1">IFERROR(__xludf.DUMMYFUNCTION("""COMPUTED_VALUE"""),500000)</f>
        <v>500000</v>
      </c>
      <c r="F132" s="22">
        <f ca="1">IFERROR(__xludf.DUMMYFUNCTION("""COMPUTED_VALUE"""),500000)</f>
        <v>500000</v>
      </c>
      <c r="G132" s="22">
        <f ca="1">IFERROR(__xludf.DUMMYFUNCTION("""COMPUTED_VALUE"""),0)</f>
        <v>0</v>
      </c>
      <c r="H132" s="7">
        <f ca="1">IFERROR(__xludf.DUMMYFUNCTION("""COMPUTED_VALUE"""),500000)</f>
        <v>500000</v>
      </c>
    </row>
    <row r="133" spans="1:8" ht="13" x14ac:dyDescent="0.15">
      <c r="A133" s="5" t="str">
        <f ca="1">IFERROR(__xludf.DUMMYFUNCTION("""COMPUTED_VALUE"""),"18649")</f>
        <v>18649</v>
      </c>
      <c r="B133" s="51">
        <f ca="1">IFERROR(__xludf.DUMMYFUNCTION("""COMPUTED_VALUE"""),44634)</f>
        <v>44634</v>
      </c>
      <c r="C133" s="22">
        <f ca="1">IFERROR(__xludf.DUMMYFUNCTION("""COMPUTED_VALUE"""),500000)</f>
        <v>500000</v>
      </c>
      <c r="D133" s="22">
        <f ca="1">IFERROR(__xludf.DUMMYFUNCTION("""COMPUTED_VALUE"""),0)</f>
        <v>0</v>
      </c>
      <c r="E133" s="22">
        <f ca="1">IFERROR(__xludf.DUMMYFUNCTION("""COMPUTED_VALUE"""),500000)</f>
        <v>500000</v>
      </c>
      <c r="F133" s="22">
        <f ca="1">IFERROR(__xludf.DUMMYFUNCTION("""COMPUTED_VALUE"""),500000)</f>
        <v>500000</v>
      </c>
      <c r="G133" s="22">
        <f ca="1">IFERROR(__xludf.DUMMYFUNCTION("""COMPUTED_VALUE"""),0)</f>
        <v>0</v>
      </c>
      <c r="H133" s="7">
        <f ca="1">IFERROR(__xludf.DUMMYFUNCTION("""COMPUTED_VALUE"""),500000)</f>
        <v>500000</v>
      </c>
    </row>
    <row r="134" spans="1:8" ht="13" x14ac:dyDescent="0.15">
      <c r="A134" s="5" t="str">
        <f ca="1">IFERROR(__xludf.DUMMYFUNCTION("""COMPUTED_VALUE"""),"18649")</f>
        <v>18649</v>
      </c>
      <c r="B134" s="51">
        <f ca="1">IFERROR(__xludf.DUMMYFUNCTION("""COMPUTED_VALUE"""),44635)</f>
        <v>44635</v>
      </c>
      <c r="C134" s="22">
        <f ca="1">IFERROR(__xludf.DUMMYFUNCTION("""COMPUTED_VALUE"""),500000)</f>
        <v>500000</v>
      </c>
      <c r="D134" s="22">
        <f ca="1">IFERROR(__xludf.DUMMYFUNCTION("""COMPUTED_VALUE"""),0)</f>
        <v>0</v>
      </c>
      <c r="E134" s="22">
        <f ca="1">IFERROR(__xludf.DUMMYFUNCTION("""COMPUTED_VALUE"""),500000)</f>
        <v>500000</v>
      </c>
      <c r="F134" s="22">
        <f ca="1">IFERROR(__xludf.DUMMYFUNCTION("""COMPUTED_VALUE"""),500000)</f>
        <v>500000</v>
      </c>
      <c r="G134" s="22">
        <f ca="1">IFERROR(__xludf.DUMMYFUNCTION("""COMPUTED_VALUE"""),0)</f>
        <v>0</v>
      </c>
      <c r="H134" s="7">
        <f ca="1">IFERROR(__xludf.DUMMYFUNCTION("""COMPUTED_VALUE"""),500000)</f>
        <v>500000</v>
      </c>
    </row>
    <row r="135" spans="1:8" ht="13" x14ac:dyDescent="0.15">
      <c r="A135" s="5" t="str">
        <f ca="1">IFERROR(__xludf.DUMMYFUNCTION("""COMPUTED_VALUE"""),"18649")</f>
        <v>18649</v>
      </c>
      <c r="B135" s="51">
        <f ca="1">IFERROR(__xludf.DUMMYFUNCTION("""COMPUTED_VALUE"""),44636)</f>
        <v>44636</v>
      </c>
      <c r="C135" s="22">
        <f ca="1">IFERROR(__xludf.DUMMYFUNCTION("""COMPUTED_VALUE"""),500000)</f>
        <v>500000</v>
      </c>
      <c r="D135" s="22">
        <f ca="1">IFERROR(__xludf.DUMMYFUNCTION("""COMPUTED_VALUE"""),0)</f>
        <v>0</v>
      </c>
      <c r="E135" s="22">
        <f ca="1">IFERROR(__xludf.DUMMYFUNCTION("""COMPUTED_VALUE"""),500000)</f>
        <v>500000</v>
      </c>
      <c r="F135" s="22">
        <f ca="1">IFERROR(__xludf.DUMMYFUNCTION("""COMPUTED_VALUE"""),500000)</f>
        <v>500000</v>
      </c>
      <c r="G135" s="22">
        <f ca="1">IFERROR(__xludf.DUMMYFUNCTION("""COMPUTED_VALUE"""),0)</f>
        <v>0</v>
      </c>
      <c r="H135" s="7">
        <f ca="1">IFERROR(__xludf.DUMMYFUNCTION("""COMPUTED_VALUE"""),500000)</f>
        <v>500000</v>
      </c>
    </row>
    <row r="136" spans="1:8" ht="13" x14ac:dyDescent="0.15">
      <c r="A136" s="5" t="str">
        <f ca="1">IFERROR(__xludf.DUMMYFUNCTION("""COMPUTED_VALUE"""),"18649")</f>
        <v>18649</v>
      </c>
      <c r="B136" s="51">
        <f ca="1">IFERROR(__xludf.DUMMYFUNCTION("""COMPUTED_VALUE"""),44637)</f>
        <v>44637</v>
      </c>
      <c r="C136" s="22">
        <f ca="1">IFERROR(__xludf.DUMMYFUNCTION("""COMPUTED_VALUE"""),500000)</f>
        <v>500000</v>
      </c>
      <c r="D136" s="22">
        <f ca="1">IFERROR(__xludf.DUMMYFUNCTION("""COMPUTED_VALUE"""),0)</f>
        <v>0</v>
      </c>
      <c r="E136" s="22">
        <f ca="1">IFERROR(__xludf.DUMMYFUNCTION("""COMPUTED_VALUE"""),500000)</f>
        <v>500000</v>
      </c>
      <c r="F136" s="22">
        <f ca="1">IFERROR(__xludf.DUMMYFUNCTION("""COMPUTED_VALUE"""),500000)</f>
        <v>500000</v>
      </c>
      <c r="G136" s="22">
        <f ca="1">IFERROR(__xludf.DUMMYFUNCTION("""COMPUTED_VALUE"""),0)</f>
        <v>0</v>
      </c>
      <c r="H136" s="7">
        <f ca="1">IFERROR(__xludf.DUMMYFUNCTION("""COMPUTED_VALUE"""),500000)</f>
        <v>500000</v>
      </c>
    </row>
    <row r="137" spans="1:8" ht="13" x14ac:dyDescent="0.15">
      <c r="A137" s="5" t="str">
        <f ca="1">IFERROR(__xludf.DUMMYFUNCTION("""COMPUTED_VALUE"""),"18649")</f>
        <v>18649</v>
      </c>
      <c r="B137" s="51">
        <f ca="1">IFERROR(__xludf.DUMMYFUNCTION("""COMPUTED_VALUE"""),44638)</f>
        <v>44638</v>
      </c>
      <c r="C137" s="22">
        <f ca="1">IFERROR(__xludf.DUMMYFUNCTION("""COMPUTED_VALUE"""),500000)</f>
        <v>500000</v>
      </c>
      <c r="D137" s="22">
        <f ca="1">IFERROR(__xludf.DUMMYFUNCTION("""COMPUTED_VALUE"""),0)</f>
        <v>0</v>
      </c>
      <c r="E137" s="22">
        <f ca="1">IFERROR(__xludf.DUMMYFUNCTION("""COMPUTED_VALUE"""),500000)</f>
        <v>500000</v>
      </c>
      <c r="F137" s="22">
        <f ca="1">IFERROR(__xludf.DUMMYFUNCTION("""COMPUTED_VALUE"""),500000)</f>
        <v>500000</v>
      </c>
      <c r="G137" s="22">
        <f ca="1">IFERROR(__xludf.DUMMYFUNCTION("""COMPUTED_VALUE"""),0)</f>
        <v>0</v>
      </c>
      <c r="H137" s="7">
        <f ca="1">IFERROR(__xludf.DUMMYFUNCTION("""COMPUTED_VALUE"""),500000)</f>
        <v>500000</v>
      </c>
    </row>
    <row r="138" spans="1:8" ht="13" x14ac:dyDescent="0.15">
      <c r="A138" s="5" t="str">
        <f ca="1">IFERROR(__xludf.DUMMYFUNCTION("""COMPUTED_VALUE"""),"18649")</f>
        <v>18649</v>
      </c>
      <c r="B138" s="51">
        <f ca="1">IFERROR(__xludf.DUMMYFUNCTION("""COMPUTED_VALUE"""),44639)</f>
        <v>44639</v>
      </c>
      <c r="C138" s="22">
        <f ca="1">IFERROR(__xludf.DUMMYFUNCTION("""COMPUTED_VALUE"""),500000)</f>
        <v>500000</v>
      </c>
      <c r="D138" s="22">
        <f ca="1">IFERROR(__xludf.DUMMYFUNCTION("""COMPUTED_VALUE"""),0)</f>
        <v>0</v>
      </c>
      <c r="E138" s="22">
        <f ca="1">IFERROR(__xludf.DUMMYFUNCTION("""COMPUTED_VALUE"""),500000)</f>
        <v>500000</v>
      </c>
      <c r="F138" s="22">
        <f ca="1">IFERROR(__xludf.DUMMYFUNCTION("""COMPUTED_VALUE"""),500000)</f>
        <v>500000</v>
      </c>
      <c r="G138" s="22">
        <f ca="1">IFERROR(__xludf.DUMMYFUNCTION("""COMPUTED_VALUE"""),0)</f>
        <v>0</v>
      </c>
      <c r="H138" s="7">
        <f ca="1">IFERROR(__xludf.DUMMYFUNCTION("""COMPUTED_VALUE"""),500000)</f>
        <v>500000</v>
      </c>
    </row>
    <row r="139" spans="1:8" ht="13" x14ac:dyDescent="0.15">
      <c r="A139" s="5" t="str">
        <f ca="1">IFERROR(__xludf.DUMMYFUNCTION("""COMPUTED_VALUE"""),"18649")</f>
        <v>18649</v>
      </c>
      <c r="B139" s="51">
        <f ca="1">IFERROR(__xludf.DUMMYFUNCTION("""COMPUTED_VALUE"""),44640)</f>
        <v>44640</v>
      </c>
      <c r="C139" s="22">
        <f ca="1">IFERROR(__xludf.DUMMYFUNCTION("""COMPUTED_VALUE"""),500000)</f>
        <v>500000</v>
      </c>
      <c r="D139" s="22">
        <f ca="1">IFERROR(__xludf.DUMMYFUNCTION("""COMPUTED_VALUE"""),0)</f>
        <v>0</v>
      </c>
      <c r="E139" s="22">
        <f ca="1">IFERROR(__xludf.DUMMYFUNCTION("""COMPUTED_VALUE"""),500000)</f>
        <v>500000</v>
      </c>
      <c r="F139" s="22">
        <f ca="1">IFERROR(__xludf.DUMMYFUNCTION("""COMPUTED_VALUE"""),500000)</f>
        <v>500000</v>
      </c>
      <c r="G139" s="22">
        <f ca="1">IFERROR(__xludf.DUMMYFUNCTION("""COMPUTED_VALUE"""),0)</f>
        <v>0</v>
      </c>
      <c r="H139" s="7">
        <f ca="1">IFERROR(__xludf.DUMMYFUNCTION("""COMPUTED_VALUE"""),500000)</f>
        <v>500000</v>
      </c>
    </row>
    <row r="140" spans="1:8" ht="13" x14ac:dyDescent="0.15">
      <c r="A140" s="5" t="str">
        <f ca="1">IFERROR(__xludf.DUMMYFUNCTION("""COMPUTED_VALUE"""),"18649")</f>
        <v>18649</v>
      </c>
      <c r="B140" s="51">
        <f ca="1">IFERROR(__xludf.DUMMYFUNCTION("""COMPUTED_VALUE"""),44641)</f>
        <v>44641</v>
      </c>
      <c r="C140" s="22">
        <f ca="1">IFERROR(__xludf.DUMMYFUNCTION("""COMPUTED_VALUE"""),500000)</f>
        <v>500000</v>
      </c>
      <c r="D140" s="22">
        <f ca="1">IFERROR(__xludf.DUMMYFUNCTION("""COMPUTED_VALUE"""),0)</f>
        <v>0</v>
      </c>
      <c r="E140" s="22">
        <f ca="1">IFERROR(__xludf.DUMMYFUNCTION("""COMPUTED_VALUE"""),500000)</f>
        <v>500000</v>
      </c>
      <c r="F140" s="22">
        <f ca="1">IFERROR(__xludf.DUMMYFUNCTION("""COMPUTED_VALUE"""),500000)</f>
        <v>500000</v>
      </c>
      <c r="G140" s="22">
        <f ca="1">IFERROR(__xludf.DUMMYFUNCTION("""COMPUTED_VALUE"""),0)</f>
        <v>0</v>
      </c>
      <c r="H140" s="7">
        <f ca="1">IFERROR(__xludf.DUMMYFUNCTION("""COMPUTED_VALUE"""),500000)</f>
        <v>500000</v>
      </c>
    </row>
    <row r="141" spans="1:8" ht="13" x14ac:dyDescent="0.15">
      <c r="A141" s="5" t="str">
        <f ca="1">IFERROR(__xludf.DUMMYFUNCTION("""COMPUTED_VALUE"""),"18649")</f>
        <v>18649</v>
      </c>
      <c r="B141" s="51">
        <f ca="1">IFERROR(__xludf.DUMMYFUNCTION("""COMPUTED_VALUE"""),44642)</f>
        <v>44642</v>
      </c>
      <c r="C141" s="22">
        <f ca="1">IFERROR(__xludf.DUMMYFUNCTION("""COMPUTED_VALUE"""),500000)</f>
        <v>500000</v>
      </c>
      <c r="D141" s="22">
        <f ca="1">IFERROR(__xludf.DUMMYFUNCTION("""COMPUTED_VALUE"""),0)</f>
        <v>0</v>
      </c>
      <c r="E141" s="22">
        <f ca="1">IFERROR(__xludf.DUMMYFUNCTION("""COMPUTED_VALUE"""),500000)</f>
        <v>500000</v>
      </c>
      <c r="F141" s="22">
        <f ca="1">IFERROR(__xludf.DUMMYFUNCTION("""COMPUTED_VALUE"""),500000)</f>
        <v>500000</v>
      </c>
      <c r="G141" s="22">
        <f ca="1">IFERROR(__xludf.DUMMYFUNCTION("""COMPUTED_VALUE"""),0)</f>
        <v>0</v>
      </c>
      <c r="H141" s="7">
        <f ca="1">IFERROR(__xludf.DUMMYFUNCTION("""COMPUTED_VALUE"""),500000)</f>
        <v>500000</v>
      </c>
    </row>
    <row r="142" spans="1:8" ht="13" x14ac:dyDescent="0.15">
      <c r="A142" s="5" t="str">
        <f ca="1">IFERROR(__xludf.DUMMYFUNCTION("""COMPUTED_VALUE"""),"18874")</f>
        <v>18874</v>
      </c>
      <c r="B142" s="51">
        <f ca="1">IFERROR(__xludf.DUMMYFUNCTION("""COMPUTED_VALUE"""),44597)</f>
        <v>44597</v>
      </c>
      <c r="C142" s="22">
        <f ca="1">IFERROR(__xludf.DUMMYFUNCTION("""COMPUTED_VALUE"""),500000)</f>
        <v>500000</v>
      </c>
      <c r="D142" s="22">
        <f ca="1">IFERROR(__xludf.DUMMYFUNCTION("""COMPUTED_VALUE"""),0)</f>
        <v>0</v>
      </c>
      <c r="E142" s="22">
        <f ca="1">IFERROR(__xludf.DUMMYFUNCTION("""COMPUTED_VALUE"""),500000)</f>
        <v>500000</v>
      </c>
      <c r="F142" s="22">
        <f ca="1">IFERROR(__xludf.DUMMYFUNCTION("""COMPUTED_VALUE"""),500000)</f>
        <v>500000</v>
      </c>
      <c r="G142" s="22">
        <f ca="1">IFERROR(__xludf.DUMMYFUNCTION("""COMPUTED_VALUE"""),0)</f>
        <v>0</v>
      </c>
      <c r="H142" s="7">
        <f ca="1">IFERROR(__xludf.DUMMYFUNCTION("""COMPUTED_VALUE"""),500000)</f>
        <v>500000</v>
      </c>
    </row>
    <row r="143" spans="1:8" ht="13" x14ac:dyDescent="0.15">
      <c r="A143" s="5" t="str">
        <f ca="1">IFERROR(__xludf.DUMMYFUNCTION("""COMPUTED_VALUE"""),"18874")</f>
        <v>18874</v>
      </c>
      <c r="B143" s="51">
        <f ca="1">IFERROR(__xludf.DUMMYFUNCTION("""COMPUTED_VALUE"""),44598)</f>
        <v>44598</v>
      </c>
      <c r="C143" s="22">
        <f ca="1">IFERROR(__xludf.DUMMYFUNCTION("""COMPUTED_VALUE"""),500000)</f>
        <v>500000</v>
      </c>
      <c r="D143" s="22">
        <f ca="1">IFERROR(__xludf.DUMMYFUNCTION("""COMPUTED_VALUE"""),0)</f>
        <v>0</v>
      </c>
      <c r="E143" s="22">
        <f ca="1">IFERROR(__xludf.DUMMYFUNCTION("""COMPUTED_VALUE"""),500000)</f>
        <v>500000</v>
      </c>
      <c r="F143" s="22">
        <f ca="1">IFERROR(__xludf.DUMMYFUNCTION("""COMPUTED_VALUE"""),500000)</f>
        <v>500000</v>
      </c>
      <c r="G143" s="22">
        <f ca="1">IFERROR(__xludf.DUMMYFUNCTION("""COMPUTED_VALUE"""),0)</f>
        <v>0</v>
      </c>
      <c r="H143" s="7">
        <f ca="1">IFERROR(__xludf.DUMMYFUNCTION("""COMPUTED_VALUE"""),500000)</f>
        <v>500000</v>
      </c>
    </row>
    <row r="144" spans="1:8" ht="13" x14ac:dyDescent="0.15">
      <c r="A144" s="5" t="str">
        <f ca="1">IFERROR(__xludf.DUMMYFUNCTION("""COMPUTED_VALUE"""),"18874")</f>
        <v>18874</v>
      </c>
      <c r="B144" s="51">
        <f ca="1">IFERROR(__xludf.DUMMYFUNCTION("""COMPUTED_VALUE"""),44599)</f>
        <v>44599</v>
      </c>
      <c r="C144" s="22">
        <f ca="1">IFERROR(__xludf.DUMMYFUNCTION("""COMPUTED_VALUE"""),500000)</f>
        <v>500000</v>
      </c>
      <c r="D144" s="22">
        <f ca="1">IFERROR(__xludf.DUMMYFUNCTION("""COMPUTED_VALUE"""),0)</f>
        <v>0</v>
      </c>
      <c r="E144" s="22">
        <f ca="1">IFERROR(__xludf.DUMMYFUNCTION("""COMPUTED_VALUE"""),500000)</f>
        <v>500000</v>
      </c>
      <c r="F144" s="22">
        <f ca="1">IFERROR(__xludf.DUMMYFUNCTION("""COMPUTED_VALUE"""),500000)</f>
        <v>500000</v>
      </c>
      <c r="G144" s="22">
        <f ca="1">IFERROR(__xludf.DUMMYFUNCTION("""COMPUTED_VALUE"""),0)</f>
        <v>0</v>
      </c>
      <c r="H144" s="7">
        <f ca="1">IFERROR(__xludf.DUMMYFUNCTION("""COMPUTED_VALUE"""),500000)</f>
        <v>500000</v>
      </c>
    </row>
    <row r="145" spans="1:8" ht="13" x14ac:dyDescent="0.15">
      <c r="A145" s="5" t="str">
        <f ca="1">IFERROR(__xludf.DUMMYFUNCTION("""COMPUTED_VALUE"""),"18874")</f>
        <v>18874</v>
      </c>
      <c r="B145" s="51">
        <f ca="1">IFERROR(__xludf.DUMMYFUNCTION("""COMPUTED_VALUE"""),44600)</f>
        <v>44600</v>
      </c>
      <c r="C145" s="22">
        <f ca="1">IFERROR(__xludf.DUMMYFUNCTION("""COMPUTED_VALUE"""),500000)</f>
        <v>500000</v>
      </c>
      <c r="D145" s="22">
        <f ca="1">IFERROR(__xludf.DUMMYFUNCTION("""COMPUTED_VALUE"""),0)</f>
        <v>0</v>
      </c>
      <c r="E145" s="22">
        <f ca="1">IFERROR(__xludf.DUMMYFUNCTION("""COMPUTED_VALUE"""),500000)</f>
        <v>500000</v>
      </c>
      <c r="F145" s="22">
        <f ca="1">IFERROR(__xludf.DUMMYFUNCTION("""COMPUTED_VALUE"""),500000)</f>
        <v>500000</v>
      </c>
      <c r="G145" s="22">
        <f ca="1">IFERROR(__xludf.DUMMYFUNCTION("""COMPUTED_VALUE"""),0)</f>
        <v>0</v>
      </c>
      <c r="H145" s="7">
        <f ca="1">IFERROR(__xludf.DUMMYFUNCTION("""COMPUTED_VALUE"""),500000)</f>
        <v>500000</v>
      </c>
    </row>
    <row r="146" spans="1:8" ht="13" x14ac:dyDescent="0.15">
      <c r="A146" s="5" t="str">
        <f ca="1">IFERROR(__xludf.DUMMYFUNCTION("""COMPUTED_VALUE"""),"18874")</f>
        <v>18874</v>
      </c>
      <c r="B146" s="51">
        <f ca="1">IFERROR(__xludf.DUMMYFUNCTION("""COMPUTED_VALUE"""),44601)</f>
        <v>44601</v>
      </c>
      <c r="C146" s="22">
        <f ca="1">IFERROR(__xludf.DUMMYFUNCTION("""COMPUTED_VALUE"""),500000)</f>
        <v>500000</v>
      </c>
      <c r="D146" s="22">
        <f ca="1">IFERROR(__xludf.DUMMYFUNCTION("""COMPUTED_VALUE"""),0)</f>
        <v>0</v>
      </c>
      <c r="E146" s="22">
        <f ca="1">IFERROR(__xludf.DUMMYFUNCTION("""COMPUTED_VALUE"""),500000)</f>
        <v>500000</v>
      </c>
      <c r="F146" s="22">
        <f ca="1">IFERROR(__xludf.DUMMYFUNCTION("""COMPUTED_VALUE"""),500000)</f>
        <v>500000</v>
      </c>
      <c r="G146" s="22">
        <f ca="1">IFERROR(__xludf.DUMMYFUNCTION("""COMPUTED_VALUE"""),0)</f>
        <v>0</v>
      </c>
      <c r="H146" s="7">
        <f ca="1">IFERROR(__xludf.DUMMYFUNCTION("""COMPUTED_VALUE"""),500000)</f>
        <v>500000</v>
      </c>
    </row>
    <row r="147" spans="1:8" ht="13" x14ac:dyDescent="0.15">
      <c r="A147" s="5" t="str">
        <f ca="1">IFERROR(__xludf.DUMMYFUNCTION("""COMPUTED_VALUE"""),"18874")</f>
        <v>18874</v>
      </c>
      <c r="B147" s="51">
        <f ca="1">IFERROR(__xludf.DUMMYFUNCTION("""COMPUTED_VALUE"""),44602)</f>
        <v>44602</v>
      </c>
      <c r="C147" s="22">
        <f ca="1">IFERROR(__xludf.DUMMYFUNCTION("""COMPUTED_VALUE"""),500000)</f>
        <v>500000</v>
      </c>
      <c r="D147" s="22">
        <f ca="1">IFERROR(__xludf.DUMMYFUNCTION("""COMPUTED_VALUE"""),0)</f>
        <v>0</v>
      </c>
      <c r="E147" s="22">
        <f ca="1">IFERROR(__xludf.DUMMYFUNCTION("""COMPUTED_VALUE"""),500000)</f>
        <v>500000</v>
      </c>
      <c r="F147" s="22">
        <f ca="1">IFERROR(__xludf.DUMMYFUNCTION("""COMPUTED_VALUE"""),500000)</f>
        <v>500000</v>
      </c>
      <c r="G147" s="22">
        <f ca="1">IFERROR(__xludf.DUMMYFUNCTION("""COMPUTED_VALUE"""),0)</f>
        <v>0</v>
      </c>
      <c r="H147" s="7">
        <f ca="1">IFERROR(__xludf.DUMMYFUNCTION("""COMPUTED_VALUE"""),500000)</f>
        <v>500000</v>
      </c>
    </row>
    <row r="148" spans="1:8" ht="13" x14ac:dyDescent="0.15">
      <c r="A148" s="5" t="str">
        <f ca="1">IFERROR(__xludf.DUMMYFUNCTION("""COMPUTED_VALUE"""),"18874")</f>
        <v>18874</v>
      </c>
      <c r="B148" s="51">
        <f ca="1">IFERROR(__xludf.DUMMYFUNCTION("""COMPUTED_VALUE"""),44603)</f>
        <v>44603</v>
      </c>
      <c r="C148" s="22">
        <f ca="1">IFERROR(__xludf.DUMMYFUNCTION("""COMPUTED_VALUE"""),500000)</f>
        <v>500000</v>
      </c>
      <c r="D148" s="22">
        <f ca="1">IFERROR(__xludf.DUMMYFUNCTION("""COMPUTED_VALUE"""),0)</f>
        <v>0</v>
      </c>
      <c r="E148" s="22">
        <f ca="1">IFERROR(__xludf.DUMMYFUNCTION("""COMPUTED_VALUE"""),500000)</f>
        <v>500000</v>
      </c>
      <c r="F148" s="22">
        <f ca="1">IFERROR(__xludf.DUMMYFUNCTION("""COMPUTED_VALUE"""),500000)</f>
        <v>500000</v>
      </c>
      <c r="G148" s="22">
        <f ca="1">IFERROR(__xludf.DUMMYFUNCTION("""COMPUTED_VALUE"""),0)</f>
        <v>0</v>
      </c>
      <c r="H148" s="7">
        <f ca="1">IFERROR(__xludf.DUMMYFUNCTION("""COMPUTED_VALUE"""),500000)</f>
        <v>500000</v>
      </c>
    </row>
    <row r="149" spans="1:8" ht="13" x14ac:dyDescent="0.15">
      <c r="A149" s="5" t="str">
        <f ca="1">IFERROR(__xludf.DUMMYFUNCTION("""COMPUTED_VALUE"""),"18874")</f>
        <v>18874</v>
      </c>
      <c r="B149" s="51">
        <f ca="1">IFERROR(__xludf.DUMMYFUNCTION("""COMPUTED_VALUE"""),44604)</f>
        <v>44604</v>
      </c>
      <c r="C149" s="22">
        <f ca="1">IFERROR(__xludf.DUMMYFUNCTION("""COMPUTED_VALUE"""),500000)</f>
        <v>500000</v>
      </c>
      <c r="D149" s="22">
        <f ca="1">IFERROR(__xludf.DUMMYFUNCTION("""COMPUTED_VALUE"""),0)</f>
        <v>0</v>
      </c>
      <c r="E149" s="22">
        <f ca="1">IFERROR(__xludf.DUMMYFUNCTION("""COMPUTED_VALUE"""),500000)</f>
        <v>500000</v>
      </c>
      <c r="F149" s="22">
        <f ca="1">IFERROR(__xludf.DUMMYFUNCTION("""COMPUTED_VALUE"""),500000)</f>
        <v>500000</v>
      </c>
      <c r="G149" s="22">
        <f ca="1">IFERROR(__xludf.DUMMYFUNCTION("""COMPUTED_VALUE"""),0)</f>
        <v>0</v>
      </c>
      <c r="H149" s="7">
        <f ca="1">IFERROR(__xludf.DUMMYFUNCTION("""COMPUTED_VALUE"""),500000)</f>
        <v>500000</v>
      </c>
    </row>
    <row r="150" spans="1:8" ht="13" x14ac:dyDescent="0.15">
      <c r="A150" s="5" t="str">
        <f ca="1">IFERROR(__xludf.DUMMYFUNCTION("""COMPUTED_VALUE"""),"18874")</f>
        <v>18874</v>
      </c>
      <c r="B150" s="51">
        <f ca="1">IFERROR(__xludf.DUMMYFUNCTION("""COMPUTED_VALUE"""),44605)</f>
        <v>44605</v>
      </c>
      <c r="C150" s="22">
        <f ca="1">IFERROR(__xludf.DUMMYFUNCTION("""COMPUTED_VALUE"""),500000)</f>
        <v>500000</v>
      </c>
      <c r="D150" s="22">
        <f ca="1">IFERROR(__xludf.DUMMYFUNCTION("""COMPUTED_VALUE"""),0)</f>
        <v>0</v>
      </c>
      <c r="E150" s="22">
        <f ca="1">IFERROR(__xludf.DUMMYFUNCTION("""COMPUTED_VALUE"""),500000)</f>
        <v>500000</v>
      </c>
      <c r="F150" s="22">
        <f ca="1">IFERROR(__xludf.DUMMYFUNCTION("""COMPUTED_VALUE"""),500000)</f>
        <v>500000</v>
      </c>
      <c r="G150" s="22">
        <f ca="1">IFERROR(__xludf.DUMMYFUNCTION("""COMPUTED_VALUE"""),0)</f>
        <v>0</v>
      </c>
      <c r="H150" s="7">
        <f ca="1">IFERROR(__xludf.DUMMYFUNCTION("""COMPUTED_VALUE"""),500000)</f>
        <v>500000</v>
      </c>
    </row>
    <row r="151" spans="1:8" ht="13" x14ac:dyDescent="0.15">
      <c r="A151" s="5" t="str">
        <f ca="1">IFERROR(__xludf.DUMMYFUNCTION("""COMPUTED_VALUE"""),"18874")</f>
        <v>18874</v>
      </c>
      <c r="B151" s="51">
        <f ca="1">IFERROR(__xludf.DUMMYFUNCTION("""COMPUTED_VALUE"""),44606)</f>
        <v>44606</v>
      </c>
      <c r="C151" s="22">
        <f ca="1">IFERROR(__xludf.DUMMYFUNCTION("""COMPUTED_VALUE"""),500000)</f>
        <v>500000</v>
      </c>
      <c r="D151" s="22">
        <f ca="1">IFERROR(__xludf.DUMMYFUNCTION("""COMPUTED_VALUE"""),0)</f>
        <v>0</v>
      </c>
      <c r="E151" s="22">
        <f ca="1">IFERROR(__xludf.DUMMYFUNCTION("""COMPUTED_VALUE"""),500000)</f>
        <v>500000</v>
      </c>
      <c r="F151" s="22">
        <f ca="1">IFERROR(__xludf.DUMMYFUNCTION("""COMPUTED_VALUE"""),500000)</f>
        <v>500000</v>
      </c>
      <c r="G151" s="22">
        <f ca="1">IFERROR(__xludf.DUMMYFUNCTION("""COMPUTED_VALUE"""),0)</f>
        <v>0</v>
      </c>
      <c r="H151" s="7">
        <f ca="1">IFERROR(__xludf.DUMMYFUNCTION("""COMPUTED_VALUE"""),500000)</f>
        <v>500000</v>
      </c>
    </row>
    <row r="152" spans="1:8" ht="13" x14ac:dyDescent="0.15">
      <c r="A152" s="5" t="str">
        <f ca="1">IFERROR(__xludf.DUMMYFUNCTION("""COMPUTED_VALUE"""),"18874")</f>
        <v>18874</v>
      </c>
      <c r="B152" s="51">
        <f ca="1">IFERROR(__xludf.DUMMYFUNCTION("""COMPUTED_VALUE"""),44607)</f>
        <v>44607</v>
      </c>
      <c r="C152" s="22">
        <f ca="1">IFERROR(__xludf.DUMMYFUNCTION("""COMPUTED_VALUE"""),500000)</f>
        <v>500000</v>
      </c>
      <c r="D152" s="22">
        <f ca="1">IFERROR(__xludf.DUMMYFUNCTION("""COMPUTED_VALUE"""),0)</f>
        <v>0</v>
      </c>
      <c r="E152" s="22">
        <f ca="1">IFERROR(__xludf.DUMMYFUNCTION("""COMPUTED_VALUE"""),500000)</f>
        <v>500000</v>
      </c>
      <c r="F152" s="22">
        <f ca="1">IFERROR(__xludf.DUMMYFUNCTION("""COMPUTED_VALUE"""),500000)</f>
        <v>500000</v>
      </c>
      <c r="G152" s="22">
        <f ca="1">IFERROR(__xludf.DUMMYFUNCTION("""COMPUTED_VALUE"""),0)</f>
        <v>0</v>
      </c>
      <c r="H152" s="7">
        <f ca="1">IFERROR(__xludf.DUMMYFUNCTION("""COMPUTED_VALUE"""),500000)</f>
        <v>500000</v>
      </c>
    </row>
    <row r="153" spans="1:8" ht="13" x14ac:dyDescent="0.15">
      <c r="A153" s="5" t="str">
        <f ca="1">IFERROR(__xludf.DUMMYFUNCTION("""COMPUTED_VALUE"""),"18874")</f>
        <v>18874</v>
      </c>
      <c r="B153" s="51">
        <f ca="1">IFERROR(__xludf.DUMMYFUNCTION("""COMPUTED_VALUE"""),44608)</f>
        <v>44608</v>
      </c>
      <c r="C153" s="22">
        <f ca="1">IFERROR(__xludf.DUMMYFUNCTION("""COMPUTED_VALUE"""),500000)</f>
        <v>500000</v>
      </c>
      <c r="D153" s="22">
        <f ca="1">IFERROR(__xludf.DUMMYFUNCTION("""COMPUTED_VALUE"""),0)</f>
        <v>0</v>
      </c>
      <c r="E153" s="22">
        <f ca="1">IFERROR(__xludf.DUMMYFUNCTION("""COMPUTED_VALUE"""),500000)</f>
        <v>500000</v>
      </c>
      <c r="F153" s="22">
        <f ca="1">IFERROR(__xludf.DUMMYFUNCTION("""COMPUTED_VALUE"""),500000)</f>
        <v>500000</v>
      </c>
      <c r="G153" s="22">
        <f ca="1">IFERROR(__xludf.DUMMYFUNCTION("""COMPUTED_VALUE"""),0)</f>
        <v>0</v>
      </c>
      <c r="H153" s="7">
        <f ca="1">IFERROR(__xludf.DUMMYFUNCTION("""COMPUTED_VALUE"""),500000)</f>
        <v>500000</v>
      </c>
    </row>
    <row r="154" spans="1:8" ht="13" x14ac:dyDescent="0.15">
      <c r="A154" s="5" t="str">
        <f ca="1">IFERROR(__xludf.DUMMYFUNCTION("""COMPUTED_VALUE"""),"18874")</f>
        <v>18874</v>
      </c>
      <c r="B154" s="51">
        <f ca="1">IFERROR(__xludf.DUMMYFUNCTION("""COMPUTED_VALUE"""),44609)</f>
        <v>44609</v>
      </c>
      <c r="C154" s="22">
        <f ca="1">IFERROR(__xludf.DUMMYFUNCTION("""COMPUTED_VALUE"""),500000)</f>
        <v>500000</v>
      </c>
      <c r="D154" s="22">
        <f ca="1">IFERROR(__xludf.DUMMYFUNCTION("""COMPUTED_VALUE"""),0)</f>
        <v>0</v>
      </c>
      <c r="E154" s="22">
        <f ca="1">IFERROR(__xludf.DUMMYFUNCTION("""COMPUTED_VALUE"""),500000)</f>
        <v>500000</v>
      </c>
      <c r="F154" s="22">
        <f ca="1">IFERROR(__xludf.DUMMYFUNCTION("""COMPUTED_VALUE"""),500000)</f>
        <v>500000</v>
      </c>
      <c r="G154" s="22">
        <f ca="1">IFERROR(__xludf.DUMMYFUNCTION("""COMPUTED_VALUE"""),0)</f>
        <v>0</v>
      </c>
      <c r="H154" s="7">
        <f ca="1">IFERROR(__xludf.DUMMYFUNCTION("""COMPUTED_VALUE"""),500000)</f>
        <v>500000</v>
      </c>
    </row>
    <row r="155" spans="1:8" ht="13" x14ac:dyDescent="0.15">
      <c r="A155" s="5" t="str">
        <f ca="1">IFERROR(__xludf.DUMMYFUNCTION("""COMPUTED_VALUE"""),"18874")</f>
        <v>18874</v>
      </c>
      <c r="B155" s="51">
        <f ca="1">IFERROR(__xludf.DUMMYFUNCTION("""COMPUTED_VALUE"""),44610)</f>
        <v>44610</v>
      </c>
      <c r="C155" s="22">
        <f ca="1">IFERROR(__xludf.DUMMYFUNCTION("""COMPUTED_VALUE"""),500000)</f>
        <v>500000</v>
      </c>
      <c r="D155" s="22">
        <f ca="1">IFERROR(__xludf.DUMMYFUNCTION("""COMPUTED_VALUE"""),0)</f>
        <v>0</v>
      </c>
      <c r="E155" s="22">
        <f ca="1">IFERROR(__xludf.DUMMYFUNCTION("""COMPUTED_VALUE"""),500000)</f>
        <v>500000</v>
      </c>
      <c r="F155" s="22">
        <f ca="1">IFERROR(__xludf.DUMMYFUNCTION("""COMPUTED_VALUE"""),500000)</f>
        <v>500000</v>
      </c>
      <c r="G155" s="22">
        <f ca="1">IFERROR(__xludf.DUMMYFUNCTION("""COMPUTED_VALUE"""),0)</f>
        <v>0</v>
      </c>
      <c r="H155" s="7">
        <f ca="1">IFERROR(__xludf.DUMMYFUNCTION("""COMPUTED_VALUE"""),500000)</f>
        <v>500000</v>
      </c>
    </row>
    <row r="156" spans="1:8" ht="13" x14ac:dyDescent="0.15">
      <c r="A156" s="5" t="str">
        <f ca="1">IFERROR(__xludf.DUMMYFUNCTION("""COMPUTED_VALUE"""),"18874")</f>
        <v>18874</v>
      </c>
      <c r="B156" s="51">
        <f ca="1">IFERROR(__xludf.DUMMYFUNCTION("""COMPUTED_VALUE"""),44611)</f>
        <v>44611</v>
      </c>
      <c r="C156" s="22">
        <f ca="1">IFERROR(__xludf.DUMMYFUNCTION("""COMPUTED_VALUE"""),500000)</f>
        <v>500000</v>
      </c>
      <c r="D156" s="22">
        <f ca="1">IFERROR(__xludf.DUMMYFUNCTION("""COMPUTED_VALUE"""),0)</f>
        <v>0</v>
      </c>
      <c r="E156" s="22">
        <f ca="1">IFERROR(__xludf.DUMMYFUNCTION("""COMPUTED_VALUE"""),500000)</f>
        <v>500000</v>
      </c>
      <c r="F156" s="22">
        <f ca="1">IFERROR(__xludf.DUMMYFUNCTION("""COMPUTED_VALUE"""),500000)</f>
        <v>500000</v>
      </c>
      <c r="G156" s="22">
        <f ca="1">IFERROR(__xludf.DUMMYFUNCTION("""COMPUTED_VALUE"""),0)</f>
        <v>0</v>
      </c>
      <c r="H156" s="7">
        <f ca="1">IFERROR(__xludf.DUMMYFUNCTION("""COMPUTED_VALUE"""),500000)</f>
        <v>500000</v>
      </c>
    </row>
    <row r="157" spans="1:8" ht="13" x14ac:dyDescent="0.15">
      <c r="A157" s="5" t="str">
        <f ca="1">IFERROR(__xludf.DUMMYFUNCTION("""COMPUTED_VALUE"""),"18874")</f>
        <v>18874</v>
      </c>
      <c r="B157" s="51">
        <f ca="1">IFERROR(__xludf.DUMMYFUNCTION("""COMPUTED_VALUE"""),44612)</f>
        <v>44612</v>
      </c>
      <c r="C157" s="22">
        <f ca="1">IFERROR(__xludf.DUMMYFUNCTION("""COMPUTED_VALUE"""),500000)</f>
        <v>500000</v>
      </c>
      <c r="D157" s="22">
        <f ca="1">IFERROR(__xludf.DUMMYFUNCTION("""COMPUTED_VALUE"""),0)</f>
        <v>0</v>
      </c>
      <c r="E157" s="22">
        <f ca="1">IFERROR(__xludf.DUMMYFUNCTION("""COMPUTED_VALUE"""),500000)</f>
        <v>500000</v>
      </c>
      <c r="F157" s="22">
        <f ca="1">IFERROR(__xludf.DUMMYFUNCTION("""COMPUTED_VALUE"""),500000)</f>
        <v>500000</v>
      </c>
      <c r="G157" s="22">
        <f ca="1">IFERROR(__xludf.DUMMYFUNCTION("""COMPUTED_VALUE"""),0)</f>
        <v>0</v>
      </c>
      <c r="H157" s="7">
        <f ca="1">IFERROR(__xludf.DUMMYFUNCTION("""COMPUTED_VALUE"""),500000)</f>
        <v>500000</v>
      </c>
    </row>
    <row r="158" spans="1:8" ht="13" x14ac:dyDescent="0.15">
      <c r="A158" s="5" t="str">
        <f ca="1">IFERROR(__xludf.DUMMYFUNCTION("""COMPUTED_VALUE"""),"18874")</f>
        <v>18874</v>
      </c>
      <c r="B158" s="51">
        <f ca="1">IFERROR(__xludf.DUMMYFUNCTION("""COMPUTED_VALUE"""),44613)</f>
        <v>44613</v>
      </c>
      <c r="C158" s="22">
        <f ca="1">IFERROR(__xludf.DUMMYFUNCTION("""COMPUTED_VALUE"""),500000)</f>
        <v>500000</v>
      </c>
      <c r="D158" s="22">
        <f ca="1">IFERROR(__xludf.DUMMYFUNCTION("""COMPUTED_VALUE"""),0)</f>
        <v>0</v>
      </c>
      <c r="E158" s="22">
        <f ca="1">IFERROR(__xludf.DUMMYFUNCTION("""COMPUTED_VALUE"""),500000)</f>
        <v>500000</v>
      </c>
      <c r="F158" s="22">
        <f ca="1">IFERROR(__xludf.DUMMYFUNCTION("""COMPUTED_VALUE"""),500000)</f>
        <v>500000</v>
      </c>
      <c r="G158" s="22">
        <f ca="1">IFERROR(__xludf.DUMMYFUNCTION("""COMPUTED_VALUE"""),0)</f>
        <v>0</v>
      </c>
      <c r="H158" s="7">
        <f ca="1">IFERROR(__xludf.DUMMYFUNCTION("""COMPUTED_VALUE"""),500000)</f>
        <v>500000</v>
      </c>
    </row>
    <row r="159" spans="1:8" ht="13" x14ac:dyDescent="0.15">
      <c r="A159" s="5" t="str">
        <f ca="1">IFERROR(__xludf.DUMMYFUNCTION("""COMPUTED_VALUE"""),"18874")</f>
        <v>18874</v>
      </c>
      <c r="B159" s="51">
        <f ca="1">IFERROR(__xludf.DUMMYFUNCTION("""COMPUTED_VALUE"""),44614)</f>
        <v>44614</v>
      </c>
      <c r="C159" s="22">
        <f ca="1">IFERROR(__xludf.DUMMYFUNCTION("""COMPUTED_VALUE"""),500000)</f>
        <v>500000</v>
      </c>
      <c r="D159" s="22">
        <f ca="1">IFERROR(__xludf.DUMMYFUNCTION("""COMPUTED_VALUE"""),0)</f>
        <v>0</v>
      </c>
      <c r="E159" s="22">
        <f ca="1">IFERROR(__xludf.DUMMYFUNCTION("""COMPUTED_VALUE"""),500000)</f>
        <v>500000</v>
      </c>
      <c r="F159" s="22">
        <f ca="1">IFERROR(__xludf.DUMMYFUNCTION("""COMPUTED_VALUE"""),500000)</f>
        <v>500000</v>
      </c>
      <c r="G159" s="22">
        <f ca="1">IFERROR(__xludf.DUMMYFUNCTION("""COMPUTED_VALUE"""),0)</f>
        <v>0</v>
      </c>
      <c r="H159" s="7">
        <f ca="1">IFERROR(__xludf.DUMMYFUNCTION("""COMPUTED_VALUE"""),500000)</f>
        <v>500000</v>
      </c>
    </row>
    <row r="160" spans="1:8" ht="13" x14ac:dyDescent="0.15">
      <c r="A160" s="5" t="str">
        <f ca="1">IFERROR(__xludf.DUMMYFUNCTION("""COMPUTED_VALUE"""),"18874")</f>
        <v>18874</v>
      </c>
      <c r="B160" s="51">
        <f ca="1">IFERROR(__xludf.DUMMYFUNCTION("""COMPUTED_VALUE"""),44615)</f>
        <v>44615</v>
      </c>
      <c r="C160" s="22">
        <f ca="1">IFERROR(__xludf.DUMMYFUNCTION("""COMPUTED_VALUE"""),500000)</f>
        <v>500000</v>
      </c>
      <c r="D160" s="22">
        <f ca="1">IFERROR(__xludf.DUMMYFUNCTION("""COMPUTED_VALUE"""),0)</f>
        <v>0</v>
      </c>
      <c r="E160" s="22">
        <f ca="1">IFERROR(__xludf.DUMMYFUNCTION("""COMPUTED_VALUE"""),500000)</f>
        <v>500000</v>
      </c>
      <c r="F160" s="22">
        <f ca="1">IFERROR(__xludf.DUMMYFUNCTION("""COMPUTED_VALUE"""),500000)</f>
        <v>500000</v>
      </c>
      <c r="G160" s="22">
        <f ca="1">IFERROR(__xludf.DUMMYFUNCTION("""COMPUTED_VALUE"""),0)</f>
        <v>0</v>
      </c>
      <c r="H160" s="7">
        <f ca="1">IFERROR(__xludf.DUMMYFUNCTION("""COMPUTED_VALUE"""),500000)</f>
        <v>500000</v>
      </c>
    </row>
    <row r="161" spans="1:8" ht="13" x14ac:dyDescent="0.15">
      <c r="A161" s="5" t="str">
        <f ca="1">IFERROR(__xludf.DUMMYFUNCTION("""COMPUTED_VALUE"""),"18874")</f>
        <v>18874</v>
      </c>
      <c r="B161" s="51">
        <f ca="1">IFERROR(__xludf.DUMMYFUNCTION("""COMPUTED_VALUE"""),44616)</f>
        <v>44616</v>
      </c>
      <c r="C161" s="22">
        <f ca="1">IFERROR(__xludf.DUMMYFUNCTION("""COMPUTED_VALUE"""),500000)</f>
        <v>500000</v>
      </c>
      <c r="D161" s="22">
        <f ca="1">IFERROR(__xludf.DUMMYFUNCTION("""COMPUTED_VALUE"""),0)</f>
        <v>0</v>
      </c>
      <c r="E161" s="22">
        <f ca="1">IFERROR(__xludf.DUMMYFUNCTION("""COMPUTED_VALUE"""),500000)</f>
        <v>500000</v>
      </c>
      <c r="F161" s="22">
        <f ca="1">IFERROR(__xludf.DUMMYFUNCTION("""COMPUTED_VALUE"""),500000)</f>
        <v>500000</v>
      </c>
      <c r="G161" s="22">
        <f ca="1">IFERROR(__xludf.DUMMYFUNCTION("""COMPUTED_VALUE"""),0)</f>
        <v>0</v>
      </c>
      <c r="H161" s="7">
        <f ca="1">IFERROR(__xludf.DUMMYFUNCTION("""COMPUTED_VALUE"""),500000)</f>
        <v>500000</v>
      </c>
    </row>
    <row r="162" spans="1:8" ht="13" x14ac:dyDescent="0.15">
      <c r="A162" s="5" t="str">
        <f ca="1">IFERROR(__xludf.DUMMYFUNCTION("""COMPUTED_VALUE"""),"18874")</f>
        <v>18874</v>
      </c>
      <c r="B162" s="51">
        <f ca="1">IFERROR(__xludf.DUMMYFUNCTION("""COMPUTED_VALUE"""),44617)</f>
        <v>44617</v>
      </c>
      <c r="C162" s="22">
        <f ca="1">IFERROR(__xludf.DUMMYFUNCTION("""COMPUTED_VALUE"""),500000)</f>
        <v>500000</v>
      </c>
      <c r="D162" s="22">
        <f ca="1">IFERROR(__xludf.DUMMYFUNCTION("""COMPUTED_VALUE"""),0)</f>
        <v>0</v>
      </c>
      <c r="E162" s="22">
        <f ca="1">IFERROR(__xludf.DUMMYFUNCTION("""COMPUTED_VALUE"""),500000)</f>
        <v>500000</v>
      </c>
      <c r="F162" s="22">
        <f ca="1">IFERROR(__xludf.DUMMYFUNCTION("""COMPUTED_VALUE"""),500000)</f>
        <v>500000</v>
      </c>
      <c r="G162" s="22">
        <f ca="1">IFERROR(__xludf.DUMMYFUNCTION("""COMPUTED_VALUE"""),0)</f>
        <v>0</v>
      </c>
      <c r="H162" s="7">
        <f ca="1">IFERROR(__xludf.DUMMYFUNCTION("""COMPUTED_VALUE"""),500000)</f>
        <v>500000</v>
      </c>
    </row>
    <row r="163" spans="1:8" ht="13" x14ac:dyDescent="0.15">
      <c r="A163" s="5" t="str">
        <f ca="1">IFERROR(__xludf.DUMMYFUNCTION("""COMPUTED_VALUE"""),"18874")</f>
        <v>18874</v>
      </c>
      <c r="B163" s="51">
        <f ca="1">IFERROR(__xludf.DUMMYFUNCTION("""COMPUTED_VALUE"""),44618)</f>
        <v>44618</v>
      </c>
      <c r="C163" s="22">
        <f ca="1">IFERROR(__xludf.DUMMYFUNCTION("""COMPUTED_VALUE"""),500000)</f>
        <v>500000</v>
      </c>
      <c r="D163" s="22">
        <f ca="1">IFERROR(__xludf.DUMMYFUNCTION("""COMPUTED_VALUE"""),0)</f>
        <v>0</v>
      </c>
      <c r="E163" s="22">
        <f ca="1">IFERROR(__xludf.DUMMYFUNCTION("""COMPUTED_VALUE"""),500000)</f>
        <v>500000</v>
      </c>
      <c r="F163" s="22">
        <f ca="1">IFERROR(__xludf.DUMMYFUNCTION("""COMPUTED_VALUE"""),500000)</f>
        <v>500000</v>
      </c>
      <c r="G163" s="22">
        <f ca="1">IFERROR(__xludf.DUMMYFUNCTION("""COMPUTED_VALUE"""),0)</f>
        <v>0</v>
      </c>
      <c r="H163" s="7">
        <f ca="1">IFERROR(__xludf.DUMMYFUNCTION("""COMPUTED_VALUE"""),500000)</f>
        <v>500000</v>
      </c>
    </row>
    <row r="164" spans="1:8" ht="13" x14ac:dyDescent="0.15">
      <c r="A164" s="5" t="str">
        <f ca="1">IFERROR(__xludf.DUMMYFUNCTION("""COMPUTED_VALUE"""),"18874")</f>
        <v>18874</v>
      </c>
      <c r="B164" s="51">
        <f ca="1">IFERROR(__xludf.DUMMYFUNCTION("""COMPUTED_VALUE"""),44619)</f>
        <v>44619</v>
      </c>
      <c r="C164" s="22">
        <f ca="1">IFERROR(__xludf.DUMMYFUNCTION("""COMPUTED_VALUE"""),500000)</f>
        <v>500000</v>
      </c>
      <c r="D164" s="22">
        <f ca="1">IFERROR(__xludf.DUMMYFUNCTION("""COMPUTED_VALUE"""),0)</f>
        <v>0</v>
      </c>
      <c r="E164" s="22">
        <f ca="1">IFERROR(__xludf.DUMMYFUNCTION("""COMPUTED_VALUE"""),500000)</f>
        <v>500000</v>
      </c>
      <c r="F164" s="22">
        <f ca="1">IFERROR(__xludf.DUMMYFUNCTION("""COMPUTED_VALUE"""),500000)</f>
        <v>500000</v>
      </c>
      <c r="G164" s="22">
        <f ca="1">IFERROR(__xludf.DUMMYFUNCTION("""COMPUTED_VALUE"""),0)</f>
        <v>0</v>
      </c>
      <c r="H164" s="7">
        <f ca="1">IFERROR(__xludf.DUMMYFUNCTION("""COMPUTED_VALUE"""),500000)</f>
        <v>500000</v>
      </c>
    </row>
    <row r="165" spans="1:8" ht="13" x14ac:dyDescent="0.15">
      <c r="A165" s="5" t="str">
        <f ca="1">IFERROR(__xludf.DUMMYFUNCTION("""COMPUTED_VALUE"""),"18874")</f>
        <v>18874</v>
      </c>
      <c r="B165" s="51">
        <f ca="1">IFERROR(__xludf.DUMMYFUNCTION("""COMPUTED_VALUE"""),44620)</f>
        <v>44620</v>
      </c>
      <c r="C165" s="22">
        <f ca="1">IFERROR(__xludf.DUMMYFUNCTION("""COMPUTED_VALUE"""),500000)</f>
        <v>500000</v>
      </c>
      <c r="D165" s="22">
        <f ca="1">IFERROR(__xludf.DUMMYFUNCTION("""COMPUTED_VALUE"""),0)</f>
        <v>0</v>
      </c>
      <c r="E165" s="22">
        <f ca="1">IFERROR(__xludf.DUMMYFUNCTION("""COMPUTED_VALUE"""),500000)</f>
        <v>500000</v>
      </c>
      <c r="F165" s="22">
        <f ca="1">IFERROR(__xludf.DUMMYFUNCTION("""COMPUTED_VALUE"""),500000)</f>
        <v>500000</v>
      </c>
      <c r="G165" s="22">
        <f ca="1">IFERROR(__xludf.DUMMYFUNCTION("""COMPUTED_VALUE"""),0)</f>
        <v>0</v>
      </c>
      <c r="H165" s="7">
        <f ca="1">IFERROR(__xludf.DUMMYFUNCTION("""COMPUTED_VALUE"""),500000)</f>
        <v>500000</v>
      </c>
    </row>
    <row r="166" spans="1:8" ht="13" x14ac:dyDescent="0.15">
      <c r="A166" s="5" t="str">
        <f ca="1">IFERROR(__xludf.DUMMYFUNCTION("""COMPUTED_VALUE"""),"18874")</f>
        <v>18874</v>
      </c>
      <c r="B166" s="51">
        <f ca="1">IFERROR(__xludf.DUMMYFUNCTION("""COMPUTED_VALUE"""),44621)</f>
        <v>44621</v>
      </c>
      <c r="C166" s="22">
        <f ca="1">IFERROR(__xludf.DUMMYFUNCTION("""COMPUTED_VALUE"""),500000)</f>
        <v>500000</v>
      </c>
      <c r="D166" s="22">
        <f ca="1">IFERROR(__xludf.DUMMYFUNCTION("""COMPUTED_VALUE"""),0)</f>
        <v>0</v>
      </c>
      <c r="E166" s="22">
        <f ca="1">IFERROR(__xludf.DUMMYFUNCTION("""COMPUTED_VALUE"""),500000)</f>
        <v>500000</v>
      </c>
      <c r="F166" s="22">
        <f ca="1">IFERROR(__xludf.DUMMYFUNCTION("""COMPUTED_VALUE"""),500000)</f>
        <v>500000</v>
      </c>
      <c r="G166" s="22">
        <f ca="1">IFERROR(__xludf.DUMMYFUNCTION("""COMPUTED_VALUE"""),0)</f>
        <v>0</v>
      </c>
      <c r="H166" s="7">
        <f ca="1">IFERROR(__xludf.DUMMYFUNCTION("""COMPUTED_VALUE"""),500000)</f>
        <v>500000</v>
      </c>
    </row>
    <row r="167" spans="1:8" ht="13" x14ac:dyDescent="0.15">
      <c r="A167" s="5" t="str">
        <f ca="1">IFERROR(__xludf.DUMMYFUNCTION("""COMPUTED_VALUE"""),"18874")</f>
        <v>18874</v>
      </c>
      <c r="B167" s="51">
        <f ca="1">IFERROR(__xludf.DUMMYFUNCTION("""COMPUTED_VALUE"""),44622)</f>
        <v>44622</v>
      </c>
      <c r="C167" s="22">
        <f ca="1">IFERROR(__xludf.DUMMYFUNCTION("""COMPUTED_VALUE"""),500000)</f>
        <v>500000</v>
      </c>
      <c r="D167" s="22">
        <f ca="1">IFERROR(__xludf.DUMMYFUNCTION("""COMPUTED_VALUE"""),0)</f>
        <v>0</v>
      </c>
      <c r="E167" s="22">
        <f ca="1">IFERROR(__xludf.DUMMYFUNCTION("""COMPUTED_VALUE"""),500000)</f>
        <v>500000</v>
      </c>
      <c r="F167" s="22">
        <f ca="1">IFERROR(__xludf.DUMMYFUNCTION("""COMPUTED_VALUE"""),500000)</f>
        <v>500000</v>
      </c>
      <c r="G167" s="22">
        <f ca="1">IFERROR(__xludf.DUMMYFUNCTION("""COMPUTED_VALUE"""),0)</f>
        <v>0</v>
      </c>
      <c r="H167" s="7">
        <f ca="1">IFERROR(__xludf.DUMMYFUNCTION("""COMPUTED_VALUE"""),500000)</f>
        <v>500000</v>
      </c>
    </row>
    <row r="168" spans="1:8" ht="13" x14ac:dyDescent="0.15">
      <c r="A168" s="5" t="str">
        <f ca="1">IFERROR(__xludf.DUMMYFUNCTION("""COMPUTED_VALUE"""),"18874")</f>
        <v>18874</v>
      </c>
      <c r="B168" s="51">
        <f ca="1">IFERROR(__xludf.DUMMYFUNCTION("""COMPUTED_VALUE"""),44623)</f>
        <v>44623</v>
      </c>
      <c r="C168" s="22">
        <f ca="1">IFERROR(__xludf.DUMMYFUNCTION("""COMPUTED_VALUE"""),500000)</f>
        <v>500000</v>
      </c>
      <c r="D168" s="22">
        <f ca="1">IFERROR(__xludf.DUMMYFUNCTION("""COMPUTED_VALUE"""),0)</f>
        <v>0</v>
      </c>
      <c r="E168" s="22">
        <f ca="1">IFERROR(__xludf.DUMMYFUNCTION("""COMPUTED_VALUE"""),500000)</f>
        <v>500000</v>
      </c>
      <c r="F168" s="22">
        <f ca="1">IFERROR(__xludf.DUMMYFUNCTION("""COMPUTED_VALUE"""),500000)</f>
        <v>500000</v>
      </c>
      <c r="G168" s="22">
        <f ca="1">IFERROR(__xludf.DUMMYFUNCTION("""COMPUTED_VALUE"""),0)</f>
        <v>0</v>
      </c>
      <c r="H168" s="7">
        <f ca="1">IFERROR(__xludf.DUMMYFUNCTION("""COMPUTED_VALUE"""),500000)</f>
        <v>500000</v>
      </c>
    </row>
    <row r="169" spans="1:8" ht="13" x14ac:dyDescent="0.15">
      <c r="A169" s="5" t="str">
        <f ca="1">IFERROR(__xludf.DUMMYFUNCTION("""COMPUTED_VALUE"""),"18874")</f>
        <v>18874</v>
      </c>
      <c r="B169" s="51">
        <f ca="1">IFERROR(__xludf.DUMMYFUNCTION("""COMPUTED_VALUE"""),44624)</f>
        <v>44624</v>
      </c>
      <c r="C169" s="22">
        <f ca="1">IFERROR(__xludf.DUMMYFUNCTION("""COMPUTED_VALUE"""),500000)</f>
        <v>500000</v>
      </c>
      <c r="D169" s="22">
        <f ca="1">IFERROR(__xludf.DUMMYFUNCTION("""COMPUTED_VALUE"""),0)</f>
        <v>0</v>
      </c>
      <c r="E169" s="22">
        <f ca="1">IFERROR(__xludf.DUMMYFUNCTION("""COMPUTED_VALUE"""),500000)</f>
        <v>500000</v>
      </c>
      <c r="F169" s="22">
        <f ca="1">IFERROR(__xludf.DUMMYFUNCTION("""COMPUTED_VALUE"""),500000)</f>
        <v>500000</v>
      </c>
      <c r="G169" s="22">
        <f ca="1">IFERROR(__xludf.DUMMYFUNCTION("""COMPUTED_VALUE"""),0)</f>
        <v>0</v>
      </c>
      <c r="H169" s="7">
        <f ca="1">IFERROR(__xludf.DUMMYFUNCTION("""COMPUTED_VALUE"""),500000)</f>
        <v>500000</v>
      </c>
    </row>
    <row r="170" spans="1:8" ht="13" x14ac:dyDescent="0.15">
      <c r="A170" s="5" t="str">
        <f ca="1">IFERROR(__xludf.DUMMYFUNCTION("""COMPUTED_VALUE"""),"18874")</f>
        <v>18874</v>
      </c>
      <c r="B170" s="51">
        <f ca="1">IFERROR(__xludf.DUMMYFUNCTION("""COMPUTED_VALUE"""),44625)</f>
        <v>44625</v>
      </c>
      <c r="C170" s="22">
        <f ca="1">IFERROR(__xludf.DUMMYFUNCTION("""COMPUTED_VALUE"""),500000)</f>
        <v>500000</v>
      </c>
      <c r="D170" s="22">
        <f ca="1">IFERROR(__xludf.DUMMYFUNCTION("""COMPUTED_VALUE"""),0)</f>
        <v>0</v>
      </c>
      <c r="E170" s="22">
        <f ca="1">IFERROR(__xludf.DUMMYFUNCTION("""COMPUTED_VALUE"""),500000)</f>
        <v>500000</v>
      </c>
      <c r="F170" s="22">
        <f ca="1">IFERROR(__xludf.DUMMYFUNCTION("""COMPUTED_VALUE"""),500000)</f>
        <v>500000</v>
      </c>
      <c r="G170" s="22">
        <f ca="1">IFERROR(__xludf.DUMMYFUNCTION("""COMPUTED_VALUE"""),0)</f>
        <v>0</v>
      </c>
      <c r="H170" s="7">
        <f ca="1">IFERROR(__xludf.DUMMYFUNCTION("""COMPUTED_VALUE"""),500000)</f>
        <v>500000</v>
      </c>
    </row>
    <row r="171" spans="1:8" ht="13" x14ac:dyDescent="0.15">
      <c r="A171" s="5" t="str">
        <f ca="1">IFERROR(__xludf.DUMMYFUNCTION("""COMPUTED_VALUE"""),"18874")</f>
        <v>18874</v>
      </c>
      <c r="B171" s="51">
        <f ca="1">IFERROR(__xludf.DUMMYFUNCTION("""COMPUTED_VALUE"""),44626)</f>
        <v>44626</v>
      </c>
      <c r="C171" s="22">
        <f ca="1">IFERROR(__xludf.DUMMYFUNCTION("""COMPUTED_VALUE"""),500000)</f>
        <v>500000</v>
      </c>
      <c r="D171" s="22">
        <f ca="1">IFERROR(__xludf.DUMMYFUNCTION("""COMPUTED_VALUE"""),0)</f>
        <v>0</v>
      </c>
      <c r="E171" s="22">
        <f ca="1">IFERROR(__xludf.DUMMYFUNCTION("""COMPUTED_VALUE"""),500000)</f>
        <v>500000</v>
      </c>
      <c r="F171" s="22">
        <f ca="1">IFERROR(__xludf.DUMMYFUNCTION("""COMPUTED_VALUE"""),500000)</f>
        <v>500000</v>
      </c>
      <c r="G171" s="22">
        <f ca="1">IFERROR(__xludf.DUMMYFUNCTION("""COMPUTED_VALUE"""),0)</f>
        <v>0</v>
      </c>
      <c r="H171" s="7">
        <f ca="1">IFERROR(__xludf.DUMMYFUNCTION("""COMPUTED_VALUE"""),500000)</f>
        <v>500000</v>
      </c>
    </row>
    <row r="172" spans="1:8" ht="13" x14ac:dyDescent="0.15">
      <c r="A172" s="5" t="str">
        <f ca="1">IFERROR(__xludf.DUMMYFUNCTION("""COMPUTED_VALUE"""),"18874")</f>
        <v>18874</v>
      </c>
      <c r="B172" s="51">
        <f ca="1">IFERROR(__xludf.DUMMYFUNCTION("""COMPUTED_VALUE"""),44627)</f>
        <v>44627</v>
      </c>
      <c r="C172" s="22">
        <f ca="1">IFERROR(__xludf.DUMMYFUNCTION("""COMPUTED_VALUE"""),500000)</f>
        <v>500000</v>
      </c>
      <c r="D172" s="22">
        <f ca="1">IFERROR(__xludf.DUMMYFUNCTION("""COMPUTED_VALUE"""),0)</f>
        <v>0</v>
      </c>
      <c r="E172" s="22">
        <f ca="1">IFERROR(__xludf.DUMMYFUNCTION("""COMPUTED_VALUE"""),500000)</f>
        <v>500000</v>
      </c>
      <c r="F172" s="22">
        <f ca="1">IFERROR(__xludf.DUMMYFUNCTION("""COMPUTED_VALUE"""),500000)</f>
        <v>500000</v>
      </c>
      <c r="G172" s="22">
        <f ca="1">IFERROR(__xludf.DUMMYFUNCTION("""COMPUTED_VALUE"""),0)</f>
        <v>0</v>
      </c>
      <c r="H172" s="7">
        <f ca="1">IFERROR(__xludf.DUMMYFUNCTION("""COMPUTED_VALUE"""),500000)</f>
        <v>500000</v>
      </c>
    </row>
    <row r="173" spans="1:8" ht="13" x14ac:dyDescent="0.15">
      <c r="A173" s="5" t="str">
        <f ca="1">IFERROR(__xludf.DUMMYFUNCTION("""COMPUTED_VALUE"""),"18874")</f>
        <v>18874</v>
      </c>
      <c r="B173" s="51">
        <f ca="1">IFERROR(__xludf.DUMMYFUNCTION("""COMPUTED_VALUE"""),44628)</f>
        <v>44628</v>
      </c>
      <c r="C173" s="22">
        <f ca="1">IFERROR(__xludf.DUMMYFUNCTION("""COMPUTED_VALUE"""),500000)</f>
        <v>500000</v>
      </c>
      <c r="D173" s="22">
        <f ca="1">IFERROR(__xludf.DUMMYFUNCTION("""COMPUTED_VALUE"""),0)</f>
        <v>0</v>
      </c>
      <c r="E173" s="22">
        <f ca="1">IFERROR(__xludf.DUMMYFUNCTION("""COMPUTED_VALUE"""),500000)</f>
        <v>500000</v>
      </c>
      <c r="F173" s="22">
        <f ca="1">IFERROR(__xludf.DUMMYFUNCTION("""COMPUTED_VALUE"""),500000)</f>
        <v>500000</v>
      </c>
      <c r="G173" s="22">
        <f ca="1">IFERROR(__xludf.DUMMYFUNCTION("""COMPUTED_VALUE"""),0)</f>
        <v>0</v>
      </c>
      <c r="H173" s="7">
        <f ca="1">IFERROR(__xludf.DUMMYFUNCTION("""COMPUTED_VALUE"""),500000)</f>
        <v>500000</v>
      </c>
    </row>
    <row r="174" spans="1:8" ht="13" x14ac:dyDescent="0.15">
      <c r="A174" s="5" t="str">
        <f ca="1">IFERROR(__xludf.DUMMYFUNCTION("""COMPUTED_VALUE"""),"18874")</f>
        <v>18874</v>
      </c>
      <c r="B174" s="51">
        <f ca="1">IFERROR(__xludf.DUMMYFUNCTION("""COMPUTED_VALUE"""),44629)</f>
        <v>44629</v>
      </c>
      <c r="C174" s="22">
        <f ca="1">IFERROR(__xludf.DUMMYFUNCTION("""COMPUTED_VALUE"""),500000)</f>
        <v>500000</v>
      </c>
      <c r="D174" s="22">
        <f ca="1">IFERROR(__xludf.DUMMYFUNCTION("""COMPUTED_VALUE"""),0)</f>
        <v>0</v>
      </c>
      <c r="E174" s="22">
        <f ca="1">IFERROR(__xludf.DUMMYFUNCTION("""COMPUTED_VALUE"""),500000)</f>
        <v>500000</v>
      </c>
      <c r="F174" s="22">
        <f ca="1">IFERROR(__xludf.DUMMYFUNCTION("""COMPUTED_VALUE"""),500000)</f>
        <v>500000</v>
      </c>
      <c r="G174" s="22">
        <f ca="1">IFERROR(__xludf.DUMMYFUNCTION("""COMPUTED_VALUE"""),0)</f>
        <v>0</v>
      </c>
      <c r="H174" s="7">
        <f ca="1">IFERROR(__xludf.DUMMYFUNCTION("""COMPUTED_VALUE"""),500000)</f>
        <v>500000</v>
      </c>
    </row>
    <row r="175" spans="1:8" ht="13" x14ac:dyDescent="0.15">
      <c r="A175" s="5" t="str">
        <f ca="1">IFERROR(__xludf.DUMMYFUNCTION("""COMPUTED_VALUE"""),"18874")</f>
        <v>18874</v>
      </c>
      <c r="B175" s="51">
        <f ca="1">IFERROR(__xludf.DUMMYFUNCTION("""COMPUTED_VALUE"""),44630)</f>
        <v>44630</v>
      </c>
      <c r="C175" s="22">
        <f ca="1">IFERROR(__xludf.DUMMYFUNCTION("""COMPUTED_VALUE"""),500000)</f>
        <v>500000</v>
      </c>
      <c r="D175" s="22">
        <f ca="1">IFERROR(__xludf.DUMMYFUNCTION("""COMPUTED_VALUE"""),0)</f>
        <v>0</v>
      </c>
      <c r="E175" s="22">
        <f ca="1">IFERROR(__xludf.DUMMYFUNCTION("""COMPUTED_VALUE"""),500000)</f>
        <v>500000</v>
      </c>
      <c r="F175" s="22">
        <f ca="1">IFERROR(__xludf.DUMMYFUNCTION("""COMPUTED_VALUE"""),500000)</f>
        <v>500000</v>
      </c>
      <c r="G175" s="22">
        <f ca="1">IFERROR(__xludf.DUMMYFUNCTION("""COMPUTED_VALUE"""),0)</f>
        <v>0</v>
      </c>
      <c r="H175" s="7">
        <f ca="1">IFERROR(__xludf.DUMMYFUNCTION("""COMPUTED_VALUE"""),500000)</f>
        <v>500000</v>
      </c>
    </row>
    <row r="176" spans="1:8" ht="13" x14ac:dyDescent="0.15">
      <c r="A176" s="5" t="str">
        <f ca="1">IFERROR(__xludf.DUMMYFUNCTION("""COMPUTED_VALUE"""),"18874")</f>
        <v>18874</v>
      </c>
      <c r="B176" s="51">
        <f ca="1">IFERROR(__xludf.DUMMYFUNCTION("""COMPUTED_VALUE"""),44631)</f>
        <v>44631</v>
      </c>
      <c r="C176" s="22">
        <f ca="1">IFERROR(__xludf.DUMMYFUNCTION("""COMPUTED_VALUE"""),500000)</f>
        <v>500000</v>
      </c>
      <c r="D176" s="22">
        <f ca="1">IFERROR(__xludf.DUMMYFUNCTION("""COMPUTED_VALUE"""),0)</f>
        <v>0</v>
      </c>
      <c r="E176" s="22">
        <f ca="1">IFERROR(__xludf.DUMMYFUNCTION("""COMPUTED_VALUE"""),500000)</f>
        <v>500000</v>
      </c>
      <c r="F176" s="22">
        <f ca="1">IFERROR(__xludf.DUMMYFUNCTION("""COMPUTED_VALUE"""),500000)</f>
        <v>500000</v>
      </c>
      <c r="G176" s="22">
        <f ca="1">IFERROR(__xludf.DUMMYFUNCTION("""COMPUTED_VALUE"""),0)</f>
        <v>0</v>
      </c>
      <c r="H176" s="7">
        <f ca="1">IFERROR(__xludf.DUMMYFUNCTION("""COMPUTED_VALUE"""),500000)</f>
        <v>500000</v>
      </c>
    </row>
    <row r="177" spans="1:8" ht="13" x14ac:dyDescent="0.15">
      <c r="A177" s="5" t="str">
        <f ca="1">IFERROR(__xludf.DUMMYFUNCTION("""COMPUTED_VALUE"""),"18874")</f>
        <v>18874</v>
      </c>
      <c r="B177" s="51">
        <f ca="1">IFERROR(__xludf.DUMMYFUNCTION("""COMPUTED_VALUE"""),44632)</f>
        <v>44632</v>
      </c>
      <c r="C177" s="22">
        <f ca="1">IFERROR(__xludf.DUMMYFUNCTION("""COMPUTED_VALUE"""),500000)</f>
        <v>500000</v>
      </c>
      <c r="D177" s="22">
        <f ca="1">IFERROR(__xludf.DUMMYFUNCTION("""COMPUTED_VALUE"""),0)</f>
        <v>0</v>
      </c>
      <c r="E177" s="22">
        <f ca="1">IFERROR(__xludf.DUMMYFUNCTION("""COMPUTED_VALUE"""),500000)</f>
        <v>500000</v>
      </c>
      <c r="F177" s="22">
        <f ca="1">IFERROR(__xludf.DUMMYFUNCTION("""COMPUTED_VALUE"""),500000)</f>
        <v>500000</v>
      </c>
      <c r="G177" s="22">
        <f ca="1">IFERROR(__xludf.DUMMYFUNCTION("""COMPUTED_VALUE"""),0)</f>
        <v>0</v>
      </c>
      <c r="H177" s="7">
        <f ca="1">IFERROR(__xludf.DUMMYFUNCTION("""COMPUTED_VALUE"""),500000)</f>
        <v>500000</v>
      </c>
    </row>
    <row r="178" spans="1:8" ht="13" x14ac:dyDescent="0.15">
      <c r="A178" s="5" t="str">
        <f ca="1">IFERROR(__xludf.DUMMYFUNCTION("""COMPUTED_VALUE"""),"18874")</f>
        <v>18874</v>
      </c>
      <c r="B178" s="51">
        <f ca="1">IFERROR(__xludf.DUMMYFUNCTION("""COMPUTED_VALUE"""),44633)</f>
        <v>44633</v>
      </c>
      <c r="C178" s="22">
        <f ca="1">IFERROR(__xludf.DUMMYFUNCTION("""COMPUTED_VALUE"""),500000)</f>
        <v>500000</v>
      </c>
      <c r="D178" s="22">
        <f ca="1">IFERROR(__xludf.DUMMYFUNCTION("""COMPUTED_VALUE"""),0)</f>
        <v>0</v>
      </c>
      <c r="E178" s="22">
        <f ca="1">IFERROR(__xludf.DUMMYFUNCTION("""COMPUTED_VALUE"""),500000)</f>
        <v>500000</v>
      </c>
      <c r="F178" s="22">
        <f ca="1">IFERROR(__xludf.DUMMYFUNCTION("""COMPUTED_VALUE"""),500000)</f>
        <v>500000</v>
      </c>
      <c r="G178" s="22">
        <f ca="1">IFERROR(__xludf.DUMMYFUNCTION("""COMPUTED_VALUE"""),0)</f>
        <v>0</v>
      </c>
      <c r="H178" s="7">
        <f ca="1">IFERROR(__xludf.DUMMYFUNCTION("""COMPUTED_VALUE"""),500000)</f>
        <v>500000</v>
      </c>
    </row>
    <row r="179" spans="1:8" ht="13" x14ac:dyDescent="0.15">
      <c r="A179" s="5" t="str">
        <f ca="1">IFERROR(__xludf.DUMMYFUNCTION("""COMPUTED_VALUE"""),"18874")</f>
        <v>18874</v>
      </c>
      <c r="B179" s="51">
        <f ca="1">IFERROR(__xludf.DUMMYFUNCTION("""COMPUTED_VALUE"""),44634)</f>
        <v>44634</v>
      </c>
      <c r="C179" s="22">
        <f ca="1">IFERROR(__xludf.DUMMYFUNCTION("""COMPUTED_VALUE"""),500000)</f>
        <v>500000</v>
      </c>
      <c r="D179" s="22">
        <f ca="1">IFERROR(__xludf.DUMMYFUNCTION("""COMPUTED_VALUE"""),0)</f>
        <v>0</v>
      </c>
      <c r="E179" s="22">
        <f ca="1">IFERROR(__xludf.DUMMYFUNCTION("""COMPUTED_VALUE"""),500000)</f>
        <v>500000</v>
      </c>
      <c r="F179" s="22">
        <f ca="1">IFERROR(__xludf.DUMMYFUNCTION("""COMPUTED_VALUE"""),500000)</f>
        <v>500000</v>
      </c>
      <c r="G179" s="22">
        <f ca="1">IFERROR(__xludf.DUMMYFUNCTION("""COMPUTED_VALUE"""),0)</f>
        <v>0</v>
      </c>
      <c r="H179" s="7">
        <f ca="1">IFERROR(__xludf.DUMMYFUNCTION("""COMPUTED_VALUE"""),500000)</f>
        <v>500000</v>
      </c>
    </row>
    <row r="180" spans="1:8" ht="13" x14ac:dyDescent="0.15">
      <c r="A180" s="5" t="str">
        <f ca="1">IFERROR(__xludf.DUMMYFUNCTION("""COMPUTED_VALUE"""),"18874")</f>
        <v>18874</v>
      </c>
      <c r="B180" s="51">
        <f ca="1">IFERROR(__xludf.DUMMYFUNCTION("""COMPUTED_VALUE"""),44635)</f>
        <v>44635</v>
      </c>
      <c r="C180" s="22">
        <f ca="1">IFERROR(__xludf.DUMMYFUNCTION("""COMPUTED_VALUE"""),500000)</f>
        <v>500000</v>
      </c>
      <c r="D180" s="22">
        <f ca="1">IFERROR(__xludf.DUMMYFUNCTION("""COMPUTED_VALUE"""),0)</f>
        <v>0</v>
      </c>
      <c r="E180" s="22">
        <f ca="1">IFERROR(__xludf.DUMMYFUNCTION("""COMPUTED_VALUE"""),500000)</f>
        <v>500000</v>
      </c>
      <c r="F180" s="22">
        <f ca="1">IFERROR(__xludf.DUMMYFUNCTION("""COMPUTED_VALUE"""),500000)</f>
        <v>500000</v>
      </c>
      <c r="G180" s="22">
        <f ca="1">IFERROR(__xludf.DUMMYFUNCTION("""COMPUTED_VALUE"""),0)</f>
        <v>0</v>
      </c>
      <c r="H180" s="7">
        <f ca="1">IFERROR(__xludf.DUMMYFUNCTION("""COMPUTED_VALUE"""),500000)</f>
        <v>500000</v>
      </c>
    </row>
    <row r="181" spans="1:8" ht="13" x14ac:dyDescent="0.15">
      <c r="A181" s="5" t="str">
        <f ca="1">IFERROR(__xludf.DUMMYFUNCTION("""COMPUTED_VALUE"""),"18874")</f>
        <v>18874</v>
      </c>
      <c r="B181" s="51">
        <f ca="1">IFERROR(__xludf.DUMMYFUNCTION("""COMPUTED_VALUE"""),44636)</f>
        <v>44636</v>
      </c>
      <c r="C181" s="22">
        <f ca="1">IFERROR(__xludf.DUMMYFUNCTION("""COMPUTED_VALUE"""),500000)</f>
        <v>500000</v>
      </c>
      <c r="D181" s="22">
        <f ca="1">IFERROR(__xludf.DUMMYFUNCTION("""COMPUTED_VALUE"""),0)</f>
        <v>0</v>
      </c>
      <c r="E181" s="22">
        <f ca="1">IFERROR(__xludf.DUMMYFUNCTION("""COMPUTED_VALUE"""),500000)</f>
        <v>500000</v>
      </c>
      <c r="F181" s="22">
        <f ca="1">IFERROR(__xludf.DUMMYFUNCTION("""COMPUTED_VALUE"""),500000)</f>
        <v>500000</v>
      </c>
      <c r="G181" s="22">
        <f ca="1">IFERROR(__xludf.DUMMYFUNCTION("""COMPUTED_VALUE"""),0)</f>
        <v>0</v>
      </c>
      <c r="H181" s="7">
        <f ca="1">IFERROR(__xludf.DUMMYFUNCTION("""COMPUTED_VALUE"""),500000)</f>
        <v>500000</v>
      </c>
    </row>
    <row r="182" spans="1:8" ht="13" x14ac:dyDescent="0.15">
      <c r="A182" s="5" t="str">
        <f ca="1">IFERROR(__xludf.DUMMYFUNCTION("""COMPUTED_VALUE"""),"18874")</f>
        <v>18874</v>
      </c>
      <c r="B182" s="51">
        <f ca="1">IFERROR(__xludf.DUMMYFUNCTION("""COMPUTED_VALUE"""),44637)</f>
        <v>44637</v>
      </c>
      <c r="C182" s="22">
        <f ca="1">IFERROR(__xludf.DUMMYFUNCTION("""COMPUTED_VALUE"""),500000)</f>
        <v>500000</v>
      </c>
      <c r="D182" s="22">
        <f ca="1">IFERROR(__xludf.DUMMYFUNCTION("""COMPUTED_VALUE"""),0)</f>
        <v>0</v>
      </c>
      <c r="E182" s="22">
        <f ca="1">IFERROR(__xludf.DUMMYFUNCTION("""COMPUTED_VALUE"""),500000)</f>
        <v>500000</v>
      </c>
      <c r="F182" s="22">
        <f ca="1">IFERROR(__xludf.DUMMYFUNCTION("""COMPUTED_VALUE"""),500000)</f>
        <v>500000</v>
      </c>
      <c r="G182" s="22">
        <f ca="1">IFERROR(__xludf.DUMMYFUNCTION("""COMPUTED_VALUE"""),0)</f>
        <v>0</v>
      </c>
      <c r="H182" s="7">
        <f ca="1">IFERROR(__xludf.DUMMYFUNCTION("""COMPUTED_VALUE"""),500000)</f>
        <v>500000</v>
      </c>
    </row>
    <row r="183" spans="1:8" ht="13" x14ac:dyDescent="0.15">
      <c r="A183" s="5" t="str">
        <f ca="1">IFERROR(__xludf.DUMMYFUNCTION("""COMPUTED_VALUE"""),"18874")</f>
        <v>18874</v>
      </c>
      <c r="B183" s="51">
        <f ca="1">IFERROR(__xludf.DUMMYFUNCTION("""COMPUTED_VALUE"""),44638)</f>
        <v>44638</v>
      </c>
      <c r="C183" s="22">
        <f ca="1">IFERROR(__xludf.DUMMYFUNCTION("""COMPUTED_VALUE"""),500000)</f>
        <v>500000</v>
      </c>
      <c r="D183" s="22">
        <f ca="1">IFERROR(__xludf.DUMMYFUNCTION("""COMPUTED_VALUE"""),0)</f>
        <v>0</v>
      </c>
      <c r="E183" s="22">
        <f ca="1">IFERROR(__xludf.DUMMYFUNCTION("""COMPUTED_VALUE"""),500000)</f>
        <v>500000</v>
      </c>
      <c r="F183" s="22">
        <f ca="1">IFERROR(__xludf.DUMMYFUNCTION("""COMPUTED_VALUE"""),500000)</f>
        <v>500000</v>
      </c>
      <c r="G183" s="22">
        <f ca="1">IFERROR(__xludf.DUMMYFUNCTION("""COMPUTED_VALUE"""),0)</f>
        <v>0</v>
      </c>
      <c r="H183" s="7">
        <f ca="1">IFERROR(__xludf.DUMMYFUNCTION("""COMPUTED_VALUE"""),500000)</f>
        <v>500000</v>
      </c>
    </row>
    <row r="184" spans="1:8" ht="13" x14ac:dyDescent="0.15">
      <c r="A184" s="5" t="str">
        <f ca="1">IFERROR(__xludf.DUMMYFUNCTION("""COMPUTED_VALUE"""),"18874")</f>
        <v>18874</v>
      </c>
      <c r="B184" s="51">
        <f ca="1">IFERROR(__xludf.DUMMYFUNCTION("""COMPUTED_VALUE"""),44639)</f>
        <v>44639</v>
      </c>
      <c r="C184" s="22">
        <f ca="1">IFERROR(__xludf.DUMMYFUNCTION("""COMPUTED_VALUE"""),500000)</f>
        <v>500000</v>
      </c>
      <c r="D184" s="22">
        <f ca="1">IFERROR(__xludf.DUMMYFUNCTION("""COMPUTED_VALUE"""),0)</f>
        <v>0</v>
      </c>
      <c r="E184" s="22">
        <f ca="1">IFERROR(__xludf.DUMMYFUNCTION("""COMPUTED_VALUE"""),500000)</f>
        <v>500000</v>
      </c>
      <c r="F184" s="22">
        <f ca="1">IFERROR(__xludf.DUMMYFUNCTION("""COMPUTED_VALUE"""),500000)</f>
        <v>500000</v>
      </c>
      <c r="G184" s="22">
        <f ca="1">IFERROR(__xludf.DUMMYFUNCTION("""COMPUTED_VALUE"""),0)</f>
        <v>0</v>
      </c>
      <c r="H184" s="7">
        <f ca="1">IFERROR(__xludf.DUMMYFUNCTION("""COMPUTED_VALUE"""),500000)</f>
        <v>500000</v>
      </c>
    </row>
    <row r="185" spans="1:8" ht="13" x14ac:dyDescent="0.15">
      <c r="A185" s="5" t="str">
        <f ca="1">IFERROR(__xludf.DUMMYFUNCTION("""COMPUTED_VALUE"""),"18874")</f>
        <v>18874</v>
      </c>
      <c r="B185" s="51">
        <f ca="1">IFERROR(__xludf.DUMMYFUNCTION("""COMPUTED_VALUE"""),44640)</f>
        <v>44640</v>
      </c>
      <c r="C185" s="22">
        <f ca="1">IFERROR(__xludf.DUMMYFUNCTION("""COMPUTED_VALUE"""),500000)</f>
        <v>500000</v>
      </c>
      <c r="D185" s="22">
        <f ca="1">IFERROR(__xludf.DUMMYFUNCTION("""COMPUTED_VALUE"""),0)</f>
        <v>0</v>
      </c>
      <c r="E185" s="22">
        <f ca="1">IFERROR(__xludf.DUMMYFUNCTION("""COMPUTED_VALUE"""),500000)</f>
        <v>500000</v>
      </c>
      <c r="F185" s="22">
        <f ca="1">IFERROR(__xludf.DUMMYFUNCTION("""COMPUTED_VALUE"""),500000)</f>
        <v>500000</v>
      </c>
      <c r="G185" s="22">
        <f ca="1">IFERROR(__xludf.DUMMYFUNCTION("""COMPUTED_VALUE"""),0)</f>
        <v>0</v>
      </c>
      <c r="H185" s="7">
        <f ca="1">IFERROR(__xludf.DUMMYFUNCTION("""COMPUTED_VALUE"""),500000)</f>
        <v>500000</v>
      </c>
    </row>
    <row r="186" spans="1:8" ht="13" x14ac:dyDescent="0.15">
      <c r="A186" s="5" t="str">
        <f ca="1">IFERROR(__xludf.DUMMYFUNCTION("""COMPUTED_VALUE"""),"18874")</f>
        <v>18874</v>
      </c>
      <c r="B186" s="51">
        <f ca="1">IFERROR(__xludf.DUMMYFUNCTION("""COMPUTED_VALUE"""),44641)</f>
        <v>44641</v>
      </c>
      <c r="C186" s="22">
        <f ca="1">IFERROR(__xludf.DUMMYFUNCTION("""COMPUTED_VALUE"""),500000)</f>
        <v>500000</v>
      </c>
      <c r="D186" s="22">
        <f ca="1">IFERROR(__xludf.DUMMYFUNCTION("""COMPUTED_VALUE"""),0)</f>
        <v>0</v>
      </c>
      <c r="E186" s="22">
        <f ca="1">IFERROR(__xludf.DUMMYFUNCTION("""COMPUTED_VALUE"""),500000)</f>
        <v>500000</v>
      </c>
      <c r="F186" s="22">
        <f ca="1">IFERROR(__xludf.DUMMYFUNCTION("""COMPUTED_VALUE"""),500000)</f>
        <v>500000</v>
      </c>
      <c r="G186" s="22">
        <f ca="1">IFERROR(__xludf.DUMMYFUNCTION("""COMPUTED_VALUE"""),0)</f>
        <v>0</v>
      </c>
      <c r="H186" s="7">
        <f ca="1">IFERROR(__xludf.DUMMYFUNCTION("""COMPUTED_VALUE"""),500000)</f>
        <v>500000</v>
      </c>
    </row>
    <row r="187" spans="1:8" ht="13" x14ac:dyDescent="0.15">
      <c r="A187" s="5" t="str">
        <f ca="1">IFERROR(__xludf.DUMMYFUNCTION("""COMPUTED_VALUE"""),"18874")</f>
        <v>18874</v>
      </c>
      <c r="B187" s="51">
        <f ca="1">IFERROR(__xludf.DUMMYFUNCTION("""COMPUTED_VALUE"""),44642)</f>
        <v>44642</v>
      </c>
      <c r="C187" s="22">
        <f ca="1">IFERROR(__xludf.DUMMYFUNCTION("""COMPUTED_VALUE"""),500000)</f>
        <v>500000</v>
      </c>
      <c r="D187" s="22">
        <f ca="1">IFERROR(__xludf.DUMMYFUNCTION("""COMPUTED_VALUE"""),0)</f>
        <v>0</v>
      </c>
      <c r="E187" s="22">
        <f ca="1">IFERROR(__xludf.DUMMYFUNCTION("""COMPUTED_VALUE"""),500000)</f>
        <v>500000</v>
      </c>
      <c r="F187" s="22">
        <f ca="1">IFERROR(__xludf.DUMMYFUNCTION("""COMPUTED_VALUE"""),500000)</f>
        <v>500000</v>
      </c>
      <c r="G187" s="22">
        <f ca="1">IFERROR(__xludf.DUMMYFUNCTION("""COMPUTED_VALUE"""),0)</f>
        <v>0</v>
      </c>
      <c r="H187" s="7">
        <f ca="1">IFERROR(__xludf.DUMMYFUNCTION("""COMPUTED_VALUE"""),500000)</f>
        <v>500000</v>
      </c>
    </row>
    <row r="188" spans="1:8" ht="13" x14ac:dyDescent="0.15">
      <c r="A188" s="5" t="str">
        <f ca="1">IFERROR(__xludf.DUMMYFUNCTION("""COMPUTED_VALUE"""),"24442")</f>
        <v>24442</v>
      </c>
      <c r="B188" s="51">
        <f ca="1">IFERROR(__xludf.DUMMYFUNCTION("""COMPUTED_VALUE"""),44597)</f>
        <v>44597</v>
      </c>
      <c r="C188" s="22">
        <f ca="1">IFERROR(__xludf.DUMMYFUNCTION("""COMPUTED_VALUE"""),500000)</f>
        <v>500000</v>
      </c>
      <c r="D188" s="22">
        <f ca="1">IFERROR(__xludf.DUMMYFUNCTION("""COMPUTED_VALUE"""),0)</f>
        <v>0</v>
      </c>
      <c r="E188" s="22">
        <f ca="1">IFERROR(__xludf.DUMMYFUNCTION("""COMPUTED_VALUE"""),500000)</f>
        <v>500000</v>
      </c>
      <c r="F188" s="22">
        <f ca="1">IFERROR(__xludf.DUMMYFUNCTION("""COMPUTED_VALUE"""),500000)</f>
        <v>500000</v>
      </c>
      <c r="G188" s="22">
        <f ca="1">IFERROR(__xludf.DUMMYFUNCTION("""COMPUTED_VALUE"""),0)</f>
        <v>0</v>
      </c>
      <c r="H188" s="7">
        <f ca="1">IFERROR(__xludf.DUMMYFUNCTION("""COMPUTED_VALUE"""),500000)</f>
        <v>500000</v>
      </c>
    </row>
    <row r="189" spans="1:8" ht="13" x14ac:dyDescent="0.15">
      <c r="A189" s="5" t="str">
        <f ca="1">IFERROR(__xludf.DUMMYFUNCTION("""COMPUTED_VALUE"""),"24442")</f>
        <v>24442</v>
      </c>
      <c r="B189" s="51">
        <f ca="1">IFERROR(__xludf.DUMMYFUNCTION("""COMPUTED_VALUE"""),44598)</f>
        <v>44598</v>
      </c>
      <c r="C189" s="22">
        <f ca="1">IFERROR(__xludf.DUMMYFUNCTION("""COMPUTED_VALUE"""),500000)</f>
        <v>500000</v>
      </c>
      <c r="D189" s="22">
        <f ca="1">IFERROR(__xludf.DUMMYFUNCTION("""COMPUTED_VALUE"""),0)</f>
        <v>0</v>
      </c>
      <c r="E189" s="22">
        <f ca="1">IFERROR(__xludf.DUMMYFUNCTION("""COMPUTED_VALUE"""),500000)</f>
        <v>500000</v>
      </c>
      <c r="F189" s="22">
        <f ca="1">IFERROR(__xludf.DUMMYFUNCTION("""COMPUTED_VALUE"""),500000)</f>
        <v>500000</v>
      </c>
      <c r="G189" s="22">
        <f ca="1">IFERROR(__xludf.DUMMYFUNCTION("""COMPUTED_VALUE"""),0)</f>
        <v>0</v>
      </c>
      <c r="H189" s="7">
        <f ca="1">IFERROR(__xludf.DUMMYFUNCTION("""COMPUTED_VALUE"""),500000)</f>
        <v>500000</v>
      </c>
    </row>
    <row r="190" spans="1:8" ht="13" x14ac:dyDescent="0.15">
      <c r="A190" s="5" t="str">
        <f ca="1">IFERROR(__xludf.DUMMYFUNCTION("""COMPUTED_VALUE"""),"24442")</f>
        <v>24442</v>
      </c>
      <c r="B190" s="51">
        <f ca="1">IFERROR(__xludf.DUMMYFUNCTION("""COMPUTED_VALUE"""),44599)</f>
        <v>44599</v>
      </c>
      <c r="C190" s="22">
        <f ca="1">IFERROR(__xludf.DUMMYFUNCTION("""COMPUTED_VALUE"""),500000)</f>
        <v>500000</v>
      </c>
      <c r="D190" s="22">
        <f ca="1">IFERROR(__xludf.DUMMYFUNCTION("""COMPUTED_VALUE"""),0)</f>
        <v>0</v>
      </c>
      <c r="E190" s="22">
        <f ca="1">IFERROR(__xludf.DUMMYFUNCTION("""COMPUTED_VALUE"""),500000)</f>
        <v>500000</v>
      </c>
      <c r="F190" s="22">
        <f ca="1">IFERROR(__xludf.DUMMYFUNCTION("""COMPUTED_VALUE"""),500000)</f>
        <v>500000</v>
      </c>
      <c r="G190" s="22">
        <f ca="1">IFERROR(__xludf.DUMMYFUNCTION("""COMPUTED_VALUE"""),0)</f>
        <v>0</v>
      </c>
      <c r="H190" s="7">
        <f ca="1">IFERROR(__xludf.DUMMYFUNCTION("""COMPUTED_VALUE"""),500000)</f>
        <v>500000</v>
      </c>
    </row>
    <row r="191" spans="1:8" ht="13" x14ac:dyDescent="0.15">
      <c r="A191" s="5" t="str">
        <f ca="1">IFERROR(__xludf.DUMMYFUNCTION("""COMPUTED_VALUE"""),"24442")</f>
        <v>24442</v>
      </c>
      <c r="B191" s="51">
        <f ca="1">IFERROR(__xludf.DUMMYFUNCTION("""COMPUTED_VALUE"""),44600)</f>
        <v>44600</v>
      </c>
      <c r="C191" s="22">
        <f ca="1">IFERROR(__xludf.DUMMYFUNCTION("""COMPUTED_VALUE"""),500000)</f>
        <v>500000</v>
      </c>
      <c r="D191" s="22">
        <f ca="1">IFERROR(__xludf.DUMMYFUNCTION("""COMPUTED_VALUE"""),0)</f>
        <v>0</v>
      </c>
      <c r="E191" s="22">
        <f ca="1">IFERROR(__xludf.DUMMYFUNCTION("""COMPUTED_VALUE"""),500000)</f>
        <v>500000</v>
      </c>
      <c r="F191" s="22">
        <f ca="1">IFERROR(__xludf.DUMMYFUNCTION("""COMPUTED_VALUE"""),500000)</f>
        <v>500000</v>
      </c>
      <c r="G191" s="22">
        <f ca="1">IFERROR(__xludf.DUMMYFUNCTION("""COMPUTED_VALUE"""),0)</f>
        <v>0</v>
      </c>
      <c r="H191" s="7">
        <f ca="1">IFERROR(__xludf.DUMMYFUNCTION("""COMPUTED_VALUE"""),500000)</f>
        <v>500000</v>
      </c>
    </row>
    <row r="192" spans="1:8" ht="13" x14ac:dyDescent="0.15">
      <c r="A192" s="5" t="str">
        <f ca="1">IFERROR(__xludf.DUMMYFUNCTION("""COMPUTED_VALUE"""),"24442")</f>
        <v>24442</v>
      </c>
      <c r="B192" s="51">
        <f ca="1">IFERROR(__xludf.DUMMYFUNCTION("""COMPUTED_VALUE"""),44601)</f>
        <v>44601</v>
      </c>
      <c r="C192" s="22">
        <f ca="1">IFERROR(__xludf.DUMMYFUNCTION("""COMPUTED_VALUE"""),500000)</f>
        <v>500000</v>
      </c>
      <c r="D192" s="22">
        <f ca="1">IFERROR(__xludf.DUMMYFUNCTION("""COMPUTED_VALUE"""),0)</f>
        <v>0</v>
      </c>
      <c r="E192" s="22">
        <f ca="1">IFERROR(__xludf.DUMMYFUNCTION("""COMPUTED_VALUE"""),500000)</f>
        <v>500000</v>
      </c>
      <c r="F192" s="22">
        <f ca="1">IFERROR(__xludf.DUMMYFUNCTION("""COMPUTED_VALUE"""),500000)</f>
        <v>500000</v>
      </c>
      <c r="G192" s="22">
        <f ca="1">IFERROR(__xludf.DUMMYFUNCTION("""COMPUTED_VALUE"""),0)</f>
        <v>0</v>
      </c>
      <c r="H192" s="7">
        <f ca="1">IFERROR(__xludf.DUMMYFUNCTION("""COMPUTED_VALUE"""),500000)</f>
        <v>500000</v>
      </c>
    </row>
    <row r="193" spans="1:8" ht="13" x14ac:dyDescent="0.15">
      <c r="A193" s="5" t="str">
        <f ca="1">IFERROR(__xludf.DUMMYFUNCTION("""COMPUTED_VALUE"""),"24442")</f>
        <v>24442</v>
      </c>
      <c r="B193" s="51">
        <f ca="1">IFERROR(__xludf.DUMMYFUNCTION("""COMPUTED_VALUE"""),44602)</f>
        <v>44602</v>
      </c>
      <c r="C193" s="22">
        <f ca="1">IFERROR(__xludf.DUMMYFUNCTION("""COMPUTED_VALUE"""),500000)</f>
        <v>500000</v>
      </c>
      <c r="D193" s="22">
        <f ca="1">IFERROR(__xludf.DUMMYFUNCTION("""COMPUTED_VALUE"""),0)</f>
        <v>0</v>
      </c>
      <c r="E193" s="22">
        <f ca="1">IFERROR(__xludf.DUMMYFUNCTION("""COMPUTED_VALUE"""),500000)</f>
        <v>500000</v>
      </c>
      <c r="F193" s="22">
        <f ca="1">IFERROR(__xludf.DUMMYFUNCTION("""COMPUTED_VALUE"""),500000)</f>
        <v>500000</v>
      </c>
      <c r="G193" s="22">
        <f ca="1">IFERROR(__xludf.DUMMYFUNCTION("""COMPUTED_VALUE"""),0)</f>
        <v>0</v>
      </c>
      <c r="H193" s="7">
        <f ca="1">IFERROR(__xludf.DUMMYFUNCTION("""COMPUTED_VALUE"""),500000)</f>
        <v>500000</v>
      </c>
    </row>
    <row r="194" spans="1:8" ht="13" x14ac:dyDescent="0.15">
      <c r="A194" s="5" t="str">
        <f ca="1">IFERROR(__xludf.DUMMYFUNCTION("""COMPUTED_VALUE"""),"24442")</f>
        <v>24442</v>
      </c>
      <c r="B194" s="51">
        <f ca="1">IFERROR(__xludf.DUMMYFUNCTION("""COMPUTED_VALUE"""),44603)</f>
        <v>44603</v>
      </c>
      <c r="C194" s="22">
        <f ca="1">IFERROR(__xludf.DUMMYFUNCTION("""COMPUTED_VALUE"""),500000)</f>
        <v>500000</v>
      </c>
      <c r="D194" s="22">
        <f ca="1">IFERROR(__xludf.DUMMYFUNCTION("""COMPUTED_VALUE"""),0)</f>
        <v>0</v>
      </c>
      <c r="E194" s="22">
        <f ca="1">IFERROR(__xludf.DUMMYFUNCTION("""COMPUTED_VALUE"""),500000)</f>
        <v>500000</v>
      </c>
      <c r="F194" s="22">
        <f ca="1">IFERROR(__xludf.DUMMYFUNCTION("""COMPUTED_VALUE"""),500000)</f>
        <v>500000</v>
      </c>
      <c r="G194" s="22">
        <f ca="1">IFERROR(__xludf.DUMMYFUNCTION("""COMPUTED_VALUE"""),0)</f>
        <v>0</v>
      </c>
      <c r="H194" s="7">
        <f ca="1">IFERROR(__xludf.DUMMYFUNCTION("""COMPUTED_VALUE"""),500000)</f>
        <v>500000</v>
      </c>
    </row>
    <row r="195" spans="1:8" ht="13" x14ac:dyDescent="0.15">
      <c r="A195" s="5" t="str">
        <f ca="1">IFERROR(__xludf.DUMMYFUNCTION("""COMPUTED_VALUE"""),"24442")</f>
        <v>24442</v>
      </c>
      <c r="B195" s="51">
        <f ca="1">IFERROR(__xludf.DUMMYFUNCTION("""COMPUTED_VALUE"""),44604)</f>
        <v>44604</v>
      </c>
      <c r="C195" s="22">
        <f ca="1">IFERROR(__xludf.DUMMYFUNCTION("""COMPUTED_VALUE"""),500000)</f>
        <v>500000</v>
      </c>
      <c r="D195" s="22">
        <f ca="1">IFERROR(__xludf.DUMMYFUNCTION("""COMPUTED_VALUE"""),0)</f>
        <v>0</v>
      </c>
      <c r="E195" s="22">
        <f ca="1">IFERROR(__xludf.DUMMYFUNCTION("""COMPUTED_VALUE"""),500000)</f>
        <v>500000</v>
      </c>
      <c r="F195" s="22">
        <f ca="1">IFERROR(__xludf.DUMMYFUNCTION("""COMPUTED_VALUE"""),500000)</f>
        <v>500000</v>
      </c>
      <c r="G195" s="22">
        <f ca="1">IFERROR(__xludf.DUMMYFUNCTION("""COMPUTED_VALUE"""),0)</f>
        <v>0</v>
      </c>
      <c r="H195" s="7">
        <f ca="1">IFERROR(__xludf.DUMMYFUNCTION("""COMPUTED_VALUE"""),500000)</f>
        <v>500000</v>
      </c>
    </row>
    <row r="196" spans="1:8" ht="13" x14ac:dyDescent="0.15">
      <c r="A196" s="5" t="str">
        <f ca="1">IFERROR(__xludf.DUMMYFUNCTION("""COMPUTED_VALUE"""),"24442")</f>
        <v>24442</v>
      </c>
      <c r="B196" s="51">
        <f ca="1">IFERROR(__xludf.DUMMYFUNCTION("""COMPUTED_VALUE"""),44605)</f>
        <v>44605</v>
      </c>
      <c r="C196" s="22">
        <f ca="1">IFERROR(__xludf.DUMMYFUNCTION("""COMPUTED_VALUE"""),500000)</f>
        <v>500000</v>
      </c>
      <c r="D196" s="22">
        <f ca="1">IFERROR(__xludf.DUMMYFUNCTION("""COMPUTED_VALUE"""),0)</f>
        <v>0</v>
      </c>
      <c r="E196" s="22">
        <f ca="1">IFERROR(__xludf.DUMMYFUNCTION("""COMPUTED_VALUE"""),500000)</f>
        <v>500000</v>
      </c>
      <c r="F196" s="22">
        <f ca="1">IFERROR(__xludf.DUMMYFUNCTION("""COMPUTED_VALUE"""),500000)</f>
        <v>500000</v>
      </c>
      <c r="G196" s="22">
        <f ca="1">IFERROR(__xludf.DUMMYFUNCTION("""COMPUTED_VALUE"""),0)</f>
        <v>0</v>
      </c>
      <c r="H196" s="7">
        <f ca="1">IFERROR(__xludf.DUMMYFUNCTION("""COMPUTED_VALUE"""),500000)</f>
        <v>500000</v>
      </c>
    </row>
    <row r="197" spans="1:8" ht="13" x14ac:dyDescent="0.15">
      <c r="A197" s="5" t="str">
        <f ca="1">IFERROR(__xludf.DUMMYFUNCTION("""COMPUTED_VALUE"""),"24442")</f>
        <v>24442</v>
      </c>
      <c r="B197" s="51">
        <f ca="1">IFERROR(__xludf.DUMMYFUNCTION("""COMPUTED_VALUE"""),44606)</f>
        <v>44606</v>
      </c>
      <c r="C197" s="22">
        <f ca="1">IFERROR(__xludf.DUMMYFUNCTION("""COMPUTED_VALUE"""),500000)</f>
        <v>500000</v>
      </c>
      <c r="D197" s="22">
        <f ca="1">IFERROR(__xludf.DUMMYFUNCTION("""COMPUTED_VALUE"""),0)</f>
        <v>0</v>
      </c>
      <c r="E197" s="22">
        <f ca="1">IFERROR(__xludf.DUMMYFUNCTION("""COMPUTED_VALUE"""),500000)</f>
        <v>500000</v>
      </c>
      <c r="F197" s="22">
        <f ca="1">IFERROR(__xludf.DUMMYFUNCTION("""COMPUTED_VALUE"""),500000)</f>
        <v>500000</v>
      </c>
      <c r="G197" s="22">
        <f ca="1">IFERROR(__xludf.DUMMYFUNCTION("""COMPUTED_VALUE"""),0)</f>
        <v>0</v>
      </c>
      <c r="H197" s="7">
        <f ca="1">IFERROR(__xludf.DUMMYFUNCTION("""COMPUTED_VALUE"""),500000)</f>
        <v>500000</v>
      </c>
    </row>
    <row r="198" spans="1:8" ht="13" x14ac:dyDescent="0.15">
      <c r="A198" s="5" t="str">
        <f ca="1">IFERROR(__xludf.DUMMYFUNCTION("""COMPUTED_VALUE"""),"24442")</f>
        <v>24442</v>
      </c>
      <c r="B198" s="51">
        <f ca="1">IFERROR(__xludf.DUMMYFUNCTION("""COMPUTED_VALUE"""),44607)</f>
        <v>44607</v>
      </c>
      <c r="C198" s="22">
        <f ca="1">IFERROR(__xludf.DUMMYFUNCTION("""COMPUTED_VALUE"""),500000)</f>
        <v>500000</v>
      </c>
      <c r="D198" s="22">
        <f ca="1">IFERROR(__xludf.DUMMYFUNCTION("""COMPUTED_VALUE"""),0)</f>
        <v>0</v>
      </c>
      <c r="E198" s="22">
        <f ca="1">IFERROR(__xludf.DUMMYFUNCTION("""COMPUTED_VALUE"""),500000)</f>
        <v>500000</v>
      </c>
      <c r="F198" s="22">
        <f ca="1">IFERROR(__xludf.DUMMYFUNCTION("""COMPUTED_VALUE"""),500000)</f>
        <v>500000</v>
      </c>
      <c r="G198" s="22">
        <f ca="1">IFERROR(__xludf.DUMMYFUNCTION("""COMPUTED_VALUE"""),0)</f>
        <v>0</v>
      </c>
      <c r="H198" s="7">
        <f ca="1">IFERROR(__xludf.DUMMYFUNCTION("""COMPUTED_VALUE"""),500000)</f>
        <v>500000</v>
      </c>
    </row>
    <row r="199" spans="1:8" ht="13" x14ac:dyDescent="0.15">
      <c r="A199" s="5" t="str">
        <f ca="1">IFERROR(__xludf.DUMMYFUNCTION("""COMPUTED_VALUE"""),"24442")</f>
        <v>24442</v>
      </c>
      <c r="B199" s="51">
        <f ca="1">IFERROR(__xludf.DUMMYFUNCTION("""COMPUTED_VALUE"""),44608)</f>
        <v>44608</v>
      </c>
      <c r="C199" s="22">
        <f ca="1">IFERROR(__xludf.DUMMYFUNCTION("""COMPUTED_VALUE"""),500000)</f>
        <v>500000</v>
      </c>
      <c r="D199" s="22">
        <f ca="1">IFERROR(__xludf.DUMMYFUNCTION("""COMPUTED_VALUE"""),0)</f>
        <v>0</v>
      </c>
      <c r="E199" s="22">
        <f ca="1">IFERROR(__xludf.DUMMYFUNCTION("""COMPUTED_VALUE"""),500000)</f>
        <v>500000</v>
      </c>
      <c r="F199" s="22">
        <f ca="1">IFERROR(__xludf.DUMMYFUNCTION("""COMPUTED_VALUE"""),500000)</f>
        <v>500000</v>
      </c>
      <c r="G199" s="22">
        <f ca="1">IFERROR(__xludf.DUMMYFUNCTION("""COMPUTED_VALUE"""),0)</f>
        <v>0</v>
      </c>
      <c r="H199" s="7">
        <f ca="1">IFERROR(__xludf.DUMMYFUNCTION("""COMPUTED_VALUE"""),500000)</f>
        <v>500000</v>
      </c>
    </row>
    <row r="200" spans="1:8" ht="13" x14ac:dyDescent="0.15">
      <c r="A200" s="5" t="str">
        <f ca="1">IFERROR(__xludf.DUMMYFUNCTION("""COMPUTED_VALUE"""),"24442")</f>
        <v>24442</v>
      </c>
      <c r="B200" s="51">
        <f ca="1">IFERROR(__xludf.DUMMYFUNCTION("""COMPUTED_VALUE"""),44609)</f>
        <v>44609</v>
      </c>
      <c r="C200" s="22">
        <f ca="1">IFERROR(__xludf.DUMMYFUNCTION("""COMPUTED_VALUE"""),500000)</f>
        <v>500000</v>
      </c>
      <c r="D200" s="22">
        <f ca="1">IFERROR(__xludf.DUMMYFUNCTION("""COMPUTED_VALUE"""),0)</f>
        <v>0</v>
      </c>
      <c r="E200" s="22">
        <f ca="1">IFERROR(__xludf.DUMMYFUNCTION("""COMPUTED_VALUE"""),500000)</f>
        <v>500000</v>
      </c>
      <c r="F200" s="22">
        <f ca="1">IFERROR(__xludf.DUMMYFUNCTION("""COMPUTED_VALUE"""),500000)</f>
        <v>500000</v>
      </c>
      <c r="G200" s="22">
        <f ca="1">IFERROR(__xludf.DUMMYFUNCTION("""COMPUTED_VALUE"""),0)</f>
        <v>0</v>
      </c>
      <c r="H200" s="7">
        <f ca="1">IFERROR(__xludf.DUMMYFUNCTION("""COMPUTED_VALUE"""),500000)</f>
        <v>500000</v>
      </c>
    </row>
    <row r="201" spans="1:8" ht="13" x14ac:dyDescent="0.15">
      <c r="A201" s="5" t="str">
        <f ca="1">IFERROR(__xludf.DUMMYFUNCTION("""COMPUTED_VALUE"""),"24442")</f>
        <v>24442</v>
      </c>
      <c r="B201" s="51">
        <f ca="1">IFERROR(__xludf.DUMMYFUNCTION("""COMPUTED_VALUE"""),44610)</f>
        <v>44610</v>
      </c>
      <c r="C201" s="22">
        <f ca="1">IFERROR(__xludf.DUMMYFUNCTION("""COMPUTED_VALUE"""),500000)</f>
        <v>500000</v>
      </c>
      <c r="D201" s="22">
        <f ca="1">IFERROR(__xludf.DUMMYFUNCTION("""COMPUTED_VALUE"""),0)</f>
        <v>0</v>
      </c>
      <c r="E201" s="22">
        <f ca="1">IFERROR(__xludf.DUMMYFUNCTION("""COMPUTED_VALUE"""),500000)</f>
        <v>500000</v>
      </c>
      <c r="F201" s="22">
        <f ca="1">IFERROR(__xludf.DUMMYFUNCTION("""COMPUTED_VALUE"""),500000)</f>
        <v>500000</v>
      </c>
      <c r="G201" s="22">
        <f ca="1">IFERROR(__xludf.DUMMYFUNCTION("""COMPUTED_VALUE"""),0)</f>
        <v>0</v>
      </c>
      <c r="H201" s="7">
        <f ca="1">IFERROR(__xludf.DUMMYFUNCTION("""COMPUTED_VALUE"""),500000)</f>
        <v>500000</v>
      </c>
    </row>
    <row r="202" spans="1:8" ht="13" x14ac:dyDescent="0.15">
      <c r="A202" s="5" t="str">
        <f ca="1">IFERROR(__xludf.DUMMYFUNCTION("""COMPUTED_VALUE"""),"24442")</f>
        <v>24442</v>
      </c>
      <c r="B202" s="51">
        <f ca="1">IFERROR(__xludf.DUMMYFUNCTION("""COMPUTED_VALUE"""),44611)</f>
        <v>44611</v>
      </c>
      <c r="C202" s="22">
        <f ca="1">IFERROR(__xludf.DUMMYFUNCTION("""COMPUTED_VALUE"""),500000)</f>
        <v>500000</v>
      </c>
      <c r="D202" s="22">
        <f ca="1">IFERROR(__xludf.DUMMYFUNCTION("""COMPUTED_VALUE"""),0)</f>
        <v>0</v>
      </c>
      <c r="E202" s="22">
        <f ca="1">IFERROR(__xludf.DUMMYFUNCTION("""COMPUTED_VALUE"""),500000)</f>
        <v>500000</v>
      </c>
      <c r="F202" s="22">
        <f ca="1">IFERROR(__xludf.DUMMYFUNCTION("""COMPUTED_VALUE"""),500000)</f>
        <v>500000</v>
      </c>
      <c r="G202" s="22">
        <f ca="1">IFERROR(__xludf.DUMMYFUNCTION("""COMPUTED_VALUE"""),0)</f>
        <v>0</v>
      </c>
      <c r="H202" s="7">
        <f ca="1">IFERROR(__xludf.DUMMYFUNCTION("""COMPUTED_VALUE"""),500000)</f>
        <v>500000</v>
      </c>
    </row>
    <row r="203" spans="1:8" ht="13" x14ac:dyDescent="0.15">
      <c r="A203" s="5" t="str">
        <f ca="1">IFERROR(__xludf.DUMMYFUNCTION("""COMPUTED_VALUE"""),"24442")</f>
        <v>24442</v>
      </c>
      <c r="B203" s="51">
        <f ca="1">IFERROR(__xludf.DUMMYFUNCTION("""COMPUTED_VALUE"""),44612)</f>
        <v>44612</v>
      </c>
      <c r="C203" s="22">
        <f ca="1">IFERROR(__xludf.DUMMYFUNCTION("""COMPUTED_VALUE"""),500000)</f>
        <v>500000</v>
      </c>
      <c r="D203" s="22">
        <f ca="1">IFERROR(__xludf.DUMMYFUNCTION("""COMPUTED_VALUE"""),0)</f>
        <v>0</v>
      </c>
      <c r="E203" s="22">
        <f ca="1">IFERROR(__xludf.DUMMYFUNCTION("""COMPUTED_VALUE"""),500000)</f>
        <v>500000</v>
      </c>
      <c r="F203" s="22">
        <f ca="1">IFERROR(__xludf.DUMMYFUNCTION("""COMPUTED_VALUE"""),500000)</f>
        <v>500000</v>
      </c>
      <c r="G203" s="22">
        <f ca="1">IFERROR(__xludf.DUMMYFUNCTION("""COMPUTED_VALUE"""),0)</f>
        <v>0</v>
      </c>
      <c r="H203" s="7">
        <f ca="1">IFERROR(__xludf.DUMMYFUNCTION("""COMPUTED_VALUE"""),500000)</f>
        <v>500000</v>
      </c>
    </row>
    <row r="204" spans="1:8" ht="13" x14ac:dyDescent="0.15">
      <c r="A204" s="5" t="str">
        <f ca="1">IFERROR(__xludf.DUMMYFUNCTION("""COMPUTED_VALUE"""),"24442")</f>
        <v>24442</v>
      </c>
      <c r="B204" s="51">
        <f ca="1">IFERROR(__xludf.DUMMYFUNCTION("""COMPUTED_VALUE"""),44613)</f>
        <v>44613</v>
      </c>
      <c r="C204" s="22">
        <f ca="1">IFERROR(__xludf.DUMMYFUNCTION("""COMPUTED_VALUE"""),500000)</f>
        <v>500000</v>
      </c>
      <c r="D204" s="22">
        <f ca="1">IFERROR(__xludf.DUMMYFUNCTION("""COMPUTED_VALUE"""),0)</f>
        <v>0</v>
      </c>
      <c r="E204" s="22">
        <f ca="1">IFERROR(__xludf.DUMMYFUNCTION("""COMPUTED_VALUE"""),500000)</f>
        <v>500000</v>
      </c>
      <c r="F204" s="22">
        <f ca="1">IFERROR(__xludf.DUMMYFUNCTION("""COMPUTED_VALUE"""),500000)</f>
        <v>500000</v>
      </c>
      <c r="G204" s="22">
        <f ca="1">IFERROR(__xludf.DUMMYFUNCTION("""COMPUTED_VALUE"""),0)</f>
        <v>0</v>
      </c>
      <c r="H204" s="7">
        <f ca="1">IFERROR(__xludf.DUMMYFUNCTION("""COMPUTED_VALUE"""),500000)</f>
        <v>500000</v>
      </c>
    </row>
    <row r="205" spans="1:8" ht="13" x14ac:dyDescent="0.15">
      <c r="A205" s="5" t="str">
        <f ca="1">IFERROR(__xludf.DUMMYFUNCTION("""COMPUTED_VALUE"""),"24442")</f>
        <v>24442</v>
      </c>
      <c r="B205" s="51">
        <f ca="1">IFERROR(__xludf.DUMMYFUNCTION("""COMPUTED_VALUE"""),44614)</f>
        <v>44614</v>
      </c>
      <c r="C205" s="22">
        <f ca="1">IFERROR(__xludf.DUMMYFUNCTION("""COMPUTED_VALUE"""),500000)</f>
        <v>500000</v>
      </c>
      <c r="D205" s="22">
        <f ca="1">IFERROR(__xludf.DUMMYFUNCTION("""COMPUTED_VALUE"""),0)</f>
        <v>0</v>
      </c>
      <c r="E205" s="22">
        <f ca="1">IFERROR(__xludf.DUMMYFUNCTION("""COMPUTED_VALUE"""),500000)</f>
        <v>500000</v>
      </c>
      <c r="F205" s="22">
        <f ca="1">IFERROR(__xludf.DUMMYFUNCTION("""COMPUTED_VALUE"""),500000)</f>
        <v>500000</v>
      </c>
      <c r="G205" s="22">
        <f ca="1">IFERROR(__xludf.DUMMYFUNCTION("""COMPUTED_VALUE"""),0)</f>
        <v>0</v>
      </c>
      <c r="H205" s="7">
        <f ca="1">IFERROR(__xludf.DUMMYFUNCTION("""COMPUTED_VALUE"""),500000)</f>
        <v>500000</v>
      </c>
    </row>
    <row r="206" spans="1:8" ht="13" x14ac:dyDescent="0.15">
      <c r="A206" s="5" t="str">
        <f ca="1">IFERROR(__xludf.DUMMYFUNCTION("""COMPUTED_VALUE"""),"24442")</f>
        <v>24442</v>
      </c>
      <c r="B206" s="51">
        <f ca="1">IFERROR(__xludf.DUMMYFUNCTION("""COMPUTED_VALUE"""),44615)</f>
        <v>44615</v>
      </c>
      <c r="C206" s="22">
        <f ca="1">IFERROR(__xludf.DUMMYFUNCTION("""COMPUTED_VALUE"""),500000)</f>
        <v>500000</v>
      </c>
      <c r="D206" s="22">
        <f ca="1">IFERROR(__xludf.DUMMYFUNCTION("""COMPUTED_VALUE"""),0)</f>
        <v>0</v>
      </c>
      <c r="E206" s="22">
        <f ca="1">IFERROR(__xludf.DUMMYFUNCTION("""COMPUTED_VALUE"""),500000)</f>
        <v>500000</v>
      </c>
      <c r="F206" s="22">
        <f ca="1">IFERROR(__xludf.DUMMYFUNCTION("""COMPUTED_VALUE"""),500000)</f>
        <v>500000</v>
      </c>
      <c r="G206" s="22">
        <f ca="1">IFERROR(__xludf.DUMMYFUNCTION("""COMPUTED_VALUE"""),0)</f>
        <v>0</v>
      </c>
      <c r="H206" s="7">
        <f ca="1">IFERROR(__xludf.DUMMYFUNCTION("""COMPUTED_VALUE"""),500000)</f>
        <v>500000</v>
      </c>
    </row>
    <row r="207" spans="1:8" ht="13" x14ac:dyDescent="0.15">
      <c r="A207" s="5" t="str">
        <f ca="1">IFERROR(__xludf.DUMMYFUNCTION("""COMPUTED_VALUE"""),"24442")</f>
        <v>24442</v>
      </c>
      <c r="B207" s="51">
        <f ca="1">IFERROR(__xludf.DUMMYFUNCTION("""COMPUTED_VALUE"""),44616)</f>
        <v>44616</v>
      </c>
      <c r="C207" s="22">
        <f ca="1">IFERROR(__xludf.DUMMYFUNCTION("""COMPUTED_VALUE"""),500000)</f>
        <v>500000</v>
      </c>
      <c r="D207" s="22">
        <f ca="1">IFERROR(__xludf.DUMMYFUNCTION("""COMPUTED_VALUE"""),0)</f>
        <v>0</v>
      </c>
      <c r="E207" s="22">
        <f ca="1">IFERROR(__xludf.DUMMYFUNCTION("""COMPUTED_VALUE"""),500000)</f>
        <v>500000</v>
      </c>
      <c r="F207" s="22">
        <f ca="1">IFERROR(__xludf.DUMMYFUNCTION("""COMPUTED_VALUE"""),500000)</f>
        <v>500000</v>
      </c>
      <c r="G207" s="22">
        <f ca="1">IFERROR(__xludf.DUMMYFUNCTION("""COMPUTED_VALUE"""),0)</f>
        <v>0</v>
      </c>
      <c r="H207" s="7">
        <f ca="1">IFERROR(__xludf.DUMMYFUNCTION("""COMPUTED_VALUE"""),500000)</f>
        <v>500000</v>
      </c>
    </row>
    <row r="208" spans="1:8" ht="13" x14ac:dyDescent="0.15">
      <c r="A208" s="5" t="str">
        <f ca="1">IFERROR(__xludf.DUMMYFUNCTION("""COMPUTED_VALUE"""),"24442")</f>
        <v>24442</v>
      </c>
      <c r="B208" s="51">
        <f ca="1">IFERROR(__xludf.DUMMYFUNCTION("""COMPUTED_VALUE"""),44617)</f>
        <v>44617</v>
      </c>
      <c r="C208" s="22">
        <f ca="1">IFERROR(__xludf.DUMMYFUNCTION("""COMPUTED_VALUE"""),500000)</f>
        <v>500000</v>
      </c>
      <c r="D208" s="22">
        <f ca="1">IFERROR(__xludf.DUMMYFUNCTION("""COMPUTED_VALUE"""),0)</f>
        <v>0</v>
      </c>
      <c r="E208" s="22">
        <f ca="1">IFERROR(__xludf.DUMMYFUNCTION("""COMPUTED_VALUE"""),500000)</f>
        <v>500000</v>
      </c>
      <c r="F208" s="22">
        <f ca="1">IFERROR(__xludf.DUMMYFUNCTION("""COMPUTED_VALUE"""),500000)</f>
        <v>500000</v>
      </c>
      <c r="G208" s="22">
        <f ca="1">IFERROR(__xludf.DUMMYFUNCTION("""COMPUTED_VALUE"""),0)</f>
        <v>0</v>
      </c>
      <c r="H208" s="7">
        <f ca="1">IFERROR(__xludf.DUMMYFUNCTION("""COMPUTED_VALUE"""),500000)</f>
        <v>500000</v>
      </c>
    </row>
    <row r="209" spans="1:8" ht="13" x14ac:dyDescent="0.15">
      <c r="A209" s="5" t="str">
        <f ca="1">IFERROR(__xludf.DUMMYFUNCTION("""COMPUTED_VALUE"""),"24442")</f>
        <v>24442</v>
      </c>
      <c r="B209" s="51">
        <f ca="1">IFERROR(__xludf.DUMMYFUNCTION("""COMPUTED_VALUE"""),44618)</f>
        <v>44618</v>
      </c>
      <c r="C209" s="22">
        <f ca="1">IFERROR(__xludf.DUMMYFUNCTION("""COMPUTED_VALUE"""),500000)</f>
        <v>500000</v>
      </c>
      <c r="D209" s="22">
        <f ca="1">IFERROR(__xludf.DUMMYFUNCTION("""COMPUTED_VALUE"""),0)</f>
        <v>0</v>
      </c>
      <c r="E209" s="22">
        <f ca="1">IFERROR(__xludf.DUMMYFUNCTION("""COMPUTED_VALUE"""),500000)</f>
        <v>500000</v>
      </c>
      <c r="F209" s="22">
        <f ca="1">IFERROR(__xludf.DUMMYFUNCTION("""COMPUTED_VALUE"""),500000)</f>
        <v>500000</v>
      </c>
      <c r="G209" s="22">
        <f ca="1">IFERROR(__xludf.DUMMYFUNCTION("""COMPUTED_VALUE"""),0)</f>
        <v>0</v>
      </c>
      <c r="H209" s="7">
        <f ca="1">IFERROR(__xludf.DUMMYFUNCTION("""COMPUTED_VALUE"""),500000)</f>
        <v>500000</v>
      </c>
    </row>
    <row r="210" spans="1:8" ht="13" x14ac:dyDescent="0.15">
      <c r="A210" s="5" t="str">
        <f ca="1">IFERROR(__xludf.DUMMYFUNCTION("""COMPUTED_VALUE"""),"24442")</f>
        <v>24442</v>
      </c>
      <c r="B210" s="51">
        <f ca="1">IFERROR(__xludf.DUMMYFUNCTION("""COMPUTED_VALUE"""),44619)</f>
        <v>44619</v>
      </c>
      <c r="C210" s="22">
        <f ca="1">IFERROR(__xludf.DUMMYFUNCTION("""COMPUTED_VALUE"""),500000)</f>
        <v>500000</v>
      </c>
      <c r="D210" s="22">
        <f ca="1">IFERROR(__xludf.DUMMYFUNCTION("""COMPUTED_VALUE"""),0)</f>
        <v>0</v>
      </c>
      <c r="E210" s="22">
        <f ca="1">IFERROR(__xludf.DUMMYFUNCTION("""COMPUTED_VALUE"""),500000)</f>
        <v>500000</v>
      </c>
      <c r="F210" s="22">
        <f ca="1">IFERROR(__xludf.DUMMYFUNCTION("""COMPUTED_VALUE"""),500000)</f>
        <v>500000</v>
      </c>
      <c r="G210" s="22">
        <f ca="1">IFERROR(__xludf.DUMMYFUNCTION("""COMPUTED_VALUE"""),0)</f>
        <v>0</v>
      </c>
      <c r="H210" s="7">
        <f ca="1">IFERROR(__xludf.DUMMYFUNCTION("""COMPUTED_VALUE"""),500000)</f>
        <v>500000</v>
      </c>
    </row>
    <row r="211" spans="1:8" ht="13" x14ac:dyDescent="0.15">
      <c r="A211" s="5" t="str">
        <f ca="1">IFERROR(__xludf.DUMMYFUNCTION("""COMPUTED_VALUE"""),"24442")</f>
        <v>24442</v>
      </c>
      <c r="B211" s="51">
        <f ca="1">IFERROR(__xludf.DUMMYFUNCTION("""COMPUTED_VALUE"""),44620)</f>
        <v>44620</v>
      </c>
      <c r="C211" s="22">
        <f ca="1">IFERROR(__xludf.DUMMYFUNCTION("""COMPUTED_VALUE"""),453111.11327)</f>
        <v>453111.11326999997</v>
      </c>
      <c r="D211" s="22">
        <f ca="1">IFERROR(__xludf.DUMMYFUNCTION("""COMPUTED_VALUE"""),46888.88673)</f>
        <v>46888.886729999998</v>
      </c>
      <c r="E211" s="22">
        <f ca="1">IFERROR(__xludf.DUMMYFUNCTION("""COMPUTED_VALUE"""),500000)</f>
        <v>500000</v>
      </c>
      <c r="F211" s="22">
        <f ca="1">IFERROR(__xludf.DUMMYFUNCTION("""COMPUTED_VALUE"""),453111.11327)</f>
        <v>453111.11326999997</v>
      </c>
      <c r="G211" s="22">
        <f ca="1">IFERROR(__xludf.DUMMYFUNCTION("""COMPUTED_VALUE"""),0)</f>
        <v>0</v>
      </c>
      <c r="H211" s="7">
        <f ca="1">IFERROR(__xludf.DUMMYFUNCTION("""COMPUTED_VALUE"""),500000)</f>
        <v>500000</v>
      </c>
    </row>
    <row r="212" spans="1:8" ht="13" x14ac:dyDescent="0.15">
      <c r="A212" s="5" t="str">
        <f ca="1">IFERROR(__xludf.DUMMYFUNCTION("""COMPUTED_VALUE"""),"24442")</f>
        <v>24442</v>
      </c>
      <c r="B212" s="51">
        <f ca="1">IFERROR(__xludf.DUMMYFUNCTION("""COMPUTED_VALUE"""),44621)</f>
        <v>44621</v>
      </c>
      <c r="C212" s="22">
        <f ca="1">IFERROR(__xludf.DUMMYFUNCTION("""COMPUTED_VALUE"""),453111.11327)</f>
        <v>453111.11326999997</v>
      </c>
      <c r="D212" s="22">
        <f ca="1">IFERROR(__xludf.DUMMYFUNCTION("""COMPUTED_VALUE"""),46888.88673)</f>
        <v>46888.886729999998</v>
      </c>
      <c r="E212" s="22">
        <f ca="1">IFERROR(__xludf.DUMMYFUNCTION("""COMPUTED_VALUE"""),500000)</f>
        <v>500000</v>
      </c>
      <c r="F212" s="22">
        <f ca="1">IFERROR(__xludf.DUMMYFUNCTION("""COMPUTED_VALUE"""),453111.11327)</f>
        <v>453111.11326999997</v>
      </c>
      <c r="G212" s="22">
        <f ca="1">IFERROR(__xludf.DUMMYFUNCTION("""COMPUTED_VALUE"""),0)</f>
        <v>0</v>
      </c>
      <c r="H212" s="7">
        <f ca="1">IFERROR(__xludf.DUMMYFUNCTION("""COMPUTED_VALUE"""),499607.767399999)</f>
        <v>499607.76739999902</v>
      </c>
    </row>
    <row r="213" spans="1:8" ht="13" x14ac:dyDescent="0.15">
      <c r="A213" s="5" t="str">
        <f ca="1">IFERROR(__xludf.DUMMYFUNCTION("""COMPUTED_VALUE"""),"24442")</f>
        <v>24442</v>
      </c>
      <c r="B213" s="51">
        <f ca="1">IFERROR(__xludf.DUMMYFUNCTION("""COMPUTED_VALUE"""),44622)</f>
        <v>44622</v>
      </c>
      <c r="C213" s="22">
        <f ca="1">IFERROR(__xludf.DUMMYFUNCTION("""COMPUTED_VALUE"""),453111.11327)</f>
        <v>453111.11326999997</v>
      </c>
      <c r="D213" s="22">
        <f ca="1">IFERROR(__xludf.DUMMYFUNCTION("""COMPUTED_VALUE"""),46888.88673)</f>
        <v>46888.886729999998</v>
      </c>
      <c r="E213" s="22">
        <f ca="1">IFERROR(__xludf.DUMMYFUNCTION("""COMPUTED_VALUE"""),500000)</f>
        <v>500000</v>
      </c>
      <c r="F213" s="22">
        <f ca="1">IFERROR(__xludf.DUMMYFUNCTION("""COMPUTED_VALUE"""),453111.11327)</f>
        <v>453111.11326999997</v>
      </c>
      <c r="G213" s="22">
        <f ca="1">IFERROR(__xludf.DUMMYFUNCTION("""COMPUTED_VALUE"""),0)</f>
        <v>0</v>
      </c>
      <c r="H213" s="7">
        <f ca="1">IFERROR(__xludf.DUMMYFUNCTION("""COMPUTED_VALUE"""),500303.940229999)</f>
        <v>500303.94022999902</v>
      </c>
    </row>
    <row r="214" spans="1:8" ht="13" x14ac:dyDescent="0.15">
      <c r="A214" s="5" t="str">
        <f ca="1">IFERROR(__xludf.DUMMYFUNCTION("""COMPUTED_VALUE"""),"24442")</f>
        <v>24442</v>
      </c>
      <c r="B214" s="51">
        <f ca="1">IFERROR(__xludf.DUMMYFUNCTION("""COMPUTED_VALUE"""),44623)</f>
        <v>44623</v>
      </c>
      <c r="C214" s="22">
        <f ca="1">IFERROR(__xludf.DUMMYFUNCTION("""COMPUTED_VALUE"""),453111.11327)</f>
        <v>453111.11326999997</v>
      </c>
      <c r="D214" s="22">
        <f ca="1">IFERROR(__xludf.DUMMYFUNCTION("""COMPUTED_VALUE"""),46888.88673)</f>
        <v>46888.886729999998</v>
      </c>
      <c r="E214" s="22">
        <f ca="1">IFERROR(__xludf.DUMMYFUNCTION("""COMPUTED_VALUE"""),500000)</f>
        <v>500000</v>
      </c>
      <c r="F214" s="22">
        <f ca="1">IFERROR(__xludf.DUMMYFUNCTION("""COMPUTED_VALUE"""),453111.11327)</f>
        <v>453111.11326999997</v>
      </c>
      <c r="G214" s="22">
        <f ca="1">IFERROR(__xludf.DUMMYFUNCTION("""COMPUTED_VALUE"""),0)</f>
        <v>0</v>
      </c>
      <c r="H214" s="7">
        <f ca="1">IFERROR(__xludf.DUMMYFUNCTION("""COMPUTED_VALUE"""),499663.86834)</f>
        <v>499663.86833999999</v>
      </c>
    </row>
    <row r="215" spans="1:8" ht="13" x14ac:dyDescent="0.15">
      <c r="A215" s="5" t="str">
        <f ca="1">IFERROR(__xludf.DUMMYFUNCTION("""COMPUTED_VALUE"""),"24442")</f>
        <v>24442</v>
      </c>
      <c r="B215" s="51">
        <f ca="1">IFERROR(__xludf.DUMMYFUNCTION("""COMPUTED_VALUE"""),44624)</f>
        <v>44624</v>
      </c>
      <c r="C215" s="22">
        <f ca="1">IFERROR(__xludf.DUMMYFUNCTION("""COMPUTED_VALUE"""),453111.11327)</f>
        <v>453111.11326999997</v>
      </c>
      <c r="D215" s="22">
        <f ca="1">IFERROR(__xludf.DUMMYFUNCTION("""COMPUTED_VALUE"""),46888.88673)</f>
        <v>46888.886729999998</v>
      </c>
      <c r="E215" s="22">
        <f ca="1">IFERROR(__xludf.DUMMYFUNCTION("""COMPUTED_VALUE"""),500000)</f>
        <v>500000</v>
      </c>
      <c r="F215" s="22">
        <f ca="1">IFERROR(__xludf.DUMMYFUNCTION("""COMPUTED_VALUE"""),453111.11327)</f>
        <v>453111.11326999997</v>
      </c>
      <c r="G215" s="22">
        <f ca="1">IFERROR(__xludf.DUMMYFUNCTION("""COMPUTED_VALUE"""),0)</f>
        <v>0</v>
      </c>
      <c r="H215" s="7">
        <f ca="1">IFERROR(__xludf.DUMMYFUNCTION("""COMPUTED_VALUE"""),498986.399869999)</f>
        <v>498986.39986999898</v>
      </c>
    </row>
    <row r="216" spans="1:8" ht="13" x14ac:dyDescent="0.15">
      <c r="A216" s="5" t="str">
        <f ca="1">IFERROR(__xludf.DUMMYFUNCTION("""COMPUTED_VALUE"""),"24442")</f>
        <v>24442</v>
      </c>
      <c r="B216" s="51">
        <f ca="1">IFERROR(__xludf.DUMMYFUNCTION("""COMPUTED_VALUE"""),44625)</f>
        <v>44625</v>
      </c>
      <c r="C216" s="22">
        <f ca="1">IFERROR(__xludf.DUMMYFUNCTION("""COMPUTED_VALUE"""),453111.11327)</f>
        <v>453111.11326999997</v>
      </c>
      <c r="D216" s="22">
        <f ca="1">IFERROR(__xludf.DUMMYFUNCTION("""COMPUTED_VALUE"""),46888.88673)</f>
        <v>46888.886729999998</v>
      </c>
      <c r="E216" s="22">
        <f ca="1">IFERROR(__xludf.DUMMYFUNCTION("""COMPUTED_VALUE"""),500000)</f>
        <v>500000</v>
      </c>
      <c r="F216" s="22">
        <f ca="1">IFERROR(__xludf.DUMMYFUNCTION("""COMPUTED_VALUE"""),453111.11327)</f>
        <v>453111.11326999997</v>
      </c>
      <c r="G216" s="22">
        <f ca="1">IFERROR(__xludf.DUMMYFUNCTION("""COMPUTED_VALUE"""),0)</f>
        <v>0</v>
      </c>
      <c r="H216" s="7">
        <f ca="1">IFERROR(__xludf.DUMMYFUNCTION("""COMPUTED_VALUE"""),498986.399869999)</f>
        <v>498986.39986999898</v>
      </c>
    </row>
    <row r="217" spans="1:8" ht="13" x14ac:dyDescent="0.15">
      <c r="A217" s="5" t="str">
        <f ca="1">IFERROR(__xludf.DUMMYFUNCTION("""COMPUTED_VALUE"""),"24442")</f>
        <v>24442</v>
      </c>
      <c r="B217" s="51">
        <f ca="1">IFERROR(__xludf.DUMMYFUNCTION("""COMPUTED_VALUE"""),44626)</f>
        <v>44626</v>
      </c>
      <c r="C217" s="22">
        <f ca="1">IFERROR(__xludf.DUMMYFUNCTION("""COMPUTED_VALUE"""),453111.11327)</f>
        <v>453111.11326999997</v>
      </c>
      <c r="D217" s="22">
        <f ca="1">IFERROR(__xludf.DUMMYFUNCTION("""COMPUTED_VALUE"""),46888.88673)</f>
        <v>46888.886729999998</v>
      </c>
      <c r="E217" s="22">
        <f ca="1">IFERROR(__xludf.DUMMYFUNCTION("""COMPUTED_VALUE"""),500000)</f>
        <v>500000</v>
      </c>
      <c r="F217" s="22">
        <f ca="1">IFERROR(__xludf.DUMMYFUNCTION("""COMPUTED_VALUE"""),453111.11327)</f>
        <v>453111.11326999997</v>
      </c>
      <c r="G217" s="22">
        <f ca="1">IFERROR(__xludf.DUMMYFUNCTION("""COMPUTED_VALUE"""),0)</f>
        <v>0</v>
      </c>
      <c r="H217" s="7">
        <f ca="1">IFERROR(__xludf.DUMMYFUNCTION("""COMPUTED_VALUE"""),498747.51122)</f>
        <v>498747.51121999999</v>
      </c>
    </row>
    <row r="218" spans="1:8" ht="13" x14ac:dyDescent="0.15">
      <c r="A218" s="5" t="str">
        <f ca="1">IFERROR(__xludf.DUMMYFUNCTION("""COMPUTED_VALUE"""),"24442")</f>
        <v>24442</v>
      </c>
      <c r="B218" s="51">
        <f ca="1">IFERROR(__xludf.DUMMYFUNCTION("""COMPUTED_VALUE"""),44627)</f>
        <v>44627</v>
      </c>
      <c r="C218" s="22">
        <f ca="1">IFERROR(__xludf.DUMMYFUNCTION("""COMPUTED_VALUE"""),340312.892419999)</f>
        <v>340312.892419999</v>
      </c>
      <c r="D218" s="22">
        <f ca="1">IFERROR(__xludf.DUMMYFUNCTION("""COMPUTED_VALUE"""),157025.17095)</f>
        <v>157025.17095</v>
      </c>
      <c r="E218" s="22">
        <f ca="1">IFERROR(__xludf.DUMMYFUNCTION("""COMPUTED_VALUE"""),497338.063369999)</f>
        <v>497338.063369999</v>
      </c>
      <c r="F218" s="22">
        <f ca="1">IFERROR(__xludf.DUMMYFUNCTION("""COMPUTED_VALUE"""),340312.892419999)</f>
        <v>340312.892419999</v>
      </c>
      <c r="G218" s="22">
        <f ca="1">IFERROR(__xludf.DUMMYFUNCTION("""COMPUTED_VALUE"""),0)</f>
        <v>0</v>
      </c>
      <c r="H218" s="7">
        <f ca="1">IFERROR(__xludf.DUMMYFUNCTION("""COMPUTED_VALUE"""),497338.063369999)</f>
        <v>497338.063369999</v>
      </c>
    </row>
    <row r="219" spans="1:8" ht="13" x14ac:dyDescent="0.15">
      <c r="A219" s="5" t="str">
        <f ca="1">IFERROR(__xludf.DUMMYFUNCTION("""COMPUTED_VALUE"""),"24442")</f>
        <v>24442</v>
      </c>
      <c r="B219" s="51">
        <f ca="1">IFERROR(__xludf.DUMMYFUNCTION("""COMPUTED_VALUE"""),44628)</f>
        <v>44628</v>
      </c>
      <c r="C219" s="22">
        <f ca="1">IFERROR(__xludf.DUMMYFUNCTION("""COMPUTED_VALUE"""),452569.916494999)</f>
        <v>452569.91649499902</v>
      </c>
      <c r="D219" s="22">
        <f ca="1">IFERROR(__xludf.DUMMYFUNCTION("""COMPUTED_VALUE"""),44048.8915)</f>
        <v>44048.891499999998</v>
      </c>
      <c r="E219" s="22">
        <f ca="1">IFERROR(__xludf.DUMMYFUNCTION("""COMPUTED_VALUE"""),496618.807995)</f>
        <v>496618.80799499998</v>
      </c>
      <c r="F219" s="22">
        <f ca="1">IFERROR(__xludf.DUMMYFUNCTION("""COMPUTED_VALUE"""),452569.916494999)</f>
        <v>452569.91649499902</v>
      </c>
      <c r="G219" s="22">
        <f ca="1">IFERROR(__xludf.DUMMYFUNCTION("""COMPUTED_VALUE"""),0)</f>
        <v>0</v>
      </c>
      <c r="H219" s="7">
        <f ca="1">IFERROR(__xludf.DUMMYFUNCTION("""COMPUTED_VALUE"""),496618.807995)</f>
        <v>496618.80799499998</v>
      </c>
    </row>
    <row r="220" spans="1:8" ht="13" x14ac:dyDescent="0.15">
      <c r="A220" s="5" t="str">
        <f ca="1">IFERROR(__xludf.DUMMYFUNCTION("""COMPUTED_VALUE"""),"24442")</f>
        <v>24442</v>
      </c>
      <c r="B220" s="51">
        <f ca="1">IFERROR(__xludf.DUMMYFUNCTION("""COMPUTED_VALUE"""),44629)</f>
        <v>44629</v>
      </c>
      <c r="C220" s="22">
        <f ca="1">IFERROR(__xludf.DUMMYFUNCTION("""COMPUTED_VALUE"""),452569.916494999)</f>
        <v>452569.91649499902</v>
      </c>
      <c r="D220" s="22">
        <f ca="1">IFERROR(__xludf.DUMMYFUNCTION("""COMPUTED_VALUE"""),48867.914525)</f>
        <v>48867.914525</v>
      </c>
      <c r="E220" s="22">
        <f ca="1">IFERROR(__xludf.DUMMYFUNCTION("""COMPUTED_VALUE"""),501437.83102)</f>
        <v>501437.83101999998</v>
      </c>
      <c r="F220" s="22">
        <f ca="1">IFERROR(__xludf.DUMMYFUNCTION("""COMPUTED_VALUE"""),452569.916494999)</f>
        <v>452569.91649499902</v>
      </c>
      <c r="G220" s="22">
        <f ca="1">IFERROR(__xludf.DUMMYFUNCTION("""COMPUTED_VALUE"""),0)</f>
        <v>0</v>
      </c>
      <c r="H220" s="7">
        <f ca="1">IFERROR(__xludf.DUMMYFUNCTION("""COMPUTED_VALUE"""),496998.875694999)</f>
        <v>496998.87569499901</v>
      </c>
    </row>
    <row r="221" spans="1:8" ht="13" x14ac:dyDescent="0.15">
      <c r="A221" s="5" t="str">
        <f ca="1">IFERROR(__xludf.DUMMYFUNCTION("""COMPUTED_VALUE"""),"24442")</f>
        <v>24442</v>
      </c>
      <c r="B221" s="51">
        <f ca="1">IFERROR(__xludf.DUMMYFUNCTION("""COMPUTED_VALUE"""),44630)</f>
        <v>44630</v>
      </c>
      <c r="C221" s="22">
        <f ca="1">IFERROR(__xludf.DUMMYFUNCTION("""COMPUTED_VALUE"""),452569.916494999)</f>
        <v>452569.91649499902</v>
      </c>
      <c r="D221" s="22">
        <f ca="1">IFERROR(__xludf.DUMMYFUNCTION("""COMPUTED_VALUE"""),49832.3796949999)</f>
        <v>49832.379694999901</v>
      </c>
      <c r="E221" s="22">
        <f ca="1">IFERROR(__xludf.DUMMYFUNCTION("""COMPUTED_VALUE"""),502402.296189999)</f>
        <v>502402.29618999898</v>
      </c>
      <c r="F221" s="22">
        <f ca="1">IFERROR(__xludf.DUMMYFUNCTION("""COMPUTED_VALUE"""),452569.916494999)</f>
        <v>452569.91649499902</v>
      </c>
      <c r="G221" s="22">
        <f ca="1">IFERROR(__xludf.DUMMYFUNCTION("""COMPUTED_VALUE"""),0)</f>
        <v>0</v>
      </c>
      <c r="H221" s="7">
        <f ca="1">IFERROR(__xludf.DUMMYFUNCTION("""COMPUTED_VALUE"""),497903.284015)</f>
        <v>497903.28401499998</v>
      </c>
    </row>
    <row r="222" spans="1:8" ht="13" x14ac:dyDescent="0.15">
      <c r="A222" s="5" t="str">
        <f ca="1">IFERROR(__xludf.DUMMYFUNCTION("""COMPUTED_VALUE"""),"24442")</f>
        <v>24442</v>
      </c>
      <c r="B222" s="51">
        <f ca="1">IFERROR(__xludf.DUMMYFUNCTION("""COMPUTED_VALUE"""),44631)</f>
        <v>44631</v>
      </c>
      <c r="C222" s="22">
        <f ca="1">IFERROR(__xludf.DUMMYFUNCTION("""COMPUTED_VALUE"""),452569.916494999)</f>
        <v>452569.91649499902</v>
      </c>
      <c r="D222" s="22">
        <f ca="1">IFERROR(__xludf.DUMMYFUNCTION("""COMPUTED_VALUE"""),44858.892925)</f>
        <v>44858.892925</v>
      </c>
      <c r="E222" s="22">
        <f ca="1">IFERROR(__xludf.DUMMYFUNCTION("""COMPUTED_VALUE"""),497428.809419999)</f>
        <v>497428.80941999902</v>
      </c>
      <c r="F222" s="22">
        <f ca="1">IFERROR(__xludf.DUMMYFUNCTION("""COMPUTED_VALUE"""),452569.916494999)</f>
        <v>452569.91649499902</v>
      </c>
      <c r="G222" s="22">
        <f ca="1">IFERROR(__xludf.DUMMYFUNCTION("""COMPUTED_VALUE"""),0)</f>
        <v>0</v>
      </c>
      <c r="H222" s="7">
        <f ca="1">IFERROR(__xludf.DUMMYFUNCTION("""COMPUTED_VALUE"""),496894.056494999)</f>
        <v>496894.05649499898</v>
      </c>
    </row>
    <row r="223" spans="1:8" ht="13" x14ac:dyDescent="0.15">
      <c r="A223" s="5" t="str">
        <f ca="1">IFERROR(__xludf.DUMMYFUNCTION("""COMPUTED_VALUE"""),"24442")</f>
        <v>24442</v>
      </c>
      <c r="B223" s="51">
        <f ca="1">IFERROR(__xludf.DUMMYFUNCTION("""COMPUTED_VALUE"""),44632)</f>
        <v>44632</v>
      </c>
      <c r="C223" s="22">
        <f ca="1">IFERROR(__xludf.DUMMYFUNCTION("""COMPUTED_VALUE"""),452569.916494999)</f>
        <v>452569.91649499902</v>
      </c>
      <c r="D223" s="22">
        <f ca="1">IFERROR(__xludf.DUMMYFUNCTION("""COMPUTED_VALUE"""),44858.892925)</f>
        <v>44858.892925</v>
      </c>
      <c r="E223" s="22">
        <f ca="1">IFERROR(__xludf.DUMMYFUNCTION("""COMPUTED_VALUE"""),497428.809419999)</f>
        <v>497428.80941999902</v>
      </c>
      <c r="F223" s="22">
        <f ca="1">IFERROR(__xludf.DUMMYFUNCTION("""COMPUTED_VALUE"""),452569.916494999)</f>
        <v>452569.91649499902</v>
      </c>
      <c r="G223" s="22">
        <f ca="1">IFERROR(__xludf.DUMMYFUNCTION("""COMPUTED_VALUE"""),0)</f>
        <v>0</v>
      </c>
      <c r="H223" s="7">
        <f ca="1">IFERROR(__xludf.DUMMYFUNCTION("""COMPUTED_VALUE"""),496894.056494999)</f>
        <v>496894.05649499898</v>
      </c>
    </row>
    <row r="224" spans="1:8" ht="13" x14ac:dyDescent="0.15">
      <c r="A224" s="5" t="str">
        <f ca="1">IFERROR(__xludf.DUMMYFUNCTION("""COMPUTED_VALUE"""),"24442")</f>
        <v>24442</v>
      </c>
      <c r="B224" s="51">
        <f ca="1">IFERROR(__xludf.DUMMYFUNCTION("""COMPUTED_VALUE"""),44633)</f>
        <v>44633</v>
      </c>
      <c r="C224" s="22">
        <f ca="1">IFERROR(__xludf.DUMMYFUNCTION("""COMPUTED_VALUE"""),452569.916494999)</f>
        <v>452569.91649499902</v>
      </c>
      <c r="D224" s="22">
        <f ca="1">IFERROR(__xludf.DUMMYFUNCTION("""COMPUTED_VALUE"""),44922.250905)</f>
        <v>44922.250905000001</v>
      </c>
      <c r="E224" s="22">
        <f ca="1">IFERROR(__xludf.DUMMYFUNCTION("""COMPUTED_VALUE"""),497492.1674)</f>
        <v>497492.16739999998</v>
      </c>
      <c r="F224" s="22">
        <f ca="1">IFERROR(__xludf.DUMMYFUNCTION("""COMPUTED_VALUE"""),452569.916494999)</f>
        <v>452569.91649499902</v>
      </c>
      <c r="G224" s="22">
        <f ca="1">IFERROR(__xludf.DUMMYFUNCTION("""COMPUTED_VALUE"""),0)</f>
        <v>0</v>
      </c>
      <c r="H224" s="7">
        <f ca="1">IFERROR(__xludf.DUMMYFUNCTION("""COMPUTED_VALUE"""),496967.066495)</f>
        <v>496967.06649499998</v>
      </c>
    </row>
    <row r="225" spans="1:8" ht="13" x14ac:dyDescent="0.15">
      <c r="A225" s="5" t="str">
        <f ca="1">IFERROR(__xludf.DUMMYFUNCTION("""COMPUTED_VALUE"""),"24442")</f>
        <v>24442</v>
      </c>
      <c r="B225" s="51">
        <f ca="1">IFERROR(__xludf.DUMMYFUNCTION("""COMPUTED_VALUE"""),44634)</f>
        <v>44634</v>
      </c>
      <c r="C225" s="22">
        <f ca="1">IFERROR(__xludf.DUMMYFUNCTION("""COMPUTED_VALUE"""),-88189.5695575)</f>
        <v>-88189.569557499999</v>
      </c>
      <c r="D225" s="22">
        <f ca="1">IFERROR(__xludf.DUMMYFUNCTION("""COMPUTED_VALUE"""),584876.0550525)</f>
        <v>584876.05505249999</v>
      </c>
      <c r="E225" s="22">
        <f ca="1">IFERROR(__xludf.DUMMYFUNCTION("""COMPUTED_VALUE"""),496686.485494999)</f>
        <v>496686.48549499898</v>
      </c>
      <c r="F225" s="22">
        <f ca="1">IFERROR(__xludf.DUMMYFUNCTION("""COMPUTED_VALUE"""),-88189.5695575001)</f>
        <v>-88189.569557500101</v>
      </c>
      <c r="G225" s="22">
        <f ca="1">IFERROR(__xludf.DUMMYFUNCTION("""COMPUTED_VALUE"""),88189.5695575001)</f>
        <v>88189.569557500101</v>
      </c>
      <c r="H225" s="7">
        <f ca="1">IFERROR(__xludf.DUMMYFUNCTION("""COMPUTED_VALUE"""),496686.485494999)</f>
        <v>496686.48549499898</v>
      </c>
    </row>
    <row r="226" spans="1:8" ht="13" x14ac:dyDescent="0.15">
      <c r="A226" s="5" t="str">
        <f ca="1">IFERROR(__xludf.DUMMYFUNCTION("""COMPUTED_VALUE"""),"24442")</f>
        <v>24442</v>
      </c>
      <c r="B226" s="51">
        <f ca="1">IFERROR(__xludf.DUMMYFUNCTION("""COMPUTED_VALUE"""),44635)</f>
        <v>44635</v>
      </c>
      <c r="C226" s="22">
        <f ca="1">IFERROR(__xludf.DUMMYFUNCTION("""COMPUTED_VALUE"""),-88189.5695575)</f>
        <v>-88189.569557499999</v>
      </c>
      <c r="D226" s="22">
        <f ca="1">IFERROR(__xludf.DUMMYFUNCTION("""COMPUTED_VALUE"""),593571.6534555)</f>
        <v>593571.65345550003</v>
      </c>
      <c r="E226" s="22">
        <f ca="1">IFERROR(__xludf.DUMMYFUNCTION("""COMPUTED_VALUE"""),505382.083897999)</f>
        <v>505382.08389799902</v>
      </c>
      <c r="F226" s="22">
        <f ca="1">IFERROR(__xludf.DUMMYFUNCTION("""COMPUTED_VALUE"""),-88189.5695575001)</f>
        <v>-88189.569557500101</v>
      </c>
      <c r="G226" s="22">
        <f ca="1">IFERROR(__xludf.DUMMYFUNCTION("""COMPUTED_VALUE"""),88189.5695575001)</f>
        <v>88189.569557500101</v>
      </c>
      <c r="H226" s="7">
        <f ca="1">IFERROR(__xludf.DUMMYFUNCTION("""COMPUTED_VALUE"""),506340.794881999)</f>
        <v>506340.79488199903</v>
      </c>
    </row>
    <row r="227" spans="1:8" ht="13" x14ac:dyDescent="0.15">
      <c r="A227" s="5" t="str">
        <f ca="1">IFERROR(__xludf.DUMMYFUNCTION("""COMPUTED_VALUE"""),"24442")</f>
        <v>24442</v>
      </c>
      <c r="B227" s="51">
        <f ca="1">IFERROR(__xludf.DUMMYFUNCTION("""COMPUTED_VALUE"""),44636)</f>
        <v>44636</v>
      </c>
      <c r="C227" s="22">
        <f ca="1">IFERROR(__xludf.DUMMYFUNCTION("""COMPUTED_VALUE"""),-88189.5695575)</f>
        <v>-88189.569557499999</v>
      </c>
      <c r="D227" s="22">
        <f ca="1">IFERROR(__xludf.DUMMYFUNCTION("""COMPUTED_VALUE"""),601335.137548)</f>
        <v>601335.13754799997</v>
      </c>
      <c r="E227" s="22">
        <f ca="1">IFERROR(__xludf.DUMMYFUNCTION("""COMPUTED_VALUE"""),513145.567990499)</f>
        <v>513145.56799049902</v>
      </c>
      <c r="F227" s="22">
        <f ca="1">IFERROR(__xludf.DUMMYFUNCTION("""COMPUTED_VALUE"""),-88189.5695575001)</f>
        <v>-88189.569557500101</v>
      </c>
      <c r="G227" s="22">
        <f ca="1">IFERROR(__xludf.DUMMYFUNCTION("""COMPUTED_VALUE"""),88189.5695575001)</f>
        <v>88189.569557500101</v>
      </c>
      <c r="H227" s="7">
        <f ca="1">IFERROR(__xludf.DUMMYFUNCTION("""COMPUTED_VALUE"""),514660.457782499)</f>
        <v>514660.45778249903</v>
      </c>
    </row>
    <row r="228" spans="1:8" ht="13" x14ac:dyDescent="0.15">
      <c r="A228" s="5" t="str">
        <f ca="1">IFERROR(__xludf.DUMMYFUNCTION("""COMPUTED_VALUE"""),"24442")</f>
        <v>24442</v>
      </c>
      <c r="B228" s="51">
        <f ca="1">IFERROR(__xludf.DUMMYFUNCTION("""COMPUTED_VALUE"""),44637)</f>
        <v>44637</v>
      </c>
      <c r="C228" s="22">
        <f ca="1">IFERROR(__xludf.DUMMYFUNCTION("""COMPUTED_VALUE"""),-88189.5695575)</f>
        <v>-88189.569557499999</v>
      </c>
      <c r="D228" s="22">
        <f ca="1">IFERROR(__xludf.DUMMYFUNCTION("""COMPUTED_VALUE"""),606937.3498655)</f>
        <v>606937.3498655</v>
      </c>
      <c r="E228" s="22">
        <f ca="1">IFERROR(__xludf.DUMMYFUNCTION("""COMPUTED_VALUE"""),518747.780307999)</f>
        <v>518747.780307999</v>
      </c>
      <c r="F228" s="22">
        <f ca="1">IFERROR(__xludf.DUMMYFUNCTION("""COMPUTED_VALUE"""),-88189.5695575001)</f>
        <v>-88189.569557500101</v>
      </c>
      <c r="G228" s="22">
        <f ca="1">IFERROR(__xludf.DUMMYFUNCTION("""COMPUTED_VALUE"""),88189.5695575001)</f>
        <v>88189.569557500101</v>
      </c>
      <c r="H228" s="7">
        <f ca="1">IFERROR(__xludf.DUMMYFUNCTION("""COMPUTED_VALUE"""),521023.706139999)</f>
        <v>521023.70613999898</v>
      </c>
    </row>
    <row r="229" spans="1:8" ht="13" x14ac:dyDescent="0.15">
      <c r="A229" s="5" t="str">
        <f ca="1">IFERROR(__xludf.DUMMYFUNCTION("""COMPUTED_VALUE"""),"24442")</f>
        <v>24442</v>
      </c>
      <c r="B229" s="51">
        <f ca="1">IFERROR(__xludf.DUMMYFUNCTION("""COMPUTED_VALUE"""),44638)</f>
        <v>44638</v>
      </c>
      <c r="C229" s="22">
        <f ca="1">IFERROR(__xludf.DUMMYFUNCTION("""COMPUTED_VALUE"""),-88189.5695575)</f>
        <v>-88189.569557499999</v>
      </c>
      <c r="D229" s="22">
        <f ca="1">IFERROR(__xludf.DUMMYFUNCTION("""COMPUTED_VALUE"""),610004.685997)</f>
        <v>610004.68599699996</v>
      </c>
      <c r="E229" s="22">
        <f ca="1">IFERROR(__xludf.DUMMYFUNCTION("""COMPUTED_VALUE"""),521815.116439499)</f>
        <v>521815.11643949902</v>
      </c>
      <c r="F229" s="22">
        <f ca="1">IFERROR(__xludf.DUMMYFUNCTION("""COMPUTED_VALUE"""),-88189.5695575001)</f>
        <v>-88189.569557500101</v>
      </c>
      <c r="G229" s="22">
        <f ca="1">IFERROR(__xludf.DUMMYFUNCTION("""COMPUTED_VALUE"""),88189.5695575001)</f>
        <v>88189.569557500101</v>
      </c>
      <c r="H229" s="7">
        <f ca="1">IFERROR(__xludf.DUMMYFUNCTION("""COMPUTED_VALUE"""),524470.082263499)</f>
        <v>524470.08226349903</v>
      </c>
    </row>
    <row r="230" spans="1:8" ht="13" x14ac:dyDescent="0.15">
      <c r="A230" s="5" t="str">
        <f ca="1">IFERROR(__xludf.DUMMYFUNCTION("""COMPUTED_VALUE"""),"24442")</f>
        <v>24442</v>
      </c>
      <c r="B230" s="51">
        <f ca="1">IFERROR(__xludf.DUMMYFUNCTION("""COMPUTED_VALUE"""),44639)</f>
        <v>44639</v>
      </c>
      <c r="C230" s="22">
        <f ca="1">IFERROR(__xludf.DUMMYFUNCTION("""COMPUTED_VALUE"""),-88189.5695575)</f>
        <v>-88189.569557499999</v>
      </c>
      <c r="D230" s="22">
        <f ca="1">IFERROR(__xludf.DUMMYFUNCTION("""COMPUTED_VALUE"""),610004.685997)</f>
        <v>610004.68599699996</v>
      </c>
      <c r="E230" s="22">
        <f ca="1">IFERROR(__xludf.DUMMYFUNCTION("""COMPUTED_VALUE"""),521815.116439499)</f>
        <v>521815.11643949902</v>
      </c>
      <c r="F230" s="22">
        <f ca="1">IFERROR(__xludf.DUMMYFUNCTION("""COMPUTED_VALUE"""),-88189.5695575001)</f>
        <v>-88189.569557500101</v>
      </c>
      <c r="G230" s="22">
        <f ca="1">IFERROR(__xludf.DUMMYFUNCTION("""COMPUTED_VALUE"""),88189.5695575001)</f>
        <v>88189.569557500101</v>
      </c>
      <c r="H230" s="7">
        <f ca="1">IFERROR(__xludf.DUMMYFUNCTION("""COMPUTED_VALUE"""),524470.082263499)</f>
        <v>524470.08226349903</v>
      </c>
    </row>
    <row r="231" spans="1:8" ht="13" x14ac:dyDescent="0.15">
      <c r="A231" s="5" t="str">
        <f ca="1">IFERROR(__xludf.DUMMYFUNCTION("""COMPUTED_VALUE"""),"24442")</f>
        <v>24442</v>
      </c>
      <c r="B231" s="51">
        <f ca="1">IFERROR(__xludf.DUMMYFUNCTION("""COMPUTED_VALUE"""),44640)</f>
        <v>44640</v>
      </c>
      <c r="C231" s="22">
        <f ca="1">IFERROR(__xludf.DUMMYFUNCTION("""COMPUTED_VALUE"""),-88189.5695575)</f>
        <v>-88189.569557499999</v>
      </c>
      <c r="D231" s="22">
        <f ca="1">IFERROR(__xludf.DUMMYFUNCTION("""COMPUTED_VALUE"""),609771.5891407)</f>
        <v>609771.58914069994</v>
      </c>
      <c r="E231" s="22">
        <f ca="1">IFERROR(__xludf.DUMMYFUNCTION("""COMPUTED_VALUE"""),521582.0195832)</f>
        <v>521582.01958319999</v>
      </c>
      <c r="F231" s="22">
        <f ca="1">IFERROR(__xludf.DUMMYFUNCTION("""COMPUTED_VALUE"""),-88189.5695575001)</f>
        <v>-88189.569557500101</v>
      </c>
      <c r="G231" s="22">
        <f ca="1">IFERROR(__xludf.DUMMYFUNCTION("""COMPUTED_VALUE"""),88189.5695575001)</f>
        <v>88189.569557500101</v>
      </c>
      <c r="H231" s="7">
        <f ca="1">IFERROR(__xludf.DUMMYFUNCTION("""COMPUTED_VALUE"""),524225.774145599)</f>
        <v>524225.77414559899</v>
      </c>
    </row>
    <row r="232" spans="1:8" ht="13" x14ac:dyDescent="0.15">
      <c r="A232" s="5" t="str">
        <f ca="1">IFERROR(__xludf.DUMMYFUNCTION("""COMPUTED_VALUE"""),"24442")</f>
        <v>24442</v>
      </c>
      <c r="B232" s="51">
        <f ca="1">IFERROR(__xludf.DUMMYFUNCTION("""COMPUTED_VALUE"""),44641)</f>
        <v>44641</v>
      </c>
      <c r="C232" s="22">
        <f ca="1">IFERROR(__xludf.DUMMYFUNCTION("""COMPUTED_VALUE"""),-88189.5695575)</f>
        <v>-88189.569557499999</v>
      </c>
      <c r="D232" s="22">
        <f ca="1">IFERROR(__xludf.DUMMYFUNCTION("""COMPUTED_VALUE"""),607444.748955)</f>
        <v>607444.74895499996</v>
      </c>
      <c r="E232" s="22">
        <f ca="1">IFERROR(__xludf.DUMMYFUNCTION("""COMPUTED_VALUE"""),519255.1793975)</f>
        <v>519255.1793975</v>
      </c>
      <c r="F232" s="22">
        <f ca="1">IFERROR(__xludf.DUMMYFUNCTION("""COMPUTED_VALUE"""),-88189.5695575001)</f>
        <v>-88189.569557500101</v>
      </c>
      <c r="G232" s="22">
        <f ca="1">IFERROR(__xludf.DUMMYFUNCTION("""COMPUTED_VALUE"""),88189.5695575001)</f>
        <v>88189.569557500101</v>
      </c>
      <c r="H232" s="7">
        <f ca="1">IFERROR(__xludf.DUMMYFUNCTION("""COMPUTED_VALUE"""),521714.3535335)</f>
        <v>521714.35353349999</v>
      </c>
    </row>
    <row r="233" spans="1:8" ht="13" x14ac:dyDescent="0.15">
      <c r="A233" s="5" t="str">
        <f ca="1">IFERROR(__xludf.DUMMYFUNCTION("""COMPUTED_VALUE"""),"24442")</f>
        <v>24442</v>
      </c>
      <c r="B233" s="51">
        <f ca="1">IFERROR(__xludf.DUMMYFUNCTION("""COMPUTED_VALUE"""),44642)</f>
        <v>44642</v>
      </c>
      <c r="C233" s="22">
        <f ca="1">IFERROR(__xludf.DUMMYFUNCTION("""COMPUTED_VALUE"""),-88189.5695575)</f>
        <v>-88189.569557499999</v>
      </c>
      <c r="D233" s="22">
        <f ca="1">IFERROR(__xludf.DUMMYFUNCTION("""COMPUTED_VALUE"""),612072.970911)</f>
        <v>612072.97091100004</v>
      </c>
      <c r="E233" s="22">
        <f ca="1">IFERROR(__xludf.DUMMYFUNCTION("""COMPUTED_VALUE"""),523883.401353499)</f>
        <v>523883.40135349898</v>
      </c>
      <c r="F233" s="22">
        <f ca="1">IFERROR(__xludf.DUMMYFUNCTION("""COMPUTED_VALUE"""),-88189.5695575001)</f>
        <v>-88189.569557500101</v>
      </c>
      <c r="G233" s="22">
        <f ca="1">IFERROR(__xludf.DUMMYFUNCTION("""COMPUTED_VALUE"""),88189.5695575001)</f>
        <v>88189.569557500101</v>
      </c>
      <c r="H233" s="7">
        <f ca="1">IFERROR(__xludf.DUMMYFUNCTION("""COMPUTED_VALUE"""),526363.6714175)</f>
        <v>526363.67141750001</v>
      </c>
    </row>
    <row r="234" spans="1:8" ht="13" x14ac:dyDescent="0.15">
      <c r="A234" s="5" t="str">
        <f ca="1">IFERROR(__xludf.DUMMYFUNCTION("""COMPUTED_VALUE"""),"32312")</f>
        <v>32312</v>
      </c>
      <c r="B234" s="51">
        <f ca="1">IFERROR(__xludf.DUMMYFUNCTION("""COMPUTED_VALUE"""),44597)</f>
        <v>44597</v>
      </c>
      <c r="C234" s="22">
        <f ca="1">IFERROR(__xludf.DUMMYFUNCTION("""COMPUTED_VALUE"""),500000)</f>
        <v>500000</v>
      </c>
      <c r="D234" s="22">
        <f ca="1">IFERROR(__xludf.DUMMYFUNCTION("""COMPUTED_VALUE"""),0)</f>
        <v>0</v>
      </c>
      <c r="E234" s="22">
        <f ca="1">IFERROR(__xludf.DUMMYFUNCTION("""COMPUTED_VALUE"""),500000)</f>
        <v>500000</v>
      </c>
      <c r="F234" s="22">
        <f ca="1">IFERROR(__xludf.DUMMYFUNCTION("""COMPUTED_VALUE"""),500000)</f>
        <v>500000</v>
      </c>
      <c r="G234" s="22">
        <f ca="1">IFERROR(__xludf.DUMMYFUNCTION("""COMPUTED_VALUE"""),0)</f>
        <v>0</v>
      </c>
      <c r="H234" s="7">
        <f ca="1">IFERROR(__xludf.DUMMYFUNCTION("""COMPUTED_VALUE"""),500000)</f>
        <v>500000</v>
      </c>
    </row>
    <row r="235" spans="1:8" ht="13" x14ac:dyDescent="0.15">
      <c r="A235" s="5" t="str">
        <f ca="1">IFERROR(__xludf.DUMMYFUNCTION("""COMPUTED_VALUE"""),"32312")</f>
        <v>32312</v>
      </c>
      <c r="B235" s="51">
        <f ca="1">IFERROR(__xludf.DUMMYFUNCTION("""COMPUTED_VALUE"""),44598)</f>
        <v>44598</v>
      </c>
      <c r="C235" s="22">
        <f ca="1">IFERROR(__xludf.DUMMYFUNCTION("""COMPUTED_VALUE"""),500000)</f>
        <v>500000</v>
      </c>
      <c r="D235" s="22">
        <f ca="1">IFERROR(__xludf.DUMMYFUNCTION("""COMPUTED_VALUE"""),0)</f>
        <v>0</v>
      </c>
      <c r="E235" s="22">
        <f ca="1">IFERROR(__xludf.DUMMYFUNCTION("""COMPUTED_VALUE"""),500000)</f>
        <v>500000</v>
      </c>
      <c r="F235" s="22">
        <f ca="1">IFERROR(__xludf.DUMMYFUNCTION("""COMPUTED_VALUE"""),500000)</f>
        <v>500000</v>
      </c>
      <c r="G235" s="22">
        <f ca="1">IFERROR(__xludf.DUMMYFUNCTION("""COMPUTED_VALUE"""),0)</f>
        <v>0</v>
      </c>
      <c r="H235" s="7">
        <f ca="1">IFERROR(__xludf.DUMMYFUNCTION("""COMPUTED_VALUE"""),500000)</f>
        <v>500000</v>
      </c>
    </row>
    <row r="236" spans="1:8" ht="13" x14ac:dyDescent="0.15">
      <c r="A236" s="5" t="str">
        <f ca="1">IFERROR(__xludf.DUMMYFUNCTION("""COMPUTED_VALUE"""),"32312")</f>
        <v>32312</v>
      </c>
      <c r="B236" s="51">
        <f ca="1">IFERROR(__xludf.DUMMYFUNCTION("""COMPUTED_VALUE"""),44599)</f>
        <v>44599</v>
      </c>
      <c r="C236" s="22">
        <f ca="1">IFERROR(__xludf.DUMMYFUNCTION("""COMPUTED_VALUE"""),500000)</f>
        <v>500000</v>
      </c>
      <c r="D236" s="22">
        <f ca="1">IFERROR(__xludf.DUMMYFUNCTION("""COMPUTED_VALUE"""),0)</f>
        <v>0</v>
      </c>
      <c r="E236" s="22">
        <f ca="1">IFERROR(__xludf.DUMMYFUNCTION("""COMPUTED_VALUE"""),500000)</f>
        <v>500000</v>
      </c>
      <c r="F236" s="22">
        <f ca="1">IFERROR(__xludf.DUMMYFUNCTION("""COMPUTED_VALUE"""),500000)</f>
        <v>500000</v>
      </c>
      <c r="G236" s="22">
        <f ca="1">IFERROR(__xludf.DUMMYFUNCTION("""COMPUTED_VALUE"""),0)</f>
        <v>0</v>
      </c>
      <c r="H236" s="7">
        <f ca="1">IFERROR(__xludf.DUMMYFUNCTION("""COMPUTED_VALUE"""),500000)</f>
        <v>500000</v>
      </c>
    </row>
    <row r="237" spans="1:8" ht="13" x14ac:dyDescent="0.15">
      <c r="A237" s="5" t="str">
        <f ca="1">IFERROR(__xludf.DUMMYFUNCTION("""COMPUTED_VALUE"""),"32312")</f>
        <v>32312</v>
      </c>
      <c r="B237" s="51">
        <f ca="1">IFERROR(__xludf.DUMMYFUNCTION("""COMPUTED_VALUE"""),44600)</f>
        <v>44600</v>
      </c>
      <c r="C237" s="22">
        <f ca="1">IFERROR(__xludf.DUMMYFUNCTION("""COMPUTED_VALUE"""),500000)</f>
        <v>500000</v>
      </c>
      <c r="D237" s="22">
        <f ca="1">IFERROR(__xludf.DUMMYFUNCTION("""COMPUTED_VALUE"""),0)</f>
        <v>0</v>
      </c>
      <c r="E237" s="22">
        <f ca="1">IFERROR(__xludf.DUMMYFUNCTION("""COMPUTED_VALUE"""),500000)</f>
        <v>500000</v>
      </c>
      <c r="F237" s="22">
        <f ca="1">IFERROR(__xludf.DUMMYFUNCTION("""COMPUTED_VALUE"""),500000)</f>
        <v>500000</v>
      </c>
      <c r="G237" s="22">
        <f ca="1">IFERROR(__xludf.DUMMYFUNCTION("""COMPUTED_VALUE"""),0)</f>
        <v>0</v>
      </c>
      <c r="H237" s="7">
        <f ca="1">IFERROR(__xludf.DUMMYFUNCTION("""COMPUTED_VALUE"""),500000)</f>
        <v>500000</v>
      </c>
    </row>
    <row r="238" spans="1:8" ht="13" x14ac:dyDescent="0.15">
      <c r="A238" s="5" t="str">
        <f ca="1">IFERROR(__xludf.DUMMYFUNCTION("""COMPUTED_VALUE"""),"32312")</f>
        <v>32312</v>
      </c>
      <c r="B238" s="51">
        <f ca="1">IFERROR(__xludf.DUMMYFUNCTION("""COMPUTED_VALUE"""),44601)</f>
        <v>44601</v>
      </c>
      <c r="C238" s="22">
        <f ca="1">IFERROR(__xludf.DUMMYFUNCTION("""COMPUTED_VALUE"""),500000)</f>
        <v>500000</v>
      </c>
      <c r="D238" s="22">
        <f ca="1">IFERROR(__xludf.DUMMYFUNCTION("""COMPUTED_VALUE"""),0)</f>
        <v>0</v>
      </c>
      <c r="E238" s="22">
        <f ca="1">IFERROR(__xludf.DUMMYFUNCTION("""COMPUTED_VALUE"""),500000)</f>
        <v>500000</v>
      </c>
      <c r="F238" s="22">
        <f ca="1">IFERROR(__xludf.DUMMYFUNCTION("""COMPUTED_VALUE"""),500000)</f>
        <v>500000</v>
      </c>
      <c r="G238" s="22">
        <f ca="1">IFERROR(__xludf.DUMMYFUNCTION("""COMPUTED_VALUE"""),0)</f>
        <v>0</v>
      </c>
      <c r="H238" s="7">
        <f ca="1">IFERROR(__xludf.DUMMYFUNCTION("""COMPUTED_VALUE"""),500000)</f>
        <v>500000</v>
      </c>
    </row>
    <row r="239" spans="1:8" ht="13" x14ac:dyDescent="0.15">
      <c r="A239" s="5" t="str">
        <f ca="1">IFERROR(__xludf.DUMMYFUNCTION("""COMPUTED_VALUE"""),"32312")</f>
        <v>32312</v>
      </c>
      <c r="B239" s="51">
        <f ca="1">IFERROR(__xludf.DUMMYFUNCTION("""COMPUTED_VALUE"""),44602)</f>
        <v>44602</v>
      </c>
      <c r="C239" s="22">
        <f ca="1">IFERROR(__xludf.DUMMYFUNCTION("""COMPUTED_VALUE"""),500000)</f>
        <v>500000</v>
      </c>
      <c r="D239" s="22">
        <f ca="1">IFERROR(__xludf.DUMMYFUNCTION("""COMPUTED_VALUE"""),0)</f>
        <v>0</v>
      </c>
      <c r="E239" s="22">
        <f ca="1">IFERROR(__xludf.DUMMYFUNCTION("""COMPUTED_VALUE"""),500000)</f>
        <v>500000</v>
      </c>
      <c r="F239" s="22">
        <f ca="1">IFERROR(__xludf.DUMMYFUNCTION("""COMPUTED_VALUE"""),500000)</f>
        <v>500000</v>
      </c>
      <c r="G239" s="22">
        <f ca="1">IFERROR(__xludf.DUMMYFUNCTION("""COMPUTED_VALUE"""),0)</f>
        <v>0</v>
      </c>
      <c r="H239" s="7">
        <f ca="1">IFERROR(__xludf.DUMMYFUNCTION("""COMPUTED_VALUE"""),500000)</f>
        <v>500000</v>
      </c>
    </row>
    <row r="240" spans="1:8" ht="13" x14ac:dyDescent="0.15">
      <c r="A240" s="5" t="str">
        <f ca="1">IFERROR(__xludf.DUMMYFUNCTION("""COMPUTED_VALUE"""),"32312")</f>
        <v>32312</v>
      </c>
      <c r="B240" s="51">
        <f ca="1">IFERROR(__xludf.DUMMYFUNCTION("""COMPUTED_VALUE"""),44603)</f>
        <v>44603</v>
      </c>
      <c r="C240" s="22">
        <f ca="1">IFERROR(__xludf.DUMMYFUNCTION("""COMPUTED_VALUE"""),500000)</f>
        <v>500000</v>
      </c>
      <c r="D240" s="22">
        <f ca="1">IFERROR(__xludf.DUMMYFUNCTION("""COMPUTED_VALUE"""),0)</f>
        <v>0</v>
      </c>
      <c r="E240" s="22">
        <f ca="1">IFERROR(__xludf.DUMMYFUNCTION("""COMPUTED_VALUE"""),500000)</f>
        <v>500000</v>
      </c>
      <c r="F240" s="22">
        <f ca="1">IFERROR(__xludf.DUMMYFUNCTION("""COMPUTED_VALUE"""),500000)</f>
        <v>500000</v>
      </c>
      <c r="G240" s="22">
        <f ca="1">IFERROR(__xludf.DUMMYFUNCTION("""COMPUTED_VALUE"""),0)</f>
        <v>0</v>
      </c>
      <c r="H240" s="7">
        <f ca="1">IFERROR(__xludf.DUMMYFUNCTION("""COMPUTED_VALUE"""),500000)</f>
        <v>500000</v>
      </c>
    </row>
    <row r="241" spans="1:8" ht="13" x14ac:dyDescent="0.15">
      <c r="A241" s="5" t="str">
        <f ca="1">IFERROR(__xludf.DUMMYFUNCTION("""COMPUTED_VALUE"""),"32312")</f>
        <v>32312</v>
      </c>
      <c r="B241" s="51">
        <f ca="1">IFERROR(__xludf.DUMMYFUNCTION("""COMPUTED_VALUE"""),44604)</f>
        <v>44604</v>
      </c>
      <c r="C241" s="22">
        <f ca="1">IFERROR(__xludf.DUMMYFUNCTION("""COMPUTED_VALUE"""),500000)</f>
        <v>500000</v>
      </c>
      <c r="D241" s="22">
        <f ca="1">IFERROR(__xludf.DUMMYFUNCTION("""COMPUTED_VALUE"""),0)</f>
        <v>0</v>
      </c>
      <c r="E241" s="22">
        <f ca="1">IFERROR(__xludf.DUMMYFUNCTION("""COMPUTED_VALUE"""),500000)</f>
        <v>500000</v>
      </c>
      <c r="F241" s="22">
        <f ca="1">IFERROR(__xludf.DUMMYFUNCTION("""COMPUTED_VALUE"""),500000)</f>
        <v>500000</v>
      </c>
      <c r="G241" s="22">
        <f ca="1">IFERROR(__xludf.DUMMYFUNCTION("""COMPUTED_VALUE"""),0)</f>
        <v>0</v>
      </c>
      <c r="H241" s="7">
        <f ca="1">IFERROR(__xludf.DUMMYFUNCTION("""COMPUTED_VALUE"""),500000)</f>
        <v>500000</v>
      </c>
    </row>
    <row r="242" spans="1:8" ht="13" x14ac:dyDescent="0.15">
      <c r="A242" s="5" t="str">
        <f ca="1">IFERROR(__xludf.DUMMYFUNCTION("""COMPUTED_VALUE"""),"32312")</f>
        <v>32312</v>
      </c>
      <c r="B242" s="51">
        <f ca="1">IFERROR(__xludf.DUMMYFUNCTION("""COMPUTED_VALUE"""),44605)</f>
        <v>44605</v>
      </c>
      <c r="C242" s="22">
        <f ca="1">IFERROR(__xludf.DUMMYFUNCTION("""COMPUTED_VALUE"""),500000)</f>
        <v>500000</v>
      </c>
      <c r="D242" s="22">
        <f ca="1">IFERROR(__xludf.DUMMYFUNCTION("""COMPUTED_VALUE"""),0)</f>
        <v>0</v>
      </c>
      <c r="E242" s="22">
        <f ca="1">IFERROR(__xludf.DUMMYFUNCTION("""COMPUTED_VALUE"""),500000)</f>
        <v>500000</v>
      </c>
      <c r="F242" s="22">
        <f ca="1">IFERROR(__xludf.DUMMYFUNCTION("""COMPUTED_VALUE"""),500000)</f>
        <v>500000</v>
      </c>
      <c r="G242" s="22">
        <f ca="1">IFERROR(__xludf.DUMMYFUNCTION("""COMPUTED_VALUE"""),0)</f>
        <v>0</v>
      </c>
      <c r="H242" s="7">
        <f ca="1">IFERROR(__xludf.DUMMYFUNCTION("""COMPUTED_VALUE"""),500000)</f>
        <v>500000</v>
      </c>
    </row>
    <row r="243" spans="1:8" ht="13" x14ac:dyDescent="0.15">
      <c r="A243" s="5" t="str">
        <f ca="1">IFERROR(__xludf.DUMMYFUNCTION("""COMPUTED_VALUE"""),"32312")</f>
        <v>32312</v>
      </c>
      <c r="B243" s="51">
        <f ca="1">IFERROR(__xludf.DUMMYFUNCTION("""COMPUTED_VALUE"""),44606)</f>
        <v>44606</v>
      </c>
      <c r="C243" s="22">
        <f ca="1">IFERROR(__xludf.DUMMYFUNCTION("""COMPUTED_VALUE"""),500000)</f>
        <v>500000</v>
      </c>
      <c r="D243" s="22">
        <f ca="1">IFERROR(__xludf.DUMMYFUNCTION("""COMPUTED_VALUE"""),0)</f>
        <v>0</v>
      </c>
      <c r="E243" s="22">
        <f ca="1">IFERROR(__xludf.DUMMYFUNCTION("""COMPUTED_VALUE"""),500000)</f>
        <v>500000</v>
      </c>
      <c r="F243" s="22">
        <f ca="1">IFERROR(__xludf.DUMMYFUNCTION("""COMPUTED_VALUE"""),500000)</f>
        <v>500000</v>
      </c>
      <c r="G243" s="22">
        <f ca="1">IFERROR(__xludf.DUMMYFUNCTION("""COMPUTED_VALUE"""),0)</f>
        <v>0</v>
      </c>
      <c r="H243" s="7">
        <f ca="1">IFERROR(__xludf.DUMMYFUNCTION("""COMPUTED_VALUE"""),500000)</f>
        <v>500000</v>
      </c>
    </row>
    <row r="244" spans="1:8" ht="13" x14ac:dyDescent="0.15">
      <c r="A244" s="5" t="str">
        <f ca="1">IFERROR(__xludf.DUMMYFUNCTION("""COMPUTED_VALUE"""),"32312")</f>
        <v>32312</v>
      </c>
      <c r="B244" s="51">
        <f ca="1">IFERROR(__xludf.DUMMYFUNCTION("""COMPUTED_VALUE"""),44607)</f>
        <v>44607</v>
      </c>
      <c r="C244" s="22">
        <f ca="1">IFERROR(__xludf.DUMMYFUNCTION("""COMPUTED_VALUE"""),500000)</f>
        <v>500000</v>
      </c>
      <c r="D244" s="22">
        <f ca="1">IFERROR(__xludf.DUMMYFUNCTION("""COMPUTED_VALUE"""),0)</f>
        <v>0</v>
      </c>
      <c r="E244" s="22">
        <f ca="1">IFERROR(__xludf.DUMMYFUNCTION("""COMPUTED_VALUE"""),500000)</f>
        <v>500000</v>
      </c>
      <c r="F244" s="22">
        <f ca="1">IFERROR(__xludf.DUMMYFUNCTION("""COMPUTED_VALUE"""),500000)</f>
        <v>500000</v>
      </c>
      <c r="G244" s="22">
        <f ca="1">IFERROR(__xludf.DUMMYFUNCTION("""COMPUTED_VALUE"""),0)</f>
        <v>0</v>
      </c>
      <c r="H244" s="7">
        <f ca="1">IFERROR(__xludf.DUMMYFUNCTION("""COMPUTED_VALUE"""),500000)</f>
        <v>500000</v>
      </c>
    </row>
    <row r="245" spans="1:8" ht="13" x14ac:dyDescent="0.15">
      <c r="A245" s="5" t="str">
        <f ca="1">IFERROR(__xludf.DUMMYFUNCTION("""COMPUTED_VALUE"""),"32312")</f>
        <v>32312</v>
      </c>
      <c r="B245" s="51">
        <f ca="1">IFERROR(__xludf.DUMMYFUNCTION("""COMPUTED_VALUE"""),44608)</f>
        <v>44608</v>
      </c>
      <c r="C245" s="22">
        <f ca="1">IFERROR(__xludf.DUMMYFUNCTION("""COMPUTED_VALUE"""),500000)</f>
        <v>500000</v>
      </c>
      <c r="D245" s="22">
        <f ca="1">IFERROR(__xludf.DUMMYFUNCTION("""COMPUTED_VALUE"""),0)</f>
        <v>0</v>
      </c>
      <c r="E245" s="22">
        <f ca="1">IFERROR(__xludf.DUMMYFUNCTION("""COMPUTED_VALUE"""),500000)</f>
        <v>500000</v>
      </c>
      <c r="F245" s="22">
        <f ca="1">IFERROR(__xludf.DUMMYFUNCTION("""COMPUTED_VALUE"""),500000)</f>
        <v>500000</v>
      </c>
      <c r="G245" s="22">
        <f ca="1">IFERROR(__xludf.DUMMYFUNCTION("""COMPUTED_VALUE"""),0)</f>
        <v>0</v>
      </c>
      <c r="H245" s="7">
        <f ca="1">IFERROR(__xludf.DUMMYFUNCTION("""COMPUTED_VALUE"""),500000)</f>
        <v>500000</v>
      </c>
    </row>
    <row r="246" spans="1:8" ht="13" x14ac:dyDescent="0.15">
      <c r="A246" s="5" t="str">
        <f ca="1">IFERROR(__xludf.DUMMYFUNCTION("""COMPUTED_VALUE"""),"32312")</f>
        <v>32312</v>
      </c>
      <c r="B246" s="51">
        <f ca="1">IFERROR(__xludf.DUMMYFUNCTION("""COMPUTED_VALUE"""),44609)</f>
        <v>44609</v>
      </c>
      <c r="C246" s="22">
        <f ca="1">IFERROR(__xludf.DUMMYFUNCTION("""COMPUTED_VALUE"""),376974.4202555)</f>
        <v>376974.42025550001</v>
      </c>
      <c r="D246" s="22">
        <f ca="1">IFERROR(__xludf.DUMMYFUNCTION("""COMPUTED_VALUE"""),123025.5797445)</f>
        <v>123025.57974450001</v>
      </c>
      <c r="E246" s="22">
        <f ca="1">IFERROR(__xludf.DUMMYFUNCTION("""COMPUTED_VALUE"""),500000)</f>
        <v>500000</v>
      </c>
      <c r="F246" s="22">
        <f ca="1">IFERROR(__xludf.DUMMYFUNCTION("""COMPUTED_VALUE"""),376974.4202555)</f>
        <v>376974.42025550001</v>
      </c>
      <c r="G246" s="22">
        <f ca="1">IFERROR(__xludf.DUMMYFUNCTION("""COMPUTED_VALUE"""),0)</f>
        <v>0</v>
      </c>
      <c r="H246" s="7">
        <f ca="1">IFERROR(__xludf.DUMMYFUNCTION("""COMPUTED_VALUE"""),500000)</f>
        <v>500000</v>
      </c>
    </row>
    <row r="247" spans="1:8" ht="13" x14ac:dyDescent="0.15">
      <c r="A247" s="5" t="str">
        <f ca="1">IFERROR(__xludf.DUMMYFUNCTION("""COMPUTED_VALUE"""),"32312")</f>
        <v>32312</v>
      </c>
      <c r="B247" s="51">
        <f ca="1">IFERROR(__xludf.DUMMYFUNCTION("""COMPUTED_VALUE"""),44610)</f>
        <v>44610</v>
      </c>
      <c r="C247" s="22">
        <f ca="1">IFERROR(__xludf.DUMMYFUNCTION("""COMPUTED_VALUE"""),283953.3385055)</f>
        <v>283953.3385055</v>
      </c>
      <c r="D247" s="22">
        <f ca="1">IFERROR(__xludf.DUMMYFUNCTION("""COMPUTED_VALUE"""),213348.9408264)</f>
        <v>213348.94082640001</v>
      </c>
      <c r="E247" s="22">
        <f ca="1">IFERROR(__xludf.DUMMYFUNCTION("""COMPUTED_VALUE"""),497302.2793319)</f>
        <v>497302.2793319</v>
      </c>
      <c r="F247" s="22">
        <f ca="1">IFERROR(__xludf.DUMMYFUNCTION("""COMPUTED_VALUE"""),283953.3385055)</f>
        <v>283953.3385055</v>
      </c>
      <c r="G247" s="22">
        <f ca="1">IFERROR(__xludf.DUMMYFUNCTION("""COMPUTED_VALUE"""),0)</f>
        <v>0</v>
      </c>
      <c r="H247" s="7">
        <f ca="1">IFERROR(__xludf.DUMMYFUNCTION("""COMPUTED_VALUE"""),497302.2793319)</f>
        <v>497302.2793319</v>
      </c>
    </row>
    <row r="248" spans="1:8" ht="13" x14ac:dyDescent="0.15">
      <c r="A248" s="5" t="str">
        <f ca="1">IFERROR(__xludf.DUMMYFUNCTION("""COMPUTED_VALUE"""),"32312")</f>
        <v>32312</v>
      </c>
      <c r="B248" s="51">
        <f ca="1">IFERROR(__xludf.DUMMYFUNCTION("""COMPUTED_VALUE"""),44611)</f>
        <v>44611</v>
      </c>
      <c r="C248" s="22">
        <f ca="1">IFERROR(__xludf.DUMMYFUNCTION("""COMPUTED_VALUE"""),283953.3385055)</f>
        <v>283953.3385055</v>
      </c>
      <c r="D248" s="22">
        <f ca="1">IFERROR(__xludf.DUMMYFUNCTION("""COMPUTED_VALUE"""),213348.9408264)</f>
        <v>213348.94082640001</v>
      </c>
      <c r="E248" s="22">
        <f ca="1">IFERROR(__xludf.DUMMYFUNCTION("""COMPUTED_VALUE"""),497302.2793319)</f>
        <v>497302.2793319</v>
      </c>
      <c r="F248" s="22">
        <f ca="1">IFERROR(__xludf.DUMMYFUNCTION("""COMPUTED_VALUE"""),283953.3385055)</f>
        <v>283953.3385055</v>
      </c>
      <c r="G248" s="22">
        <f ca="1">IFERROR(__xludf.DUMMYFUNCTION("""COMPUTED_VALUE"""),0)</f>
        <v>0</v>
      </c>
      <c r="H248" s="7">
        <f ca="1">IFERROR(__xludf.DUMMYFUNCTION("""COMPUTED_VALUE"""),497302.2793319)</f>
        <v>497302.2793319</v>
      </c>
    </row>
    <row r="249" spans="1:8" ht="13" x14ac:dyDescent="0.15">
      <c r="A249" s="5" t="str">
        <f ca="1">IFERROR(__xludf.DUMMYFUNCTION("""COMPUTED_VALUE"""),"32312")</f>
        <v>32312</v>
      </c>
      <c r="B249" s="51">
        <f ca="1">IFERROR(__xludf.DUMMYFUNCTION("""COMPUTED_VALUE"""),44612)</f>
        <v>44612</v>
      </c>
      <c r="C249" s="22">
        <f ca="1">IFERROR(__xludf.DUMMYFUNCTION("""COMPUTED_VALUE"""),283953.3385055)</f>
        <v>283953.3385055</v>
      </c>
      <c r="D249" s="22">
        <f ca="1">IFERROR(__xludf.DUMMYFUNCTION("""COMPUTED_VALUE"""),213344.8530318)</f>
        <v>213344.85303180001</v>
      </c>
      <c r="E249" s="22">
        <f ca="1">IFERROR(__xludf.DUMMYFUNCTION("""COMPUTED_VALUE"""),497298.1915373)</f>
        <v>497298.19153730001</v>
      </c>
      <c r="F249" s="22">
        <f ca="1">IFERROR(__xludf.DUMMYFUNCTION("""COMPUTED_VALUE"""),283953.3385055)</f>
        <v>283953.3385055</v>
      </c>
      <c r="G249" s="22">
        <f ca="1">IFERROR(__xludf.DUMMYFUNCTION("""COMPUTED_VALUE"""),0)</f>
        <v>0</v>
      </c>
      <c r="H249" s="7">
        <f ca="1">IFERROR(__xludf.DUMMYFUNCTION("""COMPUTED_VALUE"""),497295.0314123)</f>
        <v>497295.03141230001</v>
      </c>
    </row>
    <row r="250" spans="1:8" ht="13" x14ac:dyDescent="0.15">
      <c r="A250" s="5" t="str">
        <f ca="1">IFERROR(__xludf.DUMMYFUNCTION("""COMPUTED_VALUE"""),"32312")</f>
        <v>32312</v>
      </c>
      <c r="B250" s="51">
        <f ca="1">IFERROR(__xludf.DUMMYFUNCTION("""COMPUTED_VALUE"""),44613)</f>
        <v>44613</v>
      </c>
      <c r="C250" s="22">
        <f ca="1">IFERROR(__xludf.DUMMYFUNCTION("""COMPUTED_VALUE"""),283953.3385055)</f>
        <v>283953.3385055</v>
      </c>
      <c r="D250" s="22">
        <f ca="1">IFERROR(__xludf.DUMMYFUNCTION("""COMPUTED_VALUE"""),213356.5765182)</f>
        <v>213356.57651819999</v>
      </c>
      <c r="E250" s="22">
        <f ca="1">IFERROR(__xludf.DUMMYFUNCTION("""COMPUTED_VALUE"""),497309.9150237)</f>
        <v>497309.91502369998</v>
      </c>
      <c r="F250" s="22">
        <f ca="1">IFERROR(__xludf.DUMMYFUNCTION("""COMPUTED_VALUE"""),283953.3385055)</f>
        <v>283953.3385055</v>
      </c>
      <c r="G250" s="22">
        <f ca="1">IFERROR(__xludf.DUMMYFUNCTION("""COMPUTED_VALUE"""),0)</f>
        <v>0</v>
      </c>
      <c r="H250" s="7">
        <f ca="1">IFERROR(__xludf.DUMMYFUNCTION("""COMPUTED_VALUE"""),497315.8178987)</f>
        <v>497315.81789870001</v>
      </c>
    </row>
    <row r="251" spans="1:8" ht="13" x14ac:dyDescent="0.15">
      <c r="A251" s="5" t="str">
        <f ca="1">IFERROR(__xludf.DUMMYFUNCTION("""COMPUTED_VALUE"""),"32312")</f>
        <v>32312</v>
      </c>
      <c r="B251" s="51">
        <f ca="1">IFERROR(__xludf.DUMMYFUNCTION("""COMPUTED_VALUE"""),44614)</f>
        <v>44614</v>
      </c>
      <c r="C251" s="22">
        <f ca="1">IFERROR(__xludf.DUMMYFUNCTION("""COMPUTED_VALUE"""),283953.3385055)</f>
        <v>283953.3385055</v>
      </c>
      <c r="D251" s="22">
        <f ca="1">IFERROR(__xludf.DUMMYFUNCTION("""COMPUTED_VALUE"""),208389.771945)</f>
        <v>208389.77194499999</v>
      </c>
      <c r="E251" s="22">
        <f ca="1">IFERROR(__xludf.DUMMYFUNCTION("""COMPUTED_VALUE"""),492343.1104505)</f>
        <v>492343.11045049998</v>
      </c>
      <c r="F251" s="22">
        <f ca="1">IFERROR(__xludf.DUMMYFUNCTION("""COMPUTED_VALUE"""),283953.3385055)</f>
        <v>283953.3385055</v>
      </c>
      <c r="G251" s="22">
        <f ca="1">IFERROR(__xludf.DUMMYFUNCTION("""COMPUTED_VALUE"""),0)</f>
        <v>0</v>
      </c>
      <c r="H251" s="7">
        <f ca="1">IFERROR(__xludf.DUMMYFUNCTION("""COMPUTED_VALUE"""),491866.3872005)</f>
        <v>491866.3872005</v>
      </c>
    </row>
    <row r="252" spans="1:8" ht="13" x14ac:dyDescent="0.15">
      <c r="A252" s="5" t="str">
        <f ca="1">IFERROR(__xludf.DUMMYFUNCTION("""COMPUTED_VALUE"""),"32312")</f>
        <v>32312</v>
      </c>
      <c r="B252" s="51">
        <f ca="1">IFERROR(__xludf.DUMMYFUNCTION("""COMPUTED_VALUE"""),44615)</f>
        <v>44615</v>
      </c>
      <c r="C252" s="22">
        <f ca="1">IFERROR(__xludf.DUMMYFUNCTION("""COMPUTED_VALUE"""),283953.3385055)</f>
        <v>283953.3385055</v>
      </c>
      <c r="D252" s="22">
        <f ca="1">IFERROR(__xludf.DUMMYFUNCTION("""COMPUTED_VALUE"""),200367.250073999)</f>
        <v>200367.25007399899</v>
      </c>
      <c r="E252" s="22">
        <f ca="1">IFERROR(__xludf.DUMMYFUNCTION("""COMPUTED_VALUE"""),484320.5885795)</f>
        <v>484320.58857949998</v>
      </c>
      <c r="F252" s="22">
        <f ca="1">IFERROR(__xludf.DUMMYFUNCTION("""COMPUTED_VALUE"""),283953.3385055)</f>
        <v>283953.3385055</v>
      </c>
      <c r="G252" s="22">
        <f ca="1">IFERROR(__xludf.DUMMYFUNCTION("""COMPUTED_VALUE"""),0)</f>
        <v>0</v>
      </c>
      <c r="H252" s="7">
        <f ca="1">IFERROR(__xludf.DUMMYFUNCTION("""COMPUTED_VALUE"""),481993.372014499)</f>
        <v>481993.37201449898</v>
      </c>
    </row>
    <row r="253" spans="1:8" ht="13" x14ac:dyDescent="0.15">
      <c r="A253" s="5" t="str">
        <f ca="1">IFERROR(__xludf.DUMMYFUNCTION("""COMPUTED_VALUE"""),"32312")</f>
        <v>32312</v>
      </c>
      <c r="B253" s="51">
        <f ca="1">IFERROR(__xludf.DUMMYFUNCTION("""COMPUTED_VALUE"""),44616)</f>
        <v>44616</v>
      </c>
      <c r="C253" s="22">
        <f ca="1">IFERROR(__xludf.DUMMYFUNCTION("""COMPUTED_VALUE"""),127677.1622255)</f>
        <v>127677.1622255</v>
      </c>
      <c r="D253" s="22">
        <f ca="1">IFERROR(__xludf.DUMMYFUNCTION("""COMPUTED_VALUE"""),357520.542142499)</f>
        <v>357520.54214249901</v>
      </c>
      <c r="E253" s="22">
        <f ca="1">IFERROR(__xludf.DUMMYFUNCTION("""COMPUTED_VALUE"""),485197.704367999)</f>
        <v>485197.70436799899</v>
      </c>
      <c r="F253" s="22">
        <f ca="1">IFERROR(__xludf.DUMMYFUNCTION("""COMPUTED_VALUE"""),127677.162225499)</f>
        <v>127677.16222549901</v>
      </c>
      <c r="G253" s="22">
        <f ca="1">IFERROR(__xludf.DUMMYFUNCTION("""COMPUTED_VALUE"""),0)</f>
        <v>0</v>
      </c>
      <c r="H253" s="7">
        <f ca="1">IFERROR(__xludf.DUMMYFUNCTION("""COMPUTED_VALUE"""),485197.704367999)</f>
        <v>485197.70436799899</v>
      </c>
    </row>
    <row r="254" spans="1:8" ht="13" x14ac:dyDescent="0.15">
      <c r="A254" s="5" t="str">
        <f ca="1">IFERROR(__xludf.DUMMYFUNCTION("""COMPUTED_VALUE"""),"32312")</f>
        <v>32312</v>
      </c>
      <c r="B254" s="51">
        <f ca="1">IFERROR(__xludf.DUMMYFUNCTION("""COMPUTED_VALUE"""),44617)</f>
        <v>44617</v>
      </c>
      <c r="C254" s="22">
        <f ca="1">IFERROR(__xludf.DUMMYFUNCTION("""COMPUTED_VALUE"""),127677.1622255)</f>
        <v>127677.1622255</v>
      </c>
      <c r="D254" s="22">
        <f ca="1">IFERROR(__xludf.DUMMYFUNCTION("""COMPUTED_VALUE"""),361101.7773867)</f>
        <v>361101.77738669998</v>
      </c>
      <c r="E254" s="22">
        <f ca="1">IFERROR(__xludf.DUMMYFUNCTION("""COMPUTED_VALUE"""),488778.9396122)</f>
        <v>488778.93961220002</v>
      </c>
      <c r="F254" s="22">
        <f ca="1">IFERROR(__xludf.DUMMYFUNCTION("""COMPUTED_VALUE"""),127677.162225499)</f>
        <v>127677.16222549901</v>
      </c>
      <c r="G254" s="22">
        <f ca="1">IFERROR(__xludf.DUMMYFUNCTION("""COMPUTED_VALUE"""),0)</f>
        <v>0</v>
      </c>
      <c r="H254" s="7">
        <f ca="1">IFERROR(__xludf.DUMMYFUNCTION("""COMPUTED_VALUE"""),488930.526717799)</f>
        <v>488930.52671779902</v>
      </c>
    </row>
    <row r="255" spans="1:8" ht="13" x14ac:dyDescent="0.15">
      <c r="A255" s="5" t="str">
        <f ca="1">IFERROR(__xludf.DUMMYFUNCTION("""COMPUTED_VALUE"""),"32312")</f>
        <v>32312</v>
      </c>
      <c r="B255" s="51">
        <f ca="1">IFERROR(__xludf.DUMMYFUNCTION("""COMPUTED_VALUE"""),44618)</f>
        <v>44618</v>
      </c>
      <c r="C255" s="22">
        <f ca="1">IFERROR(__xludf.DUMMYFUNCTION("""COMPUTED_VALUE"""),127677.1622255)</f>
        <v>127677.1622255</v>
      </c>
      <c r="D255" s="22">
        <f ca="1">IFERROR(__xludf.DUMMYFUNCTION("""COMPUTED_VALUE"""),361105.712105699)</f>
        <v>361105.712105699</v>
      </c>
      <c r="E255" s="22">
        <f ca="1">IFERROR(__xludf.DUMMYFUNCTION("""COMPUTED_VALUE"""),488782.874331199)</f>
        <v>488782.87433119898</v>
      </c>
      <c r="F255" s="22">
        <f ca="1">IFERROR(__xludf.DUMMYFUNCTION("""COMPUTED_VALUE"""),127677.162225499)</f>
        <v>127677.16222549901</v>
      </c>
      <c r="G255" s="22">
        <f ca="1">IFERROR(__xludf.DUMMYFUNCTION("""COMPUTED_VALUE"""),0)</f>
        <v>0</v>
      </c>
      <c r="H255" s="7">
        <f ca="1">IFERROR(__xludf.DUMMYFUNCTION("""COMPUTED_VALUE"""),488937.4664288)</f>
        <v>488937.46642880002</v>
      </c>
    </row>
    <row r="256" spans="1:8" ht="13" x14ac:dyDescent="0.15">
      <c r="A256" s="5" t="str">
        <f ca="1">IFERROR(__xludf.DUMMYFUNCTION("""COMPUTED_VALUE"""),"32312")</f>
        <v>32312</v>
      </c>
      <c r="B256" s="51">
        <f ca="1">IFERROR(__xludf.DUMMYFUNCTION("""COMPUTED_VALUE"""),44619)</f>
        <v>44619</v>
      </c>
      <c r="C256" s="22">
        <f ca="1">IFERROR(__xludf.DUMMYFUNCTION("""COMPUTED_VALUE"""),127677.1622255)</f>
        <v>127677.1622255</v>
      </c>
      <c r="D256" s="22">
        <f ca="1">IFERROR(__xludf.DUMMYFUNCTION("""COMPUTED_VALUE"""),361096.662251999)</f>
        <v>361096.66225199902</v>
      </c>
      <c r="E256" s="22">
        <f ca="1">IFERROR(__xludf.DUMMYFUNCTION("""COMPUTED_VALUE"""),488773.824477499)</f>
        <v>488773.824477499</v>
      </c>
      <c r="F256" s="22">
        <f ca="1">IFERROR(__xludf.DUMMYFUNCTION("""COMPUTED_VALUE"""),127677.162225499)</f>
        <v>127677.16222549901</v>
      </c>
      <c r="G256" s="22">
        <f ca="1">IFERROR(__xludf.DUMMYFUNCTION("""COMPUTED_VALUE"""),0)</f>
        <v>0</v>
      </c>
      <c r="H256" s="7">
        <f ca="1">IFERROR(__xludf.DUMMYFUNCTION("""COMPUTED_VALUE"""),488921.5050935)</f>
        <v>488921.50509350002</v>
      </c>
    </row>
    <row r="257" spans="1:8" ht="13" x14ac:dyDescent="0.15">
      <c r="A257" s="5" t="str">
        <f ca="1">IFERROR(__xludf.DUMMYFUNCTION("""COMPUTED_VALUE"""),"32312")</f>
        <v>32312</v>
      </c>
      <c r="B257" s="51">
        <f ca="1">IFERROR(__xludf.DUMMYFUNCTION("""COMPUTED_VALUE"""),44620)</f>
        <v>44620</v>
      </c>
      <c r="C257" s="22">
        <f ca="1">IFERROR(__xludf.DUMMYFUNCTION("""COMPUTED_VALUE"""),127677.1622255)</f>
        <v>127677.1622255</v>
      </c>
      <c r="D257" s="22">
        <f ca="1">IFERROR(__xludf.DUMMYFUNCTION("""COMPUTED_VALUE"""),368633.558297999)</f>
        <v>368633.55829799903</v>
      </c>
      <c r="E257" s="22">
        <f ca="1">IFERROR(__xludf.DUMMYFUNCTION("""COMPUTED_VALUE"""),496310.7205235)</f>
        <v>496310.7205235</v>
      </c>
      <c r="F257" s="22">
        <f ca="1">IFERROR(__xludf.DUMMYFUNCTION("""COMPUTED_VALUE"""),127677.162225499)</f>
        <v>127677.16222549901</v>
      </c>
      <c r="G257" s="22">
        <f ca="1">IFERROR(__xludf.DUMMYFUNCTION("""COMPUTED_VALUE"""),0)</f>
        <v>0</v>
      </c>
      <c r="H257" s="7">
        <f ca="1">IFERROR(__xludf.DUMMYFUNCTION("""COMPUTED_VALUE"""),496632.959295499)</f>
        <v>496632.95929549902</v>
      </c>
    </row>
    <row r="258" spans="1:8" ht="13" x14ac:dyDescent="0.15">
      <c r="A258" s="5" t="str">
        <f ca="1">IFERROR(__xludf.DUMMYFUNCTION("""COMPUTED_VALUE"""),"32312")</f>
        <v>32312</v>
      </c>
      <c r="B258" s="51">
        <f ca="1">IFERROR(__xludf.DUMMYFUNCTION("""COMPUTED_VALUE"""),44621)</f>
        <v>44621</v>
      </c>
      <c r="C258" s="22">
        <f ca="1">IFERROR(__xludf.DUMMYFUNCTION("""COMPUTED_VALUE"""),127677.1622255)</f>
        <v>127677.1622255</v>
      </c>
      <c r="D258" s="22">
        <f ca="1">IFERROR(__xludf.DUMMYFUNCTION("""COMPUTED_VALUE"""),366876.6372753)</f>
        <v>366876.63727529999</v>
      </c>
      <c r="E258" s="22">
        <f ca="1">IFERROR(__xludf.DUMMYFUNCTION("""COMPUTED_VALUE"""),494553.799500799)</f>
        <v>494553.79950079898</v>
      </c>
      <c r="F258" s="22">
        <f ca="1">IFERROR(__xludf.DUMMYFUNCTION("""COMPUTED_VALUE"""),127677.162225499)</f>
        <v>127677.16222549901</v>
      </c>
      <c r="G258" s="22">
        <f ca="1">IFERROR(__xludf.DUMMYFUNCTION("""COMPUTED_VALUE"""),0)</f>
        <v>0</v>
      </c>
      <c r="H258" s="7">
        <f ca="1">IFERROR(__xludf.DUMMYFUNCTION("""COMPUTED_VALUE"""),501100.2245672)</f>
        <v>501100.2245672</v>
      </c>
    </row>
    <row r="259" spans="1:8" ht="13" x14ac:dyDescent="0.15">
      <c r="A259" s="5" t="str">
        <f ca="1">IFERROR(__xludf.DUMMYFUNCTION("""COMPUTED_VALUE"""),"32312")</f>
        <v>32312</v>
      </c>
      <c r="B259" s="51">
        <f ca="1">IFERROR(__xludf.DUMMYFUNCTION("""COMPUTED_VALUE"""),44622)</f>
        <v>44622</v>
      </c>
      <c r="C259" s="22">
        <f ca="1">IFERROR(__xludf.DUMMYFUNCTION("""COMPUTED_VALUE"""),127677.1622255)</f>
        <v>127677.1622255</v>
      </c>
      <c r="D259" s="22">
        <f ca="1">IFERROR(__xludf.DUMMYFUNCTION("""COMPUTED_VALUE"""),367872.628794)</f>
        <v>367872.62879400002</v>
      </c>
      <c r="E259" s="22">
        <f ca="1">IFERROR(__xludf.DUMMYFUNCTION("""COMPUTED_VALUE"""),495549.7910195)</f>
        <v>495549.7910195</v>
      </c>
      <c r="F259" s="22">
        <f ca="1">IFERROR(__xludf.DUMMYFUNCTION("""COMPUTED_VALUE"""),127677.162225499)</f>
        <v>127677.16222549901</v>
      </c>
      <c r="G259" s="22">
        <f ca="1">IFERROR(__xludf.DUMMYFUNCTION("""COMPUTED_VALUE"""),0)</f>
        <v>0</v>
      </c>
      <c r="H259" s="7">
        <f ca="1">IFERROR(__xludf.DUMMYFUNCTION("""COMPUTED_VALUE"""),499906.547679499)</f>
        <v>499906.54767949902</v>
      </c>
    </row>
    <row r="260" spans="1:8" ht="13" x14ac:dyDescent="0.15">
      <c r="A260" s="5" t="str">
        <f ca="1">IFERROR(__xludf.DUMMYFUNCTION("""COMPUTED_VALUE"""),"32312")</f>
        <v>32312</v>
      </c>
      <c r="B260" s="51">
        <f ca="1">IFERROR(__xludf.DUMMYFUNCTION("""COMPUTED_VALUE"""),44623)</f>
        <v>44623</v>
      </c>
      <c r="C260" s="22">
        <f ca="1">IFERROR(__xludf.DUMMYFUNCTION("""COMPUTED_VALUE"""),199154.3610115)</f>
        <v>199154.3610115</v>
      </c>
      <c r="D260" s="22">
        <f ca="1">IFERROR(__xludf.DUMMYFUNCTION("""COMPUTED_VALUE"""),296467.852177)</f>
        <v>296467.85217700002</v>
      </c>
      <c r="E260" s="22">
        <f ca="1">IFERROR(__xludf.DUMMYFUNCTION("""COMPUTED_VALUE"""),495622.2131885)</f>
        <v>495622.21318850003</v>
      </c>
      <c r="F260" s="22">
        <f ca="1">IFERROR(__xludf.DUMMYFUNCTION("""COMPUTED_VALUE"""),199154.361011499)</f>
        <v>199154.36101149899</v>
      </c>
      <c r="G260" s="22">
        <f ca="1">IFERROR(__xludf.DUMMYFUNCTION("""COMPUTED_VALUE"""),0)</f>
        <v>0</v>
      </c>
      <c r="H260" s="7">
        <f ca="1">IFERROR(__xludf.DUMMYFUNCTION("""COMPUTED_VALUE"""),495622.2131885)</f>
        <v>495622.21318850003</v>
      </c>
    </row>
    <row r="261" spans="1:8" ht="13" x14ac:dyDescent="0.15">
      <c r="A261" s="5" t="str">
        <f ca="1">IFERROR(__xludf.DUMMYFUNCTION("""COMPUTED_VALUE"""),"32312")</f>
        <v>32312</v>
      </c>
      <c r="B261" s="51">
        <f ca="1">IFERROR(__xludf.DUMMYFUNCTION("""COMPUTED_VALUE"""),44624)</f>
        <v>44624</v>
      </c>
      <c r="C261" s="22">
        <f ca="1">IFERROR(__xludf.DUMMYFUNCTION("""COMPUTED_VALUE"""),81242.9709499)</f>
        <v>81242.970949900002</v>
      </c>
      <c r="D261" s="22">
        <f ca="1">IFERROR(__xludf.DUMMYFUNCTION("""COMPUTED_VALUE"""),414668.9879112)</f>
        <v>414668.98791119998</v>
      </c>
      <c r="E261" s="22">
        <f ca="1">IFERROR(__xludf.DUMMYFUNCTION("""COMPUTED_VALUE"""),495911.9588611)</f>
        <v>495911.95886110002</v>
      </c>
      <c r="F261" s="22">
        <f ca="1">IFERROR(__xludf.DUMMYFUNCTION("""COMPUTED_VALUE"""),81242.9709498999)</f>
        <v>81242.9709498999</v>
      </c>
      <c r="G261" s="22">
        <f ca="1">IFERROR(__xludf.DUMMYFUNCTION("""COMPUTED_VALUE"""),0)</f>
        <v>0</v>
      </c>
      <c r="H261" s="7">
        <f ca="1">IFERROR(__xludf.DUMMYFUNCTION("""COMPUTED_VALUE"""),495911.958861099)</f>
        <v>495911.95886109897</v>
      </c>
    </row>
    <row r="262" spans="1:8" ht="13" x14ac:dyDescent="0.15">
      <c r="A262" s="5" t="str">
        <f ca="1">IFERROR(__xludf.DUMMYFUNCTION("""COMPUTED_VALUE"""),"32312")</f>
        <v>32312</v>
      </c>
      <c r="B262" s="51">
        <f ca="1">IFERROR(__xludf.DUMMYFUNCTION("""COMPUTED_VALUE"""),44625)</f>
        <v>44625</v>
      </c>
      <c r="C262" s="22">
        <f ca="1">IFERROR(__xludf.DUMMYFUNCTION("""COMPUTED_VALUE"""),81242.9709499)</f>
        <v>81242.970949900002</v>
      </c>
      <c r="D262" s="22">
        <f ca="1">IFERROR(__xludf.DUMMYFUNCTION("""COMPUTED_VALUE"""),414668.9879112)</f>
        <v>414668.98791119998</v>
      </c>
      <c r="E262" s="22">
        <f ca="1">IFERROR(__xludf.DUMMYFUNCTION("""COMPUTED_VALUE"""),495911.9588611)</f>
        <v>495911.95886110002</v>
      </c>
      <c r="F262" s="22">
        <f ca="1">IFERROR(__xludf.DUMMYFUNCTION("""COMPUTED_VALUE"""),81242.9709498999)</f>
        <v>81242.9709498999</v>
      </c>
      <c r="G262" s="22">
        <f ca="1">IFERROR(__xludf.DUMMYFUNCTION("""COMPUTED_VALUE"""),0)</f>
        <v>0</v>
      </c>
      <c r="H262" s="7">
        <f ca="1">IFERROR(__xludf.DUMMYFUNCTION("""COMPUTED_VALUE"""),495911.958861099)</f>
        <v>495911.95886109897</v>
      </c>
    </row>
    <row r="263" spans="1:8" ht="13" x14ac:dyDescent="0.15">
      <c r="A263" s="5" t="str">
        <f ca="1">IFERROR(__xludf.DUMMYFUNCTION("""COMPUTED_VALUE"""),"32312")</f>
        <v>32312</v>
      </c>
      <c r="B263" s="51">
        <f ca="1">IFERROR(__xludf.DUMMYFUNCTION("""COMPUTED_VALUE"""),44626)</f>
        <v>44626</v>
      </c>
      <c r="C263" s="22">
        <f ca="1">IFERROR(__xludf.DUMMYFUNCTION("""COMPUTED_VALUE"""),81242.9709499)</f>
        <v>81242.970949900002</v>
      </c>
      <c r="D263" s="22">
        <f ca="1">IFERROR(__xludf.DUMMYFUNCTION("""COMPUTED_VALUE"""),414709.8124552)</f>
        <v>414709.81245520001</v>
      </c>
      <c r="E263" s="22">
        <f ca="1">IFERROR(__xludf.DUMMYFUNCTION("""COMPUTED_VALUE"""),495952.7834051)</f>
        <v>495952.7834051</v>
      </c>
      <c r="F263" s="22">
        <f ca="1">IFERROR(__xludf.DUMMYFUNCTION("""COMPUTED_VALUE"""),81242.9709498999)</f>
        <v>81242.9709498999</v>
      </c>
      <c r="G263" s="22">
        <f ca="1">IFERROR(__xludf.DUMMYFUNCTION("""COMPUTED_VALUE"""),0)</f>
        <v>0</v>
      </c>
      <c r="H263" s="7">
        <f ca="1">IFERROR(__xludf.DUMMYFUNCTION("""COMPUTED_VALUE"""),495969.0043166)</f>
        <v>495969.00431659998</v>
      </c>
    </row>
    <row r="264" spans="1:8" ht="13" x14ac:dyDescent="0.15">
      <c r="A264" s="5" t="str">
        <f ca="1">IFERROR(__xludf.DUMMYFUNCTION("""COMPUTED_VALUE"""),"32312")</f>
        <v>32312</v>
      </c>
      <c r="B264" s="51">
        <f ca="1">IFERROR(__xludf.DUMMYFUNCTION("""COMPUTED_VALUE"""),44627)</f>
        <v>44627</v>
      </c>
      <c r="C264" s="22">
        <f ca="1">IFERROR(__xludf.DUMMYFUNCTION("""COMPUTED_VALUE"""),81242.9709499)</f>
        <v>81242.970949900002</v>
      </c>
      <c r="D264" s="22">
        <f ca="1">IFERROR(__xludf.DUMMYFUNCTION("""COMPUTED_VALUE"""),409505.3069086)</f>
        <v>409505.30690859997</v>
      </c>
      <c r="E264" s="22">
        <f ca="1">IFERROR(__xludf.DUMMYFUNCTION("""COMPUTED_VALUE"""),490748.2778585)</f>
        <v>490748.27785850002</v>
      </c>
      <c r="F264" s="22">
        <f ca="1">IFERROR(__xludf.DUMMYFUNCTION("""COMPUTED_VALUE"""),81242.9709498999)</f>
        <v>81242.9709498999</v>
      </c>
      <c r="G264" s="22">
        <f ca="1">IFERROR(__xludf.DUMMYFUNCTION("""COMPUTED_VALUE"""),0)</f>
        <v>0</v>
      </c>
      <c r="H264" s="7">
        <f ca="1">IFERROR(__xludf.DUMMYFUNCTION("""COMPUTED_VALUE"""),486068.5690589)</f>
        <v>486068.5690589</v>
      </c>
    </row>
    <row r="265" spans="1:8" ht="13" x14ac:dyDescent="0.15">
      <c r="A265" s="5" t="str">
        <f ca="1">IFERROR(__xludf.DUMMYFUNCTION("""COMPUTED_VALUE"""),"32312")</f>
        <v>32312</v>
      </c>
      <c r="B265" s="51">
        <f ca="1">IFERROR(__xludf.DUMMYFUNCTION("""COMPUTED_VALUE"""),44628)</f>
        <v>44628</v>
      </c>
      <c r="C265" s="22">
        <f ca="1">IFERROR(__xludf.DUMMYFUNCTION("""COMPUTED_VALUE"""),81242.9709499)</f>
        <v>81242.970949900002</v>
      </c>
      <c r="D265" s="22">
        <f ca="1">IFERROR(__xludf.DUMMYFUNCTION("""COMPUTED_VALUE"""),412367.7333816)</f>
        <v>412367.7333816</v>
      </c>
      <c r="E265" s="22">
        <f ca="1">IFERROR(__xludf.DUMMYFUNCTION("""COMPUTED_VALUE"""),493610.7043315)</f>
        <v>493610.70433149999</v>
      </c>
      <c r="F265" s="22">
        <f ca="1">IFERROR(__xludf.DUMMYFUNCTION("""COMPUTED_VALUE"""),81242.9709498999)</f>
        <v>81242.9709498999</v>
      </c>
      <c r="G265" s="22">
        <f ca="1">IFERROR(__xludf.DUMMYFUNCTION("""COMPUTED_VALUE"""),0)</f>
        <v>0</v>
      </c>
      <c r="H265" s="7">
        <f ca="1">IFERROR(__xludf.DUMMYFUNCTION("""COMPUTED_VALUE"""),491726.6480899)</f>
        <v>491726.64808989997</v>
      </c>
    </row>
    <row r="266" spans="1:8" ht="13" x14ac:dyDescent="0.15">
      <c r="A266" s="5" t="str">
        <f ca="1">IFERROR(__xludf.DUMMYFUNCTION("""COMPUTED_VALUE"""),"32312")</f>
        <v>32312</v>
      </c>
      <c r="B266" s="51">
        <f ca="1">IFERROR(__xludf.DUMMYFUNCTION("""COMPUTED_VALUE"""),44629)</f>
        <v>44629</v>
      </c>
      <c r="C266" s="22">
        <f ca="1">IFERROR(__xludf.DUMMYFUNCTION("""COMPUTED_VALUE"""),154912.9769749)</f>
        <v>154912.9769749</v>
      </c>
      <c r="D266" s="22">
        <f ca="1">IFERROR(__xludf.DUMMYFUNCTION("""COMPUTED_VALUE"""),336841.333752)</f>
        <v>336841.33375200001</v>
      </c>
      <c r="E266" s="22">
        <f ca="1">IFERROR(__xludf.DUMMYFUNCTION("""COMPUTED_VALUE"""),491754.3107269)</f>
        <v>491754.3107269</v>
      </c>
      <c r="F266" s="22">
        <f ca="1">IFERROR(__xludf.DUMMYFUNCTION("""COMPUTED_VALUE"""),154912.976974899)</f>
        <v>154912.97697489901</v>
      </c>
      <c r="G266" s="22">
        <f ca="1">IFERROR(__xludf.DUMMYFUNCTION("""COMPUTED_VALUE"""),0)</f>
        <v>0</v>
      </c>
      <c r="H266" s="7">
        <f ca="1">IFERROR(__xludf.DUMMYFUNCTION("""COMPUTED_VALUE"""),491754.3107269)</f>
        <v>491754.3107269</v>
      </c>
    </row>
    <row r="267" spans="1:8" ht="13" x14ac:dyDescent="0.15">
      <c r="A267" s="5" t="str">
        <f ca="1">IFERROR(__xludf.DUMMYFUNCTION("""COMPUTED_VALUE"""),"32312")</f>
        <v>32312</v>
      </c>
      <c r="B267" s="51">
        <f ca="1">IFERROR(__xludf.DUMMYFUNCTION("""COMPUTED_VALUE"""),44630)</f>
        <v>44630</v>
      </c>
      <c r="C267" s="22">
        <f ca="1">IFERROR(__xludf.DUMMYFUNCTION("""COMPUTED_VALUE"""),154912.9769749)</f>
        <v>154912.9769749</v>
      </c>
      <c r="D267" s="22">
        <f ca="1">IFERROR(__xludf.DUMMYFUNCTION("""COMPUTED_VALUE"""),337044.638847)</f>
        <v>337044.63884700002</v>
      </c>
      <c r="E267" s="22">
        <f ca="1">IFERROR(__xludf.DUMMYFUNCTION("""COMPUTED_VALUE"""),491957.6158219)</f>
        <v>491957.61582190002</v>
      </c>
      <c r="F267" s="22">
        <f ca="1">IFERROR(__xludf.DUMMYFUNCTION("""COMPUTED_VALUE"""),154912.976974899)</f>
        <v>154912.97697489901</v>
      </c>
      <c r="G267" s="22">
        <f ca="1">IFERROR(__xludf.DUMMYFUNCTION("""COMPUTED_VALUE"""),0)</f>
        <v>0</v>
      </c>
      <c r="H267" s="7">
        <f ca="1">IFERROR(__xludf.DUMMYFUNCTION("""COMPUTED_VALUE"""),491983.3119469)</f>
        <v>491983.31194689998</v>
      </c>
    </row>
    <row r="268" spans="1:8" ht="13" x14ac:dyDescent="0.15">
      <c r="A268" s="5" t="str">
        <f ca="1">IFERROR(__xludf.DUMMYFUNCTION("""COMPUTED_VALUE"""),"32312")</f>
        <v>32312</v>
      </c>
      <c r="B268" s="51">
        <f ca="1">IFERROR(__xludf.DUMMYFUNCTION("""COMPUTED_VALUE"""),44631)</f>
        <v>44631</v>
      </c>
      <c r="C268" s="22">
        <f ca="1">IFERROR(__xludf.DUMMYFUNCTION("""COMPUTED_VALUE"""),154912.9769749)</f>
        <v>154912.9769749</v>
      </c>
      <c r="D268" s="22">
        <f ca="1">IFERROR(__xludf.DUMMYFUNCTION("""COMPUTED_VALUE"""),316655.623375)</f>
        <v>316655.62337500002</v>
      </c>
      <c r="E268" s="22">
        <f ca="1">IFERROR(__xludf.DUMMYFUNCTION("""COMPUTED_VALUE"""),471568.6003499)</f>
        <v>471568.60034990002</v>
      </c>
      <c r="F268" s="22">
        <f ca="1">IFERROR(__xludf.DUMMYFUNCTION("""COMPUTED_VALUE"""),154912.976974899)</f>
        <v>154912.97697489901</v>
      </c>
      <c r="G268" s="22">
        <f ca="1">IFERROR(__xludf.DUMMYFUNCTION("""COMPUTED_VALUE"""),0)</f>
        <v>0</v>
      </c>
      <c r="H268" s="7">
        <f ca="1">IFERROR(__xludf.DUMMYFUNCTION("""COMPUTED_VALUE"""),474416.0811749)</f>
        <v>474416.0811749</v>
      </c>
    </row>
    <row r="269" spans="1:8" ht="13" x14ac:dyDescent="0.15">
      <c r="A269" s="5" t="str">
        <f ca="1">IFERROR(__xludf.DUMMYFUNCTION("""COMPUTED_VALUE"""),"32312")</f>
        <v>32312</v>
      </c>
      <c r="B269" s="51">
        <f ca="1">IFERROR(__xludf.DUMMYFUNCTION("""COMPUTED_VALUE"""),44632)</f>
        <v>44632</v>
      </c>
      <c r="C269" s="22">
        <f ca="1">IFERROR(__xludf.DUMMYFUNCTION("""COMPUTED_VALUE"""),154912.9769749)</f>
        <v>154912.9769749</v>
      </c>
      <c r="D269" s="22">
        <f ca="1">IFERROR(__xludf.DUMMYFUNCTION("""COMPUTED_VALUE"""),316655.623375)</f>
        <v>316655.62337500002</v>
      </c>
      <c r="E269" s="22">
        <f ca="1">IFERROR(__xludf.DUMMYFUNCTION("""COMPUTED_VALUE"""),471568.6003499)</f>
        <v>471568.60034990002</v>
      </c>
      <c r="F269" s="22">
        <f ca="1">IFERROR(__xludf.DUMMYFUNCTION("""COMPUTED_VALUE"""),154912.976974899)</f>
        <v>154912.97697489901</v>
      </c>
      <c r="G269" s="22">
        <f ca="1">IFERROR(__xludf.DUMMYFUNCTION("""COMPUTED_VALUE"""),0)</f>
        <v>0</v>
      </c>
      <c r="H269" s="7">
        <f ca="1">IFERROR(__xludf.DUMMYFUNCTION("""COMPUTED_VALUE"""),474416.0811749)</f>
        <v>474416.0811749</v>
      </c>
    </row>
    <row r="270" spans="1:8" ht="13" x14ac:dyDescent="0.15">
      <c r="A270" s="5" t="str">
        <f ca="1">IFERROR(__xludf.DUMMYFUNCTION("""COMPUTED_VALUE"""),"32312")</f>
        <v>32312</v>
      </c>
      <c r="B270" s="51">
        <f ca="1">IFERROR(__xludf.DUMMYFUNCTION("""COMPUTED_VALUE"""),44633)</f>
        <v>44633</v>
      </c>
      <c r="C270" s="22">
        <f ca="1">IFERROR(__xludf.DUMMYFUNCTION("""COMPUTED_VALUE"""),154912.9769749)</f>
        <v>154912.9769749</v>
      </c>
      <c r="D270" s="22">
        <f ca="1">IFERROR(__xludf.DUMMYFUNCTION("""COMPUTED_VALUE"""),316622.221730999)</f>
        <v>316622.22173099901</v>
      </c>
      <c r="E270" s="22">
        <f ca="1">IFERROR(__xludf.DUMMYFUNCTION("""COMPUTED_VALUE"""),471535.198705899)</f>
        <v>471535.19870589901</v>
      </c>
      <c r="F270" s="22">
        <f ca="1">IFERROR(__xludf.DUMMYFUNCTION("""COMPUTED_VALUE"""),154912.976974899)</f>
        <v>154912.97697489901</v>
      </c>
      <c r="G270" s="22">
        <f ca="1">IFERROR(__xludf.DUMMYFUNCTION("""COMPUTED_VALUE"""),0)</f>
        <v>0</v>
      </c>
      <c r="H270" s="7">
        <f ca="1">IFERROR(__xludf.DUMMYFUNCTION("""COMPUTED_VALUE"""),474388.7400829)</f>
        <v>474388.74008289998</v>
      </c>
    </row>
    <row r="271" spans="1:8" ht="13" x14ac:dyDescent="0.15">
      <c r="A271" s="5" t="str">
        <f ca="1">IFERROR(__xludf.DUMMYFUNCTION("""COMPUTED_VALUE"""),"32312")</f>
        <v>32312</v>
      </c>
      <c r="B271" s="51">
        <f ca="1">IFERROR(__xludf.DUMMYFUNCTION("""COMPUTED_VALUE"""),44634)</f>
        <v>44634</v>
      </c>
      <c r="C271" s="22">
        <f ca="1">IFERROR(__xludf.DUMMYFUNCTION("""COMPUTED_VALUE"""),154912.9769749)</f>
        <v>154912.9769749</v>
      </c>
      <c r="D271" s="22">
        <f ca="1">IFERROR(__xludf.DUMMYFUNCTION("""COMPUTED_VALUE"""),296620.009785)</f>
        <v>296620.009785</v>
      </c>
      <c r="E271" s="22">
        <f ca="1">IFERROR(__xludf.DUMMYFUNCTION("""COMPUTED_VALUE"""),451532.9867599)</f>
        <v>451532.9867599</v>
      </c>
      <c r="F271" s="22">
        <f ca="1">IFERROR(__xludf.DUMMYFUNCTION("""COMPUTED_VALUE"""),154912.976974899)</f>
        <v>154912.97697489901</v>
      </c>
      <c r="G271" s="22">
        <f ca="1">IFERROR(__xludf.DUMMYFUNCTION("""COMPUTED_VALUE"""),0)</f>
        <v>0</v>
      </c>
      <c r="H271" s="7">
        <f ca="1">IFERROR(__xludf.DUMMYFUNCTION("""COMPUTED_VALUE"""),463458.3955849)</f>
        <v>463458.39558489999</v>
      </c>
    </row>
    <row r="272" spans="1:8" ht="13" x14ac:dyDescent="0.15">
      <c r="A272" s="5" t="str">
        <f ca="1">IFERROR(__xludf.DUMMYFUNCTION("""COMPUTED_VALUE"""),"32312")</f>
        <v>32312</v>
      </c>
      <c r="B272" s="51">
        <f ca="1">IFERROR(__xludf.DUMMYFUNCTION("""COMPUTED_VALUE"""),44635)</f>
        <v>44635</v>
      </c>
      <c r="C272" s="22">
        <f ca="1">IFERROR(__xludf.DUMMYFUNCTION("""COMPUTED_VALUE"""),154912.9769749)</f>
        <v>154912.9769749</v>
      </c>
      <c r="D272" s="22">
        <f ca="1">IFERROR(__xludf.DUMMYFUNCTION("""COMPUTED_VALUE"""),313293.149662999)</f>
        <v>313293.14966299903</v>
      </c>
      <c r="E272" s="22">
        <f ca="1">IFERROR(__xludf.DUMMYFUNCTION("""COMPUTED_VALUE"""),468206.126637899)</f>
        <v>468206.12663789903</v>
      </c>
      <c r="F272" s="22">
        <f ca="1">IFERROR(__xludf.DUMMYFUNCTION("""COMPUTED_VALUE"""),154912.976974899)</f>
        <v>154912.97697489901</v>
      </c>
      <c r="G272" s="22">
        <f ca="1">IFERROR(__xludf.DUMMYFUNCTION("""COMPUTED_VALUE"""),0)</f>
        <v>0</v>
      </c>
      <c r="H272" s="7">
        <f ca="1">IFERROR(__xludf.DUMMYFUNCTION("""COMPUTED_VALUE"""),473884.9834029)</f>
        <v>473884.98340289999</v>
      </c>
    </row>
    <row r="273" spans="1:8" ht="13" x14ac:dyDescent="0.15">
      <c r="A273" s="5" t="str">
        <f ca="1">IFERROR(__xludf.DUMMYFUNCTION("""COMPUTED_VALUE"""),"32312")</f>
        <v>32312</v>
      </c>
      <c r="B273" s="51">
        <f ca="1">IFERROR(__xludf.DUMMYFUNCTION("""COMPUTED_VALUE"""),44636)</f>
        <v>44636</v>
      </c>
      <c r="C273" s="22">
        <f ca="1">IFERROR(__xludf.DUMMYFUNCTION("""COMPUTED_VALUE"""),154912.9769749)</f>
        <v>154912.9769749</v>
      </c>
      <c r="D273" s="22">
        <f ca="1">IFERROR(__xludf.DUMMYFUNCTION("""COMPUTED_VALUE"""),336232.234989)</f>
        <v>336232.23498900002</v>
      </c>
      <c r="E273" s="22">
        <f ca="1">IFERROR(__xludf.DUMMYFUNCTION("""COMPUTED_VALUE"""),491145.2119639)</f>
        <v>491145.21196390002</v>
      </c>
      <c r="F273" s="22">
        <f ca="1">IFERROR(__xludf.DUMMYFUNCTION("""COMPUTED_VALUE"""),154912.976974899)</f>
        <v>154912.97697489901</v>
      </c>
      <c r="G273" s="22">
        <f ca="1">IFERROR(__xludf.DUMMYFUNCTION("""COMPUTED_VALUE"""),0)</f>
        <v>0</v>
      </c>
      <c r="H273" s="7">
        <f ca="1">IFERROR(__xludf.DUMMYFUNCTION("""COMPUTED_VALUE"""),483792.7558789)</f>
        <v>483792.7558789</v>
      </c>
    </row>
    <row r="274" spans="1:8" ht="13" x14ac:dyDescent="0.15">
      <c r="A274" s="5" t="str">
        <f ca="1">IFERROR(__xludf.DUMMYFUNCTION("""COMPUTED_VALUE"""),"32312")</f>
        <v>32312</v>
      </c>
      <c r="B274" s="51">
        <f ca="1">IFERROR(__xludf.DUMMYFUNCTION("""COMPUTED_VALUE"""),44637)</f>
        <v>44637</v>
      </c>
      <c r="C274" s="22">
        <f ca="1">IFERROR(__xludf.DUMMYFUNCTION("""COMPUTED_VALUE"""),154912.9769749)</f>
        <v>154912.9769749</v>
      </c>
      <c r="D274" s="22">
        <f ca="1">IFERROR(__xludf.DUMMYFUNCTION("""COMPUTED_VALUE"""),344625.932205)</f>
        <v>344625.93220500002</v>
      </c>
      <c r="E274" s="22">
        <f ca="1">IFERROR(__xludf.DUMMYFUNCTION("""COMPUTED_VALUE"""),499538.9091799)</f>
        <v>499538.90917990002</v>
      </c>
      <c r="F274" s="22">
        <f ca="1">IFERROR(__xludf.DUMMYFUNCTION("""COMPUTED_VALUE"""),154912.976974899)</f>
        <v>154912.97697489901</v>
      </c>
      <c r="G274" s="22">
        <f ca="1">IFERROR(__xludf.DUMMYFUNCTION("""COMPUTED_VALUE"""),0)</f>
        <v>0</v>
      </c>
      <c r="H274" s="7">
        <f ca="1">IFERROR(__xludf.DUMMYFUNCTION("""COMPUTED_VALUE"""),494306.1852949)</f>
        <v>494306.18529489997</v>
      </c>
    </row>
    <row r="275" spans="1:8" ht="13" x14ac:dyDescent="0.15">
      <c r="A275" s="5" t="str">
        <f ca="1">IFERROR(__xludf.DUMMYFUNCTION("""COMPUTED_VALUE"""),"32312")</f>
        <v>32312</v>
      </c>
      <c r="B275" s="51">
        <f ca="1">IFERROR(__xludf.DUMMYFUNCTION("""COMPUTED_VALUE"""),44638)</f>
        <v>44638</v>
      </c>
      <c r="C275" s="22">
        <f ca="1">IFERROR(__xludf.DUMMYFUNCTION("""COMPUTED_VALUE"""),154912.9769749)</f>
        <v>154912.9769749</v>
      </c>
      <c r="D275" s="22">
        <f ca="1">IFERROR(__xludf.DUMMYFUNCTION("""COMPUTED_VALUE"""),353189.936918)</f>
        <v>353189.93691799999</v>
      </c>
      <c r="E275" s="22">
        <f ca="1">IFERROR(__xludf.DUMMYFUNCTION("""COMPUTED_VALUE"""),508102.9138929)</f>
        <v>508102.91389289999</v>
      </c>
      <c r="F275" s="22">
        <f ca="1">IFERROR(__xludf.DUMMYFUNCTION("""COMPUTED_VALUE"""),154912.976974899)</f>
        <v>154912.97697489901</v>
      </c>
      <c r="G275" s="22">
        <f ca="1">IFERROR(__xludf.DUMMYFUNCTION("""COMPUTED_VALUE"""),0)</f>
        <v>0</v>
      </c>
      <c r="H275" s="7">
        <f ca="1">IFERROR(__xludf.DUMMYFUNCTION("""COMPUTED_VALUE"""),503350.4885229)</f>
        <v>503350.48852289998</v>
      </c>
    </row>
    <row r="276" spans="1:8" ht="13" x14ac:dyDescent="0.15">
      <c r="A276" s="5" t="str">
        <f ca="1">IFERROR(__xludf.DUMMYFUNCTION("""COMPUTED_VALUE"""),"32312")</f>
        <v>32312</v>
      </c>
      <c r="B276" s="51">
        <f ca="1">IFERROR(__xludf.DUMMYFUNCTION("""COMPUTED_VALUE"""),44639)</f>
        <v>44639</v>
      </c>
      <c r="C276" s="22">
        <f ca="1">IFERROR(__xludf.DUMMYFUNCTION("""COMPUTED_VALUE"""),154912.9769749)</f>
        <v>154912.9769749</v>
      </c>
      <c r="D276" s="22">
        <f ca="1">IFERROR(__xludf.DUMMYFUNCTION("""COMPUTED_VALUE"""),353189.936918)</f>
        <v>353189.93691799999</v>
      </c>
      <c r="E276" s="22">
        <f ca="1">IFERROR(__xludf.DUMMYFUNCTION("""COMPUTED_VALUE"""),508102.9138929)</f>
        <v>508102.91389289999</v>
      </c>
      <c r="F276" s="22">
        <f ca="1">IFERROR(__xludf.DUMMYFUNCTION("""COMPUTED_VALUE"""),154912.976974899)</f>
        <v>154912.97697489901</v>
      </c>
      <c r="G276" s="22">
        <f ca="1">IFERROR(__xludf.DUMMYFUNCTION("""COMPUTED_VALUE"""),0)</f>
        <v>0</v>
      </c>
      <c r="H276" s="7">
        <f ca="1">IFERROR(__xludf.DUMMYFUNCTION("""COMPUTED_VALUE"""),503350.4885229)</f>
        <v>503350.48852289998</v>
      </c>
    </row>
    <row r="277" spans="1:8" ht="13" x14ac:dyDescent="0.15">
      <c r="A277" s="5" t="str">
        <f ca="1">IFERROR(__xludf.DUMMYFUNCTION("""COMPUTED_VALUE"""),"32312")</f>
        <v>32312</v>
      </c>
      <c r="B277" s="51">
        <f ca="1">IFERROR(__xludf.DUMMYFUNCTION("""COMPUTED_VALUE"""),44640)</f>
        <v>44640</v>
      </c>
      <c r="C277" s="22">
        <f ca="1">IFERROR(__xludf.DUMMYFUNCTION("""COMPUTED_VALUE"""),154912.9769749)</f>
        <v>154912.9769749</v>
      </c>
      <c r="D277" s="22">
        <f ca="1">IFERROR(__xludf.DUMMYFUNCTION("""COMPUTED_VALUE"""),353096.9272243)</f>
        <v>353096.92722429999</v>
      </c>
      <c r="E277" s="22">
        <f ca="1">IFERROR(__xludf.DUMMYFUNCTION("""COMPUTED_VALUE"""),508009.9041992)</f>
        <v>508009.90419919998</v>
      </c>
      <c r="F277" s="22">
        <f ca="1">IFERROR(__xludf.DUMMYFUNCTION("""COMPUTED_VALUE"""),154912.976974899)</f>
        <v>154912.97697489901</v>
      </c>
      <c r="G277" s="22">
        <f ca="1">IFERROR(__xludf.DUMMYFUNCTION("""COMPUTED_VALUE"""),0)</f>
        <v>0</v>
      </c>
      <c r="H277" s="7">
        <f ca="1">IFERROR(__xludf.DUMMYFUNCTION("""COMPUTED_VALUE"""),503274.5665097)</f>
        <v>503274.56650969997</v>
      </c>
    </row>
    <row r="278" spans="1:8" ht="13" x14ac:dyDescent="0.15">
      <c r="A278" s="5" t="str">
        <f ca="1">IFERROR(__xludf.DUMMYFUNCTION("""COMPUTED_VALUE"""),"32312")</f>
        <v>32312</v>
      </c>
      <c r="B278" s="51">
        <f ca="1">IFERROR(__xludf.DUMMYFUNCTION("""COMPUTED_VALUE"""),44641)</f>
        <v>44641</v>
      </c>
      <c r="C278" s="22">
        <f ca="1">IFERROR(__xludf.DUMMYFUNCTION("""COMPUTED_VALUE"""),414418.6717669)</f>
        <v>414418.67176689999</v>
      </c>
      <c r="D278" s="22">
        <f ca="1">IFERROR(__xludf.DUMMYFUNCTION("""COMPUTED_VALUE"""),95079.2175)</f>
        <v>95079.217499999999</v>
      </c>
      <c r="E278" s="22">
        <f ca="1">IFERROR(__xludf.DUMMYFUNCTION("""COMPUTED_VALUE"""),509497.8892669)</f>
        <v>509497.88926690002</v>
      </c>
      <c r="F278" s="22">
        <f ca="1">IFERROR(__xludf.DUMMYFUNCTION("""COMPUTED_VALUE"""),414418.6717669)</f>
        <v>414418.67176689999</v>
      </c>
      <c r="G278" s="22">
        <f ca="1">IFERROR(__xludf.DUMMYFUNCTION("""COMPUTED_VALUE"""),0)</f>
        <v>0</v>
      </c>
      <c r="H278" s="7">
        <f ca="1">IFERROR(__xludf.DUMMYFUNCTION("""COMPUTED_VALUE"""),509497.8892669)</f>
        <v>509497.88926690002</v>
      </c>
    </row>
    <row r="279" spans="1:8" ht="13" x14ac:dyDescent="0.15">
      <c r="A279" s="5" t="str">
        <f ca="1">IFERROR(__xludf.DUMMYFUNCTION("""COMPUTED_VALUE"""),"32312")</f>
        <v>32312</v>
      </c>
      <c r="B279" s="51">
        <f ca="1">IFERROR(__xludf.DUMMYFUNCTION("""COMPUTED_VALUE"""),44642)</f>
        <v>44642</v>
      </c>
      <c r="C279" s="22">
        <f ca="1">IFERROR(__xludf.DUMMYFUNCTION("""COMPUTED_VALUE"""),414418.6717669)</f>
        <v>414418.67176689999</v>
      </c>
      <c r="D279" s="22">
        <f ca="1">IFERROR(__xludf.DUMMYFUNCTION("""COMPUTED_VALUE"""),115391.747854)</f>
        <v>115391.747854</v>
      </c>
      <c r="E279" s="22">
        <f ca="1">IFERROR(__xludf.DUMMYFUNCTION("""COMPUTED_VALUE"""),529810.4196209)</f>
        <v>529810.41962089995</v>
      </c>
      <c r="F279" s="22">
        <f ca="1">IFERROR(__xludf.DUMMYFUNCTION("""COMPUTED_VALUE"""),414418.6717669)</f>
        <v>414418.67176689999</v>
      </c>
      <c r="G279" s="22">
        <f ca="1">IFERROR(__xludf.DUMMYFUNCTION("""COMPUTED_VALUE"""),0)</f>
        <v>0</v>
      </c>
      <c r="H279" s="7">
        <f ca="1">IFERROR(__xludf.DUMMYFUNCTION("""COMPUTED_VALUE"""),509242.1710169)</f>
        <v>509242.17101689999</v>
      </c>
    </row>
    <row r="280" spans="1:8" ht="13" x14ac:dyDescent="0.15">
      <c r="A280" s="5" t="str">
        <f ca="1">IFERROR(__xludf.DUMMYFUNCTION("""COMPUTED_VALUE"""),"32582")</f>
        <v>32582</v>
      </c>
      <c r="B280" s="51">
        <f ca="1">IFERROR(__xludf.DUMMYFUNCTION("""COMPUTED_VALUE"""),44597)</f>
        <v>44597</v>
      </c>
      <c r="C280" s="22">
        <f ca="1">IFERROR(__xludf.DUMMYFUNCTION("""COMPUTED_VALUE"""),500000)</f>
        <v>500000</v>
      </c>
      <c r="D280" s="22">
        <f ca="1">IFERROR(__xludf.DUMMYFUNCTION("""COMPUTED_VALUE"""),0)</f>
        <v>0</v>
      </c>
      <c r="E280" s="22">
        <f ca="1">IFERROR(__xludf.DUMMYFUNCTION("""COMPUTED_VALUE"""),500000)</f>
        <v>500000</v>
      </c>
      <c r="F280" s="22">
        <f ca="1">IFERROR(__xludf.DUMMYFUNCTION("""COMPUTED_VALUE"""),500000)</f>
        <v>500000</v>
      </c>
      <c r="G280" s="22">
        <f ca="1">IFERROR(__xludf.DUMMYFUNCTION("""COMPUTED_VALUE"""),0)</f>
        <v>0</v>
      </c>
      <c r="H280" s="7">
        <f ca="1">IFERROR(__xludf.DUMMYFUNCTION("""COMPUTED_VALUE"""),500000)</f>
        <v>500000</v>
      </c>
    </row>
    <row r="281" spans="1:8" ht="13" x14ac:dyDescent="0.15">
      <c r="A281" s="5" t="str">
        <f ca="1">IFERROR(__xludf.DUMMYFUNCTION("""COMPUTED_VALUE"""),"32582")</f>
        <v>32582</v>
      </c>
      <c r="B281" s="51">
        <f ca="1">IFERROR(__xludf.DUMMYFUNCTION("""COMPUTED_VALUE"""),44598)</f>
        <v>44598</v>
      </c>
      <c r="C281" s="22">
        <f ca="1">IFERROR(__xludf.DUMMYFUNCTION("""COMPUTED_VALUE"""),500000)</f>
        <v>500000</v>
      </c>
      <c r="D281" s="22">
        <f ca="1">IFERROR(__xludf.DUMMYFUNCTION("""COMPUTED_VALUE"""),0)</f>
        <v>0</v>
      </c>
      <c r="E281" s="22">
        <f ca="1">IFERROR(__xludf.DUMMYFUNCTION("""COMPUTED_VALUE"""),500000)</f>
        <v>500000</v>
      </c>
      <c r="F281" s="22">
        <f ca="1">IFERROR(__xludf.DUMMYFUNCTION("""COMPUTED_VALUE"""),500000)</f>
        <v>500000</v>
      </c>
      <c r="G281" s="22">
        <f ca="1">IFERROR(__xludf.DUMMYFUNCTION("""COMPUTED_VALUE"""),0)</f>
        <v>0</v>
      </c>
      <c r="H281" s="7">
        <f ca="1">IFERROR(__xludf.DUMMYFUNCTION("""COMPUTED_VALUE"""),500000)</f>
        <v>500000</v>
      </c>
    </row>
    <row r="282" spans="1:8" ht="13" x14ac:dyDescent="0.15">
      <c r="A282" s="5" t="str">
        <f ca="1">IFERROR(__xludf.DUMMYFUNCTION("""COMPUTED_VALUE"""),"32582")</f>
        <v>32582</v>
      </c>
      <c r="B282" s="51">
        <f ca="1">IFERROR(__xludf.DUMMYFUNCTION("""COMPUTED_VALUE"""),44599)</f>
        <v>44599</v>
      </c>
      <c r="C282" s="22">
        <f ca="1">IFERROR(__xludf.DUMMYFUNCTION("""COMPUTED_VALUE"""),500000)</f>
        <v>500000</v>
      </c>
      <c r="D282" s="22">
        <f ca="1">IFERROR(__xludf.DUMMYFUNCTION("""COMPUTED_VALUE"""),0)</f>
        <v>0</v>
      </c>
      <c r="E282" s="22">
        <f ca="1">IFERROR(__xludf.DUMMYFUNCTION("""COMPUTED_VALUE"""),500000)</f>
        <v>500000</v>
      </c>
      <c r="F282" s="22">
        <f ca="1">IFERROR(__xludf.DUMMYFUNCTION("""COMPUTED_VALUE"""),500000)</f>
        <v>500000</v>
      </c>
      <c r="G282" s="22">
        <f ca="1">IFERROR(__xludf.DUMMYFUNCTION("""COMPUTED_VALUE"""),0)</f>
        <v>0</v>
      </c>
      <c r="H282" s="7">
        <f ca="1">IFERROR(__xludf.DUMMYFUNCTION("""COMPUTED_VALUE"""),500000)</f>
        <v>500000</v>
      </c>
    </row>
    <row r="283" spans="1:8" ht="13" x14ac:dyDescent="0.15">
      <c r="A283" s="5" t="str">
        <f ca="1">IFERROR(__xludf.DUMMYFUNCTION("""COMPUTED_VALUE"""),"32582")</f>
        <v>32582</v>
      </c>
      <c r="B283" s="51">
        <f ca="1">IFERROR(__xludf.DUMMYFUNCTION("""COMPUTED_VALUE"""),44600)</f>
        <v>44600</v>
      </c>
      <c r="C283" s="22">
        <f ca="1">IFERROR(__xludf.DUMMYFUNCTION("""COMPUTED_VALUE"""),500000)</f>
        <v>500000</v>
      </c>
      <c r="D283" s="22">
        <f ca="1">IFERROR(__xludf.DUMMYFUNCTION("""COMPUTED_VALUE"""),0)</f>
        <v>0</v>
      </c>
      <c r="E283" s="22">
        <f ca="1">IFERROR(__xludf.DUMMYFUNCTION("""COMPUTED_VALUE"""),500000)</f>
        <v>500000</v>
      </c>
      <c r="F283" s="22">
        <f ca="1">IFERROR(__xludf.DUMMYFUNCTION("""COMPUTED_VALUE"""),500000)</f>
        <v>500000</v>
      </c>
      <c r="G283" s="22">
        <f ca="1">IFERROR(__xludf.DUMMYFUNCTION("""COMPUTED_VALUE"""),0)</f>
        <v>0</v>
      </c>
      <c r="H283" s="7">
        <f ca="1">IFERROR(__xludf.DUMMYFUNCTION("""COMPUTED_VALUE"""),500000)</f>
        <v>500000</v>
      </c>
    </row>
    <row r="284" spans="1:8" ht="13" x14ac:dyDescent="0.15">
      <c r="A284" s="5" t="str">
        <f ca="1">IFERROR(__xludf.DUMMYFUNCTION("""COMPUTED_VALUE"""),"32582")</f>
        <v>32582</v>
      </c>
      <c r="B284" s="51">
        <f ca="1">IFERROR(__xludf.DUMMYFUNCTION("""COMPUTED_VALUE"""),44601)</f>
        <v>44601</v>
      </c>
      <c r="C284" s="22">
        <f ca="1">IFERROR(__xludf.DUMMYFUNCTION("""COMPUTED_VALUE"""),500000)</f>
        <v>500000</v>
      </c>
      <c r="D284" s="22">
        <f ca="1">IFERROR(__xludf.DUMMYFUNCTION("""COMPUTED_VALUE"""),0)</f>
        <v>0</v>
      </c>
      <c r="E284" s="22">
        <f ca="1">IFERROR(__xludf.DUMMYFUNCTION("""COMPUTED_VALUE"""),500000)</f>
        <v>500000</v>
      </c>
      <c r="F284" s="22">
        <f ca="1">IFERROR(__xludf.DUMMYFUNCTION("""COMPUTED_VALUE"""),500000)</f>
        <v>500000</v>
      </c>
      <c r="G284" s="22">
        <f ca="1">IFERROR(__xludf.DUMMYFUNCTION("""COMPUTED_VALUE"""),0)</f>
        <v>0</v>
      </c>
      <c r="H284" s="7">
        <f ca="1">IFERROR(__xludf.DUMMYFUNCTION("""COMPUTED_VALUE"""),500000)</f>
        <v>500000</v>
      </c>
    </row>
    <row r="285" spans="1:8" ht="13" x14ac:dyDescent="0.15">
      <c r="A285" s="5" t="str">
        <f ca="1">IFERROR(__xludf.DUMMYFUNCTION("""COMPUTED_VALUE"""),"32582")</f>
        <v>32582</v>
      </c>
      <c r="B285" s="51">
        <f ca="1">IFERROR(__xludf.DUMMYFUNCTION("""COMPUTED_VALUE"""),44602)</f>
        <v>44602</v>
      </c>
      <c r="C285" s="22">
        <f ca="1">IFERROR(__xludf.DUMMYFUNCTION("""COMPUTED_VALUE"""),500000)</f>
        <v>500000</v>
      </c>
      <c r="D285" s="22">
        <f ca="1">IFERROR(__xludf.DUMMYFUNCTION("""COMPUTED_VALUE"""),0)</f>
        <v>0</v>
      </c>
      <c r="E285" s="22">
        <f ca="1">IFERROR(__xludf.DUMMYFUNCTION("""COMPUTED_VALUE"""),500000)</f>
        <v>500000</v>
      </c>
      <c r="F285" s="22">
        <f ca="1">IFERROR(__xludf.DUMMYFUNCTION("""COMPUTED_VALUE"""),500000)</f>
        <v>500000</v>
      </c>
      <c r="G285" s="22">
        <f ca="1">IFERROR(__xludf.DUMMYFUNCTION("""COMPUTED_VALUE"""),0)</f>
        <v>0</v>
      </c>
      <c r="H285" s="7">
        <f ca="1">IFERROR(__xludf.DUMMYFUNCTION("""COMPUTED_VALUE"""),500000)</f>
        <v>500000</v>
      </c>
    </row>
    <row r="286" spans="1:8" ht="13" x14ac:dyDescent="0.15">
      <c r="A286" s="5" t="str">
        <f ca="1">IFERROR(__xludf.DUMMYFUNCTION("""COMPUTED_VALUE"""),"32582")</f>
        <v>32582</v>
      </c>
      <c r="B286" s="51">
        <f ca="1">IFERROR(__xludf.DUMMYFUNCTION("""COMPUTED_VALUE"""),44603)</f>
        <v>44603</v>
      </c>
      <c r="C286" s="22">
        <f ca="1">IFERROR(__xludf.DUMMYFUNCTION("""COMPUTED_VALUE"""),500000)</f>
        <v>500000</v>
      </c>
      <c r="D286" s="22">
        <f ca="1">IFERROR(__xludf.DUMMYFUNCTION("""COMPUTED_VALUE"""),0)</f>
        <v>0</v>
      </c>
      <c r="E286" s="22">
        <f ca="1">IFERROR(__xludf.DUMMYFUNCTION("""COMPUTED_VALUE"""),500000)</f>
        <v>500000</v>
      </c>
      <c r="F286" s="22">
        <f ca="1">IFERROR(__xludf.DUMMYFUNCTION("""COMPUTED_VALUE"""),500000)</f>
        <v>500000</v>
      </c>
      <c r="G286" s="22">
        <f ca="1">IFERROR(__xludf.DUMMYFUNCTION("""COMPUTED_VALUE"""),0)</f>
        <v>0</v>
      </c>
      <c r="H286" s="7">
        <f ca="1">IFERROR(__xludf.DUMMYFUNCTION("""COMPUTED_VALUE"""),500000)</f>
        <v>500000</v>
      </c>
    </row>
    <row r="287" spans="1:8" ht="13" x14ac:dyDescent="0.15">
      <c r="A287" s="5" t="str">
        <f ca="1">IFERROR(__xludf.DUMMYFUNCTION("""COMPUTED_VALUE"""),"32582")</f>
        <v>32582</v>
      </c>
      <c r="B287" s="51">
        <f ca="1">IFERROR(__xludf.DUMMYFUNCTION("""COMPUTED_VALUE"""),44604)</f>
        <v>44604</v>
      </c>
      <c r="C287" s="22">
        <f ca="1">IFERROR(__xludf.DUMMYFUNCTION("""COMPUTED_VALUE"""),500000)</f>
        <v>500000</v>
      </c>
      <c r="D287" s="22">
        <f ca="1">IFERROR(__xludf.DUMMYFUNCTION("""COMPUTED_VALUE"""),0)</f>
        <v>0</v>
      </c>
      <c r="E287" s="22">
        <f ca="1">IFERROR(__xludf.DUMMYFUNCTION("""COMPUTED_VALUE"""),500000)</f>
        <v>500000</v>
      </c>
      <c r="F287" s="22">
        <f ca="1">IFERROR(__xludf.DUMMYFUNCTION("""COMPUTED_VALUE"""),500000)</f>
        <v>500000</v>
      </c>
      <c r="G287" s="22">
        <f ca="1">IFERROR(__xludf.DUMMYFUNCTION("""COMPUTED_VALUE"""),0)</f>
        <v>0</v>
      </c>
      <c r="H287" s="7">
        <f ca="1">IFERROR(__xludf.DUMMYFUNCTION("""COMPUTED_VALUE"""),500000)</f>
        <v>500000</v>
      </c>
    </row>
    <row r="288" spans="1:8" ht="13" x14ac:dyDescent="0.15">
      <c r="A288" s="5" t="str">
        <f ca="1">IFERROR(__xludf.DUMMYFUNCTION("""COMPUTED_VALUE"""),"32582")</f>
        <v>32582</v>
      </c>
      <c r="B288" s="51">
        <f ca="1">IFERROR(__xludf.DUMMYFUNCTION("""COMPUTED_VALUE"""),44605)</f>
        <v>44605</v>
      </c>
      <c r="C288" s="22">
        <f ca="1">IFERROR(__xludf.DUMMYFUNCTION("""COMPUTED_VALUE"""),500000)</f>
        <v>500000</v>
      </c>
      <c r="D288" s="22">
        <f ca="1">IFERROR(__xludf.DUMMYFUNCTION("""COMPUTED_VALUE"""),0)</f>
        <v>0</v>
      </c>
      <c r="E288" s="22">
        <f ca="1">IFERROR(__xludf.DUMMYFUNCTION("""COMPUTED_VALUE"""),500000)</f>
        <v>500000</v>
      </c>
      <c r="F288" s="22">
        <f ca="1">IFERROR(__xludf.DUMMYFUNCTION("""COMPUTED_VALUE"""),500000)</f>
        <v>500000</v>
      </c>
      <c r="G288" s="22">
        <f ca="1">IFERROR(__xludf.DUMMYFUNCTION("""COMPUTED_VALUE"""),0)</f>
        <v>0</v>
      </c>
      <c r="H288" s="7">
        <f ca="1">IFERROR(__xludf.DUMMYFUNCTION("""COMPUTED_VALUE"""),500000)</f>
        <v>500000</v>
      </c>
    </row>
    <row r="289" spans="1:8" ht="13" x14ac:dyDescent="0.15">
      <c r="A289" s="5" t="str">
        <f ca="1">IFERROR(__xludf.DUMMYFUNCTION("""COMPUTED_VALUE"""),"32582")</f>
        <v>32582</v>
      </c>
      <c r="B289" s="51">
        <f ca="1">IFERROR(__xludf.DUMMYFUNCTION("""COMPUTED_VALUE"""),44606)</f>
        <v>44606</v>
      </c>
      <c r="C289" s="22">
        <f ca="1">IFERROR(__xludf.DUMMYFUNCTION("""COMPUTED_VALUE"""),500000)</f>
        <v>500000</v>
      </c>
      <c r="D289" s="22">
        <f ca="1">IFERROR(__xludf.DUMMYFUNCTION("""COMPUTED_VALUE"""),0)</f>
        <v>0</v>
      </c>
      <c r="E289" s="22">
        <f ca="1">IFERROR(__xludf.DUMMYFUNCTION("""COMPUTED_VALUE"""),500000)</f>
        <v>500000</v>
      </c>
      <c r="F289" s="22">
        <f ca="1">IFERROR(__xludf.DUMMYFUNCTION("""COMPUTED_VALUE"""),500000)</f>
        <v>500000</v>
      </c>
      <c r="G289" s="22">
        <f ca="1">IFERROR(__xludf.DUMMYFUNCTION("""COMPUTED_VALUE"""),0)</f>
        <v>0</v>
      </c>
      <c r="H289" s="7">
        <f ca="1">IFERROR(__xludf.DUMMYFUNCTION("""COMPUTED_VALUE"""),500000)</f>
        <v>500000</v>
      </c>
    </row>
    <row r="290" spans="1:8" ht="13" x14ac:dyDescent="0.15">
      <c r="A290" s="5" t="str">
        <f ca="1">IFERROR(__xludf.DUMMYFUNCTION("""COMPUTED_VALUE"""),"32582")</f>
        <v>32582</v>
      </c>
      <c r="B290" s="51">
        <f ca="1">IFERROR(__xludf.DUMMYFUNCTION("""COMPUTED_VALUE"""),44607)</f>
        <v>44607</v>
      </c>
      <c r="C290" s="22">
        <f ca="1">IFERROR(__xludf.DUMMYFUNCTION("""COMPUTED_VALUE"""),500000)</f>
        <v>500000</v>
      </c>
      <c r="D290" s="22">
        <f ca="1">IFERROR(__xludf.DUMMYFUNCTION("""COMPUTED_VALUE"""),0)</f>
        <v>0</v>
      </c>
      <c r="E290" s="22">
        <f ca="1">IFERROR(__xludf.DUMMYFUNCTION("""COMPUTED_VALUE"""),500000)</f>
        <v>500000</v>
      </c>
      <c r="F290" s="22">
        <f ca="1">IFERROR(__xludf.DUMMYFUNCTION("""COMPUTED_VALUE"""),500000)</f>
        <v>500000</v>
      </c>
      <c r="G290" s="22">
        <f ca="1">IFERROR(__xludf.DUMMYFUNCTION("""COMPUTED_VALUE"""),0)</f>
        <v>0</v>
      </c>
      <c r="H290" s="7">
        <f ca="1">IFERROR(__xludf.DUMMYFUNCTION("""COMPUTED_VALUE"""),500000)</f>
        <v>500000</v>
      </c>
    </row>
    <row r="291" spans="1:8" ht="13" x14ac:dyDescent="0.15">
      <c r="A291" s="5" t="str">
        <f ca="1">IFERROR(__xludf.DUMMYFUNCTION("""COMPUTED_VALUE"""),"32582")</f>
        <v>32582</v>
      </c>
      <c r="B291" s="51">
        <f ca="1">IFERROR(__xludf.DUMMYFUNCTION("""COMPUTED_VALUE"""),44608)</f>
        <v>44608</v>
      </c>
      <c r="C291" s="22">
        <f ca="1">IFERROR(__xludf.DUMMYFUNCTION("""COMPUTED_VALUE"""),500000)</f>
        <v>500000</v>
      </c>
      <c r="D291" s="22">
        <f ca="1">IFERROR(__xludf.DUMMYFUNCTION("""COMPUTED_VALUE"""),0)</f>
        <v>0</v>
      </c>
      <c r="E291" s="22">
        <f ca="1">IFERROR(__xludf.DUMMYFUNCTION("""COMPUTED_VALUE"""),500000)</f>
        <v>500000</v>
      </c>
      <c r="F291" s="22">
        <f ca="1">IFERROR(__xludf.DUMMYFUNCTION("""COMPUTED_VALUE"""),500000)</f>
        <v>500000</v>
      </c>
      <c r="G291" s="22">
        <f ca="1">IFERROR(__xludf.DUMMYFUNCTION("""COMPUTED_VALUE"""),0)</f>
        <v>0</v>
      </c>
      <c r="H291" s="7">
        <f ca="1">IFERROR(__xludf.DUMMYFUNCTION("""COMPUTED_VALUE"""),500000)</f>
        <v>500000</v>
      </c>
    </row>
    <row r="292" spans="1:8" ht="13" x14ac:dyDescent="0.15">
      <c r="A292" s="5" t="str">
        <f ca="1">IFERROR(__xludf.DUMMYFUNCTION("""COMPUTED_VALUE"""),"32582")</f>
        <v>32582</v>
      </c>
      <c r="B292" s="51">
        <f ca="1">IFERROR(__xludf.DUMMYFUNCTION("""COMPUTED_VALUE"""),44609)</f>
        <v>44609</v>
      </c>
      <c r="C292" s="22">
        <f ca="1">IFERROR(__xludf.DUMMYFUNCTION("""COMPUTED_VALUE"""),500000)</f>
        <v>500000</v>
      </c>
      <c r="D292" s="22">
        <f ca="1">IFERROR(__xludf.DUMMYFUNCTION("""COMPUTED_VALUE"""),0)</f>
        <v>0</v>
      </c>
      <c r="E292" s="22">
        <f ca="1">IFERROR(__xludf.DUMMYFUNCTION("""COMPUTED_VALUE"""),500000)</f>
        <v>500000</v>
      </c>
      <c r="F292" s="22">
        <f ca="1">IFERROR(__xludf.DUMMYFUNCTION("""COMPUTED_VALUE"""),500000)</f>
        <v>500000</v>
      </c>
      <c r="G292" s="22">
        <f ca="1">IFERROR(__xludf.DUMMYFUNCTION("""COMPUTED_VALUE"""),0)</f>
        <v>0</v>
      </c>
      <c r="H292" s="7">
        <f ca="1">IFERROR(__xludf.DUMMYFUNCTION("""COMPUTED_VALUE"""),500000)</f>
        <v>500000</v>
      </c>
    </row>
    <row r="293" spans="1:8" ht="13" x14ac:dyDescent="0.15">
      <c r="A293" s="5" t="str">
        <f ca="1">IFERROR(__xludf.DUMMYFUNCTION("""COMPUTED_VALUE"""),"32582")</f>
        <v>32582</v>
      </c>
      <c r="B293" s="51">
        <f ca="1">IFERROR(__xludf.DUMMYFUNCTION("""COMPUTED_VALUE"""),44610)</f>
        <v>44610</v>
      </c>
      <c r="C293" s="22">
        <f ca="1">IFERROR(__xludf.DUMMYFUNCTION("""COMPUTED_VALUE"""),500000)</f>
        <v>500000</v>
      </c>
      <c r="D293" s="22">
        <f ca="1">IFERROR(__xludf.DUMMYFUNCTION("""COMPUTED_VALUE"""),0)</f>
        <v>0</v>
      </c>
      <c r="E293" s="22">
        <f ca="1">IFERROR(__xludf.DUMMYFUNCTION("""COMPUTED_VALUE"""),500000)</f>
        <v>500000</v>
      </c>
      <c r="F293" s="22">
        <f ca="1">IFERROR(__xludf.DUMMYFUNCTION("""COMPUTED_VALUE"""),500000)</f>
        <v>500000</v>
      </c>
      <c r="G293" s="22">
        <f ca="1">IFERROR(__xludf.DUMMYFUNCTION("""COMPUTED_VALUE"""),0)</f>
        <v>0</v>
      </c>
      <c r="H293" s="7">
        <f ca="1">IFERROR(__xludf.DUMMYFUNCTION("""COMPUTED_VALUE"""),500000)</f>
        <v>500000</v>
      </c>
    </row>
    <row r="294" spans="1:8" ht="13" x14ac:dyDescent="0.15">
      <c r="A294" s="5" t="str">
        <f ca="1">IFERROR(__xludf.DUMMYFUNCTION("""COMPUTED_VALUE"""),"32582")</f>
        <v>32582</v>
      </c>
      <c r="B294" s="51">
        <f ca="1">IFERROR(__xludf.DUMMYFUNCTION("""COMPUTED_VALUE"""),44611)</f>
        <v>44611</v>
      </c>
      <c r="C294" s="22">
        <f ca="1">IFERROR(__xludf.DUMMYFUNCTION("""COMPUTED_VALUE"""),500000)</f>
        <v>500000</v>
      </c>
      <c r="D294" s="22">
        <f ca="1">IFERROR(__xludf.DUMMYFUNCTION("""COMPUTED_VALUE"""),0)</f>
        <v>0</v>
      </c>
      <c r="E294" s="22">
        <f ca="1">IFERROR(__xludf.DUMMYFUNCTION("""COMPUTED_VALUE"""),500000)</f>
        <v>500000</v>
      </c>
      <c r="F294" s="22">
        <f ca="1">IFERROR(__xludf.DUMMYFUNCTION("""COMPUTED_VALUE"""),500000)</f>
        <v>500000</v>
      </c>
      <c r="G294" s="22">
        <f ca="1">IFERROR(__xludf.DUMMYFUNCTION("""COMPUTED_VALUE"""),0)</f>
        <v>0</v>
      </c>
      <c r="H294" s="7">
        <f ca="1">IFERROR(__xludf.DUMMYFUNCTION("""COMPUTED_VALUE"""),500000)</f>
        <v>500000</v>
      </c>
    </row>
    <row r="295" spans="1:8" ht="13" x14ac:dyDescent="0.15">
      <c r="A295" s="5" t="str">
        <f ca="1">IFERROR(__xludf.DUMMYFUNCTION("""COMPUTED_VALUE"""),"32582")</f>
        <v>32582</v>
      </c>
      <c r="B295" s="51">
        <f ca="1">IFERROR(__xludf.DUMMYFUNCTION("""COMPUTED_VALUE"""),44612)</f>
        <v>44612</v>
      </c>
      <c r="C295" s="22">
        <f ca="1">IFERROR(__xludf.DUMMYFUNCTION("""COMPUTED_VALUE"""),500000)</f>
        <v>500000</v>
      </c>
      <c r="D295" s="22">
        <f ca="1">IFERROR(__xludf.DUMMYFUNCTION("""COMPUTED_VALUE"""),0)</f>
        <v>0</v>
      </c>
      <c r="E295" s="22">
        <f ca="1">IFERROR(__xludf.DUMMYFUNCTION("""COMPUTED_VALUE"""),500000)</f>
        <v>500000</v>
      </c>
      <c r="F295" s="22">
        <f ca="1">IFERROR(__xludf.DUMMYFUNCTION("""COMPUTED_VALUE"""),500000)</f>
        <v>500000</v>
      </c>
      <c r="G295" s="22">
        <f ca="1">IFERROR(__xludf.DUMMYFUNCTION("""COMPUTED_VALUE"""),0)</f>
        <v>0</v>
      </c>
      <c r="H295" s="7">
        <f ca="1">IFERROR(__xludf.DUMMYFUNCTION("""COMPUTED_VALUE"""),500000)</f>
        <v>500000</v>
      </c>
    </row>
    <row r="296" spans="1:8" ht="13" x14ac:dyDescent="0.15">
      <c r="A296" s="5" t="str">
        <f ca="1">IFERROR(__xludf.DUMMYFUNCTION("""COMPUTED_VALUE"""),"32582")</f>
        <v>32582</v>
      </c>
      <c r="B296" s="51">
        <f ca="1">IFERROR(__xludf.DUMMYFUNCTION("""COMPUTED_VALUE"""),44613)</f>
        <v>44613</v>
      </c>
      <c r="C296" s="22">
        <f ca="1">IFERROR(__xludf.DUMMYFUNCTION("""COMPUTED_VALUE"""),500000)</f>
        <v>500000</v>
      </c>
      <c r="D296" s="22">
        <f ca="1">IFERROR(__xludf.DUMMYFUNCTION("""COMPUTED_VALUE"""),0)</f>
        <v>0</v>
      </c>
      <c r="E296" s="22">
        <f ca="1">IFERROR(__xludf.DUMMYFUNCTION("""COMPUTED_VALUE"""),500000)</f>
        <v>500000</v>
      </c>
      <c r="F296" s="22">
        <f ca="1">IFERROR(__xludf.DUMMYFUNCTION("""COMPUTED_VALUE"""),500000)</f>
        <v>500000</v>
      </c>
      <c r="G296" s="22">
        <f ca="1">IFERROR(__xludf.DUMMYFUNCTION("""COMPUTED_VALUE"""),0)</f>
        <v>0</v>
      </c>
      <c r="H296" s="7">
        <f ca="1">IFERROR(__xludf.DUMMYFUNCTION("""COMPUTED_VALUE"""),500000)</f>
        <v>500000</v>
      </c>
    </row>
    <row r="297" spans="1:8" ht="13" x14ac:dyDescent="0.15">
      <c r="A297" s="5" t="str">
        <f ca="1">IFERROR(__xludf.DUMMYFUNCTION("""COMPUTED_VALUE"""),"32582")</f>
        <v>32582</v>
      </c>
      <c r="B297" s="51">
        <f ca="1">IFERROR(__xludf.DUMMYFUNCTION("""COMPUTED_VALUE"""),44614)</f>
        <v>44614</v>
      </c>
      <c r="C297" s="22">
        <f ca="1">IFERROR(__xludf.DUMMYFUNCTION("""COMPUTED_VALUE"""),500000)</f>
        <v>500000</v>
      </c>
      <c r="D297" s="22">
        <f ca="1">IFERROR(__xludf.DUMMYFUNCTION("""COMPUTED_VALUE"""),0)</f>
        <v>0</v>
      </c>
      <c r="E297" s="22">
        <f ca="1">IFERROR(__xludf.DUMMYFUNCTION("""COMPUTED_VALUE"""),500000)</f>
        <v>500000</v>
      </c>
      <c r="F297" s="22">
        <f ca="1">IFERROR(__xludf.DUMMYFUNCTION("""COMPUTED_VALUE"""),500000)</f>
        <v>500000</v>
      </c>
      <c r="G297" s="22">
        <f ca="1">IFERROR(__xludf.DUMMYFUNCTION("""COMPUTED_VALUE"""),0)</f>
        <v>0</v>
      </c>
      <c r="H297" s="7">
        <f ca="1">IFERROR(__xludf.DUMMYFUNCTION("""COMPUTED_VALUE"""),500000)</f>
        <v>500000</v>
      </c>
    </row>
    <row r="298" spans="1:8" ht="13" x14ac:dyDescent="0.15">
      <c r="A298" s="5" t="str">
        <f ca="1">IFERROR(__xludf.DUMMYFUNCTION("""COMPUTED_VALUE"""),"32582")</f>
        <v>32582</v>
      </c>
      <c r="B298" s="51">
        <f ca="1">IFERROR(__xludf.DUMMYFUNCTION("""COMPUTED_VALUE"""),44615)</f>
        <v>44615</v>
      </c>
      <c r="C298" s="22">
        <f ca="1">IFERROR(__xludf.DUMMYFUNCTION("""COMPUTED_VALUE"""),500000)</f>
        <v>500000</v>
      </c>
      <c r="D298" s="22">
        <f ca="1">IFERROR(__xludf.DUMMYFUNCTION("""COMPUTED_VALUE"""),0)</f>
        <v>0</v>
      </c>
      <c r="E298" s="22">
        <f ca="1">IFERROR(__xludf.DUMMYFUNCTION("""COMPUTED_VALUE"""),500000)</f>
        <v>500000</v>
      </c>
      <c r="F298" s="22">
        <f ca="1">IFERROR(__xludf.DUMMYFUNCTION("""COMPUTED_VALUE"""),500000)</f>
        <v>500000</v>
      </c>
      <c r="G298" s="22">
        <f ca="1">IFERROR(__xludf.DUMMYFUNCTION("""COMPUTED_VALUE"""),0)</f>
        <v>0</v>
      </c>
      <c r="H298" s="7">
        <f ca="1">IFERROR(__xludf.DUMMYFUNCTION("""COMPUTED_VALUE"""),500000)</f>
        <v>500000</v>
      </c>
    </row>
    <row r="299" spans="1:8" ht="13" x14ac:dyDescent="0.15">
      <c r="A299" s="5" t="str">
        <f ca="1">IFERROR(__xludf.DUMMYFUNCTION("""COMPUTED_VALUE"""),"32582")</f>
        <v>32582</v>
      </c>
      <c r="B299" s="51">
        <f ca="1">IFERROR(__xludf.DUMMYFUNCTION("""COMPUTED_VALUE"""),44616)</f>
        <v>44616</v>
      </c>
      <c r="C299" s="22">
        <f ca="1">IFERROR(__xludf.DUMMYFUNCTION("""COMPUTED_VALUE"""),500000)</f>
        <v>500000</v>
      </c>
      <c r="D299" s="22">
        <f ca="1">IFERROR(__xludf.DUMMYFUNCTION("""COMPUTED_VALUE"""),0)</f>
        <v>0</v>
      </c>
      <c r="E299" s="22">
        <f ca="1">IFERROR(__xludf.DUMMYFUNCTION("""COMPUTED_VALUE"""),500000)</f>
        <v>500000</v>
      </c>
      <c r="F299" s="22">
        <f ca="1">IFERROR(__xludf.DUMMYFUNCTION("""COMPUTED_VALUE"""),500000)</f>
        <v>500000</v>
      </c>
      <c r="G299" s="22">
        <f ca="1">IFERROR(__xludf.DUMMYFUNCTION("""COMPUTED_VALUE"""),0)</f>
        <v>0</v>
      </c>
      <c r="H299" s="7">
        <f ca="1">IFERROR(__xludf.DUMMYFUNCTION("""COMPUTED_VALUE"""),500000)</f>
        <v>500000</v>
      </c>
    </row>
    <row r="300" spans="1:8" ht="13" x14ac:dyDescent="0.15">
      <c r="A300" s="5" t="str">
        <f ca="1">IFERROR(__xludf.DUMMYFUNCTION("""COMPUTED_VALUE"""),"32582")</f>
        <v>32582</v>
      </c>
      <c r="B300" s="51">
        <f ca="1">IFERROR(__xludf.DUMMYFUNCTION("""COMPUTED_VALUE"""),44617)</f>
        <v>44617</v>
      </c>
      <c r="C300" s="22">
        <f ca="1">IFERROR(__xludf.DUMMYFUNCTION("""COMPUTED_VALUE"""),500000)</f>
        <v>500000</v>
      </c>
      <c r="D300" s="22">
        <f ca="1">IFERROR(__xludf.DUMMYFUNCTION("""COMPUTED_VALUE"""),0)</f>
        <v>0</v>
      </c>
      <c r="E300" s="22">
        <f ca="1">IFERROR(__xludf.DUMMYFUNCTION("""COMPUTED_VALUE"""),500000)</f>
        <v>500000</v>
      </c>
      <c r="F300" s="22">
        <f ca="1">IFERROR(__xludf.DUMMYFUNCTION("""COMPUTED_VALUE"""),500000)</f>
        <v>500000</v>
      </c>
      <c r="G300" s="22">
        <f ca="1">IFERROR(__xludf.DUMMYFUNCTION("""COMPUTED_VALUE"""),0)</f>
        <v>0</v>
      </c>
      <c r="H300" s="7">
        <f ca="1">IFERROR(__xludf.DUMMYFUNCTION("""COMPUTED_VALUE"""),500000)</f>
        <v>500000</v>
      </c>
    </row>
    <row r="301" spans="1:8" ht="13" x14ac:dyDescent="0.15">
      <c r="A301" s="5" t="str">
        <f ca="1">IFERROR(__xludf.DUMMYFUNCTION("""COMPUTED_VALUE"""),"32582")</f>
        <v>32582</v>
      </c>
      <c r="B301" s="51">
        <f ca="1">IFERROR(__xludf.DUMMYFUNCTION("""COMPUTED_VALUE"""),44618)</f>
        <v>44618</v>
      </c>
      <c r="C301" s="22">
        <f ca="1">IFERROR(__xludf.DUMMYFUNCTION("""COMPUTED_VALUE"""),500000)</f>
        <v>500000</v>
      </c>
      <c r="D301" s="22">
        <f ca="1">IFERROR(__xludf.DUMMYFUNCTION("""COMPUTED_VALUE"""),0)</f>
        <v>0</v>
      </c>
      <c r="E301" s="22">
        <f ca="1">IFERROR(__xludf.DUMMYFUNCTION("""COMPUTED_VALUE"""),500000)</f>
        <v>500000</v>
      </c>
      <c r="F301" s="22">
        <f ca="1">IFERROR(__xludf.DUMMYFUNCTION("""COMPUTED_VALUE"""),500000)</f>
        <v>500000</v>
      </c>
      <c r="G301" s="22">
        <f ca="1">IFERROR(__xludf.DUMMYFUNCTION("""COMPUTED_VALUE"""),0)</f>
        <v>0</v>
      </c>
      <c r="H301" s="7">
        <f ca="1">IFERROR(__xludf.DUMMYFUNCTION("""COMPUTED_VALUE"""),500000)</f>
        <v>500000</v>
      </c>
    </row>
    <row r="302" spans="1:8" ht="13" x14ac:dyDescent="0.15">
      <c r="A302" s="5" t="str">
        <f ca="1">IFERROR(__xludf.DUMMYFUNCTION("""COMPUTED_VALUE"""),"32582")</f>
        <v>32582</v>
      </c>
      <c r="B302" s="51">
        <f ca="1">IFERROR(__xludf.DUMMYFUNCTION("""COMPUTED_VALUE"""),44619)</f>
        <v>44619</v>
      </c>
      <c r="C302" s="22">
        <f ca="1">IFERROR(__xludf.DUMMYFUNCTION("""COMPUTED_VALUE"""),500000)</f>
        <v>500000</v>
      </c>
      <c r="D302" s="22">
        <f ca="1">IFERROR(__xludf.DUMMYFUNCTION("""COMPUTED_VALUE"""),0)</f>
        <v>0</v>
      </c>
      <c r="E302" s="22">
        <f ca="1">IFERROR(__xludf.DUMMYFUNCTION("""COMPUTED_VALUE"""),500000)</f>
        <v>500000</v>
      </c>
      <c r="F302" s="22">
        <f ca="1">IFERROR(__xludf.DUMMYFUNCTION("""COMPUTED_VALUE"""),500000)</f>
        <v>500000</v>
      </c>
      <c r="G302" s="22">
        <f ca="1">IFERROR(__xludf.DUMMYFUNCTION("""COMPUTED_VALUE"""),0)</f>
        <v>0</v>
      </c>
      <c r="H302" s="7">
        <f ca="1">IFERROR(__xludf.DUMMYFUNCTION("""COMPUTED_VALUE"""),500000)</f>
        <v>500000</v>
      </c>
    </row>
    <row r="303" spans="1:8" ht="13" x14ac:dyDescent="0.15">
      <c r="A303" s="5" t="str">
        <f ca="1">IFERROR(__xludf.DUMMYFUNCTION("""COMPUTED_VALUE"""),"32582")</f>
        <v>32582</v>
      </c>
      <c r="B303" s="51">
        <f ca="1">IFERROR(__xludf.DUMMYFUNCTION("""COMPUTED_VALUE"""),44620)</f>
        <v>44620</v>
      </c>
      <c r="C303" s="22">
        <f ca="1">IFERROR(__xludf.DUMMYFUNCTION("""COMPUTED_VALUE"""),500000)</f>
        <v>500000</v>
      </c>
      <c r="D303" s="22">
        <f ca="1">IFERROR(__xludf.DUMMYFUNCTION("""COMPUTED_VALUE"""),0)</f>
        <v>0</v>
      </c>
      <c r="E303" s="22">
        <f ca="1">IFERROR(__xludf.DUMMYFUNCTION("""COMPUTED_VALUE"""),500000)</f>
        <v>500000</v>
      </c>
      <c r="F303" s="22">
        <f ca="1">IFERROR(__xludf.DUMMYFUNCTION("""COMPUTED_VALUE"""),500000)</f>
        <v>500000</v>
      </c>
      <c r="G303" s="22">
        <f ca="1">IFERROR(__xludf.DUMMYFUNCTION("""COMPUTED_VALUE"""),0)</f>
        <v>0</v>
      </c>
      <c r="H303" s="7">
        <f ca="1">IFERROR(__xludf.DUMMYFUNCTION("""COMPUTED_VALUE"""),500000)</f>
        <v>500000</v>
      </c>
    </row>
    <row r="304" spans="1:8" ht="13" x14ac:dyDescent="0.15">
      <c r="A304" s="5" t="str">
        <f ca="1">IFERROR(__xludf.DUMMYFUNCTION("""COMPUTED_VALUE"""),"32582")</f>
        <v>32582</v>
      </c>
      <c r="B304" s="51">
        <f ca="1">IFERROR(__xludf.DUMMYFUNCTION("""COMPUTED_VALUE"""),44621)</f>
        <v>44621</v>
      </c>
      <c r="C304" s="22">
        <f ca="1">IFERROR(__xludf.DUMMYFUNCTION("""COMPUTED_VALUE"""),500000)</f>
        <v>500000</v>
      </c>
      <c r="D304" s="22">
        <f ca="1">IFERROR(__xludf.DUMMYFUNCTION("""COMPUTED_VALUE"""),0)</f>
        <v>0</v>
      </c>
      <c r="E304" s="22">
        <f ca="1">IFERROR(__xludf.DUMMYFUNCTION("""COMPUTED_VALUE"""),500000)</f>
        <v>500000</v>
      </c>
      <c r="F304" s="22">
        <f ca="1">IFERROR(__xludf.DUMMYFUNCTION("""COMPUTED_VALUE"""),500000)</f>
        <v>500000</v>
      </c>
      <c r="G304" s="22">
        <f ca="1">IFERROR(__xludf.DUMMYFUNCTION("""COMPUTED_VALUE"""),0)</f>
        <v>0</v>
      </c>
      <c r="H304" s="7">
        <f ca="1">IFERROR(__xludf.DUMMYFUNCTION("""COMPUTED_VALUE"""),500000)</f>
        <v>500000</v>
      </c>
    </row>
    <row r="305" spans="1:8" ht="13" x14ac:dyDescent="0.15">
      <c r="A305" s="5" t="str">
        <f ca="1">IFERROR(__xludf.DUMMYFUNCTION("""COMPUTED_VALUE"""),"32582")</f>
        <v>32582</v>
      </c>
      <c r="B305" s="51">
        <f ca="1">IFERROR(__xludf.DUMMYFUNCTION("""COMPUTED_VALUE"""),44622)</f>
        <v>44622</v>
      </c>
      <c r="C305" s="22">
        <f ca="1">IFERROR(__xludf.DUMMYFUNCTION("""COMPUTED_VALUE"""),500000)</f>
        <v>500000</v>
      </c>
      <c r="D305" s="22">
        <f ca="1">IFERROR(__xludf.DUMMYFUNCTION("""COMPUTED_VALUE"""),0)</f>
        <v>0</v>
      </c>
      <c r="E305" s="22">
        <f ca="1">IFERROR(__xludf.DUMMYFUNCTION("""COMPUTED_VALUE"""),500000)</f>
        <v>500000</v>
      </c>
      <c r="F305" s="22">
        <f ca="1">IFERROR(__xludf.DUMMYFUNCTION("""COMPUTED_VALUE"""),500000)</f>
        <v>500000</v>
      </c>
      <c r="G305" s="22">
        <f ca="1">IFERROR(__xludf.DUMMYFUNCTION("""COMPUTED_VALUE"""),0)</f>
        <v>0</v>
      </c>
      <c r="H305" s="7">
        <f ca="1">IFERROR(__xludf.DUMMYFUNCTION("""COMPUTED_VALUE"""),500000)</f>
        <v>500000</v>
      </c>
    </row>
    <row r="306" spans="1:8" ht="13" x14ac:dyDescent="0.15">
      <c r="A306" s="5" t="str">
        <f ca="1">IFERROR(__xludf.DUMMYFUNCTION("""COMPUTED_VALUE"""),"32582")</f>
        <v>32582</v>
      </c>
      <c r="B306" s="51">
        <f ca="1">IFERROR(__xludf.DUMMYFUNCTION("""COMPUTED_VALUE"""),44623)</f>
        <v>44623</v>
      </c>
      <c r="C306" s="22">
        <f ca="1">IFERROR(__xludf.DUMMYFUNCTION("""COMPUTED_VALUE"""),500000)</f>
        <v>500000</v>
      </c>
      <c r="D306" s="22">
        <f ca="1">IFERROR(__xludf.DUMMYFUNCTION("""COMPUTED_VALUE"""),0)</f>
        <v>0</v>
      </c>
      <c r="E306" s="22">
        <f ca="1">IFERROR(__xludf.DUMMYFUNCTION("""COMPUTED_VALUE"""),500000)</f>
        <v>500000</v>
      </c>
      <c r="F306" s="22">
        <f ca="1">IFERROR(__xludf.DUMMYFUNCTION("""COMPUTED_VALUE"""),500000)</f>
        <v>500000</v>
      </c>
      <c r="G306" s="22">
        <f ca="1">IFERROR(__xludf.DUMMYFUNCTION("""COMPUTED_VALUE"""),0)</f>
        <v>0</v>
      </c>
      <c r="H306" s="7">
        <f ca="1">IFERROR(__xludf.DUMMYFUNCTION("""COMPUTED_VALUE"""),500000)</f>
        <v>500000</v>
      </c>
    </row>
    <row r="307" spans="1:8" ht="13" x14ac:dyDescent="0.15">
      <c r="A307" s="5" t="str">
        <f ca="1">IFERROR(__xludf.DUMMYFUNCTION("""COMPUTED_VALUE"""),"32582")</f>
        <v>32582</v>
      </c>
      <c r="B307" s="51">
        <f ca="1">IFERROR(__xludf.DUMMYFUNCTION("""COMPUTED_VALUE"""),44624)</f>
        <v>44624</v>
      </c>
      <c r="C307" s="22">
        <f ca="1">IFERROR(__xludf.DUMMYFUNCTION("""COMPUTED_VALUE"""),500000)</f>
        <v>500000</v>
      </c>
      <c r="D307" s="22">
        <f ca="1">IFERROR(__xludf.DUMMYFUNCTION("""COMPUTED_VALUE"""),0)</f>
        <v>0</v>
      </c>
      <c r="E307" s="22">
        <f ca="1">IFERROR(__xludf.DUMMYFUNCTION("""COMPUTED_VALUE"""),500000)</f>
        <v>500000</v>
      </c>
      <c r="F307" s="22">
        <f ca="1">IFERROR(__xludf.DUMMYFUNCTION("""COMPUTED_VALUE"""),500000)</f>
        <v>500000</v>
      </c>
      <c r="G307" s="22">
        <f ca="1">IFERROR(__xludf.DUMMYFUNCTION("""COMPUTED_VALUE"""),0)</f>
        <v>0</v>
      </c>
      <c r="H307" s="7">
        <f ca="1">IFERROR(__xludf.DUMMYFUNCTION("""COMPUTED_VALUE"""),500000)</f>
        <v>500000</v>
      </c>
    </row>
    <row r="308" spans="1:8" ht="13" x14ac:dyDescent="0.15">
      <c r="A308" s="5" t="str">
        <f ca="1">IFERROR(__xludf.DUMMYFUNCTION("""COMPUTED_VALUE"""),"32582")</f>
        <v>32582</v>
      </c>
      <c r="B308" s="51">
        <f ca="1">IFERROR(__xludf.DUMMYFUNCTION("""COMPUTED_VALUE"""),44625)</f>
        <v>44625</v>
      </c>
      <c r="C308" s="22">
        <f ca="1">IFERROR(__xludf.DUMMYFUNCTION("""COMPUTED_VALUE"""),500000)</f>
        <v>500000</v>
      </c>
      <c r="D308" s="22">
        <f ca="1">IFERROR(__xludf.DUMMYFUNCTION("""COMPUTED_VALUE"""),0)</f>
        <v>0</v>
      </c>
      <c r="E308" s="22">
        <f ca="1">IFERROR(__xludf.DUMMYFUNCTION("""COMPUTED_VALUE"""),500000)</f>
        <v>500000</v>
      </c>
      <c r="F308" s="22">
        <f ca="1">IFERROR(__xludf.DUMMYFUNCTION("""COMPUTED_VALUE"""),500000)</f>
        <v>500000</v>
      </c>
      <c r="G308" s="22">
        <f ca="1">IFERROR(__xludf.DUMMYFUNCTION("""COMPUTED_VALUE"""),0)</f>
        <v>0</v>
      </c>
      <c r="H308" s="7">
        <f ca="1">IFERROR(__xludf.DUMMYFUNCTION("""COMPUTED_VALUE"""),500000)</f>
        <v>500000</v>
      </c>
    </row>
    <row r="309" spans="1:8" ht="13" x14ac:dyDescent="0.15">
      <c r="A309" s="5" t="str">
        <f ca="1">IFERROR(__xludf.DUMMYFUNCTION("""COMPUTED_VALUE"""),"32582")</f>
        <v>32582</v>
      </c>
      <c r="B309" s="51">
        <f ca="1">IFERROR(__xludf.DUMMYFUNCTION("""COMPUTED_VALUE"""),44626)</f>
        <v>44626</v>
      </c>
      <c r="C309" s="22">
        <f ca="1">IFERROR(__xludf.DUMMYFUNCTION("""COMPUTED_VALUE"""),500000)</f>
        <v>500000</v>
      </c>
      <c r="D309" s="22">
        <f ca="1">IFERROR(__xludf.DUMMYFUNCTION("""COMPUTED_VALUE"""),0)</f>
        <v>0</v>
      </c>
      <c r="E309" s="22">
        <f ca="1">IFERROR(__xludf.DUMMYFUNCTION("""COMPUTED_VALUE"""),500000)</f>
        <v>500000</v>
      </c>
      <c r="F309" s="22">
        <f ca="1">IFERROR(__xludf.DUMMYFUNCTION("""COMPUTED_VALUE"""),500000)</f>
        <v>500000</v>
      </c>
      <c r="G309" s="22">
        <f ca="1">IFERROR(__xludf.DUMMYFUNCTION("""COMPUTED_VALUE"""),0)</f>
        <v>0</v>
      </c>
      <c r="H309" s="7">
        <f ca="1">IFERROR(__xludf.DUMMYFUNCTION("""COMPUTED_VALUE"""),500000)</f>
        <v>500000</v>
      </c>
    </row>
    <row r="310" spans="1:8" ht="13" x14ac:dyDescent="0.15">
      <c r="A310" s="5" t="str">
        <f ca="1">IFERROR(__xludf.DUMMYFUNCTION("""COMPUTED_VALUE"""),"32582")</f>
        <v>32582</v>
      </c>
      <c r="B310" s="51">
        <f ca="1">IFERROR(__xludf.DUMMYFUNCTION("""COMPUTED_VALUE"""),44627)</f>
        <v>44627</v>
      </c>
      <c r="C310" s="22">
        <f ca="1">IFERROR(__xludf.DUMMYFUNCTION("""COMPUTED_VALUE"""),500000)</f>
        <v>500000</v>
      </c>
      <c r="D310" s="22">
        <f ca="1">IFERROR(__xludf.DUMMYFUNCTION("""COMPUTED_VALUE"""),0)</f>
        <v>0</v>
      </c>
      <c r="E310" s="22">
        <f ca="1">IFERROR(__xludf.DUMMYFUNCTION("""COMPUTED_VALUE"""),500000)</f>
        <v>500000</v>
      </c>
      <c r="F310" s="22">
        <f ca="1">IFERROR(__xludf.DUMMYFUNCTION("""COMPUTED_VALUE"""),500000)</f>
        <v>500000</v>
      </c>
      <c r="G310" s="22">
        <f ca="1">IFERROR(__xludf.DUMMYFUNCTION("""COMPUTED_VALUE"""),0)</f>
        <v>0</v>
      </c>
      <c r="H310" s="7">
        <f ca="1">IFERROR(__xludf.DUMMYFUNCTION("""COMPUTED_VALUE"""),500000)</f>
        <v>500000</v>
      </c>
    </row>
    <row r="311" spans="1:8" ht="13" x14ac:dyDescent="0.15">
      <c r="A311" s="5" t="str">
        <f ca="1">IFERROR(__xludf.DUMMYFUNCTION("""COMPUTED_VALUE"""),"32582")</f>
        <v>32582</v>
      </c>
      <c r="B311" s="51">
        <f ca="1">IFERROR(__xludf.DUMMYFUNCTION("""COMPUTED_VALUE"""),44628)</f>
        <v>44628</v>
      </c>
      <c r="C311" s="22">
        <f ca="1">IFERROR(__xludf.DUMMYFUNCTION("""COMPUTED_VALUE"""),500000)</f>
        <v>500000</v>
      </c>
      <c r="D311" s="22">
        <f ca="1">IFERROR(__xludf.DUMMYFUNCTION("""COMPUTED_VALUE"""),0)</f>
        <v>0</v>
      </c>
      <c r="E311" s="22">
        <f ca="1">IFERROR(__xludf.DUMMYFUNCTION("""COMPUTED_VALUE"""),500000)</f>
        <v>500000</v>
      </c>
      <c r="F311" s="22">
        <f ca="1">IFERROR(__xludf.DUMMYFUNCTION("""COMPUTED_VALUE"""),500000)</f>
        <v>500000</v>
      </c>
      <c r="G311" s="22">
        <f ca="1">IFERROR(__xludf.DUMMYFUNCTION("""COMPUTED_VALUE"""),0)</f>
        <v>0</v>
      </c>
      <c r="H311" s="7">
        <f ca="1">IFERROR(__xludf.DUMMYFUNCTION("""COMPUTED_VALUE"""),500000)</f>
        <v>500000</v>
      </c>
    </row>
    <row r="312" spans="1:8" ht="13" x14ac:dyDescent="0.15">
      <c r="A312" s="5" t="str">
        <f ca="1">IFERROR(__xludf.DUMMYFUNCTION("""COMPUTED_VALUE"""),"32582")</f>
        <v>32582</v>
      </c>
      <c r="B312" s="51">
        <f ca="1">IFERROR(__xludf.DUMMYFUNCTION("""COMPUTED_VALUE"""),44629)</f>
        <v>44629</v>
      </c>
      <c r="C312" s="22">
        <f ca="1">IFERROR(__xludf.DUMMYFUNCTION("""COMPUTED_VALUE"""),500000)</f>
        <v>500000</v>
      </c>
      <c r="D312" s="22">
        <f ca="1">IFERROR(__xludf.DUMMYFUNCTION("""COMPUTED_VALUE"""),0)</f>
        <v>0</v>
      </c>
      <c r="E312" s="22">
        <f ca="1">IFERROR(__xludf.DUMMYFUNCTION("""COMPUTED_VALUE"""),500000)</f>
        <v>500000</v>
      </c>
      <c r="F312" s="22">
        <f ca="1">IFERROR(__xludf.DUMMYFUNCTION("""COMPUTED_VALUE"""),500000)</f>
        <v>500000</v>
      </c>
      <c r="G312" s="22">
        <f ca="1">IFERROR(__xludf.DUMMYFUNCTION("""COMPUTED_VALUE"""),0)</f>
        <v>0</v>
      </c>
      <c r="H312" s="7">
        <f ca="1">IFERROR(__xludf.DUMMYFUNCTION("""COMPUTED_VALUE"""),500000)</f>
        <v>500000</v>
      </c>
    </row>
    <row r="313" spans="1:8" ht="13" x14ac:dyDescent="0.15">
      <c r="A313" s="5" t="str">
        <f ca="1">IFERROR(__xludf.DUMMYFUNCTION("""COMPUTED_VALUE"""),"32582")</f>
        <v>32582</v>
      </c>
      <c r="B313" s="51">
        <f ca="1">IFERROR(__xludf.DUMMYFUNCTION("""COMPUTED_VALUE"""),44630)</f>
        <v>44630</v>
      </c>
      <c r="C313" s="22">
        <f ca="1">IFERROR(__xludf.DUMMYFUNCTION("""COMPUTED_VALUE"""),500000)</f>
        <v>500000</v>
      </c>
      <c r="D313" s="22">
        <f ca="1">IFERROR(__xludf.DUMMYFUNCTION("""COMPUTED_VALUE"""),0)</f>
        <v>0</v>
      </c>
      <c r="E313" s="22">
        <f ca="1">IFERROR(__xludf.DUMMYFUNCTION("""COMPUTED_VALUE"""),500000)</f>
        <v>500000</v>
      </c>
      <c r="F313" s="22">
        <f ca="1">IFERROR(__xludf.DUMMYFUNCTION("""COMPUTED_VALUE"""),500000)</f>
        <v>500000</v>
      </c>
      <c r="G313" s="22">
        <f ca="1">IFERROR(__xludf.DUMMYFUNCTION("""COMPUTED_VALUE"""),0)</f>
        <v>0</v>
      </c>
      <c r="H313" s="7">
        <f ca="1">IFERROR(__xludf.DUMMYFUNCTION("""COMPUTED_VALUE"""),500000)</f>
        <v>500000</v>
      </c>
    </row>
    <row r="314" spans="1:8" ht="13" x14ac:dyDescent="0.15">
      <c r="A314" s="5" t="str">
        <f ca="1">IFERROR(__xludf.DUMMYFUNCTION("""COMPUTED_VALUE"""),"32582")</f>
        <v>32582</v>
      </c>
      <c r="B314" s="51">
        <f ca="1">IFERROR(__xludf.DUMMYFUNCTION("""COMPUTED_VALUE"""),44631)</f>
        <v>44631</v>
      </c>
      <c r="C314" s="22">
        <f ca="1">IFERROR(__xludf.DUMMYFUNCTION("""COMPUTED_VALUE"""),500000)</f>
        <v>500000</v>
      </c>
      <c r="D314" s="22">
        <f ca="1">IFERROR(__xludf.DUMMYFUNCTION("""COMPUTED_VALUE"""),0)</f>
        <v>0</v>
      </c>
      <c r="E314" s="22">
        <f ca="1">IFERROR(__xludf.DUMMYFUNCTION("""COMPUTED_VALUE"""),500000)</f>
        <v>500000</v>
      </c>
      <c r="F314" s="22">
        <f ca="1">IFERROR(__xludf.DUMMYFUNCTION("""COMPUTED_VALUE"""),500000)</f>
        <v>500000</v>
      </c>
      <c r="G314" s="22">
        <f ca="1">IFERROR(__xludf.DUMMYFUNCTION("""COMPUTED_VALUE"""),0)</f>
        <v>0</v>
      </c>
      <c r="H314" s="7">
        <f ca="1">IFERROR(__xludf.DUMMYFUNCTION("""COMPUTED_VALUE"""),500000)</f>
        <v>500000</v>
      </c>
    </row>
    <row r="315" spans="1:8" ht="13" x14ac:dyDescent="0.15">
      <c r="A315" s="5" t="str">
        <f ca="1">IFERROR(__xludf.DUMMYFUNCTION("""COMPUTED_VALUE"""),"32582")</f>
        <v>32582</v>
      </c>
      <c r="B315" s="51">
        <f ca="1">IFERROR(__xludf.DUMMYFUNCTION("""COMPUTED_VALUE"""),44632)</f>
        <v>44632</v>
      </c>
      <c r="C315" s="22">
        <f ca="1">IFERROR(__xludf.DUMMYFUNCTION("""COMPUTED_VALUE"""),500000)</f>
        <v>500000</v>
      </c>
      <c r="D315" s="22">
        <f ca="1">IFERROR(__xludf.DUMMYFUNCTION("""COMPUTED_VALUE"""),0)</f>
        <v>0</v>
      </c>
      <c r="E315" s="22">
        <f ca="1">IFERROR(__xludf.DUMMYFUNCTION("""COMPUTED_VALUE"""),500000)</f>
        <v>500000</v>
      </c>
      <c r="F315" s="22">
        <f ca="1">IFERROR(__xludf.DUMMYFUNCTION("""COMPUTED_VALUE"""),500000)</f>
        <v>500000</v>
      </c>
      <c r="G315" s="22">
        <f ca="1">IFERROR(__xludf.DUMMYFUNCTION("""COMPUTED_VALUE"""),0)</f>
        <v>0</v>
      </c>
      <c r="H315" s="7">
        <f ca="1">IFERROR(__xludf.DUMMYFUNCTION("""COMPUTED_VALUE"""),500000)</f>
        <v>500000</v>
      </c>
    </row>
    <row r="316" spans="1:8" ht="13" x14ac:dyDescent="0.15">
      <c r="A316" s="5" t="str">
        <f ca="1">IFERROR(__xludf.DUMMYFUNCTION("""COMPUTED_VALUE"""),"32582")</f>
        <v>32582</v>
      </c>
      <c r="B316" s="51">
        <f ca="1">IFERROR(__xludf.DUMMYFUNCTION("""COMPUTED_VALUE"""),44633)</f>
        <v>44633</v>
      </c>
      <c r="C316" s="22">
        <f ca="1">IFERROR(__xludf.DUMMYFUNCTION("""COMPUTED_VALUE"""),500000)</f>
        <v>500000</v>
      </c>
      <c r="D316" s="22">
        <f ca="1">IFERROR(__xludf.DUMMYFUNCTION("""COMPUTED_VALUE"""),0)</f>
        <v>0</v>
      </c>
      <c r="E316" s="22">
        <f ca="1">IFERROR(__xludf.DUMMYFUNCTION("""COMPUTED_VALUE"""),500000)</f>
        <v>500000</v>
      </c>
      <c r="F316" s="22">
        <f ca="1">IFERROR(__xludf.DUMMYFUNCTION("""COMPUTED_VALUE"""),500000)</f>
        <v>500000</v>
      </c>
      <c r="G316" s="22">
        <f ca="1">IFERROR(__xludf.DUMMYFUNCTION("""COMPUTED_VALUE"""),0)</f>
        <v>0</v>
      </c>
      <c r="H316" s="7">
        <f ca="1">IFERROR(__xludf.DUMMYFUNCTION("""COMPUTED_VALUE"""),500000)</f>
        <v>500000</v>
      </c>
    </row>
    <row r="317" spans="1:8" ht="13" x14ac:dyDescent="0.15">
      <c r="A317" s="5" t="str">
        <f ca="1">IFERROR(__xludf.DUMMYFUNCTION("""COMPUTED_VALUE"""),"32582")</f>
        <v>32582</v>
      </c>
      <c r="B317" s="51">
        <f ca="1">IFERROR(__xludf.DUMMYFUNCTION("""COMPUTED_VALUE"""),44634)</f>
        <v>44634</v>
      </c>
      <c r="C317" s="22">
        <f ca="1">IFERROR(__xludf.DUMMYFUNCTION("""COMPUTED_VALUE"""),500000)</f>
        <v>500000</v>
      </c>
      <c r="D317" s="22">
        <f ca="1">IFERROR(__xludf.DUMMYFUNCTION("""COMPUTED_VALUE"""),0)</f>
        <v>0</v>
      </c>
      <c r="E317" s="22">
        <f ca="1">IFERROR(__xludf.DUMMYFUNCTION("""COMPUTED_VALUE"""),500000)</f>
        <v>500000</v>
      </c>
      <c r="F317" s="22">
        <f ca="1">IFERROR(__xludf.DUMMYFUNCTION("""COMPUTED_VALUE"""),500000)</f>
        <v>500000</v>
      </c>
      <c r="G317" s="22">
        <f ca="1">IFERROR(__xludf.DUMMYFUNCTION("""COMPUTED_VALUE"""),0)</f>
        <v>0</v>
      </c>
      <c r="H317" s="7">
        <f ca="1">IFERROR(__xludf.DUMMYFUNCTION("""COMPUTED_VALUE"""),500000)</f>
        <v>500000</v>
      </c>
    </row>
    <row r="318" spans="1:8" ht="13" x14ac:dyDescent="0.15">
      <c r="A318" s="5" t="str">
        <f ca="1">IFERROR(__xludf.DUMMYFUNCTION("""COMPUTED_VALUE"""),"32582")</f>
        <v>32582</v>
      </c>
      <c r="B318" s="51">
        <f ca="1">IFERROR(__xludf.DUMMYFUNCTION("""COMPUTED_VALUE"""),44635)</f>
        <v>44635</v>
      </c>
      <c r="C318" s="22">
        <f ca="1">IFERROR(__xludf.DUMMYFUNCTION("""COMPUTED_VALUE"""),500000)</f>
        <v>500000</v>
      </c>
      <c r="D318" s="22">
        <f ca="1">IFERROR(__xludf.DUMMYFUNCTION("""COMPUTED_VALUE"""),0)</f>
        <v>0</v>
      </c>
      <c r="E318" s="22">
        <f ca="1">IFERROR(__xludf.DUMMYFUNCTION("""COMPUTED_VALUE"""),500000)</f>
        <v>500000</v>
      </c>
      <c r="F318" s="22">
        <f ca="1">IFERROR(__xludf.DUMMYFUNCTION("""COMPUTED_VALUE"""),500000)</f>
        <v>500000</v>
      </c>
      <c r="G318" s="22">
        <f ca="1">IFERROR(__xludf.DUMMYFUNCTION("""COMPUTED_VALUE"""),0)</f>
        <v>0</v>
      </c>
      <c r="H318" s="7">
        <f ca="1">IFERROR(__xludf.DUMMYFUNCTION("""COMPUTED_VALUE"""),500000)</f>
        <v>500000</v>
      </c>
    </row>
    <row r="319" spans="1:8" ht="13" x14ac:dyDescent="0.15">
      <c r="A319" s="5" t="str">
        <f ca="1">IFERROR(__xludf.DUMMYFUNCTION("""COMPUTED_VALUE"""),"32582")</f>
        <v>32582</v>
      </c>
      <c r="B319" s="51">
        <f ca="1">IFERROR(__xludf.DUMMYFUNCTION("""COMPUTED_VALUE"""),44636)</f>
        <v>44636</v>
      </c>
      <c r="C319" s="22">
        <f ca="1">IFERROR(__xludf.DUMMYFUNCTION("""COMPUTED_VALUE"""),500000)</f>
        <v>500000</v>
      </c>
      <c r="D319" s="22">
        <f ca="1">IFERROR(__xludf.DUMMYFUNCTION("""COMPUTED_VALUE"""),0)</f>
        <v>0</v>
      </c>
      <c r="E319" s="22">
        <f ca="1">IFERROR(__xludf.DUMMYFUNCTION("""COMPUTED_VALUE"""),500000)</f>
        <v>500000</v>
      </c>
      <c r="F319" s="22">
        <f ca="1">IFERROR(__xludf.DUMMYFUNCTION("""COMPUTED_VALUE"""),500000)</f>
        <v>500000</v>
      </c>
      <c r="G319" s="22">
        <f ca="1">IFERROR(__xludf.DUMMYFUNCTION("""COMPUTED_VALUE"""),0)</f>
        <v>0</v>
      </c>
      <c r="H319" s="7">
        <f ca="1">IFERROR(__xludf.DUMMYFUNCTION("""COMPUTED_VALUE"""),500000)</f>
        <v>500000</v>
      </c>
    </row>
    <row r="320" spans="1:8" ht="13" x14ac:dyDescent="0.15">
      <c r="A320" s="5" t="str">
        <f ca="1">IFERROR(__xludf.DUMMYFUNCTION("""COMPUTED_VALUE"""),"32582")</f>
        <v>32582</v>
      </c>
      <c r="B320" s="51">
        <f ca="1">IFERROR(__xludf.DUMMYFUNCTION("""COMPUTED_VALUE"""),44637)</f>
        <v>44637</v>
      </c>
      <c r="C320" s="22">
        <f ca="1">IFERROR(__xludf.DUMMYFUNCTION("""COMPUTED_VALUE"""),500000)</f>
        <v>500000</v>
      </c>
      <c r="D320" s="22">
        <f ca="1">IFERROR(__xludf.DUMMYFUNCTION("""COMPUTED_VALUE"""),0)</f>
        <v>0</v>
      </c>
      <c r="E320" s="22">
        <f ca="1">IFERROR(__xludf.DUMMYFUNCTION("""COMPUTED_VALUE"""),500000)</f>
        <v>500000</v>
      </c>
      <c r="F320" s="22">
        <f ca="1">IFERROR(__xludf.DUMMYFUNCTION("""COMPUTED_VALUE"""),500000)</f>
        <v>500000</v>
      </c>
      <c r="G320" s="22">
        <f ca="1">IFERROR(__xludf.DUMMYFUNCTION("""COMPUTED_VALUE"""),0)</f>
        <v>0</v>
      </c>
      <c r="H320" s="7">
        <f ca="1">IFERROR(__xludf.DUMMYFUNCTION("""COMPUTED_VALUE"""),500000)</f>
        <v>500000</v>
      </c>
    </row>
    <row r="321" spans="1:8" ht="13" x14ac:dyDescent="0.15">
      <c r="A321" s="5" t="str">
        <f ca="1">IFERROR(__xludf.DUMMYFUNCTION("""COMPUTED_VALUE"""),"32582")</f>
        <v>32582</v>
      </c>
      <c r="B321" s="51">
        <f ca="1">IFERROR(__xludf.DUMMYFUNCTION("""COMPUTED_VALUE"""),44638)</f>
        <v>44638</v>
      </c>
      <c r="C321" s="22">
        <f ca="1">IFERROR(__xludf.DUMMYFUNCTION("""COMPUTED_VALUE"""),500000)</f>
        <v>500000</v>
      </c>
      <c r="D321" s="22">
        <f ca="1">IFERROR(__xludf.DUMMYFUNCTION("""COMPUTED_VALUE"""),0)</f>
        <v>0</v>
      </c>
      <c r="E321" s="22">
        <f ca="1">IFERROR(__xludf.DUMMYFUNCTION("""COMPUTED_VALUE"""),500000)</f>
        <v>500000</v>
      </c>
      <c r="F321" s="22">
        <f ca="1">IFERROR(__xludf.DUMMYFUNCTION("""COMPUTED_VALUE"""),500000)</f>
        <v>500000</v>
      </c>
      <c r="G321" s="22">
        <f ca="1">IFERROR(__xludf.DUMMYFUNCTION("""COMPUTED_VALUE"""),0)</f>
        <v>0</v>
      </c>
      <c r="H321" s="7">
        <f ca="1">IFERROR(__xludf.DUMMYFUNCTION("""COMPUTED_VALUE"""),500000)</f>
        <v>500000</v>
      </c>
    </row>
    <row r="322" spans="1:8" ht="13" x14ac:dyDescent="0.15">
      <c r="A322" s="5" t="str">
        <f ca="1">IFERROR(__xludf.DUMMYFUNCTION("""COMPUTED_VALUE"""),"32582")</f>
        <v>32582</v>
      </c>
      <c r="B322" s="51">
        <f ca="1">IFERROR(__xludf.DUMMYFUNCTION("""COMPUTED_VALUE"""),44639)</f>
        <v>44639</v>
      </c>
      <c r="C322" s="22">
        <f ca="1">IFERROR(__xludf.DUMMYFUNCTION("""COMPUTED_VALUE"""),500000)</f>
        <v>500000</v>
      </c>
      <c r="D322" s="22">
        <f ca="1">IFERROR(__xludf.DUMMYFUNCTION("""COMPUTED_VALUE"""),0)</f>
        <v>0</v>
      </c>
      <c r="E322" s="22">
        <f ca="1">IFERROR(__xludf.DUMMYFUNCTION("""COMPUTED_VALUE"""),500000)</f>
        <v>500000</v>
      </c>
      <c r="F322" s="22">
        <f ca="1">IFERROR(__xludf.DUMMYFUNCTION("""COMPUTED_VALUE"""),500000)</f>
        <v>500000</v>
      </c>
      <c r="G322" s="22">
        <f ca="1">IFERROR(__xludf.DUMMYFUNCTION("""COMPUTED_VALUE"""),0)</f>
        <v>0</v>
      </c>
      <c r="H322" s="7">
        <f ca="1">IFERROR(__xludf.DUMMYFUNCTION("""COMPUTED_VALUE"""),500000)</f>
        <v>500000</v>
      </c>
    </row>
    <row r="323" spans="1:8" ht="13" x14ac:dyDescent="0.15">
      <c r="A323" s="5" t="str">
        <f ca="1">IFERROR(__xludf.DUMMYFUNCTION("""COMPUTED_VALUE"""),"32582")</f>
        <v>32582</v>
      </c>
      <c r="B323" s="51">
        <f ca="1">IFERROR(__xludf.DUMMYFUNCTION("""COMPUTED_VALUE"""),44640)</f>
        <v>44640</v>
      </c>
      <c r="C323" s="22">
        <f ca="1">IFERROR(__xludf.DUMMYFUNCTION("""COMPUTED_VALUE"""),500000)</f>
        <v>500000</v>
      </c>
      <c r="D323" s="22">
        <f ca="1">IFERROR(__xludf.DUMMYFUNCTION("""COMPUTED_VALUE"""),0)</f>
        <v>0</v>
      </c>
      <c r="E323" s="22">
        <f ca="1">IFERROR(__xludf.DUMMYFUNCTION("""COMPUTED_VALUE"""),500000)</f>
        <v>500000</v>
      </c>
      <c r="F323" s="22">
        <f ca="1">IFERROR(__xludf.DUMMYFUNCTION("""COMPUTED_VALUE"""),500000)</f>
        <v>500000</v>
      </c>
      <c r="G323" s="22">
        <f ca="1">IFERROR(__xludf.DUMMYFUNCTION("""COMPUTED_VALUE"""),0)</f>
        <v>0</v>
      </c>
      <c r="H323" s="7">
        <f ca="1">IFERROR(__xludf.DUMMYFUNCTION("""COMPUTED_VALUE"""),500000)</f>
        <v>500000</v>
      </c>
    </row>
    <row r="324" spans="1:8" ht="13" x14ac:dyDescent="0.15">
      <c r="A324" s="5" t="str">
        <f ca="1">IFERROR(__xludf.DUMMYFUNCTION("""COMPUTED_VALUE"""),"32582")</f>
        <v>32582</v>
      </c>
      <c r="B324" s="51">
        <f ca="1">IFERROR(__xludf.DUMMYFUNCTION("""COMPUTED_VALUE"""),44641)</f>
        <v>44641</v>
      </c>
      <c r="C324" s="22">
        <f ca="1">IFERROR(__xludf.DUMMYFUNCTION("""COMPUTED_VALUE"""),500000)</f>
        <v>500000</v>
      </c>
      <c r="D324" s="22">
        <f ca="1">IFERROR(__xludf.DUMMYFUNCTION("""COMPUTED_VALUE"""),0)</f>
        <v>0</v>
      </c>
      <c r="E324" s="22">
        <f ca="1">IFERROR(__xludf.DUMMYFUNCTION("""COMPUTED_VALUE"""),500000)</f>
        <v>500000</v>
      </c>
      <c r="F324" s="22">
        <f ca="1">IFERROR(__xludf.DUMMYFUNCTION("""COMPUTED_VALUE"""),500000)</f>
        <v>500000</v>
      </c>
      <c r="G324" s="22">
        <f ca="1">IFERROR(__xludf.DUMMYFUNCTION("""COMPUTED_VALUE"""),0)</f>
        <v>0</v>
      </c>
      <c r="H324" s="7">
        <f ca="1">IFERROR(__xludf.DUMMYFUNCTION("""COMPUTED_VALUE"""),500000)</f>
        <v>500000</v>
      </c>
    </row>
    <row r="325" spans="1:8" ht="13" x14ac:dyDescent="0.15">
      <c r="A325" s="5" t="str">
        <f ca="1">IFERROR(__xludf.DUMMYFUNCTION("""COMPUTED_VALUE"""),"32582")</f>
        <v>32582</v>
      </c>
      <c r="B325" s="51">
        <f ca="1">IFERROR(__xludf.DUMMYFUNCTION("""COMPUTED_VALUE"""),44642)</f>
        <v>44642</v>
      </c>
      <c r="C325" s="22">
        <f ca="1">IFERROR(__xludf.DUMMYFUNCTION("""COMPUTED_VALUE"""),500000)</f>
        <v>500000</v>
      </c>
      <c r="D325" s="22">
        <f ca="1">IFERROR(__xludf.DUMMYFUNCTION("""COMPUTED_VALUE"""),0)</f>
        <v>0</v>
      </c>
      <c r="E325" s="22">
        <f ca="1">IFERROR(__xludf.DUMMYFUNCTION("""COMPUTED_VALUE"""),500000)</f>
        <v>500000</v>
      </c>
      <c r="F325" s="22">
        <f ca="1">IFERROR(__xludf.DUMMYFUNCTION("""COMPUTED_VALUE"""),500000)</f>
        <v>500000</v>
      </c>
      <c r="G325" s="22">
        <f ca="1">IFERROR(__xludf.DUMMYFUNCTION("""COMPUTED_VALUE"""),0)</f>
        <v>0</v>
      </c>
      <c r="H325" s="7">
        <f ca="1">IFERROR(__xludf.DUMMYFUNCTION("""COMPUTED_VALUE"""),500000)</f>
        <v>500000</v>
      </c>
    </row>
    <row r="326" spans="1:8" ht="13" x14ac:dyDescent="0.15">
      <c r="A326" s="5" t="str">
        <f ca="1">IFERROR(__xludf.DUMMYFUNCTION("""COMPUTED_VALUE"""),"33050")</f>
        <v>33050</v>
      </c>
      <c r="B326" s="51">
        <f ca="1">IFERROR(__xludf.DUMMYFUNCTION("""COMPUTED_VALUE"""),44597)</f>
        <v>44597</v>
      </c>
      <c r="C326" s="22">
        <f ca="1">IFERROR(__xludf.DUMMYFUNCTION("""COMPUTED_VALUE"""),500000)</f>
        <v>500000</v>
      </c>
      <c r="D326" s="22">
        <f ca="1">IFERROR(__xludf.DUMMYFUNCTION("""COMPUTED_VALUE"""),0)</f>
        <v>0</v>
      </c>
      <c r="E326" s="22">
        <f ca="1">IFERROR(__xludf.DUMMYFUNCTION("""COMPUTED_VALUE"""),500000)</f>
        <v>500000</v>
      </c>
      <c r="F326" s="22">
        <f ca="1">IFERROR(__xludf.DUMMYFUNCTION("""COMPUTED_VALUE"""),500000)</f>
        <v>500000</v>
      </c>
      <c r="G326" s="22">
        <f ca="1">IFERROR(__xludf.DUMMYFUNCTION("""COMPUTED_VALUE"""),0)</f>
        <v>0</v>
      </c>
      <c r="H326" s="7">
        <f ca="1">IFERROR(__xludf.DUMMYFUNCTION("""COMPUTED_VALUE"""),500000)</f>
        <v>500000</v>
      </c>
    </row>
    <row r="327" spans="1:8" ht="13" x14ac:dyDescent="0.15">
      <c r="A327" s="5" t="str">
        <f ca="1">IFERROR(__xludf.DUMMYFUNCTION("""COMPUTED_VALUE"""),"33050")</f>
        <v>33050</v>
      </c>
      <c r="B327" s="51">
        <f ca="1">IFERROR(__xludf.DUMMYFUNCTION("""COMPUTED_VALUE"""),44598)</f>
        <v>44598</v>
      </c>
      <c r="C327" s="22">
        <f ca="1">IFERROR(__xludf.DUMMYFUNCTION("""COMPUTED_VALUE"""),500000)</f>
        <v>500000</v>
      </c>
      <c r="D327" s="22">
        <f ca="1">IFERROR(__xludf.DUMMYFUNCTION("""COMPUTED_VALUE"""),0)</f>
        <v>0</v>
      </c>
      <c r="E327" s="22">
        <f ca="1">IFERROR(__xludf.DUMMYFUNCTION("""COMPUTED_VALUE"""),500000)</f>
        <v>500000</v>
      </c>
      <c r="F327" s="22">
        <f ca="1">IFERROR(__xludf.DUMMYFUNCTION("""COMPUTED_VALUE"""),500000)</f>
        <v>500000</v>
      </c>
      <c r="G327" s="22">
        <f ca="1">IFERROR(__xludf.DUMMYFUNCTION("""COMPUTED_VALUE"""),0)</f>
        <v>0</v>
      </c>
      <c r="H327" s="7">
        <f ca="1">IFERROR(__xludf.DUMMYFUNCTION("""COMPUTED_VALUE"""),500000)</f>
        <v>500000</v>
      </c>
    </row>
    <row r="328" spans="1:8" ht="13" x14ac:dyDescent="0.15">
      <c r="A328" s="5" t="str">
        <f ca="1">IFERROR(__xludf.DUMMYFUNCTION("""COMPUTED_VALUE"""),"33050")</f>
        <v>33050</v>
      </c>
      <c r="B328" s="51">
        <f ca="1">IFERROR(__xludf.DUMMYFUNCTION("""COMPUTED_VALUE"""),44599)</f>
        <v>44599</v>
      </c>
      <c r="C328" s="22">
        <f ca="1">IFERROR(__xludf.DUMMYFUNCTION("""COMPUTED_VALUE"""),500000)</f>
        <v>500000</v>
      </c>
      <c r="D328" s="22">
        <f ca="1">IFERROR(__xludf.DUMMYFUNCTION("""COMPUTED_VALUE"""),0)</f>
        <v>0</v>
      </c>
      <c r="E328" s="22">
        <f ca="1">IFERROR(__xludf.DUMMYFUNCTION("""COMPUTED_VALUE"""),500000)</f>
        <v>500000</v>
      </c>
      <c r="F328" s="22">
        <f ca="1">IFERROR(__xludf.DUMMYFUNCTION("""COMPUTED_VALUE"""),500000)</f>
        <v>500000</v>
      </c>
      <c r="G328" s="22">
        <f ca="1">IFERROR(__xludf.DUMMYFUNCTION("""COMPUTED_VALUE"""),0)</f>
        <v>0</v>
      </c>
      <c r="H328" s="7">
        <f ca="1">IFERROR(__xludf.DUMMYFUNCTION("""COMPUTED_VALUE"""),500000)</f>
        <v>500000</v>
      </c>
    </row>
    <row r="329" spans="1:8" ht="13" x14ac:dyDescent="0.15">
      <c r="A329" s="5" t="str">
        <f ca="1">IFERROR(__xludf.DUMMYFUNCTION("""COMPUTED_VALUE"""),"33050")</f>
        <v>33050</v>
      </c>
      <c r="B329" s="51">
        <f ca="1">IFERROR(__xludf.DUMMYFUNCTION("""COMPUTED_VALUE"""),44600)</f>
        <v>44600</v>
      </c>
      <c r="C329" s="22">
        <f ca="1">IFERROR(__xludf.DUMMYFUNCTION("""COMPUTED_VALUE"""),500000)</f>
        <v>500000</v>
      </c>
      <c r="D329" s="22">
        <f ca="1">IFERROR(__xludf.DUMMYFUNCTION("""COMPUTED_VALUE"""),0)</f>
        <v>0</v>
      </c>
      <c r="E329" s="22">
        <f ca="1">IFERROR(__xludf.DUMMYFUNCTION("""COMPUTED_VALUE"""),500000)</f>
        <v>500000</v>
      </c>
      <c r="F329" s="22">
        <f ca="1">IFERROR(__xludf.DUMMYFUNCTION("""COMPUTED_VALUE"""),500000)</f>
        <v>500000</v>
      </c>
      <c r="G329" s="22">
        <f ca="1">IFERROR(__xludf.DUMMYFUNCTION("""COMPUTED_VALUE"""),0)</f>
        <v>0</v>
      </c>
      <c r="H329" s="7">
        <f ca="1">IFERROR(__xludf.DUMMYFUNCTION("""COMPUTED_VALUE"""),500000)</f>
        <v>500000</v>
      </c>
    </row>
    <row r="330" spans="1:8" ht="13" x14ac:dyDescent="0.15">
      <c r="A330" s="5" t="str">
        <f ca="1">IFERROR(__xludf.DUMMYFUNCTION("""COMPUTED_VALUE"""),"33050")</f>
        <v>33050</v>
      </c>
      <c r="B330" s="51">
        <f ca="1">IFERROR(__xludf.DUMMYFUNCTION("""COMPUTED_VALUE"""),44601)</f>
        <v>44601</v>
      </c>
      <c r="C330" s="22">
        <f ca="1">IFERROR(__xludf.DUMMYFUNCTION("""COMPUTED_VALUE"""),500000)</f>
        <v>500000</v>
      </c>
      <c r="D330" s="22">
        <f ca="1">IFERROR(__xludf.DUMMYFUNCTION("""COMPUTED_VALUE"""),0)</f>
        <v>0</v>
      </c>
      <c r="E330" s="22">
        <f ca="1">IFERROR(__xludf.DUMMYFUNCTION("""COMPUTED_VALUE"""),500000)</f>
        <v>500000</v>
      </c>
      <c r="F330" s="22">
        <f ca="1">IFERROR(__xludf.DUMMYFUNCTION("""COMPUTED_VALUE"""),500000)</f>
        <v>500000</v>
      </c>
      <c r="G330" s="22">
        <f ca="1">IFERROR(__xludf.DUMMYFUNCTION("""COMPUTED_VALUE"""),0)</f>
        <v>0</v>
      </c>
      <c r="H330" s="7">
        <f ca="1">IFERROR(__xludf.DUMMYFUNCTION("""COMPUTED_VALUE"""),500000)</f>
        <v>500000</v>
      </c>
    </row>
    <row r="331" spans="1:8" ht="13" x14ac:dyDescent="0.15">
      <c r="A331" s="5" t="str">
        <f ca="1">IFERROR(__xludf.DUMMYFUNCTION("""COMPUTED_VALUE"""),"33050")</f>
        <v>33050</v>
      </c>
      <c r="B331" s="51">
        <f ca="1">IFERROR(__xludf.DUMMYFUNCTION("""COMPUTED_VALUE"""),44602)</f>
        <v>44602</v>
      </c>
      <c r="C331" s="22">
        <f ca="1">IFERROR(__xludf.DUMMYFUNCTION("""COMPUTED_VALUE"""),500000)</f>
        <v>500000</v>
      </c>
      <c r="D331" s="22">
        <f ca="1">IFERROR(__xludf.DUMMYFUNCTION("""COMPUTED_VALUE"""),0)</f>
        <v>0</v>
      </c>
      <c r="E331" s="22">
        <f ca="1">IFERROR(__xludf.DUMMYFUNCTION("""COMPUTED_VALUE"""),500000)</f>
        <v>500000</v>
      </c>
      <c r="F331" s="22">
        <f ca="1">IFERROR(__xludf.DUMMYFUNCTION("""COMPUTED_VALUE"""),500000)</f>
        <v>500000</v>
      </c>
      <c r="G331" s="22">
        <f ca="1">IFERROR(__xludf.DUMMYFUNCTION("""COMPUTED_VALUE"""),0)</f>
        <v>0</v>
      </c>
      <c r="H331" s="7">
        <f ca="1">IFERROR(__xludf.DUMMYFUNCTION("""COMPUTED_VALUE"""),500000)</f>
        <v>500000</v>
      </c>
    </row>
    <row r="332" spans="1:8" ht="13" x14ac:dyDescent="0.15">
      <c r="A332" s="5" t="str">
        <f ca="1">IFERROR(__xludf.DUMMYFUNCTION("""COMPUTED_VALUE"""),"33050")</f>
        <v>33050</v>
      </c>
      <c r="B332" s="51">
        <f ca="1">IFERROR(__xludf.DUMMYFUNCTION("""COMPUTED_VALUE"""),44603)</f>
        <v>44603</v>
      </c>
      <c r="C332" s="22">
        <f ca="1">IFERROR(__xludf.DUMMYFUNCTION("""COMPUTED_VALUE"""),500000)</f>
        <v>500000</v>
      </c>
      <c r="D332" s="22">
        <f ca="1">IFERROR(__xludf.DUMMYFUNCTION("""COMPUTED_VALUE"""),0)</f>
        <v>0</v>
      </c>
      <c r="E332" s="22">
        <f ca="1">IFERROR(__xludf.DUMMYFUNCTION("""COMPUTED_VALUE"""),500000)</f>
        <v>500000</v>
      </c>
      <c r="F332" s="22">
        <f ca="1">IFERROR(__xludf.DUMMYFUNCTION("""COMPUTED_VALUE"""),500000)</f>
        <v>500000</v>
      </c>
      <c r="G332" s="22">
        <f ca="1">IFERROR(__xludf.DUMMYFUNCTION("""COMPUTED_VALUE"""),0)</f>
        <v>0</v>
      </c>
      <c r="H332" s="7">
        <f ca="1">IFERROR(__xludf.DUMMYFUNCTION("""COMPUTED_VALUE"""),500000)</f>
        <v>500000</v>
      </c>
    </row>
    <row r="333" spans="1:8" ht="13" x14ac:dyDescent="0.15">
      <c r="A333" s="5" t="str">
        <f ca="1">IFERROR(__xludf.DUMMYFUNCTION("""COMPUTED_VALUE"""),"33050")</f>
        <v>33050</v>
      </c>
      <c r="B333" s="51">
        <f ca="1">IFERROR(__xludf.DUMMYFUNCTION("""COMPUTED_VALUE"""),44604)</f>
        <v>44604</v>
      </c>
      <c r="C333" s="22">
        <f ca="1">IFERROR(__xludf.DUMMYFUNCTION("""COMPUTED_VALUE"""),500000)</f>
        <v>500000</v>
      </c>
      <c r="D333" s="22">
        <f ca="1">IFERROR(__xludf.DUMMYFUNCTION("""COMPUTED_VALUE"""),0)</f>
        <v>0</v>
      </c>
      <c r="E333" s="22">
        <f ca="1">IFERROR(__xludf.DUMMYFUNCTION("""COMPUTED_VALUE"""),500000)</f>
        <v>500000</v>
      </c>
      <c r="F333" s="22">
        <f ca="1">IFERROR(__xludf.DUMMYFUNCTION("""COMPUTED_VALUE"""),500000)</f>
        <v>500000</v>
      </c>
      <c r="G333" s="22">
        <f ca="1">IFERROR(__xludf.DUMMYFUNCTION("""COMPUTED_VALUE"""),0)</f>
        <v>0</v>
      </c>
      <c r="H333" s="7">
        <f ca="1">IFERROR(__xludf.DUMMYFUNCTION("""COMPUTED_VALUE"""),500000)</f>
        <v>500000</v>
      </c>
    </row>
    <row r="334" spans="1:8" ht="13" x14ac:dyDescent="0.15">
      <c r="A334" s="5" t="str">
        <f ca="1">IFERROR(__xludf.DUMMYFUNCTION("""COMPUTED_VALUE"""),"33050")</f>
        <v>33050</v>
      </c>
      <c r="B334" s="51">
        <f ca="1">IFERROR(__xludf.DUMMYFUNCTION("""COMPUTED_VALUE"""),44605)</f>
        <v>44605</v>
      </c>
      <c r="C334" s="22">
        <f ca="1">IFERROR(__xludf.DUMMYFUNCTION("""COMPUTED_VALUE"""),500000)</f>
        <v>500000</v>
      </c>
      <c r="D334" s="22">
        <f ca="1">IFERROR(__xludf.DUMMYFUNCTION("""COMPUTED_VALUE"""),0)</f>
        <v>0</v>
      </c>
      <c r="E334" s="22">
        <f ca="1">IFERROR(__xludf.DUMMYFUNCTION("""COMPUTED_VALUE"""),500000)</f>
        <v>500000</v>
      </c>
      <c r="F334" s="22">
        <f ca="1">IFERROR(__xludf.DUMMYFUNCTION("""COMPUTED_VALUE"""),500000)</f>
        <v>500000</v>
      </c>
      <c r="G334" s="22">
        <f ca="1">IFERROR(__xludf.DUMMYFUNCTION("""COMPUTED_VALUE"""),0)</f>
        <v>0</v>
      </c>
      <c r="H334" s="7">
        <f ca="1">IFERROR(__xludf.DUMMYFUNCTION("""COMPUTED_VALUE"""),500000)</f>
        <v>500000</v>
      </c>
    </row>
    <row r="335" spans="1:8" ht="13" x14ac:dyDescent="0.15">
      <c r="A335" s="5" t="str">
        <f ca="1">IFERROR(__xludf.DUMMYFUNCTION("""COMPUTED_VALUE"""),"33050")</f>
        <v>33050</v>
      </c>
      <c r="B335" s="51">
        <f ca="1">IFERROR(__xludf.DUMMYFUNCTION("""COMPUTED_VALUE"""),44606)</f>
        <v>44606</v>
      </c>
      <c r="C335" s="22">
        <f ca="1">IFERROR(__xludf.DUMMYFUNCTION("""COMPUTED_VALUE"""),500000)</f>
        <v>500000</v>
      </c>
      <c r="D335" s="22">
        <f ca="1">IFERROR(__xludf.DUMMYFUNCTION("""COMPUTED_VALUE"""),0)</f>
        <v>0</v>
      </c>
      <c r="E335" s="22">
        <f ca="1">IFERROR(__xludf.DUMMYFUNCTION("""COMPUTED_VALUE"""),500000)</f>
        <v>500000</v>
      </c>
      <c r="F335" s="22">
        <f ca="1">IFERROR(__xludf.DUMMYFUNCTION("""COMPUTED_VALUE"""),500000)</f>
        <v>500000</v>
      </c>
      <c r="G335" s="22">
        <f ca="1">IFERROR(__xludf.DUMMYFUNCTION("""COMPUTED_VALUE"""),0)</f>
        <v>0</v>
      </c>
      <c r="H335" s="7">
        <f ca="1">IFERROR(__xludf.DUMMYFUNCTION("""COMPUTED_VALUE"""),500000)</f>
        <v>500000</v>
      </c>
    </row>
    <row r="336" spans="1:8" ht="13" x14ac:dyDescent="0.15">
      <c r="A336" s="5" t="str">
        <f ca="1">IFERROR(__xludf.DUMMYFUNCTION("""COMPUTED_VALUE"""),"33050")</f>
        <v>33050</v>
      </c>
      <c r="B336" s="51">
        <f ca="1">IFERROR(__xludf.DUMMYFUNCTION("""COMPUTED_VALUE"""),44607)</f>
        <v>44607</v>
      </c>
      <c r="C336" s="22">
        <f ca="1">IFERROR(__xludf.DUMMYFUNCTION("""COMPUTED_VALUE"""),500000)</f>
        <v>500000</v>
      </c>
      <c r="D336" s="22">
        <f ca="1">IFERROR(__xludf.DUMMYFUNCTION("""COMPUTED_VALUE"""),0)</f>
        <v>0</v>
      </c>
      <c r="E336" s="22">
        <f ca="1">IFERROR(__xludf.DUMMYFUNCTION("""COMPUTED_VALUE"""),500000)</f>
        <v>500000</v>
      </c>
      <c r="F336" s="22">
        <f ca="1">IFERROR(__xludf.DUMMYFUNCTION("""COMPUTED_VALUE"""),500000)</f>
        <v>500000</v>
      </c>
      <c r="G336" s="22">
        <f ca="1">IFERROR(__xludf.DUMMYFUNCTION("""COMPUTED_VALUE"""),0)</f>
        <v>0</v>
      </c>
      <c r="H336" s="7">
        <f ca="1">IFERROR(__xludf.DUMMYFUNCTION("""COMPUTED_VALUE"""),500000)</f>
        <v>500000</v>
      </c>
    </row>
    <row r="337" spans="1:8" ht="13" x14ac:dyDescent="0.15">
      <c r="A337" s="5" t="str">
        <f ca="1">IFERROR(__xludf.DUMMYFUNCTION("""COMPUTED_VALUE"""),"33050")</f>
        <v>33050</v>
      </c>
      <c r="B337" s="51">
        <f ca="1">IFERROR(__xludf.DUMMYFUNCTION("""COMPUTED_VALUE"""),44608)</f>
        <v>44608</v>
      </c>
      <c r="C337" s="22">
        <f ca="1">IFERROR(__xludf.DUMMYFUNCTION("""COMPUTED_VALUE"""),500000)</f>
        <v>500000</v>
      </c>
      <c r="D337" s="22">
        <f ca="1">IFERROR(__xludf.DUMMYFUNCTION("""COMPUTED_VALUE"""),0)</f>
        <v>0</v>
      </c>
      <c r="E337" s="22">
        <f ca="1">IFERROR(__xludf.DUMMYFUNCTION("""COMPUTED_VALUE"""),500000)</f>
        <v>500000</v>
      </c>
      <c r="F337" s="22">
        <f ca="1">IFERROR(__xludf.DUMMYFUNCTION("""COMPUTED_VALUE"""),500000)</f>
        <v>500000</v>
      </c>
      <c r="G337" s="22">
        <f ca="1">IFERROR(__xludf.DUMMYFUNCTION("""COMPUTED_VALUE"""),0)</f>
        <v>0</v>
      </c>
      <c r="H337" s="7">
        <f ca="1">IFERROR(__xludf.DUMMYFUNCTION("""COMPUTED_VALUE"""),500000)</f>
        <v>500000</v>
      </c>
    </row>
    <row r="338" spans="1:8" ht="13" x14ac:dyDescent="0.15">
      <c r="A338" s="5" t="str">
        <f ca="1">IFERROR(__xludf.DUMMYFUNCTION("""COMPUTED_VALUE"""),"33050")</f>
        <v>33050</v>
      </c>
      <c r="B338" s="51">
        <f ca="1">IFERROR(__xludf.DUMMYFUNCTION("""COMPUTED_VALUE"""),44609)</f>
        <v>44609</v>
      </c>
      <c r="C338" s="22">
        <f ca="1">IFERROR(__xludf.DUMMYFUNCTION("""COMPUTED_VALUE"""),500000)</f>
        <v>500000</v>
      </c>
      <c r="D338" s="22">
        <f ca="1">IFERROR(__xludf.DUMMYFUNCTION("""COMPUTED_VALUE"""),0)</f>
        <v>0</v>
      </c>
      <c r="E338" s="22">
        <f ca="1">IFERROR(__xludf.DUMMYFUNCTION("""COMPUTED_VALUE"""),500000)</f>
        <v>500000</v>
      </c>
      <c r="F338" s="22">
        <f ca="1">IFERROR(__xludf.DUMMYFUNCTION("""COMPUTED_VALUE"""),500000)</f>
        <v>500000</v>
      </c>
      <c r="G338" s="22">
        <f ca="1">IFERROR(__xludf.DUMMYFUNCTION("""COMPUTED_VALUE"""),0)</f>
        <v>0</v>
      </c>
      <c r="H338" s="7">
        <f ca="1">IFERROR(__xludf.DUMMYFUNCTION("""COMPUTED_VALUE"""),500000)</f>
        <v>500000</v>
      </c>
    </row>
    <row r="339" spans="1:8" ht="13" x14ac:dyDescent="0.15">
      <c r="A339" s="5" t="str">
        <f ca="1">IFERROR(__xludf.DUMMYFUNCTION("""COMPUTED_VALUE"""),"33050")</f>
        <v>33050</v>
      </c>
      <c r="B339" s="51">
        <f ca="1">IFERROR(__xludf.DUMMYFUNCTION("""COMPUTED_VALUE"""),44610)</f>
        <v>44610</v>
      </c>
      <c r="C339" s="22">
        <f ca="1">IFERROR(__xludf.DUMMYFUNCTION("""COMPUTED_VALUE"""),500000)</f>
        <v>500000</v>
      </c>
      <c r="D339" s="22">
        <f ca="1">IFERROR(__xludf.DUMMYFUNCTION("""COMPUTED_VALUE"""),0)</f>
        <v>0</v>
      </c>
      <c r="E339" s="22">
        <f ca="1">IFERROR(__xludf.DUMMYFUNCTION("""COMPUTED_VALUE"""),500000)</f>
        <v>500000</v>
      </c>
      <c r="F339" s="22">
        <f ca="1">IFERROR(__xludf.DUMMYFUNCTION("""COMPUTED_VALUE"""),500000)</f>
        <v>500000</v>
      </c>
      <c r="G339" s="22">
        <f ca="1">IFERROR(__xludf.DUMMYFUNCTION("""COMPUTED_VALUE"""),0)</f>
        <v>0</v>
      </c>
      <c r="H339" s="7">
        <f ca="1">IFERROR(__xludf.DUMMYFUNCTION("""COMPUTED_VALUE"""),500000)</f>
        <v>500000</v>
      </c>
    </row>
    <row r="340" spans="1:8" ht="13" x14ac:dyDescent="0.15">
      <c r="A340" s="5" t="str">
        <f ca="1">IFERROR(__xludf.DUMMYFUNCTION("""COMPUTED_VALUE"""),"33050")</f>
        <v>33050</v>
      </c>
      <c r="B340" s="51">
        <f ca="1">IFERROR(__xludf.DUMMYFUNCTION("""COMPUTED_VALUE"""),44611)</f>
        <v>44611</v>
      </c>
      <c r="C340" s="22">
        <f ca="1">IFERROR(__xludf.DUMMYFUNCTION("""COMPUTED_VALUE"""),500000)</f>
        <v>500000</v>
      </c>
      <c r="D340" s="22">
        <f ca="1">IFERROR(__xludf.DUMMYFUNCTION("""COMPUTED_VALUE"""),0)</f>
        <v>0</v>
      </c>
      <c r="E340" s="22">
        <f ca="1">IFERROR(__xludf.DUMMYFUNCTION("""COMPUTED_VALUE"""),500000)</f>
        <v>500000</v>
      </c>
      <c r="F340" s="22">
        <f ca="1">IFERROR(__xludf.DUMMYFUNCTION("""COMPUTED_VALUE"""),500000)</f>
        <v>500000</v>
      </c>
      <c r="G340" s="22">
        <f ca="1">IFERROR(__xludf.DUMMYFUNCTION("""COMPUTED_VALUE"""),0)</f>
        <v>0</v>
      </c>
      <c r="H340" s="7">
        <f ca="1">IFERROR(__xludf.DUMMYFUNCTION("""COMPUTED_VALUE"""),500000)</f>
        <v>500000</v>
      </c>
    </row>
    <row r="341" spans="1:8" ht="13" x14ac:dyDescent="0.15">
      <c r="A341" s="5" t="str">
        <f ca="1">IFERROR(__xludf.DUMMYFUNCTION("""COMPUTED_VALUE"""),"33050")</f>
        <v>33050</v>
      </c>
      <c r="B341" s="51">
        <f ca="1">IFERROR(__xludf.DUMMYFUNCTION("""COMPUTED_VALUE"""),44612)</f>
        <v>44612</v>
      </c>
      <c r="C341" s="22">
        <f ca="1">IFERROR(__xludf.DUMMYFUNCTION("""COMPUTED_VALUE"""),500000)</f>
        <v>500000</v>
      </c>
      <c r="D341" s="22">
        <f ca="1">IFERROR(__xludf.DUMMYFUNCTION("""COMPUTED_VALUE"""),0)</f>
        <v>0</v>
      </c>
      <c r="E341" s="22">
        <f ca="1">IFERROR(__xludf.DUMMYFUNCTION("""COMPUTED_VALUE"""),500000)</f>
        <v>500000</v>
      </c>
      <c r="F341" s="22">
        <f ca="1">IFERROR(__xludf.DUMMYFUNCTION("""COMPUTED_VALUE"""),500000)</f>
        <v>500000</v>
      </c>
      <c r="G341" s="22">
        <f ca="1">IFERROR(__xludf.DUMMYFUNCTION("""COMPUTED_VALUE"""),0)</f>
        <v>0</v>
      </c>
      <c r="H341" s="7">
        <f ca="1">IFERROR(__xludf.DUMMYFUNCTION("""COMPUTED_VALUE"""),500000)</f>
        <v>500000</v>
      </c>
    </row>
    <row r="342" spans="1:8" ht="13" x14ac:dyDescent="0.15">
      <c r="A342" s="5" t="str">
        <f ca="1">IFERROR(__xludf.DUMMYFUNCTION("""COMPUTED_VALUE"""),"33050")</f>
        <v>33050</v>
      </c>
      <c r="B342" s="51">
        <f ca="1">IFERROR(__xludf.DUMMYFUNCTION("""COMPUTED_VALUE"""),44613)</f>
        <v>44613</v>
      </c>
      <c r="C342" s="22">
        <f ca="1">IFERROR(__xludf.DUMMYFUNCTION("""COMPUTED_VALUE"""),500000)</f>
        <v>500000</v>
      </c>
      <c r="D342" s="22">
        <f ca="1">IFERROR(__xludf.DUMMYFUNCTION("""COMPUTED_VALUE"""),0)</f>
        <v>0</v>
      </c>
      <c r="E342" s="22">
        <f ca="1">IFERROR(__xludf.DUMMYFUNCTION("""COMPUTED_VALUE"""),500000)</f>
        <v>500000</v>
      </c>
      <c r="F342" s="22">
        <f ca="1">IFERROR(__xludf.DUMMYFUNCTION("""COMPUTED_VALUE"""),500000)</f>
        <v>500000</v>
      </c>
      <c r="G342" s="22">
        <f ca="1">IFERROR(__xludf.DUMMYFUNCTION("""COMPUTED_VALUE"""),0)</f>
        <v>0</v>
      </c>
      <c r="H342" s="7">
        <f ca="1">IFERROR(__xludf.DUMMYFUNCTION("""COMPUTED_VALUE"""),500000)</f>
        <v>500000</v>
      </c>
    </row>
    <row r="343" spans="1:8" ht="13" x14ac:dyDescent="0.15">
      <c r="A343" s="5" t="str">
        <f ca="1">IFERROR(__xludf.DUMMYFUNCTION("""COMPUTED_VALUE"""),"33050")</f>
        <v>33050</v>
      </c>
      <c r="B343" s="51">
        <f ca="1">IFERROR(__xludf.DUMMYFUNCTION("""COMPUTED_VALUE"""),44614)</f>
        <v>44614</v>
      </c>
      <c r="C343" s="22">
        <f ca="1">IFERROR(__xludf.DUMMYFUNCTION("""COMPUTED_VALUE"""),500000)</f>
        <v>500000</v>
      </c>
      <c r="D343" s="22">
        <f ca="1">IFERROR(__xludf.DUMMYFUNCTION("""COMPUTED_VALUE"""),0)</f>
        <v>0</v>
      </c>
      <c r="E343" s="22">
        <f ca="1">IFERROR(__xludf.DUMMYFUNCTION("""COMPUTED_VALUE"""),500000)</f>
        <v>500000</v>
      </c>
      <c r="F343" s="22">
        <f ca="1">IFERROR(__xludf.DUMMYFUNCTION("""COMPUTED_VALUE"""),500000)</f>
        <v>500000</v>
      </c>
      <c r="G343" s="22">
        <f ca="1">IFERROR(__xludf.DUMMYFUNCTION("""COMPUTED_VALUE"""),0)</f>
        <v>0</v>
      </c>
      <c r="H343" s="7">
        <f ca="1">IFERROR(__xludf.DUMMYFUNCTION("""COMPUTED_VALUE"""),500000)</f>
        <v>500000</v>
      </c>
    </row>
    <row r="344" spans="1:8" ht="13" x14ac:dyDescent="0.15">
      <c r="A344" s="5" t="str">
        <f ca="1">IFERROR(__xludf.DUMMYFUNCTION("""COMPUTED_VALUE"""),"33050")</f>
        <v>33050</v>
      </c>
      <c r="B344" s="51">
        <f ca="1">IFERROR(__xludf.DUMMYFUNCTION("""COMPUTED_VALUE"""),44615)</f>
        <v>44615</v>
      </c>
      <c r="C344" s="22">
        <f ca="1">IFERROR(__xludf.DUMMYFUNCTION("""COMPUTED_VALUE"""),500000)</f>
        <v>500000</v>
      </c>
      <c r="D344" s="22">
        <f ca="1">IFERROR(__xludf.DUMMYFUNCTION("""COMPUTED_VALUE"""),0)</f>
        <v>0</v>
      </c>
      <c r="E344" s="22">
        <f ca="1">IFERROR(__xludf.DUMMYFUNCTION("""COMPUTED_VALUE"""),500000)</f>
        <v>500000</v>
      </c>
      <c r="F344" s="22">
        <f ca="1">IFERROR(__xludf.DUMMYFUNCTION("""COMPUTED_VALUE"""),500000)</f>
        <v>500000</v>
      </c>
      <c r="G344" s="22">
        <f ca="1">IFERROR(__xludf.DUMMYFUNCTION("""COMPUTED_VALUE"""),0)</f>
        <v>0</v>
      </c>
      <c r="H344" s="7">
        <f ca="1">IFERROR(__xludf.DUMMYFUNCTION("""COMPUTED_VALUE"""),500000)</f>
        <v>500000</v>
      </c>
    </row>
    <row r="345" spans="1:8" ht="13" x14ac:dyDescent="0.15">
      <c r="A345" s="5" t="str">
        <f ca="1">IFERROR(__xludf.DUMMYFUNCTION("""COMPUTED_VALUE"""),"33050")</f>
        <v>33050</v>
      </c>
      <c r="B345" s="51">
        <f ca="1">IFERROR(__xludf.DUMMYFUNCTION("""COMPUTED_VALUE"""),44616)</f>
        <v>44616</v>
      </c>
      <c r="C345" s="22">
        <f ca="1">IFERROR(__xludf.DUMMYFUNCTION("""COMPUTED_VALUE"""),500000)</f>
        <v>500000</v>
      </c>
      <c r="D345" s="22">
        <f ca="1">IFERROR(__xludf.DUMMYFUNCTION("""COMPUTED_VALUE"""),0)</f>
        <v>0</v>
      </c>
      <c r="E345" s="22">
        <f ca="1">IFERROR(__xludf.DUMMYFUNCTION("""COMPUTED_VALUE"""),500000)</f>
        <v>500000</v>
      </c>
      <c r="F345" s="22">
        <f ca="1">IFERROR(__xludf.DUMMYFUNCTION("""COMPUTED_VALUE"""),500000)</f>
        <v>500000</v>
      </c>
      <c r="G345" s="22">
        <f ca="1">IFERROR(__xludf.DUMMYFUNCTION("""COMPUTED_VALUE"""),0)</f>
        <v>0</v>
      </c>
      <c r="H345" s="7">
        <f ca="1">IFERROR(__xludf.DUMMYFUNCTION("""COMPUTED_VALUE"""),500000)</f>
        <v>500000</v>
      </c>
    </row>
    <row r="346" spans="1:8" ht="13" x14ac:dyDescent="0.15">
      <c r="A346" s="5" t="str">
        <f ca="1">IFERROR(__xludf.DUMMYFUNCTION("""COMPUTED_VALUE"""),"33050")</f>
        <v>33050</v>
      </c>
      <c r="B346" s="51">
        <f ca="1">IFERROR(__xludf.DUMMYFUNCTION("""COMPUTED_VALUE"""),44617)</f>
        <v>44617</v>
      </c>
      <c r="C346" s="22">
        <f ca="1">IFERROR(__xludf.DUMMYFUNCTION("""COMPUTED_VALUE"""),500000)</f>
        <v>500000</v>
      </c>
      <c r="D346" s="22">
        <f ca="1">IFERROR(__xludf.DUMMYFUNCTION("""COMPUTED_VALUE"""),0)</f>
        <v>0</v>
      </c>
      <c r="E346" s="22">
        <f ca="1">IFERROR(__xludf.DUMMYFUNCTION("""COMPUTED_VALUE"""),500000)</f>
        <v>500000</v>
      </c>
      <c r="F346" s="22">
        <f ca="1">IFERROR(__xludf.DUMMYFUNCTION("""COMPUTED_VALUE"""),500000)</f>
        <v>500000</v>
      </c>
      <c r="G346" s="22">
        <f ca="1">IFERROR(__xludf.DUMMYFUNCTION("""COMPUTED_VALUE"""),0)</f>
        <v>0</v>
      </c>
      <c r="H346" s="7">
        <f ca="1">IFERROR(__xludf.DUMMYFUNCTION("""COMPUTED_VALUE"""),500000)</f>
        <v>500000</v>
      </c>
    </row>
    <row r="347" spans="1:8" ht="13" x14ac:dyDescent="0.15">
      <c r="A347" s="5" t="str">
        <f ca="1">IFERROR(__xludf.DUMMYFUNCTION("""COMPUTED_VALUE"""),"33050")</f>
        <v>33050</v>
      </c>
      <c r="B347" s="51">
        <f ca="1">IFERROR(__xludf.DUMMYFUNCTION("""COMPUTED_VALUE"""),44618)</f>
        <v>44618</v>
      </c>
      <c r="C347" s="22">
        <f ca="1">IFERROR(__xludf.DUMMYFUNCTION("""COMPUTED_VALUE"""),500000)</f>
        <v>500000</v>
      </c>
      <c r="D347" s="22">
        <f ca="1">IFERROR(__xludf.DUMMYFUNCTION("""COMPUTED_VALUE"""),0)</f>
        <v>0</v>
      </c>
      <c r="E347" s="22">
        <f ca="1">IFERROR(__xludf.DUMMYFUNCTION("""COMPUTED_VALUE"""),500000)</f>
        <v>500000</v>
      </c>
      <c r="F347" s="22">
        <f ca="1">IFERROR(__xludf.DUMMYFUNCTION("""COMPUTED_VALUE"""),500000)</f>
        <v>500000</v>
      </c>
      <c r="G347" s="22">
        <f ca="1">IFERROR(__xludf.DUMMYFUNCTION("""COMPUTED_VALUE"""),0)</f>
        <v>0</v>
      </c>
      <c r="H347" s="7">
        <f ca="1">IFERROR(__xludf.DUMMYFUNCTION("""COMPUTED_VALUE"""),500000)</f>
        <v>500000</v>
      </c>
    </row>
    <row r="348" spans="1:8" ht="13" x14ac:dyDescent="0.15">
      <c r="A348" s="5" t="str">
        <f ca="1">IFERROR(__xludf.DUMMYFUNCTION("""COMPUTED_VALUE"""),"33050")</f>
        <v>33050</v>
      </c>
      <c r="B348" s="51">
        <f ca="1">IFERROR(__xludf.DUMMYFUNCTION("""COMPUTED_VALUE"""),44619)</f>
        <v>44619</v>
      </c>
      <c r="C348" s="22">
        <f ca="1">IFERROR(__xludf.DUMMYFUNCTION("""COMPUTED_VALUE"""),500000)</f>
        <v>500000</v>
      </c>
      <c r="D348" s="22">
        <f ca="1">IFERROR(__xludf.DUMMYFUNCTION("""COMPUTED_VALUE"""),0)</f>
        <v>0</v>
      </c>
      <c r="E348" s="22">
        <f ca="1">IFERROR(__xludf.DUMMYFUNCTION("""COMPUTED_VALUE"""),500000)</f>
        <v>500000</v>
      </c>
      <c r="F348" s="22">
        <f ca="1">IFERROR(__xludf.DUMMYFUNCTION("""COMPUTED_VALUE"""),500000)</f>
        <v>500000</v>
      </c>
      <c r="G348" s="22">
        <f ca="1">IFERROR(__xludf.DUMMYFUNCTION("""COMPUTED_VALUE"""),0)</f>
        <v>0</v>
      </c>
      <c r="H348" s="7">
        <f ca="1">IFERROR(__xludf.DUMMYFUNCTION("""COMPUTED_VALUE"""),500000)</f>
        <v>500000</v>
      </c>
    </row>
    <row r="349" spans="1:8" ht="13" x14ac:dyDescent="0.15">
      <c r="A349" s="5" t="str">
        <f ca="1">IFERROR(__xludf.DUMMYFUNCTION("""COMPUTED_VALUE"""),"33050")</f>
        <v>33050</v>
      </c>
      <c r="B349" s="51">
        <f ca="1">IFERROR(__xludf.DUMMYFUNCTION("""COMPUTED_VALUE"""),44620)</f>
        <v>44620</v>
      </c>
      <c r="C349" s="22">
        <f ca="1">IFERROR(__xludf.DUMMYFUNCTION("""COMPUTED_VALUE"""),500000)</f>
        <v>500000</v>
      </c>
      <c r="D349" s="22">
        <f ca="1">IFERROR(__xludf.DUMMYFUNCTION("""COMPUTED_VALUE"""),0)</f>
        <v>0</v>
      </c>
      <c r="E349" s="22">
        <f ca="1">IFERROR(__xludf.DUMMYFUNCTION("""COMPUTED_VALUE"""),500000)</f>
        <v>500000</v>
      </c>
      <c r="F349" s="22">
        <f ca="1">IFERROR(__xludf.DUMMYFUNCTION("""COMPUTED_VALUE"""),500000)</f>
        <v>500000</v>
      </c>
      <c r="G349" s="22">
        <f ca="1">IFERROR(__xludf.DUMMYFUNCTION("""COMPUTED_VALUE"""),0)</f>
        <v>0</v>
      </c>
      <c r="H349" s="7">
        <f ca="1">IFERROR(__xludf.DUMMYFUNCTION("""COMPUTED_VALUE"""),500000)</f>
        <v>500000</v>
      </c>
    </row>
    <row r="350" spans="1:8" ht="13" x14ac:dyDescent="0.15">
      <c r="A350" s="5" t="str">
        <f ca="1">IFERROR(__xludf.DUMMYFUNCTION("""COMPUTED_VALUE"""),"33050")</f>
        <v>33050</v>
      </c>
      <c r="B350" s="51">
        <f ca="1">IFERROR(__xludf.DUMMYFUNCTION("""COMPUTED_VALUE"""),44621)</f>
        <v>44621</v>
      </c>
      <c r="C350" s="22">
        <f ca="1">IFERROR(__xludf.DUMMYFUNCTION("""COMPUTED_VALUE"""),500000)</f>
        <v>500000</v>
      </c>
      <c r="D350" s="22">
        <f ca="1">IFERROR(__xludf.DUMMYFUNCTION("""COMPUTED_VALUE"""),0)</f>
        <v>0</v>
      </c>
      <c r="E350" s="22">
        <f ca="1">IFERROR(__xludf.DUMMYFUNCTION("""COMPUTED_VALUE"""),500000)</f>
        <v>500000</v>
      </c>
      <c r="F350" s="22">
        <f ca="1">IFERROR(__xludf.DUMMYFUNCTION("""COMPUTED_VALUE"""),500000)</f>
        <v>500000</v>
      </c>
      <c r="G350" s="22">
        <f ca="1">IFERROR(__xludf.DUMMYFUNCTION("""COMPUTED_VALUE"""),0)</f>
        <v>0</v>
      </c>
      <c r="H350" s="7">
        <f ca="1">IFERROR(__xludf.DUMMYFUNCTION("""COMPUTED_VALUE"""),500000)</f>
        <v>500000</v>
      </c>
    </row>
    <row r="351" spans="1:8" ht="13" x14ac:dyDescent="0.15">
      <c r="A351" s="5" t="str">
        <f ca="1">IFERROR(__xludf.DUMMYFUNCTION("""COMPUTED_VALUE"""),"33050")</f>
        <v>33050</v>
      </c>
      <c r="B351" s="51">
        <f ca="1">IFERROR(__xludf.DUMMYFUNCTION("""COMPUTED_VALUE"""),44622)</f>
        <v>44622</v>
      </c>
      <c r="C351" s="22">
        <f ca="1">IFERROR(__xludf.DUMMYFUNCTION("""COMPUTED_VALUE"""),500000)</f>
        <v>500000</v>
      </c>
      <c r="D351" s="22">
        <f ca="1">IFERROR(__xludf.DUMMYFUNCTION("""COMPUTED_VALUE"""),0)</f>
        <v>0</v>
      </c>
      <c r="E351" s="22">
        <f ca="1">IFERROR(__xludf.DUMMYFUNCTION("""COMPUTED_VALUE"""),500000)</f>
        <v>500000</v>
      </c>
      <c r="F351" s="22">
        <f ca="1">IFERROR(__xludf.DUMMYFUNCTION("""COMPUTED_VALUE"""),500000)</f>
        <v>500000</v>
      </c>
      <c r="G351" s="22">
        <f ca="1">IFERROR(__xludf.DUMMYFUNCTION("""COMPUTED_VALUE"""),0)</f>
        <v>0</v>
      </c>
      <c r="H351" s="7">
        <f ca="1">IFERROR(__xludf.DUMMYFUNCTION("""COMPUTED_VALUE"""),500000)</f>
        <v>500000</v>
      </c>
    </row>
    <row r="352" spans="1:8" ht="13" x14ac:dyDescent="0.15">
      <c r="A352" s="5" t="str">
        <f ca="1">IFERROR(__xludf.DUMMYFUNCTION("""COMPUTED_VALUE"""),"33050")</f>
        <v>33050</v>
      </c>
      <c r="B352" s="51">
        <f ca="1">IFERROR(__xludf.DUMMYFUNCTION("""COMPUTED_VALUE"""),44623)</f>
        <v>44623</v>
      </c>
      <c r="C352" s="22">
        <f ca="1">IFERROR(__xludf.DUMMYFUNCTION("""COMPUTED_VALUE"""),500000)</f>
        <v>500000</v>
      </c>
      <c r="D352" s="22">
        <f ca="1">IFERROR(__xludf.DUMMYFUNCTION("""COMPUTED_VALUE"""),0)</f>
        <v>0</v>
      </c>
      <c r="E352" s="22">
        <f ca="1">IFERROR(__xludf.DUMMYFUNCTION("""COMPUTED_VALUE"""),500000)</f>
        <v>500000</v>
      </c>
      <c r="F352" s="22">
        <f ca="1">IFERROR(__xludf.DUMMYFUNCTION("""COMPUTED_VALUE"""),500000)</f>
        <v>500000</v>
      </c>
      <c r="G352" s="22">
        <f ca="1">IFERROR(__xludf.DUMMYFUNCTION("""COMPUTED_VALUE"""),0)</f>
        <v>0</v>
      </c>
      <c r="H352" s="7">
        <f ca="1">IFERROR(__xludf.DUMMYFUNCTION("""COMPUTED_VALUE"""),500000)</f>
        <v>500000</v>
      </c>
    </row>
    <row r="353" spans="1:8" ht="13" x14ac:dyDescent="0.15">
      <c r="A353" s="5" t="str">
        <f ca="1">IFERROR(__xludf.DUMMYFUNCTION("""COMPUTED_VALUE"""),"33050")</f>
        <v>33050</v>
      </c>
      <c r="B353" s="51">
        <f ca="1">IFERROR(__xludf.DUMMYFUNCTION("""COMPUTED_VALUE"""),44624)</f>
        <v>44624</v>
      </c>
      <c r="C353" s="22">
        <f ca="1">IFERROR(__xludf.DUMMYFUNCTION("""COMPUTED_VALUE"""),500000)</f>
        <v>500000</v>
      </c>
      <c r="D353" s="22">
        <f ca="1">IFERROR(__xludf.DUMMYFUNCTION("""COMPUTED_VALUE"""),0)</f>
        <v>0</v>
      </c>
      <c r="E353" s="22">
        <f ca="1">IFERROR(__xludf.DUMMYFUNCTION("""COMPUTED_VALUE"""),500000)</f>
        <v>500000</v>
      </c>
      <c r="F353" s="22">
        <f ca="1">IFERROR(__xludf.DUMMYFUNCTION("""COMPUTED_VALUE"""),500000)</f>
        <v>500000</v>
      </c>
      <c r="G353" s="22">
        <f ca="1">IFERROR(__xludf.DUMMYFUNCTION("""COMPUTED_VALUE"""),0)</f>
        <v>0</v>
      </c>
      <c r="H353" s="7">
        <f ca="1">IFERROR(__xludf.DUMMYFUNCTION("""COMPUTED_VALUE"""),500000)</f>
        <v>500000</v>
      </c>
    </row>
    <row r="354" spans="1:8" ht="13" x14ac:dyDescent="0.15">
      <c r="A354" s="5" t="str">
        <f ca="1">IFERROR(__xludf.DUMMYFUNCTION("""COMPUTED_VALUE"""),"33050")</f>
        <v>33050</v>
      </c>
      <c r="B354" s="51">
        <f ca="1">IFERROR(__xludf.DUMMYFUNCTION("""COMPUTED_VALUE"""),44625)</f>
        <v>44625</v>
      </c>
      <c r="C354" s="22">
        <f ca="1">IFERROR(__xludf.DUMMYFUNCTION("""COMPUTED_VALUE"""),500000)</f>
        <v>500000</v>
      </c>
      <c r="D354" s="22">
        <f ca="1">IFERROR(__xludf.DUMMYFUNCTION("""COMPUTED_VALUE"""),0)</f>
        <v>0</v>
      </c>
      <c r="E354" s="22">
        <f ca="1">IFERROR(__xludf.DUMMYFUNCTION("""COMPUTED_VALUE"""),500000)</f>
        <v>500000</v>
      </c>
      <c r="F354" s="22">
        <f ca="1">IFERROR(__xludf.DUMMYFUNCTION("""COMPUTED_VALUE"""),500000)</f>
        <v>500000</v>
      </c>
      <c r="G354" s="22">
        <f ca="1">IFERROR(__xludf.DUMMYFUNCTION("""COMPUTED_VALUE"""),0)</f>
        <v>0</v>
      </c>
      <c r="H354" s="7">
        <f ca="1">IFERROR(__xludf.DUMMYFUNCTION("""COMPUTED_VALUE"""),500000)</f>
        <v>500000</v>
      </c>
    </row>
    <row r="355" spans="1:8" ht="13" x14ac:dyDescent="0.15">
      <c r="A355" s="5" t="str">
        <f ca="1">IFERROR(__xludf.DUMMYFUNCTION("""COMPUTED_VALUE"""),"33050")</f>
        <v>33050</v>
      </c>
      <c r="B355" s="51">
        <f ca="1">IFERROR(__xludf.DUMMYFUNCTION("""COMPUTED_VALUE"""),44626)</f>
        <v>44626</v>
      </c>
      <c r="C355" s="22">
        <f ca="1">IFERROR(__xludf.DUMMYFUNCTION("""COMPUTED_VALUE"""),500000)</f>
        <v>500000</v>
      </c>
      <c r="D355" s="22">
        <f ca="1">IFERROR(__xludf.DUMMYFUNCTION("""COMPUTED_VALUE"""),0)</f>
        <v>0</v>
      </c>
      <c r="E355" s="22">
        <f ca="1">IFERROR(__xludf.DUMMYFUNCTION("""COMPUTED_VALUE"""),500000)</f>
        <v>500000</v>
      </c>
      <c r="F355" s="22">
        <f ca="1">IFERROR(__xludf.DUMMYFUNCTION("""COMPUTED_VALUE"""),500000)</f>
        <v>500000</v>
      </c>
      <c r="G355" s="22">
        <f ca="1">IFERROR(__xludf.DUMMYFUNCTION("""COMPUTED_VALUE"""),0)</f>
        <v>0</v>
      </c>
      <c r="H355" s="7">
        <f ca="1">IFERROR(__xludf.DUMMYFUNCTION("""COMPUTED_VALUE"""),500000)</f>
        <v>500000</v>
      </c>
    </row>
    <row r="356" spans="1:8" ht="13" x14ac:dyDescent="0.15">
      <c r="A356" s="5" t="str">
        <f ca="1">IFERROR(__xludf.DUMMYFUNCTION("""COMPUTED_VALUE"""),"33050")</f>
        <v>33050</v>
      </c>
      <c r="B356" s="51">
        <f ca="1">IFERROR(__xludf.DUMMYFUNCTION("""COMPUTED_VALUE"""),44627)</f>
        <v>44627</v>
      </c>
      <c r="C356" s="22">
        <f ca="1">IFERROR(__xludf.DUMMYFUNCTION("""COMPUTED_VALUE"""),500000)</f>
        <v>500000</v>
      </c>
      <c r="D356" s="22">
        <f ca="1">IFERROR(__xludf.DUMMYFUNCTION("""COMPUTED_VALUE"""),0)</f>
        <v>0</v>
      </c>
      <c r="E356" s="22">
        <f ca="1">IFERROR(__xludf.DUMMYFUNCTION("""COMPUTED_VALUE"""),500000)</f>
        <v>500000</v>
      </c>
      <c r="F356" s="22">
        <f ca="1">IFERROR(__xludf.DUMMYFUNCTION("""COMPUTED_VALUE"""),500000)</f>
        <v>500000</v>
      </c>
      <c r="G356" s="22">
        <f ca="1">IFERROR(__xludf.DUMMYFUNCTION("""COMPUTED_VALUE"""),0)</f>
        <v>0</v>
      </c>
      <c r="H356" s="7">
        <f ca="1">IFERROR(__xludf.DUMMYFUNCTION("""COMPUTED_VALUE"""),500000)</f>
        <v>500000</v>
      </c>
    </row>
    <row r="357" spans="1:8" ht="13" x14ac:dyDescent="0.15">
      <c r="A357" s="5" t="str">
        <f ca="1">IFERROR(__xludf.DUMMYFUNCTION("""COMPUTED_VALUE"""),"33050")</f>
        <v>33050</v>
      </c>
      <c r="B357" s="51">
        <f ca="1">IFERROR(__xludf.DUMMYFUNCTION("""COMPUTED_VALUE"""),44628)</f>
        <v>44628</v>
      </c>
      <c r="C357" s="22">
        <f ca="1">IFERROR(__xludf.DUMMYFUNCTION("""COMPUTED_VALUE"""),500000)</f>
        <v>500000</v>
      </c>
      <c r="D357" s="22">
        <f ca="1">IFERROR(__xludf.DUMMYFUNCTION("""COMPUTED_VALUE"""),0)</f>
        <v>0</v>
      </c>
      <c r="E357" s="22">
        <f ca="1">IFERROR(__xludf.DUMMYFUNCTION("""COMPUTED_VALUE"""),500000)</f>
        <v>500000</v>
      </c>
      <c r="F357" s="22">
        <f ca="1">IFERROR(__xludf.DUMMYFUNCTION("""COMPUTED_VALUE"""),500000)</f>
        <v>500000</v>
      </c>
      <c r="G357" s="22">
        <f ca="1">IFERROR(__xludf.DUMMYFUNCTION("""COMPUTED_VALUE"""),0)</f>
        <v>0</v>
      </c>
      <c r="H357" s="7">
        <f ca="1">IFERROR(__xludf.DUMMYFUNCTION("""COMPUTED_VALUE"""),500000)</f>
        <v>500000</v>
      </c>
    </row>
    <row r="358" spans="1:8" ht="13" x14ac:dyDescent="0.15">
      <c r="A358" s="5" t="str">
        <f ca="1">IFERROR(__xludf.DUMMYFUNCTION("""COMPUTED_VALUE"""),"33050")</f>
        <v>33050</v>
      </c>
      <c r="B358" s="51">
        <f ca="1">IFERROR(__xludf.DUMMYFUNCTION("""COMPUTED_VALUE"""),44629)</f>
        <v>44629</v>
      </c>
      <c r="C358" s="22">
        <f ca="1">IFERROR(__xludf.DUMMYFUNCTION("""COMPUTED_VALUE"""),500000)</f>
        <v>500000</v>
      </c>
      <c r="D358" s="22">
        <f ca="1">IFERROR(__xludf.DUMMYFUNCTION("""COMPUTED_VALUE"""),0)</f>
        <v>0</v>
      </c>
      <c r="E358" s="22">
        <f ca="1">IFERROR(__xludf.DUMMYFUNCTION("""COMPUTED_VALUE"""),500000)</f>
        <v>500000</v>
      </c>
      <c r="F358" s="22">
        <f ca="1">IFERROR(__xludf.DUMMYFUNCTION("""COMPUTED_VALUE"""),500000)</f>
        <v>500000</v>
      </c>
      <c r="G358" s="22">
        <f ca="1">IFERROR(__xludf.DUMMYFUNCTION("""COMPUTED_VALUE"""),0)</f>
        <v>0</v>
      </c>
      <c r="H358" s="7">
        <f ca="1">IFERROR(__xludf.DUMMYFUNCTION("""COMPUTED_VALUE"""),500000)</f>
        <v>500000</v>
      </c>
    </row>
    <row r="359" spans="1:8" ht="13" x14ac:dyDescent="0.15">
      <c r="A359" s="5" t="str">
        <f ca="1">IFERROR(__xludf.DUMMYFUNCTION("""COMPUTED_VALUE"""),"33050")</f>
        <v>33050</v>
      </c>
      <c r="B359" s="51">
        <f ca="1">IFERROR(__xludf.DUMMYFUNCTION("""COMPUTED_VALUE"""),44630)</f>
        <v>44630</v>
      </c>
      <c r="C359" s="22">
        <f ca="1">IFERROR(__xludf.DUMMYFUNCTION("""COMPUTED_VALUE"""),500000)</f>
        <v>500000</v>
      </c>
      <c r="D359" s="22">
        <f ca="1">IFERROR(__xludf.DUMMYFUNCTION("""COMPUTED_VALUE"""),0)</f>
        <v>0</v>
      </c>
      <c r="E359" s="22">
        <f ca="1">IFERROR(__xludf.DUMMYFUNCTION("""COMPUTED_VALUE"""),500000)</f>
        <v>500000</v>
      </c>
      <c r="F359" s="22">
        <f ca="1">IFERROR(__xludf.DUMMYFUNCTION("""COMPUTED_VALUE"""),500000)</f>
        <v>500000</v>
      </c>
      <c r="G359" s="22">
        <f ca="1">IFERROR(__xludf.DUMMYFUNCTION("""COMPUTED_VALUE"""),0)</f>
        <v>0</v>
      </c>
      <c r="H359" s="7">
        <f ca="1">IFERROR(__xludf.DUMMYFUNCTION("""COMPUTED_VALUE"""),500000)</f>
        <v>500000</v>
      </c>
    </row>
    <row r="360" spans="1:8" ht="13" x14ac:dyDescent="0.15">
      <c r="A360" s="5" t="str">
        <f ca="1">IFERROR(__xludf.DUMMYFUNCTION("""COMPUTED_VALUE"""),"33050")</f>
        <v>33050</v>
      </c>
      <c r="B360" s="51">
        <f ca="1">IFERROR(__xludf.DUMMYFUNCTION("""COMPUTED_VALUE"""),44631)</f>
        <v>44631</v>
      </c>
      <c r="C360" s="22">
        <f ca="1">IFERROR(__xludf.DUMMYFUNCTION("""COMPUTED_VALUE"""),500000)</f>
        <v>500000</v>
      </c>
      <c r="D360" s="22">
        <f ca="1">IFERROR(__xludf.DUMMYFUNCTION("""COMPUTED_VALUE"""),0)</f>
        <v>0</v>
      </c>
      <c r="E360" s="22">
        <f ca="1">IFERROR(__xludf.DUMMYFUNCTION("""COMPUTED_VALUE"""),500000)</f>
        <v>500000</v>
      </c>
      <c r="F360" s="22">
        <f ca="1">IFERROR(__xludf.DUMMYFUNCTION("""COMPUTED_VALUE"""),500000)</f>
        <v>500000</v>
      </c>
      <c r="G360" s="22">
        <f ca="1">IFERROR(__xludf.DUMMYFUNCTION("""COMPUTED_VALUE"""),0)</f>
        <v>0</v>
      </c>
      <c r="H360" s="7">
        <f ca="1">IFERROR(__xludf.DUMMYFUNCTION("""COMPUTED_VALUE"""),500000)</f>
        <v>500000</v>
      </c>
    </row>
    <row r="361" spans="1:8" ht="13" x14ac:dyDescent="0.15">
      <c r="A361" s="5" t="str">
        <f ca="1">IFERROR(__xludf.DUMMYFUNCTION("""COMPUTED_VALUE"""),"33050")</f>
        <v>33050</v>
      </c>
      <c r="B361" s="51">
        <f ca="1">IFERROR(__xludf.DUMMYFUNCTION("""COMPUTED_VALUE"""),44632)</f>
        <v>44632</v>
      </c>
      <c r="C361" s="22">
        <f ca="1">IFERROR(__xludf.DUMMYFUNCTION("""COMPUTED_VALUE"""),500000)</f>
        <v>500000</v>
      </c>
      <c r="D361" s="22">
        <f ca="1">IFERROR(__xludf.DUMMYFUNCTION("""COMPUTED_VALUE"""),0)</f>
        <v>0</v>
      </c>
      <c r="E361" s="22">
        <f ca="1">IFERROR(__xludf.DUMMYFUNCTION("""COMPUTED_VALUE"""),500000)</f>
        <v>500000</v>
      </c>
      <c r="F361" s="22">
        <f ca="1">IFERROR(__xludf.DUMMYFUNCTION("""COMPUTED_VALUE"""),500000)</f>
        <v>500000</v>
      </c>
      <c r="G361" s="22">
        <f ca="1">IFERROR(__xludf.DUMMYFUNCTION("""COMPUTED_VALUE"""),0)</f>
        <v>0</v>
      </c>
      <c r="H361" s="7">
        <f ca="1">IFERROR(__xludf.DUMMYFUNCTION("""COMPUTED_VALUE"""),500000)</f>
        <v>500000</v>
      </c>
    </row>
    <row r="362" spans="1:8" ht="13" x14ac:dyDescent="0.15">
      <c r="A362" s="5" t="str">
        <f ca="1">IFERROR(__xludf.DUMMYFUNCTION("""COMPUTED_VALUE"""),"33050")</f>
        <v>33050</v>
      </c>
      <c r="B362" s="51">
        <f ca="1">IFERROR(__xludf.DUMMYFUNCTION("""COMPUTED_VALUE"""),44633)</f>
        <v>44633</v>
      </c>
      <c r="C362" s="22">
        <f ca="1">IFERROR(__xludf.DUMMYFUNCTION("""COMPUTED_VALUE"""),500000)</f>
        <v>500000</v>
      </c>
      <c r="D362" s="22">
        <f ca="1">IFERROR(__xludf.DUMMYFUNCTION("""COMPUTED_VALUE"""),0)</f>
        <v>0</v>
      </c>
      <c r="E362" s="22">
        <f ca="1">IFERROR(__xludf.DUMMYFUNCTION("""COMPUTED_VALUE"""),500000)</f>
        <v>500000</v>
      </c>
      <c r="F362" s="22">
        <f ca="1">IFERROR(__xludf.DUMMYFUNCTION("""COMPUTED_VALUE"""),500000)</f>
        <v>500000</v>
      </c>
      <c r="G362" s="22">
        <f ca="1">IFERROR(__xludf.DUMMYFUNCTION("""COMPUTED_VALUE"""),0)</f>
        <v>0</v>
      </c>
      <c r="H362" s="7">
        <f ca="1">IFERROR(__xludf.DUMMYFUNCTION("""COMPUTED_VALUE"""),500000)</f>
        <v>500000</v>
      </c>
    </row>
    <row r="363" spans="1:8" ht="13" x14ac:dyDescent="0.15">
      <c r="A363" s="5" t="str">
        <f ca="1">IFERROR(__xludf.DUMMYFUNCTION("""COMPUTED_VALUE"""),"33050")</f>
        <v>33050</v>
      </c>
      <c r="B363" s="51">
        <f ca="1">IFERROR(__xludf.DUMMYFUNCTION("""COMPUTED_VALUE"""),44634)</f>
        <v>44634</v>
      </c>
      <c r="C363" s="22">
        <f ca="1">IFERROR(__xludf.DUMMYFUNCTION("""COMPUTED_VALUE"""),500000)</f>
        <v>500000</v>
      </c>
      <c r="D363" s="22">
        <f ca="1">IFERROR(__xludf.DUMMYFUNCTION("""COMPUTED_VALUE"""),0)</f>
        <v>0</v>
      </c>
      <c r="E363" s="22">
        <f ca="1">IFERROR(__xludf.DUMMYFUNCTION("""COMPUTED_VALUE"""),500000)</f>
        <v>500000</v>
      </c>
      <c r="F363" s="22">
        <f ca="1">IFERROR(__xludf.DUMMYFUNCTION("""COMPUTED_VALUE"""),500000)</f>
        <v>500000</v>
      </c>
      <c r="G363" s="22">
        <f ca="1">IFERROR(__xludf.DUMMYFUNCTION("""COMPUTED_VALUE"""),0)</f>
        <v>0</v>
      </c>
      <c r="H363" s="7">
        <f ca="1">IFERROR(__xludf.DUMMYFUNCTION("""COMPUTED_VALUE"""),500000)</f>
        <v>500000</v>
      </c>
    </row>
    <row r="364" spans="1:8" ht="13" x14ac:dyDescent="0.15">
      <c r="A364" s="5" t="str">
        <f ca="1">IFERROR(__xludf.DUMMYFUNCTION("""COMPUTED_VALUE"""),"33050")</f>
        <v>33050</v>
      </c>
      <c r="B364" s="51">
        <f ca="1">IFERROR(__xludf.DUMMYFUNCTION("""COMPUTED_VALUE"""),44635)</f>
        <v>44635</v>
      </c>
      <c r="C364" s="22">
        <f ca="1">IFERROR(__xludf.DUMMYFUNCTION("""COMPUTED_VALUE"""),500000)</f>
        <v>500000</v>
      </c>
      <c r="D364" s="22">
        <f ca="1">IFERROR(__xludf.DUMMYFUNCTION("""COMPUTED_VALUE"""),0)</f>
        <v>0</v>
      </c>
      <c r="E364" s="22">
        <f ca="1">IFERROR(__xludf.DUMMYFUNCTION("""COMPUTED_VALUE"""),500000)</f>
        <v>500000</v>
      </c>
      <c r="F364" s="22">
        <f ca="1">IFERROR(__xludf.DUMMYFUNCTION("""COMPUTED_VALUE"""),500000)</f>
        <v>500000</v>
      </c>
      <c r="G364" s="22">
        <f ca="1">IFERROR(__xludf.DUMMYFUNCTION("""COMPUTED_VALUE"""),0)</f>
        <v>0</v>
      </c>
      <c r="H364" s="7">
        <f ca="1">IFERROR(__xludf.DUMMYFUNCTION("""COMPUTED_VALUE"""),500000)</f>
        <v>500000</v>
      </c>
    </row>
    <row r="365" spans="1:8" ht="13" x14ac:dyDescent="0.15">
      <c r="A365" s="5" t="str">
        <f ca="1">IFERROR(__xludf.DUMMYFUNCTION("""COMPUTED_VALUE"""),"33050")</f>
        <v>33050</v>
      </c>
      <c r="B365" s="51">
        <f ca="1">IFERROR(__xludf.DUMMYFUNCTION("""COMPUTED_VALUE"""),44636)</f>
        <v>44636</v>
      </c>
      <c r="C365" s="22">
        <f ca="1">IFERROR(__xludf.DUMMYFUNCTION("""COMPUTED_VALUE"""),500000)</f>
        <v>500000</v>
      </c>
      <c r="D365" s="22">
        <f ca="1">IFERROR(__xludf.DUMMYFUNCTION("""COMPUTED_VALUE"""),0)</f>
        <v>0</v>
      </c>
      <c r="E365" s="22">
        <f ca="1">IFERROR(__xludf.DUMMYFUNCTION("""COMPUTED_VALUE"""),500000)</f>
        <v>500000</v>
      </c>
      <c r="F365" s="22">
        <f ca="1">IFERROR(__xludf.DUMMYFUNCTION("""COMPUTED_VALUE"""),500000)</f>
        <v>500000</v>
      </c>
      <c r="G365" s="22">
        <f ca="1">IFERROR(__xludf.DUMMYFUNCTION("""COMPUTED_VALUE"""),0)</f>
        <v>0</v>
      </c>
      <c r="H365" s="7">
        <f ca="1">IFERROR(__xludf.DUMMYFUNCTION("""COMPUTED_VALUE"""),500000)</f>
        <v>500000</v>
      </c>
    </row>
    <row r="366" spans="1:8" ht="13" x14ac:dyDescent="0.15">
      <c r="A366" s="5" t="str">
        <f ca="1">IFERROR(__xludf.DUMMYFUNCTION("""COMPUTED_VALUE"""),"33050")</f>
        <v>33050</v>
      </c>
      <c r="B366" s="51">
        <f ca="1">IFERROR(__xludf.DUMMYFUNCTION("""COMPUTED_VALUE"""),44637)</f>
        <v>44637</v>
      </c>
      <c r="C366" s="22">
        <f ca="1">IFERROR(__xludf.DUMMYFUNCTION("""COMPUTED_VALUE"""),500000)</f>
        <v>500000</v>
      </c>
      <c r="D366" s="22">
        <f ca="1">IFERROR(__xludf.DUMMYFUNCTION("""COMPUTED_VALUE"""),0)</f>
        <v>0</v>
      </c>
      <c r="E366" s="22">
        <f ca="1">IFERROR(__xludf.DUMMYFUNCTION("""COMPUTED_VALUE"""),500000)</f>
        <v>500000</v>
      </c>
      <c r="F366" s="22">
        <f ca="1">IFERROR(__xludf.DUMMYFUNCTION("""COMPUTED_VALUE"""),500000)</f>
        <v>500000</v>
      </c>
      <c r="G366" s="22">
        <f ca="1">IFERROR(__xludf.DUMMYFUNCTION("""COMPUTED_VALUE"""),0)</f>
        <v>0</v>
      </c>
      <c r="H366" s="7">
        <f ca="1">IFERROR(__xludf.DUMMYFUNCTION("""COMPUTED_VALUE"""),500000)</f>
        <v>500000</v>
      </c>
    </row>
    <row r="367" spans="1:8" ht="13" x14ac:dyDescent="0.15">
      <c r="A367" s="5" t="str">
        <f ca="1">IFERROR(__xludf.DUMMYFUNCTION("""COMPUTED_VALUE"""),"33050")</f>
        <v>33050</v>
      </c>
      <c r="B367" s="51">
        <f ca="1">IFERROR(__xludf.DUMMYFUNCTION("""COMPUTED_VALUE"""),44638)</f>
        <v>44638</v>
      </c>
      <c r="C367" s="22">
        <f ca="1">IFERROR(__xludf.DUMMYFUNCTION("""COMPUTED_VALUE"""),500000)</f>
        <v>500000</v>
      </c>
      <c r="D367" s="22">
        <f ca="1">IFERROR(__xludf.DUMMYFUNCTION("""COMPUTED_VALUE"""),0)</f>
        <v>0</v>
      </c>
      <c r="E367" s="22">
        <f ca="1">IFERROR(__xludf.DUMMYFUNCTION("""COMPUTED_VALUE"""),500000)</f>
        <v>500000</v>
      </c>
      <c r="F367" s="22">
        <f ca="1">IFERROR(__xludf.DUMMYFUNCTION("""COMPUTED_VALUE"""),500000)</f>
        <v>500000</v>
      </c>
      <c r="G367" s="22">
        <f ca="1">IFERROR(__xludf.DUMMYFUNCTION("""COMPUTED_VALUE"""),0)</f>
        <v>0</v>
      </c>
      <c r="H367" s="7">
        <f ca="1">IFERROR(__xludf.DUMMYFUNCTION("""COMPUTED_VALUE"""),500000)</f>
        <v>500000</v>
      </c>
    </row>
    <row r="368" spans="1:8" ht="13" x14ac:dyDescent="0.15">
      <c r="A368" s="5" t="str">
        <f ca="1">IFERROR(__xludf.DUMMYFUNCTION("""COMPUTED_VALUE"""),"33050")</f>
        <v>33050</v>
      </c>
      <c r="B368" s="51">
        <f ca="1">IFERROR(__xludf.DUMMYFUNCTION("""COMPUTED_VALUE"""),44639)</f>
        <v>44639</v>
      </c>
      <c r="C368" s="22">
        <f ca="1">IFERROR(__xludf.DUMMYFUNCTION("""COMPUTED_VALUE"""),500000)</f>
        <v>500000</v>
      </c>
      <c r="D368" s="22">
        <f ca="1">IFERROR(__xludf.DUMMYFUNCTION("""COMPUTED_VALUE"""),0)</f>
        <v>0</v>
      </c>
      <c r="E368" s="22">
        <f ca="1">IFERROR(__xludf.DUMMYFUNCTION("""COMPUTED_VALUE"""),500000)</f>
        <v>500000</v>
      </c>
      <c r="F368" s="22">
        <f ca="1">IFERROR(__xludf.DUMMYFUNCTION("""COMPUTED_VALUE"""),500000)</f>
        <v>500000</v>
      </c>
      <c r="G368" s="22">
        <f ca="1">IFERROR(__xludf.DUMMYFUNCTION("""COMPUTED_VALUE"""),0)</f>
        <v>0</v>
      </c>
      <c r="H368" s="7">
        <f ca="1">IFERROR(__xludf.DUMMYFUNCTION("""COMPUTED_VALUE"""),500000)</f>
        <v>500000</v>
      </c>
    </row>
    <row r="369" spans="1:8" ht="13" x14ac:dyDescent="0.15">
      <c r="A369" s="5" t="str">
        <f ca="1">IFERROR(__xludf.DUMMYFUNCTION("""COMPUTED_VALUE"""),"33050")</f>
        <v>33050</v>
      </c>
      <c r="B369" s="51">
        <f ca="1">IFERROR(__xludf.DUMMYFUNCTION("""COMPUTED_VALUE"""),44640)</f>
        <v>44640</v>
      </c>
      <c r="C369" s="22">
        <f ca="1">IFERROR(__xludf.DUMMYFUNCTION("""COMPUTED_VALUE"""),500000)</f>
        <v>500000</v>
      </c>
      <c r="D369" s="22">
        <f ca="1">IFERROR(__xludf.DUMMYFUNCTION("""COMPUTED_VALUE"""),0)</f>
        <v>0</v>
      </c>
      <c r="E369" s="22">
        <f ca="1">IFERROR(__xludf.DUMMYFUNCTION("""COMPUTED_VALUE"""),500000)</f>
        <v>500000</v>
      </c>
      <c r="F369" s="22">
        <f ca="1">IFERROR(__xludf.DUMMYFUNCTION("""COMPUTED_VALUE"""),500000)</f>
        <v>500000</v>
      </c>
      <c r="G369" s="22">
        <f ca="1">IFERROR(__xludf.DUMMYFUNCTION("""COMPUTED_VALUE"""),0)</f>
        <v>0</v>
      </c>
      <c r="H369" s="7">
        <f ca="1">IFERROR(__xludf.DUMMYFUNCTION("""COMPUTED_VALUE"""),500000)</f>
        <v>500000</v>
      </c>
    </row>
    <row r="370" spans="1:8" ht="13" x14ac:dyDescent="0.15">
      <c r="A370" s="5" t="str">
        <f ca="1">IFERROR(__xludf.DUMMYFUNCTION("""COMPUTED_VALUE"""),"33050")</f>
        <v>33050</v>
      </c>
      <c r="B370" s="51">
        <f ca="1">IFERROR(__xludf.DUMMYFUNCTION("""COMPUTED_VALUE"""),44641)</f>
        <v>44641</v>
      </c>
      <c r="C370" s="22">
        <f ca="1">IFERROR(__xludf.DUMMYFUNCTION("""COMPUTED_VALUE"""),500000)</f>
        <v>500000</v>
      </c>
      <c r="D370" s="22">
        <f ca="1">IFERROR(__xludf.DUMMYFUNCTION("""COMPUTED_VALUE"""),0)</f>
        <v>0</v>
      </c>
      <c r="E370" s="22">
        <f ca="1">IFERROR(__xludf.DUMMYFUNCTION("""COMPUTED_VALUE"""),500000)</f>
        <v>500000</v>
      </c>
      <c r="F370" s="22">
        <f ca="1">IFERROR(__xludf.DUMMYFUNCTION("""COMPUTED_VALUE"""),500000)</f>
        <v>500000</v>
      </c>
      <c r="G370" s="22">
        <f ca="1">IFERROR(__xludf.DUMMYFUNCTION("""COMPUTED_VALUE"""),0)</f>
        <v>0</v>
      </c>
      <c r="H370" s="7">
        <f ca="1">IFERROR(__xludf.DUMMYFUNCTION("""COMPUTED_VALUE"""),500000)</f>
        <v>500000</v>
      </c>
    </row>
    <row r="371" spans="1:8" ht="13" x14ac:dyDescent="0.15">
      <c r="A371" s="5" t="str">
        <f ca="1">IFERROR(__xludf.DUMMYFUNCTION("""COMPUTED_VALUE"""),"33050")</f>
        <v>33050</v>
      </c>
      <c r="B371" s="51">
        <f ca="1">IFERROR(__xludf.DUMMYFUNCTION("""COMPUTED_VALUE"""),44642)</f>
        <v>44642</v>
      </c>
      <c r="C371" s="22">
        <f ca="1">IFERROR(__xludf.DUMMYFUNCTION("""COMPUTED_VALUE"""),500000)</f>
        <v>500000</v>
      </c>
      <c r="D371" s="22">
        <f ca="1">IFERROR(__xludf.DUMMYFUNCTION("""COMPUTED_VALUE"""),0)</f>
        <v>0</v>
      </c>
      <c r="E371" s="22">
        <f ca="1">IFERROR(__xludf.DUMMYFUNCTION("""COMPUTED_VALUE"""),500000)</f>
        <v>500000</v>
      </c>
      <c r="F371" s="22">
        <f ca="1">IFERROR(__xludf.DUMMYFUNCTION("""COMPUTED_VALUE"""),500000)</f>
        <v>500000</v>
      </c>
      <c r="G371" s="22">
        <f ca="1">IFERROR(__xludf.DUMMYFUNCTION("""COMPUTED_VALUE"""),0)</f>
        <v>0</v>
      </c>
      <c r="H371" s="7">
        <f ca="1">IFERROR(__xludf.DUMMYFUNCTION("""COMPUTED_VALUE"""),500000)</f>
        <v>500000</v>
      </c>
    </row>
    <row r="372" spans="1:8" ht="13" x14ac:dyDescent="0.15">
      <c r="A372" s="5" t="str">
        <f ca="1">IFERROR(__xludf.DUMMYFUNCTION("""COMPUTED_VALUE"""),"34857")</f>
        <v>34857</v>
      </c>
      <c r="B372" s="51">
        <f ca="1">IFERROR(__xludf.DUMMYFUNCTION("""COMPUTED_VALUE"""),44597)</f>
        <v>44597</v>
      </c>
      <c r="C372" s="22">
        <f ca="1">IFERROR(__xludf.DUMMYFUNCTION("""COMPUTED_VALUE"""),500000)</f>
        <v>500000</v>
      </c>
      <c r="D372" s="22">
        <f ca="1">IFERROR(__xludf.DUMMYFUNCTION("""COMPUTED_VALUE"""),0)</f>
        <v>0</v>
      </c>
      <c r="E372" s="22">
        <f ca="1">IFERROR(__xludf.DUMMYFUNCTION("""COMPUTED_VALUE"""),500000)</f>
        <v>500000</v>
      </c>
      <c r="F372" s="22">
        <f ca="1">IFERROR(__xludf.DUMMYFUNCTION("""COMPUTED_VALUE"""),500000)</f>
        <v>500000</v>
      </c>
      <c r="G372" s="22">
        <f ca="1">IFERROR(__xludf.DUMMYFUNCTION("""COMPUTED_VALUE"""),0)</f>
        <v>0</v>
      </c>
      <c r="H372" s="7">
        <f ca="1">IFERROR(__xludf.DUMMYFUNCTION("""COMPUTED_VALUE"""),500000)</f>
        <v>500000</v>
      </c>
    </row>
    <row r="373" spans="1:8" ht="13" x14ac:dyDescent="0.15">
      <c r="A373" s="5" t="str">
        <f ca="1">IFERROR(__xludf.DUMMYFUNCTION("""COMPUTED_VALUE"""),"34857")</f>
        <v>34857</v>
      </c>
      <c r="B373" s="51">
        <f ca="1">IFERROR(__xludf.DUMMYFUNCTION("""COMPUTED_VALUE"""),44598)</f>
        <v>44598</v>
      </c>
      <c r="C373" s="22">
        <f ca="1">IFERROR(__xludf.DUMMYFUNCTION("""COMPUTED_VALUE"""),500000)</f>
        <v>500000</v>
      </c>
      <c r="D373" s="22">
        <f ca="1">IFERROR(__xludf.DUMMYFUNCTION("""COMPUTED_VALUE"""),0)</f>
        <v>0</v>
      </c>
      <c r="E373" s="22">
        <f ca="1">IFERROR(__xludf.DUMMYFUNCTION("""COMPUTED_VALUE"""),500000)</f>
        <v>500000</v>
      </c>
      <c r="F373" s="22">
        <f ca="1">IFERROR(__xludf.DUMMYFUNCTION("""COMPUTED_VALUE"""),500000)</f>
        <v>500000</v>
      </c>
      <c r="G373" s="22">
        <f ca="1">IFERROR(__xludf.DUMMYFUNCTION("""COMPUTED_VALUE"""),0)</f>
        <v>0</v>
      </c>
      <c r="H373" s="7">
        <f ca="1">IFERROR(__xludf.DUMMYFUNCTION("""COMPUTED_VALUE"""),500000)</f>
        <v>500000</v>
      </c>
    </row>
    <row r="374" spans="1:8" ht="13" x14ac:dyDescent="0.15">
      <c r="A374" s="5" t="str">
        <f ca="1">IFERROR(__xludf.DUMMYFUNCTION("""COMPUTED_VALUE"""),"34857")</f>
        <v>34857</v>
      </c>
      <c r="B374" s="51">
        <f ca="1">IFERROR(__xludf.DUMMYFUNCTION("""COMPUTED_VALUE"""),44599)</f>
        <v>44599</v>
      </c>
      <c r="C374" s="22">
        <f ca="1">IFERROR(__xludf.DUMMYFUNCTION("""COMPUTED_VALUE"""),500000)</f>
        <v>500000</v>
      </c>
      <c r="D374" s="22">
        <f ca="1">IFERROR(__xludf.DUMMYFUNCTION("""COMPUTED_VALUE"""),0)</f>
        <v>0</v>
      </c>
      <c r="E374" s="22">
        <f ca="1">IFERROR(__xludf.DUMMYFUNCTION("""COMPUTED_VALUE"""),500000)</f>
        <v>500000</v>
      </c>
      <c r="F374" s="22">
        <f ca="1">IFERROR(__xludf.DUMMYFUNCTION("""COMPUTED_VALUE"""),500000)</f>
        <v>500000</v>
      </c>
      <c r="G374" s="22">
        <f ca="1">IFERROR(__xludf.DUMMYFUNCTION("""COMPUTED_VALUE"""),0)</f>
        <v>0</v>
      </c>
      <c r="H374" s="7">
        <f ca="1">IFERROR(__xludf.DUMMYFUNCTION("""COMPUTED_VALUE"""),500000)</f>
        <v>500000</v>
      </c>
    </row>
    <row r="375" spans="1:8" ht="13" x14ac:dyDescent="0.15">
      <c r="A375" s="5" t="str">
        <f ca="1">IFERROR(__xludf.DUMMYFUNCTION("""COMPUTED_VALUE"""),"34857")</f>
        <v>34857</v>
      </c>
      <c r="B375" s="51">
        <f ca="1">IFERROR(__xludf.DUMMYFUNCTION("""COMPUTED_VALUE"""),44600)</f>
        <v>44600</v>
      </c>
      <c r="C375" s="22">
        <f ca="1">IFERROR(__xludf.DUMMYFUNCTION("""COMPUTED_VALUE"""),500000)</f>
        <v>500000</v>
      </c>
      <c r="D375" s="22">
        <f ca="1">IFERROR(__xludf.DUMMYFUNCTION("""COMPUTED_VALUE"""),0)</f>
        <v>0</v>
      </c>
      <c r="E375" s="22">
        <f ca="1">IFERROR(__xludf.DUMMYFUNCTION("""COMPUTED_VALUE"""),500000)</f>
        <v>500000</v>
      </c>
      <c r="F375" s="22">
        <f ca="1">IFERROR(__xludf.DUMMYFUNCTION("""COMPUTED_VALUE"""),500000)</f>
        <v>500000</v>
      </c>
      <c r="G375" s="22">
        <f ca="1">IFERROR(__xludf.DUMMYFUNCTION("""COMPUTED_VALUE"""),0)</f>
        <v>0</v>
      </c>
      <c r="H375" s="7">
        <f ca="1">IFERROR(__xludf.DUMMYFUNCTION("""COMPUTED_VALUE"""),500000)</f>
        <v>500000</v>
      </c>
    </row>
    <row r="376" spans="1:8" ht="13" x14ac:dyDescent="0.15">
      <c r="A376" s="5" t="str">
        <f ca="1">IFERROR(__xludf.DUMMYFUNCTION("""COMPUTED_VALUE"""),"34857")</f>
        <v>34857</v>
      </c>
      <c r="B376" s="51">
        <f ca="1">IFERROR(__xludf.DUMMYFUNCTION("""COMPUTED_VALUE"""),44601)</f>
        <v>44601</v>
      </c>
      <c r="C376" s="22">
        <f ca="1">IFERROR(__xludf.DUMMYFUNCTION("""COMPUTED_VALUE"""),500000)</f>
        <v>500000</v>
      </c>
      <c r="D376" s="22">
        <f ca="1">IFERROR(__xludf.DUMMYFUNCTION("""COMPUTED_VALUE"""),0)</f>
        <v>0</v>
      </c>
      <c r="E376" s="22">
        <f ca="1">IFERROR(__xludf.DUMMYFUNCTION("""COMPUTED_VALUE"""),500000)</f>
        <v>500000</v>
      </c>
      <c r="F376" s="22">
        <f ca="1">IFERROR(__xludf.DUMMYFUNCTION("""COMPUTED_VALUE"""),500000)</f>
        <v>500000</v>
      </c>
      <c r="G376" s="22">
        <f ca="1">IFERROR(__xludf.DUMMYFUNCTION("""COMPUTED_VALUE"""),0)</f>
        <v>0</v>
      </c>
      <c r="H376" s="7">
        <f ca="1">IFERROR(__xludf.DUMMYFUNCTION("""COMPUTED_VALUE"""),500000)</f>
        <v>500000</v>
      </c>
    </row>
    <row r="377" spans="1:8" ht="13" x14ac:dyDescent="0.15">
      <c r="A377" s="5" t="str">
        <f ca="1">IFERROR(__xludf.DUMMYFUNCTION("""COMPUTED_VALUE"""),"34857")</f>
        <v>34857</v>
      </c>
      <c r="B377" s="51">
        <f ca="1">IFERROR(__xludf.DUMMYFUNCTION("""COMPUTED_VALUE"""),44602)</f>
        <v>44602</v>
      </c>
      <c r="C377" s="22">
        <f ca="1">IFERROR(__xludf.DUMMYFUNCTION("""COMPUTED_VALUE"""),500000)</f>
        <v>500000</v>
      </c>
      <c r="D377" s="22">
        <f ca="1">IFERROR(__xludf.DUMMYFUNCTION("""COMPUTED_VALUE"""),0)</f>
        <v>0</v>
      </c>
      <c r="E377" s="22">
        <f ca="1">IFERROR(__xludf.DUMMYFUNCTION("""COMPUTED_VALUE"""),500000)</f>
        <v>500000</v>
      </c>
      <c r="F377" s="22">
        <f ca="1">IFERROR(__xludf.DUMMYFUNCTION("""COMPUTED_VALUE"""),500000)</f>
        <v>500000</v>
      </c>
      <c r="G377" s="22">
        <f ca="1">IFERROR(__xludf.DUMMYFUNCTION("""COMPUTED_VALUE"""),0)</f>
        <v>0</v>
      </c>
      <c r="H377" s="7">
        <f ca="1">IFERROR(__xludf.DUMMYFUNCTION("""COMPUTED_VALUE"""),500000)</f>
        <v>500000</v>
      </c>
    </row>
    <row r="378" spans="1:8" ht="13" x14ac:dyDescent="0.15">
      <c r="A378" s="5" t="str">
        <f ca="1">IFERROR(__xludf.DUMMYFUNCTION("""COMPUTED_VALUE"""),"34857")</f>
        <v>34857</v>
      </c>
      <c r="B378" s="51">
        <f ca="1">IFERROR(__xludf.DUMMYFUNCTION("""COMPUTED_VALUE"""),44603)</f>
        <v>44603</v>
      </c>
      <c r="C378" s="22">
        <f ca="1">IFERROR(__xludf.DUMMYFUNCTION("""COMPUTED_VALUE"""),500000)</f>
        <v>500000</v>
      </c>
      <c r="D378" s="22">
        <f ca="1">IFERROR(__xludf.DUMMYFUNCTION("""COMPUTED_VALUE"""),0)</f>
        <v>0</v>
      </c>
      <c r="E378" s="22">
        <f ca="1">IFERROR(__xludf.DUMMYFUNCTION("""COMPUTED_VALUE"""),500000)</f>
        <v>500000</v>
      </c>
      <c r="F378" s="22">
        <f ca="1">IFERROR(__xludf.DUMMYFUNCTION("""COMPUTED_VALUE"""),500000)</f>
        <v>500000</v>
      </c>
      <c r="G378" s="22">
        <f ca="1">IFERROR(__xludf.DUMMYFUNCTION("""COMPUTED_VALUE"""),0)</f>
        <v>0</v>
      </c>
      <c r="H378" s="7">
        <f ca="1">IFERROR(__xludf.DUMMYFUNCTION("""COMPUTED_VALUE"""),500000)</f>
        <v>500000</v>
      </c>
    </row>
    <row r="379" spans="1:8" ht="13" x14ac:dyDescent="0.15">
      <c r="A379" s="5" t="str">
        <f ca="1">IFERROR(__xludf.DUMMYFUNCTION("""COMPUTED_VALUE"""),"34857")</f>
        <v>34857</v>
      </c>
      <c r="B379" s="51">
        <f ca="1">IFERROR(__xludf.DUMMYFUNCTION("""COMPUTED_VALUE"""),44604)</f>
        <v>44604</v>
      </c>
      <c r="C379" s="22">
        <f ca="1">IFERROR(__xludf.DUMMYFUNCTION("""COMPUTED_VALUE"""),500000)</f>
        <v>500000</v>
      </c>
      <c r="D379" s="22">
        <f ca="1">IFERROR(__xludf.DUMMYFUNCTION("""COMPUTED_VALUE"""),0)</f>
        <v>0</v>
      </c>
      <c r="E379" s="22">
        <f ca="1">IFERROR(__xludf.DUMMYFUNCTION("""COMPUTED_VALUE"""),500000)</f>
        <v>500000</v>
      </c>
      <c r="F379" s="22">
        <f ca="1">IFERROR(__xludf.DUMMYFUNCTION("""COMPUTED_VALUE"""),500000)</f>
        <v>500000</v>
      </c>
      <c r="G379" s="22">
        <f ca="1">IFERROR(__xludf.DUMMYFUNCTION("""COMPUTED_VALUE"""),0)</f>
        <v>0</v>
      </c>
      <c r="H379" s="7">
        <f ca="1">IFERROR(__xludf.DUMMYFUNCTION("""COMPUTED_VALUE"""),500000)</f>
        <v>500000</v>
      </c>
    </row>
    <row r="380" spans="1:8" ht="13" x14ac:dyDescent="0.15">
      <c r="A380" s="5" t="str">
        <f ca="1">IFERROR(__xludf.DUMMYFUNCTION("""COMPUTED_VALUE"""),"34857")</f>
        <v>34857</v>
      </c>
      <c r="B380" s="51">
        <f ca="1">IFERROR(__xludf.DUMMYFUNCTION("""COMPUTED_VALUE"""),44605)</f>
        <v>44605</v>
      </c>
      <c r="C380" s="22">
        <f ca="1">IFERROR(__xludf.DUMMYFUNCTION("""COMPUTED_VALUE"""),500000)</f>
        <v>500000</v>
      </c>
      <c r="D380" s="22">
        <f ca="1">IFERROR(__xludf.DUMMYFUNCTION("""COMPUTED_VALUE"""),0)</f>
        <v>0</v>
      </c>
      <c r="E380" s="22">
        <f ca="1">IFERROR(__xludf.DUMMYFUNCTION("""COMPUTED_VALUE"""),500000)</f>
        <v>500000</v>
      </c>
      <c r="F380" s="22">
        <f ca="1">IFERROR(__xludf.DUMMYFUNCTION("""COMPUTED_VALUE"""),500000)</f>
        <v>500000</v>
      </c>
      <c r="G380" s="22">
        <f ca="1">IFERROR(__xludf.DUMMYFUNCTION("""COMPUTED_VALUE"""),0)</f>
        <v>0</v>
      </c>
      <c r="H380" s="7">
        <f ca="1">IFERROR(__xludf.DUMMYFUNCTION("""COMPUTED_VALUE"""),500000)</f>
        <v>500000</v>
      </c>
    </row>
    <row r="381" spans="1:8" ht="13" x14ac:dyDescent="0.15">
      <c r="A381" s="5" t="str">
        <f ca="1">IFERROR(__xludf.DUMMYFUNCTION("""COMPUTED_VALUE"""),"34857")</f>
        <v>34857</v>
      </c>
      <c r="B381" s="51">
        <f ca="1">IFERROR(__xludf.DUMMYFUNCTION("""COMPUTED_VALUE"""),44606)</f>
        <v>44606</v>
      </c>
      <c r="C381" s="22">
        <f ca="1">IFERROR(__xludf.DUMMYFUNCTION("""COMPUTED_VALUE"""),500000)</f>
        <v>500000</v>
      </c>
      <c r="D381" s="22">
        <f ca="1">IFERROR(__xludf.DUMMYFUNCTION("""COMPUTED_VALUE"""),0)</f>
        <v>0</v>
      </c>
      <c r="E381" s="22">
        <f ca="1">IFERROR(__xludf.DUMMYFUNCTION("""COMPUTED_VALUE"""),500000)</f>
        <v>500000</v>
      </c>
      <c r="F381" s="22">
        <f ca="1">IFERROR(__xludf.DUMMYFUNCTION("""COMPUTED_VALUE"""),500000)</f>
        <v>500000</v>
      </c>
      <c r="G381" s="22">
        <f ca="1">IFERROR(__xludf.DUMMYFUNCTION("""COMPUTED_VALUE"""),0)</f>
        <v>0</v>
      </c>
      <c r="H381" s="7">
        <f ca="1">IFERROR(__xludf.DUMMYFUNCTION("""COMPUTED_VALUE"""),500000)</f>
        <v>500000</v>
      </c>
    </row>
    <row r="382" spans="1:8" ht="13" x14ac:dyDescent="0.15">
      <c r="A382" s="5" t="str">
        <f ca="1">IFERROR(__xludf.DUMMYFUNCTION("""COMPUTED_VALUE"""),"34857")</f>
        <v>34857</v>
      </c>
      <c r="B382" s="51">
        <f ca="1">IFERROR(__xludf.DUMMYFUNCTION("""COMPUTED_VALUE"""),44607)</f>
        <v>44607</v>
      </c>
      <c r="C382" s="22">
        <f ca="1">IFERROR(__xludf.DUMMYFUNCTION("""COMPUTED_VALUE"""),500000)</f>
        <v>500000</v>
      </c>
      <c r="D382" s="22">
        <f ca="1">IFERROR(__xludf.DUMMYFUNCTION("""COMPUTED_VALUE"""),0)</f>
        <v>0</v>
      </c>
      <c r="E382" s="22">
        <f ca="1">IFERROR(__xludf.DUMMYFUNCTION("""COMPUTED_VALUE"""),500000)</f>
        <v>500000</v>
      </c>
      <c r="F382" s="22">
        <f ca="1">IFERROR(__xludf.DUMMYFUNCTION("""COMPUTED_VALUE"""),500000)</f>
        <v>500000</v>
      </c>
      <c r="G382" s="22">
        <f ca="1">IFERROR(__xludf.DUMMYFUNCTION("""COMPUTED_VALUE"""),0)</f>
        <v>0</v>
      </c>
      <c r="H382" s="7">
        <f ca="1">IFERROR(__xludf.DUMMYFUNCTION("""COMPUTED_VALUE"""),500000)</f>
        <v>500000</v>
      </c>
    </row>
    <row r="383" spans="1:8" ht="13" x14ac:dyDescent="0.15">
      <c r="A383" s="5" t="str">
        <f ca="1">IFERROR(__xludf.DUMMYFUNCTION("""COMPUTED_VALUE"""),"34857")</f>
        <v>34857</v>
      </c>
      <c r="B383" s="51">
        <f ca="1">IFERROR(__xludf.DUMMYFUNCTION("""COMPUTED_VALUE"""),44608)</f>
        <v>44608</v>
      </c>
      <c r="C383" s="22">
        <f ca="1">IFERROR(__xludf.DUMMYFUNCTION("""COMPUTED_VALUE"""),500000)</f>
        <v>500000</v>
      </c>
      <c r="D383" s="22">
        <f ca="1">IFERROR(__xludf.DUMMYFUNCTION("""COMPUTED_VALUE"""),0)</f>
        <v>0</v>
      </c>
      <c r="E383" s="22">
        <f ca="1">IFERROR(__xludf.DUMMYFUNCTION("""COMPUTED_VALUE"""),500000)</f>
        <v>500000</v>
      </c>
      <c r="F383" s="22">
        <f ca="1">IFERROR(__xludf.DUMMYFUNCTION("""COMPUTED_VALUE"""),500000)</f>
        <v>500000</v>
      </c>
      <c r="G383" s="22">
        <f ca="1">IFERROR(__xludf.DUMMYFUNCTION("""COMPUTED_VALUE"""),0)</f>
        <v>0</v>
      </c>
      <c r="H383" s="7">
        <f ca="1">IFERROR(__xludf.DUMMYFUNCTION("""COMPUTED_VALUE"""),500000)</f>
        <v>500000</v>
      </c>
    </row>
    <row r="384" spans="1:8" ht="13" x14ac:dyDescent="0.15">
      <c r="A384" s="5" t="str">
        <f ca="1">IFERROR(__xludf.DUMMYFUNCTION("""COMPUTED_VALUE"""),"34857")</f>
        <v>34857</v>
      </c>
      <c r="B384" s="51">
        <f ca="1">IFERROR(__xludf.DUMMYFUNCTION("""COMPUTED_VALUE"""),44609)</f>
        <v>44609</v>
      </c>
      <c r="C384" s="22">
        <f ca="1">IFERROR(__xludf.DUMMYFUNCTION("""COMPUTED_VALUE"""),500000)</f>
        <v>500000</v>
      </c>
      <c r="D384" s="22">
        <f ca="1">IFERROR(__xludf.DUMMYFUNCTION("""COMPUTED_VALUE"""),0)</f>
        <v>0</v>
      </c>
      <c r="E384" s="22">
        <f ca="1">IFERROR(__xludf.DUMMYFUNCTION("""COMPUTED_VALUE"""),500000)</f>
        <v>500000</v>
      </c>
      <c r="F384" s="22">
        <f ca="1">IFERROR(__xludf.DUMMYFUNCTION("""COMPUTED_VALUE"""),500000)</f>
        <v>500000</v>
      </c>
      <c r="G384" s="22">
        <f ca="1">IFERROR(__xludf.DUMMYFUNCTION("""COMPUTED_VALUE"""),0)</f>
        <v>0</v>
      </c>
      <c r="H384" s="7">
        <f ca="1">IFERROR(__xludf.DUMMYFUNCTION("""COMPUTED_VALUE"""),500000)</f>
        <v>500000</v>
      </c>
    </row>
    <row r="385" spans="1:8" ht="13" x14ac:dyDescent="0.15">
      <c r="A385" s="5" t="str">
        <f ca="1">IFERROR(__xludf.DUMMYFUNCTION("""COMPUTED_VALUE"""),"34857")</f>
        <v>34857</v>
      </c>
      <c r="B385" s="51">
        <f ca="1">IFERROR(__xludf.DUMMYFUNCTION("""COMPUTED_VALUE"""),44610)</f>
        <v>44610</v>
      </c>
      <c r="C385" s="22">
        <f ca="1">IFERROR(__xludf.DUMMYFUNCTION("""COMPUTED_VALUE"""),500000)</f>
        <v>500000</v>
      </c>
      <c r="D385" s="22">
        <f ca="1">IFERROR(__xludf.DUMMYFUNCTION("""COMPUTED_VALUE"""),0)</f>
        <v>0</v>
      </c>
      <c r="E385" s="22">
        <f ca="1">IFERROR(__xludf.DUMMYFUNCTION("""COMPUTED_VALUE"""),500000)</f>
        <v>500000</v>
      </c>
      <c r="F385" s="22">
        <f ca="1">IFERROR(__xludf.DUMMYFUNCTION("""COMPUTED_VALUE"""),500000)</f>
        <v>500000</v>
      </c>
      <c r="G385" s="22">
        <f ca="1">IFERROR(__xludf.DUMMYFUNCTION("""COMPUTED_VALUE"""),0)</f>
        <v>0</v>
      </c>
      <c r="H385" s="7">
        <f ca="1">IFERROR(__xludf.DUMMYFUNCTION("""COMPUTED_VALUE"""),500000)</f>
        <v>500000</v>
      </c>
    </row>
    <row r="386" spans="1:8" ht="13" x14ac:dyDescent="0.15">
      <c r="A386" s="5" t="str">
        <f ca="1">IFERROR(__xludf.DUMMYFUNCTION("""COMPUTED_VALUE"""),"34857")</f>
        <v>34857</v>
      </c>
      <c r="B386" s="51">
        <f ca="1">IFERROR(__xludf.DUMMYFUNCTION("""COMPUTED_VALUE"""),44611)</f>
        <v>44611</v>
      </c>
      <c r="C386" s="22">
        <f ca="1">IFERROR(__xludf.DUMMYFUNCTION("""COMPUTED_VALUE"""),500000)</f>
        <v>500000</v>
      </c>
      <c r="D386" s="22">
        <f ca="1">IFERROR(__xludf.DUMMYFUNCTION("""COMPUTED_VALUE"""),0)</f>
        <v>0</v>
      </c>
      <c r="E386" s="22">
        <f ca="1">IFERROR(__xludf.DUMMYFUNCTION("""COMPUTED_VALUE"""),500000)</f>
        <v>500000</v>
      </c>
      <c r="F386" s="22">
        <f ca="1">IFERROR(__xludf.DUMMYFUNCTION("""COMPUTED_VALUE"""),500000)</f>
        <v>500000</v>
      </c>
      <c r="G386" s="22">
        <f ca="1">IFERROR(__xludf.DUMMYFUNCTION("""COMPUTED_VALUE"""),0)</f>
        <v>0</v>
      </c>
      <c r="H386" s="7">
        <f ca="1">IFERROR(__xludf.DUMMYFUNCTION("""COMPUTED_VALUE"""),500000)</f>
        <v>500000</v>
      </c>
    </row>
    <row r="387" spans="1:8" ht="13" x14ac:dyDescent="0.15">
      <c r="A387" s="5" t="str">
        <f ca="1">IFERROR(__xludf.DUMMYFUNCTION("""COMPUTED_VALUE"""),"34857")</f>
        <v>34857</v>
      </c>
      <c r="B387" s="51">
        <f ca="1">IFERROR(__xludf.DUMMYFUNCTION("""COMPUTED_VALUE"""),44612)</f>
        <v>44612</v>
      </c>
      <c r="C387" s="22">
        <f ca="1">IFERROR(__xludf.DUMMYFUNCTION("""COMPUTED_VALUE"""),500000)</f>
        <v>500000</v>
      </c>
      <c r="D387" s="22">
        <f ca="1">IFERROR(__xludf.DUMMYFUNCTION("""COMPUTED_VALUE"""),0)</f>
        <v>0</v>
      </c>
      <c r="E387" s="22">
        <f ca="1">IFERROR(__xludf.DUMMYFUNCTION("""COMPUTED_VALUE"""),500000)</f>
        <v>500000</v>
      </c>
      <c r="F387" s="22">
        <f ca="1">IFERROR(__xludf.DUMMYFUNCTION("""COMPUTED_VALUE"""),500000)</f>
        <v>500000</v>
      </c>
      <c r="G387" s="22">
        <f ca="1">IFERROR(__xludf.DUMMYFUNCTION("""COMPUTED_VALUE"""),0)</f>
        <v>0</v>
      </c>
      <c r="H387" s="7">
        <f ca="1">IFERROR(__xludf.DUMMYFUNCTION("""COMPUTED_VALUE"""),500000)</f>
        <v>500000</v>
      </c>
    </row>
    <row r="388" spans="1:8" ht="13" x14ac:dyDescent="0.15">
      <c r="A388" s="5" t="str">
        <f ca="1">IFERROR(__xludf.DUMMYFUNCTION("""COMPUTED_VALUE"""),"34857")</f>
        <v>34857</v>
      </c>
      <c r="B388" s="51">
        <f ca="1">IFERROR(__xludf.DUMMYFUNCTION("""COMPUTED_VALUE"""),44613)</f>
        <v>44613</v>
      </c>
      <c r="C388" s="22">
        <f ca="1">IFERROR(__xludf.DUMMYFUNCTION("""COMPUTED_VALUE"""),500000)</f>
        <v>500000</v>
      </c>
      <c r="D388" s="22">
        <f ca="1">IFERROR(__xludf.DUMMYFUNCTION("""COMPUTED_VALUE"""),0)</f>
        <v>0</v>
      </c>
      <c r="E388" s="22">
        <f ca="1">IFERROR(__xludf.DUMMYFUNCTION("""COMPUTED_VALUE"""),500000)</f>
        <v>500000</v>
      </c>
      <c r="F388" s="22">
        <f ca="1">IFERROR(__xludf.DUMMYFUNCTION("""COMPUTED_VALUE"""),500000)</f>
        <v>500000</v>
      </c>
      <c r="G388" s="22">
        <f ca="1">IFERROR(__xludf.DUMMYFUNCTION("""COMPUTED_VALUE"""),0)</f>
        <v>0</v>
      </c>
      <c r="H388" s="7">
        <f ca="1">IFERROR(__xludf.DUMMYFUNCTION("""COMPUTED_VALUE"""),500000)</f>
        <v>500000</v>
      </c>
    </row>
    <row r="389" spans="1:8" ht="13" x14ac:dyDescent="0.15">
      <c r="A389" s="5" t="str">
        <f ca="1">IFERROR(__xludf.DUMMYFUNCTION("""COMPUTED_VALUE"""),"34857")</f>
        <v>34857</v>
      </c>
      <c r="B389" s="51">
        <f ca="1">IFERROR(__xludf.DUMMYFUNCTION("""COMPUTED_VALUE"""),44614)</f>
        <v>44614</v>
      </c>
      <c r="C389" s="22">
        <f ca="1">IFERROR(__xludf.DUMMYFUNCTION("""COMPUTED_VALUE"""),500000)</f>
        <v>500000</v>
      </c>
      <c r="D389" s="22">
        <f ca="1">IFERROR(__xludf.DUMMYFUNCTION("""COMPUTED_VALUE"""),0)</f>
        <v>0</v>
      </c>
      <c r="E389" s="22">
        <f ca="1">IFERROR(__xludf.DUMMYFUNCTION("""COMPUTED_VALUE"""),500000)</f>
        <v>500000</v>
      </c>
      <c r="F389" s="22">
        <f ca="1">IFERROR(__xludf.DUMMYFUNCTION("""COMPUTED_VALUE"""),500000)</f>
        <v>500000</v>
      </c>
      <c r="G389" s="22">
        <f ca="1">IFERROR(__xludf.DUMMYFUNCTION("""COMPUTED_VALUE"""),0)</f>
        <v>0</v>
      </c>
      <c r="H389" s="7">
        <f ca="1">IFERROR(__xludf.DUMMYFUNCTION("""COMPUTED_VALUE"""),500000)</f>
        <v>500000</v>
      </c>
    </row>
    <row r="390" spans="1:8" ht="13" x14ac:dyDescent="0.15">
      <c r="A390" s="5" t="str">
        <f ca="1">IFERROR(__xludf.DUMMYFUNCTION("""COMPUTED_VALUE"""),"34857")</f>
        <v>34857</v>
      </c>
      <c r="B390" s="51">
        <f ca="1">IFERROR(__xludf.DUMMYFUNCTION("""COMPUTED_VALUE"""),44615)</f>
        <v>44615</v>
      </c>
      <c r="C390" s="22">
        <f ca="1">IFERROR(__xludf.DUMMYFUNCTION("""COMPUTED_VALUE"""),500000)</f>
        <v>500000</v>
      </c>
      <c r="D390" s="22">
        <f ca="1">IFERROR(__xludf.DUMMYFUNCTION("""COMPUTED_VALUE"""),0)</f>
        <v>0</v>
      </c>
      <c r="E390" s="22">
        <f ca="1">IFERROR(__xludf.DUMMYFUNCTION("""COMPUTED_VALUE"""),500000)</f>
        <v>500000</v>
      </c>
      <c r="F390" s="22">
        <f ca="1">IFERROR(__xludf.DUMMYFUNCTION("""COMPUTED_VALUE"""),500000)</f>
        <v>500000</v>
      </c>
      <c r="G390" s="22">
        <f ca="1">IFERROR(__xludf.DUMMYFUNCTION("""COMPUTED_VALUE"""),0)</f>
        <v>0</v>
      </c>
      <c r="H390" s="7">
        <f ca="1">IFERROR(__xludf.DUMMYFUNCTION("""COMPUTED_VALUE"""),500000)</f>
        <v>500000</v>
      </c>
    </row>
    <row r="391" spans="1:8" ht="13" x14ac:dyDescent="0.15">
      <c r="A391" s="5" t="str">
        <f ca="1">IFERROR(__xludf.DUMMYFUNCTION("""COMPUTED_VALUE"""),"34857")</f>
        <v>34857</v>
      </c>
      <c r="B391" s="51">
        <f ca="1">IFERROR(__xludf.DUMMYFUNCTION("""COMPUTED_VALUE"""),44616)</f>
        <v>44616</v>
      </c>
      <c r="C391" s="22">
        <f ca="1">IFERROR(__xludf.DUMMYFUNCTION("""COMPUTED_VALUE"""),500000)</f>
        <v>500000</v>
      </c>
      <c r="D391" s="22">
        <f ca="1">IFERROR(__xludf.DUMMYFUNCTION("""COMPUTED_VALUE"""),0)</f>
        <v>0</v>
      </c>
      <c r="E391" s="22">
        <f ca="1">IFERROR(__xludf.DUMMYFUNCTION("""COMPUTED_VALUE"""),500000)</f>
        <v>500000</v>
      </c>
      <c r="F391" s="22">
        <f ca="1">IFERROR(__xludf.DUMMYFUNCTION("""COMPUTED_VALUE"""),500000)</f>
        <v>500000</v>
      </c>
      <c r="G391" s="22">
        <f ca="1">IFERROR(__xludf.DUMMYFUNCTION("""COMPUTED_VALUE"""),0)</f>
        <v>0</v>
      </c>
      <c r="H391" s="7">
        <f ca="1">IFERROR(__xludf.DUMMYFUNCTION("""COMPUTED_VALUE"""),500000)</f>
        <v>500000</v>
      </c>
    </row>
    <row r="392" spans="1:8" ht="13" x14ac:dyDescent="0.15">
      <c r="A392" s="5" t="str">
        <f ca="1">IFERROR(__xludf.DUMMYFUNCTION("""COMPUTED_VALUE"""),"34857")</f>
        <v>34857</v>
      </c>
      <c r="B392" s="51">
        <f ca="1">IFERROR(__xludf.DUMMYFUNCTION("""COMPUTED_VALUE"""),44617)</f>
        <v>44617</v>
      </c>
      <c r="C392" s="22">
        <f ca="1">IFERROR(__xludf.DUMMYFUNCTION("""COMPUTED_VALUE"""),500000)</f>
        <v>500000</v>
      </c>
      <c r="D392" s="22">
        <f ca="1">IFERROR(__xludf.DUMMYFUNCTION("""COMPUTED_VALUE"""),0)</f>
        <v>0</v>
      </c>
      <c r="E392" s="22">
        <f ca="1">IFERROR(__xludf.DUMMYFUNCTION("""COMPUTED_VALUE"""),500000)</f>
        <v>500000</v>
      </c>
      <c r="F392" s="22">
        <f ca="1">IFERROR(__xludf.DUMMYFUNCTION("""COMPUTED_VALUE"""),500000)</f>
        <v>500000</v>
      </c>
      <c r="G392" s="22">
        <f ca="1">IFERROR(__xludf.DUMMYFUNCTION("""COMPUTED_VALUE"""),0)</f>
        <v>0</v>
      </c>
      <c r="H392" s="7">
        <f ca="1">IFERROR(__xludf.DUMMYFUNCTION("""COMPUTED_VALUE"""),500000)</f>
        <v>500000</v>
      </c>
    </row>
    <row r="393" spans="1:8" ht="13" x14ac:dyDescent="0.15">
      <c r="A393" s="5" t="str">
        <f ca="1">IFERROR(__xludf.DUMMYFUNCTION("""COMPUTED_VALUE"""),"34857")</f>
        <v>34857</v>
      </c>
      <c r="B393" s="51">
        <f ca="1">IFERROR(__xludf.DUMMYFUNCTION("""COMPUTED_VALUE"""),44618)</f>
        <v>44618</v>
      </c>
      <c r="C393" s="22">
        <f ca="1">IFERROR(__xludf.DUMMYFUNCTION("""COMPUTED_VALUE"""),500000)</f>
        <v>500000</v>
      </c>
      <c r="D393" s="22">
        <f ca="1">IFERROR(__xludf.DUMMYFUNCTION("""COMPUTED_VALUE"""),0)</f>
        <v>0</v>
      </c>
      <c r="E393" s="22">
        <f ca="1">IFERROR(__xludf.DUMMYFUNCTION("""COMPUTED_VALUE"""),500000)</f>
        <v>500000</v>
      </c>
      <c r="F393" s="22">
        <f ca="1">IFERROR(__xludf.DUMMYFUNCTION("""COMPUTED_VALUE"""),500000)</f>
        <v>500000</v>
      </c>
      <c r="G393" s="22">
        <f ca="1">IFERROR(__xludf.DUMMYFUNCTION("""COMPUTED_VALUE"""),0)</f>
        <v>0</v>
      </c>
      <c r="H393" s="7">
        <f ca="1">IFERROR(__xludf.DUMMYFUNCTION("""COMPUTED_VALUE"""),500000)</f>
        <v>500000</v>
      </c>
    </row>
    <row r="394" spans="1:8" ht="13" x14ac:dyDescent="0.15">
      <c r="A394" s="5" t="str">
        <f ca="1">IFERROR(__xludf.DUMMYFUNCTION("""COMPUTED_VALUE"""),"34857")</f>
        <v>34857</v>
      </c>
      <c r="B394" s="51">
        <f ca="1">IFERROR(__xludf.DUMMYFUNCTION("""COMPUTED_VALUE"""),44619)</f>
        <v>44619</v>
      </c>
      <c r="C394" s="22">
        <f ca="1">IFERROR(__xludf.DUMMYFUNCTION("""COMPUTED_VALUE"""),500000)</f>
        <v>500000</v>
      </c>
      <c r="D394" s="22">
        <f ca="1">IFERROR(__xludf.DUMMYFUNCTION("""COMPUTED_VALUE"""),0)</f>
        <v>0</v>
      </c>
      <c r="E394" s="22">
        <f ca="1">IFERROR(__xludf.DUMMYFUNCTION("""COMPUTED_VALUE"""),500000)</f>
        <v>500000</v>
      </c>
      <c r="F394" s="22">
        <f ca="1">IFERROR(__xludf.DUMMYFUNCTION("""COMPUTED_VALUE"""),500000)</f>
        <v>500000</v>
      </c>
      <c r="G394" s="22">
        <f ca="1">IFERROR(__xludf.DUMMYFUNCTION("""COMPUTED_VALUE"""),0)</f>
        <v>0</v>
      </c>
      <c r="H394" s="7">
        <f ca="1">IFERROR(__xludf.DUMMYFUNCTION("""COMPUTED_VALUE"""),500000)</f>
        <v>500000</v>
      </c>
    </row>
    <row r="395" spans="1:8" ht="13" x14ac:dyDescent="0.15">
      <c r="A395" s="5" t="str">
        <f ca="1">IFERROR(__xludf.DUMMYFUNCTION("""COMPUTED_VALUE"""),"34857")</f>
        <v>34857</v>
      </c>
      <c r="B395" s="51">
        <f ca="1">IFERROR(__xludf.DUMMYFUNCTION("""COMPUTED_VALUE"""),44620)</f>
        <v>44620</v>
      </c>
      <c r="C395" s="22">
        <f ca="1">IFERROR(__xludf.DUMMYFUNCTION("""COMPUTED_VALUE"""),500000)</f>
        <v>500000</v>
      </c>
      <c r="D395" s="22">
        <f ca="1">IFERROR(__xludf.DUMMYFUNCTION("""COMPUTED_VALUE"""),0)</f>
        <v>0</v>
      </c>
      <c r="E395" s="22">
        <f ca="1">IFERROR(__xludf.DUMMYFUNCTION("""COMPUTED_VALUE"""),500000)</f>
        <v>500000</v>
      </c>
      <c r="F395" s="22">
        <f ca="1">IFERROR(__xludf.DUMMYFUNCTION("""COMPUTED_VALUE"""),500000)</f>
        <v>500000</v>
      </c>
      <c r="G395" s="22">
        <f ca="1">IFERROR(__xludf.DUMMYFUNCTION("""COMPUTED_VALUE"""),0)</f>
        <v>0</v>
      </c>
      <c r="H395" s="7">
        <f ca="1">IFERROR(__xludf.DUMMYFUNCTION("""COMPUTED_VALUE"""),500000)</f>
        <v>500000</v>
      </c>
    </row>
    <row r="396" spans="1:8" ht="13" x14ac:dyDescent="0.15">
      <c r="A396" s="5" t="str">
        <f ca="1">IFERROR(__xludf.DUMMYFUNCTION("""COMPUTED_VALUE"""),"34857")</f>
        <v>34857</v>
      </c>
      <c r="B396" s="51">
        <f ca="1">IFERROR(__xludf.DUMMYFUNCTION("""COMPUTED_VALUE"""),44621)</f>
        <v>44621</v>
      </c>
      <c r="C396" s="22">
        <f ca="1">IFERROR(__xludf.DUMMYFUNCTION("""COMPUTED_VALUE"""),500000)</f>
        <v>500000</v>
      </c>
      <c r="D396" s="22">
        <f ca="1">IFERROR(__xludf.DUMMYFUNCTION("""COMPUTED_VALUE"""),0)</f>
        <v>0</v>
      </c>
      <c r="E396" s="22">
        <f ca="1">IFERROR(__xludf.DUMMYFUNCTION("""COMPUTED_VALUE"""),500000)</f>
        <v>500000</v>
      </c>
      <c r="F396" s="22">
        <f ca="1">IFERROR(__xludf.DUMMYFUNCTION("""COMPUTED_VALUE"""),500000)</f>
        <v>500000</v>
      </c>
      <c r="G396" s="22">
        <f ca="1">IFERROR(__xludf.DUMMYFUNCTION("""COMPUTED_VALUE"""),0)</f>
        <v>0</v>
      </c>
      <c r="H396" s="7">
        <f ca="1">IFERROR(__xludf.DUMMYFUNCTION("""COMPUTED_VALUE"""),500000)</f>
        <v>500000</v>
      </c>
    </row>
    <row r="397" spans="1:8" ht="13" x14ac:dyDescent="0.15">
      <c r="A397" s="5" t="str">
        <f ca="1">IFERROR(__xludf.DUMMYFUNCTION("""COMPUTED_VALUE"""),"34857")</f>
        <v>34857</v>
      </c>
      <c r="B397" s="51">
        <f ca="1">IFERROR(__xludf.DUMMYFUNCTION("""COMPUTED_VALUE"""),44622)</f>
        <v>44622</v>
      </c>
      <c r="C397" s="22">
        <f ca="1">IFERROR(__xludf.DUMMYFUNCTION("""COMPUTED_VALUE"""),500000)</f>
        <v>500000</v>
      </c>
      <c r="D397" s="22">
        <f ca="1">IFERROR(__xludf.DUMMYFUNCTION("""COMPUTED_VALUE"""),0)</f>
        <v>0</v>
      </c>
      <c r="E397" s="22">
        <f ca="1">IFERROR(__xludf.DUMMYFUNCTION("""COMPUTED_VALUE"""),500000)</f>
        <v>500000</v>
      </c>
      <c r="F397" s="22">
        <f ca="1">IFERROR(__xludf.DUMMYFUNCTION("""COMPUTED_VALUE"""),500000)</f>
        <v>500000</v>
      </c>
      <c r="G397" s="22">
        <f ca="1">IFERROR(__xludf.DUMMYFUNCTION("""COMPUTED_VALUE"""),0)</f>
        <v>0</v>
      </c>
      <c r="H397" s="7">
        <f ca="1">IFERROR(__xludf.DUMMYFUNCTION("""COMPUTED_VALUE"""),500000)</f>
        <v>500000</v>
      </c>
    </row>
    <row r="398" spans="1:8" ht="13" x14ac:dyDescent="0.15">
      <c r="A398" s="5" t="str">
        <f ca="1">IFERROR(__xludf.DUMMYFUNCTION("""COMPUTED_VALUE"""),"34857")</f>
        <v>34857</v>
      </c>
      <c r="B398" s="51">
        <f ca="1">IFERROR(__xludf.DUMMYFUNCTION("""COMPUTED_VALUE"""),44623)</f>
        <v>44623</v>
      </c>
      <c r="C398" s="22">
        <f ca="1">IFERROR(__xludf.DUMMYFUNCTION("""COMPUTED_VALUE"""),500000)</f>
        <v>500000</v>
      </c>
      <c r="D398" s="22">
        <f ca="1">IFERROR(__xludf.DUMMYFUNCTION("""COMPUTED_VALUE"""),0)</f>
        <v>0</v>
      </c>
      <c r="E398" s="22">
        <f ca="1">IFERROR(__xludf.DUMMYFUNCTION("""COMPUTED_VALUE"""),500000)</f>
        <v>500000</v>
      </c>
      <c r="F398" s="22">
        <f ca="1">IFERROR(__xludf.DUMMYFUNCTION("""COMPUTED_VALUE"""),500000)</f>
        <v>500000</v>
      </c>
      <c r="G398" s="22">
        <f ca="1">IFERROR(__xludf.DUMMYFUNCTION("""COMPUTED_VALUE"""),0)</f>
        <v>0</v>
      </c>
      <c r="H398" s="7">
        <f ca="1">IFERROR(__xludf.DUMMYFUNCTION("""COMPUTED_VALUE"""),500000)</f>
        <v>500000</v>
      </c>
    </row>
    <row r="399" spans="1:8" ht="13" x14ac:dyDescent="0.15">
      <c r="A399" s="5" t="str">
        <f ca="1">IFERROR(__xludf.DUMMYFUNCTION("""COMPUTED_VALUE"""),"34857")</f>
        <v>34857</v>
      </c>
      <c r="B399" s="51">
        <f ca="1">IFERROR(__xludf.DUMMYFUNCTION("""COMPUTED_VALUE"""),44624)</f>
        <v>44624</v>
      </c>
      <c r="C399" s="22">
        <f ca="1">IFERROR(__xludf.DUMMYFUNCTION("""COMPUTED_VALUE"""),500000)</f>
        <v>500000</v>
      </c>
      <c r="D399" s="22">
        <f ca="1">IFERROR(__xludf.DUMMYFUNCTION("""COMPUTED_VALUE"""),0)</f>
        <v>0</v>
      </c>
      <c r="E399" s="22">
        <f ca="1">IFERROR(__xludf.DUMMYFUNCTION("""COMPUTED_VALUE"""),500000)</f>
        <v>500000</v>
      </c>
      <c r="F399" s="22">
        <f ca="1">IFERROR(__xludf.DUMMYFUNCTION("""COMPUTED_VALUE"""),500000)</f>
        <v>500000</v>
      </c>
      <c r="G399" s="22">
        <f ca="1">IFERROR(__xludf.DUMMYFUNCTION("""COMPUTED_VALUE"""),0)</f>
        <v>0</v>
      </c>
      <c r="H399" s="7">
        <f ca="1">IFERROR(__xludf.DUMMYFUNCTION("""COMPUTED_VALUE"""),500000)</f>
        <v>500000</v>
      </c>
    </row>
    <row r="400" spans="1:8" ht="13" x14ac:dyDescent="0.15">
      <c r="A400" s="5" t="str">
        <f ca="1">IFERROR(__xludf.DUMMYFUNCTION("""COMPUTED_VALUE"""),"34857")</f>
        <v>34857</v>
      </c>
      <c r="B400" s="51">
        <f ca="1">IFERROR(__xludf.DUMMYFUNCTION("""COMPUTED_VALUE"""),44625)</f>
        <v>44625</v>
      </c>
      <c r="C400" s="22">
        <f ca="1">IFERROR(__xludf.DUMMYFUNCTION("""COMPUTED_VALUE"""),500000)</f>
        <v>500000</v>
      </c>
      <c r="D400" s="22">
        <f ca="1">IFERROR(__xludf.DUMMYFUNCTION("""COMPUTED_VALUE"""),0)</f>
        <v>0</v>
      </c>
      <c r="E400" s="22">
        <f ca="1">IFERROR(__xludf.DUMMYFUNCTION("""COMPUTED_VALUE"""),500000)</f>
        <v>500000</v>
      </c>
      <c r="F400" s="22">
        <f ca="1">IFERROR(__xludf.DUMMYFUNCTION("""COMPUTED_VALUE"""),500000)</f>
        <v>500000</v>
      </c>
      <c r="G400" s="22">
        <f ca="1">IFERROR(__xludf.DUMMYFUNCTION("""COMPUTED_VALUE"""),0)</f>
        <v>0</v>
      </c>
      <c r="H400" s="7">
        <f ca="1">IFERROR(__xludf.DUMMYFUNCTION("""COMPUTED_VALUE"""),500000)</f>
        <v>500000</v>
      </c>
    </row>
    <row r="401" spans="1:8" ht="13" x14ac:dyDescent="0.15">
      <c r="A401" s="5" t="str">
        <f ca="1">IFERROR(__xludf.DUMMYFUNCTION("""COMPUTED_VALUE"""),"34857")</f>
        <v>34857</v>
      </c>
      <c r="B401" s="51">
        <f ca="1">IFERROR(__xludf.DUMMYFUNCTION("""COMPUTED_VALUE"""),44626)</f>
        <v>44626</v>
      </c>
      <c r="C401" s="22">
        <f ca="1">IFERROR(__xludf.DUMMYFUNCTION("""COMPUTED_VALUE"""),500000)</f>
        <v>500000</v>
      </c>
      <c r="D401" s="22">
        <f ca="1">IFERROR(__xludf.DUMMYFUNCTION("""COMPUTED_VALUE"""),0)</f>
        <v>0</v>
      </c>
      <c r="E401" s="22">
        <f ca="1">IFERROR(__xludf.DUMMYFUNCTION("""COMPUTED_VALUE"""),500000)</f>
        <v>500000</v>
      </c>
      <c r="F401" s="22">
        <f ca="1">IFERROR(__xludf.DUMMYFUNCTION("""COMPUTED_VALUE"""),500000)</f>
        <v>500000</v>
      </c>
      <c r="G401" s="22">
        <f ca="1">IFERROR(__xludf.DUMMYFUNCTION("""COMPUTED_VALUE"""),0)</f>
        <v>0</v>
      </c>
      <c r="H401" s="7">
        <f ca="1">IFERROR(__xludf.DUMMYFUNCTION("""COMPUTED_VALUE"""),500000)</f>
        <v>500000</v>
      </c>
    </row>
    <row r="402" spans="1:8" ht="13" x14ac:dyDescent="0.15">
      <c r="A402" s="5" t="str">
        <f ca="1">IFERROR(__xludf.DUMMYFUNCTION("""COMPUTED_VALUE"""),"34857")</f>
        <v>34857</v>
      </c>
      <c r="B402" s="51">
        <f ca="1">IFERROR(__xludf.DUMMYFUNCTION("""COMPUTED_VALUE"""),44627)</f>
        <v>44627</v>
      </c>
      <c r="C402" s="22">
        <f ca="1">IFERROR(__xludf.DUMMYFUNCTION("""COMPUTED_VALUE"""),500000)</f>
        <v>500000</v>
      </c>
      <c r="D402" s="22">
        <f ca="1">IFERROR(__xludf.DUMMYFUNCTION("""COMPUTED_VALUE"""),0)</f>
        <v>0</v>
      </c>
      <c r="E402" s="22">
        <f ca="1">IFERROR(__xludf.DUMMYFUNCTION("""COMPUTED_VALUE"""),500000)</f>
        <v>500000</v>
      </c>
      <c r="F402" s="22">
        <f ca="1">IFERROR(__xludf.DUMMYFUNCTION("""COMPUTED_VALUE"""),500000)</f>
        <v>500000</v>
      </c>
      <c r="G402" s="22">
        <f ca="1">IFERROR(__xludf.DUMMYFUNCTION("""COMPUTED_VALUE"""),0)</f>
        <v>0</v>
      </c>
      <c r="H402" s="7">
        <f ca="1">IFERROR(__xludf.DUMMYFUNCTION("""COMPUTED_VALUE"""),500000)</f>
        <v>500000</v>
      </c>
    </row>
    <row r="403" spans="1:8" ht="13" x14ac:dyDescent="0.15">
      <c r="A403" s="5" t="str">
        <f ca="1">IFERROR(__xludf.DUMMYFUNCTION("""COMPUTED_VALUE"""),"34857")</f>
        <v>34857</v>
      </c>
      <c r="B403" s="51">
        <f ca="1">IFERROR(__xludf.DUMMYFUNCTION("""COMPUTED_VALUE"""),44628)</f>
        <v>44628</v>
      </c>
      <c r="C403" s="22">
        <f ca="1">IFERROR(__xludf.DUMMYFUNCTION("""COMPUTED_VALUE"""),500000)</f>
        <v>500000</v>
      </c>
      <c r="D403" s="22">
        <f ca="1">IFERROR(__xludf.DUMMYFUNCTION("""COMPUTED_VALUE"""),0)</f>
        <v>0</v>
      </c>
      <c r="E403" s="22">
        <f ca="1">IFERROR(__xludf.DUMMYFUNCTION("""COMPUTED_VALUE"""),500000)</f>
        <v>500000</v>
      </c>
      <c r="F403" s="22">
        <f ca="1">IFERROR(__xludf.DUMMYFUNCTION("""COMPUTED_VALUE"""),500000)</f>
        <v>500000</v>
      </c>
      <c r="G403" s="22">
        <f ca="1">IFERROR(__xludf.DUMMYFUNCTION("""COMPUTED_VALUE"""),0)</f>
        <v>0</v>
      </c>
      <c r="H403" s="7">
        <f ca="1">IFERROR(__xludf.DUMMYFUNCTION("""COMPUTED_VALUE"""),500000)</f>
        <v>500000</v>
      </c>
    </row>
    <row r="404" spans="1:8" ht="13" x14ac:dyDescent="0.15">
      <c r="A404" s="5" t="str">
        <f ca="1">IFERROR(__xludf.DUMMYFUNCTION("""COMPUTED_VALUE"""),"34857")</f>
        <v>34857</v>
      </c>
      <c r="B404" s="51">
        <f ca="1">IFERROR(__xludf.DUMMYFUNCTION("""COMPUTED_VALUE"""),44629)</f>
        <v>44629</v>
      </c>
      <c r="C404" s="22">
        <f ca="1">IFERROR(__xludf.DUMMYFUNCTION("""COMPUTED_VALUE"""),500000)</f>
        <v>500000</v>
      </c>
      <c r="D404" s="22">
        <f ca="1">IFERROR(__xludf.DUMMYFUNCTION("""COMPUTED_VALUE"""),0)</f>
        <v>0</v>
      </c>
      <c r="E404" s="22">
        <f ca="1">IFERROR(__xludf.DUMMYFUNCTION("""COMPUTED_VALUE"""),500000)</f>
        <v>500000</v>
      </c>
      <c r="F404" s="22">
        <f ca="1">IFERROR(__xludf.DUMMYFUNCTION("""COMPUTED_VALUE"""),500000)</f>
        <v>500000</v>
      </c>
      <c r="G404" s="22">
        <f ca="1">IFERROR(__xludf.DUMMYFUNCTION("""COMPUTED_VALUE"""),0)</f>
        <v>0</v>
      </c>
      <c r="H404" s="7">
        <f ca="1">IFERROR(__xludf.DUMMYFUNCTION("""COMPUTED_VALUE"""),500000)</f>
        <v>500000</v>
      </c>
    </row>
    <row r="405" spans="1:8" ht="13" x14ac:dyDescent="0.15">
      <c r="A405" s="5" t="str">
        <f ca="1">IFERROR(__xludf.DUMMYFUNCTION("""COMPUTED_VALUE"""),"34857")</f>
        <v>34857</v>
      </c>
      <c r="B405" s="51">
        <f ca="1">IFERROR(__xludf.DUMMYFUNCTION("""COMPUTED_VALUE"""),44630)</f>
        <v>44630</v>
      </c>
      <c r="C405" s="22">
        <f ca="1">IFERROR(__xludf.DUMMYFUNCTION("""COMPUTED_VALUE"""),500000)</f>
        <v>500000</v>
      </c>
      <c r="D405" s="22">
        <f ca="1">IFERROR(__xludf.DUMMYFUNCTION("""COMPUTED_VALUE"""),0)</f>
        <v>0</v>
      </c>
      <c r="E405" s="22">
        <f ca="1">IFERROR(__xludf.DUMMYFUNCTION("""COMPUTED_VALUE"""),500000)</f>
        <v>500000</v>
      </c>
      <c r="F405" s="22">
        <f ca="1">IFERROR(__xludf.DUMMYFUNCTION("""COMPUTED_VALUE"""),500000)</f>
        <v>500000</v>
      </c>
      <c r="G405" s="22">
        <f ca="1">IFERROR(__xludf.DUMMYFUNCTION("""COMPUTED_VALUE"""),0)</f>
        <v>0</v>
      </c>
      <c r="H405" s="7">
        <f ca="1">IFERROR(__xludf.DUMMYFUNCTION("""COMPUTED_VALUE"""),500000)</f>
        <v>500000</v>
      </c>
    </row>
    <row r="406" spans="1:8" ht="13" x14ac:dyDescent="0.15">
      <c r="A406" s="5" t="str">
        <f ca="1">IFERROR(__xludf.DUMMYFUNCTION("""COMPUTED_VALUE"""),"34857")</f>
        <v>34857</v>
      </c>
      <c r="B406" s="51">
        <f ca="1">IFERROR(__xludf.DUMMYFUNCTION("""COMPUTED_VALUE"""),44631)</f>
        <v>44631</v>
      </c>
      <c r="C406" s="22">
        <f ca="1">IFERROR(__xludf.DUMMYFUNCTION("""COMPUTED_VALUE"""),500000)</f>
        <v>500000</v>
      </c>
      <c r="D406" s="22">
        <f ca="1">IFERROR(__xludf.DUMMYFUNCTION("""COMPUTED_VALUE"""),0)</f>
        <v>0</v>
      </c>
      <c r="E406" s="22">
        <f ca="1">IFERROR(__xludf.DUMMYFUNCTION("""COMPUTED_VALUE"""),500000)</f>
        <v>500000</v>
      </c>
      <c r="F406" s="22">
        <f ca="1">IFERROR(__xludf.DUMMYFUNCTION("""COMPUTED_VALUE"""),500000)</f>
        <v>500000</v>
      </c>
      <c r="G406" s="22">
        <f ca="1">IFERROR(__xludf.DUMMYFUNCTION("""COMPUTED_VALUE"""),0)</f>
        <v>0</v>
      </c>
      <c r="H406" s="7">
        <f ca="1">IFERROR(__xludf.DUMMYFUNCTION("""COMPUTED_VALUE"""),500000)</f>
        <v>500000</v>
      </c>
    </row>
    <row r="407" spans="1:8" ht="13" x14ac:dyDescent="0.15">
      <c r="A407" s="5" t="str">
        <f ca="1">IFERROR(__xludf.DUMMYFUNCTION("""COMPUTED_VALUE"""),"34857")</f>
        <v>34857</v>
      </c>
      <c r="B407" s="51">
        <f ca="1">IFERROR(__xludf.DUMMYFUNCTION("""COMPUTED_VALUE"""),44632)</f>
        <v>44632</v>
      </c>
      <c r="C407" s="22">
        <f ca="1">IFERROR(__xludf.DUMMYFUNCTION("""COMPUTED_VALUE"""),500000)</f>
        <v>500000</v>
      </c>
      <c r="D407" s="22">
        <f ca="1">IFERROR(__xludf.DUMMYFUNCTION("""COMPUTED_VALUE"""),0)</f>
        <v>0</v>
      </c>
      <c r="E407" s="22">
        <f ca="1">IFERROR(__xludf.DUMMYFUNCTION("""COMPUTED_VALUE"""),500000)</f>
        <v>500000</v>
      </c>
      <c r="F407" s="22">
        <f ca="1">IFERROR(__xludf.DUMMYFUNCTION("""COMPUTED_VALUE"""),500000)</f>
        <v>500000</v>
      </c>
      <c r="G407" s="22">
        <f ca="1">IFERROR(__xludf.DUMMYFUNCTION("""COMPUTED_VALUE"""),0)</f>
        <v>0</v>
      </c>
      <c r="H407" s="7">
        <f ca="1">IFERROR(__xludf.DUMMYFUNCTION("""COMPUTED_VALUE"""),500000)</f>
        <v>500000</v>
      </c>
    </row>
    <row r="408" spans="1:8" ht="13" x14ac:dyDescent="0.15">
      <c r="A408" s="5" t="str">
        <f ca="1">IFERROR(__xludf.DUMMYFUNCTION("""COMPUTED_VALUE"""),"34857")</f>
        <v>34857</v>
      </c>
      <c r="B408" s="51">
        <f ca="1">IFERROR(__xludf.DUMMYFUNCTION("""COMPUTED_VALUE"""),44633)</f>
        <v>44633</v>
      </c>
      <c r="C408" s="22">
        <f ca="1">IFERROR(__xludf.DUMMYFUNCTION("""COMPUTED_VALUE"""),500000)</f>
        <v>500000</v>
      </c>
      <c r="D408" s="22">
        <f ca="1">IFERROR(__xludf.DUMMYFUNCTION("""COMPUTED_VALUE"""),0)</f>
        <v>0</v>
      </c>
      <c r="E408" s="22">
        <f ca="1">IFERROR(__xludf.DUMMYFUNCTION("""COMPUTED_VALUE"""),500000)</f>
        <v>500000</v>
      </c>
      <c r="F408" s="22">
        <f ca="1">IFERROR(__xludf.DUMMYFUNCTION("""COMPUTED_VALUE"""),500000)</f>
        <v>500000</v>
      </c>
      <c r="G408" s="22">
        <f ca="1">IFERROR(__xludf.DUMMYFUNCTION("""COMPUTED_VALUE"""),0)</f>
        <v>0</v>
      </c>
      <c r="H408" s="7">
        <f ca="1">IFERROR(__xludf.DUMMYFUNCTION("""COMPUTED_VALUE"""),500000)</f>
        <v>500000</v>
      </c>
    </row>
    <row r="409" spans="1:8" ht="13" x14ac:dyDescent="0.15">
      <c r="A409" s="5" t="str">
        <f ca="1">IFERROR(__xludf.DUMMYFUNCTION("""COMPUTED_VALUE"""),"34857")</f>
        <v>34857</v>
      </c>
      <c r="B409" s="51">
        <f ca="1">IFERROR(__xludf.DUMMYFUNCTION("""COMPUTED_VALUE"""),44634)</f>
        <v>44634</v>
      </c>
      <c r="C409" s="22">
        <f ca="1">IFERROR(__xludf.DUMMYFUNCTION("""COMPUTED_VALUE"""),500000)</f>
        <v>500000</v>
      </c>
      <c r="D409" s="22">
        <f ca="1">IFERROR(__xludf.DUMMYFUNCTION("""COMPUTED_VALUE"""),0)</f>
        <v>0</v>
      </c>
      <c r="E409" s="22">
        <f ca="1">IFERROR(__xludf.DUMMYFUNCTION("""COMPUTED_VALUE"""),500000)</f>
        <v>500000</v>
      </c>
      <c r="F409" s="22">
        <f ca="1">IFERROR(__xludf.DUMMYFUNCTION("""COMPUTED_VALUE"""),500000)</f>
        <v>500000</v>
      </c>
      <c r="G409" s="22">
        <f ca="1">IFERROR(__xludf.DUMMYFUNCTION("""COMPUTED_VALUE"""),0)</f>
        <v>0</v>
      </c>
      <c r="H409" s="7">
        <f ca="1">IFERROR(__xludf.DUMMYFUNCTION("""COMPUTED_VALUE"""),500000)</f>
        <v>500000</v>
      </c>
    </row>
    <row r="410" spans="1:8" ht="13" x14ac:dyDescent="0.15">
      <c r="A410" s="5" t="str">
        <f ca="1">IFERROR(__xludf.DUMMYFUNCTION("""COMPUTED_VALUE"""),"34857")</f>
        <v>34857</v>
      </c>
      <c r="B410" s="51">
        <f ca="1">IFERROR(__xludf.DUMMYFUNCTION("""COMPUTED_VALUE"""),44635)</f>
        <v>44635</v>
      </c>
      <c r="C410" s="22">
        <f ca="1">IFERROR(__xludf.DUMMYFUNCTION("""COMPUTED_VALUE"""),500000)</f>
        <v>500000</v>
      </c>
      <c r="D410" s="22">
        <f ca="1">IFERROR(__xludf.DUMMYFUNCTION("""COMPUTED_VALUE"""),0)</f>
        <v>0</v>
      </c>
      <c r="E410" s="22">
        <f ca="1">IFERROR(__xludf.DUMMYFUNCTION("""COMPUTED_VALUE"""),500000)</f>
        <v>500000</v>
      </c>
      <c r="F410" s="22">
        <f ca="1">IFERROR(__xludf.DUMMYFUNCTION("""COMPUTED_VALUE"""),500000)</f>
        <v>500000</v>
      </c>
      <c r="G410" s="22">
        <f ca="1">IFERROR(__xludf.DUMMYFUNCTION("""COMPUTED_VALUE"""),0)</f>
        <v>0</v>
      </c>
      <c r="H410" s="7">
        <f ca="1">IFERROR(__xludf.DUMMYFUNCTION("""COMPUTED_VALUE"""),500000)</f>
        <v>500000</v>
      </c>
    </row>
    <row r="411" spans="1:8" ht="13" x14ac:dyDescent="0.15">
      <c r="A411" s="5" t="str">
        <f ca="1">IFERROR(__xludf.DUMMYFUNCTION("""COMPUTED_VALUE"""),"34857")</f>
        <v>34857</v>
      </c>
      <c r="B411" s="51">
        <f ca="1">IFERROR(__xludf.DUMMYFUNCTION("""COMPUTED_VALUE"""),44636)</f>
        <v>44636</v>
      </c>
      <c r="C411" s="22">
        <f ca="1">IFERROR(__xludf.DUMMYFUNCTION("""COMPUTED_VALUE"""),500000)</f>
        <v>500000</v>
      </c>
      <c r="D411" s="22">
        <f ca="1">IFERROR(__xludf.DUMMYFUNCTION("""COMPUTED_VALUE"""),0)</f>
        <v>0</v>
      </c>
      <c r="E411" s="22">
        <f ca="1">IFERROR(__xludf.DUMMYFUNCTION("""COMPUTED_VALUE"""),500000)</f>
        <v>500000</v>
      </c>
      <c r="F411" s="22">
        <f ca="1">IFERROR(__xludf.DUMMYFUNCTION("""COMPUTED_VALUE"""),500000)</f>
        <v>500000</v>
      </c>
      <c r="G411" s="22">
        <f ca="1">IFERROR(__xludf.DUMMYFUNCTION("""COMPUTED_VALUE"""),0)</f>
        <v>0</v>
      </c>
      <c r="H411" s="7">
        <f ca="1">IFERROR(__xludf.DUMMYFUNCTION("""COMPUTED_VALUE"""),500000)</f>
        <v>500000</v>
      </c>
    </row>
    <row r="412" spans="1:8" ht="13" x14ac:dyDescent="0.15">
      <c r="A412" s="5" t="str">
        <f ca="1">IFERROR(__xludf.DUMMYFUNCTION("""COMPUTED_VALUE"""),"34857")</f>
        <v>34857</v>
      </c>
      <c r="B412" s="51">
        <f ca="1">IFERROR(__xludf.DUMMYFUNCTION("""COMPUTED_VALUE"""),44637)</f>
        <v>44637</v>
      </c>
      <c r="C412" s="22">
        <f ca="1">IFERROR(__xludf.DUMMYFUNCTION("""COMPUTED_VALUE"""),500000)</f>
        <v>500000</v>
      </c>
      <c r="D412" s="22">
        <f ca="1">IFERROR(__xludf.DUMMYFUNCTION("""COMPUTED_VALUE"""),0)</f>
        <v>0</v>
      </c>
      <c r="E412" s="22">
        <f ca="1">IFERROR(__xludf.DUMMYFUNCTION("""COMPUTED_VALUE"""),500000)</f>
        <v>500000</v>
      </c>
      <c r="F412" s="22">
        <f ca="1">IFERROR(__xludf.DUMMYFUNCTION("""COMPUTED_VALUE"""),500000)</f>
        <v>500000</v>
      </c>
      <c r="G412" s="22">
        <f ca="1">IFERROR(__xludf.DUMMYFUNCTION("""COMPUTED_VALUE"""),0)</f>
        <v>0</v>
      </c>
      <c r="H412" s="7">
        <f ca="1">IFERROR(__xludf.DUMMYFUNCTION("""COMPUTED_VALUE"""),500000)</f>
        <v>500000</v>
      </c>
    </row>
    <row r="413" spans="1:8" ht="13" x14ac:dyDescent="0.15">
      <c r="A413" s="5" t="str">
        <f ca="1">IFERROR(__xludf.DUMMYFUNCTION("""COMPUTED_VALUE"""),"34857")</f>
        <v>34857</v>
      </c>
      <c r="B413" s="51">
        <f ca="1">IFERROR(__xludf.DUMMYFUNCTION("""COMPUTED_VALUE"""),44638)</f>
        <v>44638</v>
      </c>
      <c r="C413" s="22">
        <f ca="1">IFERROR(__xludf.DUMMYFUNCTION("""COMPUTED_VALUE"""),500000)</f>
        <v>500000</v>
      </c>
      <c r="D413" s="22">
        <f ca="1">IFERROR(__xludf.DUMMYFUNCTION("""COMPUTED_VALUE"""),0)</f>
        <v>0</v>
      </c>
      <c r="E413" s="22">
        <f ca="1">IFERROR(__xludf.DUMMYFUNCTION("""COMPUTED_VALUE"""),500000)</f>
        <v>500000</v>
      </c>
      <c r="F413" s="22">
        <f ca="1">IFERROR(__xludf.DUMMYFUNCTION("""COMPUTED_VALUE"""),500000)</f>
        <v>500000</v>
      </c>
      <c r="G413" s="22">
        <f ca="1">IFERROR(__xludf.DUMMYFUNCTION("""COMPUTED_VALUE"""),0)</f>
        <v>0</v>
      </c>
      <c r="H413" s="7">
        <f ca="1">IFERROR(__xludf.DUMMYFUNCTION("""COMPUTED_VALUE"""),500000)</f>
        <v>500000</v>
      </c>
    </row>
    <row r="414" spans="1:8" ht="13" x14ac:dyDescent="0.15">
      <c r="A414" s="5" t="str">
        <f ca="1">IFERROR(__xludf.DUMMYFUNCTION("""COMPUTED_VALUE"""),"34857")</f>
        <v>34857</v>
      </c>
      <c r="B414" s="51">
        <f ca="1">IFERROR(__xludf.DUMMYFUNCTION("""COMPUTED_VALUE"""),44639)</f>
        <v>44639</v>
      </c>
      <c r="C414" s="22">
        <f ca="1">IFERROR(__xludf.DUMMYFUNCTION("""COMPUTED_VALUE"""),500000)</f>
        <v>500000</v>
      </c>
      <c r="D414" s="22">
        <f ca="1">IFERROR(__xludf.DUMMYFUNCTION("""COMPUTED_VALUE"""),0)</f>
        <v>0</v>
      </c>
      <c r="E414" s="22">
        <f ca="1">IFERROR(__xludf.DUMMYFUNCTION("""COMPUTED_VALUE"""),500000)</f>
        <v>500000</v>
      </c>
      <c r="F414" s="22">
        <f ca="1">IFERROR(__xludf.DUMMYFUNCTION("""COMPUTED_VALUE"""),500000)</f>
        <v>500000</v>
      </c>
      <c r="G414" s="22">
        <f ca="1">IFERROR(__xludf.DUMMYFUNCTION("""COMPUTED_VALUE"""),0)</f>
        <v>0</v>
      </c>
      <c r="H414" s="7">
        <f ca="1">IFERROR(__xludf.DUMMYFUNCTION("""COMPUTED_VALUE"""),500000)</f>
        <v>500000</v>
      </c>
    </row>
    <row r="415" spans="1:8" ht="13" x14ac:dyDescent="0.15">
      <c r="A415" s="5" t="str">
        <f ca="1">IFERROR(__xludf.DUMMYFUNCTION("""COMPUTED_VALUE"""),"34857")</f>
        <v>34857</v>
      </c>
      <c r="B415" s="51">
        <f ca="1">IFERROR(__xludf.DUMMYFUNCTION("""COMPUTED_VALUE"""),44640)</f>
        <v>44640</v>
      </c>
      <c r="C415" s="22">
        <f ca="1">IFERROR(__xludf.DUMMYFUNCTION("""COMPUTED_VALUE"""),500000)</f>
        <v>500000</v>
      </c>
      <c r="D415" s="22">
        <f ca="1">IFERROR(__xludf.DUMMYFUNCTION("""COMPUTED_VALUE"""),0)</f>
        <v>0</v>
      </c>
      <c r="E415" s="22">
        <f ca="1">IFERROR(__xludf.DUMMYFUNCTION("""COMPUTED_VALUE"""),500000)</f>
        <v>500000</v>
      </c>
      <c r="F415" s="22">
        <f ca="1">IFERROR(__xludf.DUMMYFUNCTION("""COMPUTED_VALUE"""),500000)</f>
        <v>500000</v>
      </c>
      <c r="G415" s="22">
        <f ca="1">IFERROR(__xludf.DUMMYFUNCTION("""COMPUTED_VALUE"""),0)</f>
        <v>0</v>
      </c>
      <c r="H415" s="7">
        <f ca="1">IFERROR(__xludf.DUMMYFUNCTION("""COMPUTED_VALUE"""),500000)</f>
        <v>500000</v>
      </c>
    </row>
    <row r="416" spans="1:8" ht="13" x14ac:dyDescent="0.15">
      <c r="A416" s="5" t="str">
        <f ca="1">IFERROR(__xludf.DUMMYFUNCTION("""COMPUTED_VALUE"""),"34857")</f>
        <v>34857</v>
      </c>
      <c r="B416" s="51">
        <f ca="1">IFERROR(__xludf.DUMMYFUNCTION("""COMPUTED_VALUE"""),44641)</f>
        <v>44641</v>
      </c>
      <c r="C416" s="22">
        <f ca="1">IFERROR(__xludf.DUMMYFUNCTION("""COMPUTED_VALUE"""),500000)</f>
        <v>500000</v>
      </c>
      <c r="D416" s="22">
        <f ca="1">IFERROR(__xludf.DUMMYFUNCTION("""COMPUTED_VALUE"""),0)</f>
        <v>0</v>
      </c>
      <c r="E416" s="22">
        <f ca="1">IFERROR(__xludf.DUMMYFUNCTION("""COMPUTED_VALUE"""),500000)</f>
        <v>500000</v>
      </c>
      <c r="F416" s="22">
        <f ca="1">IFERROR(__xludf.DUMMYFUNCTION("""COMPUTED_VALUE"""),500000)</f>
        <v>500000</v>
      </c>
      <c r="G416" s="22">
        <f ca="1">IFERROR(__xludf.DUMMYFUNCTION("""COMPUTED_VALUE"""),0)</f>
        <v>0</v>
      </c>
      <c r="H416" s="7">
        <f ca="1">IFERROR(__xludf.DUMMYFUNCTION("""COMPUTED_VALUE"""),500000)</f>
        <v>500000</v>
      </c>
    </row>
    <row r="417" spans="1:8" ht="13" x14ac:dyDescent="0.15">
      <c r="A417" s="5" t="str">
        <f ca="1">IFERROR(__xludf.DUMMYFUNCTION("""COMPUTED_VALUE"""),"34857")</f>
        <v>34857</v>
      </c>
      <c r="B417" s="51">
        <f ca="1">IFERROR(__xludf.DUMMYFUNCTION("""COMPUTED_VALUE"""),44642)</f>
        <v>44642</v>
      </c>
      <c r="C417" s="22">
        <f ca="1">IFERROR(__xludf.DUMMYFUNCTION("""COMPUTED_VALUE"""),500000)</f>
        <v>500000</v>
      </c>
      <c r="D417" s="22">
        <f ca="1">IFERROR(__xludf.DUMMYFUNCTION("""COMPUTED_VALUE"""),0)</f>
        <v>0</v>
      </c>
      <c r="E417" s="22">
        <f ca="1">IFERROR(__xludf.DUMMYFUNCTION("""COMPUTED_VALUE"""),500000)</f>
        <v>500000</v>
      </c>
      <c r="F417" s="22">
        <f ca="1">IFERROR(__xludf.DUMMYFUNCTION("""COMPUTED_VALUE"""),500000)</f>
        <v>500000</v>
      </c>
      <c r="G417" s="22">
        <f ca="1">IFERROR(__xludf.DUMMYFUNCTION("""COMPUTED_VALUE"""),0)</f>
        <v>0</v>
      </c>
      <c r="H417" s="7">
        <f ca="1">IFERROR(__xludf.DUMMYFUNCTION("""COMPUTED_VALUE"""),500000)</f>
        <v>500000</v>
      </c>
    </row>
    <row r="418" spans="1:8" ht="13" x14ac:dyDescent="0.15">
      <c r="A418" s="5" t="str">
        <f ca="1">IFERROR(__xludf.DUMMYFUNCTION("""COMPUTED_VALUE"""),"35577")</f>
        <v>35577</v>
      </c>
      <c r="B418" s="51">
        <f ca="1">IFERROR(__xludf.DUMMYFUNCTION("""COMPUTED_VALUE"""),44597)</f>
        <v>44597</v>
      </c>
      <c r="C418" s="22">
        <f ca="1">IFERROR(__xludf.DUMMYFUNCTION("""COMPUTED_VALUE"""),500000)</f>
        <v>500000</v>
      </c>
      <c r="D418" s="22">
        <f ca="1">IFERROR(__xludf.DUMMYFUNCTION("""COMPUTED_VALUE"""),0)</f>
        <v>0</v>
      </c>
      <c r="E418" s="22">
        <f ca="1">IFERROR(__xludf.DUMMYFUNCTION("""COMPUTED_VALUE"""),500000)</f>
        <v>500000</v>
      </c>
      <c r="F418" s="22">
        <f ca="1">IFERROR(__xludf.DUMMYFUNCTION("""COMPUTED_VALUE"""),500000)</f>
        <v>500000</v>
      </c>
      <c r="G418" s="22">
        <f ca="1">IFERROR(__xludf.DUMMYFUNCTION("""COMPUTED_VALUE"""),0)</f>
        <v>0</v>
      </c>
      <c r="H418" s="7">
        <f ca="1">IFERROR(__xludf.DUMMYFUNCTION("""COMPUTED_VALUE"""),500000)</f>
        <v>500000</v>
      </c>
    </row>
    <row r="419" spans="1:8" ht="13" x14ac:dyDescent="0.15">
      <c r="A419" s="5" t="str">
        <f ca="1">IFERROR(__xludf.DUMMYFUNCTION("""COMPUTED_VALUE"""),"35577")</f>
        <v>35577</v>
      </c>
      <c r="B419" s="51">
        <f ca="1">IFERROR(__xludf.DUMMYFUNCTION("""COMPUTED_VALUE"""),44598)</f>
        <v>44598</v>
      </c>
      <c r="C419" s="22">
        <f ca="1">IFERROR(__xludf.DUMMYFUNCTION("""COMPUTED_VALUE"""),500000)</f>
        <v>500000</v>
      </c>
      <c r="D419" s="22">
        <f ca="1">IFERROR(__xludf.DUMMYFUNCTION("""COMPUTED_VALUE"""),0)</f>
        <v>0</v>
      </c>
      <c r="E419" s="22">
        <f ca="1">IFERROR(__xludf.DUMMYFUNCTION("""COMPUTED_VALUE"""),500000)</f>
        <v>500000</v>
      </c>
      <c r="F419" s="22">
        <f ca="1">IFERROR(__xludf.DUMMYFUNCTION("""COMPUTED_VALUE"""),500000)</f>
        <v>500000</v>
      </c>
      <c r="G419" s="22">
        <f ca="1">IFERROR(__xludf.DUMMYFUNCTION("""COMPUTED_VALUE"""),0)</f>
        <v>0</v>
      </c>
      <c r="H419" s="7">
        <f ca="1">IFERROR(__xludf.DUMMYFUNCTION("""COMPUTED_VALUE"""),500000)</f>
        <v>500000</v>
      </c>
    </row>
    <row r="420" spans="1:8" ht="13" x14ac:dyDescent="0.15">
      <c r="A420" s="5" t="str">
        <f ca="1">IFERROR(__xludf.DUMMYFUNCTION("""COMPUTED_VALUE"""),"35577")</f>
        <v>35577</v>
      </c>
      <c r="B420" s="51">
        <f ca="1">IFERROR(__xludf.DUMMYFUNCTION("""COMPUTED_VALUE"""),44599)</f>
        <v>44599</v>
      </c>
      <c r="C420" s="22">
        <f ca="1">IFERROR(__xludf.DUMMYFUNCTION("""COMPUTED_VALUE"""),500000)</f>
        <v>500000</v>
      </c>
      <c r="D420" s="22">
        <f ca="1">IFERROR(__xludf.DUMMYFUNCTION("""COMPUTED_VALUE"""),0)</f>
        <v>0</v>
      </c>
      <c r="E420" s="22">
        <f ca="1">IFERROR(__xludf.DUMMYFUNCTION("""COMPUTED_VALUE"""),500000)</f>
        <v>500000</v>
      </c>
      <c r="F420" s="22">
        <f ca="1">IFERROR(__xludf.DUMMYFUNCTION("""COMPUTED_VALUE"""),500000)</f>
        <v>500000</v>
      </c>
      <c r="G420" s="22">
        <f ca="1">IFERROR(__xludf.DUMMYFUNCTION("""COMPUTED_VALUE"""),0)</f>
        <v>0</v>
      </c>
      <c r="H420" s="7">
        <f ca="1">IFERROR(__xludf.DUMMYFUNCTION("""COMPUTED_VALUE"""),500000)</f>
        <v>500000</v>
      </c>
    </row>
    <row r="421" spans="1:8" ht="13" x14ac:dyDescent="0.15">
      <c r="A421" s="5" t="str">
        <f ca="1">IFERROR(__xludf.DUMMYFUNCTION("""COMPUTED_VALUE"""),"35577")</f>
        <v>35577</v>
      </c>
      <c r="B421" s="51">
        <f ca="1">IFERROR(__xludf.DUMMYFUNCTION("""COMPUTED_VALUE"""),44600)</f>
        <v>44600</v>
      </c>
      <c r="C421" s="22">
        <f ca="1">IFERROR(__xludf.DUMMYFUNCTION("""COMPUTED_VALUE"""),500000)</f>
        <v>500000</v>
      </c>
      <c r="D421" s="22">
        <f ca="1">IFERROR(__xludf.DUMMYFUNCTION("""COMPUTED_VALUE"""),0)</f>
        <v>0</v>
      </c>
      <c r="E421" s="22">
        <f ca="1">IFERROR(__xludf.DUMMYFUNCTION("""COMPUTED_VALUE"""),500000)</f>
        <v>500000</v>
      </c>
      <c r="F421" s="22">
        <f ca="1">IFERROR(__xludf.DUMMYFUNCTION("""COMPUTED_VALUE"""),500000)</f>
        <v>500000</v>
      </c>
      <c r="G421" s="22">
        <f ca="1">IFERROR(__xludf.DUMMYFUNCTION("""COMPUTED_VALUE"""),0)</f>
        <v>0</v>
      </c>
      <c r="H421" s="7">
        <f ca="1">IFERROR(__xludf.DUMMYFUNCTION("""COMPUTED_VALUE"""),500000)</f>
        <v>500000</v>
      </c>
    </row>
    <row r="422" spans="1:8" ht="13" x14ac:dyDescent="0.15">
      <c r="A422" s="5" t="str">
        <f ca="1">IFERROR(__xludf.DUMMYFUNCTION("""COMPUTED_VALUE"""),"35577")</f>
        <v>35577</v>
      </c>
      <c r="B422" s="51">
        <f ca="1">IFERROR(__xludf.DUMMYFUNCTION("""COMPUTED_VALUE"""),44601)</f>
        <v>44601</v>
      </c>
      <c r="C422" s="22">
        <f ca="1">IFERROR(__xludf.DUMMYFUNCTION("""COMPUTED_VALUE"""),500000)</f>
        <v>500000</v>
      </c>
      <c r="D422" s="22">
        <f ca="1">IFERROR(__xludf.DUMMYFUNCTION("""COMPUTED_VALUE"""),0)</f>
        <v>0</v>
      </c>
      <c r="E422" s="22">
        <f ca="1">IFERROR(__xludf.DUMMYFUNCTION("""COMPUTED_VALUE"""),500000)</f>
        <v>500000</v>
      </c>
      <c r="F422" s="22">
        <f ca="1">IFERROR(__xludf.DUMMYFUNCTION("""COMPUTED_VALUE"""),500000)</f>
        <v>500000</v>
      </c>
      <c r="G422" s="22">
        <f ca="1">IFERROR(__xludf.DUMMYFUNCTION("""COMPUTED_VALUE"""),0)</f>
        <v>0</v>
      </c>
      <c r="H422" s="7">
        <f ca="1">IFERROR(__xludf.DUMMYFUNCTION("""COMPUTED_VALUE"""),500000)</f>
        <v>500000</v>
      </c>
    </row>
    <row r="423" spans="1:8" ht="13" x14ac:dyDescent="0.15">
      <c r="A423" s="5" t="str">
        <f ca="1">IFERROR(__xludf.DUMMYFUNCTION("""COMPUTED_VALUE"""),"35577")</f>
        <v>35577</v>
      </c>
      <c r="B423" s="51">
        <f ca="1">IFERROR(__xludf.DUMMYFUNCTION("""COMPUTED_VALUE"""),44602)</f>
        <v>44602</v>
      </c>
      <c r="C423" s="22">
        <f ca="1">IFERROR(__xludf.DUMMYFUNCTION("""COMPUTED_VALUE"""),500000)</f>
        <v>500000</v>
      </c>
      <c r="D423" s="22">
        <f ca="1">IFERROR(__xludf.DUMMYFUNCTION("""COMPUTED_VALUE"""),0)</f>
        <v>0</v>
      </c>
      <c r="E423" s="22">
        <f ca="1">IFERROR(__xludf.DUMMYFUNCTION("""COMPUTED_VALUE"""),500000)</f>
        <v>500000</v>
      </c>
      <c r="F423" s="22">
        <f ca="1">IFERROR(__xludf.DUMMYFUNCTION("""COMPUTED_VALUE"""),500000)</f>
        <v>500000</v>
      </c>
      <c r="G423" s="22">
        <f ca="1">IFERROR(__xludf.DUMMYFUNCTION("""COMPUTED_VALUE"""),0)</f>
        <v>0</v>
      </c>
      <c r="H423" s="7">
        <f ca="1">IFERROR(__xludf.DUMMYFUNCTION("""COMPUTED_VALUE"""),500000)</f>
        <v>500000</v>
      </c>
    </row>
    <row r="424" spans="1:8" ht="13" x14ac:dyDescent="0.15">
      <c r="A424" s="5" t="str">
        <f ca="1">IFERROR(__xludf.DUMMYFUNCTION("""COMPUTED_VALUE"""),"35577")</f>
        <v>35577</v>
      </c>
      <c r="B424" s="51">
        <f ca="1">IFERROR(__xludf.DUMMYFUNCTION("""COMPUTED_VALUE"""),44603)</f>
        <v>44603</v>
      </c>
      <c r="C424" s="22">
        <f ca="1">IFERROR(__xludf.DUMMYFUNCTION("""COMPUTED_VALUE"""),500000)</f>
        <v>500000</v>
      </c>
      <c r="D424" s="22">
        <f ca="1">IFERROR(__xludf.DUMMYFUNCTION("""COMPUTED_VALUE"""),0)</f>
        <v>0</v>
      </c>
      <c r="E424" s="22">
        <f ca="1">IFERROR(__xludf.DUMMYFUNCTION("""COMPUTED_VALUE"""),500000)</f>
        <v>500000</v>
      </c>
      <c r="F424" s="22">
        <f ca="1">IFERROR(__xludf.DUMMYFUNCTION("""COMPUTED_VALUE"""),500000)</f>
        <v>500000</v>
      </c>
      <c r="G424" s="22">
        <f ca="1">IFERROR(__xludf.DUMMYFUNCTION("""COMPUTED_VALUE"""),0)</f>
        <v>0</v>
      </c>
      <c r="H424" s="7">
        <f ca="1">IFERROR(__xludf.DUMMYFUNCTION("""COMPUTED_VALUE"""),500000)</f>
        <v>500000</v>
      </c>
    </row>
    <row r="425" spans="1:8" ht="13" x14ac:dyDescent="0.15">
      <c r="A425" s="5" t="str">
        <f ca="1">IFERROR(__xludf.DUMMYFUNCTION("""COMPUTED_VALUE"""),"35577")</f>
        <v>35577</v>
      </c>
      <c r="B425" s="51">
        <f ca="1">IFERROR(__xludf.DUMMYFUNCTION("""COMPUTED_VALUE"""),44604)</f>
        <v>44604</v>
      </c>
      <c r="C425" s="22">
        <f ca="1">IFERROR(__xludf.DUMMYFUNCTION("""COMPUTED_VALUE"""),500000)</f>
        <v>500000</v>
      </c>
      <c r="D425" s="22">
        <f ca="1">IFERROR(__xludf.DUMMYFUNCTION("""COMPUTED_VALUE"""),0)</f>
        <v>0</v>
      </c>
      <c r="E425" s="22">
        <f ca="1">IFERROR(__xludf.DUMMYFUNCTION("""COMPUTED_VALUE"""),500000)</f>
        <v>500000</v>
      </c>
      <c r="F425" s="22">
        <f ca="1">IFERROR(__xludf.DUMMYFUNCTION("""COMPUTED_VALUE"""),500000)</f>
        <v>500000</v>
      </c>
      <c r="G425" s="22">
        <f ca="1">IFERROR(__xludf.DUMMYFUNCTION("""COMPUTED_VALUE"""),0)</f>
        <v>0</v>
      </c>
      <c r="H425" s="7">
        <f ca="1">IFERROR(__xludf.DUMMYFUNCTION("""COMPUTED_VALUE"""),500000)</f>
        <v>500000</v>
      </c>
    </row>
    <row r="426" spans="1:8" ht="13" x14ac:dyDescent="0.15">
      <c r="A426" s="5" t="str">
        <f ca="1">IFERROR(__xludf.DUMMYFUNCTION("""COMPUTED_VALUE"""),"35577")</f>
        <v>35577</v>
      </c>
      <c r="B426" s="51">
        <f ca="1">IFERROR(__xludf.DUMMYFUNCTION("""COMPUTED_VALUE"""),44605)</f>
        <v>44605</v>
      </c>
      <c r="C426" s="22">
        <f ca="1">IFERROR(__xludf.DUMMYFUNCTION("""COMPUTED_VALUE"""),500000)</f>
        <v>500000</v>
      </c>
      <c r="D426" s="22">
        <f ca="1">IFERROR(__xludf.DUMMYFUNCTION("""COMPUTED_VALUE"""),0)</f>
        <v>0</v>
      </c>
      <c r="E426" s="22">
        <f ca="1">IFERROR(__xludf.DUMMYFUNCTION("""COMPUTED_VALUE"""),500000)</f>
        <v>500000</v>
      </c>
      <c r="F426" s="22">
        <f ca="1">IFERROR(__xludf.DUMMYFUNCTION("""COMPUTED_VALUE"""),500000)</f>
        <v>500000</v>
      </c>
      <c r="G426" s="22">
        <f ca="1">IFERROR(__xludf.DUMMYFUNCTION("""COMPUTED_VALUE"""),0)</f>
        <v>0</v>
      </c>
      <c r="H426" s="7">
        <f ca="1">IFERROR(__xludf.DUMMYFUNCTION("""COMPUTED_VALUE"""),500000)</f>
        <v>500000</v>
      </c>
    </row>
    <row r="427" spans="1:8" ht="13" x14ac:dyDescent="0.15">
      <c r="A427" s="5" t="str">
        <f ca="1">IFERROR(__xludf.DUMMYFUNCTION("""COMPUTED_VALUE"""),"35577")</f>
        <v>35577</v>
      </c>
      <c r="B427" s="51">
        <f ca="1">IFERROR(__xludf.DUMMYFUNCTION("""COMPUTED_VALUE"""),44606)</f>
        <v>44606</v>
      </c>
      <c r="C427" s="22">
        <f ca="1">IFERROR(__xludf.DUMMYFUNCTION("""COMPUTED_VALUE"""),421113.49761)</f>
        <v>421113.49761000002</v>
      </c>
      <c r="D427" s="22">
        <f ca="1">IFERROR(__xludf.DUMMYFUNCTION("""COMPUTED_VALUE"""),78886.50239)</f>
        <v>78886.502389999994</v>
      </c>
      <c r="E427" s="22">
        <f ca="1">IFERROR(__xludf.DUMMYFUNCTION("""COMPUTED_VALUE"""),500000)</f>
        <v>500000</v>
      </c>
      <c r="F427" s="22">
        <f ca="1">IFERROR(__xludf.DUMMYFUNCTION("""COMPUTED_VALUE"""),421113.49761)</f>
        <v>421113.49761000002</v>
      </c>
      <c r="G427" s="22">
        <f ca="1">IFERROR(__xludf.DUMMYFUNCTION("""COMPUTED_VALUE"""),0)</f>
        <v>0</v>
      </c>
      <c r="H427" s="7">
        <f ca="1">IFERROR(__xludf.DUMMYFUNCTION("""COMPUTED_VALUE"""),500000)</f>
        <v>500000</v>
      </c>
    </row>
    <row r="428" spans="1:8" ht="13" x14ac:dyDescent="0.15">
      <c r="A428" s="5" t="str">
        <f ca="1">IFERROR(__xludf.DUMMYFUNCTION("""COMPUTED_VALUE"""),"35577")</f>
        <v>35577</v>
      </c>
      <c r="B428" s="51">
        <f ca="1">IFERROR(__xludf.DUMMYFUNCTION("""COMPUTED_VALUE"""),44607)</f>
        <v>44607</v>
      </c>
      <c r="C428" s="22">
        <f ca="1">IFERROR(__xludf.DUMMYFUNCTION("""COMPUTED_VALUE"""),396549.29310795)</f>
        <v>396549.29310795001</v>
      </c>
      <c r="D428" s="22">
        <f ca="1">IFERROR(__xludf.DUMMYFUNCTION("""COMPUTED_VALUE"""),103655.457297049)</f>
        <v>103655.457297049</v>
      </c>
      <c r="E428" s="22">
        <f ca="1">IFERROR(__xludf.DUMMYFUNCTION("""COMPUTED_VALUE"""),500204.750405)</f>
        <v>500204.750405</v>
      </c>
      <c r="F428" s="22">
        <f ca="1">IFERROR(__xludf.DUMMYFUNCTION("""COMPUTED_VALUE"""),396549.29310795)</f>
        <v>396549.29310795001</v>
      </c>
      <c r="G428" s="22">
        <f ca="1">IFERROR(__xludf.DUMMYFUNCTION("""COMPUTED_VALUE"""),0)</f>
        <v>0</v>
      </c>
      <c r="H428" s="7">
        <f ca="1">IFERROR(__xludf.DUMMYFUNCTION("""COMPUTED_VALUE"""),500204.750405)</f>
        <v>500204.750405</v>
      </c>
    </row>
    <row r="429" spans="1:8" ht="13" x14ac:dyDescent="0.15">
      <c r="A429" s="5" t="str">
        <f ca="1">IFERROR(__xludf.DUMMYFUNCTION("""COMPUTED_VALUE"""),"35577")</f>
        <v>35577</v>
      </c>
      <c r="B429" s="51">
        <f ca="1">IFERROR(__xludf.DUMMYFUNCTION("""COMPUTED_VALUE"""),44608)</f>
        <v>44608</v>
      </c>
      <c r="C429" s="22">
        <f ca="1">IFERROR(__xludf.DUMMYFUNCTION("""COMPUTED_VALUE"""),396549.29310795)</f>
        <v>396549.29310795001</v>
      </c>
      <c r="D429" s="22">
        <f ca="1">IFERROR(__xludf.DUMMYFUNCTION("""COMPUTED_VALUE"""),103699.07200205)</f>
        <v>103699.07200205</v>
      </c>
      <c r="E429" s="22">
        <f ca="1">IFERROR(__xludf.DUMMYFUNCTION("""COMPUTED_VALUE"""),500248.36511)</f>
        <v>500248.36511000001</v>
      </c>
      <c r="F429" s="22">
        <f ca="1">IFERROR(__xludf.DUMMYFUNCTION("""COMPUTED_VALUE"""),396549.29310795)</f>
        <v>396549.29310795001</v>
      </c>
      <c r="G429" s="22">
        <f ca="1">IFERROR(__xludf.DUMMYFUNCTION("""COMPUTED_VALUE"""),0)</f>
        <v>0</v>
      </c>
      <c r="H429" s="7">
        <f ca="1">IFERROR(__xludf.DUMMYFUNCTION("""COMPUTED_VALUE"""),500255.26757795)</f>
        <v>500255.26757795003</v>
      </c>
    </row>
    <row r="430" spans="1:8" ht="13" x14ac:dyDescent="0.15">
      <c r="A430" s="5" t="str">
        <f ca="1">IFERROR(__xludf.DUMMYFUNCTION("""COMPUTED_VALUE"""),"35577")</f>
        <v>35577</v>
      </c>
      <c r="B430" s="51">
        <f ca="1">IFERROR(__xludf.DUMMYFUNCTION("""COMPUTED_VALUE"""),44609)</f>
        <v>44609</v>
      </c>
      <c r="C430" s="22">
        <f ca="1">IFERROR(__xludf.DUMMYFUNCTION("""COMPUTED_VALUE"""),396549.29310795)</f>
        <v>396549.29310795001</v>
      </c>
      <c r="D430" s="22">
        <f ca="1">IFERROR(__xludf.DUMMYFUNCTION("""COMPUTED_VALUE"""),103272.74681705)</f>
        <v>103272.74681705001</v>
      </c>
      <c r="E430" s="22">
        <f ca="1">IFERROR(__xludf.DUMMYFUNCTION("""COMPUTED_VALUE"""),499822.039925)</f>
        <v>499822.03992499999</v>
      </c>
      <c r="F430" s="22">
        <f ca="1">IFERROR(__xludf.DUMMYFUNCTION("""COMPUTED_VALUE"""),396549.29310795)</f>
        <v>396549.29310795001</v>
      </c>
      <c r="G430" s="22">
        <f ca="1">IFERROR(__xludf.DUMMYFUNCTION("""COMPUTED_VALUE"""),0)</f>
        <v>0</v>
      </c>
      <c r="H430" s="7">
        <f ca="1">IFERROR(__xludf.DUMMYFUNCTION("""COMPUTED_VALUE"""),499829.25919505)</f>
        <v>499829.25919504999</v>
      </c>
    </row>
    <row r="431" spans="1:8" ht="13" x14ac:dyDescent="0.15">
      <c r="A431" s="5" t="str">
        <f ca="1">IFERROR(__xludf.DUMMYFUNCTION("""COMPUTED_VALUE"""),"35577")</f>
        <v>35577</v>
      </c>
      <c r="B431" s="51">
        <f ca="1">IFERROR(__xludf.DUMMYFUNCTION("""COMPUTED_VALUE"""),44610)</f>
        <v>44610</v>
      </c>
      <c r="C431" s="22">
        <f ca="1">IFERROR(__xludf.DUMMYFUNCTION("""COMPUTED_VALUE"""),396549.29310795)</f>
        <v>396549.29310795001</v>
      </c>
      <c r="D431" s="22">
        <f ca="1">IFERROR(__xludf.DUMMYFUNCTION("""COMPUTED_VALUE"""),103114.071102049)</f>
        <v>103114.071102049</v>
      </c>
      <c r="E431" s="22">
        <f ca="1">IFERROR(__xludf.DUMMYFUNCTION("""COMPUTED_VALUE"""),499663.36421)</f>
        <v>499663.36421000003</v>
      </c>
      <c r="F431" s="22">
        <f ca="1">IFERROR(__xludf.DUMMYFUNCTION("""COMPUTED_VALUE"""),396549.29310795)</f>
        <v>396549.29310795001</v>
      </c>
      <c r="G431" s="22">
        <f ca="1">IFERROR(__xludf.DUMMYFUNCTION("""COMPUTED_VALUE"""),0)</f>
        <v>0</v>
      </c>
      <c r="H431" s="7">
        <f ca="1">IFERROR(__xludf.DUMMYFUNCTION("""COMPUTED_VALUE"""),499701.65622755)</f>
        <v>499701.65622755</v>
      </c>
    </row>
    <row r="432" spans="1:8" ht="13" x14ac:dyDescent="0.15">
      <c r="A432" s="5" t="str">
        <f ca="1">IFERROR(__xludf.DUMMYFUNCTION("""COMPUTED_VALUE"""),"35577")</f>
        <v>35577</v>
      </c>
      <c r="B432" s="51">
        <f ca="1">IFERROR(__xludf.DUMMYFUNCTION("""COMPUTED_VALUE"""),44611)</f>
        <v>44611</v>
      </c>
      <c r="C432" s="22">
        <f ca="1">IFERROR(__xludf.DUMMYFUNCTION("""COMPUTED_VALUE"""),396549.29310795)</f>
        <v>396549.29310795001</v>
      </c>
      <c r="D432" s="22">
        <f ca="1">IFERROR(__xludf.DUMMYFUNCTION("""COMPUTED_VALUE"""),103114.071102049)</f>
        <v>103114.071102049</v>
      </c>
      <c r="E432" s="22">
        <f ca="1">IFERROR(__xludf.DUMMYFUNCTION("""COMPUTED_VALUE"""),499663.36421)</f>
        <v>499663.36421000003</v>
      </c>
      <c r="F432" s="22">
        <f ca="1">IFERROR(__xludf.DUMMYFUNCTION("""COMPUTED_VALUE"""),396549.29310795)</f>
        <v>396549.29310795001</v>
      </c>
      <c r="G432" s="22">
        <f ca="1">IFERROR(__xludf.DUMMYFUNCTION("""COMPUTED_VALUE"""),0)</f>
        <v>0</v>
      </c>
      <c r="H432" s="7">
        <f ca="1">IFERROR(__xludf.DUMMYFUNCTION("""COMPUTED_VALUE"""),499701.65622755)</f>
        <v>499701.65622755</v>
      </c>
    </row>
    <row r="433" spans="1:8" ht="13" x14ac:dyDescent="0.15">
      <c r="A433" s="5" t="str">
        <f ca="1">IFERROR(__xludf.DUMMYFUNCTION("""COMPUTED_VALUE"""),"35577")</f>
        <v>35577</v>
      </c>
      <c r="B433" s="51">
        <f ca="1">IFERROR(__xludf.DUMMYFUNCTION("""COMPUTED_VALUE"""),44612)</f>
        <v>44612</v>
      </c>
      <c r="C433" s="22">
        <f ca="1">IFERROR(__xludf.DUMMYFUNCTION("""COMPUTED_VALUE"""),396549.29310795)</f>
        <v>396549.29310795001</v>
      </c>
      <c r="D433" s="22">
        <f ca="1">IFERROR(__xludf.DUMMYFUNCTION("""COMPUTED_VALUE"""),103113.101202049)</f>
        <v>103113.101202049</v>
      </c>
      <c r="E433" s="22">
        <f ca="1">IFERROR(__xludf.DUMMYFUNCTION("""COMPUTED_VALUE"""),499662.39431)</f>
        <v>499662.39431</v>
      </c>
      <c r="F433" s="22">
        <f ca="1">IFERROR(__xludf.DUMMYFUNCTION("""COMPUTED_VALUE"""),396549.29310795)</f>
        <v>396549.29310795001</v>
      </c>
      <c r="G433" s="22">
        <f ca="1">IFERROR(__xludf.DUMMYFUNCTION("""COMPUTED_VALUE"""),0)</f>
        <v>0</v>
      </c>
      <c r="H433" s="7">
        <f ca="1">IFERROR(__xludf.DUMMYFUNCTION("""COMPUTED_VALUE"""),499699.85052815)</f>
        <v>499699.85052814998</v>
      </c>
    </row>
    <row r="434" spans="1:8" ht="13" x14ac:dyDescent="0.15">
      <c r="A434" s="5" t="str">
        <f ca="1">IFERROR(__xludf.DUMMYFUNCTION("""COMPUTED_VALUE"""),"35577")</f>
        <v>35577</v>
      </c>
      <c r="B434" s="51">
        <f ca="1">IFERROR(__xludf.DUMMYFUNCTION("""COMPUTED_VALUE"""),44613)</f>
        <v>44613</v>
      </c>
      <c r="C434" s="22">
        <f ca="1">IFERROR(__xludf.DUMMYFUNCTION("""COMPUTED_VALUE"""),396549.29310795)</f>
        <v>396549.29310795001</v>
      </c>
      <c r="D434" s="22">
        <f ca="1">IFERROR(__xludf.DUMMYFUNCTION("""COMPUTED_VALUE"""),103115.88280205)</f>
        <v>103115.88280204999</v>
      </c>
      <c r="E434" s="22">
        <f ca="1">IFERROR(__xludf.DUMMYFUNCTION("""COMPUTED_VALUE"""),499665.17591)</f>
        <v>499665.17590999999</v>
      </c>
      <c r="F434" s="22">
        <f ca="1">IFERROR(__xludf.DUMMYFUNCTION("""COMPUTED_VALUE"""),396549.29310795)</f>
        <v>396549.29310795001</v>
      </c>
      <c r="G434" s="22">
        <f ca="1">IFERROR(__xludf.DUMMYFUNCTION("""COMPUTED_VALUE"""),0)</f>
        <v>0</v>
      </c>
      <c r="H434" s="7">
        <f ca="1">IFERROR(__xludf.DUMMYFUNCTION("""COMPUTED_VALUE"""),499707.36943925)</f>
        <v>499707.36943924997</v>
      </c>
    </row>
    <row r="435" spans="1:8" ht="13" x14ac:dyDescent="0.15">
      <c r="A435" s="5" t="str">
        <f ca="1">IFERROR(__xludf.DUMMYFUNCTION("""COMPUTED_VALUE"""),"35577")</f>
        <v>35577</v>
      </c>
      <c r="B435" s="51">
        <f ca="1">IFERROR(__xludf.DUMMYFUNCTION("""COMPUTED_VALUE"""),44614)</f>
        <v>44614</v>
      </c>
      <c r="C435" s="22">
        <f ca="1">IFERROR(__xludf.DUMMYFUNCTION("""COMPUTED_VALUE"""),396549.29310795)</f>
        <v>396549.29310795001</v>
      </c>
      <c r="D435" s="22">
        <f ca="1">IFERROR(__xludf.DUMMYFUNCTION("""COMPUTED_VALUE"""),102907.96225205)</f>
        <v>102907.96225205</v>
      </c>
      <c r="E435" s="22">
        <f ca="1">IFERROR(__xludf.DUMMYFUNCTION("""COMPUTED_VALUE"""),499457.25536)</f>
        <v>499457.25536000001</v>
      </c>
      <c r="F435" s="22">
        <f ca="1">IFERROR(__xludf.DUMMYFUNCTION("""COMPUTED_VALUE"""),396549.29310795)</f>
        <v>396549.29310795001</v>
      </c>
      <c r="G435" s="22">
        <f ca="1">IFERROR(__xludf.DUMMYFUNCTION("""COMPUTED_VALUE"""),0)</f>
        <v>0</v>
      </c>
      <c r="H435" s="7">
        <f ca="1">IFERROR(__xludf.DUMMYFUNCTION("""COMPUTED_VALUE"""),499501.79881295)</f>
        <v>499501.79881294997</v>
      </c>
    </row>
    <row r="436" spans="1:8" ht="13" x14ac:dyDescent="0.15">
      <c r="A436" s="5" t="str">
        <f ca="1">IFERROR(__xludf.DUMMYFUNCTION("""COMPUTED_VALUE"""),"35577")</f>
        <v>35577</v>
      </c>
      <c r="B436" s="51">
        <f ca="1">IFERROR(__xludf.DUMMYFUNCTION("""COMPUTED_VALUE"""),44615)</f>
        <v>44615</v>
      </c>
      <c r="C436" s="22">
        <f ca="1">IFERROR(__xludf.DUMMYFUNCTION("""COMPUTED_VALUE"""),396549.29310795)</f>
        <v>396549.29310795001</v>
      </c>
      <c r="D436" s="22">
        <f ca="1">IFERROR(__xludf.DUMMYFUNCTION("""COMPUTED_VALUE"""),102921.40435205)</f>
        <v>102921.40435205</v>
      </c>
      <c r="E436" s="22">
        <f ca="1">IFERROR(__xludf.DUMMYFUNCTION("""COMPUTED_VALUE"""),499470.69746)</f>
        <v>499470.69746</v>
      </c>
      <c r="F436" s="22">
        <f ca="1">IFERROR(__xludf.DUMMYFUNCTION("""COMPUTED_VALUE"""),396549.29310795)</f>
        <v>396549.29310795001</v>
      </c>
      <c r="G436" s="22">
        <f ca="1">IFERROR(__xludf.DUMMYFUNCTION("""COMPUTED_VALUE"""),0)</f>
        <v>0</v>
      </c>
      <c r="H436" s="7">
        <f ca="1">IFERROR(__xludf.DUMMYFUNCTION("""COMPUTED_VALUE"""),499467.19998245)</f>
        <v>499467.19998244999</v>
      </c>
    </row>
    <row r="437" spans="1:8" ht="13" x14ac:dyDescent="0.15">
      <c r="A437" s="5" t="str">
        <f ca="1">IFERROR(__xludf.DUMMYFUNCTION("""COMPUTED_VALUE"""),"35577")</f>
        <v>35577</v>
      </c>
      <c r="B437" s="51">
        <f ca="1">IFERROR(__xludf.DUMMYFUNCTION("""COMPUTED_VALUE"""),44616)</f>
        <v>44616</v>
      </c>
      <c r="C437" s="22">
        <f ca="1">IFERROR(__xludf.DUMMYFUNCTION("""COMPUTED_VALUE"""),396549.29310795)</f>
        <v>396549.29310795001</v>
      </c>
      <c r="D437" s="22">
        <f ca="1">IFERROR(__xludf.DUMMYFUNCTION("""COMPUTED_VALUE"""),102672.10450205)</f>
        <v>102672.10450205</v>
      </c>
      <c r="E437" s="22">
        <f ca="1">IFERROR(__xludf.DUMMYFUNCTION("""COMPUTED_VALUE"""),499221.39761)</f>
        <v>499221.39760999999</v>
      </c>
      <c r="F437" s="22">
        <f ca="1">IFERROR(__xludf.DUMMYFUNCTION("""COMPUTED_VALUE"""),396549.29310795)</f>
        <v>396549.29310795001</v>
      </c>
      <c r="G437" s="22">
        <f ca="1">IFERROR(__xludf.DUMMYFUNCTION("""COMPUTED_VALUE"""),0)</f>
        <v>0</v>
      </c>
      <c r="H437" s="7">
        <f ca="1">IFERROR(__xludf.DUMMYFUNCTION("""COMPUTED_VALUE"""),499208.03836295)</f>
        <v>499208.03836295003</v>
      </c>
    </row>
    <row r="438" spans="1:8" ht="13" x14ac:dyDescent="0.15">
      <c r="A438" s="5" t="str">
        <f ca="1">IFERROR(__xludf.DUMMYFUNCTION("""COMPUTED_VALUE"""),"35577")</f>
        <v>35577</v>
      </c>
      <c r="B438" s="51">
        <f ca="1">IFERROR(__xludf.DUMMYFUNCTION("""COMPUTED_VALUE"""),44617)</f>
        <v>44617</v>
      </c>
      <c r="C438" s="22">
        <f ca="1">IFERROR(__xludf.DUMMYFUNCTION("""COMPUTED_VALUE"""),396549.29310795)</f>
        <v>396549.29310795001</v>
      </c>
      <c r="D438" s="22">
        <f ca="1">IFERROR(__xludf.DUMMYFUNCTION("""COMPUTED_VALUE"""),103142.930202049)</f>
        <v>103142.930202049</v>
      </c>
      <c r="E438" s="22">
        <f ca="1">IFERROR(__xludf.DUMMYFUNCTION("""COMPUTED_VALUE"""),499692.22331)</f>
        <v>499692.22330999997</v>
      </c>
      <c r="F438" s="22">
        <f ca="1">IFERROR(__xludf.DUMMYFUNCTION("""COMPUTED_VALUE"""),396549.29310795)</f>
        <v>396549.29310795001</v>
      </c>
      <c r="G438" s="22">
        <f ca="1">IFERROR(__xludf.DUMMYFUNCTION("""COMPUTED_VALUE"""),0)</f>
        <v>0</v>
      </c>
      <c r="H438" s="7">
        <f ca="1">IFERROR(__xludf.DUMMYFUNCTION("""COMPUTED_VALUE"""),499685.8115027)</f>
        <v>499685.81150269997</v>
      </c>
    </row>
    <row r="439" spans="1:8" ht="13" x14ac:dyDescent="0.15">
      <c r="A439" s="5" t="str">
        <f ca="1">IFERROR(__xludf.DUMMYFUNCTION("""COMPUTED_VALUE"""),"35577")</f>
        <v>35577</v>
      </c>
      <c r="B439" s="51">
        <f ca="1">IFERROR(__xludf.DUMMYFUNCTION("""COMPUTED_VALUE"""),44618)</f>
        <v>44618</v>
      </c>
      <c r="C439" s="22">
        <f ca="1">IFERROR(__xludf.DUMMYFUNCTION("""COMPUTED_VALUE"""),396549.29310795)</f>
        <v>396549.29310795001</v>
      </c>
      <c r="D439" s="22">
        <f ca="1">IFERROR(__xludf.DUMMYFUNCTION("""COMPUTED_VALUE"""),103143.479202049)</f>
        <v>103143.479202049</v>
      </c>
      <c r="E439" s="22">
        <f ca="1">IFERROR(__xludf.DUMMYFUNCTION("""COMPUTED_VALUE"""),499692.77231)</f>
        <v>499692.77230999997</v>
      </c>
      <c r="F439" s="22">
        <f ca="1">IFERROR(__xludf.DUMMYFUNCTION("""COMPUTED_VALUE"""),396549.29310795)</f>
        <v>396549.29310795001</v>
      </c>
      <c r="G439" s="22">
        <f ca="1">IFERROR(__xludf.DUMMYFUNCTION("""COMPUTED_VALUE"""),0)</f>
        <v>0</v>
      </c>
      <c r="H439" s="7">
        <f ca="1">IFERROR(__xludf.DUMMYFUNCTION("""COMPUTED_VALUE"""),499686.8322602)</f>
        <v>499686.8322602</v>
      </c>
    </row>
    <row r="440" spans="1:8" ht="13" x14ac:dyDescent="0.15">
      <c r="A440" s="5" t="str">
        <f ca="1">IFERROR(__xludf.DUMMYFUNCTION("""COMPUTED_VALUE"""),"35577")</f>
        <v>35577</v>
      </c>
      <c r="B440" s="51">
        <f ca="1">IFERROR(__xludf.DUMMYFUNCTION("""COMPUTED_VALUE"""),44619)</f>
        <v>44619</v>
      </c>
      <c r="C440" s="22">
        <f ca="1">IFERROR(__xludf.DUMMYFUNCTION("""COMPUTED_VALUE"""),396549.29310795)</f>
        <v>396549.29310795001</v>
      </c>
      <c r="D440" s="22">
        <f ca="1">IFERROR(__xludf.DUMMYFUNCTION("""COMPUTED_VALUE"""),103142.21650205)</f>
        <v>103142.21650205</v>
      </c>
      <c r="E440" s="22">
        <f ca="1">IFERROR(__xludf.DUMMYFUNCTION("""COMPUTED_VALUE"""),499691.50961)</f>
        <v>499691.50961000001</v>
      </c>
      <c r="F440" s="22">
        <f ca="1">IFERROR(__xludf.DUMMYFUNCTION("""COMPUTED_VALUE"""),396549.29310795)</f>
        <v>396549.29310795001</v>
      </c>
      <c r="G440" s="22">
        <f ca="1">IFERROR(__xludf.DUMMYFUNCTION("""COMPUTED_VALUE"""),0)</f>
        <v>0</v>
      </c>
      <c r="H440" s="7">
        <f ca="1">IFERROR(__xludf.DUMMYFUNCTION("""COMPUTED_VALUE"""),499684.48451795)</f>
        <v>499684.48451794998</v>
      </c>
    </row>
    <row r="441" spans="1:8" ht="13" x14ac:dyDescent="0.15">
      <c r="A441" s="5" t="str">
        <f ca="1">IFERROR(__xludf.DUMMYFUNCTION("""COMPUTED_VALUE"""),"35577")</f>
        <v>35577</v>
      </c>
      <c r="B441" s="51">
        <f ca="1">IFERROR(__xludf.DUMMYFUNCTION("""COMPUTED_VALUE"""),44620)</f>
        <v>44620</v>
      </c>
      <c r="C441" s="22">
        <f ca="1">IFERROR(__xludf.DUMMYFUNCTION("""COMPUTED_VALUE"""),396549.29310795)</f>
        <v>396549.29310795001</v>
      </c>
      <c r="D441" s="22">
        <f ca="1">IFERROR(__xludf.DUMMYFUNCTION("""COMPUTED_VALUE"""),103161.431502049)</f>
        <v>103161.431502049</v>
      </c>
      <c r="E441" s="22">
        <f ca="1">IFERROR(__xludf.DUMMYFUNCTION("""COMPUTED_VALUE"""),499710.72461)</f>
        <v>499710.72460999998</v>
      </c>
      <c r="F441" s="22">
        <f ca="1">IFERROR(__xludf.DUMMYFUNCTION("""COMPUTED_VALUE"""),396549.29310795)</f>
        <v>396549.29310795001</v>
      </c>
      <c r="G441" s="22">
        <f ca="1">IFERROR(__xludf.DUMMYFUNCTION("""COMPUTED_VALUE"""),0)</f>
        <v>0</v>
      </c>
      <c r="H441" s="7">
        <f ca="1">IFERROR(__xludf.DUMMYFUNCTION("""COMPUTED_VALUE"""),499749.51146795)</f>
        <v>499749.51146795001</v>
      </c>
    </row>
    <row r="442" spans="1:8" ht="13" x14ac:dyDescent="0.15">
      <c r="A442" s="5" t="str">
        <f ca="1">IFERROR(__xludf.DUMMYFUNCTION("""COMPUTED_VALUE"""),"35577")</f>
        <v>35577</v>
      </c>
      <c r="B442" s="51">
        <f ca="1">IFERROR(__xludf.DUMMYFUNCTION("""COMPUTED_VALUE"""),44621)</f>
        <v>44621</v>
      </c>
      <c r="C442" s="22">
        <f ca="1">IFERROR(__xludf.DUMMYFUNCTION("""COMPUTED_VALUE"""),396549.29310795)</f>
        <v>396549.29310795001</v>
      </c>
      <c r="D442" s="22">
        <f ca="1">IFERROR(__xludf.DUMMYFUNCTION("""COMPUTED_VALUE"""),103052.81372705)</f>
        <v>103052.81372705</v>
      </c>
      <c r="E442" s="22">
        <f ca="1">IFERROR(__xludf.DUMMYFUNCTION("""COMPUTED_VALUE"""),499602.106835)</f>
        <v>499602.10683499998</v>
      </c>
      <c r="F442" s="22">
        <f ca="1">IFERROR(__xludf.DUMMYFUNCTION("""COMPUTED_VALUE"""),396549.29310795)</f>
        <v>396549.29310795001</v>
      </c>
      <c r="G442" s="22">
        <f ca="1">IFERROR(__xludf.DUMMYFUNCTION("""COMPUTED_VALUE"""),0)</f>
        <v>0</v>
      </c>
      <c r="H442" s="7">
        <f ca="1">IFERROR(__xludf.DUMMYFUNCTION("""COMPUTED_VALUE"""),499721.2305776)</f>
        <v>499721.23057760001</v>
      </c>
    </row>
    <row r="443" spans="1:8" ht="13" x14ac:dyDescent="0.15">
      <c r="A443" s="5" t="str">
        <f ca="1">IFERROR(__xludf.DUMMYFUNCTION("""COMPUTED_VALUE"""),"35577")</f>
        <v>35577</v>
      </c>
      <c r="B443" s="51">
        <f ca="1">IFERROR(__xludf.DUMMYFUNCTION("""COMPUTED_VALUE"""),44622)</f>
        <v>44622</v>
      </c>
      <c r="C443" s="22">
        <f ca="1">IFERROR(__xludf.DUMMYFUNCTION("""COMPUTED_VALUE"""),396549.29310795)</f>
        <v>396549.29310795001</v>
      </c>
      <c r="D443" s="22">
        <f ca="1">IFERROR(__xludf.DUMMYFUNCTION("""COMPUTED_VALUE"""),102928.84300205)</f>
        <v>102928.84300204999</v>
      </c>
      <c r="E443" s="22">
        <f ca="1">IFERROR(__xludf.DUMMYFUNCTION("""COMPUTED_VALUE"""),499478.13611)</f>
        <v>499478.13611000002</v>
      </c>
      <c r="F443" s="22">
        <f ca="1">IFERROR(__xludf.DUMMYFUNCTION("""COMPUTED_VALUE"""),396549.29310795)</f>
        <v>396549.29310795001</v>
      </c>
      <c r="G443" s="22">
        <f ca="1">IFERROR(__xludf.DUMMYFUNCTION("""COMPUTED_VALUE"""),0)</f>
        <v>0</v>
      </c>
      <c r="H443" s="7">
        <f ca="1">IFERROR(__xludf.DUMMYFUNCTION("""COMPUTED_VALUE"""),499635.70661795)</f>
        <v>499635.70661795</v>
      </c>
    </row>
    <row r="444" spans="1:8" ht="13" x14ac:dyDescent="0.15">
      <c r="A444" s="5" t="str">
        <f ca="1">IFERROR(__xludf.DUMMYFUNCTION("""COMPUTED_VALUE"""),"35577")</f>
        <v>35577</v>
      </c>
      <c r="B444" s="51">
        <f ca="1">IFERROR(__xludf.DUMMYFUNCTION("""COMPUTED_VALUE"""),44623)</f>
        <v>44623</v>
      </c>
      <c r="C444" s="22">
        <f ca="1">IFERROR(__xludf.DUMMYFUNCTION("""COMPUTED_VALUE"""),396549.29310795)</f>
        <v>396549.29310795001</v>
      </c>
      <c r="D444" s="22">
        <f ca="1">IFERROR(__xludf.DUMMYFUNCTION("""COMPUTED_VALUE"""),102748.15960205)</f>
        <v>102748.15960205</v>
      </c>
      <c r="E444" s="22">
        <f ca="1">IFERROR(__xludf.DUMMYFUNCTION("""COMPUTED_VALUE"""),499297.45271)</f>
        <v>499297.45270999998</v>
      </c>
      <c r="F444" s="22">
        <f ca="1">IFERROR(__xludf.DUMMYFUNCTION("""COMPUTED_VALUE"""),396549.29310795)</f>
        <v>396549.29310795001</v>
      </c>
      <c r="G444" s="22">
        <f ca="1">IFERROR(__xludf.DUMMYFUNCTION("""COMPUTED_VALUE"""),0)</f>
        <v>0</v>
      </c>
      <c r="H444" s="7">
        <f ca="1">IFERROR(__xludf.DUMMYFUNCTION("""COMPUTED_VALUE"""),499357.86521795)</f>
        <v>499357.86521795002</v>
      </c>
    </row>
    <row r="445" spans="1:8" ht="13" x14ac:dyDescent="0.15">
      <c r="A445" s="5" t="str">
        <f ca="1">IFERROR(__xludf.DUMMYFUNCTION("""COMPUTED_VALUE"""),"35577")</f>
        <v>35577</v>
      </c>
      <c r="B445" s="51">
        <f ca="1">IFERROR(__xludf.DUMMYFUNCTION("""COMPUTED_VALUE"""),44624)</f>
        <v>44624</v>
      </c>
      <c r="C445" s="22">
        <f ca="1">IFERROR(__xludf.DUMMYFUNCTION("""COMPUTED_VALUE"""),396549.29310795)</f>
        <v>396549.29310795001</v>
      </c>
      <c r="D445" s="22">
        <f ca="1">IFERROR(__xludf.DUMMYFUNCTION("""COMPUTED_VALUE"""),102461.18410205)</f>
        <v>102461.18410205</v>
      </c>
      <c r="E445" s="22">
        <f ca="1">IFERROR(__xludf.DUMMYFUNCTION("""COMPUTED_VALUE"""),499010.47721)</f>
        <v>499010.47720999998</v>
      </c>
      <c r="F445" s="22">
        <f ca="1">IFERROR(__xludf.DUMMYFUNCTION("""COMPUTED_VALUE"""),396549.29310795)</f>
        <v>396549.29310795001</v>
      </c>
      <c r="G445" s="22">
        <f ca="1">IFERROR(__xludf.DUMMYFUNCTION("""COMPUTED_VALUE"""),0)</f>
        <v>0</v>
      </c>
      <c r="H445" s="7">
        <f ca="1">IFERROR(__xludf.DUMMYFUNCTION("""COMPUTED_VALUE"""),499048.83000275)</f>
        <v>499048.83000274998</v>
      </c>
    </row>
    <row r="446" spans="1:8" ht="13" x14ac:dyDescent="0.15">
      <c r="A446" s="5" t="str">
        <f ca="1">IFERROR(__xludf.DUMMYFUNCTION("""COMPUTED_VALUE"""),"35577")</f>
        <v>35577</v>
      </c>
      <c r="B446" s="51">
        <f ca="1">IFERROR(__xludf.DUMMYFUNCTION("""COMPUTED_VALUE"""),44625)</f>
        <v>44625</v>
      </c>
      <c r="C446" s="22">
        <f ca="1">IFERROR(__xludf.DUMMYFUNCTION("""COMPUTED_VALUE"""),396549.29310795)</f>
        <v>396549.29310795001</v>
      </c>
      <c r="D446" s="22">
        <f ca="1">IFERROR(__xludf.DUMMYFUNCTION("""COMPUTED_VALUE"""),102461.18410205)</f>
        <v>102461.18410205</v>
      </c>
      <c r="E446" s="22">
        <f ca="1">IFERROR(__xludf.DUMMYFUNCTION("""COMPUTED_VALUE"""),499010.47721)</f>
        <v>499010.47720999998</v>
      </c>
      <c r="F446" s="22">
        <f ca="1">IFERROR(__xludf.DUMMYFUNCTION("""COMPUTED_VALUE"""),396549.29310795)</f>
        <v>396549.29310795001</v>
      </c>
      <c r="G446" s="22">
        <f ca="1">IFERROR(__xludf.DUMMYFUNCTION("""COMPUTED_VALUE"""),0)</f>
        <v>0</v>
      </c>
      <c r="H446" s="7">
        <f ca="1">IFERROR(__xludf.DUMMYFUNCTION("""COMPUTED_VALUE"""),499048.83000275)</f>
        <v>499048.83000274998</v>
      </c>
    </row>
    <row r="447" spans="1:8" ht="13" x14ac:dyDescent="0.15">
      <c r="A447" s="5" t="str">
        <f ca="1">IFERROR(__xludf.DUMMYFUNCTION("""COMPUTED_VALUE"""),"35577")</f>
        <v>35577</v>
      </c>
      <c r="B447" s="51">
        <f ca="1">IFERROR(__xludf.DUMMYFUNCTION("""COMPUTED_VALUE"""),44626)</f>
        <v>44626</v>
      </c>
      <c r="C447" s="22">
        <f ca="1">IFERROR(__xludf.DUMMYFUNCTION("""COMPUTED_VALUE"""),396549.29310795)</f>
        <v>396549.29310795001</v>
      </c>
      <c r="D447" s="22">
        <f ca="1">IFERROR(__xludf.DUMMYFUNCTION("""COMPUTED_VALUE"""),102465.02185205)</f>
        <v>102465.02185205001</v>
      </c>
      <c r="E447" s="22">
        <f ca="1">IFERROR(__xludf.DUMMYFUNCTION("""COMPUTED_VALUE"""),499014.31496)</f>
        <v>499014.31495999999</v>
      </c>
      <c r="F447" s="22">
        <f ca="1">IFERROR(__xludf.DUMMYFUNCTION("""COMPUTED_VALUE"""),396549.29310795)</f>
        <v>396549.29310795001</v>
      </c>
      <c r="G447" s="22">
        <f ca="1">IFERROR(__xludf.DUMMYFUNCTION("""COMPUTED_VALUE"""),0)</f>
        <v>0</v>
      </c>
      <c r="H447" s="7">
        <f ca="1">IFERROR(__xludf.DUMMYFUNCTION("""COMPUTED_VALUE"""),499056.0522935)</f>
        <v>499056.05229349999</v>
      </c>
    </row>
    <row r="448" spans="1:8" ht="13" x14ac:dyDescent="0.15">
      <c r="A448" s="5" t="str">
        <f ca="1">IFERROR(__xludf.DUMMYFUNCTION("""COMPUTED_VALUE"""),"35577")</f>
        <v>35577</v>
      </c>
      <c r="B448" s="51">
        <f ca="1">IFERROR(__xludf.DUMMYFUNCTION("""COMPUTED_VALUE"""),44627)</f>
        <v>44627</v>
      </c>
      <c r="C448" s="22">
        <f ca="1">IFERROR(__xludf.DUMMYFUNCTION("""COMPUTED_VALUE"""),382848.84794295)</f>
        <v>382848.84794294997</v>
      </c>
      <c r="D448" s="22">
        <f ca="1">IFERROR(__xludf.DUMMYFUNCTION("""COMPUTED_VALUE"""),116227.2623315)</f>
        <v>116227.26233149999</v>
      </c>
      <c r="E448" s="22">
        <f ca="1">IFERROR(__xludf.DUMMYFUNCTION("""COMPUTED_VALUE"""),499076.11027445)</f>
        <v>499076.11027444998</v>
      </c>
      <c r="F448" s="22">
        <f ca="1">IFERROR(__xludf.DUMMYFUNCTION("""COMPUTED_VALUE"""),382848.84794295)</f>
        <v>382848.84794294997</v>
      </c>
      <c r="G448" s="22">
        <f ca="1">IFERROR(__xludf.DUMMYFUNCTION("""COMPUTED_VALUE"""),0)</f>
        <v>0</v>
      </c>
      <c r="H448" s="7">
        <f ca="1">IFERROR(__xludf.DUMMYFUNCTION("""COMPUTED_VALUE"""),499076.11027445)</f>
        <v>499076.11027444998</v>
      </c>
    </row>
    <row r="449" spans="1:8" ht="13" x14ac:dyDescent="0.15">
      <c r="A449" s="5" t="str">
        <f ca="1">IFERROR(__xludf.DUMMYFUNCTION("""COMPUTED_VALUE"""),"35577")</f>
        <v>35577</v>
      </c>
      <c r="B449" s="51">
        <f ca="1">IFERROR(__xludf.DUMMYFUNCTION("""COMPUTED_VALUE"""),44628)</f>
        <v>44628</v>
      </c>
      <c r="C449" s="22">
        <f ca="1">IFERROR(__xludf.DUMMYFUNCTION("""COMPUTED_VALUE"""),368746.38825345)</f>
        <v>368746.38825344999</v>
      </c>
      <c r="D449" s="22">
        <f ca="1">IFERROR(__xludf.DUMMYFUNCTION("""COMPUTED_VALUE"""),129338.513807)</f>
        <v>129338.513807</v>
      </c>
      <c r="E449" s="22">
        <f ca="1">IFERROR(__xludf.DUMMYFUNCTION("""COMPUTED_VALUE"""),498084.90206045)</f>
        <v>498084.90206045</v>
      </c>
      <c r="F449" s="22">
        <f ca="1">IFERROR(__xludf.DUMMYFUNCTION("""COMPUTED_VALUE"""),368746.38825345)</f>
        <v>368746.38825344999</v>
      </c>
      <c r="G449" s="22">
        <f ca="1">IFERROR(__xludf.DUMMYFUNCTION("""COMPUTED_VALUE"""),0)</f>
        <v>0</v>
      </c>
      <c r="H449" s="7">
        <f ca="1">IFERROR(__xludf.DUMMYFUNCTION("""COMPUTED_VALUE"""),498084.90206045)</f>
        <v>498084.90206045</v>
      </c>
    </row>
    <row r="450" spans="1:8" ht="13" x14ac:dyDescent="0.15">
      <c r="A450" s="5" t="str">
        <f ca="1">IFERROR(__xludf.DUMMYFUNCTION("""COMPUTED_VALUE"""),"35577")</f>
        <v>35577</v>
      </c>
      <c r="B450" s="51">
        <f ca="1">IFERROR(__xludf.DUMMYFUNCTION("""COMPUTED_VALUE"""),44629)</f>
        <v>44629</v>
      </c>
      <c r="C450" s="22">
        <f ca="1">IFERROR(__xludf.DUMMYFUNCTION("""COMPUTED_VALUE"""),368746.38825345)</f>
        <v>368746.38825344999</v>
      </c>
      <c r="D450" s="22">
        <f ca="1">IFERROR(__xludf.DUMMYFUNCTION("""COMPUTED_VALUE"""),130324.143872)</f>
        <v>130324.143872</v>
      </c>
      <c r="E450" s="22">
        <f ca="1">IFERROR(__xludf.DUMMYFUNCTION("""COMPUTED_VALUE"""),499070.53212545)</f>
        <v>499070.53212544997</v>
      </c>
      <c r="F450" s="22">
        <f ca="1">IFERROR(__xludf.DUMMYFUNCTION("""COMPUTED_VALUE"""),368746.38825345)</f>
        <v>368746.38825344999</v>
      </c>
      <c r="G450" s="22">
        <f ca="1">IFERROR(__xludf.DUMMYFUNCTION("""COMPUTED_VALUE"""),0)</f>
        <v>0</v>
      </c>
      <c r="H450" s="7">
        <f ca="1">IFERROR(__xludf.DUMMYFUNCTION("""COMPUTED_VALUE"""),499142.36456795)</f>
        <v>499142.36456795002</v>
      </c>
    </row>
    <row r="451" spans="1:8" ht="13" x14ac:dyDescent="0.15">
      <c r="A451" s="5" t="str">
        <f ca="1">IFERROR(__xludf.DUMMYFUNCTION("""COMPUTED_VALUE"""),"35577")</f>
        <v>35577</v>
      </c>
      <c r="B451" s="51">
        <f ca="1">IFERROR(__xludf.DUMMYFUNCTION("""COMPUTED_VALUE"""),44630)</f>
        <v>44630</v>
      </c>
      <c r="C451" s="22">
        <f ca="1">IFERROR(__xludf.DUMMYFUNCTION("""COMPUTED_VALUE"""),368746.38825345)</f>
        <v>368746.38825344999</v>
      </c>
      <c r="D451" s="22">
        <f ca="1">IFERROR(__xludf.DUMMYFUNCTION("""COMPUTED_VALUE"""),105840.884722)</f>
        <v>105840.884722</v>
      </c>
      <c r="E451" s="22">
        <f ca="1">IFERROR(__xludf.DUMMYFUNCTION("""COMPUTED_VALUE"""),474587.27297545)</f>
        <v>474587.27297544997</v>
      </c>
      <c r="F451" s="22">
        <f ca="1">IFERROR(__xludf.DUMMYFUNCTION("""COMPUTED_VALUE"""),368746.38825345)</f>
        <v>368746.38825344999</v>
      </c>
      <c r="G451" s="22">
        <f ca="1">IFERROR(__xludf.DUMMYFUNCTION("""COMPUTED_VALUE"""),0)</f>
        <v>0</v>
      </c>
      <c r="H451" s="7">
        <f ca="1">IFERROR(__xludf.DUMMYFUNCTION("""COMPUTED_VALUE"""),474667.48387895)</f>
        <v>474667.48387895001</v>
      </c>
    </row>
    <row r="452" spans="1:8" ht="13" x14ac:dyDescent="0.15">
      <c r="A452" s="5" t="str">
        <f ca="1">IFERROR(__xludf.DUMMYFUNCTION("""COMPUTED_VALUE"""),"35577")</f>
        <v>35577</v>
      </c>
      <c r="B452" s="51">
        <f ca="1">IFERROR(__xludf.DUMMYFUNCTION("""COMPUTED_VALUE"""),44631)</f>
        <v>44631</v>
      </c>
      <c r="C452" s="22">
        <f ca="1">IFERROR(__xludf.DUMMYFUNCTION("""COMPUTED_VALUE"""),368886.84126345)</f>
        <v>368886.84126344998</v>
      </c>
      <c r="D452" s="22">
        <f ca="1">IFERROR(__xludf.DUMMYFUNCTION("""COMPUTED_VALUE"""),129537.7408245)</f>
        <v>129537.7408245</v>
      </c>
      <c r="E452" s="22">
        <f ca="1">IFERROR(__xludf.DUMMYFUNCTION("""COMPUTED_VALUE"""),498424.58208795)</f>
        <v>498424.58208795002</v>
      </c>
      <c r="F452" s="22">
        <f ca="1">IFERROR(__xludf.DUMMYFUNCTION("""COMPUTED_VALUE"""),368886.84126345)</f>
        <v>368886.84126344998</v>
      </c>
      <c r="G452" s="22">
        <f ca="1">IFERROR(__xludf.DUMMYFUNCTION("""COMPUTED_VALUE"""),0)</f>
        <v>0</v>
      </c>
      <c r="H452" s="7">
        <f ca="1">IFERROR(__xludf.DUMMYFUNCTION("""COMPUTED_VALUE"""),498782.50424345)</f>
        <v>498782.50424345001</v>
      </c>
    </row>
    <row r="453" spans="1:8" ht="13" x14ac:dyDescent="0.15">
      <c r="A453" s="5" t="str">
        <f ca="1">IFERROR(__xludf.DUMMYFUNCTION("""COMPUTED_VALUE"""),"35577")</f>
        <v>35577</v>
      </c>
      <c r="B453" s="51">
        <f ca="1">IFERROR(__xludf.DUMMYFUNCTION("""COMPUTED_VALUE"""),44632)</f>
        <v>44632</v>
      </c>
      <c r="C453" s="22">
        <f ca="1">IFERROR(__xludf.DUMMYFUNCTION("""COMPUTED_VALUE"""),368886.84126345)</f>
        <v>368886.84126344998</v>
      </c>
      <c r="D453" s="22">
        <f ca="1">IFERROR(__xludf.DUMMYFUNCTION("""COMPUTED_VALUE"""),129537.7408245)</f>
        <v>129537.7408245</v>
      </c>
      <c r="E453" s="22">
        <f ca="1">IFERROR(__xludf.DUMMYFUNCTION("""COMPUTED_VALUE"""),498424.58208795)</f>
        <v>498424.58208795002</v>
      </c>
      <c r="F453" s="22">
        <f ca="1">IFERROR(__xludf.DUMMYFUNCTION("""COMPUTED_VALUE"""),368886.84126345)</f>
        <v>368886.84126344998</v>
      </c>
      <c r="G453" s="22">
        <f ca="1">IFERROR(__xludf.DUMMYFUNCTION("""COMPUTED_VALUE"""),0)</f>
        <v>0</v>
      </c>
      <c r="H453" s="7">
        <f ca="1">IFERROR(__xludf.DUMMYFUNCTION("""COMPUTED_VALUE"""),498782.50424345)</f>
        <v>498782.50424345001</v>
      </c>
    </row>
    <row r="454" spans="1:8" ht="13" x14ac:dyDescent="0.15">
      <c r="A454" s="5" t="str">
        <f ca="1">IFERROR(__xludf.DUMMYFUNCTION("""COMPUTED_VALUE"""),"35577")</f>
        <v>35577</v>
      </c>
      <c r="B454" s="51">
        <f ca="1">IFERROR(__xludf.DUMMYFUNCTION("""COMPUTED_VALUE"""),44633)</f>
        <v>44633</v>
      </c>
      <c r="C454" s="22">
        <f ca="1">IFERROR(__xludf.DUMMYFUNCTION("""COMPUTED_VALUE"""),368886.84126345)</f>
        <v>368886.84126344998</v>
      </c>
      <c r="D454" s="22">
        <f ca="1">IFERROR(__xludf.DUMMYFUNCTION("""COMPUTED_VALUE"""),129532.141279399)</f>
        <v>129532.141279399</v>
      </c>
      <c r="E454" s="22">
        <f ca="1">IFERROR(__xludf.DUMMYFUNCTION("""COMPUTED_VALUE"""),498418.98254285)</f>
        <v>498418.98254285002</v>
      </c>
      <c r="F454" s="22">
        <f ca="1">IFERROR(__xludf.DUMMYFUNCTION("""COMPUTED_VALUE"""),368886.84126345)</f>
        <v>368886.84126344998</v>
      </c>
      <c r="G454" s="22">
        <f ca="1">IFERROR(__xludf.DUMMYFUNCTION("""COMPUTED_VALUE"""),0)</f>
        <v>0</v>
      </c>
      <c r="H454" s="7">
        <f ca="1">IFERROR(__xludf.DUMMYFUNCTION("""COMPUTED_VALUE"""),498775.66726865)</f>
        <v>498775.66726865002</v>
      </c>
    </row>
    <row r="455" spans="1:8" ht="13" x14ac:dyDescent="0.15">
      <c r="A455" s="5" t="str">
        <f ca="1">IFERROR(__xludf.DUMMYFUNCTION("""COMPUTED_VALUE"""),"35577")</f>
        <v>35577</v>
      </c>
      <c r="B455" s="51">
        <f ca="1">IFERROR(__xludf.DUMMYFUNCTION("""COMPUTED_VALUE"""),44634)</f>
        <v>44634</v>
      </c>
      <c r="C455" s="22">
        <f ca="1">IFERROR(__xludf.DUMMYFUNCTION("""COMPUTED_VALUE"""),368886.84126345)</f>
        <v>368886.84126344998</v>
      </c>
      <c r="D455" s="22">
        <f ca="1">IFERROR(__xludf.DUMMYFUNCTION("""COMPUTED_VALUE"""),128559.030796999)</f>
        <v>128559.030796999</v>
      </c>
      <c r="E455" s="22">
        <f ca="1">IFERROR(__xludf.DUMMYFUNCTION("""COMPUTED_VALUE"""),497445.87206045)</f>
        <v>497445.87206045003</v>
      </c>
      <c r="F455" s="22">
        <f ca="1">IFERROR(__xludf.DUMMYFUNCTION("""COMPUTED_VALUE"""),368886.84126345)</f>
        <v>368886.84126344998</v>
      </c>
      <c r="G455" s="22">
        <f ca="1">IFERROR(__xludf.DUMMYFUNCTION("""COMPUTED_VALUE"""),0)</f>
        <v>0</v>
      </c>
      <c r="H455" s="7">
        <f ca="1">IFERROR(__xludf.DUMMYFUNCTION("""COMPUTED_VALUE"""),498004.85738345)</f>
        <v>498004.85738345003</v>
      </c>
    </row>
    <row r="456" spans="1:8" ht="13" x14ac:dyDescent="0.15">
      <c r="A456" s="5" t="str">
        <f ca="1">IFERROR(__xludf.DUMMYFUNCTION("""COMPUTED_VALUE"""),"35577")</f>
        <v>35577</v>
      </c>
      <c r="B456" s="51">
        <f ca="1">IFERROR(__xludf.DUMMYFUNCTION("""COMPUTED_VALUE"""),44635)</f>
        <v>44635</v>
      </c>
      <c r="C456" s="22">
        <f ca="1">IFERROR(__xludf.DUMMYFUNCTION("""COMPUTED_VALUE"""),368886.84126345)</f>
        <v>368886.84126344998</v>
      </c>
      <c r="D456" s="22">
        <f ca="1">IFERROR(__xludf.DUMMYFUNCTION("""COMPUTED_VALUE"""),129183.235861499)</f>
        <v>129183.23586149899</v>
      </c>
      <c r="E456" s="22">
        <f ca="1">IFERROR(__xludf.DUMMYFUNCTION("""COMPUTED_VALUE"""),498070.07712495)</f>
        <v>498070.07712495001</v>
      </c>
      <c r="F456" s="22">
        <f ca="1">IFERROR(__xludf.DUMMYFUNCTION("""COMPUTED_VALUE"""),368886.84126345)</f>
        <v>368886.84126344998</v>
      </c>
      <c r="G456" s="22">
        <f ca="1">IFERROR(__xludf.DUMMYFUNCTION("""COMPUTED_VALUE"""),0)</f>
        <v>0</v>
      </c>
      <c r="H456" s="7">
        <f ca="1">IFERROR(__xludf.DUMMYFUNCTION("""COMPUTED_VALUE"""),498800.78345845)</f>
        <v>498800.78345844999</v>
      </c>
    </row>
    <row r="457" spans="1:8" ht="13" x14ac:dyDescent="0.15">
      <c r="A457" s="5" t="str">
        <f ca="1">IFERROR(__xludf.DUMMYFUNCTION("""COMPUTED_VALUE"""),"35577")</f>
        <v>35577</v>
      </c>
      <c r="B457" s="51">
        <f ca="1">IFERROR(__xludf.DUMMYFUNCTION("""COMPUTED_VALUE"""),44636)</f>
        <v>44636</v>
      </c>
      <c r="C457" s="22">
        <f ca="1">IFERROR(__xludf.DUMMYFUNCTION("""COMPUTED_VALUE"""),368886.84126345)</f>
        <v>368886.84126344998</v>
      </c>
      <c r="D457" s="22">
        <f ca="1">IFERROR(__xludf.DUMMYFUNCTION("""COMPUTED_VALUE"""),130297.237205)</f>
        <v>130297.237205</v>
      </c>
      <c r="E457" s="22">
        <f ca="1">IFERROR(__xludf.DUMMYFUNCTION("""COMPUTED_VALUE"""),499184.07846845)</f>
        <v>499184.07846845</v>
      </c>
      <c r="F457" s="22">
        <f ca="1">IFERROR(__xludf.DUMMYFUNCTION("""COMPUTED_VALUE"""),368886.84126345)</f>
        <v>368886.84126344998</v>
      </c>
      <c r="G457" s="22">
        <f ca="1">IFERROR(__xludf.DUMMYFUNCTION("""COMPUTED_VALUE"""),0)</f>
        <v>0</v>
      </c>
      <c r="H457" s="7">
        <f ca="1">IFERROR(__xludf.DUMMYFUNCTION("""COMPUTED_VALUE"""),499858.93903145)</f>
        <v>499858.93903145002</v>
      </c>
    </row>
    <row r="458" spans="1:8" ht="13" x14ac:dyDescent="0.15">
      <c r="A458" s="5" t="str">
        <f ca="1">IFERROR(__xludf.DUMMYFUNCTION("""COMPUTED_VALUE"""),"35577")</f>
        <v>35577</v>
      </c>
      <c r="B458" s="51">
        <f ca="1">IFERROR(__xludf.DUMMYFUNCTION("""COMPUTED_VALUE"""),44637)</f>
        <v>44637</v>
      </c>
      <c r="C458" s="22">
        <f ca="1">IFERROR(__xludf.DUMMYFUNCTION("""COMPUTED_VALUE"""),368886.84126345)</f>
        <v>368886.84126344998</v>
      </c>
      <c r="D458" s="22">
        <f ca="1">IFERROR(__xludf.DUMMYFUNCTION("""COMPUTED_VALUE"""),130249.3342505)</f>
        <v>130249.3342505</v>
      </c>
      <c r="E458" s="22">
        <f ca="1">IFERROR(__xludf.DUMMYFUNCTION("""COMPUTED_VALUE"""),499136.17551395)</f>
        <v>499136.17551395</v>
      </c>
      <c r="F458" s="22">
        <f ca="1">IFERROR(__xludf.DUMMYFUNCTION("""COMPUTED_VALUE"""),368886.84126345)</f>
        <v>368886.84126344998</v>
      </c>
      <c r="G458" s="22">
        <f ca="1">IFERROR(__xludf.DUMMYFUNCTION("""COMPUTED_VALUE"""),0)</f>
        <v>0</v>
      </c>
      <c r="H458" s="7">
        <f ca="1">IFERROR(__xludf.DUMMYFUNCTION("""COMPUTED_VALUE"""),499769.68277795)</f>
        <v>499769.68277795002</v>
      </c>
    </row>
    <row r="459" spans="1:8" ht="13" x14ac:dyDescent="0.15">
      <c r="A459" s="5" t="str">
        <f ca="1">IFERROR(__xludf.DUMMYFUNCTION("""COMPUTED_VALUE"""),"35577")</f>
        <v>35577</v>
      </c>
      <c r="B459" s="51">
        <f ca="1">IFERROR(__xludf.DUMMYFUNCTION("""COMPUTED_VALUE"""),44638)</f>
        <v>44638</v>
      </c>
      <c r="C459" s="22">
        <f ca="1">IFERROR(__xludf.DUMMYFUNCTION("""COMPUTED_VALUE"""),368886.84126345)</f>
        <v>368886.84126344998</v>
      </c>
      <c r="D459" s="22">
        <f ca="1">IFERROR(__xludf.DUMMYFUNCTION("""COMPUTED_VALUE"""),131153.908493)</f>
        <v>131153.908493</v>
      </c>
      <c r="E459" s="22">
        <f ca="1">IFERROR(__xludf.DUMMYFUNCTION("""COMPUTED_VALUE"""),500040.74975645)</f>
        <v>500040.74975645001</v>
      </c>
      <c r="F459" s="22">
        <f ca="1">IFERROR(__xludf.DUMMYFUNCTION("""COMPUTED_VALUE"""),368886.84126345)</f>
        <v>368886.84126344998</v>
      </c>
      <c r="G459" s="22">
        <f ca="1">IFERROR(__xludf.DUMMYFUNCTION("""COMPUTED_VALUE"""),0)</f>
        <v>0</v>
      </c>
      <c r="H459" s="7">
        <f ca="1">IFERROR(__xludf.DUMMYFUNCTION("""COMPUTED_VALUE"""),500733.07953095)</f>
        <v>500733.07953095</v>
      </c>
    </row>
    <row r="460" spans="1:8" ht="13" x14ac:dyDescent="0.15">
      <c r="A460" s="5" t="str">
        <f ca="1">IFERROR(__xludf.DUMMYFUNCTION("""COMPUTED_VALUE"""),"35577")</f>
        <v>35577</v>
      </c>
      <c r="B460" s="51">
        <f ca="1">IFERROR(__xludf.DUMMYFUNCTION("""COMPUTED_VALUE"""),44639)</f>
        <v>44639</v>
      </c>
      <c r="C460" s="22">
        <f ca="1">IFERROR(__xludf.DUMMYFUNCTION("""COMPUTED_VALUE"""),368886.84126345)</f>
        <v>368886.84126344998</v>
      </c>
      <c r="D460" s="22">
        <f ca="1">IFERROR(__xludf.DUMMYFUNCTION("""COMPUTED_VALUE"""),131153.908493)</f>
        <v>131153.908493</v>
      </c>
      <c r="E460" s="22">
        <f ca="1">IFERROR(__xludf.DUMMYFUNCTION("""COMPUTED_VALUE"""),500040.74975645)</f>
        <v>500040.74975645001</v>
      </c>
      <c r="F460" s="22">
        <f ca="1">IFERROR(__xludf.DUMMYFUNCTION("""COMPUTED_VALUE"""),368886.84126345)</f>
        <v>368886.84126344998</v>
      </c>
      <c r="G460" s="22">
        <f ca="1">IFERROR(__xludf.DUMMYFUNCTION("""COMPUTED_VALUE"""),0)</f>
        <v>0</v>
      </c>
      <c r="H460" s="7">
        <f ca="1">IFERROR(__xludf.DUMMYFUNCTION("""COMPUTED_VALUE"""),500733.07953095)</f>
        <v>500733.07953095</v>
      </c>
    </row>
    <row r="461" spans="1:8" ht="13" x14ac:dyDescent="0.15">
      <c r="A461" s="5" t="str">
        <f ca="1">IFERROR(__xludf.DUMMYFUNCTION("""COMPUTED_VALUE"""),"35577")</f>
        <v>35577</v>
      </c>
      <c r="B461" s="51">
        <f ca="1">IFERROR(__xludf.DUMMYFUNCTION("""COMPUTED_VALUE"""),44640)</f>
        <v>44640</v>
      </c>
      <c r="C461" s="22">
        <f ca="1">IFERROR(__xludf.DUMMYFUNCTION("""COMPUTED_VALUE"""),368886.84126345)</f>
        <v>368886.84126344998</v>
      </c>
      <c r="D461" s="22">
        <f ca="1">IFERROR(__xludf.DUMMYFUNCTION("""COMPUTED_VALUE"""),131139.29846735)</f>
        <v>131139.29846734999</v>
      </c>
      <c r="E461" s="22">
        <f ca="1">IFERROR(__xludf.DUMMYFUNCTION("""COMPUTED_VALUE"""),500026.1397308)</f>
        <v>500026.1397308</v>
      </c>
      <c r="F461" s="22">
        <f ca="1">IFERROR(__xludf.DUMMYFUNCTION("""COMPUTED_VALUE"""),368886.84126345)</f>
        <v>368886.84126344998</v>
      </c>
      <c r="G461" s="22">
        <f ca="1">IFERROR(__xludf.DUMMYFUNCTION("""COMPUTED_VALUE"""),0)</f>
        <v>0</v>
      </c>
      <c r="H461" s="7">
        <f ca="1">IFERROR(__xludf.DUMMYFUNCTION("""COMPUTED_VALUE"""),500715.2458277)</f>
        <v>500715.24582770001</v>
      </c>
    </row>
    <row r="462" spans="1:8" ht="13" x14ac:dyDescent="0.15">
      <c r="A462" s="5" t="str">
        <f ca="1">IFERROR(__xludf.DUMMYFUNCTION("""COMPUTED_VALUE"""),"35577")</f>
        <v>35577</v>
      </c>
      <c r="B462" s="51">
        <f ca="1">IFERROR(__xludf.DUMMYFUNCTION("""COMPUTED_VALUE"""),44641)</f>
        <v>44641</v>
      </c>
      <c r="C462" s="22">
        <f ca="1">IFERROR(__xludf.DUMMYFUNCTION("""COMPUTED_VALUE"""),368886.84126345)</f>
        <v>368886.84126344998</v>
      </c>
      <c r="D462" s="22">
        <f ca="1">IFERROR(__xludf.DUMMYFUNCTION("""COMPUTED_VALUE"""),131114.1356745)</f>
        <v>131114.13567449999</v>
      </c>
      <c r="E462" s="22">
        <f ca="1">IFERROR(__xludf.DUMMYFUNCTION("""COMPUTED_VALUE"""),500000.97693795)</f>
        <v>500000.97693795001</v>
      </c>
      <c r="F462" s="22">
        <f ca="1">IFERROR(__xludf.DUMMYFUNCTION("""COMPUTED_VALUE"""),368886.84126345)</f>
        <v>368886.84126344998</v>
      </c>
      <c r="G462" s="22">
        <f ca="1">IFERROR(__xludf.DUMMYFUNCTION("""COMPUTED_VALUE"""),0)</f>
        <v>0</v>
      </c>
      <c r="H462" s="7">
        <f ca="1">IFERROR(__xludf.DUMMYFUNCTION("""COMPUTED_VALUE"""),500571.15774395)</f>
        <v>500571.15774395003</v>
      </c>
    </row>
    <row r="463" spans="1:8" ht="13" x14ac:dyDescent="0.15">
      <c r="A463" s="5" t="str">
        <f ca="1">IFERROR(__xludf.DUMMYFUNCTION("""COMPUTED_VALUE"""),"35577")</f>
        <v>35577</v>
      </c>
      <c r="B463" s="51">
        <f ca="1">IFERROR(__xludf.DUMMYFUNCTION("""COMPUTED_VALUE"""),44642)</f>
        <v>44642</v>
      </c>
      <c r="C463" s="22">
        <f ca="1">IFERROR(__xludf.DUMMYFUNCTION("""COMPUTED_VALUE"""),368886.84126345)</f>
        <v>368886.84126344998</v>
      </c>
      <c r="D463" s="22">
        <f ca="1">IFERROR(__xludf.DUMMYFUNCTION("""COMPUTED_VALUE"""),132082.007345)</f>
        <v>132082.00734499999</v>
      </c>
      <c r="E463" s="22">
        <f ca="1">IFERROR(__xludf.DUMMYFUNCTION("""COMPUTED_VALUE"""),500968.84860845)</f>
        <v>500968.84860844997</v>
      </c>
      <c r="F463" s="22">
        <f ca="1">IFERROR(__xludf.DUMMYFUNCTION("""COMPUTED_VALUE"""),368886.84126345)</f>
        <v>368886.84126344998</v>
      </c>
      <c r="G463" s="22">
        <f ca="1">IFERROR(__xludf.DUMMYFUNCTION("""COMPUTED_VALUE"""),0)</f>
        <v>0</v>
      </c>
      <c r="H463" s="7">
        <f ca="1">IFERROR(__xludf.DUMMYFUNCTION("""COMPUTED_VALUE"""),500968.84860845)</f>
        <v>500968.84860844997</v>
      </c>
    </row>
    <row r="464" spans="1:8" ht="13" x14ac:dyDescent="0.15">
      <c r="A464" s="5" t="str">
        <f ca="1">IFERROR(__xludf.DUMMYFUNCTION("""COMPUTED_VALUE"""),"35702")</f>
        <v>35702</v>
      </c>
      <c r="B464" s="51">
        <f ca="1">IFERROR(__xludf.DUMMYFUNCTION("""COMPUTED_VALUE"""),44597)</f>
        <v>44597</v>
      </c>
      <c r="C464" s="22">
        <f ca="1">IFERROR(__xludf.DUMMYFUNCTION("""COMPUTED_VALUE"""),500000)</f>
        <v>500000</v>
      </c>
      <c r="D464" s="22">
        <f ca="1">IFERROR(__xludf.DUMMYFUNCTION("""COMPUTED_VALUE"""),0)</f>
        <v>0</v>
      </c>
      <c r="E464" s="22">
        <f ca="1">IFERROR(__xludf.DUMMYFUNCTION("""COMPUTED_VALUE"""),500000)</f>
        <v>500000</v>
      </c>
      <c r="F464" s="22">
        <f ca="1">IFERROR(__xludf.DUMMYFUNCTION("""COMPUTED_VALUE"""),500000)</f>
        <v>500000</v>
      </c>
      <c r="G464" s="22">
        <f ca="1">IFERROR(__xludf.DUMMYFUNCTION("""COMPUTED_VALUE"""),0)</f>
        <v>0</v>
      </c>
      <c r="H464" s="7">
        <f ca="1">IFERROR(__xludf.DUMMYFUNCTION("""COMPUTED_VALUE"""),500000)</f>
        <v>500000</v>
      </c>
    </row>
    <row r="465" spans="1:8" ht="13" x14ac:dyDescent="0.15">
      <c r="A465" s="5" t="str">
        <f ca="1">IFERROR(__xludf.DUMMYFUNCTION("""COMPUTED_VALUE"""),"35702")</f>
        <v>35702</v>
      </c>
      <c r="B465" s="51">
        <f ca="1">IFERROR(__xludf.DUMMYFUNCTION("""COMPUTED_VALUE"""),44598)</f>
        <v>44598</v>
      </c>
      <c r="C465" s="22">
        <f ca="1">IFERROR(__xludf.DUMMYFUNCTION("""COMPUTED_VALUE"""),500000)</f>
        <v>500000</v>
      </c>
      <c r="D465" s="22">
        <f ca="1">IFERROR(__xludf.DUMMYFUNCTION("""COMPUTED_VALUE"""),0)</f>
        <v>0</v>
      </c>
      <c r="E465" s="22">
        <f ca="1">IFERROR(__xludf.DUMMYFUNCTION("""COMPUTED_VALUE"""),500000)</f>
        <v>500000</v>
      </c>
      <c r="F465" s="22">
        <f ca="1">IFERROR(__xludf.DUMMYFUNCTION("""COMPUTED_VALUE"""),500000)</f>
        <v>500000</v>
      </c>
      <c r="G465" s="22">
        <f ca="1">IFERROR(__xludf.DUMMYFUNCTION("""COMPUTED_VALUE"""),0)</f>
        <v>0</v>
      </c>
      <c r="H465" s="7">
        <f ca="1">IFERROR(__xludf.DUMMYFUNCTION("""COMPUTED_VALUE"""),500000)</f>
        <v>500000</v>
      </c>
    </row>
    <row r="466" spans="1:8" ht="13" x14ac:dyDescent="0.15">
      <c r="A466" s="5" t="str">
        <f ca="1">IFERROR(__xludf.DUMMYFUNCTION("""COMPUTED_VALUE"""),"35702")</f>
        <v>35702</v>
      </c>
      <c r="B466" s="51">
        <f ca="1">IFERROR(__xludf.DUMMYFUNCTION("""COMPUTED_VALUE"""),44599)</f>
        <v>44599</v>
      </c>
      <c r="C466" s="22">
        <f ca="1">IFERROR(__xludf.DUMMYFUNCTION("""COMPUTED_VALUE"""),500000)</f>
        <v>500000</v>
      </c>
      <c r="D466" s="22">
        <f ca="1">IFERROR(__xludf.DUMMYFUNCTION("""COMPUTED_VALUE"""),0)</f>
        <v>0</v>
      </c>
      <c r="E466" s="22">
        <f ca="1">IFERROR(__xludf.DUMMYFUNCTION("""COMPUTED_VALUE"""),500000)</f>
        <v>500000</v>
      </c>
      <c r="F466" s="22">
        <f ca="1">IFERROR(__xludf.DUMMYFUNCTION("""COMPUTED_VALUE"""),500000)</f>
        <v>500000</v>
      </c>
      <c r="G466" s="22">
        <f ca="1">IFERROR(__xludf.DUMMYFUNCTION("""COMPUTED_VALUE"""),0)</f>
        <v>0</v>
      </c>
      <c r="H466" s="7">
        <f ca="1">IFERROR(__xludf.DUMMYFUNCTION("""COMPUTED_VALUE"""),500000)</f>
        <v>500000</v>
      </c>
    </row>
    <row r="467" spans="1:8" ht="13" x14ac:dyDescent="0.15">
      <c r="A467" s="5" t="str">
        <f ca="1">IFERROR(__xludf.DUMMYFUNCTION("""COMPUTED_VALUE"""),"35702")</f>
        <v>35702</v>
      </c>
      <c r="B467" s="51">
        <f ca="1">IFERROR(__xludf.DUMMYFUNCTION("""COMPUTED_VALUE"""),44600)</f>
        <v>44600</v>
      </c>
      <c r="C467" s="22">
        <f ca="1">IFERROR(__xludf.DUMMYFUNCTION("""COMPUTED_VALUE"""),500000)</f>
        <v>500000</v>
      </c>
      <c r="D467" s="22">
        <f ca="1">IFERROR(__xludf.DUMMYFUNCTION("""COMPUTED_VALUE"""),0)</f>
        <v>0</v>
      </c>
      <c r="E467" s="22">
        <f ca="1">IFERROR(__xludf.DUMMYFUNCTION("""COMPUTED_VALUE"""),500000)</f>
        <v>500000</v>
      </c>
      <c r="F467" s="22">
        <f ca="1">IFERROR(__xludf.DUMMYFUNCTION("""COMPUTED_VALUE"""),500000)</f>
        <v>500000</v>
      </c>
      <c r="G467" s="22">
        <f ca="1">IFERROR(__xludf.DUMMYFUNCTION("""COMPUTED_VALUE"""),0)</f>
        <v>0</v>
      </c>
      <c r="H467" s="7">
        <f ca="1">IFERROR(__xludf.DUMMYFUNCTION("""COMPUTED_VALUE"""),500000)</f>
        <v>500000</v>
      </c>
    </row>
    <row r="468" spans="1:8" ht="13" x14ac:dyDescent="0.15">
      <c r="A468" s="5" t="str">
        <f ca="1">IFERROR(__xludf.DUMMYFUNCTION("""COMPUTED_VALUE"""),"35702")</f>
        <v>35702</v>
      </c>
      <c r="B468" s="51">
        <f ca="1">IFERROR(__xludf.DUMMYFUNCTION("""COMPUTED_VALUE"""),44601)</f>
        <v>44601</v>
      </c>
      <c r="C468" s="22">
        <f ca="1">IFERROR(__xludf.DUMMYFUNCTION("""COMPUTED_VALUE"""),500000)</f>
        <v>500000</v>
      </c>
      <c r="D468" s="22">
        <f ca="1">IFERROR(__xludf.DUMMYFUNCTION("""COMPUTED_VALUE"""),0)</f>
        <v>0</v>
      </c>
      <c r="E468" s="22">
        <f ca="1">IFERROR(__xludf.DUMMYFUNCTION("""COMPUTED_VALUE"""),500000)</f>
        <v>500000</v>
      </c>
      <c r="F468" s="22">
        <f ca="1">IFERROR(__xludf.DUMMYFUNCTION("""COMPUTED_VALUE"""),500000)</f>
        <v>500000</v>
      </c>
      <c r="G468" s="22">
        <f ca="1">IFERROR(__xludf.DUMMYFUNCTION("""COMPUTED_VALUE"""),0)</f>
        <v>0</v>
      </c>
      <c r="H468" s="7">
        <f ca="1">IFERROR(__xludf.DUMMYFUNCTION("""COMPUTED_VALUE"""),500000)</f>
        <v>500000</v>
      </c>
    </row>
    <row r="469" spans="1:8" ht="13" x14ac:dyDescent="0.15">
      <c r="A469" s="5" t="str">
        <f ca="1">IFERROR(__xludf.DUMMYFUNCTION("""COMPUTED_VALUE"""),"35702")</f>
        <v>35702</v>
      </c>
      <c r="B469" s="51">
        <f ca="1">IFERROR(__xludf.DUMMYFUNCTION("""COMPUTED_VALUE"""),44602)</f>
        <v>44602</v>
      </c>
      <c r="C469" s="22">
        <f ca="1">IFERROR(__xludf.DUMMYFUNCTION("""COMPUTED_VALUE"""),500000)</f>
        <v>500000</v>
      </c>
      <c r="D469" s="22">
        <f ca="1">IFERROR(__xludf.DUMMYFUNCTION("""COMPUTED_VALUE"""),0)</f>
        <v>0</v>
      </c>
      <c r="E469" s="22">
        <f ca="1">IFERROR(__xludf.DUMMYFUNCTION("""COMPUTED_VALUE"""),500000)</f>
        <v>500000</v>
      </c>
      <c r="F469" s="22">
        <f ca="1">IFERROR(__xludf.DUMMYFUNCTION("""COMPUTED_VALUE"""),500000)</f>
        <v>500000</v>
      </c>
      <c r="G469" s="22">
        <f ca="1">IFERROR(__xludf.DUMMYFUNCTION("""COMPUTED_VALUE"""),0)</f>
        <v>0</v>
      </c>
      <c r="H469" s="7">
        <f ca="1">IFERROR(__xludf.DUMMYFUNCTION("""COMPUTED_VALUE"""),500000)</f>
        <v>500000</v>
      </c>
    </row>
    <row r="470" spans="1:8" ht="13" x14ac:dyDescent="0.15">
      <c r="A470" s="5" t="str">
        <f ca="1">IFERROR(__xludf.DUMMYFUNCTION("""COMPUTED_VALUE"""),"35702")</f>
        <v>35702</v>
      </c>
      <c r="B470" s="51">
        <f ca="1">IFERROR(__xludf.DUMMYFUNCTION("""COMPUTED_VALUE"""),44603)</f>
        <v>44603</v>
      </c>
      <c r="C470" s="22">
        <f ca="1">IFERROR(__xludf.DUMMYFUNCTION("""COMPUTED_VALUE"""),500000)</f>
        <v>500000</v>
      </c>
      <c r="D470" s="22">
        <f ca="1">IFERROR(__xludf.DUMMYFUNCTION("""COMPUTED_VALUE"""),0)</f>
        <v>0</v>
      </c>
      <c r="E470" s="22">
        <f ca="1">IFERROR(__xludf.DUMMYFUNCTION("""COMPUTED_VALUE"""),500000)</f>
        <v>500000</v>
      </c>
      <c r="F470" s="22">
        <f ca="1">IFERROR(__xludf.DUMMYFUNCTION("""COMPUTED_VALUE"""),500000)</f>
        <v>500000</v>
      </c>
      <c r="G470" s="22">
        <f ca="1">IFERROR(__xludf.DUMMYFUNCTION("""COMPUTED_VALUE"""),0)</f>
        <v>0</v>
      </c>
      <c r="H470" s="7">
        <f ca="1">IFERROR(__xludf.DUMMYFUNCTION("""COMPUTED_VALUE"""),500000)</f>
        <v>500000</v>
      </c>
    </row>
    <row r="471" spans="1:8" ht="13" x14ac:dyDescent="0.15">
      <c r="A471" s="5" t="str">
        <f ca="1">IFERROR(__xludf.DUMMYFUNCTION("""COMPUTED_VALUE"""),"35702")</f>
        <v>35702</v>
      </c>
      <c r="B471" s="51">
        <f ca="1">IFERROR(__xludf.DUMMYFUNCTION("""COMPUTED_VALUE"""),44604)</f>
        <v>44604</v>
      </c>
      <c r="C471" s="22">
        <f ca="1">IFERROR(__xludf.DUMMYFUNCTION("""COMPUTED_VALUE"""),500000)</f>
        <v>500000</v>
      </c>
      <c r="D471" s="22">
        <f ca="1">IFERROR(__xludf.DUMMYFUNCTION("""COMPUTED_VALUE"""),0)</f>
        <v>0</v>
      </c>
      <c r="E471" s="22">
        <f ca="1">IFERROR(__xludf.DUMMYFUNCTION("""COMPUTED_VALUE"""),500000)</f>
        <v>500000</v>
      </c>
      <c r="F471" s="22">
        <f ca="1">IFERROR(__xludf.DUMMYFUNCTION("""COMPUTED_VALUE"""),500000)</f>
        <v>500000</v>
      </c>
      <c r="G471" s="22">
        <f ca="1">IFERROR(__xludf.DUMMYFUNCTION("""COMPUTED_VALUE"""),0)</f>
        <v>0</v>
      </c>
      <c r="H471" s="7">
        <f ca="1">IFERROR(__xludf.DUMMYFUNCTION("""COMPUTED_VALUE"""),500000)</f>
        <v>500000</v>
      </c>
    </row>
    <row r="472" spans="1:8" ht="13" x14ac:dyDescent="0.15">
      <c r="A472" s="5" t="str">
        <f ca="1">IFERROR(__xludf.DUMMYFUNCTION("""COMPUTED_VALUE"""),"35702")</f>
        <v>35702</v>
      </c>
      <c r="B472" s="51">
        <f ca="1">IFERROR(__xludf.DUMMYFUNCTION("""COMPUTED_VALUE"""),44605)</f>
        <v>44605</v>
      </c>
      <c r="C472" s="22">
        <f ca="1">IFERROR(__xludf.DUMMYFUNCTION("""COMPUTED_VALUE"""),500000)</f>
        <v>500000</v>
      </c>
      <c r="D472" s="22">
        <f ca="1">IFERROR(__xludf.DUMMYFUNCTION("""COMPUTED_VALUE"""),0)</f>
        <v>0</v>
      </c>
      <c r="E472" s="22">
        <f ca="1">IFERROR(__xludf.DUMMYFUNCTION("""COMPUTED_VALUE"""),500000)</f>
        <v>500000</v>
      </c>
      <c r="F472" s="22">
        <f ca="1">IFERROR(__xludf.DUMMYFUNCTION("""COMPUTED_VALUE"""),500000)</f>
        <v>500000</v>
      </c>
      <c r="G472" s="22">
        <f ca="1">IFERROR(__xludf.DUMMYFUNCTION("""COMPUTED_VALUE"""),0)</f>
        <v>0</v>
      </c>
      <c r="H472" s="7">
        <f ca="1">IFERROR(__xludf.DUMMYFUNCTION("""COMPUTED_VALUE"""),500000)</f>
        <v>500000</v>
      </c>
    </row>
    <row r="473" spans="1:8" ht="13" x14ac:dyDescent="0.15">
      <c r="A473" s="5" t="str">
        <f ca="1">IFERROR(__xludf.DUMMYFUNCTION("""COMPUTED_VALUE"""),"35702")</f>
        <v>35702</v>
      </c>
      <c r="B473" s="51">
        <f ca="1">IFERROR(__xludf.DUMMYFUNCTION("""COMPUTED_VALUE"""),44606)</f>
        <v>44606</v>
      </c>
      <c r="C473" s="22">
        <f ca="1">IFERROR(__xludf.DUMMYFUNCTION("""COMPUTED_VALUE"""),500000)</f>
        <v>500000</v>
      </c>
      <c r="D473" s="22">
        <f ca="1">IFERROR(__xludf.DUMMYFUNCTION("""COMPUTED_VALUE"""),0)</f>
        <v>0</v>
      </c>
      <c r="E473" s="22">
        <f ca="1">IFERROR(__xludf.DUMMYFUNCTION("""COMPUTED_VALUE"""),500000)</f>
        <v>500000</v>
      </c>
      <c r="F473" s="22">
        <f ca="1">IFERROR(__xludf.DUMMYFUNCTION("""COMPUTED_VALUE"""),500000)</f>
        <v>500000</v>
      </c>
      <c r="G473" s="22">
        <f ca="1">IFERROR(__xludf.DUMMYFUNCTION("""COMPUTED_VALUE"""),0)</f>
        <v>0</v>
      </c>
      <c r="H473" s="7">
        <f ca="1">IFERROR(__xludf.DUMMYFUNCTION("""COMPUTED_VALUE"""),500000)</f>
        <v>500000</v>
      </c>
    </row>
    <row r="474" spans="1:8" ht="13" x14ac:dyDescent="0.15">
      <c r="A474" s="5" t="str">
        <f ca="1">IFERROR(__xludf.DUMMYFUNCTION("""COMPUTED_VALUE"""),"35702")</f>
        <v>35702</v>
      </c>
      <c r="B474" s="51">
        <f ca="1">IFERROR(__xludf.DUMMYFUNCTION("""COMPUTED_VALUE"""),44607)</f>
        <v>44607</v>
      </c>
      <c r="C474" s="22">
        <f ca="1">IFERROR(__xludf.DUMMYFUNCTION("""COMPUTED_VALUE"""),500000)</f>
        <v>500000</v>
      </c>
      <c r="D474" s="22">
        <f ca="1">IFERROR(__xludf.DUMMYFUNCTION("""COMPUTED_VALUE"""),0)</f>
        <v>0</v>
      </c>
      <c r="E474" s="22">
        <f ca="1">IFERROR(__xludf.DUMMYFUNCTION("""COMPUTED_VALUE"""),500000)</f>
        <v>500000</v>
      </c>
      <c r="F474" s="22">
        <f ca="1">IFERROR(__xludf.DUMMYFUNCTION("""COMPUTED_VALUE"""),500000)</f>
        <v>500000</v>
      </c>
      <c r="G474" s="22">
        <f ca="1">IFERROR(__xludf.DUMMYFUNCTION("""COMPUTED_VALUE"""),0)</f>
        <v>0</v>
      </c>
      <c r="H474" s="7">
        <f ca="1">IFERROR(__xludf.DUMMYFUNCTION("""COMPUTED_VALUE"""),500000)</f>
        <v>500000</v>
      </c>
    </row>
    <row r="475" spans="1:8" ht="13" x14ac:dyDescent="0.15">
      <c r="A475" s="5" t="str">
        <f ca="1">IFERROR(__xludf.DUMMYFUNCTION("""COMPUTED_VALUE"""),"35702")</f>
        <v>35702</v>
      </c>
      <c r="B475" s="51">
        <f ca="1">IFERROR(__xludf.DUMMYFUNCTION("""COMPUTED_VALUE"""),44608)</f>
        <v>44608</v>
      </c>
      <c r="C475" s="22">
        <f ca="1">IFERROR(__xludf.DUMMYFUNCTION("""COMPUTED_VALUE"""),500000)</f>
        <v>500000</v>
      </c>
      <c r="D475" s="22">
        <f ca="1">IFERROR(__xludf.DUMMYFUNCTION("""COMPUTED_VALUE"""),0)</f>
        <v>0</v>
      </c>
      <c r="E475" s="22">
        <f ca="1">IFERROR(__xludf.DUMMYFUNCTION("""COMPUTED_VALUE"""),500000)</f>
        <v>500000</v>
      </c>
      <c r="F475" s="22">
        <f ca="1">IFERROR(__xludf.DUMMYFUNCTION("""COMPUTED_VALUE"""),500000)</f>
        <v>500000</v>
      </c>
      <c r="G475" s="22">
        <f ca="1">IFERROR(__xludf.DUMMYFUNCTION("""COMPUTED_VALUE"""),0)</f>
        <v>0</v>
      </c>
      <c r="H475" s="7">
        <f ca="1">IFERROR(__xludf.DUMMYFUNCTION("""COMPUTED_VALUE"""),500000)</f>
        <v>500000</v>
      </c>
    </row>
    <row r="476" spans="1:8" ht="13" x14ac:dyDescent="0.15">
      <c r="A476" s="5" t="str">
        <f ca="1">IFERROR(__xludf.DUMMYFUNCTION("""COMPUTED_VALUE"""),"35702")</f>
        <v>35702</v>
      </c>
      <c r="B476" s="51">
        <f ca="1">IFERROR(__xludf.DUMMYFUNCTION("""COMPUTED_VALUE"""),44609)</f>
        <v>44609</v>
      </c>
      <c r="C476" s="22">
        <f ca="1">IFERROR(__xludf.DUMMYFUNCTION("""COMPUTED_VALUE"""),500000)</f>
        <v>500000</v>
      </c>
      <c r="D476" s="22">
        <f ca="1">IFERROR(__xludf.DUMMYFUNCTION("""COMPUTED_VALUE"""),0)</f>
        <v>0</v>
      </c>
      <c r="E476" s="22">
        <f ca="1">IFERROR(__xludf.DUMMYFUNCTION("""COMPUTED_VALUE"""),500000)</f>
        <v>500000</v>
      </c>
      <c r="F476" s="22">
        <f ca="1">IFERROR(__xludf.DUMMYFUNCTION("""COMPUTED_VALUE"""),500000)</f>
        <v>500000</v>
      </c>
      <c r="G476" s="22">
        <f ca="1">IFERROR(__xludf.DUMMYFUNCTION("""COMPUTED_VALUE"""),0)</f>
        <v>0</v>
      </c>
      <c r="H476" s="7">
        <f ca="1">IFERROR(__xludf.DUMMYFUNCTION("""COMPUTED_VALUE"""),500000)</f>
        <v>500000</v>
      </c>
    </row>
    <row r="477" spans="1:8" ht="13" x14ac:dyDescent="0.15">
      <c r="A477" s="5" t="str">
        <f ca="1">IFERROR(__xludf.DUMMYFUNCTION("""COMPUTED_VALUE"""),"35702")</f>
        <v>35702</v>
      </c>
      <c r="B477" s="51">
        <f ca="1">IFERROR(__xludf.DUMMYFUNCTION("""COMPUTED_VALUE"""),44610)</f>
        <v>44610</v>
      </c>
      <c r="C477" s="22">
        <f ca="1">IFERROR(__xludf.DUMMYFUNCTION("""COMPUTED_VALUE"""),500000)</f>
        <v>500000</v>
      </c>
      <c r="D477" s="22">
        <f ca="1">IFERROR(__xludf.DUMMYFUNCTION("""COMPUTED_VALUE"""),0)</f>
        <v>0</v>
      </c>
      <c r="E477" s="22">
        <f ca="1">IFERROR(__xludf.DUMMYFUNCTION("""COMPUTED_VALUE"""),500000)</f>
        <v>500000</v>
      </c>
      <c r="F477" s="22">
        <f ca="1">IFERROR(__xludf.DUMMYFUNCTION("""COMPUTED_VALUE"""),500000)</f>
        <v>500000</v>
      </c>
      <c r="G477" s="22">
        <f ca="1">IFERROR(__xludf.DUMMYFUNCTION("""COMPUTED_VALUE"""),0)</f>
        <v>0</v>
      </c>
      <c r="H477" s="7">
        <f ca="1">IFERROR(__xludf.DUMMYFUNCTION("""COMPUTED_VALUE"""),500000)</f>
        <v>500000</v>
      </c>
    </row>
    <row r="478" spans="1:8" ht="13" x14ac:dyDescent="0.15">
      <c r="A478" s="5" t="str">
        <f ca="1">IFERROR(__xludf.DUMMYFUNCTION("""COMPUTED_VALUE"""),"35702")</f>
        <v>35702</v>
      </c>
      <c r="B478" s="51">
        <f ca="1">IFERROR(__xludf.DUMMYFUNCTION("""COMPUTED_VALUE"""),44611)</f>
        <v>44611</v>
      </c>
      <c r="C478" s="22">
        <f ca="1">IFERROR(__xludf.DUMMYFUNCTION("""COMPUTED_VALUE"""),500000)</f>
        <v>500000</v>
      </c>
      <c r="D478" s="22">
        <f ca="1">IFERROR(__xludf.DUMMYFUNCTION("""COMPUTED_VALUE"""),0)</f>
        <v>0</v>
      </c>
      <c r="E478" s="22">
        <f ca="1">IFERROR(__xludf.DUMMYFUNCTION("""COMPUTED_VALUE"""),500000)</f>
        <v>500000</v>
      </c>
      <c r="F478" s="22">
        <f ca="1">IFERROR(__xludf.DUMMYFUNCTION("""COMPUTED_VALUE"""),500000)</f>
        <v>500000</v>
      </c>
      <c r="G478" s="22">
        <f ca="1">IFERROR(__xludf.DUMMYFUNCTION("""COMPUTED_VALUE"""),0)</f>
        <v>0</v>
      </c>
      <c r="H478" s="7">
        <f ca="1">IFERROR(__xludf.DUMMYFUNCTION("""COMPUTED_VALUE"""),500000)</f>
        <v>500000</v>
      </c>
    </row>
    <row r="479" spans="1:8" ht="13" x14ac:dyDescent="0.15">
      <c r="A479" s="5" t="str">
        <f ca="1">IFERROR(__xludf.DUMMYFUNCTION("""COMPUTED_VALUE"""),"35702")</f>
        <v>35702</v>
      </c>
      <c r="B479" s="51">
        <f ca="1">IFERROR(__xludf.DUMMYFUNCTION("""COMPUTED_VALUE"""),44612)</f>
        <v>44612</v>
      </c>
      <c r="C479" s="22">
        <f ca="1">IFERROR(__xludf.DUMMYFUNCTION("""COMPUTED_VALUE"""),500000)</f>
        <v>500000</v>
      </c>
      <c r="D479" s="22">
        <f ca="1">IFERROR(__xludf.DUMMYFUNCTION("""COMPUTED_VALUE"""),0)</f>
        <v>0</v>
      </c>
      <c r="E479" s="22">
        <f ca="1">IFERROR(__xludf.DUMMYFUNCTION("""COMPUTED_VALUE"""),500000)</f>
        <v>500000</v>
      </c>
      <c r="F479" s="22">
        <f ca="1">IFERROR(__xludf.DUMMYFUNCTION("""COMPUTED_VALUE"""),500000)</f>
        <v>500000</v>
      </c>
      <c r="G479" s="22">
        <f ca="1">IFERROR(__xludf.DUMMYFUNCTION("""COMPUTED_VALUE"""),0)</f>
        <v>0</v>
      </c>
      <c r="H479" s="7">
        <f ca="1">IFERROR(__xludf.DUMMYFUNCTION("""COMPUTED_VALUE"""),500000)</f>
        <v>500000</v>
      </c>
    </row>
    <row r="480" spans="1:8" ht="13" x14ac:dyDescent="0.15">
      <c r="A480" s="5" t="str">
        <f ca="1">IFERROR(__xludf.DUMMYFUNCTION("""COMPUTED_VALUE"""),"35702")</f>
        <v>35702</v>
      </c>
      <c r="B480" s="51">
        <f ca="1">IFERROR(__xludf.DUMMYFUNCTION("""COMPUTED_VALUE"""),44613)</f>
        <v>44613</v>
      </c>
      <c r="C480" s="22">
        <f ca="1">IFERROR(__xludf.DUMMYFUNCTION("""COMPUTED_VALUE"""),500000)</f>
        <v>500000</v>
      </c>
      <c r="D480" s="22">
        <f ca="1">IFERROR(__xludf.DUMMYFUNCTION("""COMPUTED_VALUE"""),0)</f>
        <v>0</v>
      </c>
      <c r="E480" s="22">
        <f ca="1">IFERROR(__xludf.DUMMYFUNCTION("""COMPUTED_VALUE"""),500000)</f>
        <v>500000</v>
      </c>
      <c r="F480" s="22">
        <f ca="1">IFERROR(__xludf.DUMMYFUNCTION("""COMPUTED_VALUE"""),500000)</f>
        <v>500000</v>
      </c>
      <c r="G480" s="22">
        <f ca="1">IFERROR(__xludf.DUMMYFUNCTION("""COMPUTED_VALUE"""),0)</f>
        <v>0</v>
      </c>
      <c r="H480" s="7">
        <f ca="1">IFERROR(__xludf.DUMMYFUNCTION("""COMPUTED_VALUE"""),500000)</f>
        <v>500000</v>
      </c>
    </row>
    <row r="481" spans="1:8" ht="13" x14ac:dyDescent="0.15">
      <c r="A481" s="5" t="str">
        <f ca="1">IFERROR(__xludf.DUMMYFUNCTION("""COMPUTED_VALUE"""),"35702")</f>
        <v>35702</v>
      </c>
      <c r="B481" s="51">
        <f ca="1">IFERROR(__xludf.DUMMYFUNCTION("""COMPUTED_VALUE"""),44614)</f>
        <v>44614</v>
      </c>
      <c r="C481" s="22">
        <f ca="1">IFERROR(__xludf.DUMMYFUNCTION("""COMPUTED_VALUE"""),500000)</f>
        <v>500000</v>
      </c>
      <c r="D481" s="22">
        <f ca="1">IFERROR(__xludf.DUMMYFUNCTION("""COMPUTED_VALUE"""),0)</f>
        <v>0</v>
      </c>
      <c r="E481" s="22">
        <f ca="1">IFERROR(__xludf.DUMMYFUNCTION("""COMPUTED_VALUE"""),500000)</f>
        <v>500000</v>
      </c>
      <c r="F481" s="22">
        <f ca="1">IFERROR(__xludf.DUMMYFUNCTION("""COMPUTED_VALUE"""),500000)</f>
        <v>500000</v>
      </c>
      <c r="G481" s="22">
        <f ca="1">IFERROR(__xludf.DUMMYFUNCTION("""COMPUTED_VALUE"""),0)</f>
        <v>0</v>
      </c>
      <c r="H481" s="7">
        <f ca="1">IFERROR(__xludf.DUMMYFUNCTION("""COMPUTED_VALUE"""),500000)</f>
        <v>500000</v>
      </c>
    </row>
    <row r="482" spans="1:8" ht="13" x14ac:dyDescent="0.15">
      <c r="A482" s="5" t="str">
        <f ca="1">IFERROR(__xludf.DUMMYFUNCTION("""COMPUTED_VALUE"""),"35702")</f>
        <v>35702</v>
      </c>
      <c r="B482" s="51">
        <f ca="1">IFERROR(__xludf.DUMMYFUNCTION("""COMPUTED_VALUE"""),44615)</f>
        <v>44615</v>
      </c>
      <c r="C482" s="22">
        <f ca="1">IFERROR(__xludf.DUMMYFUNCTION("""COMPUTED_VALUE"""),500000)</f>
        <v>500000</v>
      </c>
      <c r="D482" s="22">
        <f ca="1">IFERROR(__xludf.DUMMYFUNCTION("""COMPUTED_VALUE"""),0)</f>
        <v>0</v>
      </c>
      <c r="E482" s="22">
        <f ca="1">IFERROR(__xludf.DUMMYFUNCTION("""COMPUTED_VALUE"""),500000)</f>
        <v>500000</v>
      </c>
      <c r="F482" s="22">
        <f ca="1">IFERROR(__xludf.DUMMYFUNCTION("""COMPUTED_VALUE"""),500000)</f>
        <v>500000</v>
      </c>
      <c r="G482" s="22">
        <f ca="1">IFERROR(__xludf.DUMMYFUNCTION("""COMPUTED_VALUE"""),0)</f>
        <v>0</v>
      </c>
      <c r="H482" s="7">
        <f ca="1">IFERROR(__xludf.DUMMYFUNCTION("""COMPUTED_VALUE"""),500000)</f>
        <v>500000</v>
      </c>
    </row>
    <row r="483" spans="1:8" ht="13" x14ac:dyDescent="0.15">
      <c r="A483" s="5" t="str">
        <f ca="1">IFERROR(__xludf.DUMMYFUNCTION("""COMPUTED_VALUE"""),"35702")</f>
        <v>35702</v>
      </c>
      <c r="B483" s="51">
        <f ca="1">IFERROR(__xludf.DUMMYFUNCTION("""COMPUTED_VALUE"""),44616)</f>
        <v>44616</v>
      </c>
      <c r="C483" s="22">
        <f ca="1">IFERROR(__xludf.DUMMYFUNCTION("""COMPUTED_VALUE"""),500000)</f>
        <v>500000</v>
      </c>
      <c r="D483" s="22">
        <f ca="1">IFERROR(__xludf.DUMMYFUNCTION("""COMPUTED_VALUE"""),0)</f>
        <v>0</v>
      </c>
      <c r="E483" s="22">
        <f ca="1">IFERROR(__xludf.DUMMYFUNCTION("""COMPUTED_VALUE"""),500000)</f>
        <v>500000</v>
      </c>
      <c r="F483" s="22">
        <f ca="1">IFERROR(__xludf.DUMMYFUNCTION("""COMPUTED_VALUE"""),500000)</f>
        <v>500000</v>
      </c>
      <c r="G483" s="22">
        <f ca="1">IFERROR(__xludf.DUMMYFUNCTION("""COMPUTED_VALUE"""),0)</f>
        <v>0</v>
      </c>
      <c r="H483" s="7">
        <f ca="1">IFERROR(__xludf.DUMMYFUNCTION("""COMPUTED_VALUE"""),500000)</f>
        <v>500000</v>
      </c>
    </row>
    <row r="484" spans="1:8" ht="13" x14ac:dyDescent="0.15">
      <c r="A484" s="5" t="str">
        <f ca="1">IFERROR(__xludf.DUMMYFUNCTION("""COMPUTED_VALUE"""),"35702")</f>
        <v>35702</v>
      </c>
      <c r="B484" s="51">
        <f ca="1">IFERROR(__xludf.DUMMYFUNCTION("""COMPUTED_VALUE"""),44617)</f>
        <v>44617</v>
      </c>
      <c r="C484" s="22">
        <f ca="1">IFERROR(__xludf.DUMMYFUNCTION("""COMPUTED_VALUE"""),500000)</f>
        <v>500000</v>
      </c>
      <c r="D484" s="22">
        <f ca="1">IFERROR(__xludf.DUMMYFUNCTION("""COMPUTED_VALUE"""),0)</f>
        <v>0</v>
      </c>
      <c r="E484" s="22">
        <f ca="1">IFERROR(__xludf.DUMMYFUNCTION("""COMPUTED_VALUE"""),500000)</f>
        <v>500000</v>
      </c>
      <c r="F484" s="22">
        <f ca="1">IFERROR(__xludf.DUMMYFUNCTION("""COMPUTED_VALUE"""),500000)</f>
        <v>500000</v>
      </c>
      <c r="G484" s="22">
        <f ca="1">IFERROR(__xludf.DUMMYFUNCTION("""COMPUTED_VALUE"""),0)</f>
        <v>0</v>
      </c>
      <c r="H484" s="7">
        <f ca="1">IFERROR(__xludf.DUMMYFUNCTION("""COMPUTED_VALUE"""),500000)</f>
        <v>500000</v>
      </c>
    </row>
    <row r="485" spans="1:8" ht="13" x14ac:dyDescent="0.15">
      <c r="A485" s="5" t="str">
        <f ca="1">IFERROR(__xludf.DUMMYFUNCTION("""COMPUTED_VALUE"""),"35702")</f>
        <v>35702</v>
      </c>
      <c r="B485" s="51">
        <f ca="1">IFERROR(__xludf.DUMMYFUNCTION("""COMPUTED_VALUE"""),44618)</f>
        <v>44618</v>
      </c>
      <c r="C485" s="22">
        <f ca="1">IFERROR(__xludf.DUMMYFUNCTION("""COMPUTED_VALUE"""),500000)</f>
        <v>500000</v>
      </c>
      <c r="D485" s="22">
        <f ca="1">IFERROR(__xludf.DUMMYFUNCTION("""COMPUTED_VALUE"""),0)</f>
        <v>0</v>
      </c>
      <c r="E485" s="22">
        <f ca="1">IFERROR(__xludf.DUMMYFUNCTION("""COMPUTED_VALUE"""),500000)</f>
        <v>500000</v>
      </c>
      <c r="F485" s="22">
        <f ca="1">IFERROR(__xludf.DUMMYFUNCTION("""COMPUTED_VALUE"""),500000)</f>
        <v>500000</v>
      </c>
      <c r="G485" s="22">
        <f ca="1">IFERROR(__xludf.DUMMYFUNCTION("""COMPUTED_VALUE"""),0)</f>
        <v>0</v>
      </c>
      <c r="H485" s="7">
        <f ca="1">IFERROR(__xludf.DUMMYFUNCTION("""COMPUTED_VALUE"""),500000)</f>
        <v>500000</v>
      </c>
    </row>
    <row r="486" spans="1:8" ht="13" x14ac:dyDescent="0.15">
      <c r="A486" s="5" t="str">
        <f ca="1">IFERROR(__xludf.DUMMYFUNCTION("""COMPUTED_VALUE"""),"35702")</f>
        <v>35702</v>
      </c>
      <c r="B486" s="51">
        <f ca="1">IFERROR(__xludf.DUMMYFUNCTION("""COMPUTED_VALUE"""),44619)</f>
        <v>44619</v>
      </c>
      <c r="C486" s="22">
        <f ca="1">IFERROR(__xludf.DUMMYFUNCTION("""COMPUTED_VALUE"""),500000)</f>
        <v>500000</v>
      </c>
      <c r="D486" s="22">
        <f ca="1">IFERROR(__xludf.DUMMYFUNCTION("""COMPUTED_VALUE"""),0)</f>
        <v>0</v>
      </c>
      <c r="E486" s="22">
        <f ca="1">IFERROR(__xludf.DUMMYFUNCTION("""COMPUTED_VALUE"""),500000)</f>
        <v>500000</v>
      </c>
      <c r="F486" s="22">
        <f ca="1">IFERROR(__xludf.DUMMYFUNCTION("""COMPUTED_VALUE"""),500000)</f>
        <v>500000</v>
      </c>
      <c r="G486" s="22">
        <f ca="1">IFERROR(__xludf.DUMMYFUNCTION("""COMPUTED_VALUE"""),0)</f>
        <v>0</v>
      </c>
      <c r="H486" s="7">
        <f ca="1">IFERROR(__xludf.DUMMYFUNCTION("""COMPUTED_VALUE"""),500000)</f>
        <v>500000</v>
      </c>
    </row>
    <row r="487" spans="1:8" ht="13" x14ac:dyDescent="0.15">
      <c r="A487" s="5" t="str">
        <f ca="1">IFERROR(__xludf.DUMMYFUNCTION("""COMPUTED_VALUE"""),"35702")</f>
        <v>35702</v>
      </c>
      <c r="B487" s="51">
        <f ca="1">IFERROR(__xludf.DUMMYFUNCTION("""COMPUTED_VALUE"""),44620)</f>
        <v>44620</v>
      </c>
      <c r="C487" s="22">
        <f ca="1">IFERROR(__xludf.DUMMYFUNCTION("""COMPUTED_VALUE"""),500000)</f>
        <v>500000</v>
      </c>
      <c r="D487" s="22">
        <f ca="1">IFERROR(__xludf.DUMMYFUNCTION("""COMPUTED_VALUE"""),0)</f>
        <v>0</v>
      </c>
      <c r="E487" s="22">
        <f ca="1">IFERROR(__xludf.DUMMYFUNCTION("""COMPUTED_VALUE"""),500000)</f>
        <v>500000</v>
      </c>
      <c r="F487" s="22">
        <f ca="1">IFERROR(__xludf.DUMMYFUNCTION("""COMPUTED_VALUE"""),500000)</f>
        <v>500000</v>
      </c>
      <c r="G487" s="22">
        <f ca="1">IFERROR(__xludf.DUMMYFUNCTION("""COMPUTED_VALUE"""),0)</f>
        <v>0</v>
      </c>
      <c r="H487" s="7">
        <f ca="1">IFERROR(__xludf.DUMMYFUNCTION("""COMPUTED_VALUE"""),500000)</f>
        <v>500000</v>
      </c>
    </row>
    <row r="488" spans="1:8" ht="13" x14ac:dyDescent="0.15">
      <c r="A488" s="5" t="str">
        <f ca="1">IFERROR(__xludf.DUMMYFUNCTION("""COMPUTED_VALUE"""),"35702")</f>
        <v>35702</v>
      </c>
      <c r="B488" s="51">
        <f ca="1">IFERROR(__xludf.DUMMYFUNCTION("""COMPUTED_VALUE"""),44621)</f>
        <v>44621</v>
      </c>
      <c r="C488" s="22">
        <f ca="1">IFERROR(__xludf.DUMMYFUNCTION("""COMPUTED_VALUE"""),500000)</f>
        <v>500000</v>
      </c>
      <c r="D488" s="22">
        <f ca="1">IFERROR(__xludf.DUMMYFUNCTION("""COMPUTED_VALUE"""),0)</f>
        <v>0</v>
      </c>
      <c r="E488" s="22">
        <f ca="1">IFERROR(__xludf.DUMMYFUNCTION("""COMPUTED_VALUE"""),500000)</f>
        <v>500000</v>
      </c>
      <c r="F488" s="22">
        <f ca="1">IFERROR(__xludf.DUMMYFUNCTION("""COMPUTED_VALUE"""),500000)</f>
        <v>500000</v>
      </c>
      <c r="G488" s="22">
        <f ca="1">IFERROR(__xludf.DUMMYFUNCTION("""COMPUTED_VALUE"""),0)</f>
        <v>0</v>
      </c>
      <c r="H488" s="7">
        <f ca="1">IFERROR(__xludf.DUMMYFUNCTION("""COMPUTED_VALUE"""),500000)</f>
        <v>500000</v>
      </c>
    </row>
    <row r="489" spans="1:8" ht="13" x14ac:dyDescent="0.15">
      <c r="A489" s="5" t="str">
        <f ca="1">IFERROR(__xludf.DUMMYFUNCTION("""COMPUTED_VALUE"""),"35702")</f>
        <v>35702</v>
      </c>
      <c r="B489" s="51">
        <f ca="1">IFERROR(__xludf.DUMMYFUNCTION("""COMPUTED_VALUE"""),44622)</f>
        <v>44622</v>
      </c>
      <c r="C489" s="22">
        <f ca="1">IFERROR(__xludf.DUMMYFUNCTION("""COMPUTED_VALUE"""),500000)</f>
        <v>500000</v>
      </c>
      <c r="D489" s="22">
        <f ca="1">IFERROR(__xludf.DUMMYFUNCTION("""COMPUTED_VALUE"""),0)</f>
        <v>0</v>
      </c>
      <c r="E489" s="22">
        <f ca="1">IFERROR(__xludf.DUMMYFUNCTION("""COMPUTED_VALUE"""),500000)</f>
        <v>500000</v>
      </c>
      <c r="F489" s="22">
        <f ca="1">IFERROR(__xludf.DUMMYFUNCTION("""COMPUTED_VALUE"""),500000)</f>
        <v>500000</v>
      </c>
      <c r="G489" s="22">
        <f ca="1">IFERROR(__xludf.DUMMYFUNCTION("""COMPUTED_VALUE"""),0)</f>
        <v>0</v>
      </c>
      <c r="H489" s="7">
        <f ca="1">IFERROR(__xludf.DUMMYFUNCTION("""COMPUTED_VALUE"""),500000)</f>
        <v>500000</v>
      </c>
    </row>
    <row r="490" spans="1:8" ht="13" x14ac:dyDescent="0.15">
      <c r="A490" s="5" t="str">
        <f ca="1">IFERROR(__xludf.DUMMYFUNCTION("""COMPUTED_VALUE"""),"35702")</f>
        <v>35702</v>
      </c>
      <c r="B490" s="51">
        <f ca="1">IFERROR(__xludf.DUMMYFUNCTION("""COMPUTED_VALUE"""),44623)</f>
        <v>44623</v>
      </c>
      <c r="C490" s="22">
        <f ca="1">IFERROR(__xludf.DUMMYFUNCTION("""COMPUTED_VALUE"""),500000)</f>
        <v>500000</v>
      </c>
      <c r="D490" s="22">
        <f ca="1">IFERROR(__xludf.DUMMYFUNCTION("""COMPUTED_VALUE"""),0)</f>
        <v>0</v>
      </c>
      <c r="E490" s="22">
        <f ca="1">IFERROR(__xludf.DUMMYFUNCTION("""COMPUTED_VALUE"""),500000)</f>
        <v>500000</v>
      </c>
      <c r="F490" s="22">
        <f ca="1">IFERROR(__xludf.DUMMYFUNCTION("""COMPUTED_VALUE"""),500000)</f>
        <v>500000</v>
      </c>
      <c r="G490" s="22">
        <f ca="1">IFERROR(__xludf.DUMMYFUNCTION("""COMPUTED_VALUE"""),0)</f>
        <v>0</v>
      </c>
      <c r="H490" s="7">
        <f ca="1">IFERROR(__xludf.DUMMYFUNCTION("""COMPUTED_VALUE"""),500000)</f>
        <v>500000</v>
      </c>
    </row>
    <row r="491" spans="1:8" ht="13" x14ac:dyDescent="0.15">
      <c r="A491" s="5" t="str">
        <f ca="1">IFERROR(__xludf.DUMMYFUNCTION("""COMPUTED_VALUE"""),"35702")</f>
        <v>35702</v>
      </c>
      <c r="B491" s="51">
        <f ca="1">IFERROR(__xludf.DUMMYFUNCTION("""COMPUTED_VALUE"""),44624)</f>
        <v>44624</v>
      </c>
      <c r="C491" s="22">
        <f ca="1">IFERROR(__xludf.DUMMYFUNCTION("""COMPUTED_VALUE"""),500000)</f>
        <v>500000</v>
      </c>
      <c r="D491" s="22">
        <f ca="1">IFERROR(__xludf.DUMMYFUNCTION("""COMPUTED_VALUE"""),0)</f>
        <v>0</v>
      </c>
      <c r="E491" s="22">
        <f ca="1">IFERROR(__xludf.DUMMYFUNCTION("""COMPUTED_VALUE"""),500000)</f>
        <v>500000</v>
      </c>
      <c r="F491" s="22">
        <f ca="1">IFERROR(__xludf.DUMMYFUNCTION("""COMPUTED_VALUE"""),500000)</f>
        <v>500000</v>
      </c>
      <c r="G491" s="22">
        <f ca="1">IFERROR(__xludf.DUMMYFUNCTION("""COMPUTED_VALUE"""),0)</f>
        <v>0</v>
      </c>
      <c r="H491" s="7">
        <f ca="1">IFERROR(__xludf.DUMMYFUNCTION("""COMPUTED_VALUE"""),500000)</f>
        <v>500000</v>
      </c>
    </row>
    <row r="492" spans="1:8" ht="13" x14ac:dyDescent="0.15">
      <c r="A492" s="5" t="str">
        <f ca="1">IFERROR(__xludf.DUMMYFUNCTION("""COMPUTED_VALUE"""),"35702")</f>
        <v>35702</v>
      </c>
      <c r="B492" s="51">
        <f ca="1">IFERROR(__xludf.DUMMYFUNCTION("""COMPUTED_VALUE"""),44625)</f>
        <v>44625</v>
      </c>
      <c r="C492" s="22">
        <f ca="1">IFERROR(__xludf.DUMMYFUNCTION("""COMPUTED_VALUE"""),500000)</f>
        <v>500000</v>
      </c>
      <c r="D492" s="22">
        <f ca="1">IFERROR(__xludf.DUMMYFUNCTION("""COMPUTED_VALUE"""),0)</f>
        <v>0</v>
      </c>
      <c r="E492" s="22">
        <f ca="1">IFERROR(__xludf.DUMMYFUNCTION("""COMPUTED_VALUE"""),500000)</f>
        <v>500000</v>
      </c>
      <c r="F492" s="22">
        <f ca="1">IFERROR(__xludf.DUMMYFUNCTION("""COMPUTED_VALUE"""),500000)</f>
        <v>500000</v>
      </c>
      <c r="G492" s="22">
        <f ca="1">IFERROR(__xludf.DUMMYFUNCTION("""COMPUTED_VALUE"""),0)</f>
        <v>0</v>
      </c>
      <c r="H492" s="7">
        <f ca="1">IFERROR(__xludf.DUMMYFUNCTION("""COMPUTED_VALUE"""),500000)</f>
        <v>500000</v>
      </c>
    </row>
    <row r="493" spans="1:8" ht="13" x14ac:dyDescent="0.15">
      <c r="A493" s="5" t="str">
        <f ca="1">IFERROR(__xludf.DUMMYFUNCTION("""COMPUTED_VALUE"""),"35702")</f>
        <v>35702</v>
      </c>
      <c r="B493" s="51">
        <f ca="1">IFERROR(__xludf.DUMMYFUNCTION("""COMPUTED_VALUE"""),44626)</f>
        <v>44626</v>
      </c>
      <c r="C493" s="22">
        <f ca="1">IFERROR(__xludf.DUMMYFUNCTION("""COMPUTED_VALUE"""),500000)</f>
        <v>500000</v>
      </c>
      <c r="D493" s="22">
        <f ca="1">IFERROR(__xludf.DUMMYFUNCTION("""COMPUTED_VALUE"""),0)</f>
        <v>0</v>
      </c>
      <c r="E493" s="22">
        <f ca="1">IFERROR(__xludf.DUMMYFUNCTION("""COMPUTED_VALUE"""),500000)</f>
        <v>500000</v>
      </c>
      <c r="F493" s="22">
        <f ca="1">IFERROR(__xludf.DUMMYFUNCTION("""COMPUTED_VALUE"""),500000)</f>
        <v>500000</v>
      </c>
      <c r="G493" s="22">
        <f ca="1">IFERROR(__xludf.DUMMYFUNCTION("""COMPUTED_VALUE"""),0)</f>
        <v>0</v>
      </c>
      <c r="H493" s="7">
        <f ca="1">IFERROR(__xludf.DUMMYFUNCTION("""COMPUTED_VALUE"""),500000)</f>
        <v>500000</v>
      </c>
    </row>
    <row r="494" spans="1:8" ht="13" x14ac:dyDescent="0.15">
      <c r="A494" s="5" t="str">
        <f ca="1">IFERROR(__xludf.DUMMYFUNCTION("""COMPUTED_VALUE"""),"35702")</f>
        <v>35702</v>
      </c>
      <c r="B494" s="51">
        <f ca="1">IFERROR(__xludf.DUMMYFUNCTION("""COMPUTED_VALUE"""),44627)</f>
        <v>44627</v>
      </c>
      <c r="C494" s="22">
        <f ca="1">IFERROR(__xludf.DUMMYFUNCTION("""COMPUTED_VALUE"""),500000)</f>
        <v>500000</v>
      </c>
      <c r="D494" s="22">
        <f ca="1">IFERROR(__xludf.DUMMYFUNCTION("""COMPUTED_VALUE"""),0)</f>
        <v>0</v>
      </c>
      <c r="E494" s="22">
        <f ca="1">IFERROR(__xludf.DUMMYFUNCTION("""COMPUTED_VALUE"""),500000)</f>
        <v>500000</v>
      </c>
      <c r="F494" s="22">
        <f ca="1">IFERROR(__xludf.DUMMYFUNCTION("""COMPUTED_VALUE"""),500000)</f>
        <v>500000</v>
      </c>
      <c r="G494" s="22">
        <f ca="1">IFERROR(__xludf.DUMMYFUNCTION("""COMPUTED_VALUE"""),0)</f>
        <v>0</v>
      </c>
      <c r="H494" s="7">
        <f ca="1">IFERROR(__xludf.DUMMYFUNCTION("""COMPUTED_VALUE"""),500000)</f>
        <v>500000</v>
      </c>
    </row>
    <row r="495" spans="1:8" ht="13" x14ac:dyDescent="0.15">
      <c r="A495" s="5" t="str">
        <f ca="1">IFERROR(__xludf.DUMMYFUNCTION("""COMPUTED_VALUE"""),"35702")</f>
        <v>35702</v>
      </c>
      <c r="B495" s="51">
        <f ca="1">IFERROR(__xludf.DUMMYFUNCTION("""COMPUTED_VALUE"""),44628)</f>
        <v>44628</v>
      </c>
      <c r="C495" s="22">
        <f ca="1">IFERROR(__xludf.DUMMYFUNCTION("""COMPUTED_VALUE"""),500000)</f>
        <v>500000</v>
      </c>
      <c r="D495" s="22">
        <f ca="1">IFERROR(__xludf.DUMMYFUNCTION("""COMPUTED_VALUE"""),0)</f>
        <v>0</v>
      </c>
      <c r="E495" s="22">
        <f ca="1">IFERROR(__xludf.DUMMYFUNCTION("""COMPUTED_VALUE"""),500000)</f>
        <v>500000</v>
      </c>
      <c r="F495" s="22">
        <f ca="1">IFERROR(__xludf.DUMMYFUNCTION("""COMPUTED_VALUE"""),500000)</f>
        <v>500000</v>
      </c>
      <c r="G495" s="22">
        <f ca="1">IFERROR(__xludf.DUMMYFUNCTION("""COMPUTED_VALUE"""),0)</f>
        <v>0</v>
      </c>
      <c r="H495" s="7">
        <f ca="1">IFERROR(__xludf.DUMMYFUNCTION("""COMPUTED_VALUE"""),500000)</f>
        <v>500000</v>
      </c>
    </row>
    <row r="496" spans="1:8" ht="13" x14ac:dyDescent="0.15">
      <c r="A496" s="5" t="str">
        <f ca="1">IFERROR(__xludf.DUMMYFUNCTION("""COMPUTED_VALUE"""),"35702")</f>
        <v>35702</v>
      </c>
      <c r="B496" s="51">
        <f ca="1">IFERROR(__xludf.DUMMYFUNCTION("""COMPUTED_VALUE"""),44629)</f>
        <v>44629</v>
      </c>
      <c r="C496" s="22">
        <f ca="1">IFERROR(__xludf.DUMMYFUNCTION("""COMPUTED_VALUE"""),500000)</f>
        <v>500000</v>
      </c>
      <c r="D496" s="22">
        <f ca="1">IFERROR(__xludf.DUMMYFUNCTION("""COMPUTED_VALUE"""),0)</f>
        <v>0</v>
      </c>
      <c r="E496" s="22">
        <f ca="1">IFERROR(__xludf.DUMMYFUNCTION("""COMPUTED_VALUE"""),500000)</f>
        <v>500000</v>
      </c>
      <c r="F496" s="22">
        <f ca="1">IFERROR(__xludf.DUMMYFUNCTION("""COMPUTED_VALUE"""),500000)</f>
        <v>500000</v>
      </c>
      <c r="G496" s="22">
        <f ca="1">IFERROR(__xludf.DUMMYFUNCTION("""COMPUTED_VALUE"""),0)</f>
        <v>0</v>
      </c>
      <c r="H496" s="7">
        <f ca="1">IFERROR(__xludf.DUMMYFUNCTION("""COMPUTED_VALUE"""),500000)</f>
        <v>500000</v>
      </c>
    </row>
    <row r="497" spans="1:8" ht="13" x14ac:dyDescent="0.15">
      <c r="A497" s="5" t="str">
        <f ca="1">IFERROR(__xludf.DUMMYFUNCTION("""COMPUTED_VALUE"""),"35702")</f>
        <v>35702</v>
      </c>
      <c r="B497" s="51">
        <f ca="1">IFERROR(__xludf.DUMMYFUNCTION("""COMPUTED_VALUE"""),44630)</f>
        <v>44630</v>
      </c>
      <c r="C497" s="22">
        <f ca="1">IFERROR(__xludf.DUMMYFUNCTION("""COMPUTED_VALUE"""),500000)</f>
        <v>500000</v>
      </c>
      <c r="D497" s="22">
        <f ca="1">IFERROR(__xludf.DUMMYFUNCTION("""COMPUTED_VALUE"""),0)</f>
        <v>0</v>
      </c>
      <c r="E497" s="22">
        <f ca="1">IFERROR(__xludf.DUMMYFUNCTION("""COMPUTED_VALUE"""),500000)</f>
        <v>500000</v>
      </c>
      <c r="F497" s="22">
        <f ca="1">IFERROR(__xludf.DUMMYFUNCTION("""COMPUTED_VALUE"""),500000)</f>
        <v>500000</v>
      </c>
      <c r="G497" s="22">
        <f ca="1">IFERROR(__xludf.DUMMYFUNCTION("""COMPUTED_VALUE"""),0)</f>
        <v>0</v>
      </c>
      <c r="H497" s="7">
        <f ca="1">IFERROR(__xludf.DUMMYFUNCTION("""COMPUTED_VALUE"""),500000)</f>
        <v>500000</v>
      </c>
    </row>
    <row r="498" spans="1:8" ht="13" x14ac:dyDescent="0.15">
      <c r="A498" s="5" t="str">
        <f ca="1">IFERROR(__xludf.DUMMYFUNCTION("""COMPUTED_VALUE"""),"35702")</f>
        <v>35702</v>
      </c>
      <c r="B498" s="51">
        <f ca="1">IFERROR(__xludf.DUMMYFUNCTION("""COMPUTED_VALUE"""),44631)</f>
        <v>44631</v>
      </c>
      <c r="C498" s="22">
        <f ca="1">IFERROR(__xludf.DUMMYFUNCTION("""COMPUTED_VALUE"""),500000)</f>
        <v>500000</v>
      </c>
      <c r="D498" s="22">
        <f ca="1">IFERROR(__xludf.DUMMYFUNCTION("""COMPUTED_VALUE"""),0)</f>
        <v>0</v>
      </c>
      <c r="E498" s="22">
        <f ca="1">IFERROR(__xludf.DUMMYFUNCTION("""COMPUTED_VALUE"""),500000)</f>
        <v>500000</v>
      </c>
      <c r="F498" s="22">
        <f ca="1">IFERROR(__xludf.DUMMYFUNCTION("""COMPUTED_VALUE"""),500000)</f>
        <v>500000</v>
      </c>
      <c r="G498" s="22">
        <f ca="1">IFERROR(__xludf.DUMMYFUNCTION("""COMPUTED_VALUE"""),0)</f>
        <v>0</v>
      </c>
      <c r="H498" s="7">
        <f ca="1">IFERROR(__xludf.DUMMYFUNCTION("""COMPUTED_VALUE"""),500000)</f>
        <v>500000</v>
      </c>
    </row>
    <row r="499" spans="1:8" ht="13" x14ac:dyDescent="0.15">
      <c r="A499" s="5" t="str">
        <f ca="1">IFERROR(__xludf.DUMMYFUNCTION("""COMPUTED_VALUE"""),"35702")</f>
        <v>35702</v>
      </c>
      <c r="B499" s="51">
        <f ca="1">IFERROR(__xludf.DUMMYFUNCTION("""COMPUTED_VALUE"""),44632)</f>
        <v>44632</v>
      </c>
      <c r="C499" s="22">
        <f ca="1">IFERROR(__xludf.DUMMYFUNCTION("""COMPUTED_VALUE"""),500000)</f>
        <v>500000</v>
      </c>
      <c r="D499" s="22">
        <f ca="1">IFERROR(__xludf.DUMMYFUNCTION("""COMPUTED_VALUE"""),0)</f>
        <v>0</v>
      </c>
      <c r="E499" s="22">
        <f ca="1">IFERROR(__xludf.DUMMYFUNCTION("""COMPUTED_VALUE"""),500000)</f>
        <v>500000</v>
      </c>
      <c r="F499" s="22">
        <f ca="1">IFERROR(__xludf.DUMMYFUNCTION("""COMPUTED_VALUE"""),500000)</f>
        <v>500000</v>
      </c>
      <c r="G499" s="22">
        <f ca="1">IFERROR(__xludf.DUMMYFUNCTION("""COMPUTED_VALUE"""),0)</f>
        <v>0</v>
      </c>
      <c r="H499" s="7">
        <f ca="1">IFERROR(__xludf.DUMMYFUNCTION("""COMPUTED_VALUE"""),500000)</f>
        <v>500000</v>
      </c>
    </row>
    <row r="500" spans="1:8" ht="13" x14ac:dyDescent="0.15">
      <c r="A500" s="5" t="str">
        <f ca="1">IFERROR(__xludf.DUMMYFUNCTION("""COMPUTED_VALUE"""),"35702")</f>
        <v>35702</v>
      </c>
      <c r="B500" s="51">
        <f ca="1">IFERROR(__xludf.DUMMYFUNCTION("""COMPUTED_VALUE"""),44633)</f>
        <v>44633</v>
      </c>
      <c r="C500" s="22">
        <f ca="1">IFERROR(__xludf.DUMMYFUNCTION("""COMPUTED_VALUE"""),500000)</f>
        <v>500000</v>
      </c>
      <c r="D500" s="22">
        <f ca="1">IFERROR(__xludf.DUMMYFUNCTION("""COMPUTED_VALUE"""),0)</f>
        <v>0</v>
      </c>
      <c r="E500" s="22">
        <f ca="1">IFERROR(__xludf.DUMMYFUNCTION("""COMPUTED_VALUE"""),500000)</f>
        <v>500000</v>
      </c>
      <c r="F500" s="22">
        <f ca="1">IFERROR(__xludf.DUMMYFUNCTION("""COMPUTED_VALUE"""),500000)</f>
        <v>500000</v>
      </c>
      <c r="G500" s="22">
        <f ca="1">IFERROR(__xludf.DUMMYFUNCTION("""COMPUTED_VALUE"""),0)</f>
        <v>0</v>
      </c>
      <c r="H500" s="7">
        <f ca="1">IFERROR(__xludf.DUMMYFUNCTION("""COMPUTED_VALUE"""),500000)</f>
        <v>500000</v>
      </c>
    </row>
    <row r="501" spans="1:8" ht="13" x14ac:dyDescent="0.15">
      <c r="A501" s="5" t="str">
        <f ca="1">IFERROR(__xludf.DUMMYFUNCTION("""COMPUTED_VALUE"""),"35702")</f>
        <v>35702</v>
      </c>
      <c r="B501" s="51">
        <f ca="1">IFERROR(__xludf.DUMMYFUNCTION("""COMPUTED_VALUE"""),44634)</f>
        <v>44634</v>
      </c>
      <c r="C501" s="22">
        <f ca="1">IFERROR(__xludf.DUMMYFUNCTION("""COMPUTED_VALUE"""),500000)</f>
        <v>500000</v>
      </c>
      <c r="D501" s="22">
        <f ca="1">IFERROR(__xludf.DUMMYFUNCTION("""COMPUTED_VALUE"""),0)</f>
        <v>0</v>
      </c>
      <c r="E501" s="22">
        <f ca="1">IFERROR(__xludf.DUMMYFUNCTION("""COMPUTED_VALUE"""),500000)</f>
        <v>500000</v>
      </c>
      <c r="F501" s="22">
        <f ca="1">IFERROR(__xludf.DUMMYFUNCTION("""COMPUTED_VALUE"""),500000)</f>
        <v>500000</v>
      </c>
      <c r="G501" s="22">
        <f ca="1">IFERROR(__xludf.DUMMYFUNCTION("""COMPUTED_VALUE"""),0)</f>
        <v>0</v>
      </c>
      <c r="H501" s="7">
        <f ca="1">IFERROR(__xludf.DUMMYFUNCTION("""COMPUTED_VALUE"""),500000)</f>
        <v>500000</v>
      </c>
    </row>
    <row r="502" spans="1:8" ht="13" x14ac:dyDescent="0.15">
      <c r="A502" s="5" t="str">
        <f ca="1">IFERROR(__xludf.DUMMYFUNCTION("""COMPUTED_VALUE"""),"35702")</f>
        <v>35702</v>
      </c>
      <c r="B502" s="51">
        <f ca="1">IFERROR(__xludf.DUMMYFUNCTION("""COMPUTED_VALUE"""),44635)</f>
        <v>44635</v>
      </c>
      <c r="C502" s="22">
        <f ca="1">IFERROR(__xludf.DUMMYFUNCTION("""COMPUTED_VALUE"""),500000)</f>
        <v>500000</v>
      </c>
      <c r="D502" s="22">
        <f ca="1">IFERROR(__xludf.DUMMYFUNCTION("""COMPUTED_VALUE"""),0)</f>
        <v>0</v>
      </c>
      <c r="E502" s="22">
        <f ca="1">IFERROR(__xludf.DUMMYFUNCTION("""COMPUTED_VALUE"""),500000)</f>
        <v>500000</v>
      </c>
      <c r="F502" s="22">
        <f ca="1">IFERROR(__xludf.DUMMYFUNCTION("""COMPUTED_VALUE"""),500000)</f>
        <v>500000</v>
      </c>
      <c r="G502" s="22">
        <f ca="1">IFERROR(__xludf.DUMMYFUNCTION("""COMPUTED_VALUE"""),0)</f>
        <v>0</v>
      </c>
      <c r="H502" s="7">
        <f ca="1">IFERROR(__xludf.DUMMYFUNCTION("""COMPUTED_VALUE"""),500000)</f>
        <v>500000</v>
      </c>
    </row>
    <row r="503" spans="1:8" ht="13" x14ac:dyDescent="0.15">
      <c r="A503" s="5" t="str">
        <f ca="1">IFERROR(__xludf.DUMMYFUNCTION("""COMPUTED_VALUE"""),"35702")</f>
        <v>35702</v>
      </c>
      <c r="B503" s="51">
        <f ca="1">IFERROR(__xludf.DUMMYFUNCTION("""COMPUTED_VALUE"""),44636)</f>
        <v>44636</v>
      </c>
      <c r="C503" s="22">
        <f ca="1">IFERROR(__xludf.DUMMYFUNCTION("""COMPUTED_VALUE"""),500000)</f>
        <v>500000</v>
      </c>
      <c r="D503" s="22">
        <f ca="1">IFERROR(__xludf.DUMMYFUNCTION("""COMPUTED_VALUE"""),0)</f>
        <v>0</v>
      </c>
      <c r="E503" s="22">
        <f ca="1">IFERROR(__xludf.DUMMYFUNCTION("""COMPUTED_VALUE"""),500000)</f>
        <v>500000</v>
      </c>
      <c r="F503" s="22">
        <f ca="1">IFERROR(__xludf.DUMMYFUNCTION("""COMPUTED_VALUE"""),500000)</f>
        <v>500000</v>
      </c>
      <c r="G503" s="22">
        <f ca="1">IFERROR(__xludf.DUMMYFUNCTION("""COMPUTED_VALUE"""),0)</f>
        <v>0</v>
      </c>
      <c r="H503" s="7">
        <f ca="1">IFERROR(__xludf.DUMMYFUNCTION("""COMPUTED_VALUE"""),500000)</f>
        <v>500000</v>
      </c>
    </row>
    <row r="504" spans="1:8" ht="13" x14ac:dyDescent="0.15">
      <c r="A504" s="5" t="str">
        <f ca="1">IFERROR(__xludf.DUMMYFUNCTION("""COMPUTED_VALUE"""),"35702")</f>
        <v>35702</v>
      </c>
      <c r="B504" s="51">
        <f ca="1">IFERROR(__xludf.DUMMYFUNCTION("""COMPUTED_VALUE"""),44637)</f>
        <v>44637</v>
      </c>
      <c r="C504" s="22">
        <f ca="1">IFERROR(__xludf.DUMMYFUNCTION("""COMPUTED_VALUE"""),500000)</f>
        <v>500000</v>
      </c>
      <c r="D504" s="22">
        <f ca="1">IFERROR(__xludf.DUMMYFUNCTION("""COMPUTED_VALUE"""),0)</f>
        <v>0</v>
      </c>
      <c r="E504" s="22">
        <f ca="1">IFERROR(__xludf.DUMMYFUNCTION("""COMPUTED_VALUE"""),500000)</f>
        <v>500000</v>
      </c>
      <c r="F504" s="22">
        <f ca="1">IFERROR(__xludf.DUMMYFUNCTION("""COMPUTED_VALUE"""),500000)</f>
        <v>500000</v>
      </c>
      <c r="G504" s="22">
        <f ca="1">IFERROR(__xludf.DUMMYFUNCTION("""COMPUTED_VALUE"""),0)</f>
        <v>0</v>
      </c>
      <c r="H504" s="7">
        <f ca="1">IFERROR(__xludf.DUMMYFUNCTION("""COMPUTED_VALUE"""),500000)</f>
        <v>500000</v>
      </c>
    </row>
    <row r="505" spans="1:8" ht="13" x14ac:dyDescent="0.15">
      <c r="A505" s="5" t="str">
        <f ca="1">IFERROR(__xludf.DUMMYFUNCTION("""COMPUTED_VALUE"""),"35702")</f>
        <v>35702</v>
      </c>
      <c r="B505" s="51">
        <f ca="1">IFERROR(__xludf.DUMMYFUNCTION("""COMPUTED_VALUE"""),44638)</f>
        <v>44638</v>
      </c>
      <c r="C505" s="22">
        <f ca="1">IFERROR(__xludf.DUMMYFUNCTION("""COMPUTED_VALUE"""),500000)</f>
        <v>500000</v>
      </c>
      <c r="D505" s="22">
        <f ca="1">IFERROR(__xludf.DUMMYFUNCTION("""COMPUTED_VALUE"""),0)</f>
        <v>0</v>
      </c>
      <c r="E505" s="22">
        <f ca="1">IFERROR(__xludf.DUMMYFUNCTION("""COMPUTED_VALUE"""),500000)</f>
        <v>500000</v>
      </c>
      <c r="F505" s="22">
        <f ca="1">IFERROR(__xludf.DUMMYFUNCTION("""COMPUTED_VALUE"""),500000)</f>
        <v>500000</v>
      </c>
      <c r="G505" s="22">
        <f ca="1">IFERROR(__xludf.DUMMYFUNCTION("""COMPUTED_VALUE"""),0)</f>
        <v>0</v>
      </c>
      <c r="H505" s="7">
        <f ca="1">IFERROR(__xludf.DUMMYFUNCTION("""COMPUTED_VALUE"""),500000)</f>
        <v>500000</v>
      </c>
    </row>
    <row r="506" spans="1:8" ht="13" x14ac:dyDescent="0.15">
      <c r="A506" s="5" t="str">
        <f ca="1">IFERROR(__xludf.DUMMYFUNCTION("""COMPUTED_VALUE"""),"35702")</f>
        <v>35702</v>
      </c>
      <c r="B506" s="51">
        <f ca="1">IFERROR(__xludf.DUMMYFUNCTION("""COMPUTED_VALUE"""),44639)</f>
        <v>44639</v>
      </c>
      <c r="C506" s="22">
        <f ca="1">IFERROR(__xludf.DUMMYFUNCTION("""COMPUTED_VALUE"""),500000)</f>
        <v>500000</v>
      </c>
      <c r="D506" s="22">
        <f ca="1">IFERROR(__xludf.DUMMYFUNCTION("""COMPUTED_VALUE"""),0)</f>
        <v>0</v>
      </c>
      <c r="E506" s="22">
        <f ca="1">IFERROR(__xludf.DUMMYFUNCTION("""COMPUTED_VALUE"""),500000)</f>
        <v>500000</v>
      </c>
      <c r="F506" s="22">
        <f ca="1">IFERROR(__xludf.DUMMYFUNCTION("""COMPUTED_VALUE"""),500000)</f>
        <v>500000</v>
      </c>
      <c r="G506" s="22">
        <f ca="1">IFERROR(__xludf.DUMMYFUNCTION("""COMPUTED_VALUE"""),0)</f>
        <v>0</v>
      </c>
      <c r="H506" s="7">
        <f ca="1">IFERROR(__xludf.DUMMYFUNCTION("""COMPUTED_VALUE"""),500000)</f>
        <v>500000</v>
      </c>
    </row>
    <row r="507" spans="1:8" ht="13" x14ac:dyDescent="0.15">
      <c r="A507" s="5" t="str">
        <f ca="1">IFERROR(__xludf.DUMMYFUNCTION("""COMPUTED_VALUE"""),"35702")</f>
        <v>35702</v>
      </c>
      <c r="B507" s="51">
        <f ca="1">IFERROR(__xludf.DUMMYFUNCTION("""COMPUTED_VALUE"""),44640)</f>
        <v>44640</v>
      </c>
      <c r="C507" s="22">
        <f ca="1">IFERROR(__xludf.DUMMYFUNCTION("""COMPUTED_VALUE"""),500000)</f>
        <v>500000</v>
      </c>
      <c r="D507" s="22">
        <f ca="1">IFERROR(__xludf.DUMMYFUNCTION("""COMPUTED_VALUE"""),0)</f>
        <v>0</v>
      </c>
      <c r="E507" s="22">
        <f ca="1">IFERROR(__xludf.DUMMYFUNCTION("""COMPUTED_VALUE"""),500000)</f>
        <v>500000</v>
      </c>
      <c r="F507" s="22">
        <f ca="1">IFERROR(__xludf.DUMMYFUNCTION("""COMPUTED_VALUE"""),500000)</f>
        <v>500000</v>
      </c>
      <c r="G507" s="22">
        <f ca="1">IFERROR(__xludf.DUMMYFUNCTION("""COMPUTED_VALUE"""),0)</f>
        <v>0</v>
      </c>
      <c r="H507" s="7">
        <f ca="1">IFERROR(__xludf.DUMMYFUNCTION("""COMPUTED_VALUE"""),500000)</f>
        <v>500000</v>
      </c>
    </row>
    <row r="508" spans="1:8" ht="13" x14ac:dyDescent="0.15">
      <c r="A508" s="5" t="str">
        <f ca="1">IFERROR(__xludf.DUMMYFUNCTION("""COMPUTED_VALUE"""),"35702")</f>
        <v>35702</v>
      </c>
      <c r="B508" s="51">
        <f ca="1">IFERROR(__xludf.DUMMYFUNCTION("""COMPUTED_VALUE"""),44641)</f>
        <v>44641</v>
      </c>
      <c r="C508" s="22">
        <f ca="1">IFERROR(__xludf.DUMMYFUNCTION("""COMPUTED_VALUE"""),500000)</f>
        <v>500000</v>
      </c>
      <c r="D508" s="22">
        <f ca="1">IFERROR(__xludf.DUMMYFUNCTION("""COMPUTED_VALUE"""),0)</f>
        <v>0</v>
      </c>
      <c r="E508" s="22">
        <f ca="1">IFERROR(__xludf.DUMMYFUNCTION("""COMPUTED_VALUE"""),500000)</f>
        <v>500000</v>
      </c>
      <c r="F508" s="22">
        <f ca="1">IFERROR(__xludf.DUMMYFUNCTION("""COMPUTED_VALUE"""),500000)</f>
        <v>500000</v>
      </c>
      <c r="G508" s="22">
        <f ca="1">IFERROR(__xludf.DUMMYFUNCTION("""COMPUTED_VALUE"""),0)</f>
        <v>0</v>
      </c>
      <c r="H508" s="7">
        <f ca="1">IFERROR(__xludf.DUMMYFUNCTION("""COMPUTED_VALUE"""),500000)</f>
        <v>500000</v>
      </c>
    </row>
    <row r="509" spans="1:8" ht="13" x14ac:dyDescent="0.15">
      <c r="A509" s="5" t="str">
        <f ca="1">IFERROR(__xludf.DUMMYFUNCTION("""COMPUTED_VALUE"""),"35702")</f>
        <v>35702</v>
      </c>
      <c r="B509" s="51">
        <f ca="1">IFERROR(__xludf.DUMMYFUNCTION("""COMPUTED_VALUE"""),44642)</f>
        <v>44642</v>
      </c>
      <c r="C509" s="22">
        <f ca="1">IFERROR(__xludf.DUMMYFUNCTION("""COMPUTED_VALUE"""),500000)</f>
        <v>500000</v>
      </c>
      <c r="D509" s="22">
        <f ca="1">IFERROR(__xludf.DUMMYFUNCTION("""COMPUTED_VALUE"""),0)</f>
        <v>0</v>
      </c>
      <c r="E509" s="22">
        <f ca="1">IFERROR(__xludf.DUMMYFUNCTION("""COMPUTED_VALUE"""),500000)</f>
        <v>500000</v>
      </c>
      <c r="F509" s="22">
        <f ca="1">IFERROR(__xludf.DUMMYFUNCTION("""COMPUTED_VALUE"""),500000)</f>
        <v>500000</v>
      </c>
      <c r="G509" s="22">
        <f ca="1">IFERROR(__xludf.DUMMYFUNCTION("""COMPUTED_VALUE"""),0)</f>
        <v>0</v>
      </c>
      <c r="H509" s="7">
        <f ca="1">IFERROR(__xludf.DUMMYFUNCTION("""COMPUTED_VALUE"""),500000)</f>
        <v>500000</v>
      </c>
    </row>
    <row r="510" spans="1:8" ht="13" x14ac:dyDescent="0.15">
      <c r="A510" s="5" t="str">
        <f ca="1">IFERROR(__xludf.DUMMYFUNCTION("""COMPUTED_VALUE"""),"35792")</f>
        <v>35792</v>
      </c>
      <c r="B510" s="51">
        <f ca="1">IFERROR(__xludf.DUMMYFUNCTION("""COMPUTED_VALUE"""),44597)</f>
        <v>44597</v>
      </c>
      <c r="C510" s="22">
        <f ca="1">IFERROR(__xludf.DUMMYFUNCTION("""COMPUTED_VALUE"""),500000)</f>
        <v>500000</v>
      </c>
      <c r="D510" s="22">
        <f ca="1">IFERROR(__xludf.DUMMYFUNCTION("""COMPUTED_VALUE"""),0)</f>
        <v>0</v>
      </c>
      <c r="E510" s="22">
        <f ca="1">IFERROR(__xludf.DUMMYFUNCTION("""COMPUTED_VALUE"""),500000)</f>
        <v>500000</v>
      </c>
      <c r="F510" s="22">
        <f ca="1">IFERROR(__xludf.DUMMYFUNCTION("""COMPUTED_VALUE"""),500000)</f>
        <v>500000</v>
      </c>
      <c r="G510" s="22">
        <f ca="1">IFERROR(__xludf.DUMMYFUNCTION("""COMPUTED_VALUE"""),0)</f>
        <v>0</v>
      </c>
      <c r="H510" s="7">
        <f ca="1">IFERROR(__xludf.DUMMYFUNCTION("""COMPUTED_VALUE"""),500000)</f>
        <v>500000</v>
      </c>
    </row>
    <row r="511" spans="1:8" ht="13" x14ac:dyDescent="0.15">
      <c r="A511" s="5" t="str">
        <f ca="1">IFERROR(__xludf.DUMMYFUNCTION("""COMPUTED_VALUE"""),"35792")</f>
        <v>35792</v>
      </c>
      <c r="B511" s="51">
        <f ca="1">IFERROR(__xludf.DUMMYFUNCTION("""COMPUTED_VALUE"""),44598)</f>
        <v>44598</v>
      </c>
      <c r="C511" s="22">
        <f ca="1">IFERROR(__xludf.DUMMYFUNCTION("""COMPUTED_VALUE"""),500000)</f>
        <v>500000</v>
      </c>
      <c r="D511" s="22">
        <f ca="1">IFERROR(__xludf.DUMMYFUNCTION("""COMPUTED_VALUE"""),0)</f>
        <v>0</v>
      </c>
      <c r="E511" s="22">
        <f ca="1">IFERROR(__xludf.DUMMYFUNCTION("""COMPUTED_VALUE"""),500000)</f>
        <v>500000</v>
      </c>
      <c r="F511" s="22">
        <f ca="1">IFERROR(__xludf.DUMMYFUNCTION("""COMPUTED_VALUE"""),500000)</f>
        <v>500000</v>
      </c>
      <c r="G511" s="22">
        <f ca="1">IFERROR(__xludf.DUMMYFUNCTION("""COMPUTED_VALUE"""),0)</f>
        <v>0</v>
      </c>
      <c r="H511" s="7">
        <f ca="1">IFERROR(__xludf.DUMMYFUNCTION("""COMPUTED_VALUE"""),500000)</f>
        <v>500000</v>
      </c>
    </row>
    <row r="512" spans="1:8" ht="13" x14ac:dyDescent="0.15">
      <c r="A512" s="5" t="str">
        <f ca="1">IFERROR(__xludf.DUMMYFUNCTION("""COMPUTED_VALUE"""),"35792")</f>
        <v>35792</v>
      </c>
      <c r="B512" s="51">
        <f ca="1">IFERROR(__xludf.DUMMYFUNCTION("""COMPUTED_VALUE"""),44599)</f>
        <v>44599</v>
      </c>
      <c r="C512" s="22">
        <f ca="1">IFERROR(__xludf.DUMMYFUNCTION("""COMPUTED_VALUE"""),500000)</f>
        <v>500000</v>
      </c>
      <c r="D512" s="22">
        <f ca="1">IFERROR(__xludf.DUMMYFUNCTION("""COMPUTED_VALUE"""),0)</f>
        <v>0</v>
      </c>
      <c r="E512" s="22">
        <f ca="1">IFERROR(__xludf.DUMMYFUNCTION("""COMPUTED_VALUE"""),500000)</f>
        <v>500000</v>
      </c>
      <c r="F512" s="22">
        <f ca="1">IFERROR(__xludf.DUMMYFUNCTION("""COMPUTED_VALUE"""),500000)</f>
        <v>500000</v>
      </c>
      <c r="G512" s="22">
        <f ca="1">IFERROR(__xludf.DUMMYFUNCTION("""COMPUTED_VALUE"""),0)</f>
        <v>0</v>
      </c>
      <c r="H512" s="7">
        <f ca="1">IFERROR(__xludf.DUMMYFUNCTION("""COMPUTED_VALUE"""),500000)</f>
        <v>500000</v>
      </c>
    </row>
    <row r="513" spans="1:8" ht="13" x14ac:dyDescent="0.15">
      <c r="A513" s="5" t="str">
        <f ca="1">IFERROR(__xludf.DUMMYFUNCTION("""COMPUTED_VALUE"""),"35792")</f>
        <v>35792</v>
      </c>
      <c r="B513" s="51">
        <f ca="1">IFERROR(__xludf.DUMMYFUNCTION("""COMPUTED_VALUE"""),44600)</f>
        <v>44600</v>
      </c>
      <c r="C513" s="22">
        <f ca="1">IFERROR(__xludf.DUMMYFUNCTION("""COMPUTED_VALUE"""),500000)</f>
        <v>500000</v>
      </c>
      <c r="D513" s="22">
        <f ca="1">IFERROR(__xludf.DUMMYFUNCTION("""COMPUTED_VALUE"""),0)</f>
        <v>0</v>
      </c>
      <c r="E513" s="22">
        <f ca="1">IFERROR(__xludf.DUMMYFUNCTION("""COMPUTED_VALUE"""),500000)</f>
        <v>500000</v>
      </c>
      <c r="F513" s="22">
        <f ca="1">IFERROR(__xludf.DUMMYFUNCTION("""COMPUTED_VALUE"""),500000)</f>
        <v>500000</v>
      </c>
      <c r="G513" s="22">
        <f ca="1">IFERROR(__xludf.DUMMYFUNCTION("""COMPUTED_VALUE"""),0)</f>
        <v>0</v>
      </c>
      <c r="H513" s="7">
        <f ca="1">IFERROR(__xludf.DUMMYFUNCTION("""COMPUTED_VALUE"""),500000)</f>
        <v>500000</v>
      </c>
    </row>
    <row r="514" spans="1:8" ht="13" x14ac:dyDescent="0.15">
      <c r="A514" s="5" t="str">
        <f ca="1">IFERROR(__xludf.DUMMYFUNCTION("""COMPUTED_VALUE"""),"35792")</f>
        <v>35792</v>
      </c>
      <c r="B514" s="51">
        <f ca="1">IFERROR(__xludf.DUMMYFUNCTION("""COMPUTED_VALUE"""),44601)</f>
        <v>44601</v>
      </c>
      <c r="C514" s="22">
        <f ca="1">IFERROR(__xludf.DUMMYFUNCTION("""COMPUTED_VALUE"""),500000)</f>
        <v>500000</v>
      </c>
      <c r="D514" s="22">
        <f ca="1">IFERROR(__xludf.DUMMYFUNCTION("""COMPUTED_VALUE"""),0)</f>
        <v>0</v>
      </c>
      <c r="E514" s="22">
        <f ca="1">IFERROR(__xludf.DUMMYFUNCTION("""COMPUTED_VALUE"""),500000)</f>
        <v>500000</v>
      </c>
      <c r="F514" s="22">
        <f ca="1">IFERROR(__xludf.DUMMYFUNCTION("""COMPUTED_VALUE"""),500000)</f>
        <v>500000</v>
      </c>
      <c r="G514" s="22">
        <f ca="1">IFERROR(__xludf.DUMMYFUNCTION("""COMPUTED_VALUE"""),0)</f>
        <v>0</v>
      </c>
      <c r="H514" s="7">
        <f ca="1">IFERROR(__xludf.DUMMYFUNCTION("""COMPUTED_VALUE"""),500000)</f>
        <v>500000</v>
      </c>
    </row>
    <row r="515" spans="1:8" ht="13" x14ac:dyDescent="0.15">
      <c r="A515" s="5" t="str">
        <f ca="1">IFERROR(__xludf.DUMMYFUNCTION("""COMPUTED_VALUE"""),"35792")</f>
        <v>35792</v>
      </c>
      <c r="B515" s="51">
        <f ca="1">IFERROR(__xludf.DUMMYFUNCTION("""COMPUTED_VALUE"""),44602)</f>
        <v>44602</v>
      </c>
      <c r="C515" s="22">
        <f ca="1">IFERROR(__xludf.DUMMYFUNCTION("""COMPUTED_VALUE"""),500000)</f>
        <v>500000</v>
      </c>
      <c r="D515" s="22">
        <f ca="1">IFERROR(__xludf.DUMMYFUNCTION("""COMPUTED_VALUE"""),0)</f>
        <v>0</v>
      </c>
      <c r="E515" s="22">
        <f ca="1">IFERROR(__xludf.DUMMYFUNCTION("""COMPUTED_VALUE"""),500000)</f>
        <v>500000</v>
      </c>
      <c r="F515" s="22">
        <f ca="1">IFERROR(__xludf.DUMMYFUNCTION("""COMPUTED_VALUE"""),500000)</f>
        <v>500000</v>
      </c>
      <c r="G515" s="22">
        <f ca="1">IFERROR(__xludf.DUMMYFUNCTION("""COMPUTED_VALUE"""),0)</f>
        <v>0</v>
      </c>
      <c r="H515" s="7">
        <f ca="1">IFERROR(__xludf.DUMMYFUNCTION("""COMPUTED_VALUE"""),500000)</f>
        <v>500000</v>
      </c>
    </row>
    <row r="516" spans="1:8" ht="13" x14ac:dyDescent="0.15">
      <c r="A516" s="5" t="str">
        <f ca="1">IFERROR(__xludf.DUMMYFUNCTION("""COMPUTED_VALUE"""),"35792")</f>
        <v>35792</v>
      </c>
      <c r="B516" s="51">
        <f ca="1">IFERROR(__xludf.DUMMYFUNCTION("""COMPUTED_VALUE"""),44603)</f>
        <v>44603</v>
      </c>
      <c r="C516" s="22">
        <f ca="1">IFERROR(__xludf.DUMMYFUNCTION("""COMPUTED_VALUE"""),500000)</f>
        <v>500000</v>
      </c>
      <c r="D516" s="22">
        <f ca="1">IFERROR(__xludf.DUMMYFUNCTION("""COMPUTED_VALUE"""),0)</f>
        <v>0</v>
      </c>
      <c r="E516" s="22">
        <f ca="1">IFERROR(__xludf.DUMMYFUNCTION("""COMPUTED_VALUE"""),500000)</f>
        <v>500000</v>
      </c>
      <c r="F516" s="22">
        <f ca="1">IFERROR(__xludf.DUMMYFUNCTION("""COMPUTED_VALUE"""),500000)</f>
        <v>500000</v>
      </c>
      <c r="G516" s="22">
        <f ca="1">IFERROR(__xludf.DUMMYFUNCTION("""COMPUTED_VALUE"""),0)</f>
        <v>0</v>
      </c>
      <c r="H516" s="7">
        <f ca="1">IFERROR(__xludf.DUMMYFUNCTION("""COMPUTED_VALUE"""),500000)</f>
        <v>500000</v>
      </c>
    </row>
    <row r="517" spans="1:8" ht="13" x14ac:dyDescent="0.15">
      <c r="A517" s="5" t="str">
        <f ca="1">IFERROR(__xludf.DUMMYFUNCTION("""COMPUTED_VALUE"""),"35792")</f>
        <v>35792</v>
      </c>
      <c r="B517" s="51">
        <f ca="1">IFERROR(__xludf.DUMMYFUNCTION("""COMPUTED_VALUE"""),44604)</f>
        <v>44604</v>
      </c>
      <c r="C517" s="22">
        <f ca="1">IFERROR(__xludf.DUMMYFUNCTION("""COMPUTED_VALUE"""),500000)</f>
        <v>500000</v>
      </c>
      <c r="D517" s="22">
        <f ca="1">IFERROR(__xludf.DUMMYFUNCTION("""COMPUTED_VALUE"""),0)</f>
        <v>0</v>
      </c>
      <c r="E517" s="22">
        <f ca="1">IFERROR(__xludf.DUMMYFUNCTION("""COMPUTED_VALUE"""),500000)</f>
        <v>500000</v>
      </c>
      <c r="F517" s="22">
        <f ca="1">IFERROR(__xludf.DUMMYFUNCTION("""COMPUTED_VALUE"""),500000)</f>
        <v>500000</v>
      </c>
      <c r="G517" s="22">
        <f ca="1">IFERROR(__xludf.DUMMYFUNCTION("""COMPUTED_VALUE"""),0)</f>
        <v>0</v>
      </c>
      <c r="H517" s="7">
        <f ca="1">IFERROR(__xludf.DUMMYFUNCTION("""COMPUTED_VALUE"""),500000)</f>
        <v>500000</v>
      </c>
    </row>
    <row r="518" spans="1:8" ht="13" x14ac:dyDescent="0.15">
      <c r="A518" s="5" t="str">
        <f ca="1">IFERROR(__xludf.DUMMYFUNCTION("""COMPUTED_VALUE"""),"35792")</f>
        <v>35792</v>
      </c>
      <c r="B518" s="51">
        <f ca="1">IFERROR(__xludf.DUMMYFUNCTION("""COMPUTED_VALUE"""),44605)</f>
        <v>44605</v>
      </c>
      <c r="C518" s="22">
        <f ca="1">IFERROR(__xludf.DUMMYFUNCTION("""COMPUTED_VALUE"""),500000)</f>
        <v>500000</v>
      </c>
      <c r="D518" s="22">
        <f ca="1">IFERROR(__xludf.DUMMYFUNCTION("""COMPUTED_VALUE"""),0)</f>
        <v>0</v>
      </c>
      <c r="E518" s="22">
        <f ca="1">IFERROR(__xludf.DUMMYFUNCTION("""COMPUTED_VALUE"""),500000)</f>
        <v>500000</v>
      </c>
      <c r="F518" s="22">
        <f ca="1">IFERROR(__xludf.DUMMYFUNCTION("""COMPUTED_VALUE"""),500000)</f>
        <v>500000</v>
      </c>
      <c r="G518" s="22">
        <f ca="1">IFERROR(__xludf.DUMMYFUNCTION("""COMPUTED_VALUE"""),0)</f>
        <v>0</v>
      </c>
      <c r="H518" s="7">
        <f ca="1">IFERROR(__xludf.DUMMYFUNCTION("""COMPUTED_VALUE"""),500000)</f>
        <v>500000</v>
      </c>
    </row>
    <row r="519" spans="1:8" ht="13" x14ac:dyDescent="0.15">
      <c r="A519" s="5" t="str">
        <f ca="1">IFERROR(__xludf.DUMMYFUNCTION("""COMPUTED_VALUE"""),"35792")</f>
        <v>35792</v>
      </c>
      <c r="B519" s="51">
        <f ca="1">IFERROR(__xludf.DUMMYFUNCTION("""COMPUTED_VALUE"""),44606)</f>
        <v>44606</v>
      </c>
      <c r="C519" s="22">
        <f ca="1">IFERROR(__xludf.DUMMYFUNCTION("""COMPUTED_VALUE"""),500000)</f>
        <v>500000</v>
      </c>
      <c r="D519" s="22">
        <f ca="1">IFERROR(__xludf.DUMMYFUNCTION("""COMPUTED_VALUE"""),0)</f>
        <v>0</v>
      </c>
      <c r="E519" s="22">
        <f ca="1">IFERROR(__xludf.DUMMYFUNCTION("""COMPUTED_VALUE"""),500000)</f>
        <v>500000</v>
      </c>
      <c r="F519" s="22">
        <f ca="1">IFERROR(__xludf.DUMMYFUNCTION("""COMPUTED_VALUE"""),500000)</f>
        <v>500000</v>
      </c>
      <c r="G519" s="22">
        <f ca="1">IFERROR(__xludf.DUMMYFUNCTION("""COMPUTED_VALUE"""),0)</f>
        <v>0</v>
      </c>
      <c r="H519" s="7">
        <f ca="1">IFERROR(__xludf.DUMMYFUNCTION("""COMPUTED_VALUE"""),500000)</f>
        <v>500000</v>
      </c>
    </row>
    <row r="520" spans="1:8" ht="13" x14ac:dyDescent="0.15">
      <c r="A520" s="5" t="str">
        <f ca="1">IFERROR(__xludf.DUMMYFUNCTION("""COMPUTED_VALUE"""),"35792")</f>
        <v>35792</v>
      </c>
      <c r="B520" s="51">
        <f ca="1">IFERROR(__xludf.DUMMYFUNCTION("""COMPUTED_VALUE"""),44607)</f>
        <v>44607</v>
      </c>
      <c r="C520" s="22">
        <f ca="1">IFERROR(__xludf.DUMMYFUNCTION("""COMPUTED_VALUE"""),500000)</f>
        <v>500000</v>
      </c>
      <c r="D520" s="22">
        <f ca="1">IFERROR(__xludf.DUMMYFUNCTION("""COMPUTED_VALUE"""),0)</f>
        <v>0</v>
      </c>
      <c r="E520" s="22">
        <f ca="1">IFERROR(__xludf.DUMMYFUNCTION("""COMPUTED_VALUE"""),500000)</f>
        <v>500000</v>
      </c>
      <c r="F520" s="22">
        <f ca="1">IFERROR(__xludf.DUMMYFUNCTION("""COMPUTED_VALUE"""),500000)</f>
        <v>500000</v>
      </c>
      <c r="G520" s="22">
        <f ca="1">IFERROR(__xludf.DUMMYFUNCTION("""COMPUTED_VALUE"""),0)</f>
        <v>0</v>
      </c>
      <c r="H520" s="7">
        <f ca="1">IFERROR(__xludf.DUMMYFUNCTION("""COMPUTED_VALUE"""),500000)</f>
        <v>500000</v>
      </c>
    </row>
    <row r="521" spans="1:8" ht="13" x14ac:dyDescent="0.15">
      <c r="A521" s="5" t="str">
        <f ca="1">IFERROR(__xludf.DUMMYFUNCTION("""COMPUTED_VALUE"""),"35792")</f>
        <v>35792</v>
      </c>
      <c r="B521" s="51">
        <f ca="1">IFERROR(__xludf.DUMMYFUNCTION("""COMPUTED_VALUE"""),44608)</f>
        <v>44608</v>
      </c>
      <c r="C521" s="22">
        <f ca="1">IFERROR(__xludf.DUMMYFUNCTION("""COMPUTED_VALUE"""),500000)</f>
        <v>500000</v>
      </c>
      <c r="D521" s="22">
        <f ca="1">IFERROR(__xludf.DUMMYFUNCTION("""COMPUTED_VALUE"""),0)</f>
        <v>0</v>
      </c>
      <c r="E521" s="22">
        <f ca="1">IFERROR(__xludf.DUMMYFUNCTION("""COMPUTED_VALUE"""),500000)</f>
        <v>500000</v>
      </c>
      <c r="F521" s="22">
        <f ca="1">IFERROR(__xludf.DUMMYFUNCTION("""COMPUTED_VALUE"""),500000)</f>
        <v>500000</v>
      </c>
      <c r="G521" s="22">
        <f ca="1">IFERROR(__xludf.DUMMYFUNCTION("""COMPUTED_VALUE"""),0)</f>
        <v>0</v>
      </c>
      <c r="H521" s="7">
        <f ca="1">IFERROR(__xludf.DUMMYFUNCTION("""COMPUTED_VALUE"""),500000)</f>
        <v>500000</v>
      </c>
    </row>
    <row r="522" spans="1:8" ht="13" x14ac:dyDescent="0.15">
      <c r="A522" s="5" t="str">
        <f ca="1">IFERROR(__xludf.DUMMYFUNCTION("""COMPUTED_VALUE"""),"35792")</f>
        <v>35792</v>
      </c>
      <c r="B522" s="51">
        <f ca="1">IFERROR(__xludf.DUMMYFUNCTION("""COMPUTED_VALUE"""),44609)</f>
        <v>44609</v>
      </c>
      <c r="C522" s="22">
        <f ca="1">IFERROR(__xludf.DUMMYFUNCTION("""COMPUTED_VALUE"""),500000)</f>
        <v>500000</v>
      </c>
      <c r="D522" s="22">
        <f ca="1">IFERROR(__xludf.DUMMYFUNCTION("""COMPUTED_VALUE"""),0)</f>
        <v>0</v>
      </c>
      <c r="E522" s="22">
        <f ca="1">IFERROR(__xludf.DUMMYFUNCTION("""COMPUTED_VALUE"""),500000)</f>
        <v>500000</v>
      </c>
      <c r="F522" s="22">
        <f ca="1">IFERROR(__xludf.DUMMYFUNCTION("""COMPUTED_VALUE"""),500000)</f>
        <v>500000</v>
      </c>
      <c r="G522" s="22">
        <f ca="1">IFERROR(__xludf.DUMMYFUNCTION("""COMPUTED_VALUE"""),0)</f>
        <v>0</v>
      </c>
      <c r="H522" s="7">
        <f ca="1">IFERROR(__xludf.DUMMYFUNCTION("""COMPUTED_VALUE"""),500000)</f>
        <v>500000</v>
      </c>
    </row>
    <row r="523" spans="1:8" ht="13" x14ac:dyDescent="0.15">
      <c r="A523" s="5" t="str">
        <f ca="1">IFERROR(__xludf.DUMMYFUNCTION("""COMPUTED_VALUE"""),"35792")</f>
        <v>35792</v>
      </c>
      <c r="B523" s="51">
        <f ca="1">IFERROR(__xludf.DUMMYFUNCTION("""COMPUTED_VALUE"""),44610)</f>
        <v>44610</v>
      </c>
      <c r="C523" s="22">
        <f ca="1">IFERROR(__xludf.DUMMYFUNCTION("""COMPUTED_VALUE"""),500000)</f>
        <v>500000</v>
      </c>
      <c r="D523" s="22">
        <f ca="1">IFERROR(__xludf.DUMMYFUNCTION("""COMPUTED_VALUE"""),0)</f>
        <v>0</v>
      </c>
      <c r="E523" s="22">
        <f ca="1">IFERROR(__xludf.DUMMYFUNCTION("""COMPUTED_VALUE"""),500000)</f>
        <v>500000</v>
      </c>
      <c r="F523" s="22">
        <f ca="1">IFERROR(__xludf.DUMMYFUNCTION("""COMPUTED_VALUE"""),500000)</f>
        <v>500000</v>
      </c>
      <c r="G523" s="22">
        <f ca="1">IFERROR(__xludf.DUMMYFUNCTION("""COMPUTED_VALUE"""),0)</f>
        <v>0</v>
      </c>
      <c r="H523" s="7">
        <f ca="1">IFERROR(__xludf.DUMMYFUNCTION("""COMPUTED_VALUE"""),500000)</f>
        <v>500000</v>
      </c>
    </row>
    <row r="524" spans="1:8" ht="13" x14ac:dyDescent="0.15">
      <c r="A524" s="5" t="str">
        <f ca="1">IFERROR(__xludf.DUMMYFUNCTION("""COMPUTED_VALUE"""),"35792")</f>
        <v>35792</v>
      </c>
      <c r="B524" s="51">
        <f ca="1">IFERROR(__xludf.DUMMYFUNCTION("""COMPUTED_VALUE"""),44611)</f>
        <v>44611</v>
      </c>
      <c r="C524" s="22">
        <f ca="1">IFERROR(__xludf.DUMMYFUNCTION("""COMPUTED_VALUE"""),500000)</f>
        <v>500000</v>
      </c>
      <c r="D524" s="22">
        <f ca="1">IFERROR(__xludf.DUMMYFUNCTION("""COMPUTED_VALUE"""),0)</f>
        <v>0</v>
      </c>
      <c r="E524" s="22">
        <f ca="1">IFERROR(__xludf.DUMMYFUNCTION("""COMPUTED_VALUE"""),500000)</f>
        <v>500000</v>
      </c>
      <c r="F524" s="22">
        <f ca="1">IFERROR(__xludf.DUMMYFUNCTION("""COMPUTED_VALUE"""),500000)</f>
        <v>500000</v>
      </c>
      <c r="G524" s="22">
        <f ca="1">IFERROR(__xludf.DUMMYFUNCTION("""COMPUTED_VALUE"""),0)</f>
        <v>0</v>
      </c>
      <c r="H524" s="7">
        <f ca="1">IFERROR(__xludf.DUMMYFUNCTION("""COMPUTED_VALUE"""),500000)</f>
        <v>500000</v>
      </c>
    </row>
    <row r="525" spans="1:8" ht="13" x14ac:dyDescent="0.15">
      <c r="A525" s="5" t="str">
        <f ca="1">IFERROR(__xludf.DUMMYFUNCTION("""COMPUTED_VALUE"""),"35792")</f>
        <v>35792</v>
      </c>
      <c r="B525" s="51">
        <f ca="1">IFERROR(__xludf.DUMMYFUNCTION("""COMPUTED_VALUE"""),44612)</f>
        <v>44612</v>
      </c>
      <c r="C525" s="22">
        <f ca="1">IFERROR(__xludf.DUMMYFUNCTION("""COMPUTED_VALUE"""),500000)</f>
        <v>500000</v>
      </c>
      <c r="D525" s="22">
        <f ca="1">IFERROR(__xludf.DUMMYFUNCTION("""COMPUTED_VALUE"""),0)</f>
        <v>0</v>
      </c>
      <c r="E525" s="22">
        <f ca="1">IFERROR(__xludf.DUMMYFUNCTION("""COMPUTED_VALUE"""),500000)</f>
        <v>500000</v>
      </c>
      <c r="F525" s="22">
        <f ca="1">IFERROR(__xludf.DUMMYFUNCTION("""COMPUTED_VALUE"""),500000)</f>
        <v>500000</v>
      </c>
      <c r="G525" s="22">
        <f ca="1">IFERROR(__xludf.DUMMYFUNCTION("""COMPUTED_VALUE"""),0)</f>
        <v>0</v>
      </c>
      <c r="H525" s="7">
        <f ca="1">IFERROR(__xludf.DUMMYFUNCTION("""COMPUTED_VALUE"""),500000)</f>
        <v>500000</v>
      </c>
    </row>
    <row r="526" spans="1:8" ht="13" x14ac:dyDescent="0.15">
      <c r="A526" s="5" t="str">
        <f ca="1">IFERROR(__xludf.DUMMYFUNCTION("""COMPUTED_VALUE"""),"35792")</f>
        <v>35792</v>
      </c>
      <c r="B526" s="51">
        <f ca="1">IFERROR(__xludf.DUMMYFUNCTION("""COMPUTED_VALUE"""),44613)</f>
        <v>44613</v>
      </c>
      <c r="C526" s="22">
        <f ca="1">IFERROR(__xludf.DUMMYFUNCTION("""COMPUTED_VALUE"""),500000)</f>
        <v>500000</v>
      </c>
      <c r="D526" s="22">
        <f ca="1">IFERROR(__xludf.DUMMYFUNCTION("""COMPUTED_VALUE"""),0)</f>
        <v>0</v>
      </c>
      <c r="E526" s="22">
        <f ca="1">IFERROR(__xludf.DUMMYFUNCTION("""COMPUTED_VALUE"""),500000)</f>
        <v>500000</v>
      </c>
      <c r="F526" s="22">
        <f ca="1">IFERROR(__xludf.DUMMYFUNCTION("""COMPUTED_VALUE"""),500000)</f>
        <v>500000</v>
      </c>
      <c r="G526" s="22">
        <f ca="1">IFERROR(__xludf.DUMMYFUNCTION("""COMPUTED_VALUE"""),0)</f>
        <v>0</v>
      </c>
      <c r="H526" s="7">
        <f ca="1">IFERROR(__xludf.DUMMYFUNCTION("""COMPUTED_VALUE"""),500000)</f>
        <v>500000</v>
      </c>
    </row>
    <row r="527" spans="1:8" ht="13" x14ac:dyDescent="0.15">
      <c r="A527" s="5" t="str">
        <f ca="1">IFERROR(__xludf.DUMMYFUNCTION("""COMPUTED_VALUE"""),"35792")</f>
        <v>35792</v>
      </c>
      <c r="B527" s="51">
        <f ca="1">IFERROR(__xludf.DUMMYFUNCTION("""COMPUTED_VALUE"""),44614)</f>
        <v>44614</v>
      </c>
      <c r="C527" s="22">
        <f ca="1">IFERROR(__xludf.DUMMYFUNCTION("""COMPUTED_VALUE"""),500000)</f>
        <v>500000</v>
      </c>
      <c r="D527" s="22">
        <f ca="1">IFERROR(__xludf.DUMMYFUNCTION("""COMPUTED_VALUE"""),0)</f>
        <v>0</v>
      </c>
      <c r="E527" s="22">
        <f ca="1">IFERROR(__xludf.DUMMYFUNCTION("""COMPUTED_VALUE"""),500000)</f>
        <v>500000</v>
      </c>
      <c r="F527" s="22">
        <f ca="1">IFERROR(__xludf.DUMMYFUNCTION("""COMPUTED_VALUE"""),500000)</f>
        <v>500000</v>
      </c>
      <c r="G527" s="22">
        <f ca="1">IFERROR(__xludf.DUMMYFUNCTION("""COMPUTED_VALUE"""),0)</f>
        <v>0</v>
      </c>
      <c r="H527" s="7">
        <f ca="1">IFERROR(__xludf.DUMMYFUNCTION("""COMPUTED_VALUE"""),500000)</f>
        <v>500000</v>
      </c>
    </row>
    <row r="528" spans="1:8" ht="13" x14ac:dyDescent="0.15">
      <c r="A528" s="5" t="str">
        <f ca="1">IFERROR(__xludf.DUMMYFUNCTION("""COMPUTED_VALUE"""),"35792")</f>
        <v>35792</v>
      </c>
      <c r="B528" s="51">
        <f ca="1">IFERROR(__xludf.DUMMYFUNCTION("""COMPUTED_VALUE"""),44615)</f>
        <v>44615</v>
      </c>
      <c r="C528" s="22">
        <f ca="1">IFERROR(__xludf.DUMMYFUNCTION("""COMPUTED_VALUE"""),500000)</f>
        <v>500000</v>
      </c>
      <c r="D528" s="22">
        <f ca="1">IFERROR(__xludf.DUMMYFUNCTION("""COMPUTED_VALUE"""),0)</f>
        <v>0</v>
      </c>
      <c r="E528" s="22">
        <f ca="1">IFERROR(__xludf.DUMMYFUNCTION("""COMPUTED_VALUE"""),500000)</f>
        <v>500000</v>
      </c>
      <c r="F528" s="22">
        <f ca="1">IFERROR(__xludf.DUMMYFUNCTION("""COMPUTED_VALUE"""),500000)</f>
        <v>500000</v>
      </c>
      <c r="G528" s="22">
        <f ca="1">IFERROR(__xludf.DUMMYFUNCTION("""COMPUTED_VALUE"""),0)</f>
        <v>0</v>
      </c>
      <c r="H528" s="7">
        <f ca="1">IFERROR(__xludf.DUMMYFUNCTION("""COMPUTED_VALUE"""),500000)</f>
        <v>500000</v>
      </c>
    </row>
    <row r="529" spans="1:8" ht="13" x14ac:dyDescent="0.15">
      <c r="A529" s="5" t="str">
        <f ca="1">IFERROR(__xludf.DUMMYFUNCTION("""COMPUTED_VALUE"""),"35792")</f>
        <v>35792</v>
      </c>
      <c r="B529" s="51">
        <f ca="1">IFERROR(__xludf.DUMMYFUNCTION("""COMPUTED_VALUE"""),44616)</f>
        <v>44616</v>
      </c>
      <c r="C529" s="22">
        <f ca="1">IFERROR(__xludf.DUMMYFUNCTION("""COMPUTED_VALUE"""),500000)</f>
        <v>500000</v>
      </c>
      <c r="D529" s="22">
        <f ca="1">IFERROR(__xludf.DUMMYFUNCTION("""COMPUTED_VALUE"""),0)</f>
        <v>0</v>
      </c>
      <c r="E529" s="22">
        <f ca="1">IFERROR(__xludf.DUMMYFUNCTION("""COMPUTED_VALUE"""),500000)</f>
        <v>500000</v>
      </c>
      <c r="F529" s="22">
        <f ca="1">IFERROR(__xludf.DUMMYFUNCTION("""COMPUTED_VALUE"""),500000)</f>
        <v>500000</v>
      </c>
      <c r="G529" s="22">
        <f ca="1">IFERROR(__xludf.DUMMYFUNCTION("""COMPUTED_VALUE"""),0)</f>
        <v>0</v>
      </c>
      <c r="H529" s="7">
        <f ca="1">IFERROR(__xludf.DUMMYFUNCTION("""COMPUTED_VALUE"""),500000)</f>
        <v>500000</v>
      </c>
    </row>
    <row r="530" spans="1:8" ht="13" x14ac:dyDescent="0.15">
      <c r="A530" s="5" t="str">
        <f ca="1">IFERROR(__xludf.DUMMYFUNCTION("""COMPUTED_VALUE"""),"35792")</f>
        <v>35792</v>
      </c>
      <c r="B530" s="51">
        <f ca="1">IFERROR(__xludf.DUMMYFUNCTION("""COMPUTED_VALUE"""),44617)</f>
        <v>44617</v>
      </c>
      <c r="C530" s="22">
        <f ca="1">IFERROR(__xludf.DUMMYFUNCTION("""COMPUTED_VALUE"""),500000)</f>
        <v>500000</v>
      </c>
      <c r="D530" s="22">
        <f ca="1">IFERROR(__xludf.DUMMYFUNCTION("""COMPUTED_VALUE"""),0)</f>
        <v>0</v>
      </c>
      <c r="E530" s="22">
        <f ca="1">IFERROR(__xludf.DUMMYFUNCTION("""COMPUTED_VALUE"""),500000)</f>
        <v>500000</v>
      </c>
      <c r="F530" s="22">
        <f ca="1">IFERROR(__xludf.DUMMYFUNCTION("""COMPUTED_VALUE"""),500000)</f>
        <v>500000</v>
      </c>
      <c r="G530" s="22">
        <f ca="1">IFERROR(__xludf.DUMMYFUNCTION("""COMPUTED_VALUE"""),0)</f>
        <v>0</v>
      </c>
      <c r="H530" s="7">
        <f ca="1">IFERROR(__xludf.DUMMYFUNCTION("""COMPUTED_VALUE"""),500000)</f>
        <v>500000</v>
      </c>
    </row>
    <row r="531" spans="1:8" ht="13" x14ac:dyDescent="0.15">
      <c r="A531" s="5" t="str">
        <f ca="1">IFERROR(__xludf.DUMMYFUNCTION("""COMPUTED_VALUE"""),"35792")</f>
        <v>35792</v>
      </c>
      <c r="B531" s="51">
        <f ca="1">IFERROR(__xludf.DUMMYFUNCTION("""COMPUTED_VALUE"""),44618)</f>
        <v>44618</v>
      </c>
      <c r="C531" s="22">
        <f ca="1">IFERROR(__xludf.DUMMYFUNCTION("""COMPUTED_VALUE"""),500000)</f>
        <v>500000</v>
      </c>
      <c r="D531" s="22">
        <f ca="1">IFERROR(__xludf.DUMMYFUNCTION("""COMPUTED_VALUE"""),0)</f>
        <v>0</v>
      </c>
      <c r="E531" s="22">
        <f ca="1">IFERROR(__xludf.DUMMYFUNCTION("""COMPUTED_VALUE"""),500000)</f>
        <v>500000</v>
      </c>
      <c r="F531" s="22">
        <f ca="1">IFERROR(__xludf.DUMMYFUNCTION("""COMPUTED_VALUE"""),500000)</f>
        <v>500000</v>
      </c>
      <c r="G531" s="22">
        <f ca="1">IFERROR(__xludf.DUMMYFUNCTION("""COMPUTED_VALUE"""),0)</f>
        <v>0</v>
      </c>
      <c r="H531" s="7">
        <f ca="1">IFERROR(__xludf.DUMMYFUNCTION("""COMPUTED_VALUE"""),500000)</f>
        <v>500000</v>
      </c>
    </row>
    <row r="532" spans="1:8" ht="13" x14ac:dyDescent="0.15">
      <c r="A532" s="5" t="str">
        <f ca="1">IFERROR(__xludf.DUMMYFUNCTION("""COMPUTED_VALUE"""),"35792")</f>
        <v>35792</v>
      </c>
      <c r="B532" s="51">
        <f ca="1">IFERROR(__xludf.DUMMYFUNCTION("""COMPUTED_VALUE"""),44619)</f>
        <v>44619</v>
      </c>
      <c r="C532" s="22">
        <f ca="1">IFERROR(__xludf.DUMMYFUNCTION("""COMPUTED_VALUE"""),500000)</f>
        <v>500000</v>
      </c>
      <c r="D532" s="22">
        <f ca="1">IFERROR(__xludf.DUMMYFUNCTION("""COMPUTED_VALUE"""),0)</f>
        <v>0</v>
      </c>
      <c r="E532" s="22">
        <f ca="1">IFERROR(__xludf.DUMMYFUNCTION("""COMPUTED_VALUE"""),500000)</f>
        <v>500000</v>
      </c>
      <c r="F532" s="22">
        <f ca="1">IFERROR(__xludf.DUMMYFUNCTION("""COMPUTED_VALUE"""),500000)</f>
        <v>500000</v>
      </c>
      <c r="G532" s="22">
        <f ca="1">IFERROR(__xludf.DUMMYFUNCTION("""COMPUTED_VALUE"""),0)</f>
        <v>0</v>
      </c>
      <c r="H532" s="7">
        <f ca="1">IFERROR(__xludf.DUMMYFUNCTION("""COMPUTED_VALUE"""),500000)</f>
        <v>500000</v>
      </c>
    </row>
    <row r="533" spans="1:8" ht="13" x14ac:dyDescent="0.15">
      <c r="A533" s="5" t="str">
        <f ca="1">IFERROR(__xludf.DUMMYFUNCTION("""COMPUTED_VALUE"""),"35792")</f>
        <v>35792</v>
      </c>
      <c r="B533" s="51">
        <f ca="1">IFERROR(__xludf.DUMMYFUNCTION("""COMPUTED_VALUE"""),44620)</f>
        <v>44620</v>
      </c>
      <c r="C533" s="22">
        <f ca="1">IFERROR(__xludf.DUMMYFUNCTION("""COMPUTED_VALUE"""),500000)</f>
        <v>500000</v>
      </c>
      <c r="D533" s="22">
        <f ca="1">IFERROR(__xludf.DUMMYFUNCTION("""COMPUTED_VALUE"""),0)</f>
        <v>0</v>
      </c>
      <c r="E533" s="22">
        <f ca="1">IFERROR(__xludf.DUMMYFUNCTION("""COMPUTED_VALUE"""),500000)</f>
        <v>500000</v>
      </c>
      <c r="F533" s="22">
        <f ca="1">IFERROR(__xludf.DUMMYFUNCTION("""COMPUTED_VALUE"""),500000)</f>
        <v>500000</v>
      </c>
      <c r="G533" s="22">
        <f ca="1">IFERROR(__xludf.DUMMYFUNCTION("""COMPUTED_VALUE"""),0)</f>
        <v>0</v>
      </c>
      <c r="H533" s="7">
        <f ca="1">IFERROR(__xludf.DUMMYFUNCTION("""COMPUTED_VALUE"""),500000)</f>
        <v>500000</v>
      </c>
    </row>
    <row r="534" spans="1:8" ht="13" x14ac:dyDescent="0.15">
      <c r="A534" s="5" t="str">
        <f ca="1">IFERROR(__xludf.DUMMYFUNCTION("""COMPUTED_VALUE"""),"35792")</f>
        <v>35792</v>
      </c>
      <c r="B534" s="51">
        <f ca="1">IFERROR(__xludf.DUMMYFUNCTION("""COMPUTED_VALUE"""),44621)</f>
        <v>44621</v>
      </c>
      <c r="C534" s="22">
        <f ca="1">IFERROR(__xludf.DUMMYFUNCTION("""COMPUTED_VALUE"""),500000)</f>
        <v>500000</v>
      </c>
      <c r="D534" s="22">
        <f ca="1">IFERROR(__xludf.DUMMYFUNCTION("""COMPUTED_VALUE"""),0)</f>
        <v>0</v>
      </c>
      <c r="E534" s="22">
        <f ca="1">IFERROR(__xludf.DUMMYFUNCTION("""COMPUTED_VALUE"""),500000)</f>
        <v>500000</v>
      </c>
      <c r="F534" s="22">
        <f ca="1">IFERROR(__xludf.DUMMYFUNCTION("""COMPUTED_VALUE"""),500000)</f>
        <v>500000</v>
      </c>
      <c r="G534" s="22">
        <f ca="1">IFERROR(__xludf.DUMMYFUNCTION("""COMPUTED_VALUE"""),0)</f>
        <v>0</v>
      </c>
      <c r="H534" s="7">
        <f ca="1">IFERROR(__xludf.DUMMYFUNCTION("""COMPUTED_VALUE"""),500000)</f>
        <v>500000</v>
      </c>
    </row>
    <row r="535" spans="1:8" ht="13" x14ac:dyDescent="0.15">
      <c r="A535" s="5" t="str">
        <f ca="1">IFERROR(__xludf.DUMMYFUNCTION("""COMPUTED_VALUE"""),"35792")</f>
        <v>35792</v>
      </c>
      <c r="B535" s="51">
        <f ca="1">IFERROR(__xludf.DUMMYFUNCTION("""COMPUTED_VALUE"""),44622)</f>
        <v>44622</v>
      </c>
      <c r="C535" s="22">
        <f ca="1">IFERROR(__xludf.DUMMYFUNCTION("""COMPUTED_VALUE"""),500000)</f>
        <v>500000</v>
      </c>
      <c r="D535" s="22">
        <f ca="1">IFERROR(__xludf.DUMMYFUNCTION("""COMPUTED_VALUE"""),0)</f>
        <v>0</v>
      </c>
      <c r="E535" s="22">
        <f ca="1">IFERROR(__xludf.DUMMYFUNCTION("""COMPUTED_VALUE"""),500000)</f>
        <v>500000</v>
      </c>
      <c r="F535" s="22">
        <f ca="1">IFERROR(__xludf.DUMMYFUNCTION("""COMPUTED_VALUE"""),500000)</f>
        <v>500000</v>
      </c>
      <c r="G535" s="22">
        <f ca="1">IFERROR(__xludf.DUMMYFUNCTION("""COMPUTED_VALUE"""),0)</f>
        <v>0</v>
      </c>
      <c r="H535" s="7">
        <f ca="1">IFERROR(__xludf.DUMMYFUNCTION("""COMPUTED_VALUE"""),500000)</f>
        <v>500000</v>
      </c>
    </row>
    <row r="536" spans="1:8" ht="13" x14ac:dyDescent="0.15">
      <c r="A536" s="5" t="str">
        <f ca="1">IFERROR(__xludf.DUMMYFUNCTION("""COMPUTED_VALUE"""),"35792")</f>
        <v>35792</v>
      </c>
      <c r="B536" s="51">
        <f ca="1">IFERROR(__xludf.DUMMYFUNCTION("""COMPUTED_VALUE"""),44623)</f>
        <v>44623</v>
      </c>
      <c r="C536" s="22">
        <f ca="1">IFERROR(__xludf.DUMMYFUNCTION("""COMPUTED_VALUE"""),500000)</f>
        <v>500000</v>
      </c>
      <c r="D536" s="22">
        <f ca="1">IFERROR(__xludf.DUMMYFUNCTION("""COMPUTED_VALUE"""),0)</f>
        <v>0</v>
      </c>
      <c r="E536" s="22">
        <f ca="1">IFERROR(__xludf.DUMMYFUNCTION("""COMPUTED_VALUE"""),500000)</f>
        <v>500000</v>
      </c>
      <c r="F536" s="22">
        <f ca="1">IFERROR(__xludf.DUMMYFUNCTION("""COMPUTED_VALUE"""),500000)</f>
        <v>500000</v>
      </c>
      <c r="G536" s="22">
        <f ca="1">IFERROR(__xludf.DUMMYFUNCTION("""COMPUTED_VALUE"""),0)</f>
        <v>0</v>
      </c>
      <c r="H536" s="7">
        <f ca="1">IFERROR(__xludf.DUMMYFUNCTION("""COMPUTED_VALUE"""),500000)</f>
        <v>500000</v>
      </c>
    </row>
    <row r="537" spans="1:8" ht="13" x14ac:dyDescent="0.15">
      <c r="A537" s="5" t="str">
        <f ca="1">IFERROR(__xludf.DUMMYFUNCTION("""COMPUTED_VALUE"""),"35792")</f>
        <v>35792</v>
      </c>
      <c r="B537" s="51">
        <f ca="1">IFERROR(__xludf.DUMMYFUNCTION("""COMPUTED_VALUE"""),44624)</f>
        <v>44624</v>
      </c>
      <c r="C537" s="22">
        <f ca="1">IFERROR(__xludf.DUMMYFUNCTION("""COMPUTED_VALUE"""),500000)</f>
        <v>500000</v>
      </c>
      <c r="D537" s="22">
        <f ca="1">IFERROR(__xludf.DUMMYFUNCTION("""COMPUTED_VALUE"""),0)</f>
        <v>0</v>
      </c>
      <c r="E537" s="22">
        <f ca="1">IFERROR(__xludf.DUMMYFUNCTION("""COMPUTED_VALUE"""),500000)</f>
        <v>500000</v>
      </c>
      <c r="F537" s="22">
        <f ca="1">IFERROR(__xludf.DUMMYFUNCTION("""COMPUTED_VALUE"""),500000)</f>
        <v>500000</v>
      </c>
      <c r="G537" s="22">
        <f ca="1">IFERROR(__xludf.DUMMYFUNCTION("""COMPUTED_VALUE"""),0)</f>
        <v>0</v>
      </c>
      <c r="H537" s="7">
        <f ca="1">IFERROR(__xludf.DUMMYFUNCTION("""COMPUTED_VALUE"""),500000)</f>
        <v>500000</v>
      </c>
    </row>
    <row r="538" spans="1:8" ht="13" x14ac:dyDescent="0.15">
      <c r="A538" s="5" t="str">
        <f ca="1">IFERROR(__xludf.DUMMYFUNCTION("""COMPUTED_VALUE"""),"35792")</f>
        <v>35792</v>
      </c>
      <c r="B538" s="51">
        <f ca="1">IFERROR(__xludf.DUMMYFUNCTION("""COMPUTED_VALUE"""),44625)</f>
        <v>44625</v>
      </c>
      <c r="C538" s="22">
        <f ca="1">IFERROR(__xludf.DUMMYFUNCTION("""COMPUTED_VALUE"""),500000)</f>
        <v>500000</v>
      </c>
      <c r="D538" s="22">
        <f ca="1">IFERROR(__xludf.DUMMYFUNCTION("""COMPUTED_VALUE"""),0)</f>
        <v>0</v>
      </c>
      <c r="E538" s="22">
        <f ca="1">IFERROR(__xludf.DUMMYFUNCTION("""COMPUTED_VALUE"""),500000)</f>
        <v>500000</v>
      </c>
      <c r="F538" s="22">
        <f ca="1">IFERROR(__xludf.DUMMYFUNCTION("""COMPUTED_VALUE"""),500000)</f>
        <v>500000</v>
      </c>
      <c r="G538" s="22">
        <f ca="1">IFERROR(__xludf.DUMMYFUNCTION("""COMPUTED_VALUE"""),0)</f>
        <v>0</v>
      </c>
      <c r="H538" s="7">
        <f ca="1">IFERROR(__xludf.DUMMYFUNCTION("""COMPUTED_VALUE"""),500000)</f>
        <v>500000</v>
      </c>
    </row>
    <row r="539" spans="1:8" ht="13" x14ac:dyDescent="0.15">
      <c r="A539" s="5" t="str">
        <f ca="1">IFERROR(__xludf.DUMMYFUNCTION("""COMPUTED_VALUE"""),"35792")</f>
        <v>35792</v>
      </c>
      <c r="B539" s="51">
        <f ca="1">IFERROR(__xludf.DUMMYFUNCTION("""COMPUTED_VALUE"""),44626)</f>
        <v>44626</v>
      </c>
      <c r="C539" s="22">
        <f ca="1">IFERROR(__xludf.DUMMYFUNCTION("""COMPUTED_VALUE"""),500000)</f>
        <v>500000</v>
      </c>
      <c r="D539" s="22">
        <f ca="1">IFERROR(__xludf.DUMMYFUNCTION("""COMPUTED_VALUE"""),0)</f>
        <v>0</v>
      </c>
      <c r="E539" s="22">
        <f ca="1">IFERROR(__xludf.DUMMYFUNCTION("""COMPUTED_VALUE"""),500000)</f>
        <v>500000</v>
      </c>
      <c r="F539" s="22">
        <f ca="1">IFERROR(__xludf.DUMMYFUNCTION("""COMPUTED_VALUE"""),500000)</f>
        <v>500000</v>
      </c>
      <c r="G539" s="22">
        <f ca="1">IFERROR(__xludf.DUMMYFUNCTION("""COMPUTED_VALUE"""),0)</f>
        <v>0</v>
      </c>
      <c r="H539" s="7">
        <f ca="1">IFERROR(__xludf.DUMMYFUNCTION("""COMPUTED_VALUE"""),500000)</f>
        <v>500000</v>
      </c>
    </row>
    <row r="540" spans="1:8" ht="13" x14ac:dyDescent="0.15">
      <c r="A540" s="5" t="str">
        <f ca="1">IFERROR(__xludf.DUMMYFUNCTION("""COMPUTED_VALUE"""),"35792")</f>
        <v>35792</v>
      </c>
      <c r="B540" s="51">
        <f ca="1">IFERROR(__xludf.DUMMYFUNCTION("""COMPUTED_VALUE"""),44627)</f>
        <v>44627</v>
      </c>
      <c r="C540" s="22">
        <f ca="1">IFERROR(__xludf.DUMMYFUNCTION("""COMPUTED_VALUE"""),500000)</f>
        <v>500000</v>
      </c>
      <c r="D540" s="22">
        <f ca="1">IFERROR(__xludf.DUMMYFUNCTION("""COMPUTED_VALUE"""),0)</f>
        <v>0</v>
      </c>
      <c r="E540" s="22">
        <f ca="1">IFERROR(__xludf.DUMMYFUNCTION("""COMPUTED_VALUE"""),500000)</f>
        <v>500000</v>
      </c>
      <c r="F540" s="22">
        <f ca="1">IFERROR(__xludf.DUMMYFUNCTION("""COMPUTED_VALUE"""),500000)</f>
        <v>500000</v>
      </c>
      <c r="G540" s="22">
        <f ca="1">IFERROR(__xludf.DUMMYFUNCTION("""COMPUTED_VALUE"""),0)</f>
        <v>0</v>
      </c>
      <c r="H540" s="7">
        <f ca="1">IFERROR(__xludf.DUMMYFUNCTION("""COMPUTED_VALUE"""),500000)</f>
        <v>500000</v>
      </c>
    </row>
    <row r="541" spans="1:8" ht="13" x14ac:dyDescent="0.15">
      <c r="A541" s="5" t="str">
        <f ca="1">IFERROR(__xludf.DUMMYFUNCTION("""COMPUTED_VALUE"""),"35792")</f>
        <v>35792</v>
      </c>
      <c r="B541" s="51">
        <f ca="1">IFERROR(__xludf.DUMMYFUNCTION("""COMPUTED_VALUE"""),44628)</f>
        <v>44628</v>
      </c>
      <c r="C541" s="22">
        <f ca="1">IFERROR(__xludf.DUMMYFUNCTION("""COMPUTED_VALUE"""),500000)</f>
        <v>500000</v>
      </c>
      <c r="D541" s="22">
        <f ca="1">IFERROR(__xludf.DUMMYFUNCTION("""COMPUTED_VALUE"""),0)</f>
        <v>0</v>
      </c>
      <c r="E541" s="22">
        <f ca="1">IFERROR(__xludf.DUMMYFUNCTION("""COMPUTED_VALUE"""),500000)</f>
        <v>500000</v>
      </c>
      <c r="F541" s="22">
        <f ca="1">IFERROR(__xludf.DUMMYFUNCTION("""COMPUTED_VALUE"""),500000)</f>
        <v>500000</v>
      </c>
      <c r="G541" s="22">
        <f ca="1">IFERROR(__xludf.DUMMYFUNCTION("""COMPUTED_VALUE"""),0)</f>
        <v>0</v>
      </c>
      <c r="H541" s="7">
        <f ca="1">IFERROR(__xludf.DUMMYFUNCTION("""COMPUTED_VALUE"""),500000)</f>
        <v>500000</v>
      </c>
    </row>
    <row r="542" spans="1:8" ht="13" x14ac:dyDescent="0.15">
      <c r="A542" s="5" t="str">
        <f ca="1">IFERROR(__xludf.DUMMYFUNCTION("""COMPUTED_VALUE"""),"35792")</f>
        <v>35792</v>
      </c>
      <c r="B542" s="51">
        <f ca="1">IFERROR(__xludf.DUMMYFUNCTION("""COMPUTED_VALUE"""),44629)</f>
        <v>44629</v>
      </c>
      <c r="C542" s="22">
        <f ca="1">IFERROR(__xludf.DUMMYFUNCTION("""COMPUTED_VALUE"""),500000)</f>
        <v>500000</v>
      </c>
      <c r="D542" s="22">
        <f ca="1">IFERROR(__xludf.DUMMYFUNCTION("""COMPUTED_VALUE"""),0)</f>
        <v>0</v>
      </c>
      <c r="E542" s="22">
        <f ca="1">IFERROR(__xludf.DUMMYFUNCTION("""COMPUTED_VALUE"""),500000)</f>
        <v>500000</v>
      </c>
      <c r="F542" s="22">
        <f ca="1">IFERROR(__xludf.DUMMYFUNCTION("""COMPUTED_VALUE"""),500000)</f>
        <v>500000</v>
      </c>
      <c r="G542" s="22">
        <f ca="1">IFERROR(__xludf.DUMMYFUNCTION("""COMPUTED_VALUE"""),0)</f>
        <v>0</v>
      </c>
      <c r="H542" s="7">
        <f ca="1">IFERROR(__xludf.DUMMYFUNCTION("""COMPUTED_VALUE"""),500000)</f>
        <v>500000</v>
      </c>
    </row>
    <row r="543" spans="1:8" ht="13" x14ac:dyDescent="0.15">
      <c r="A543" s="5" t="str">
        <f ca="1">IFERROR(__xludf.DUMMYFUNCTION("""COMPUTED_VALUE"""),"35792")</f>
        <v>35792</v>
      </c>
      <c r="B543" s="51">
        <f ca="1">IFERROR(__xludf.DUMMYFUNCTION("""COMPUTED_VALUE"""),44630)</f>
        <v>44630</v>
      </c>
      <c r="C543" s="22">
        <f ca="1">IFERROR(__xludf.DUMMYFUNCTION("""COMPUTED_VALUE"""),500000)</f>
        <v>500000</v>
      </c>
      <c r="D543" s="22">
        <f ca="1">IFERROR(__xludf.DUMMYFUNCTION("""COMPUTED_VALUE"""),0)</f>
        <v>0</v>
      </c>
      <c r="E543" s="22">
        <f ca="1">IFERROR(__xludf.DUMMYFUNCTION("""COMPUTED_VALUE"""),500000)</f>
        <v>500000</v>
      </c>
      <c r="F543" s="22">
        <f ca="1">IFERROR(__xludf.DUMMYFUNCTION("""COMPUTED_VALUE"""),500000)</f>
        <v>500000</v>
      </c>
      <c r="G543" s="22">
        <f ca="1">IFERROR(__xludf.DUMMYFUNCTION("""COMPUTED_VALUE"""),0)</f>
        <v>0</v>
      </c>
      <c r="H543" s="7">
        <f ca="1">IFERROR(__xludf.DUMMYFUNCTION("""COMPUTED_VALUE"""),500000)</f>
        <v>500000</v>
      </c>
    </row>
    <row r="544" spans="1:8" ht="13" x14ac:dyDescent="0.15">
      <c r="A544" s="5" t="str">
        <f ca="1">IFERROR(__xludf.DUMMYFUNCTION("""COMPUTED_VALUE"""),"35792")</f>
        <v>35792</v>
      </c>
      <c r="B544" s="51">
        <f ca="1">IFERROR(__xludf.DUMMYFUNCTION("""COMPUTED_VALUE"""),44631)</f>
        <v>44631</v>
      </c>
      <c r="C544" s="22">
        <f ca="1">IFERROR(__xludf.DUMMYFUNCTION("""COMPUTED_VALUE"""),500000)</f>
        <v>500000</v>
      </c>
      <c r="D544" s="22">
        <f ca="1">IFERROR(__xludf.DUMMYFUNCTION("""COMPUTED_VALUE"""),0)</f>
        <v>0</v>
      </c>
      <c r="E544" s="22">
        <f ca="1">IFERROR(__xludf.DUMMYFUNCTION("""COMPUTED_VALUE"""),500000)</f>
        <v>500000</v>
      </c>
      <c r="F544" s="22">
        <f ca="1">IFERROR(__xludf.DUMMYFUNCTION("""COMPUTED_VALUE"""),500000)</f>
        <v>500000</v>
      </c>
      <c r="G544" s="22">
        <f ca="1">IFERROR(__xludf.DUMMYFUNCTION("""COMPUTED_VALUE"""),0)</f>
        <v>0</v>
      </c>
      <c r="H544" s="7">
        <f ca="1">IFERROR(__xludf.DUMMYFUNCTION("""COMPUTED_VALUE"""),500000)</f>
        <v>500000</v>
      </c>
    </row>
    <row r="545" spans="1:8" ht="13" x14ac:dyDescent="0.15">
      <c r="A545" s="5" t="str">
        <f ca="1">IFERROR(__xludf.DUMMYFUNCTION("""COMPUTED_VALUE"""),"35792")</f>
        <v>35792</v>
      </c>
      <c r="B545" s="51">
        <f ca="1">IFERROR(__xludf.DUMMYFUNCTION("""COMPUTED_VALUE"""),44632)</f>
        <v>44632</v>
      </c>
      <c r="C545" s="22">
        <f ca="1">IFERROR(__xludf.DUMMYFUNCTION("""COMPUTED_VALUE"""),500000)</f>
        <v>500000</v>
      </c>
      <c r="D545" s="22">
        <f ca="1">IFERROR(__xludf.DUMMYFUNCTION("""COMPUTED_VALUE"""),0)</f>
        <v>0</v>
      </c>
      <c r="E545" s="22">
        <f ca="1">IFERROR(__xludf.DUMMYFUNCTION("""COMPUTED_VALUE"""),500000)</f>
        <v>500000</v>
      </c>
      <c r="F545" s="22">
        <f ca="1">IFERROR(__xludf.DUMMYFUNCTION("""COMPUTED_VALUE"""),500000)</f>
        <v>500000</v>
      </c>
      <c r="G545" s="22">
        <f ca="1">IFERROR(__xludf.DUMMYFUNCTION("""COMPUTED_VALUE"""),0)</f>
        <v>0</v>
      </c>
      <c r="H545" s="7">
        <f ca="1">IFERROR(__xludf.DUMMYFUNCTION("""COMPUTED_VALUE"""),500000)</f>
        <v>500000</v>
      </c>
    </row>
    <row r="546" spans="1:8" ht="13" x14ac:dyDescent="0.15">
      <c r="A546" s="5" t="str">
        <f ca="1">IFERROR(__xludf.DUMMYFUNCTION("""COMPUTED_VALUE"""),"35792")</f>
        <v>35792</v>
      </c>
      <c r="B546" s="51">
        <f ca="1">IFERROR(__xludf.DUMMYFUNCTION("""COMPUTED_VALUE"""),44633)</f>
        <v>44633</v>
      </c>
      <c r="C546" s="22">
        <f ca="1">IFERROR(__xludf.DUMMYFUNCTION("""COMPUTED_VALUE"""),500000)</f>
        <v>500000</v>
      </c>
      <c r="D546" s="22">
        <f ca="1">IFERROR(__xludf.DUMMYFUNCTION("""COMPUTED_VALUE"""),0)</f>
        <v>0</v>
      </c>
      <c r="E546" s="22">
        <f ca="1">IFERROR(__xludf.DUMMYFUNCTION("""COMPUTED_VALUE"""),500000)</f>
        <v>500000</v>
      </c>
      <c r="F546" s="22">
        <f ca="1">IFERROR(__xludf.DUMMYFUNCTION("""COMPUTED_VALUE"""),500000)</f>
        <v>500000</v>
      </c>
      <c r="G546" s="22">
        <f ca="1">IFERROR(__xludf.DUMMYFUNCTION("""COMPUTED_VALUE"""),0)</f>
        <v>0</v>
      </c>
      <c r="H546" s="7">
        <f ca="1">IFERROR(__xludf.DUMMYFUNCTION("""COMPUTED_VALUE"""),500000)</f>
        <v>500000</v>
      </c>
    </row>
    <row r="547" spans="1:8" ht="13" x14ac:dyDescent="0.15">
      <c r="A547" s="5" t="str">
        <f ca="1">IFERROR(__xludf.DUMMYFUNCTION("""COMPUTED_VALUE"""),"35792")</f>
        <v>35792</v>
      </c>
      <c r="B547" s="51">
        <f ca="1">IFERROR(__xludf.DUMMYFUNCTION("""COMPUTED_VALUE"""),44634)</f>
        <v>44634</v>
      </c>
      <c r="C547" s="22">
        <f ca="1">IFERROR(__xludf.DUMMYFUNCTION("""COMPUTED_VALUE"""),500000)</f>
        <v>500000</v>
      </c>
      <c r="D547" s="22">
        <f ca="1">IFERROR(__xludf.DUMMYFUNCTION("""COMPUTED_VALUE"""),0)</f>
        <v>0</v>
      </c>
      <c r="E547" s="22">
        <f ca="1">IFERROR(__xludf.DUMMYFUNCTION("""COMPUTED_VALUE"""),500000)</f>
        <v>500000</v>
      </c>
      <c r="F547" s="22">
        <f ca="1">IFERROR(__xludf.DUMMYFUNCTION("""COMPUTED_VALUE"""),500000)</f>
        <v>500000</v>
      </c>
      <c r="G547" s="22">
        <f ca="1">IFERROR(__xludf.DUMMYFUNCTION("""COMPUTED_VALUE"""),0)</f>
        <v>0</v>
      </c>
      <c r="H547" s="7">
        <f ca="1">IFERROR(__xludf.DUMMYFUNCTION("""COMPUTED_VALUE"""),500000)</f>
        <v>500000</v>
      </c>
    </row>
    <row r="548" spans="1:8" ht="13" x14ac:dyDescent="0.15">
      <c r="A548" s="5" t="str">
        <f ca="1">IFERROR(__xludf.DUMMYFUNCTION("""COMPUTED_VALUE"""),"35792")</f>
        <v>35792</v>
      </c>
      <c r="B548" s="51">
        <f ca="1">IFERROR(__xludf.DUMMYFUNCTION("""COMPUTED_VALUE"""),44635)</f>
        <v>44635</v>
      </c>
      <c r="C548" s="22">
        <f ca="1">IFERROR(__xludf.DUMMYFUNCTION("""COMPUTED_VALUE"""),500000)</f>
        <v>500000</v>
      </c>
      <c r="D548" s="22">
        <f ca="1">IFERROR(__xludf.DUMMYFUNCTION("""COMPUTED_VALUE"""),0)</f>
        <v>0</v>
      </c>
      <c r="E548" s="22">
        <f ca="1">IFERROR(__xludf.DUMMYFUNCTION("""COMPUTED_VALUE"""),500000)</f>
        <v>500000</v>
      </c>
      <c r="F548" s="22">
        <f ca="1">IFERROR(__xludf.DUMMYFUNCTION("""COMPUTED_VALUE"""),500000)</f>
        <v>500000</v>
      </c>
      <c r="G548" s="22">
        <f ca="1">IFERROR(__xludf.DUMMYFUNCTION("""COMPUTED_VALUE"""),0)</f>
        <v>0</v>
      </c>
      <c r="H548" s="7">
        <f ca="1">IFERROR(__xludf.DUMMYFUNCTION("""COMPUTED_VALUE"""),500000)</f>
        <v>500000</v>
      </c>
    </row>
    <row r="549" spans="1:8" ht="13" x14ac:dyDescent="0.15">
      <c r="A549" s="5" t="str">
        <f ca="1">IFERROR(__xludf.DUMMYFUNCTION("""COMPUTED_VALUE"""),"35792")</f>
        <v>35792</v>
      </c>
      <c r="B549" s="51">
        <f ca="1">IFERROR(__xludf.DUMMYFUNCTION("""COMPUTED_VALUE"""),44636)</f>
        <v>44636</v>
      </c>
      <c r="C549" s="22">
        <f ca="1">IFERROR(__xludf.DUMMYFUNCTION("""COMPUTED_VALUE"""),500000)</f>
        <v>500000</v>
      </c>
      <c r="D549" s="22">
        <f ca="1">IFERROR(__xludf.DUMMYFUNCTION("""COMPUTED_VALUE"""),0)</f>
        <v>0</v>
      </c>
      <c r="E549" s="22">
        <f ca="1">IFERROR(__xludf.DUMMYFUNCTION("""COMPUTED_VALUE"""),500000)</f>
        <v>500000</v>
      </c>
      <c r="F549" s="22">
        <f ca="1">IFERROR(__xludf.DUMMYFUNCTION("""COMPUTED_VALUE"""),500000)</f>
        <v>500000</v>
      </c>
      <c r="G549" s="22">
        <f ca="1">IFERROR(__xludf.DUMMYFUNCTION("""COMPUTED_VALUE"""),0)</f>
        <v>0</v>
      </c>
      <c r="H549" s="7">
        <f ca="1">IFERROR(__xludf.DUMMYFUNCTION("""COMPUTED_VALUE"""),500000)</f>
        <v>500000</v>
      </c>
    </row>
    <row r="550" spans="1:8" ht="13" x14ac:dyDescent="0.15">
      <c r="A550" s="5" t="str">
        <f ca="1">IFERROR(__xludf.DUMMYFUNCTION("""COMPUTED_VALUE"""),"35792")</f>
        <v>35792</v>
      </c>
      <c r="B550" s="51">
        <f ca="1">IFERROR(__xludf.DUMMYFUNCTION("""COMPUTED_VALUE"""),44637)</f>
        <v>44637</v>
      </c>
      <c r="C550" s="22">
        <f ca="1">IFERROR(__xludf.DUMMYFUNCTION("""COMPUTED_VALUE"""),500000)</f>
        <v>500000</v>
      </c>
      <c r="D550" s="22">
        <f ca="1">IFERROR(__xludf.DUMMYFUNCTION("""COMPUTED_VALUE"""),0)</f>
        <v>0</v>
      </c>
      <c r="E550" s="22">
        <f ca="1">IFERROR(__xludf.DUMMYFUNCTION("""COMPUTED_VALUE"""),500000)</f>
        <v>500000</v>
      </c>
      <c r="F550" s="22">
        <f ca="1">IFERROR(__xludf.DUMMYFUNCTION("""COMPUTED_VALUE"""),500000)</f>
        <v>500000</v>
      </c>
      <c r="G550" s="22">
        <f ca="1">IFERROR(__xludf.DUMMYFUNCTION("""COMPUTED_VALUE"""),0)</f>
        <v>0</v>
      </c>
      <c r="H550" s="7">
        <f ca="1">IFERROR(__xludf.DUMMYFUNCTION("""COMPUTED_VALUE"""),500000)</f>
        <v>500000</v>
      </c>
    </row>
    <row r="551" spans="1:8" ht="13" x14ac:dyDescent="0.15">
      <c r="A551" s="5" t="str">
        <f ca="1">IFERROR(__xludf.DUMMYFUNCTION("""COMPUTED_VALUE"""),"35792")</f>
        <v>35792</v>
      </c>
      <c r="B551" s="51">
        <f ca="1">IFERROR(__xludf.DUMMYFUNCTION("""COMPUTED_VALUE"""),44638)</f>
        <v>44638</v>
      </c>
      <c r="C551" s="22">
        <f ca="1">IFERROR(__xludf.DUMMYFUNCTION("""COMPUTED_VALUE"""),500000)</f>
        <v>500000</v>
      </c>
      <c r="D551" s="22">
        <f ca="1">IFERROR(__xludf.DUMMYFUNCTION("""COMPUTED_VALUE"""),0)</f>
        <v>0</v>
      </c>
      <c r="E551" s="22">
        <f ca="1">IFERROR(__xludf.DUMMYFUNCTION("""COMPUTED_VALUE"""),500000)</f>
        <v>500000</v>
      </c>
      <c r="F551" s="22">
        <f ca="1">IFERROR(__xludf.DUMMYFUNCTION("""COMPUTED_VALUE"""),500000)</f>
        <v>500000</v>
      </c>
      <c r="G551" s="22">
        <f ca="1">IFERROR(__xludf.DUMMYFUNCTION("""COMPUTED_VALUE"""),0)</f>
        <v>0</v>
      </c>
      <c r="H551" s="7">
        <f ca="1">IFERROR(__xludf.DUMMYFUNCTION("""COMPUTED_VALUE"""),500000)</f>
        <v>500000</v>
      </c>
    </row>
    <row r="552" spans="1:8" ht="13" x14ac:dyDescent="0.15">
      <c r="A552" s="5" t="str">
        <f ca="1">IFERROR(__xludf.DUMMYFUNCTION("""COMPUTED_VALUE"""),"35792")</f>
        <v>35792</v>
      </c>
      <c r="B552" s="51">
        <f ca="1">IFERROR(__xludf.DUMMYFUNCTION("""COMPUTED_VALUE"""),44639)</f>
        <v>44639</v>
      </c>
      <c r="C552" s="22">
        <f ca="1">IFERROR(__xludf.DUMMYFUNCTION("""COMPUTED_VALUE"""),500000)</f>
        <v>500000</v>
      </c>
      <c r="D552" s="22">
        <f ca="1">IFERROR(__xludf.DUMMYFUNCTION("""COMPUTED_VALUE"""),0)</f>
        <v>0</v>
      </c>
      <c r="E552" s="22">
        <f ca="1">IFERROR(__xludf.DUMMYFUNCTION("""COMPUTED_VALUE"""),500000)</f>
        <v>500000</v>
      </c>
      <c r="F552" s="22">
        <f ca="1">IFERROR(__xludf.DUMMYFUNCTION("""COMPUTED_VALUE"""),500000)</f>
        <v>500000</v>
      </c>
      <c r="G552" s="22">
        <f ca="1">IFERROR(__xludf.DUMMYFUNCTION("""COMPUTED_VALUE"""),0)</f>
        <v>0</v>
      </c>
      <c r="H552" s="7">
        <f ca="1">IFERROR(__xludf.DUMMYFUNCTION("""COMPUTED_VALUE"""),500000)</f>
        <v>500000</v>
      </c>
    </row>
    <row r="553" spans="1:8" ht="13" x14ac:dyDescent="0.15">
      <c r="A553" s="5" t="str">
        <f ca="1">IFERROR(__xludf.DUMMYFUNCTION("""COMPUTED_VALUE"""),"35792")</f>
        <v>35792</v>
      </c>
      <c r="B553" s="51">
        <f ca="1">IFERROR(__xludf.DUMMYFUNCTION("""COMPUTED_VALUE"""),44640)</f>
        <v>44640</v>
      </c>
      <c r="C553" s="22">
        <f ca="1">IFERROR(__xludf.DUMMYFUNCTION("""COMPUTED_VALUE"""),500000)</f>
        <v>500000</v>
      </c>
      <c r="D553" s="22">
        <f ca="1">IFERROR(__xludf.DUMMYFUNCTION("""COMPUTED_VALUE"""),0)</f>
        <v>0</v>
      </c>
      <c r="E553" s="22">
        <f ca="1">IFERROR(__xludf.DUMMYFUNCTION("""COMPUTED_VALUE"""),500000)</f>
        <v>500000</v>
      </c>
      <c r="F553" s="22">
        <f ca="1">IFERROR(__xludf.DUMMYFUNCTION("""COMPUTED_VALUE"""),500000)</f>
        <v>500000</v>
      </c>
      <c r="G553" s="22">
        <f ca="1">IFERROR(__xludf.DUMMYFUNCTION("""COMPUTED_VALUE"""),0)</f>
        <v>0</v>
      </c>
      <c r="H553" s="7">
        <f ca="1">IFERROR(__xludf.DUMMYFUNCTION("""COMPUTED_VALUE"""),500000)</f>
        <v>500000</v>
      </c>
    </row>
    <row r="554" spans="1:8" ht="13" x14ac:dyDescent="0.15">
      <c r="A554" s="5" t="str">
        <f ca="1">IFERROR(__xludf.DUMMYFUNCTION("""COMPUTED_VALUE"""),"35792")</f>
        <v>35792</v>
      </c>
      <c r="B554" s="51">
        <f ca="1">IFERROR(__xludf.DUMMYFUNCTION("""COMPUTED_VALUE"""),44641)</f>
        <v>44641</v>
      </c>
      <c r="C554" s="22">
        <f ca="1">IFERROR(__xludf.DUMMYFUNCTION("""COMPUTED_VALUE"""),500000)</f>
        <v>500000</v>
      </c>
      <c r="D554" s="22">
        <f ca="1">IFERROR(__xludf.DUMMYFUNCTION("""COMPUTED_VALUE"""),0)</f>
        <v>0</v>
      </c>
      <c r="E554" s="22">
        <f ca="1">IFERROR(__xludf.DUMMYFUNCTION("""COMPUTED_VALUE"""),500000)</f>
        <v>500000</v>
      </c>
      <c r="F554" s="22">
        <f ca="1">IFERROR(__xludf.DUMMYFUNCTION("""COMPUTED_VALUE"""),500000)</f>
        <v>500000</v>
      </c>
      <c r="G554" s="22">
        <f ca="1">IFERROR(__xludf.DUMMYFUNCTION("""COMPUTED_VALUE"""),0)</f>
        <v>0</v>
      </c>
      <c r="H554" s="7">
        <f ca="1">IFERROR(__xludf.DUMMYFUNCTION("""COMPUTED_VALUE"""),500000)</f>
        <v>500000</v>
      </c>
    </row>
    <row r="555" spans="1:8" ht="13" x14ac:dyDescent="0.15">
      <c r="A555" s="5" t="str">
        <f ca="1">IFERROR(__xludf.DUMMYFUNCTION("""COMPUTED_VALUE"""),"35792")</f>
        <v>35792</v>
      </c>
      <c r="B555" s="51">
        <f ca="1">IFERROR(__xludf.DUMMYFUNCTION("""COMPUTED_VALUE"""),44642)</f>
        <v>44642</v>
      </c>
      <c r="C555" s="22">
        <f ca="1">IFERROR(__xludf.DUMMYFUNCTION("""COMPUTED_VALUE"""),500000)</f>
        <v>500000</v>
      </c>
      <c r="D555" s="22">
        <f ca="1">IFERROR(__xludf.DUMMYFUNCTION("""COMPUTED_VALUE"""),0)</f>
        <v>0</v>
      </c>
      <c r="E555" s="22">
        <f ca="1">IFERROR(__xludf.DUMMYFUNCTION("""COMPUTED_VALUE"""),500000)</f>
        <v>500000</v>
      </c>
      <c r="F555" s="22">
        <f ca="1">IFERROR(__xludf.DUMMYFUNCTION("""COMPUTED_VALUE"""),500000)</f>
        <v>500000</v>
      </c>
      <c r="G555" s="22">
        <f ca="1">IFERROR(__xludf.DUMMYFUNCTION("""COMPUTED_VALUE"""),0)</f>
        <v>0</v>
      </c>
      <c r="H555" s="7">
        <f ca="1">IFERROR(__xludf.DUMMYFUNCTION("""COMPUTED_VALUE"""),500000)</f>
        <v>500000</v>
      </c>
    </row>
    <row r="556" spans="1:8" ht="13" x14ac:dyDescent="0.15">
      <c r="A556" s="5" t="str">
        <f ca="1">IFERROR(__xludf.DUMMYFUNCTION("""COMPUTED_VALUE"""),"36196")</f>
        <v>36196</v>
      </c>
      <c r="B556" s="51">
        <f ca="1">IFERROR(__xludf.DUMMYFUNCTION("""COMPUTED_VALUE"""),44597)</f>
        <v>44597</v>
      </c>
      <c r="C556" s="22">
        <f ca="1">IFERROR(__xludf.DUMMYFUNCTION("""COMPUTED_VALUE"""),500000)</f>
        <v>500000</v>
      </c>
      <c r="D556" s="22">
        <f ca="1">IFERROR(__xludf.DUMMYFUNCTION("""COMPUTED_VALUE"""),0)</f>
        <v>0</v>
      </c>
      <c r="E556" s="22">
        <f ca="1">IFERROR(__xludf.DUMMYFUNCTION("""COMPUTED_VALUE"""),500000)</f>
        <v>500000</v>
      </c>
      <c r="F556" s="22">
        <f ca="1">IFERROR(__xludf.DUMMYFUNCTION("""COMPUTED_VALUE"""),500000)</f>
        <v>500000</v>
      </c>
      <c r="G556" s="22">
        <f ca="1">IFERROR(__xludf.DUMMYFUNCTION("""COMPUTED_VALUE"""),0)</f>
        <v>0</v>
      </c>
      <c r="H556" s="7">
        <f ca="1">IFERROR(__xludf.DUMMYFUNCTION("""COMPUTED_VALUE"""),500000)</f>
        <v>500000</v>
      </c>
    </row>
    <row r="557" spans="1:8" ht="13" x14ac:dyDescent="0.15">
      <c r="A557" s="5" t="str">
        <f ca="1">IFERROR(__xludf.DUMMYFUNCTION("""COMPUTED_VALUE"""),"36196")</f>
        <v>36196</v>
      </c>
      <c r="B557" s="51">
        <f ca="1">IFERROR(__xludf.DUMMYFUNCTION("""COMPUTED_VALUE"""),44598)</f>
        <v>44598</v>
      </c>
      <c r="C557" s="22">
        <f ca="1">IFERROR(__xludf.DUMMYFUNCTION("""COMPUTED_VALUE"""),500000)</f>
        <v>500000</v>
      </c>
      <c r="D557" s="22">
        <f ca="1">IFERROR(__xludf.DUMMYFUNCTION("""COMPUTED_VALUE"""),0)</f>
        <v>0</v>
      </c>
      <c r="E557" s="22">
        <f ca="1">IFERROR(__xludf.DUMMYFUNCTION("""COMPUTED_VALUE"""),500000)</f>
        <v>500000</v>
      </c>
      <c r="F557" s="22">
        <f ca="1">IFERROR(__xludf.DUMMYFUNCTION("""COMPUTED_VALUE"""),500000)</f>
        <v>500000</v>
      </c>
      <c r="G557" s="22">
        <f ca="1">IFERROR(__xludf.DUMMYFUNCTION("""COMPUTED_VALUE"""),0)</f>
        <v>0</v>
      </c>
      <c r="H557" s="7">
        <f ca="1">IFERROR(__xludf.DUMMYFUNCTION("""COMPUTED_VALUE"""),500000)</f>
        <v>500000</v>
      </c>
    </row>
    <row r="558" spans="1:8" ht="13" x14ac:dyDescent="0.15">
      <c r="A558" s="5" t="str">
        <f ca="1">IFERROR(__xludf.DUMMYFUNCTION("""COMPUTED_VALUE"""),"36196")</f>
        <v>36196</v>
      </c>
      <c r="B558" s="51">
        <f ca="1">IFERROR(__xludf.DUMMYFUNCTION("""COMPUTED_VALUE"""),44599)</f>
        <v>44599</v>
      </c>
      <c r="C558" s="22">
        <f ca="1">IFERROR(__xludf.DUMMYFUNCTION("""COMPUTED_VALUE"""),500000)</f>
        <v>500000</v>
      </c>
      <c r="D558" s="22">
        <f ca="1">IFERROR(__xludf.DUMMYFUNCTION("""COMPUTED_VALUE"""),0)</f>
        <v>0</v>
      </c>
      <c r="E558" s="22">
        <f ca="1">IFERROR(__xludf.DUMMYFUNCTION("""COMPUTED_VALUE"""),500000)</f>
        <v>500000</v>
      </c>
      <c r="F558" s="22">
        <f ca="1">IFERROR(__xludf.DUMMYFUNCTION("""COMPUTED_VALUE"""),500000)</f>
        <v>500000</v>
      </c>
      <c r="G558" s="22">
        <f ca="1">IFERROR(__xludf.DUMMYFUNCTION("""COMPUTED_VALUE"""),0)</f>
        <v>0</v>
      </c>
      <c r="H558" s="7">
        <f ca="1">IFERROR(__xludf.DUMMYFUNCTION("""COMPUTED_VALUE"""),500000)</f>
        <v>500000</v>
      </c>
    </row>
    <row r="559" spans="1:8" ht="13" x14ac:dyDescent="0.15">
      <c r="A559" s="5" t="str">
        <f ca="1">IFERROR(__xludf.DUMMYFUNCTION("""COMPUTED_VALUE"""),"36196")</f>
        <v>36196</v>
      </c>
      <c r="B559" s="51">
        <f ca="1">IFERROR(__xludf.DUMMYFUNCTION("""COMPUTED_VALUE"""),44600)</f>
        <v>44600</v>
      </c>
      <c r="C559" s="22">
        <f ca="1">IFERROR(__xludf.DUMMYFUNCTION("""COMPUTED_VALUE"""),500000)</f>
        <v>500000</v>
      </c>
      <c r="D559" s="22">
        <f ca="1">IFERROR(__xludf.DUMMYFUNCTION("""COMPUTED_VALUE"""),0)</f>
        <v>0</v>
      </c>
      <c r="E559" s="22">
        <f ca="1">IFERROR(__xludf.DUMMYFUNCTION("""COMPUTED_VALUE"""),500000)</f>
        <v>500000</v>
      </c>
      <c r="F559" s="22">
        <f ca="1">IFERROR(__xludf.DUMMYFUNCTION("""COMPUTED_VALUE"""),500000)</f>
        <v>500000</v>
      </c>
      <c r="G559" s="22">
        <f ca="1">IFERROR(__xludf.DUMMYFUNCTION("""COMPUTED_VALUE"""),0)</f>
        <v>0</v>
      </c>
      <c r="H559" s="7">
        <f ca="1">IFERROR(__xludf.DUMMYFUNCTION("""COMPUTED_VALUE"""),500000)</f>
        <v>500000</v>
      </c>
    </row>
    <row r="560" spans="1:8" ht="13" x14ac:dyDescent="0.15">
      <c r="A560" s="5" t="str">
        <f ca="1">IFERROR(__xludf.DUMMYFUNCTION("""COMPUTED_VALUE"""),"36196")</f>
        <v>36196</v>
      </c>
      <c r="B560" s="51">
        <f ca="1">IFERROR(__xludf.DUMMYFUNCTION("""COMPUTED_VALUE"""),44601)</f>
        <v>44601</v>
      </c>
      <c r="C560" s="22">
        <f ca="1">IFERROR(__xludf.DUMMYFUNCTION("""COMPUTED_VALUE"""),500000)</f>
        <v>500000</v>
      </c>
      <c r="D560" s="22">
        <f ca="1">IFERROR(__xludf.DUMMYFUNCTION("""COMPUTED_VALUE"""),0)</f>
        <v>0</v>
      </c>
      <c r="E560" s="22">
        <f ca="1">IFERROR(__xludf.DUMMYFUNCTION("""COMPUTED_VALUE"""),500000)</f>
        <v>500000</v>
      </c>
      <c r="F560" s="22">
        <f ca="1">IFERROR(__xludf.DUMMYFUNCTION("""COMPUTED_VALUE"""),500000)</f>
        <v>500000</v>
      </c>
      <c r="G560" s="22">
        <f ca="1">IFERROR(__xludf.DUMMYFUNCTION("""COMPUTED_VALUE"""),0)</f>
        <v>0</v>
      </c>
      <c r="H560" s="7">
        <f ca="1">IFERROR(__xludf.DUMMYFUNCTION("""COMPUTED_VALUE"""),500000)</f>
        <v>500000</v>
      </c>
    </row>
    <row r="561" spans="1:8" ht="13" x14ac:dyDescent="0.15">
      <c r="A561" s="5" t="str">
        <f ca="1">IFERROR(__xludf.DUMMYFUNCTION("""COMPUTED_VALUE"""),"36196")</f>
        <v>36196</v>
      </c>
      <c r="B561" s="51">
        <f ca="1">IFERROR(__xludf.DUMMYFUNCTION("""COMPUTED_VALUE"""),44602)</f>
        <v>44602</v>
      </c>
      <c r="C561" s="22">
        <f ca="1">IFERROR(__xludf.DUMMYFUNCTION("""COMPUTED_VALUE"""),500000)</f>
        <v>500000</v>
      </c>
      <c r="D561" s="22">
        <f ca="1">IFERROR(__xludf.DUMMYFUNCTION("""COMPUTED_VALUE"""),0)</f>
        <v>0</v>
      </c>
      <c r="E561" s="22">
        <f ca="1">IFERROR(__xludf.DUMMYFUNCTION("""COMPUTED_VALUE"""),500000)</f>
        <v>500000</v>
      </c>
      <c r="F561" s="22">
        <f ca="1">IFERROR(__xludf.DUMMYFUNCTION("""COMPUTED_VALUE"""),500000)</f>
        <v>500000</v>
      </c>
      <c r="G561" s="22">
        <f ca="1">IFERROR(__xludf.DUMMYFUNCTION("""COMPUTED_VALUE"""),0)</f>
        <v>0</v>
      </c>
      <c r="H561" s="7">
        <f ca="1">IFERROR(__xludf.DUMMYFUNCTION("""COMPUTED_VALUE"""),500000)</f>
        <v>500000</v>
      </c>
    </row>
    <row r="562" spans="1:8" ht="13" x14ac:dyDescent="0.15">
      <c r="A562" s="5" t="str">
        <f ca="1">IFERROR(__xludf.DUMMYFUNCTION("""COMPUTED_VALUE"""),"36196")</f>
        <v>36196</v>
      </c>
      <c r="B562" s="51">
        <f ca="1">IFERROR(__xludf.DUMMYFUNCTION("""COMPUTED_VALUE"""),44603)</f>
        <v>44603</v>
      </c>
      <c r="C562" s="22">
        <f ca="1">IFERROR(__xludf.DUMMYFUNCTION("""COMPUTED_VALUE"""),500000)</f>
        <v>500000</v>
      </c>
      <c r="D562" s="22">
        <f ca="1">IFERROR(__xludf.DUMMYFUNCTION("""COMPUTED_VALUE"""),0)</f>
        <v>0</v>
      </c>
      <c r="E562" s="22">
        <f ca="1">IFERROR(__xludf.DUMMYFUNCTION("""COMPUTED_VALUE"""),500000)</f>
        <v>500000</v>
      </c>
      <c r="F562" s="22">
        <f ca="1">IFERROR(__xludf.DUMMYFUNCTION("""COMPUTED_VALUE"""),500000)</f>
        <v>500000</v>
      </c>
      <c r="G562" s="22">
        <f ca="1">IFERROR(__xludf.DUMMYFUNCTION("""COMPUTED_VALUE"""),0)</f>
        <v>0</v>
      </c>
      <c r="H562" s="7">
        <f ca="1">IFERROR(__xludf.DUMMYFUNCTION("""COMPUTED_VALUE"""),500000)</f>
        <v>500000</v>
      </c>
    </row>
    <row r="563" spans="1:8" ht="13" x14ac:dyDescent="0.15">
      <c r="A563" s="5" t="str">
        <f ca="1">IFERROR(__xludf.DUMMYFUNCTION("""COMPUTED_VALUE"""),"36196")</f>
        <v>36196</v>
      </c>
      <c r="B563" s="51">
        <f ca="1">IFERROR(__xludf.DUMMYFUNCTION("""COMPUTED_VALUE"""),44604)</f>
        <v>44604</v>
      </c>
      <c r="C563" s="22">
        <f ca="1">IFERROR(__xludf.DUMMYFUNCTION("""COMPUTED_VALUE"""),500000)</f>
        <v>500000</v>
      </c>
      <c r="D563" s="22">
        <f ca="1">IFERROR(__xludf.DUMMYFUNCTION("""COMPUTED_VALUE"""),0)</f>
        <v>0</v>
      </c>
      <c r="E563" s="22">
        <f ca="1">IFERROR(__xludf.DUMMYFUNCTION("""COMPUTED_VALUE"""),500000)</f>
        <v>500000</v>
      </c>
      <c r="F563" s="22">
        <f ca="1">IFERROR(__xludf.DUMMYFUNCTION("""COMPUTED_VALUE"""),500000)</f>
        <v>500000</v>
      </c>
      <c r="G563" s="22">
        <f ca="1">IFERROR(__xludf.DUMMYFUNCTION("""COMPUTED_VALUE"""),0)</f>
        <v>0</v>
      </c>
      <c r="H563" s="7">
        <f ca="1">IFERROR(__xludf.DUMMYFUNCTION("""COMPUTED_VALUE"""),500000)</f>
        <v>500000</v>
      </c>
    </row>
    <row r="564" spans="1:8" ht="13" x14ac:dyDescent="0.15">
      <c r="A564" s="5" t="str">
        <f ca="1">IFERROR(__xludf.DUMMYFUNCTION("""COMPUTED_VALUE"""),"36196")</f>
        <v>36196</v>
      </c>
      <c r="B564" s="51">
        <f ca="1">IFERROR(__xludf.DUMMYFUNCTION("""COMPUTED_VALUE"""),44605)</f>
        <v>44605</v>
      </c>
      <c r="C564" s="22">
        <f ca="1">IFERROR(__xludf.DUMMYFUNCTION("""COMPUTED_VALUE"""),500000)</f>
        <v>500000</v>
      </c>
      <c r="D564" s="22">
        <f ca="1">IFERROR(__xludf.DUMMYFUNCTION("""COMPUTED_VALUE"""),0)</f>
        <v>0</v>
      </c>
      <c r="E564" s="22">
        <f ca="1">IFERROR(__xludf.DUMMYFUNCTION("""COMPUTED_VALUE"""),500000)</f>
        <v>500000</v>
      </c>
      <c r="F564" s="22">
        <f ca="1">IFERROR(__xludf.DUMMYFUNCTION("""COMPUTED_VALUE"""),500000)</f>
        <v>500000</v>
      </c>
      <c r="G564" s="22">
        <f ca="1">IFERROR(__xludf.DUMMYFUNCTION("""COMPUTED_VALUE"""),0)</f>
        <v>0</v>
      </c>
      <c r="H564" s="7">
        <f ca="1">IFERROR(__xludf.DUMMYFUNCTION("""COMPUTED_VALUE"""),500000)</f>
        <v>500000</v>
      </c>
    </row>
    <row r="565" spans="1:8" ht="13" x14ac:dyDescent="0.15">
      <c r="A565" s="5" t="str">
        <f ca="1">IFERROR(__xludf.DUMMYFUNCTION("""COMPUTED_VALUE"""),"36196")</f>
        <v>36196</v>
      </c>
      <c r="B565" s="51">
        <f ca="1">IFERROR(__xludf.DUMMYFUNCTION("""COMPUTED_VALUE"""),44606)</f>
        <v>44606</v>
      </c>
      <c r="C565" s="22">
        <f ca="1">IFERROR(__xludf.DUMMYFUNCTION("""COMPUTED_VALUE"""),500000)</f>
        <v>500000</v>
      </c>
      <c r="D565" s="22">
        <f ca="1">IFERROR(__xludf.DUMMYFUNCTION("""COMPUTED_VALUE"""),0)</f>
        <v>0</v>
      </c>
      <c r="E565" s="22">
        <f ca="1">IFERROR(__xludf.DUMMYFUNCTION("""COMPUTED_VALUE"""),500000)</f>
        <v>500000</v>
      </c>
      <c r="F565" s="22">
        <f ca="1">IFERROR(__xludf.DUMMYFUNCTION("""COMPUTED_VALUE"""),500000)</f>
        <v>500000</v>
      </c>
      <c r="G565" s="22">
        <f ca="1">IFERROR(__xludf.DUMMYFUNCTION("""COMPUTED_VALUE"""),0)</f>
        <v>0</v>
      </c>
      <c r="H565" s="7">
        <f ca="1">IFERROR(__xludf.DUMMYFUNCTION("""COMPUTED_VALUE"""),500000)</f>
        <v>500000</v>
      </c>
    </row>
    <row r="566" spans="1:8" ht="13" x14ac:dyDescent="0.15">
      <c r="A566" s="5" t="str">
        <f ca="1">IFERROR(__xludf.DUMMYFUNCTION("""COMPUTED_VALUE"""),"36196")</f>
        <v>36196</v>
      </c>
      <c r="B566" s="51">
        <f ca="1">IFERROR(__xludf.DUMMYFUNCTION("""COMPUTED_VALUE"""),44607)</f>
        <v>44607</v>
      </c>
      <c r="C566" s="22">
        <f ca="1">IFERROR(__xludf.DUMMYFUNCTION("""COMPUTED_VALUE"""),500000)</f>
        <v>500000</v>
      </c>
      <c r="D566" s="22">
        <f ca="1">IFERROR(__xludf.DUMMYFUNCTION("""COMPUTED_VALUE"""),0)</f>
        <v>0</v>
      </c>
      <c r="E566" s="22">
        <f ca="1">IFERROR(__xludf.DUMMYFUNCTION("""COMPUTED_VALUE"""),500000)</f>
        <v>500000</v>
      </c>
      <c r="F566" s="22">
        <f ca="1">IFERROR(__xludf.DUMMYFUNCTION("""COMPUTED_VALUE"""),500000)</f>
        <v>500000</v>
      </c>
      <c r="G566" s="22">
        <f ca="1">IFERROR(__xludf.DUMMYFUNCTION("""COMPUTED_VALUE"""),0)</f>
        <v>0</v>
      </c>
      <c r="H566" s="7">
        <f ca="1">IFERROR(__xludf.DUMMYFUNCTION("""COMPUTED_VALUE"""),500000)</f>
        <v>500000</v>
      </c>
    </row>
    <row r="567" spans="1:8" ht="13" x14ac:dyDescent="0.15">
      <c r="A567" s="5" t="str">
        <f ca="1">IFERROR(__xludf.DUMMYFUNCTION("""COMPUTED_VALUE"""),"36196")</f>
        <v>36196</v>
      </c>
      <c r="B567" s="51">
        <f ca="1">IFERROR(__xludf.DUMMYFUNCTION("""COMPUTED_VALUE"""),44608)</f>
        <v>44608</v>
      </c>
      <c r="C567" s="22">
        <f ca="1">IFERROR(__xludf.DUMMYFUNCTION("""COMPUTED_VALUE"""),500000)</f>
        <v>500000</v>
      </c>
      <c r="D567" s="22">
        <f ca="1">IFERROR(__xludf.DUMMYFUNCTION("""COMPUTED_VALUE"""),0)</f>
        <v>0</v>
      </c>
      <c r="E567" s="22">
        <f ca="1">IFERROR(__xludf.DUMMYFUNCTION("""COMPUTED_VALUE"""),500000)</f>
        <v>500000</v>
      </c>
      <c r="F567" s="22">
        <f ca="1">IFERROR(__xludf.DUMMYFUNCTION("""COMPUTED_VALUE"""),500000)</f>
        <v>500000</v>
      </c>
      <c r="G567" s="22">
        <f ca="1">IFERROR(__xludf.DUMMYFUNCTION("""COMPUTED_VALUE"""),0)</f>
        <v>0</v>
      </c>
      <c r="H567" s="7">
        <f ca="1">IFERROR(__xludf.DUMMYFUNCTION("""COMPUTED_VALUE"""),500000)</f>
        <v>500000</v>
      </c>
    </row>
    <row r="568" spans="1:8" ht="13" x14ac:dyDescent="0.15">
      <c r="A568" s="5" t="str">
        <f ca="1">IFERROR(__xludf.DUMMYFUNCTION("""COMPUTED_VALUE"""),"36196")</f>
        <v>36196</v>
      </c>
      <c r="B568" s="51">
        <f ca="1">IFERROR(__xludf.DUMMYFUNCTION("""COMPUTED_VALUE"""),44609)</f>
        <v>44609</v>
      </c>
      <c r="C568" s="22">
        <f ca="1">IFERROR(__xludf.DUMMYFUNCTION("""COMPUTED_VALUE"""),500000)</f>
        <v>500000</v>
      </c>
      <c r="D568" s="22">
        <f ca="1">IFERROR(__xludf.DUMMYFUNCTION("""COMPUTED_VALUE"""),0)</f>
        <v>0</v>
      </c>
      <c r="E568" s="22">
        <f ca="1">IFERROR(__xludf.DUMMYFUNCTION("""COMPUTED_VALUE"""),500000)</f>
        <v>500000</v>
      </c>
      <c r="F568" s="22">
        <f ca="1">IFERROR(__xludf.DUMMYFUNCTION("""COMPUTED_VALUE"""),500000)</f>
        <v>500000</v>
      </c>
      <c r="G568" s="22">
        <f ca="1">IFERROR(__xludf.DUMMYFUNCTION("""COMPUTED_VALUE"""),0)</f>
        <v>0</v>
      </c>
      <c r="H568" s="7">
        <f ca="1">IFERROR(__xludf.DUMMYFUNCTION("""COMPUTED_VALUE"""),500000)</f>
        <v>500000</v>
      </c>
    </row>
    <row r="569" spans="1:8" ht="13" x14ac:dyDescent="0.15">
      <c r="A569" s="5" t="str">
        <f ca="1">IFERROR(__xludf.DUMMYFUNCTION("""COMPUTED_VALUE"""),"36196")</f>
        <v>36196</v>
      </c>
      <c r="B569" s="51">
        <f ca="1">IFERROR(__xludf.DUMMYFUNCTION("""COMPUTED_VALUE"""),44610)</f>
        <v>44610</v>
      </c>
      <c r="C569" s="22">
        <f ca="1">IFERROR(__xludf.DUMMYFUNCTION("""COMPUTED_VALUE"""),500000)</f>
        <v>500000</v>
      </c>
      <c r="D569" s="22">
        <f ca="1">IFERROR(__xludf.DUMMYFUNCTION("""COMPUTED_VALUE"""),0)</f>
        <v>0</v>
      </c>
      <c r="E569" s="22">
        <f ca="1">IFERROR(__xludf.DUMMYFUNCTION("""COMPUTED_VALUE"""),500000)</f>
        <v>500000</v>
      </c>
      <c r="F569" s="22">
        <f ca="1">IFERROR(__xludf.DUMMYFUNCTION("""COMPUTED_VALUE"""),500000)</f>
        <v>500000</v>
      </c>
      <c r="G569" s="22">
        <f ca="1">IFERROR(__xludf.DUMMYFUNCTION("""COMPUTED_VALUE"""),0)</f>
        <v>0</v>
      </c>
      <c r="H569" s="7">
        <f ca="1">IFERROR(__xludf.DUMMYFUNCTION("""COMPUTED_VALUE"""),500000)</f>
        <v>500000</v>
      </c>
    </row>
    <row r="570" spans="1:8" ht="13" x14ac:dyDescent="0.15">
      <c r="A570" s="5" t="str">
        <f ca="1">IFERROR(__xludf.DUMMYFUNCTION("""COMPUTED_VALUE"""),"36196")</f>
        <v>36196</v>
      </c>
      <c r="B570" s="51">
        <f ca="1">IFERROR(__xludf.DUMMYFUNCTION("""COMPUTED_VALUE"""),44611)</f>
        <v>44611</v>
      </c>
      <c r="C570" s="22">
        <f ca="1">IFERROR(__xludf.DUMMYFUNCTION("""COMPUTED_VALUE"""),500000)</f>
        <v>500000</v>
      </c>
      <c r="D570" s="22">
        <f ca="1">IFERROR(__xludf.DUMMYFUNCTION("""COMPUTED_VALUE"""),0)</f>
        <v>0</v>
      </c>
      <c r="E570" s="22">
        <f ca="1">IFERROR(__xludf.DUMMYFUNCTION("""COMPUTED_VALUE"""),500000)</f>
        <v>500000</v>
      </c>
      <c r="F570" s="22">
        <f ca="1">IFERROR(__xludf.DUMMYFUNCTION("""COMPUTED_VALUE"""),500000)</f>
        <v>500000</v>
      </c>
      <c r="G570" s="22">
        <f ca="1">IFERROR(__xludf.DUMMYFUNCTION("""COMPUTED_VALUE"""),0)</f>
        <v>0</v>
      </c>
      <c r="H570" s="7">
        <f ca="1">IFERROR(__xludf.DUMMYFUNCTION("""COMPUTED_VALUE"""),500000)</f>
        <v>500000</v>
      </c>
    </row>
    <row r="571" spans="1:8" ht="13" x14ac:dyDescent="0.15">
      <c r="A571" s="5" t="str">
        <f ca="1">IFERROR(__xludf.DUMMYFUNCTION("""COMPUTED_VALUE"""),"36196")</f>
        <v>36196</v>
      </c>
      <c r="B571" s="51">
        <f ca="1">IFERROR(__xludf.DUMMYFUNCTION("""COMPUTED_VALUE"""),44612)</f>
        <v>44612</v>
      </c>
      <c r="C571" s="22">
        <f ca="1">IFERROR(__xludf.DUMMYFUNCTION("""COMPUTED_VALUE"""),500000)</f>
        <v>500000</v>
      </c>
      <c r="D571" s="22">
        <f ca="1">IFERROR(__xludf.DUMMYFUNCTION("""COMPUTED_VALUE"""),0)</f>
        <v>0</v>
      </c>
      <c r="E571" s="22">
        <f ca="1">IFERROR(__xludf.DUMMYFUNCTION("""COMPUTED_VALUE"""),500000)</f>
        <v>500000</v>
      </c>
      <c r="F571" s="22">
        <f ca="1">IFERROR(__xludf.DUMMYFUNCTION("""COMPUTED_VALUE"""),500000)</f>
        <v>500000</v>
      </c>
      <c r="G571" s="22">
        <f ca="1">IFERROR(__xludf.DUMMYFUNCTION("""COMPUTED_VALUE"""),0)</f>
        <v>0</v>
      </c>
      <c r="H571" s="7">
        <f ca="1">IFERROR(__xludf.DUMMYFUNCTION("""COMPUTED_VALUE"""),500000)</f>
        <v>500000</v>
      </c>
    </row>
    <row r="572" spans="1:8" ht="13" x14ac:dyDescent="0.15">
      <c r="A572" s="5" t="str">
        <f ca="1">IFERROR(__xludf.DUMMYFUNCTION("""COMPUTED_VALUE"""),"36196")</f>
        <v>36196</v>
      </c>
      <c r="B572" s="51">
        <f ca="1">IFERROR(__xludf.DUMMYFUNCTION("""COMPUTED_VALUE"""),44613)</f>
        <v>44613</v>
      </c>
      <c r="C572" s="22">
        <f ca="1">IFERROR(__xludf.DUMMYFUNCTION("""COMPUTED_VALUE"""),500000)</f>
        <v>500000</v>
      </c>
      <c r="D572" s="22">
        <f ca="1">IFERROR(__xludf.DUMMYFUNCTION("""COMPUTED_VALUE"""),0)</f>
        <v>0</v>
      </c>
      <c r="E572" s="22">
        <f ca="1">IFERROR(__xludf.DUMMYFUNCTION("""COMPUTED_VALUE"""),500000)</f>
        <v>500000</v>
      </c>
      <c r="F572" s="22">
        <f ca="1">IFERROR(__xludf.DUMMYFUNCTION("""COMPUTED_VALUE"""),500000)</f>
        <v>500000</v>
      </c>
      <c r="G572" s="22">
        <f ca="1">IFERROR(__xludf.DUMMYFUNCTION("""COMPUTED_VALUE"""),0)</f>
        <v>0</v>
      </c>
      <c r="H572" s="7">
        <f ca="1">IFERROR(__xludf.DUMMYFUNCTION("""COMPUTED_VALUE"""),500000)</f>
        <v>500000</v>
      </c>
    </row>
    <row r="573" spans="1:8" ht="13" x14ac:dyDescent="0.15">
      <c r="A573" s="5" t="str">
        <f ca="1">IFERROR(__xludf.DUMMYFUNCTION("""COMPUTED_VALUE"""),"36196")</f>
        <v>36196</v>
      </c>
      <c r="B573" s="51">
        <f ca="1">IFERROR(__xludf.DUMMYFUNCTION("""COMPUTED_VALUE"""),44614)</f>
        <v>44614</v>
      </c>
      <c r="C573" s="22">
        <f ca="1">IFERROR(__xludf.DUMMYFUNCTION("""COMPUTED_VALUE"""),500000)</f>
        <v>500000</v>
      </c>
      <c r="D573" s="22">
        <f ca="1">IFERROR(__xludf.DUMMYFUNCTION("""COMPUTED_VALUE"""),0)</f>
        <v>0</v>
      </c>
      <c r="E573" s="22">
        <f ca="1">IFERROR(__xludf.DUMMYFUNCTION("""COMPUTED_VALUE"""),500000)</f>
        <v>500000</v>
      </c>
      <c r="F573" s="22">
        <f ca="1">IFERROR(__xludf.DUMMYFUNCTION("""COMPUTED_VALUE"""),500000)</f>
        <v>500000</v>
      </c>
      <c r="G573" s="22">
        <f ca="1">IFERROR(__xludf.DUMMYFUNCTION("""COMPUTED_VALUE"""),0)</f>
        <v>0</v>
      </c>
      <c r="H573" s="7">
        <f ca="1">IFERROR(__xludf.DUMMYFUNCTION("""COMPUTED_VALUE"""),500000)</f>
        <v>500000</v>
      </c>
    </row>
    <row r="574" spans="1:8" ht="13" x14ac:dyDescent="0.15">
      <c r="A574" s="5" t="str">
        <f ca="1">IFERROR(__xludf.DUMMYFUNCTION("""COMPUTED_VALUE"""),"36196")</f>
        <v>36196</v>
      </c>
      <c r="B574" s="51">
        <f ca="1">IFERROR(__xludf.DUMMYFUNCTION("""COMPUTED_VALUE"""),44615)</f>
        <v>44615</v>
      </c>
      <c r="C574" s="22">
        <f ca="1">IFERROR(__xludf.DUMMYFUNCTION("""COMPUTED_VALUE"""),500000)</f>
        <v>500000</v>
      </c>
      <c r="D574" s="22">
        <f ca="1">IFERROR(__xludf.DUMMYFUNCTION("""COMPUTED_VALUE"""),0)</f>
        <v>0</v>
      </c>
      <c r="E574" s="22">
        <f ca="1">IFERROR(__xludf.DUMMYFUNCTION("""COMPUTED_VALUE"""),500000)</f>
        <v>500000</v>
      </c>
      <c r="F574" s="22">
        <f ca="1">IFERROR(__xludf.DUMMYFUNCTION("""COMPUTED_VALUE"""),500000)</f>
        <v>500000</v>
      </c>
      <c r="G574" s="22">
        <f ca="1">IFERROR(__xludf.DUMMYFUNCTION("""COMPUTED_VALUE"""),0)</f>
        <v>0</v>
      </c>
      <c r="H574" s="7">
        <f ca="1">IFERROR(__xludf.DUMMYFUNCTION("""COMPUTED_VALUE"""),500000)</f>
        <v>500000</v>
      </c>
    </row>
    <row r="575" spans="1:8" ht="13" x14ac:dyDescent="0.15">
      <c r="A575" s="5" t="str">
        <f ca="1">IFERROR(__xludf.DUMMYFUNCTION("""COMPUTED_VALUE"""),"36196")</f>
        <v>36196</v>
      </c>
      <c r="B575" s="51">
        <f ca="1">IFERROR(__xludf.DUMMYFUNCTION("""COMPUTED_VALUE"""),44616)</f>
        <v>44616</v>
      </c>
      <c r="C575" s="22">
        <f ca="1">IFERROR(__xludf.DUMMYFUNCTION("""COMPUTED_VALUE"""),500000)</f>
        <v>500000</v>
      </c>
      <c r="D575" s="22">
        <f ca="1">IFERROR(__xludf.DUMMYFUNCTION("""COMPUTED_VALUE"""),0)</f>
        <v>0</v>
      </c>
      <c r="E575" s="22">
        <f ca="1">IFERROR(__xludf.DUMMYFUNCTION("""COMPUTED_VALUE"""),500000)</f>
        <v>500000</v>
      </c>
      <c r="F575" s="22">
        <f ca="1">IFERROR(__xludf.DUMMYFUNCTION("""COMPUTED_VALUE"""),500000)</f>
        <v>500000</v>
      </c>
      <c r="G575" s="22">
        <f ca="1">IFERROR(__xludf.DUMMYFUNCTION("""COMPUTED_VALUE"""),0)</f>
        <v>0</v>
      </c>
      <c r="H575" s="7">
        <f ca="1">IFERROR(__xludf.DUMMYFUNCTION("""COMPUTED_VALUE"""),500000)</f>
        <v>500000</v>
      </c>
    </row>
    <row r="576" spans="1:8" ht="13" x14ac:dyDescent="0.15">
      <c r="A576" s="5" t="str">
        <f ca="1">IFERROR(__xludf.DUMMYFUNCTION("""COMPUTED_VALUE"""),"36196")</f>
        <v>36196</v>
      </c>
      <c r="B576" s="51">
        <f ca="1">IFERROR(__xludf.DUMMYFUNCTION("""COMPUTED_VALUE"""),44617)</f>
        <v>44617</v>
      </c>
      <c r="C576" s="22">
        <f ca="1">IFERROR(__xludf.DUMMYFUNCTION("""COMPUTED_VALUE"""),500000)</f>
        <v>500000</v>
      </c>
      <c r="D576" s="22">
        <f ca="1">IFERROR(__xludf.DUMMYFUNCTION("""COMPUTED_VALUE"""),0)</f>
        <v>0</v>
      </c>
      <c r="E576" s="22">
        <f ca="1">IFERROR(__xludf.DUMMYFUNCTION("""COMPUTED_VALUE"""),500000)</f>
        <v>500000</v>
      </c>
      <c r="F576" s="22">
        <f ca="1">IFERROR(__xludf.DUMMYFUNCTION("""COMPUTED_VALUE"""),500000)</f>
        <v>500000</v>
      </c>
      <c r="G576" s="22">
        <f ca="1">IFERROR(__xludf.DUMMYFUNCTION("""COMPUTED_VALUE"""),0)</f>
        <v>0</v>
      </c>
      <c r="H576" s="7">
        <f ca="1">IFERROR(__xludf.DUMMYFUNCTION("""COMPUTED_VALUE"""),500000)</f>
        <v>500000</v>
      </c>
    </row>
    <row r="577" spans="1:8" ht="13" x14ac:dyDescent="0.15">
      <c r="A577" s="5" t="str">
        <f ca="1">IFERROR(__xludf.DUMMYFUNCTION("""COMPUTED_VALUE"""),"36196")</f>
        <v>36196</v>
      </c>
      <c r="B577" s="51">
        <f ca="1">IFERROR(__xludf.DUMMYFUNCTION("""COMPUTED_VALUE"""),44618)</f>
        <v>44618</v>
      </c>
      <c r="C577" s="22">
        <f ca="1">IFERROR(__xludf.DUMMYFUNCTION("""COMPUTED_VALUE"""),500000)</f>
        <v>500000</v>
      </c>
      <c r="D577" s="22">
        <f ca="1">IFERROR(__xludf.DUMMYFUNCTION("""COMPUTED_VALUE"""),0)</f>
        <v>0</v>
      </c>
      <c r="E577" s="22">
        <f ca="1">IFERROR(__xludf.DUMMYFUNCTION("""COMPUTED_VALUE"""),500000)</f>
        <v>500000</v>
      </c>
      <c r="F577" s="22">
        <f ca="1">IFERROR(__xludf.DUMMYFUNCTION("""COMPUTED_VALUE"""),500000)</f>
        <v>500000</v>
      </c>
      <c r="G577" s="22">
        <f ca="1">IFERROR(__xludf.DUMMYFUNCTION("""COMPUTED_VALUE"""),0)</f>
        <v>0</v>
      </c>
      <c r="H577" s="7">
        <f ca="1">IFERROR(__xludf.DUMMYFUNCTION("""COMPUTED_VALUE"""),500000)</f>
        <v>500000</v>
      </c>
    </row>
    <row r="578" spans="1:8" ht="13" x14ac:dyDescent="0.15">
      <c r="A578" s="5" t="str">
        <f ca="1">IFERROR(__xludf.DUMMYFUNCTION("""COMPUTED_VALUE"""),"36196")</f>
        <v>36196</v>
      </c>
      <c r="B578" s="51">
        <f ca="1">IFERROR(__xludf.DUMMYFUNCTION("""COMPUTED_VALUE"""),44619)</f>
        <v>44619</v>
      </c>
      <c r="C578" s="22">
        <f ca="1">IFERROR(__xludf.DUMMYFUNCTION("""COMPUTED_VALUE"""),500000)</f>
        <v>500000</v>
      </c>
      <c r="D578" s="22">
        <f ca="1">IFERROR(__xludf.DUMMYFUNCTION("""COMPUTED_VALUE"""),0)</f>
        <v>0</v>
      </c>
      <c r="E578" s="22">
        <f ca="1">IFERROR(__xludf.DUMMYFUNCTION("""COMPUTED_VALUE"""),500000)</f>
        <v>500000</v>
      </c>
      <c r="F578" s="22">
        <f ca="1">IFERROR(__xludf.DUMMYFUNCTION("""COMPUTED_VALUE"""),500000)</f>
        <v>500000</v>
      </c>
      <c r="G578" s="22">
        <f ca="1">IFERROR(__xludf.DUMMYFUNCTION("""COMPUTED_VALUE"""),0)</f>
        <v>0</v>
      </c>
      <c r="H578" s="7">
        <f ca="1">IFERROR(__xludf.DUMMYFUNCTION("""COMPUTED_VALUE"""),500000)</f>
        <v>500000</v>
      </c>
    </row>
    <row r="579" spans="1:8" ht="13" x14ac:dyDescent="0.15">
      <c r="A579" s="5" t="str">
        <f ca="1">IFERROR(__xludf.DUMMYFUNCTION("""COMPUTED_VALUE"""),"36196")</f>
        <v>36196</v>
      </c>
      <c r="B579" s="51">
        <f ca="1">IFERROR(__xludf.DUMMYFUNCTION("""COMPUTED_VALUE"""),44620)</f>
        <v>44620</v>
      </c>
      <c r="C579" s="22">
        <f ca="1">IFERROR(__xludf.DUMMYFUNCTION("""COMPUTED_VALUE"""),500000)</f>
        <v>500000</v>
      </c>
      <c r="D579" s="22">
        <f ca="1">IFERROR(__xludf.DUMMYFUNCTION("""COMPUTED_VALUE"""),0)</f>
        <v>0</v>
      </c>
      <c r="E579" s="22">
        <f ca="1">IFERROR(__xludf.DUMMYFUNCTION("""COMPUTED_VALUE"""),500000)</f>
        <v>500000</v>
      </c>
      <c r="F579" s="22">
        <f ca="1">IFERROR(__xludf.DUMMYFUNCTION("""COMPUTED_VALUE"""),500000)</f>
        <v>500000</v>
      </c>
      <c r="G579" s="22">
        <f ca="1">IFERROR(__xludf.DUMMYFUNCTION("""COMPUTED_VALUE"""),0)</f>
        <v>0</v>
      </c>
      <c r="H579" s="7">
        <f ca="1">IFERROR(__xludf.DUMMYFUNCTION("""COMPUTED_VALUE"""),500000)</f>
        <v>500000</v>
      </c>
    </row>
    <row r="580" spans="1:8" ht="13" x14ac:dyDescent="0.15">
      <c r="A580" s="5" t="str">
        <f ca="1">IFERROR(__xludf.DUMMYFUNCTION("""COMPUTED_VALUE"""),"36196")</f>
        <v>36196</v>
      </c>
      <c r="B580" s="51">
        <f ca="1">IFERROR(__xludf.DUMMYFUNCTION("""COMPUTED_VALUE"""),44621)</f>
        <v>44621</v>
      </c>
      <c r="C580" s="22">
        <f ca="1">IFERROR(__xludf.DUMMYFUNCTION("""COMPUTED_VALUE"""),500000)</f>
        <v>500000</v>
      </c>
      <c r="D580" s="22">
        <f ca="1">IFERROR(__xludf.DUMMYFUNCTION("""COMPUTED_VALUE"""),0)</f>
        <v>0</v>
      </c>
      <c r="E580" s="22">
        <f ca="1">IFERROR(__xludf.DUMMYFUNCTION("""COMPUTED_VALUE"""),500000)</f>
        <v>500000</v>
      </c>
      <c r="F580" s="22">
        <f ca="1">IFERROR(__xludf.DUMMYFUNCTION("""COMPUTED_VALUE"""),500000)</f>
        <v>500000</v>
      </c>
      <c r="G580" s="22">
        <f ca="1">IFERROR(__xludf.DUMMYFUNCTION("""COMPUTED_VALUE"""),0)</f>
        <v>0</v>
      </c>
      <c r="H580" s="7">
        <f ca="1">IFERROR(__xludf.DUMMYFUNCTION("""COMPUTED_VALUE"""),500000)</f>
        <v>500000</v>
      </c>
    </row>
    <row r="581" spans="1:8" ht="13" x14ac:dyDescent="0.15">
      <c r="A581" s="5" t="str">
        <f ca="1">IFERROR(__xludf.DUMMYFUNCTION("""COMPUTED_VALUE"""),"36196")</f>
        <v>36196</v>
      </c>
      <c r="B581" s="51">
        <f ca="1">IFERROR(__xludf.DUMMYFUNCTION("""COMPUTED_VALUE"""),44622)</f>
        <v>44622</v>
      </c>
      <c r="C581" s="22">
        <f ca="1">IFERROR(__xludf.DUMMYFUNCTION("""COMPUTED_VALUE"""),500000)</f>
        <v>500000</v>
      </c>
      <c r="D581" s="22">
        <f ca="1">IFERROR(__xludf.DUMMYFUNCTION("""COMPUTED_VALUE"""),0)</f>
        <v>0</v>
      </c>
      <c r="E581" s="22">
        <f ca="1">IFERROR(__xludf.DUMMYFUNCTION("""COMPUTED_VALUE"""),500000)</f>
        <v>500000</v>
      </c>
      <c r="F581" s="22">
        <f ca="1">IFERROR(__xludf.DUMMYFUNCTION("""COMPUTED_VALUE"""),500000)</f>
        <v>500000</v>
      </c>
      <c r="G581" s="22">
        <f ca="1">IFERROR(__xludf.DUMMYFUNCTION("""COMPUTED_VALUE"""),0)</f>
        <v>0</v>
      </c>
      <c r="H581" s="7">
        <f ca="1">IFERROR(__xludf.DUMMYFUNCTION("""COMPUTED_VALUE"""),500000)</f>
        <v>500000</v>
      </c>
    </row>
    <row r="582" spans="1:8" ht="13" x14ac:dyDescent="0.15">
      <c r="A582" s="5" t="str">
        <f ca="1">IFERROR(__xludf.DUMMYFUNCTION("""COMPUTED_VALUE"""),"36196")</f>
        <v>36196</v>
      </c>
      <c r="B582" s="51">
        <f ca="1">IFERROR(__xludf.DUMMYFUNCTION("""COMPUTED_VALUE"""),44623)</f>
        <v>44623</v>
      </c>
      <c r="C582" s="22">
        <f ca="1">IFERROR(__xludf.DUMMYFUNCTION("""COMPUTED_VALUE"""),500000)</f>
        <v>500000</v>
      </c>
      <c r="D582" s="22">
        <f ca="1">IFERROR(__xludf.DUMMYFUNCTION("""COMPUTED_VALUE"""),0)</f>
        <v>0</v>
      </c>
      <c r="E582" s="22">
        <f ca="1">IFERROR(__xludf.DUMMYFUNCTION("""COMPUTED_VALUE"""),500000)</f>
        <v>500000</v>
      </c>
      <c r="F582" s="22">
        <f ca="1">IFERROR(__xludf.DUMMYFUNCTION("""COMPUTED_VALUE"""),500000)</f>
        <v>500000</v>
      </c>
      <c r="G582" s="22">
        <f ca="1">IFERROR(__xludf.DUMMYFUNCTION("""COMPUTED_VALUE"""),0)</f>
        <v>0</v>
      </c>
      <c r="H582" s="7">
        <f ca="1">IFERROR(__xludf.DUMMYFUNCTION("""COMPUTED_VALUE"""),500000)</f>
        <v>500000</v>
      </c>
    </row>
    <row r="583" spans="1:8" ht="13" x14ac:dyDescent="0.15">
      <c r="A583" s="5" t="str">
        <f ca="1">IFERROR(__xludf.DUMMYFUNCTION("""COMPUTED_VALUE"""),"36196")</f>
        <v>36196</v>
      </c>
      <c r="B583" s="51">
        <f ca="1">IFERROR(__xludf.DUMMYFUNCTION("""COMPUTED_VALUE"""),44624)</f>
        <v>44624</v>
      </c>
      <c r="C583" s="22">
        <f ca="1">IFERROR(__xludf.DUMMYFUNCTION("""COMPUTED_VALUE"""),500000)</f>
        <v>500000</v>
      </c>
      <c r="D583" s="22">
        <f ca="1">IFERROR(__xludf.DUMMYFUNCTION("""COMPUTED_VALUE"""),0)</f>
        <v>0</v>
      </c>
      <c r="E583" s="22">
        <f ca="1">IFERROR(__xludf.DUMMYFUNCTION("""COMPUTED_VALUE"""),500000)</f>
        <v>500000</v>
      </c>
      <c r="F583" s="22">
        <f ca="1">IFERROR(__xludf.DUMMYFUNCTION("""COMPUTED_VALUE"""),500000)</f>
        <v>500000</v>
      </c>
      <c r="G583" s="22">
        <f ca="1">IFERROR(__xludf.DUMMYFUNCTION("""COMPUTED_VALUE"""),0)</f>
        <v>0</v>
      </c>
      <c r="H583" s="7">
        <f ca="1">IFERROR(__xludf.DUMMYFUNCTION("""COMPUTED_VALUE"""),500000)</f>
        <v>500000</v>
      </c>
    </row>
    <row r="584" spans="1:8" ht="13" x14ac:dyDescent="0.15">
      <c r="A584" s="5" t="str">
        <f ca="1">IFERROR(__xludf.DUMMYFUNCTION("""COMPUTED_VALUE"""),"36196")</f>
        <v>36196</v>
      </c>
      <c r="B584" s="51">
        <f ca="1">IFERROR(__xludf.DUMMYFUNCTION("""COMPUTED_VALUE"""),44625)</f>
        <v>44625</v>
      </c>
      <c r="C584" s="22">
        <f ca="1">IFERROR(__xludf.DUMMYFUNCTION("""COMPUTED_VALUE"""),500000)</f>
        <v>500000</v>
      </c>
      <c r="D584" s="22">
        <f ca="1">IFERROR(__xludf.DUMMYFUNCTION("""COMPUTED_VALUE"""),0)</f>
        <v>0</v>
      </c>
      <c r="E584" s="22">
        <f ca="1">IFERROR(__xludf.DUMMYFUNCTION("""COMPUTED_VALUE"""),500000)</f>
        <v>500000</v>
      </c>
      <c r="F584" s="22">
        <f ca="1">IFERROR(__xludf.DUMMYFUNCTION("""COMPUTED_VALUE"""),500000)</f>
        <v>500000</v>
      </c>
      <c r="G584" s="22">
        <f ca="1">IFERROR(__xludf.DUMMYFUNCTION("""COMPUTED_VALUE"""),0)</f>
        <v>0</v>
      </c>
      <c r="H584" s="7">
        <f ca="1">IFERROR(__xludf.DUMMYFUNCTION("""COMPUTED_VALUE"""),500000)</f>
        <v>500000</v>
      </c>
    </row>
    <row r="585" spans="1:8" ht="13" x14ac:dyDescent="0.15">
      <c r="A585" s="5" t="str">
        <f ca="1">IFERROR(__xludf.DUMMYFUNCTION("""COMPUTED_VALUE"""),"36196")</f>
        <v>36196</v>
      </c>
      <c r="B585" s="51">
        <f ca="1">IFERROR(__xludf.DUMMYFUNCTION("""COMPUTED_VALUE"""),44626)</f>
        <v>44626</v>
      </c>
      <c r="C585" s="22">
        <f ca="1">IFERROR(__xludf.DUMMYFUNCTION("""COMPUTED_VALUE"""),500000)</f>
        <v>500000</v>
      </c>
      <c r="D585" s="22">
        <f ca="1">IFERROR(__xludf.DUMMYFUNCTION("""COMPUTED_VALUE"""),0)</f>
        <v>0</v>
      </c>
      <c r="E585" s="22">
        <f ca="1">IFERROR(__xludf.DUMMYFUNCTION("""COMPUTED_VALUE"""),500000)</f>
        <v>500000</v>
      </c>
      <c r="F585" s="22">
        <f ca="1">IFERROR(__xludf.DUMMYFUNCTION("""COMPUTED_VALUE"""),500000)</f>
        <v>500000</v>
      </c>
      <c r="G585" s="22">
        <f ca="1">IFERROR(__xludf.DUMMYFUNCTION("""COMPUTED_VALUE"""),0)</f>
        <v>0</v>
      </c>
      <c r="H585" s="7">
        <f ca="1">IFERROR(__xludf.DUMMYFUNCTION("""COMPUTED_VALUE"""),500000)</f>
        <v>500000</v>
      </c>
    </row>
    <row r="586" spans="1:8" ht="13" x14ac:dyDescent="0.15">
      <c r="A586" s="5" t="str">
        <f ca="1">IFERROR(__xludf.DUMMYFUNCTION("""COMPUTED_VALUE"""),"36196")</f>
        <v>36196</v>
      </c>
      <c r="B586" s="51">
        <f ca="1">IFERROR(__xludf.DUMMYFUNCTION("""COMPUTED_VALUE"""),44627)</f>
        <v>44627</v>
      </c>
      <c r="C586" s="22">
        <f ca="1">IFERROR(__xludf.DUMMYFUNCTION("""COMPUTED_VALUE"""),500000)</f>
        <v>500000</v>
      </c>
      <c r="D586" s="22">
        <f ca="1">IFERROR(__xludf.DUMMYFUNCTION("""COMPUTED_VALUE"""),0)</f>
        <v>0</v>
      </c>
      <c r="E586" s="22">
        <f ca="1">IFERROR(__xludf.DUMMYFUNCTION("""COMPUTED_VALUE"""),500000)</f>
        <v>500000</v>
      </c>
      <c r="F586" s="22">
        <f ca="1">IFERROR(__xludf.DUMMYFUNCTION("""COMPUTED_VALUE"""),500000)</f>
        <v>500000</v>
      </c>
      <c r="G586" s="22">
        <f ca="1">IFERROR(__xludf.DUMMYFUNCTION("""COMPUTED_VALUE"""),0)</f>
        <v>0</v>
      </c>
      <c r="H586" s="7">
        <f ca="1">IFERROR(__xludf.DUMMYFUNCTION("""COMPUTED_VALUE"""),500000)</f>
        <v>500000</v>
      </c>
    </row>
    <row r="587" spans="1:8" ht="13" x14ac:dyDescent="0.15">
      <c r="A587" s="5" t="str">
        <f ca="1">IFERROR(__xludf.DUMMYFUNCTION("""COMPUTED_VALUE"""),"36196")</f>
        <v>36196</v>
      </c>
      <c r="B587" s="51">
        <f ca="1">IFERROR(__xludf.DUMMYFUNCTION("""COMPUTED_VALUE"""),44628)</f>
        <v>44628</v>
      </c>
      <c r="C587" s="22">
        <f ca="1">IFERROR(__xludf.DUMMYFUNCTION("""COMPUTED_VALUE"""),500000)</f>
        <v>500000</v>
      </c>
      <c r="D587" s="22">
        <f ca="1">IFERROR(__xludf.DUMMYFUNCTION("""COMPUTED_VALUE"""),0)</f>
        <v>0</v>
      </c>
      <c r="E587" s="22">
        <f ca="1">IFERROR(__xludf.DUMMYFUNCTION("""COMPUTED_VALUE"""),500000)</f>
        <v>500000</v>
      </c>
      <c r="F587" s="22">
        <f ca="1">IFERROR(__xludf.DUMMYFUNCTION("""COMPUTED_VALUE"""),500000)</f>
        <v>500000</v>
      </c>
      <c r="G587" s="22">
        <f ca="1">IFERROR(__xludf.DUMMYFUNCTION("""COMPUTED_VALUE"""),0)</f>
        <v>0</v>
      </c>
      <c r="H587" s="7">
        <f ca="1">IFERROR(__xludf.DUMMYFUNCTION("""COMPUTED_VALUE"""),500000)</f>
        <v>500000</v>
      </c>
    </row>
    <row r="588" spans="1:8" ht="13" x14ac:dyDescent="0.15">
      <c r="A588" s="5" t="str">
        <f ca="1">IFERROR(__xludf.DUMMYFUNCTION("""COMPUTED_VALUE"""),"36196")</f>
        <v>36196</v>
      </c>
      <c r="B588" s="51">
        <f ca="1">IFERROR(__xludf.DUMMYFUNCTION("""COMPUTED_VALUE"""),44629)</f>
        <v>44629</v>
      </c>
      <c r="C588" s="22">
        <f ca="1">IFERROR(__xludf.DUMMYFUNCTION("""COMPUTED_VALUE"""),500000)</f>
        <v>500000</v>
      </c>
      <c r="D588" s="22">
        <f ca="1">IFERROR(__xludf.DUMMYFUNCTION("""COMPUTED_VALUE"""),0)</f>
        <v>0</v>
      </c>
      <c r="E588" s="22">
        <f ca="1">IFERROR(__xludf.DUMMYFUNCTION("""COMPUTED_VALUE"""),500000)</f>
        <v>500000</v>
      </c>
      <c r="F588" s="22">
        <f ca="1">IFERROR(__xludf.DUMMYFUNCTION("""COMPUTED_VALUE"""),500000)</f>
        <v>500000</v>
      </c>
      <c r="G588" s="22">
        <f ca="1">IFERROR(__xludf.DUMMYFUNCTION("""COMPUTED_VALUE"""),0)</f>
        <v>0</v>
      </c>
      <c r="H588" s="7">
        <f ca="1">IFERROR(__xludf.DUMMYFUNCTION("""COMPUTED_VALUE"""),500000)</f>
        <v>500000</v>
      </c>
    </row>
    <row r="589" spans="1:8" ht="13" x14ac:dyDescent="0.15">
      <c r="A589" s="5" t="str">
        <f ca="1">IFERROR(__xludf.DUMMYFUNCTION("""COMPUTED_VALUE"""),"36196")</f>
        <v>36196</v>
      </c>
      <c r="B589" s="51">
        <f ca="1">IFERROR(__xludf.DUMMYFUNCTION("""COMPUTED_VALUE"""),44630)</f>
        <v>44630</v>
      </c>
      <c r="C589" s="22">
        <f ca="1">IFERROR(__xludf.DUMMYFUNCTION("""COMPUTED_VALUE"""),500000)</f>
        <v>500000</v>
      </c>
      <c r="D589" s="22">
        <f ca="1">IFERROR(__xludf.DUMMYFUNCTION("""COMPUTED_VALUE"""),0)</f>
        <v>0</v>
      </c>
      <c r="E589" s="22">
        <f ca="1">IFERROR(__xludf.DUMMYFUNCTION("""COMPUTED_VALUE"""),500000)</f>
        <v>500000</v>
      </c>
      <c r="F589" s="22">
        <f ca="1">IFERROR(__xludf.DUMMYFUNCTION("""COMPUTED_VALUE"""),500000)</f>
        <v>500000</v>
      </c>
      <c r="G589" s="22">
        <f ca="1">IFERROR(__xludf.DUMMYFUNCTION("""COMPUTED_VALUE"""),0)</f>
        <v>0</v>
      </c>
      <c r="H589" s="7">
        <f ca="1">IFERROR(__xludf.DUMMYFUNCTION("""COMPUTED_VALUE"""),500000)</f>
        <v>500000</v>
      </c>
    </row>
    <row r="590" spans="1:8" ht="13" x14ac:dyDescent="0.15">
      <c r="A590" s="5" t="str">
        <f ca="1">IFERROR(__xludf.DUMMYFUNCTION("""COMPUTED_VALUE"""),"36196")</f>
        <v>36196</v>
      </c>
      <c r="B590" s="51">
        <f ca="1">IFERROR(__xludf.DUMMYFUNCTION("""COMPUTED_VALUE"""),44631)</f>
        <v>44631</v>
      </c>
      <c r="C590" s="22">
        <f ca="1">IFERROR(__xludf.DUMMYFUNCTION("""COMPUTED_VALUE"""),500000)</f>
        <v>500000</v>
      </c>
      <c r="D590" s="22">
        <f ca="1">IFERROR(__xludf.DUMMYFUNCTION("""COMPUTED_VALUE"""),0)</f>
        <v>0</v>
      </c>
      <c r="E590" s="22">
        <f ca="1">IFERROR(__xludf.DUMMYFUNCTION("""COMPUTED_VALUE"""),500000)</f>
        <v>500000</v>
      </c>
      <c r="F590" s="22">
        <f ca="1">IFERROR(__xludf.DUMMYFUNCTION("""COMPUTED_VALUE"""),500000)</f>
        <v>500000</v>
      </c>
      <c r="G590" s="22">
        <f ca="1">IFERROR(__xludf.DUMMYFUNCTION("""COMPUTED_VALUE"""),0)</f>
        <v>0</v>
      </c>
      <c r="H590" s="7">
        <f ca="1">IFERROR(__xludf.DUMMYFUNCTION("""COMPUTED_VALUE"""),500000)</f>
        <v>500000</v>
      </c>
    </row>
    <row r="591" spans="1:8" ht="13" x14ac:dyDescent="0.15">
      <c r="A591" s="5" t="str">
        <f ca="1">IFERROR(__xludf.DUMMYFUNCTION("""COMPUTED_VALUE"""),"36196")</f>
        <v>36196</v>
      </c>
      <c r="B591" s="51">
        <f ca="1">IFERROR(__xludf.DUMMYFUNCTION("""COMPUTED_VALUE"""),44632)</f>
        <v>44632</v>
      </c>
      <c r="C591" s="22">
        <f ca="1">IFERROR(__xludf.DUMMYFUNCTION("""COMPUTED_VALUE"""),500000)</f>
        <v>500000</v>
      </c>
      <c r="D591" s="22">
        <f ca="1">IFERROR(__xludf.DUMMYFUNCTION("""COMPUTED_VALUE"""),0)</f>
        <v>0</v>
      </c>
      <c r="E591" s="22">
        <f ca="1">IFERROR(__xludf.DUMMYFUNCTION("""COMPUTED_VALUE"""),500000)</f>
        <v>500000</v>
      </c>
      <c r="F591" s="22">
        <f ca="1">IFERROR(__xludf.DUMMYFUNCTION("""COMPUTED_VALUE"""),500000)</f>
        <v>500000</v>
      </c>
      <c r="G591" s="22">
        <f ca="1">IFERROR(__xludf.DUMMYFUNCTION("""COMPUTED_VALUE"""),0)</f>
        <v>0</v>
      </c>
      <c r="H591" s="7">
        <f ca="1">IFERROR(__xludf.DUMMYFUNCTION("""COMPUTED_VALUE"""),500000)</f>
        <v>500000</v>
      </c>
    </row>
    <row r="592" spans="1:8" ht="13" x14ac:dyDescent="0.15">
      <c r="A592" s="5" t="str">
        <f ca="1">IFERROR(__xludf.DUMMYFUNCTION("""COMPUTED_VALUE"""),"36196")</f>
        <v>36196</v>
      </c>
      <c r="B592" s="51">
        <f ca="1">IFERROR(__xludf.DUMMYFUNCTION("""COMPUTED_VALUE"""),44633)</f>
        <v>44633</v>
      </c>
      <c r="C592" s="22">
        <f ca="1">IFERROR(__xludf.DUMMYFUNCTION("""COMPUTED_VALUE"""),500000)</f>
        <v>500000</v>
      </c>
      <c r="D592" s="22">
        <f ca="1">IFERROR(__xludf.DUMMYFUNCTION("""COMPUTED_VALUE"""),0)</f>
        <v>0</v>
      </c>
      <c r="E592" s="22">
        <f ca="1">IFERROR(__xludf.DUMMYFUNCTION("""COMPUTED_VALUE"""),500000)</f>
        <v>500000</v>
      </c>
      <c r="F592" s="22">
        <f ca="1">IFERROR(__xludf.DUMMYFUNCTION("""COMPUTED_VALUE"""),500000)</f>
        <v>500000</v>
      </c>
      <c r="G592" s="22">
        <f ca="1">IFERROR(__xludf.DUMMYFUNCTION("""COMPUTED_VALUE"""),0)</f>
        <v>0</v>
      </c>
      <c r="H592" s="7">
        <f ca="1">IFERROR(__xludf.DUMMYFUNCTION("""COMPUTED_VALUE"""),500000)</f>
        <v>500000</v>
      </c>
    </row>
    <row r="593" spans="1:8" ht="13" x14ac:dyDescent="0.15">
      <c r="A593" s="5" t="str">
        <f ca="1">IFERROR(__xludf.DUMMYFUNCTION("""COMPUTED_VALUE"""),"36196")</f>
        <v>36196</v>
      </c>
      <c r="B593" s="51">
        <f ca="1">IFERROR(__xludf.DUMMYFUNCTION("""COMPUTED_VALUE"""),44634)</f>
        <v>44634</v>
      </c>
      <c r="C593" s="22">
        <f ca="1">IFERROR(__xludf.DUMMYFUNCTION("""COMPUTED_VALUE"""),500000)</f>
        <v>500000</v>
      </c>
      <c r="D593" s="22">
        <f ca="1">IFERROR(__xludf.DUMMYFUNCTION("""COMPUTED_VALUE"""),0)</f>
        <v>0</v>
      </c>
      <c r="E593" s="22">
        <f ca="1">IFERROR(__xludf.DUMMYFUNCTION("""COMPUTED_VALUE"""),500000)</f>
        <v>500000</v>
      </c>
      <c r="F593" s="22">
        <f ca="1">IFERROR(__xludf.DUMMYFUNCTION("""COMPUTED_VALUE"""),500000)</f>
        <v>500000</v>
      </c>
      <c r="G593" s="22">
        <f ca="1">IFERROR(__xludf.DUMMYFUNCTION("""COMPUTED_VALUE"""),0)</f>
        <v>0</v>
      </c>
      <c r="H593" s="7">
        <f ca="1">IFERROR(__xludf.DUMMYFUNCTION("""COMPUTED_VALUE"""),500000)</f>
        <v>500000</v>
      </c>
    </row>
    <row r="594" spans="1:8" ht="13" x14ac:dyDescent="0.15">
      <c r="A594" s="5" t="str">
        <f ca="1">IFERROR(__xludf.DUMMYFUNCTION("""COMPUTED_VALUE"""),"36196")</f>
        <v>36196</v>
      </c>
      <c r="B594" s="51">
        <f ca="1">IFERROR(__xludf.DUMMYFUNCTION("""COMPUTED_VALUE"""),44635)</f>
        <v>44635</v>
      </c>
      <c r="C594" s="22">
        <f ca="1">IFERROR(__xludf.DUMMYFUNCTION("""COMPUTED_VALUE"""),500000)</f>
        <v>500000</v>
      </c>
      <c r="D594" s="22">
        <f ca="1">IFERROR(__xludf.DUMMYFUNCTION("""COMPUTED_VALUE"""),0)</f>
        <v>0</v>
      </c>
      <c r="E594" s="22">
        <f ca="1">IFERROR(__xludf.DUMMYFUNCTION("""COMPUTED_VALUE"""),500000)</f>
        <v>500000</v>
      </c>
      <c r="F594" s="22">
        <f ca="1">IFERROR(__xludf.DUMMYFUNCTION("""COMPUTED_VALUE"""),500000)</f>
        <v>500000</v>
      </c>
      <c r="G594" s="22">
        <f ca="1">IFERROR(__xludf.DUMMYFUNCTION("""COMPUTED_VALUE"""),0)</f>
        <v>0</v>
      </c>
      <c r="H594" s="7">
        <f ca="1">IFERROR(__xludf.DUMMYFUNCTION("""COMPUTED_VALUE"""),500000)</f>
        <v>500000</v>
      </c>
    </row>
    <row r="595" spans="1:8" ht="13" x14ac:dyDescent="0.15">
      <c r="A595" s="5" t="str">
        <f ca="1">IFERROR(__xludf.DUMMYFUNCTION("""COMPUTED_VALUE"""),"36196")</f>
        <v>36196</v>
      </c>
      <c r="B595" s="51">
        <f ca="1">IFERROR(__xludf.DUMMYFUNCTION("""COMPUTED_VALUE"""),44636)</f>
        <v>44636</v>
      </c>
      <c r="C595" s="22">
        <f ca="1">IFERROR(__xludf.DUMMYFUNCTION("""COMPUTED_VALUE"""),500000)</f>
        <v>500000</v>
      </c>
      <c r="D595" s="22">
        <f ca="1">IFERROR(__xludf.DUMMYFUNCTION("""COMPUTED_VALUE"""),0)</f>
        <v>0</v>
      </c>
      <c r="E595" s="22">
        <f ca="1">IFERROR(__xludf.DUMMYFUNCTION("""COMPUTED_VALUE"""),500000)</f>
        <v>500000</v>
      </c>
      <c r="F595" s="22">
        <f ca="1">IFERROR(__xludf.DUMMYFUNCTION("""COMPUTED_VALUE"""),500000)</f>
        <v>500000</v>
      </c>
      <c r="G595" s="22">
        <f ca="1">IFERROR(__xludf.DUMMYFUNCTION("""COMPUTED_VALUE"""),0)</f>
        <v>0</v>
      </c>
      <c r="H595" s="7">
        <f ca="1">IFERROR(__xludf.DUMMYFUNCTION("""COMPUTED_VALUE"""),500000)</f>
        <v>500000</v>
      </c>
    </row>
    <row r="596" spans="1:8" ht="13" x14ac:dyDescent="0.15">
      <c r="A596" s="5" t="str">
        <f ca="1">IFERROR(__xludf.DUMMYFUNCTION("""COMPUTED_VALUE"""),"36196")</f>
        <v>36196</v>
      </c>
      <c r="B596" s="51">
        <f ca="1">IFERROR(__xludf.DUMMYFUNCTION("""COMPUTED_VALUE"""),44637)</f>
        <v>44637</v>
      </c>
      <c r="C596" s="22">
        <f ca="1">IFERROR(__xludf.DUMMYFUNCTION("""COMPUTED_VALUE"""),500000)</f>
        <v>500000</v>
      </c>
      <c r="D596" s="22">
        <f ca="1">IFERROR(__xludf.DUMMYFUNCTION("""COMPUTED_VALUE"""),0)</f>
        <v>0</v>
      </c>
      <c r="E596" s="22">
        <f ca="1">IFERROR(__xludf.DUMMYFUNCTION("""COMPUTED_VALUE"""),500000)</f>
        <v>500000</v>
      </c>
      <c r="F596" s="22">
        <f ca="1">IFERROR(__xludf.DUMMYFUNCTION("""COMPUTED_VALUE"""),500000)</f>
        <v>500000</v>
      </c>
      <c r="G596" s="22">
        <f ca="1">IFERROR(__xludf.DUMMYFUNCTION("""COMPUTED_VALUE"""),0)</f>
        <v>0</v>
      </c>
      <c r="H596" s="7">
        <f ca="1">IFERROR(__xludf.DUMMYFUNCTION("""COMPUTED_VALUE"""),500000)</f>
        <v>500000</v>
      </c>
    </row>
    <row r="597" spans="1:8" ht="13" x14ac:dyDescent="0.15">
      <c r="A597" s="5" t="str">
        <f ca="1">IFERROR(__xludf.DUMMYFUNCTION("""COMPUTED_VALUE"""),"36196")</f>
        <v>36196</v>
      </c>
      <c r="B597" s="51">
        <f ca="1">IFERROR(__xludf.DUMMYFUNCTION("""COMPUTED_VALUE"""),44638)</f>
        <v>44638</v>
      </c>
      <c r="C597" s="22">
        <f ca="1">IFERROR(__xludf.DUMMYFUNCTION("""COMPUTED_VALUE"""),500000)</f>
        <v>500000</v>
      </c>
      <c r="D597" s="22">
        <f ca="1">IFERROR(__xludf.DUMMYFUNCTION("""COMPUTED_VALUE"""),0)</f>
        <v>0</v>
      </c>
      <c r="E597" s="22">
        <f ca="1">IFERROR(__xludf.DUMMYFUNCTION("""COMPUTED_VALUE"""),500000)</f>
        <v>500000</v>
      </c>
      <c r="F597" s="22">
        <f ca="1">IFERROR(__xludf.DUMMYFUNCTION("""COMPUTED_VALUE"""),500000)</f>
        <v>500000</v>
      </c>
      <c r="G597" s="22">
        <f ca="1">IFERROR(__xludf.DUMMYFUNCTION("""COMPUTED_VALUE"""),0)</f>
        <v>0</v>
      </c>
      <c r="H597" s="7">
        <f ca="1">IFERROR(__xludf.DUMMYFUNCTION("""COMPUTED_VALUE"""),500000)</f>
        <v>500000</v>
      </c>
    </row>
    <row r="598" spans="1:8" ht="13" x14ac:dyDescent="0.15">
      <c r="A598" s="5" t="str">
        <f ca="1">IFERROR(__xludf.DUMMYFUNCTION("""COMPUTED_VALUE"""),"36196")</f>
        <v>36196</v>
      </c>
      <c r="B598" s="51">
        <f ca="1">IFERROR(__xludf.DUMMYFUNCTION("""COMPUTED_VALUE"""),44639)</f>
        <v>44639</v>
      </c>
      <c r="C598" s="22">
        <f ca="1">IFERROR(__xludf.DUMMYFUNCTION("""COMPUTED_VALUE"""),500000)</f>
        <v>500000</v>
      </c>
      <c r="D598" s="22">
        <f ca="1">IFERROR(__xludf.DUMMYFUNCTION("""COMPUTED_VALUE"""),0)</f>
        <v>0</v>
      </c>
      <c r="E598" s="22">
        <f ca="1">IFERROR(__xludf.DUMMYFUNCTION("""COMPUTED_VALUE"""),500000)</f>
        <v>500000</v>
      </c>
      <c r="F598" s="22">
        <f ca="1">IFERROR(__xludf.DUMMYFUNCTION("""COMPUTED_VALUE"""),500000)</f>
        <v>500000</v>
      </c>
      <c r="G598" s="22">
        <f ca="1">IFERROR(__xludf.DUMMYFUNCTION("""COMPUTED_VALUE"""),0)</f>
        <v>0</v>
      </c>
      <c r="H598" s="7">
        <f ca="1">IFERROR(__xludf.DUMMYFUNCTION("""COMPUTED_VALUE"""),500000)</f>
        <v>500000</v>
      </c>
    </row>
    <row r="599" spans="1:8" ht="13" x14ac:dyDescent="0.15">
      <c r="A599" s="5" t="str">
        <f ca="1">IFERROR(__xludf.DUMMYFUNCTION("""COMPUTED_VALUE"""),"36196")</f>
        <v>36196</v>
      </c>
      <c r="B599" s="51">
        <f ca="1">IFERROR(__xludf.DUMMYFUNCTION("""COMPUTED_VALUE"""),44640)</f>
        <v>44640</v>
      </c>
      <c r="C599" s="22">
        <f ca="1">IFERROR(__xludf.DUMMYFUNCTION("""COMPUTED_VALUE"""),500000)</f>
        <v>500000</v>
      </c>
      <c r="D599" s="22">
        <f ca="1">IFERROR(__xludf.DUMMYFUNCTION("""COMPUTED_VALUE"""),0)</f>
        <v>0</v>
      </c>
      <c r="E599" s="22">
        <f ca="1">IFERROR(__xludf.DUMMYFUNCTION("""COMPUTED_VALUE"""),500000)</f>
        <v>500000</v>
      </c>
      <c r="F599" s="22">
        <f ca="1">IFERROR(__xludf.DUMMYFUNCTION("""COMPUTED_VALUE"""),500000)</f>
        <v>500000</v>
      </c>
      <c r="G599" s="22">
        <f ca="1">IFERROR(__xludf.DUMMYFUNCTION("""COMPUTED_VALUE"""),0)</f>
        <v>0</v>
      </c>
      <c r="H599" s="7">
        <f ca="1">IFERROR(__xludf.DUMMYFUNCTION("""COMPUTED_VALUE"""),500000)</f>
        <v>500000</v>
      </c>
    </row>
    <row r="600" spans="1:8" ht="13" x14ac:dyDescent="0.15">
      <c r="A600" s="5" t="str">
        <f ca="1">IFERROR(__xludf.DUMMYFUNCTION("""COMPUTED_VALUE"""),"36196")</f>
        <v>36196</v>
      </c>
      <c r="B600" s="51">
        <f ca="1">IFERROR(__xludf.DUMMYFUNCTION("""COMPUTED_VALUE"""),44641)</f>
        <v>44641</v>
      </c>
      <c r="C600" s="22">
        <f ca="1">IFERROR(__xludf.DUMMYFUNCTION("""COMPUTED_VALUE"""),500000)</f>
        <v>500000</v>
      </c>
      <c r="D600" s="22">
        <f ca="1">IFERROR(__xludf.DUMMYFUNCTION("""COMPUTED_VALUE"""),0)</f>
        <v>0</v>
      </c>
      <c r="E600" s="22">
        <f ca="1">IFERROR(__xludf.DUMMYFUNCTION("""COMPUTED_VALUE"""),500000)</f>
        <v>500000</v>
      </c>
      <c r="F600" s="22">
        <f ca="1">IFERROR(__xludf.DUMMYFUNCTION("""COMPUTED_VALUE"""),500000)</f>
        <v>500000</v>
      </c>
      <c r="G600" s="22">
        <f ca="1">IFERROR(__xludf.DUMMYFUNCTION("""COMPUTED_VALUE"""),0)</f>
        <v>0</v>
      </c>
      <c r="H600" s="7">
        <f ca="1">IFERROR(__xludf.DUMMYFUNCTION("""COMPUTED_VALUE"""),500000)</f>
        <v>500000</v>
      </c>
    </row>
    <row r="601" spans="1:8" ht="13" x14ac:dyDescent="0.15">
      <c r="A601" s="5" t="str">
        <f ca="1">IFERROR(__xludf.DUMMYFUNCTION("""COMPUTED_VALUE"""),"36196")</f>
        <v>36196</v>
      </c>
      <c r="B601" s="51">
        <f ca="1">IFERROR(__xludf.DUMMYFUNCTION("""COMPUTED_VALUE"""),44642)</f>
        <v>44642</v>
      </c>
      <c r="C601" s="22">
        <f ca="1">IFERROR(__xludf.DUMMYFUNCTION("""COMPUTED_VALUE"""),500000)</f>
        <v>500000</v>
      </c>
      <c r="D601" s="22">
        <f ca="1">IFERROR(__xludf.DUMMYFUNCTION("""COMPUTED_VALUE"""),0)</f>
        <v>0</v>
      </c>
      <c r="E601" s="22">
        <f ca="1">IFERROR(__xludf.DUMMYFUNCTION("""COMPUTED_VALUE"""),500000)</f>
        <v>500000</v>
      </c>
      <c r="F601" s="22">
        <f ca="1">IFERROR(__xludf.DUMMYFUNCTION("""COMPUTED_VALUE"""),500000)</f>
        <v>500000</v>
      </c>
      <c r="G601" s="22">
        <f ca="1">IFERROR(__xludf.DUMMYFUNCTION("""COMPUTED_VALUE"""),0)</f>
        <v>0</v>
      </c>
      <c r="H601" s="7">
        <f ca="1">IFERROR(__xludf.DUMMYFUNCTION("""COMPUTED_VALUE"""),500000)</f>
        <v>500000</v>
      </c>
    </row>
    <row r="602" spans="1:8" ht="13" x14ac:dyDescent="0.15">
      <c r="A602" s="5" t="str">
        <f ca="1">IFERROR(__xludf.DUMMYFUNCTION("""COMPUTED_VALUE"""),"36221")</f>
        <v>36221</v>
      </c>
      <c r="B602" s="51">
        <f ca="1">IFERROR(__xludf.DUMMYFUNCTION("""COMPUTED_VALUE"""),44597)</f>
        <v>44597</v>
      </c>
      <c r="C602" s="22">
        <f ca="1">IFERROR(__xludf.DUMMYFUNCTION("""COMPUTED_VALUE"""),500000)</f>
        <v>500000</v>
      </c>
      <c r="D602" s="22">
        <f ca="1">IFERROR(__xludf.DUMMYFUNCTION("""COMPUTED_VALUE"""),0)</f>
        <v>0</v>
      </c>
      <c r="E602" s="22">
        <f ca="1">IFERROR(__xludf.DUMMYFUNCTION("""COMPUTED_VALUE"""),500000)</f>
        <v>500000</v>
      </c>
      <c r="F602" s="22">
        <f ca="1">IFERROR(__xludf.DUMMYFUNCTION("""COMPUTED_VALUE"""),500000)</f>
        <v>500000</v>
      </c>
      <c r="G602" s="22">
        <f ca="1">IFERROR(__xludf.DUMMYFUNCTION("""COMPUTED_VALUE"""),0)</f>
        <v>0</v>
      </c>
      <c r="H602" s="7">
        <f ca="1">IFERROR(__xludf.DUMMYFUNCTION("""COMPUTED_VALUE"""),500000)</f>
        <v>500000</v>
      </c>
    </row>
    <row r="603" spans="1:8" ht="13" x14ac:dyDescent="0.15">
      <c r="A603" s="5" t="str">
        <f ca="1">IFERROR(__xludf.DUMMYFUNCTION("""COMPUTED_VALUE"""),"36221")</f>
        <v>36221</v>
      </c>
      <c r="B603" s="51">
        <f ca="1">IFERROR(__xludf.DUMMYFUNCTION("""COMPUTED_VALUE"""),44598)</f>
        <v>44598</v>
      </c>
      <c r="C603" s="22">
        <f ca="1">IFERROR(__xludf.DUMMYFUNCTION("""COMPUTED_VALUE"""),500000)</f>
        <v>500000</v>
      </c>
      <c r="D603" s="22">
        <f ca="1">IFERROR(__xludf.DUMMYFUNCTION("""COMPUTED_VALUE"""),0)</f>
        <v>0</v>
      </c>
      <c r="E603" s="22">
        <f ca="1">IFERROR(__xludf.DUMMYFUNCTION("""COMPUTED_VALUE"""),500000)</f>
        <v>500000</v>
      </c>
      <c r="F603" s="22">
        <f ca="1">IFERROR(__xludf.DUMMYFUNCTION("""COMPUTED_VALUE"""),500000)</f>
        <v>500000</v>
      </c>
      <c r="G603" s="22">
        <f ca="1">IFERROR(__xludf.DUMMYFUNCTION("""COMPUTED_VALUE"""),0)</f>
        <v>0</v>
      </c>
      <c r="H603" s="7">
        <f ca="1">IFERROR(__xludf.DUMMYFUNCTION("""COMPUTED_VALUE"""),500000)</f>
        <v>500000</v>
      </c>
    </row>
    <row r="604" spans="1:8" ht="13" x14ac:dyDescent="0.15">
      <c r="A604" s="5" t="str">
        <f ca="1">IFERROR(__xludf.DUMMYFUNCTION("""COMPUTED_VALUE"""),"36221")</f>
        <v>36221</v>
      </c>
      <c r="B604" s="51">
        <f ca="1">IFERROR(__xludf.DUMMYFUNCTION("""COMPUTED_VALUE"""),44599)</f>
        <v>44599</v>
      </c>
      <c r="C604" s="22">
        <f ca="1">IFERROR(__xludf.DUMMYFUNCTION("""COMPUTED_VALUE"""),500000)</f>
        <v>500000</v>
      </c>
      <c r="D604" s="22">
        <f ca="1">IFERROR(__xludf.DUMMYFUNCTION("""COMPUTED_VALUE"""),0)</f>
        <v>0</v>
      </c>
      <c r="E604" s="22">
        <f ca="1">IFERROR(__xludf.DUMMYFUNCTION("""COMPUTED_VALUE"""),500000)</f>
        <v>500000</v>
      </c>
      <c r="F604" s="22">
        <f ca="1">IFERROR(__xludf.DUMMYFUNCTION("""COMPUTED_VALUE"""),500000)</f>
        <v>500000</v>
      </c>
      <c r="G604" s="22">
        <f ca="1">IFERROR(__xludf.DUMMYFUNCTION("""COMPUTED_VALUE"""),0)</f>
        <v>0</v>
      </c>
      <c r="H604" s="7">
        <f ca="1">IFERROR(__xludf.DUMMYFUNCTION("""COMPUTED_VALUE"""),500000)</f>
        <v>500000</v>
      </c>
    </row>
    <row r="605" spans="1:8" ht="13" x14ac:dyDescent="0.15">
      <c r="A605" s="5" t="str">
        <f ca="1">IFERROR(__xludf.DUMMYFUNCTION("""COMPUTED_VALUE"""),"36221")</f>
        <v>36221</v>
      </c>
      <c r="B605" s="51">
        <f ca="1">IFERROR(__xludf.DUMMYFUNCTION("""COMPUTED_VALUE"""),44600)</f>
        <v>44600</v>
      </c>
      <c r="C605" s="22">
        <f ca="1">IFERROR(__xludf.DUMMYFUNCTION("""COMPUTED_VALUE"""),500000)</f>
        <v>500000</v>
      </c>
      <c r="D605" s="22">
        <f ca="1">IFERROR(__xludf.DUMMYFUNCTION("""COMPUTED_VALUE"""),0)</f>
        <v>0</v>
      </c>
      <c r="E605" s="22">
        <f ca="1">IFERROR(__xludf.DUMMYFUNCTION("""COMPUTED_VALUE"""),500000)</f>
        <v>500000</v>
      </c>
      <c r="F605" s="22">
        <f ca="1">IFERROR(__xludf.DUMMYFUNCTION("""COMPUTED_VALUE"""),500000)</f>
        <v>500000</v>
      </c>
      <c r="G605" s="22">
        <f ca="1">IFERROR(__xludf.DUMMYFUNCTION("""COMPUTED_VALUE"""),0)</f>
        <v>0</v>
      </c>
      <c r="H605" s="7">
        <f ca="1">IFERROR(__xludf.DUMMYFUNCTION("""COMPUTED_VALUE"""),500000)</f>
        <v>500000</v>
      </c>
    </row>
    <row r="606" spans="1:8" ht="13" x14ac:dyDescent="0.15">
      <c r="A606" s="5" t="str">
        <f ca="1">IFERROR(__xludf.DUMMYFUNCTION("""COMPUTED_VALUE"""),"36221")</f>
        <v>36221</v>
      </c>
      <c r="B606" s="51">
        <f ca="1">IFERROR(__xludf.DUMMYFUNCTION("""COMPUTED_VALUE"""),44601)</f>
        <v>44601</v>
      </c>
      <c r="C606" s="22">
        <f ca="1">IFERROR(__xludf.DUMMYFUNCTION("""COMPUTED_VALUE"""),500000)</f>
        <v>500000</v>
      </c>
      <c r="D606" s="22">
        <f ca="1">IFERROR(__xludf.DUMMYFUNCTION("""COMPUTED_VALUE"""),0)</f>
        <v>0</v>
      </c>
      <c r="E606" s="22">
        <f ca="1">IFERROR(__xludf.DUMMYFUNCTION("""COMPUTED_VALUE"""),500000)</f>
        <v>500000</v>
      </c>
      <c r="F606" s="22">
        <f ca="1">IFERROR(__xludf.DUMMYFUNCTION("""COMPUTED_VALUE"""),500000)</f>
        <v>500000</v>
      </c>
      <c r="G606" s="22">
        <f ca="1">IFERROR(__xludf.DUMMYFUNCTION("""COMPUTED_VALUE"""),0)</f>
        <v>0</v>
      </c>
      <c r="H606" s="7">
        <f ca="1">IFERROR(__xludf.DUMMYFUNCTION("""COMPUTED_VALUE"""),500000)</f>
        <v>500000</v>
      </c>
    </row>
    <row r="607" spans="1:8" ht="13" x14ac:dyDescent="0.15">
      <c r="A607" s="5" t="str">
        <f ca="1">IFERROR(__xludf.DUMMYFUNCTION("""COMPUTED_VALUE"""),"36221")</f>
        <v>36221</v>
      </c>
      <c r="B607" s="51">
        <f ca="1">IFERROR(__xludf.DUMMYFUNCTION("""COMPUTED_VALUE"""),44602)</f>
        <v>44602</v>
      </c>
      <c r="C607" s="22">
        <f ca="1">IFERROR(__xludf.DUMMYFUNCTION("""COMPUTED_VALUE"""),500000)</f>
        <v>500000</v>
      </c>
      <c r="D607" s="22">
        <f ca="1">IFERROR(__xludf.DUMMYFUNCTION("""COMPUTED_VALUE"""),0)</f>
        <v>0</v>
      </c>
      <c r="E607" s="22">
        <f ca="1">IFERROR(__xludf.DUMMYFUNCTION("""COMPUTED_VALUE"""),500000)</f>
        <v>500000</v>
      </c>
      <c r="F607" s="22">
        <f ca="1">IFERROR(__xludf.DUMMYFUNCTION("""COMPUTED_VALUE"""),500000)</f>
        <v>500000</v>
      </c>
      <c r="G607" s="22">
        <f ca="1">IFERROR(__xludf.DUMMYFUNCTION("""COMPUTED_VALUE"""),0)</f>
        <v>0</v>
      </c>
      <c r="H607" s="7">
        <f ca="1">IFERROR(__xludf.DUMMYFUNCTION("""COMPUTED_VALUE"""),500000)</f>
        <v>500000</v>
      </c>
    </row>
    <row r="608" spans="1:8" ht="13" x14ac:dyDescent="0.15">
      <c r="A608" s="5" t="str">
        <f ca="1">IFERROR(__xludf.DUMMYFUNCTION("""COMPUTED_VALUE"""),"36221")</f>
        <v>36221</v>
      </c>
      <c r="B608" s="51">
        <f ca="1">IFERROR(__xludf.DUMMYFUNCTION("""COMPUTED_VALUE"""),44603)</f>
        <v>44603</v>
      </c>
      <c r="C608" s="22">
        <f ca="1">IFERROR(__xludf.DUMMYFUNCTION("""COMPUTED_VALUE"""),500000)</f>
        <v>500000</v>
      </c>
      <c r="D608" s="22">
        <f ca="1">IFERROR(__xludf.DUMMYFUNCTION("""COMPUTED_VALUE"""),0)</f>
        <v>0</v>
      </c>
      <c r="E608" s="22">
        <f ca="1">IFERROR(__xludf.DUMMYFUNCTION("""COMPUTED_VALUE"""),500000)</f>
        <v>500000</v>
      </c>
      <c r="F608" s="22">
        <f ca="1">IFERROR(__xludf.DUMMYFUNCTION("""COMPUTED_VALUE"""),500000)</f>
        <v>500000</v>
      </c>
      <c r="G608" s="22">
        <f ca="1">IFERROR(__xludf.DUMMYFUNCTION("""COMPUTED_VALUE"""),0)</f>
        <v>0</v>
      </c>
      <c r="H608" s="7">
        <f ca="1">IFERROR(__xludf.DUMMYFUNCTION("""COMPUTED_VALUE"""),500000)</f>
        <v>500000</v>
      </c>
    </row>
    <row r="609" spans="1:8" ht="13" x14ac:dyDescent="0.15">
      <c r="A609" s="5" t="str">
        <f ca="1">IFERROR(__xludf.DUMMYFUNCTION("""COMPUTED_VALUE"""),"36221")</f>
        <v>36221</v>
      </c>
      <c r="B609" s="51">
        <f ca="1">IFERROR(__xludf.DUMMYFUNCTION("""COMPUTED_VALUE"""),44604)</f>
        <v>44604</v>
      </c>
      <c r="C609" s="22">
        <f ca="1">IFERROR(__xludf.DUMMYFUNCTION("""COMPUTED_VALUE"""),500000)</f>
        <v>500000</v>
      </c>
      <c r="D609" s="22">
        <f ca="1">IFERROR(__xludf.DUMMYFUNCTION("""COMPUTED_VALUE"""),0)</f>
        <v>0</v>
      </c>
      <c r="E609" s="22">
        <f ca="1">IFERROR(__xludf.DUMMYFUNCTION("""COMPUTED_VALUE"""),500000)</f>
        <v>500000</v>
      </c>
      <c r="F609" s="22">
        <f ca="1">IFERROR(__xludf.DUMMYFUNCTION("""COMPUTED_VALUE"""),500000)</f>
        <v>500000</v>
      </c>
      <c r="G609" s="22">
        <f ca="1">IFERROR(__xludf.DUMMYFUNCTION("""COMPUTED_VALUE"""),0)</f>
        <v>0</v>
      </c>
      <c r="H609" s="7">
        <f ca="1">IFERROR(__xludf.DUMMYFUNCTION("""COMPUTED_VALUE"""),500000)</f>
        <v>500000</v>
      </c>
    </row>
    <row r="610" spans="1:8" ht="13" x14ac:dyDescent="0.15">
      <c r="A610" s="5" t="str">
        <f ca="1">IFERROR(__xludf.DUMMYFUNCTION("""COMPUTED_VALUE"""),"36221")</f>
        <v>36221</v>
      </c>
      <c r="B610" s="51">
        <f ca="1">IFERROR(__xludf.DUMMYFUNCTION("""COMPUTED_VALUE"""),44605)</f>
        <v>44605</v>
      </c>
      <c r="C610" s="22">
        <f ca="1">IFERROR(__xludf.DUMMYFUNCTION("""COMPUTED_VALUE"""),500000)</f>
        <v>500000</v>
      </c>
      <c r="D610" s="22">
        <f ca="1">IFERROR(__xludf.DUMMYFUNCTION("""COMPUTED_VALUE"""),0)</f>
        <v>0</v>
      </c>
      <c r="E610" s="22">
        <f ca="1">IFERROR(__xludf.DUMMYFUNCTION("""COMPUTED_VALUE"""),500000)</f>
        <v>500000</v>
      </c>
      <c r="F610" s="22">
        <f ca="1">IFERROR(__xludf.DUMMYFUNCTION("""COMPUTED_VALUE"""),500000)</f>
        <v>500000</v>
      </c>
      <c r="G610" s="22">
        <f ca="1">IFERROR(__xludf.DUMMYFUNCTION("""COMPUTED_VALUE"""),0)</f>
        <v>0</v>
      </c>
      <c r="H610" s="7">
        <f ca="1">IFERROR(__xludf.DUMMYFUNCTION("""COMPUTED_VALUE"""),500000)</f>
        <v>500000</v>
      </c>
    </row>
    <row r="611" spans="1:8" ht="13" x14ac:dyDescent="0.15">
      <c r="A611" s="5" t="str">
        <f ca="1">IFERROR(__xludf.DUMMYFUNCTION("""COMPUTED_VALUE"""),"36221")</f>
        <v>36221</v>
      </c>
      <c r="B611" s="51">
        <f ca="1">IFERROR(__xludf.DUMMYFUNCTION("""COMPUTED_VALUE"""),44606)</f>
        <v>44606</v>
      </c>
      <c r="C611" s="22">
        <f ca="1">IFERROR(__xludf.DUMMYFUNCTION("""COMPUTED_VALUE"""),500000)</f>
        <v>500000</v>
      </c>
      <c r="D611" s="22">
        <f ca="1">IFERROR(__xludf.DUMMYFUNCTION("""COMPUTED_VALUE"""),0)</f>
        <v>0</v>
      </c>
      <c r="E611" s="22">
        <f ca="1">IFERROR(__xludf.DUMMYFUNCTION("""COMPUTED_VALUE"""),500000)</f>
        <v>500000</v>
      </c>
      <c r="F611" s="22">
        <f ca="1">IFERROR(__xludf.DUMMYFUNCTION("""COMPUTED_VALUE"""),500000)</f>
        <v>500000</v>
      </c>
      <c r="G611" s="22">
        <f ca="1">IFERROR(__xludf.DUMMYFUNCTION("""COMPUTED_VALUE"""),0)</f>
        <v>0</v>
      </c>
      <c r="H611" s="7">
        <f ca="1">IFERROR(__xludf.DUMMYFUNCTION("""COMPUTED_VALUE"""),500000)</f>
        <v>500000</v>
      </c>
    </row>
    <row r="612" spans="1:8" ht="13" x14ac:dyDescent="0.15">
      <c r="A612" s="5" t="str">
        <f ca="1">IFERROR(__xludf.DUMMYFUNCTION("""COMPUTED_VALUE"""),"36221")</f>
        <v>36221</v>
      </c>
      <c r="B612" s="51">
        <f ca="1">IFERROR(__xludf.DUMMYFUNCTION("""COMPUTED_VALUE"""),44607)</f>
        <v>44607</v>
      </c>
      <c r="C612" s="22">
        <f ca="1">IFERROR(__xludf.DUMMYFUNCTION("""COMPUTED_VALUE"""),-172344.177964999)</f>
        <v>-172344.17796499899</v>
      </c>
      <c r="D612" s="22">
        <f ca="1">IFERROR(__xludf.DUMMYFUNCTION("""COMPUTED_VALUE"""),672344.177964999)</f>
        <v>672344.17796499899</v>
      </c>
      <c r="E612" s="22">
        <f ca="1">IFERROR(__xludf.DUMMYFUNCTION("""COMPUTED_VALUE"""),500000)</f>
        <v>500000</v>
      </c>
      <c r="F612" s="22">
        <f ca="1">IFERROR(__xludf.DUMMYFUNCTION("""COMPUTED_VALUE"""),-172344.177964999)</f>
        <v>-172344.17796499899</v>
      </c>
      <c r="G612" s="22">
        <f ca="1">IFERROR(__xludf.DUMMYFUNCTION("""COMPUTED_VALUE"""),172344.177964999)</f>
        <v>172344.17796499899</v>
      </c>
      <c r="H612" s="7">
        <f ca="1">IFERROR(__xludf.DUMMYFUNCTION("""COMPUTED_VALUE"""),500000)</f>
        <v>500000</v>
      </c>
    </row>
    <row r="613" spans="1:8" ht="13" x14ac:dyDescent="0.15">
      <c r="A613" s="5" t="str">
        <f ca="1">IFERROR(__xludf.DUMMYFUNCTION("""COMPUTED_VALUE"""),"36221")</f>
        <v>36221</v>
      </c>
      <c r="B613" s="51">
        <f ca="1">IFERROR(__xludf.DUMMYFUNCTION("""COMPUTED_VALUE"""),44608)</f>
        <v>44608</v>
      </c>
      <c r="C613" s="22">
        <f ca="1">IFERROR(__xludf.DUMMYFUNCTION("""COMPUTED_VALUE"""),-172344.177964999)</f>
        <v>-172344.17796499899</v>
      </c>
      <c r="D613" s="22">
        <f ca="1">IFERROR(__xludf.DUMMYFUNCTION("""COMPUTED_VALUE"""),666248.5055)</f>
        <v>666248.50549999997</v>
      </c>
      <c r="E613" s="22">
        <f ca="1">IFERROR(__xludf.DUMMYFUNCTION("""COMPUTED_VALUE"""),493904.327535)</f>
        <v>493904.32753499999</v>
      </c>
      <c r="F613" s="22">
        <f ca="1">IFERROR(__xludf.DUMMYFUNCTION("""COMPUTED_VALUE"""),-172344.177964999)</f>
        <v>-172344.17796499899</v>
      </c>
      <c r="G613" s="22">
        <f ca="1">IFERROR(__xludf.DUMMYFUNCTION("""COMPUTED_VALUE"""),172344.177964999)</f>
        <v>172344.17796499899</v>
      </c>
      <c r="H613" s="7">
        <f ca="1">IFERROR(__xludf.DUMMYFUNCTION("""COMPUTED_VALUE"""),493904.327535)</f>
        <v>493904.32753499999</v>
      </c>
    </row>
    <row r="614" spans="1:8" ht="13" x14ac:dyDescent="0.15">
      <c r="A614" s="5" t="str">
        <f ca="1">IFERROR(__xludf.DUMMYFUNCTION("""COMPUTED_VALUE"""),"36221")</f>
        <v>36221</v>
      </c>
      <c r="B614" s="51">
        <f ca="1">IFERROR(__xludf.DUMMYFUNCTION("""COMPUTED_VALUE"""),44609)</f>
        <v>44609</v>
      </c>
      <c r="C614" s="22">
        <f ca="1">IFERROR(__xludf.DUMMYFUNCTION("""COMPUTED_VALUE"""),-172344.177964999)</f>
        <v>-172344.17796499899</v>
      </c>
      <c r="D614" s="22">
        <f ca="1">IFERROR(__xludf.DUMMYFUNCTION("""COMPUTED_VALUE"""),644401.876875)</f>
        <v>644401.87687499996</v>
      </c>
      <c r="E614" s="22">
        <f ca="1">IFERROR(__xludf.DUMMYFUNCTION("""COMPUTED_VALUE"""),472057.69891)</f>
        <v>472057.69890999998</v>
      </c>
      <c r="F614" s="22">
        <f ca="1">IFERROR(__xludf.DUMMYFUNCTION("""COMPUTED_VALUE"""),-172344.177964999)</f>
        <v>-172344.17796499899</v>
      </c>
      <c r="G614" s="22">
        <f ca="1">IFERROR(__xludf.DUMMYFUNCTION("""COMPUTED_VALUE"""),172344.177964999)</f>
        <v>172344.17796499899</v>
      </c>
      <c r="H614" s="7">
        <f ca="1">IFERROR(__xludf.DUMMYFUNCTION("""COMPUTED_VALUE"""),472057.69891)</f>
        <v>472057.69890999998</v>
      </c>
    </row>
    <row r="615" spans="1:8" ht="13" x14ac:dyDescent="0.15">
      <c r="A615" s="5" t="str">
        <f ca="1">IFERROR(__xludf.DUMMYFUNCTION("""COMPUTED_VALUE"""),"36221")</f>
        <v>36221</v>
      </c>
      <c r="B615" s="51">
        <f ca="1">IFERROR(__xludf.DUMMYFUNCTION("""COMPUTED_VALUE"""),44610)</f>
        <v>44610</v>
      </c>
      <c r="C615" s="22">
        <f ca="1">IFERROR(__xludf.DUMMYFUNCTION("""COMPUTED_VALUE"""),-172344.177964999)</f>
        <v>-172344.17796499899</v>
      </c>
      <c r="D615" s="22">
        <f ca="1">IFERROR(__xludf.DUMMYFUNCTION("""COMPUTED_VALUE"""),636084.78744)</f>
        <v>636084.78743999999</v>
      </c>
      <c r="E615" s="22">
        <f ca="1">IFERROR(__xludf.DUMMYFUNCTION("""COMPUTED_VALUE"""),463740.609475)</f>
        <v>463740.609475</v>
      </c>
      <c r="F615" s="22">
        <f ca="1">IFERROR(__xludf.DUMMYFUNCTION("""COMPUTED_VALUE"""),-172344.177964999)</f>
        <v>-172344.17796499899</v>
      </c>
      <c r="G615" s="22">
        <f ca="1">IFERROR(__xludf.DUMMYFUNCTION("""COMPUTED_VALUE"""),172344.177964999)</f>
        <v>172344.17796499899</v>
      </c>
      <c r="H615" s="7">
        <f ca="1">IFERROR(__xludf.DUMMYFUNCTION("""COMPUTED_VALUE"""),463740.609475)</f>
        <v>463740.609475</v>
      </c>
    </row>
    <row r="616" spans="1:8" ht="13" x14ac:dyDescent="0.15">
      <c r="A616" s="5" t="str">
        <f ca="1">IFERROR(__xludf.DUMMYFUNCTION("""COMPUTED_VALUE"""),"36221")</f>
        <v>36221</v>
      </c>
      <c r="B616" s="51">
        <f ca="1">IFERROR(__xludf.DUMMYFUNCTION("""COMPUTED_VALUE"""),44611)</f>
        <v>44611</v>
      </c>
      <c r="C616" s="22">
        <f ca="1">IFERROR(__xludf.DUMMYFUNCTION("""COMPUTED_VALUE"""),-172344.177964999)</f>
        <v>-172344.17796499899</v>
      </c>
      <c r="D616" s="22">
        <f ca="1">IFERROR(__xludf.DUMMYFUNCTION("""COMPUTED_VALUE"""),636084.78744)</f>
        <v>636084.78743999999</v>
      </c>
      <c r="E616" s="22">
        <f ca="1">IFERROR(__xludf.DUMMYFUNCTION("""COMPUTED_VALUE"""),463740.609475)</f>
        <v>463740.609475</v>
      </c>
      <c r="F616" s="22">
        <f ca="1">IFERROR(__xludf.DUMMYFUNCTION("""COMPUTED_VALUE"""),-172344.177964999)</f>
        <v>-172344.17796499899</v>
      </c>
      <c r="G616" s="22">
        <f ca="1">IFERROR(__xludf.DUMMYFUNCTION("""COMPUTED_VALUE"""),172344.177964999)</f>
        <v>172344.17796499899</v>
      </c>
      <c r="H616" s="7">
        <f ca="1">IFERROR(__xludf.DUMMYFUNCTION("""COMPUTED_VALUE"""),463740.609475)</f>
        <v>463740.609475</v>
      </c>
    </row>
    <row r="617" spans="1:8" ht="13" x14ac:dyDescent="0.15">
      <c r="A617" s="5" t="str">
        <f ca="1">IFERROR(__xludf.DUMMYFUNCTION("""COMPUTED_VALUE"""),"36221")</f>
        <v>36221</v>
      </c>
      <c r="B617" s="51">
        <f ca="1">IFERROR(__xludf.DUMMYFUNCTION("""COMPUTED_VALUE"""),44612)</f>
        <v>44612</v>
      </c>
      <c r="C617" s="22">
        <f ca="1">IFERROR(__xludf.DUMMYFUNCTION("""COMPUTED_VALUE"""),-172344.177964999)</f>
        <v>-172344.17796499899</v>
      </c>
      <c r="D617" s="22">
        <f ca="1">IFERROR(__xludf.DUMMYFUNCTION("""COMPUTED_VALUE"""),636063.17828)</f>
        <v>636063.17827999999</v>
      </c>
      <c r="E617" s="22">
        <f ca="1">IFERROR(__xludf.DUMMYFUNCTION("""COMPUTED_VALUE"""),463719.000315)</f>
        <v>463719.00031500001</v>
      </c>
      <c r="F617" s="22">
        <f ca="1">IFERROR(__xludf.DUMMYFUNCTION("""COMPUTED_VALUE"""),-172344.177964999)</f>
        <v>-172344.17796499899</v>
      </c>
      <c r="G617" s="22">
        <f ca="1">IFERROR(__xludf.DUMMYFUNCTION("""COMPUTED_VALUE"""),172344.177964999)</f>
        <v>172344.17796499899</v>
      </c>
      <c r="H617" s="7">
        <f ca="1">IFERROR(__xludf.DUMMYFUNCTION("""COMPUTED_VALUE"""),463719.000315)</f>
        <v>463719.00031500001</v>
      </c>
    </row>
    <row r="618" spans="1:8" ht="13" x14ac:dyDescent="0.15">
      <c r="A618" s="5" t="str">
        <f ca="1">IFERROR(__xludf.DUMMYFUNCTION("""COMPUTED_VALUE"""),"36221")</f>
        <v>36221</v>
      </c>
      <c r="B618" s="51">
        <f ca="1">IFERROR(__xludf.DUMMYFUNCTION("""COMPUTED_VALUE"""),44613)</f>
        <v>44613</v>
      </c>
      <c r="C618" s="22">
        <f ca="1">IFERROR(__xludf.DUMMYFUNCTION("""COMPUTED_VALUE"""),-172344.177964999)</f>
        <v>-172344.17796499899</v>
      </c>
      <c r="D618" s="22">
        <f ca="1">IFERROR(__xludf.DUMMYFUNCTION("""COMPUTED_VALUE"""),636125.15172)</f>
        <v>636125.15171999997</v>
      </c>
      <c r="E618" s="22">
        <f ca="1">IFERROR(__xludf.DUMMYFUNCTION("""COMPUTED_VALUE"""),463780.973755)</f>
        <v>463780.97375499998</v>
      </c>
      <c r="F618" s="22">
        <f ca="1">IFERROR(__xludf.DUMMYFUNCTION("""COMPUTED_VALUE"""),-172344.177964999)</f>
        <v>-172344.17796499899</v>
      </c>
      <c r="G618" s="22">
        <f ca="1">IFERROR(__xludf.DUMMYFUNCTION("""COMPUTED_VALUE"""),172344.177964999)</f>
        <v>172344.17796499899</v>
      </c>
      <c r="H618" s="7">
        <f ca="1">IFERROR(__xludf.DUMMYFUNCTION("""COMPUTED_VALUE"""),463780.973755)</f>
        <v>463780.97375499998</v>
      </c>
    </row>
    <row r="619" spans="1:8" ht="13" x14ac:dyDescent="0.15">
      <c r="A619" s="5" t="str">
        <f ca="1">IFERROR(__xludf.DUMMYFUNCTION("""COMPUTED_VALUE"""),"36221")</f>
        <v>36221</v>
      </c>
      <c r="B619" s="51">
        <f ca="1">IFERROR(__xludf.DUMMYFUNCTION("""COMPUTED_VALUE"""),44614)</f>
        <v>44614</v>
      </c>
      <c r="C619" s="22">
        <f ca="1">IFERROR(__xludf.DUMMYFUNCTION("""COMPUTED_VALUE"""),-172344.177964999)</f>
        <v>-172344.17796499899</v>
      </c>
      <c r="D619" s="22">
        <f ca="1">IFERROR(__xludf.DUMMYFUNCTION("""COMPUTED_VALUE"""),629663.639)</f>
        <v>629663.63899999997</v>
      </c>
      <c r="E619" s="22">
        <f ca="1">IFERROR(__xludf.DUMMYFUNCTION("""COMPUTED_VALUE"""),457319.461035)</f>
        <v>457319.46103499999</v>
      </c>
      <c r="F619" s="22">
        <f ca="1">IFERROR(__xludf.DUMMYFUNCTION("""COMPUTED_VALUE"""),-172344.177964999)</f>
        <v>-172344.17796499899</v>
      </c>
      <c r="G619" s="22">
        <f ca="1">IFERROR(__xludf.DUMMYFUNCTION("""COMPUTED_VALUE"""),172344.177964999)</f>
        <v>172344.17796499899</v>
      </c>
      <c r="H619" s="7">
        <f ca="1">IFERROR(__xludf.DUMMYFUNCTION("""COMPUTED_VALUE"""),457319.461035)</f>
        <v>457319.46103499999</v>
      </c>
    </row>
    <row r="620" spans="1:8" ht="13" x14ac:dyDescent="0.15">
      <c r="A620" s="5" t="str">
        <f ca="1">IFERROR(__xludf.DUMMYFUNCTION("""COMPUTED_VALUE"""),"36221")</f>
        <v>36221</v>
      </c>
      <c r="B620" s="51">
        <f ca="1">IFERROR(__xludf.DUMMYFUNCTION("""COMPUTED_VALUE"""),44615)</f>
        <v>44615</v>
      </c>
      <c r="C620" s="22">
        <f ca="1">IFERROR(__xludf.DUMMYFUNCTION("""COMPUTED_VALUE"""),-172344.177964999)</f>
        <v>-172344.17796499899</v>
      </c>
      <c r="D620" s="22">
        <f ca="1">IFERROR(__xludf.DUMMYFUNCTION("""COMPUTED_VALUE"""),617044.23885)</f>
        <v>617044.23884999997</v>
      </c>
      <c r="E620" s="22">
        <f ca="1">IFERROR(__xludf.DUMMYFUNCTION("""COMPUTED_VALUE"""),444700.060885)</f>
        <v>444700.06088499998</v>
      </c>
      <c r="F620" s="22">
        <f ca="1">IFERROR(__xludf.DUMMYFUNCTION("""COMPUTED_VALUE"""),-172344.177964999)</f>
        <v>-172344.17796499899</v>
      </c>
      <c r="G620" s="22">
        <f ca="1">IFERROR(__xludf.DUMMYFUNCTION("""COMPUTED_VALUE"""),172344.177964999)</f>
        <v>172344.17796499899</v>
      </c>
      <c r="H620" s="7">
        <f ca="1">IFERROR(__xludf.DUMMYFUNCTION("""COMPUTED_VALUE"""),444700.060885)</f>
        <v>444700.06088499998</v>
      </c>
    </row>
    <row r="621" spans="1:8" ht="13" x14ac:dyDescent="0.15">
      <c r="A621" s="5" t="str">
        <f ca="1">IFERROR(__xludf.DUMMYFUNCTION("""COMPUTED_VALUE"""),"36221")</f>
        <v>36221</v>
      </c>
      <c r="B621" s="51">
        <f ca="1">IFERROR(__xludf.DUMMYFUNCTION("""COMPUTED_VALUE"""),44616)</f>
        <v>44616</v>
      </c>
      <c r="C621" s="22">
        <f ca="1">IFERROR(__xludf.DUMMYFUNCTION("""COMPUTED_VALUE"""),-172344.177964999)</f>
        <v>-172344.17796499899</v>
      </c>
      <c r="D621" s="22">
        <f ca="1">IFERROR(__xludf.DUMMYFUNCTION("""COMPUTED_VALUE"""),630444.5815)</f>
        <v>630444.58149999997</v>
      </c>
      <c r="E621" s="22">
        <f ca="1">IFERROR(__xludf.DUMMYFUNCTION("""COMPUTED_VALUE"""),458100.403535)</f>
        <v>458100.40353499999</v>
      </c>
      <c r="F621" s="22">
        <f ca="1">IFERROR(__xludf.DUMMYFUNCTION("""COMPUTED_VALUE"""),-172344.177964999)</f>
        <v>-172344.17796499899</v>
      </c>
      <c r="G621" s="22">
        <f ca="1">IFERROR(__xludf.DUMMYFUNCTION("""COMPUTED_VALUE"""),172344.177964999)</f>
        <v>172344.17796499899</v>
      </c>
      <c r="H621" s="7">
        <f ca="1">IFERROR(__xludf.DUMMYFUNCTION("""COMPUTED_VALUE"""),458100.403535)</f>
        <v>458100.40353499999</v>
      </c>
    </row>
    <row r="622" spans="1:8" ht="13" x14ac:dyDescent="0.15">
      <c r="A622" s="5" t="str">
        <f ca="1">IFERROR(__xludf.DUMMYFUNCTION("""COMPUTED_VALUE"""),"36221")</f>
        <v>36221</v>
      </c>
      <c r="B622" s="51">
        <f ca="1">IFERROR(__xludf.DUMMYFUNCTION("""COMPUTED_VALUE"""),44617)</f>
        <v>44617</v>
      </c>
      <c r="C622" s="22">
        <f ca="1">IFERROR(__xludf.DUMMYFUNCTION("""COMPUTED_VALUE"""),-172344.177964999)</f>
        <v>-172344.17796499899</v>
      </c>
      <c r="D622" s="22">
        <f ca="1">IFERROR(__xludf.DUMMYFUNCTION("""COMPUTED_VALUE"""),640920.869995)</f>
        <v>640920.86999499996</v>
      </c>
      <c r="E622" s="22">
        <f ca="1">IFERROR(__xludf.DUMMYFUNCTION("""COMPUTED_VALUE"""),468576.69203)</f>
        <v>468576.69202999998</v>
      </c>
      <c r="F622" s="22">
        <f ca="1">IFERROR(__xludf.DUMMYFUNCTION("""COMPUTED_VALUE"""),-172344.177964999)</f>
        <v>-172344.17796499899</v>
      </c>
      <c r="G622" s="22">
        <f ca="1">IFERROR(__xludf.DUMMYFUNCTION("""COMPUTED_VALUE"""),172344.177964999)</f>
        <v>172344.17796499899</v>
      </c>
      <c r="H622" s="7">
        <f ca="1">IFERROR(__xludf.DUMMYFUNCTION("""COMPUTED_VALUE"""),468576.69203)</f>
        <v>468576.69202999998</v>
      </c>
    </row>
    <row r="623" spans="1:8" ht="13" x14ac:dyDescent="0.15">
      <c r="A623" s="5" t="str">
        <f ca="1">IFERROR(__xludf.DUMMYFUNCTION("""COMPUTED_VALUE"""),"36221")</f>
        <v>36221</v>
      </c>
      <c r="B623" s="51">
        <f ca="1">IFERROR(__xludf.DUMMYFUNCTION("""COMPUTED_VALUE"""),44618)</f>
        <v>44618</v>
      </c>
      <c r="C623" s="22">
        <f ca="1">IFERROR(__xludf.DUMMYFUNCTION("""COMPUTED_VALUE"""),-172344.177964999)</f>
        <v>-172344.17796499899</v>
      </c>
      <c r="D623" s="22">
        <f ca="1">IFERROR(__xludf.DUMMYFUNCTION("""COMPUTED_VALUE"""),640933.182145)</f>
        <v>640933.18214499997</v>
      </c>
      <c r="E623" s="22">
        <f ca="1">IFERROR(__xludf.DUMMYFUNCTION("""COMPUTED_VALUE"""),468589.00418)</f>
        <v>468589.00417999999</v>
      </c>
      <c r="F623" s="22">
        <f ca="1">IFERROR(__xludf.DUMMYFUNCTION("""COMPUTED_VALUE"""),-172344.177964999)</f>
        <v>-172344.17796499899</v>
      </c>
      <c r="G623" s="22">
        <f ca="1">IFERROR(__xludf.DUMMYFUNCTION("""COMPUTED_VALUE"""),172344.177964999)</f>
        <v>172344.17796499899</v>
      </c>
      <c r="H623" s="7">
        <f ca="1">IFERROR(__xludf.DUMMYFUNCTION("""COMPUTED_VALUE"""),468589.00418)</f>
        <v>468589.00417999999</v>
      </c>
    </row>
    <row r="624" spans="1:8" ht="13" x14ac:dyDescent="0.15">
      <c r="A624" s="5" t="str">
        <f ca="1">IFERROR(__xludf.DUMMYFUNCTION("""COMPUTED_VALUE"""),"36221")</f>
        <v>36221</v>
      </c>
      <c r="B624" s="51">
        <f ca="1">IFERROR(__xludf.DUMMYFUNCTION("""COMPUTED_VALUE"""),44619)</f>
        <v>44619</v>
      </c>
      <c r="C624" s="22">
        <f ca="1">IFERROR(__xludf.DUMMYFUNCTION("""COMPUTED_VALUE"""),-172344.177964999)</f>
        <v>-172344.17796499899</v>
      </c>
      <c r="D624" s="22">
        <f ca="1">IFERROR(__xludf.DUMMYFUNCTION("""COMPUTED_VALUE"""),640904.8642)</f>
        <v>640904.86419999995</v>
      </c>
      <c r="E624" s="22">
        <f ca="1">IFERROR(__xludf.DUMMYFUNCTION("""COMPUTED_VALUE"""),468560.686235)</f>
        <v>468560.68623499997</v>
      </c>
      <c r="F624" s="22">
        <f ca="1">IFERROR(__xludf.DUMMYFUNCTION("""COMPUTED_VALUE"""),-172344.177964999)</f>
        <v>-172344.17796499899</v>
      </c>
      <c r="G624" s="22">
        <f ca="1">IFERROR(__xludf.DUMMYFUNCTION("""COMPUTED_VALUE"""),172344.177964999)</f>
        <v>172344.17796499899</v>
      </c>
      <c r="H624" s="7">
        <f ca="1">IFERROR(__xludf.DUMMYFUNCTION("""COMPUTED_VALUE"""),468560.686235)</f>
        <v>468560.68623499997</v>
      </c>
    </row>
    <row r="625" spans="1:8" ht="13" x14ac:dyDescent="0.15">
      <c r="A625" s="5" t="str">
        <f ca="1">IFERROR(__xludf.DUMMYFUNCTION("""COMPUTED_VALUE"""),"36221")</f>
        <v>36221</v>
      </c>
      <c r="B625" s="51">
        <f ca="1">IFERROR(__xludf.DUMMYFUNCTION("""COMPUTED_VALUE"""),44620)</f>
        <v>44620</v>
      </c>
      <c r="C625" s="22">
        <f ca="1">IFERROR(__xludf.DUMMYFUNCTION("""COMPUTED_VALUE"""),-172344.177964999)</f>
        <v>-172344.17796499899</v>
      </c>
      <c r="D625" s="22">
        <f ca="1">IFERROR(__xludf.DUMMYFUNCTION("""COMPUTED_VALUE"""),638335.42465)</f>
        <v>638335.42464999994</v>
      </c>
      <c r="E625" s="22">
        <f ca="1">IFERROR(__xludf.DUMMYFUNCTION("""COMPUTED_VALUE"""),465991.246685)</f>
        <v>465991.24668500002</v>
      </c>
      <c r="F625" s="22">
        <f ca="1">IFERROR(__xludf.DUMMYFUNCTION("""COMPUTED_VALUE"""),-172344.177964999)</f>
        <v>-172344.17796499899</v>
      </c>
      <c r="G625" s="22">
        <f ca="1">IFERROR(__xludf.DUMMYFUNCTION("""COMPUTED_VALUE"""),172344.177964999)</f>
        <v>172344.17796499899</v>
      </c>
      <c r="H625" s="7">
        <f ca="1">IFERROR(__xludf.DUMMYFUNCTION("""COMPUTED_VALUE"""),465991.246685)</f>
        <v>465991.24668500002</v>
      </c>
    </row>
    <row r="626" spans="1:8" ht="13" x14ac:dyDescent="0.15">
      <c r="A626" s="5" t="str">
        <f ca="1">IFERROR(__xludf.DUMMYFUNCTION("""COMPUTED_VALUE"""),"36221")</f>
        <v>36221</v>
      </c>
      <c r="B626" s="51">
        <f ca="1">IFERROR(__xludf.DUMMYFUNCTION("""COMPUTED_VALUE"""),44621)</f>
        <v>44621</v>
      </c>
      <c r="C626" s="22">
        <f ca="1">IFERROR(__xludf.DUMMYFUNCTION("""COMPUTED_VALUE"""),-172344.177964999)</f>
        <v>-172344.17796499899</v>
      </c>
      <c r="D626" s="22">
        <f ca="1">IFERROR(__xludf.DUMMYFUNCTION("""COMPUTED_VALUE"""),625240.952585)</f>
        <v>625240.95258499996</v>
      </c>
      <c r="E626" s="22">
        <f ca="1">IFERROR(__xludf.DUMMYFUNCTION("""COMPUTED_VALUE"""),452896.77462)</f>
        <v>452896.77461999998</v>
      </c>
      <c r="F626" s="22">
        <f ca="1">IFERROR(__xludf.DUMMYFUNCTION("""COMPUTED_VALUE"""),-172344.177964999)</f>
        <v>-172344.17796499899</v>
      </c>
      <c r="G626" s="22">
        <f ca="1">IFERROR(__xludf.DUMMYFUNCTION("""COMPUTED_VALUE"""),172344.177964999)</f>
        <v>172344.17796499899</v>
      </c>
      <c r="H626" s="7">
        <f ca="1">IFERROR(__xludf.DUMMYFUNCTION("""COMPUTED_VALUE"""),452896.77462)</f>
        <v>452896.77461999998</v>
      </c>
    </row>
    <row r="627" spans="1:8" ht="13" x14ac:dyDescent="0.15">
      <c r="A627" s="5" t="str">
        <f ca="1">IFERROR(__xludf.DUMMYFUNCTION("""COMPUTED_VALUE"""),"36221")</f>
        <v>36221</v>
      </c>
      <c r="B627" s="51">
        <f ca="1">IFERROR(__xludf.DUMMYFUNCTION("""COMPUTED_VALUE"""),44622)</f>
        <v>44622</v>
      </c>
      <c r="C627" s="22">
        <f ca="1">IFERROR(__xludf.DUMMYFUNCTION("""COMPUTED_VALUE"""),-172344.177964999)</f>
        <v>-172344.17796499899</v>
      </c>
      <c r="D627" s="22">
        <f ca="1">IFERROR(__xludf.DUMMYFUNCTION("""COMPUTED_VALUE"""),634586.507399999)</f>
        <v>634586.50739999895</v>
      </c>
      <c r="E627" s="22">
        <f ca="1">IFERROR(__xludf.DUMMYFUNCTION("""COMPUTED_VALUE"""),462242.329434999)</f>
        <v>462242.32943499897</v>
      </c>
      <c r="F627" s="22">
        <f ca="1">IFERROR(__xludf.DUMMYFUNCTION("""COMPUTED_VALUE"""),-172344.177964999)</f>
        <v>-172344.17796499899</v>
      </c>
      <c r="G627" s="22">
        <f ca="1">IFERROR(__xludf.DUMMYFUNCTION("""COMPUTED_VALUE"""),172344.177964999)</f>
        <v>172344.17796499899</v>
      </c>
      <c r="H627" s="7">
        <f ca="1">IFERROR(__xludf.DUMMYFUNCTION("""COMPUTED_VALUE"""),462242.329434999)</f>
        <v>462242.32943499897</v>
      </c>
    </row>
    <row r="628" spans="1:8" ht="13" x14ac:dyDescent="0.15">
      <c r="A628" s="5" t="str">
        <f ca="1">IFERROR(__xludf.DUMMYFUNCTION("""COMPUTED_VALUE"""),"36221")</f>
        <v>36221</v>
      </c>
      <c r="B628" s="51">
        <f ca="1">IFERROR(__xludf.DUMMYFUNCTION("""COMPUTED_VALUE"""),44623)</f>
        <v>44623</v>
      </c>
      <c r="C628" s="22">
        <f ca="1">IFERROR(__xludf.DUMMYFUNCTION("""COMPUTED_VALUE"""),-172344.177964999)</f>
        <v>-172344.17796499899</v>
      </c>
      <c r="D628" s="22">
        <f ca="1">IFERROR(__xludf.DUMMYFUNCTION("""COMPUTED_VALUE"""),626096.4801)</f>
        <v>626096.48010000004</v>
      </c>
      <c r="E628" s="22">
        <f ca="1">IFERROR(__xludf.DUMMYFUNCTION("""COMPUTED_VALUE"""),453752.302135)</f>
        <v>453752.30213500001</v>
      </c>
      <c r="F628" s="22">
        <f ca="1">IFERROR(__xludf.DUMMYFUNCTION("""COMPUTED_VALUE"""),-172344.177964999)</f>
        <v>-172344.17796499899</v>
      </c>
      <c r="G628" s="22">
        <f ca="1">IFERROR(__xludf.DUMMYFUNCTION("""COMPUTED_VALUE"""),172344.177964999)</f>
        <v>172344.17796499899</v>
      </c>
      <c r="H628" s="7">
        <f ca="1">IFERROR(__xludf.DUMMYFUNCTION("""COMPUTED_VALUE"""),453752.302135)</f>
        <v>453752.30213500001</v>
      </c>
    </row>
    <row r="629" spans="1:8" ht="13" x14ac:dyDescent="0.15">
      <c r="A629" s="5" t="str">
        <f ca="1">IFERROR(__xludf.DUMMYFUNCTION("""COMPUTED_VALUE"""),"36221")</f>
        <v>36221</v>
      </c>
      <c r="B629" s="51">
        <f ca="1">IFERROR(__xludf.DUMMYFUNCTION("""COMPUTED_VALUE"""),44624)</f>
        <v>44624</v>
      </c>
      <c r="C629" s="22">
        <f ca="1">IFERROR(__xludf.DUMMYFUNCTION("""COMPUTED_VALUE"""),-172344.177964999)</f>
        <v>-172344.17796499899</v>
      </c>
      <c r="D629" s="22">
        <f ca="1">IFERROR(__xludf.DUMMYFUNCTION("""COMPUTED_VALUE"""),614280.5508)</f>
        <v>614280.55079999997</v>
      </c>
      <c r="E629" s="22">
        <f ca="1">IFERROR(__xludf.DUMMYFUNCTION("""COMPUTED_VALUE"""),441936.372835)</f>
        <v>441936.37283499999</v>
      </c>
      <c r="F629" s="22">
        <f ca="1">IFERROR(__xludf.DUMMYFUNCTION("""COMPUTED_VALUE"""),-172344.177964999)</f>
        <v>-172344.17796499899</v>
      </c>
      <c r="G629" s="22">
        <f ca="1">IFERROR(__xludf.DUMMYFUNCTION("""COMPUTED_VALUE"""),172344.177964999)</f>
        <v>172344.17796499899</v>
      </c>
      <c r="H629" s="7">
        <f ca="1">IFERROR(__xludf.DUMMYFUNCTION("""COMPUTED_VALUE"""),441936.372835)</f>
        <v>441936.37283499999</v>
      </c>
    </row>
    <row r="630" spans="1:8" ht="13" x14ac:dyDescent="0.15">
      <c r="A630" s="5" t="str">
        <f ca="1">IFERROR(__xludf.DUMMYFUNCTION("""COMPUTED_VALUE"""),"36221")</f>
        <v>36221</v>
      </c>
      <c r="B630" s="51">
        <f ca="1">IFERROR(__xludf.DUMMYFUNCTION("""COMPUTED_VALUE"""),44625)</f>
        <v>44625</v>
      </c>
      <c r="C630" s="22">
        <f ca="1">IFERROR(__xludf.DUMMYFUNCTION("""COMPUTED_VALUE"""),-172344.177964999)</f>
        <v>-172344.17796499899</v>
      </c>
      <c r="D630" s="22">
        <f ca="1">IFERROR(__xludf.DUMMYFUNCTION("""COMPUTED_VALUE"""),614280.5508)</f>
        <v>614280.55079999997</v>
      </c>
      <c r="E630" s="22">
        <f ca="1">IFERROR(__xludf.DUMMYFUNCTION("""COMPUTED_VALUE"""),441936.372835)</f>
        <v>441936.37283499999</v>
      </c>
      <c r="F630" s="22">
        <f ca="1">IFERROR(__xludf.DUMMYFUNCTION("""COMPUTED_VALUE"""),-172344.177964999)</f>
        <v>-172344.17796499899</v>
      </c>
      <c r="G630" s="22">
        <f ca="1">IFERROR(__xludf.DUMMYFUNCTION("""COMPUTED_VALUE"""),172344.177964999)</f>
        <v>172344.17796499899</v>
      </c>
      <c r="H630" s="7">
        <f ca="1">IFERROR(__xludf.DUMMYFUNCTION("""COMPUTED_VALUE"""),441936.372835)</f>
        <v>441936.37283499999</v>
      </c>
    </row>
    <row r="631" spans="1:8" ht="13" x14ac:dyDescent="0.15">
      <c r="A631" s="5" t="str">
        <f ca="1">IFERROR(__xludf.DUMMYFUNCTION("""COMPUTED_VALUE"""),"36221")</f>
        <v>36221</v>
      </c>
      <c r="B631" s="51">
        <f ca="1">IFERROR(__xludf.DUMMYFUNCTION("""COMPUTED_VALUE"""),44626)</f>
        <v>44626</v>
      </c>
      <c r="C631" s="22">
        <f ca="1">IFERROR(__xludf.DUMMYFUNCTION("""COMPUTED_VALUE"""),-172344.177964999)</f>
        <v>-172344.17796499899</v>
      </c>
      <c r="D631" s="22">
        <f ca="1">IFERROR(__xludf.DUMMYFUNCTION("""COMPUTED_VALUE"""),614365.05655)</f>
        <v>614365.05654999998</v>
      </c>
      <c r="E631" s="22">
        <f ca="1">IFERROR(__xludf.DUMMYFUNCTION("""COMPUTED_VALUE"""),442020.878585)</f>
        <v>442020.878585</v>
      </c>
      <c r="F631" s="22">
        <f ca="1">IFERROR(__xludf.DUMMYFUNCTION("""COMPUTED_VALUE"""),-172344.177964999)</f>
        <v>-172344.17796499899</v>
      </c>
      <c r="G631" s="22">
        <f ca="1">IFERROR(__xludf.DUMMYFUNCTION("""COMPUTED_VALUE"""),172344.177964999)</f>
        <v>172344.17796499899</v>
      </c>
      <c r="H631" s="7">
        <f ca="1">IFERROR(__xludf.DUMMYFUNCTION("""COMPUTED_VALUE"""),442020.878585)</f>
        <v>442020.878585</v>
      </c>
    </row>
    <row r="632" spans="1:8" ht="13" x14ac:dyDescent="0.15">
      <c r="A632" s="5" t="str">
        <f ca="1">IFERROR(__xludf.DUMMYFUNCTION("""COMPUTED_VALUE"""),"36221")</f>
        <v>36221</v>
      </c>
      <c r="B632" s="51">
        <f ca="1">IFERROR(__xludf.DUMMYFUNCTION("""COMPUTED_VALUE"""),44627)</f>
        <v>44627</v>
      </c>
      <c r="C632" s="22">
        <f ca="1">IFERROR(__xludf.DUMMYFUNCTION("""COMPUTED_VALUE"""),-172344.177964999)</f>
        <v>-172344.17796499899</v>
      </c>
      <c r="D632" s="22">
        <f ca="1">IFERROR(__xludf.DUMMYFUNCTION("""COMPUTED_VALUE"""),592567.9045)</f>
        <v>592567.90449999995</v>
      </c>
      <c r="E632" s="22">
        <f ca="1">IFERROR(__xludf.DUMMYFUNCTION("""COMPUTED_VALUE"""),420223.726535)</f>
        <v>420223.72653500002</v>
      </c>
      <c r="F632" s="22">
        <f ca="1">IFERROR(__xludf.DUMMYFUNCTION("""COMPUTED_VALUE"""),-172344.177964999)</f>
        <v>-172344.17796499899</v>
      </c>
      <c r="G632" s="22">
        <f ca="1">IFERROR(__xludf.DUMMYFUNCTION("""COMPUTED_VALUE"""),172344.177964999)</f>
        <v>172344.17796499899</v>
      </c>
      <c r="H632" s="7">
        <f ca="1">IFERROR(__xludf.DUMMYFUNCTION("""COMPUTED_VALUE"""),420223.726535)</f>
        <v>420223.72653500002</v>
      </c>
    </row>
    <row r="633" spans="1:8" ht="13" x14ac:dyDescent="0.15">
      <c r="A633" s="5" t="str">
        <f ca="1">IFERROR(__xludf.DUMMYFUNCTION("""COMPUTED_VALUE"""),"36221")</f>
        <v>36221</v>
      </c>
      <c r="B633" s="51">
        <f ca="1">IFERROR(__xludf.DUMMYFUNCTION("""COMPUTED_VALUE"""),44628)</f>
        <v>44628</v>
      </c>
      <c r="C633" s="22">
        <f ca="1">IFERROR(__xludf.DUMMYFUNCTION("""COMPUTED_VALUE"""),-172344.177964999)</f>
        <v>-172344.17796499899</v>
      </c>
      <c r="D633" s="22">
        <f ca="1">IFERROR(__xludf.DUMMYFUNCTION("""COMPUTED_VALUE"""),599621.5548)</f>
        <v>599621.55480000004</v>
      </c>
      <c r="E633" s="22">
        <f ca="1">IFERROR(__xludf.DUMMYFUNCTION("""COMPUTED_VALUE"""),427277.376835)</f>
        <v>427277.376835</v>
      </c>
      <c r="F633" s="22">
        <f ca="1">IFERROR(__xludf.DUMMYFUNCTION("""COMPUTED_VALUE"""),-172344.177964999)</f>
        <v>-172344.17796499899</v>
      </c>
      <c r="G633" s="22">
        <f ca="1">IFERROR(__xludf.DUMMYFUNCTION("""COMPUTED_VALUE"""),172344.177964999)</f>
        <v>172344.17796499899</v>
      </c>
      <c r="H633" s="7">
        <f ca="1">IFERROR(__xludf.DUMMYFUNCTION("""COMPUTED_VALUE"""),427277.376835)</f>
        <v>427277.376835</v>
      </c>
    </row>
    <row r="634" spans="1:8" ht="13" x14ac:dyDescent="0.15">
      <c r="A634" s="5" t="str">
        <f ca="1">IFERROR(__xludf.DUMMYFUNCTION("""COMPUTED_VALUE"""),"36221")</f>
        <v>36221</v>
      </c>
      <c r="B634" s="51">
        <f ca="1">IFERROR(__xludf.DUMMYFUNCTION("""COMPUTED_VALUE"""),44629)</f>
        <v>44629</v>
      </c>
      <c r="C634" s="22">
        <f ca="1">IFERROR(__xludf.DUMMYFUNCTION("""COMPUTED_VALUE"""),-172344.177964999)</f>
        <v>-172344.17796499899</v>
      </c>
      <c r="D634" s="22">
        <f ca="1">IFERROR(__xludf.DUMMYFUNCTION("""COMPUTED_VALUE"""),613850.2524)</f>
        <v>613850.2524</v>
      </c>
      <c r="E634" s="22">
        <f ca="1">IFERROR(__xludf.DUMMYFUNCTION("""COMPUTED_VALUE"""),441506.074435)</f>
        <v>441506.07443500002</v>
      </c>
      <c r="F634" s="22">
        <f ca="1">IFERROR(__xludf.DUMMYFUNCTION("""COMPUTED_VALUE"""),-172344.177964999)</f>
        <v>-172344.17796499899</v>
      </c>
      <c r="G634" s="22">
        <f ca="1">IFERROR(__xludf.DUMMYFUNCTION("""COMPUTED_VALUE"""),172344.177964999)</f>
        <v>172344.17796499899</v>
      </c>
      <c r="H634" s="7">
        <f ca="1">IFERROR(__xludf.DUMMYFUNCTION("""COMPUTED_VALUE"""),441506.074435)</f>
        <v>441506.07443500002</v>
      </c>
    </row>
    <row r="635" spans="1:8" ht="13" x14ac:dyDescent="0.15">
      <c r="A635" s="5" t="str">
        <f ca="1">IFERROR(__xludf.DUMMYFUNCTION("""COMPUTED_VALUE"""),"36221")</f>
        <v>36221</v>
      </c>
      <c r="B635" s="51">
        <f ca="1">IFERROR(__xludf.DUMMYFUNCTION("""COMPUTED_VALUE"""),44630)</f>
        <v>44630</v>
      </c>
      <c r="C635" s="22">
        <f ca="1">IFERROR(__xludf.DUMMYFUNCTION("""COMPUTED_VALUE"""),-172344.177964999)</f>
        <v>-172344.17796499899</v>
      </c>
      <c r="D635" s="22">
        <f ca="1">IFERROR(__xludf.DUMMYFUNCTION("""COMPUTED_VALUE"""),614218.8906)</f>
        <v>614218.89060000004</v>
      </c>
      <c r="E635" s="22">
        <f ca="1">IFERROR(__xludf.DUMMYFUNCTION("""COMPUTED_VALUE"""),441874.712635)</f>
        <v>441874.712635</v>
      </c>
      <c r="F635" s="22">
        <f ca="1">IFERROR(__xludf.DUMMYFUNCTION("""COMPUTED_VALUE"""),-172344.177964999)</f>
        <v>-172344.17796499899</v>
      </c>
      <c r="G635" s="22">
        <f ca="1">IFERROR(__xludf.DUMMYFUNCTION("""COMPUTED_VALUE"""),172344.177964999)</f>
        <v>172344.17796499899</v>
      </c>
      <c r="H635" s="7">
        <f ca="1">IFERROR(__xludf.DUMMYFUNCTION("""COMPUTED_VALUE"""),441874.712635)</f>
        <v>441874.712635</v>
      </c>
    </row>
    <row r="636" spans="1:8" ht="13" x14ac:dyDescent="0.15">
      <c r="A636" s="5" t="str">
        <f ca="1">IFERROR(__xludf.DUMMYFUNCTION("""COMPUTED_VALUE"""),"36221")</f>
        <v>36221</v>
      </c>
      <c r="B636" s="51">
        <f ca="1">IFERROR(__xludf.DUMMYFUNCTION("""COMPUTED_VALUE"""),44631)</f>
        <v>44631</v>
      </c>
      <c r="C636" s="22">
        <f ca="1">IFERROR(__xludf.DUMMYFUNCTION("""COMPUTED_VALUE"""),-172344.177964999)</f>
        <v>-172344.17796499899</v>
      </c>
      <c r="D636" s="22">
        <f ca="1">IFERROR(__xludf.DUMMYFUNCTION("""COMPUTED_VALUE"""),603544.837)</f>
        <v>603544.83700000006</v>
      </c>
      <c r="E636" s="22">
        <f ca="1">IFERROR(__xludf.DUMMYFUNCTION("""COMPUTED_VALUE"""),431200.659035)</f>
        <v>431200.65903500002</v>
      </c>
      <c r="F636" s="22">
        <f ca="1">IFERROR(__xludf.DUMMYFUNCTION("""COMPUTED_VALUE"""),-172344.177964999)</f>
        <v>-172344.17796499899</v>
      </c>
      <c r="G636" s="22">
        <f ca="1">IFERROR(__xludf.DUMMYFUNCTION("""COMPUTED_VALUE"""),172344.177964999)</f>
        <v>172344.17796499899</v>
      </c>
      <c r="H636" s="7">
        <f ca="1">IFERROR(__xludf.DUMMYFUNCTION("""COMPUTED_VALUE"""),431200.659035)</f>
        <v>431200.65903500002</v>
      </c>
    </row>
    <row r="637" spans="1:8" ht="13" x14ac:dyDescent="0.15">
      <c r="A637" s="5" t="str">
        <f ca="1">IFERROR(__xludf.DUMMYFUNCTION("""COMPUTED_VALUE"""),"36221")</f>
        <v>36221</v>
      </c>
      <c r="B637" s="51">
        <f ca="1">IFERROR(__xludf.DUMMYFUNCTION("""COMPUTED_VALUE"""),44632)</f>
        <v>44632</v>
      </c>
      <c r="C637" s="22">
        <f ca="1">IFERROR(__xludf.DUMMYFUNCTION("""COMPUTED_VALUE"""),-172344.177964999)</f>
        <v>-172344.17796499899</v>
      </c>
      <c r="D637" s="22">
        <f ca="1">IFERROR(__xludf.DUMMYFUNCTION("""COMPUTED_VALUE"""),603544.837)</f>
        <v>603544.83700000006</v>
      </c>
      <c r="E637" s="22">
        <f ca="1">IFERROR(__xludf.DUMMYFUNCTION("""COMPUTED_VALUE"""),431200.659035)</f>
        <v>431200.65903500002</v>
      </c>
      <c r="F637" s="22">
        <f ca="1">IFERROR(__xludf.DUMMYFUNCTION("""COMPUTED_VALUE"""),-172344.177964999)</f>
        <v>-172344.17796499899</v>
      </c>
      <c r="G637" s="22">
        <f ca="1">IFERROR(__xludf.DUMMYFUNCTION("""COMPUTED_VALUE"""),172344.177964999)</f>
        <v>172344.17796499899</v>
      </c>
      <c r="H637" s="7">
        <f ca="1">IFERROR(__xludf.DUMMYFUNCTION("""COMPUTED_VALUE"""),431200.659035)</f>
        <v>431200.65903500002</v>
      </c>
    </row>
    <row r="638" spans="1:8" ht="13" x14ac:dyDescent="0.15">
      <c r="A638" s="5" t="str">
        <f ca="1">IFERROR(__xludf.DUMMYFUNCTION("""COMPUTED_VALUE"""),"36221")</f>
        <v>36221</v>
      </c>
      <c r="B638" s="51">
        <f ca="1">IFERROR(__xludf.DUMMYFUNCTION("""COMPUTED_VALUE"""),44633)</f>
        <v>44633</v>
      </c>
      <c r="C638" s="22">
        <f ca="1">IFERROR(__xludf.DUMMYFUNCTION("""COMPUTED_VALUE"""),-172344.177964999)</f>
        <v>-172344.17796499899</v>
      </c>
      <c r="D638" s="22">
        <f ca="1">IFERROR(__xludf.DUMMYFUNCTION("""COMPUTED_VALUE"""),603493.18938)</f>
        <v>603493.18938</v>
      </c>
      <c r="E638" s="22">
        <f ca="1">IFERROR(__xludf.DUMMYFUNCTION("""COMPUTED_VALUE"""),431149.011415)</f>
        <v>431149.01141500002</v>
      </c>
      <c r="F638" s="22">
        <f ca="1">IFERROR(__xludf.DUMMYFUNCTION("""COMPUTED_VALUE"""),-172344.177964999)</f>
        <v>-172344.17796499899</v>
      </c>
      <c r="G638" s="22">
        <f ca="1">IFERROR(__xludf.DUMMYFUNCTION("""COMPUTED_VALUE"""),172344.177964999)</f>
        <v>172344.17796499899</v>
      </c>
      <c r="H638" s="7">
        <f ca="1">IFERROR(__xludf.DUMMYFUNCTION("""COMPUTED_VALUE"""),431149.011415)</f>
        <v>431149.01141500002</v>
      </c>
    </row>
    <row r="639" spans="1:8" ht="13" x14ac:dyDescent="0.15">
      <c r="A639" s="5" t="str">
        <f ca="1">IFERROR(__xludf.DUMMYFUNCTION("""COMPUTED_VALUE"""),"36221")</f>
        <v>36221</v>
      </c>
      <c r="B639" s="51">
        <f ca="1">IFERROR(__xludf.DUMMYFUNCTION("""COMPUTED_VALUE"""),44634)</f>
        <v>44634</v>
      </c>
      <c r="C639" s="22">
        <f ca="1">IFERROR(__xludf.DUMMYFUNCTION("""COMPUTED_VALUE"""),-172344.177964999)</f>
        <v>-172344.17796499899</v>
      </c>
      <c r="D639" s="22">
        <f ca="1">IFERROR(__xludf.DUMMYFUNCTION("""COMPUTED_VALUE"""),588415.113)</f>
        <v>588415.11300000001</v>
      </c>
      <c r="E639" s="22">
        <f ca="1">IFERROR(__xludf.DUMMYFUNCTION("""COMPUTED_VALUE"""),416070.935035)</f>
        <v>416070.93503499997</v>
      </c>
      <c r="F639" s="22">
        <f ca="1">IFERROR(__xludf.DUMMYFUNCTION("""COMPUTED_VALUE"""),-172344.177964999)</f>
        <v>-172344.17796499899</v>
      </c>
      <c r="G639" s="22">
        <f ca="1">IFERROR(__xludf.DUMMYFUNCTION("""COMPUTED_VALUE"""),172344.177964999)</f>
        <v>172344.17796499899</v>
      </c>
      <c r="H639" s="7">
        <f ca="1">IFERROR(__xludf.DUMMYFUNCTION("""COMPUTED_VALUE"""),416070.935035)</f>
        <v>416070.93503499997</v>
      </c>
    </row>
    <row r="640" spans="1:8" ht="13" x14ac:dyDescent="0.15">
      <c r="A640" s="5" t="str">
        <f ca="1">IFERROR(__xludf.DUMMYFUNCTION("""COMPUTED_VALUE"""),"36221")</f>
        <v>36221</v>
      </c>
      <c r="B640" s="51">
        <f ca="1">IFERROR(__xludf.DUMMYFUNCTION("""COMPUTED_VALUE"""),44635)</f>
        <v>44635</v>
      </c>
      <c r="C640" s="22">
        <f ca="1">IFERROR(__xludf.DUMMYFUNCTION("""COMPUTED_VALUE"""),-172344.177964999)</f>
        <v>-172344.17796499899</v>
      </c>
      <c r="D640" s="22">
        <f ca="1">IFERROR(__xludf.DUMMYFUNCTION("""COMPUTED_VALUE"""),611402.19925)</f>
        <v>611402.19924999995</v>
      </c>
      <c r="E640" s="22">
        <f ca="1">IFERROR(__xludf.DUMMYFUNCTION("""COMPUTED_VALUE"""),439058.021285)</f>
        <v>439058.02128500002</v>
      </c>
      <c r="F640" s="22">
        <f ca="1">IFERROR(__xludf.DUMMYFUNCTION("""COMPUTED_VALUE"""),-172344.177964999)</f>
        <v>-172344.17796499899</v>
      </c>
      <c r="G640" s="22">
        <f ca="1">IFERROR(__xludf.DUMMYFUNCTION("""COMPUTED_VALUE"""),172344.177964999)</f>
        <v>172344.17796499899</v>
      </c>
      <c r="H640" s="7">
        <f ca="1">IFERROR(__xludf.DUMMYFUNCTION("""COMPUTED_VALUE"""),439058.021285)</f>
        <v>439058.02128500002</v>
      </c>
    </row>
    <row r="641" spans="1:8" ht="13" x14ac:dyDescent="0.15">
      <c r="A641" s="5" t="str">
        <f ca="1">IFERROR(__xludf.DUMMYFUNCTION("""COMPUTED_VALUE"""),"36221")</f>
        <v>36221</v>
      </c>
      <c r="B641" s="51">
        <f ca="1">IFERROR(__xludf.DUMMYFUNCTION("""COMPUTED_VALUE"""),44636)</f>
        <v>44636</v>
      </c>
      <c r="C641" s="22">
        <f ca="1">IFERROR(__xludf.DUMMYFUNCTION("""COMPUTED_VALUE"""),-172344.177964999)</f>
        <v>-172344.17796499899</v>
      </c>
      <c r="D641" s="22">
        <f ca="1">IFERROR(__xludf.DUMMYFUNCTION("""COMPUTED_VALUE"""),636749.181)</f>
        <v>636749.18099999998</v>
      </c>
      <c r="E641" s="22">
        <f ca="1">IFERROR(__xludf.DUMMYFUNCTION("""COMPUTED_VALUE"""),464405.003035)</f>
        <v>464405.003035</v>
      </c>
      <c r="F641" s="22">
        <f ca="1">IFERROR(__xludf.DUMMYFUNCTION("""COMPUTED_VALUE"""),-172344.177964999)</f>
        <v>-172344.17796499899</v>
      </c>
      <c r="G641" s="22">
        <f ca="1">IFERROR(__xludf.DUMMYFUNCTION("""COMPUTED_VALUE"""),172344.177964999)</f>
        <v>172344.17796499899</v>
      </c>
      <c r="H641" s="7">
        <f ca="1">IFERROR(__xludf.DUMMYFUNCTION("""COMPUTED_VALUE"""),464405.003035)</f>
        <v>464405.003035</v>
      </c>
    </row>
    <row r="642" spans="1:8" ht="13" x14ac:dyDescent="0.15">
      <c r="A642" s="5" t="str">
        <f ca="1">IFERROR(__xludf.DUMMYFUNCTION("""COMPUTED_VALUE"""),"36221")</f>
        <v>36221</v>
      </c>
      <c r="B642" s="51">
        <f ca="1">IFERROR(__xludf.DUMMYFUNCTION("""COMPUTED_VALUE"""),44637)</f>
        <v>44637</v>
      </c>
      <c r="C642" s="22">
        <f ca="1">IFERROR(__xludf.DUMMYFUNCTION("""COMPUTED_VALUE"""),-172344.177964999)</f>
        <v>-172344.17796499899</v>
      </c>
      <c r="D642" s="22">
        <f ca="1">IFERROR(__xludf.DUMMYFUNCTION("""COMPUTED_VALUE"""),644054.1444)</f>
        <v>644054.14439999999</v>
      </c>
      <c r="E642" s="22">
        <f ca="1">IFERROR(__xludf.DUMMYFUNCTION("""COMPUTED_VALUE"""),471709.966435)</f>
        <v>471709.96643500001</v>
      </c>
      <c r="F642" s="22">
        <f ca="1">IFERROR(__xludf.DUMMYFUNCTION("""COMPUTED_VALUE"""),-172344.177964999)</f>
        <v>-172344.17796499899</v>
      </c>
      <c r="G642" s="22">
        <f ca="1">IFERROR(__xludf.DUMMYFUNCTION("""COMPUTED_VALUE"""),172344.177964999)</f>
        <v>172344.17796499899</v>
      </c>
      <c r="H642" s="7">
        <f ca="1">IFERROR(__xludf.DUMMYFUNCTION("""COMPUTED_VALUE"""),471709.966435)</f>
        <v>471709.96643500001</v>
      </c>
    </row>
    <row r="643" spans="1:8" ht="13" x14ac:dyDescent="0.15">
      <c r="A643" s="5" t="str">
        <f ca="1">IFERROR(__xludf.DUMMYFUNCTION("""COMPUTED_VALUE"""),"36221")</f>
        <v>36221</v>
      </c>
      <c r="B643" s="51">
        <f ca="1">IFERROR(__xludf.DUMMYFUNCTION("""COMPUTED_VALUE"""),44638)</f>
        <v>44638</v>
      </c>
      <c r="C643" s="22">
        <f ca="1">IFERROR(__xludf.DUMMYFUNCTION("""COMPUTED_VALUE"""),-172344.177964999)</f>
        <v>-172344.17796499899</v>
      </c>
      <c r="D643" s="22">
        <f ca="1">IFERROR(__xludf.DUMMYFUNCTION("""COMPUTED_VALUE"""),662405.49235)</f>
        <v>662405.49234999996</v>
      </c>
      <c r="E643" s="22">
        <f ca="1">IFERROR(__xludf.DUMMYFUNCTION("""COMPUTED_VALUE"""),490061.314385)</f>
        <v>490061.31438499998</v>
      </c>
      <c r="F643" s="22">
        <f ca="1">IFERROR(__xludf.DUMMYFUNCTION("""COMPUTED_VALUE"""),-172344.177964999)</f>
        <v>-172344.17796499899</v>
      </c>
      <c r="G643" s="22">
        <f ca="1">IFERROR(__xludf.DUMMYFUNCTION("""COMPUTED_VALUE"""),172344.177964999)</f>
        <v>172344.17796499899</v>
      </c>
      <c r="H643" s="7">
        <f ca="1">IFERROR(__xludf.DUMMYFUNCTION("""COMPUTED_VALUE"""),490061.314385)</f>
        <v>490061.31438499998</v>
      </c>
    </row>
    <row r="644" spans="1:8" ht="13" x14ac:dyDescent="0.15">
      <c r="A644" s="5" t="str">
        <f ca="1">IFERROR(__xludf.DUMMYFUNCTION("""COMPUTED_VALUE"""),"36221")</f>
        <v>36221</v>
      </c>
      <c r="B644" s="51">
        <f ca="1">IFERROR(__xludf.DUMMYFUNCTION("""COMPUTED_VALUE"""),44639)</f>
        <v>44639</v>
      </c>
      <c r="C644" s="22">
        <f ca="1">IFERROR(__xludf.DUMMYFUNCTION("""COMPUTED_VALUE"""),-172344.177964999)</f>
        <v>-172344.17796499899</v>
      </c>
      <c r="D644" s="22">
        <f ca="1">IFERROR(__xludf.DUMMYFUNCTION("""COMPUTED_VALUE"""),662405.49235)</f>
        <v>662405.49234999996</v>
      </c>
      <c r="E644" s="22">
        <f ca="1">IFERROR(__xludf.DUMMYFUNCTION("""COMPUTED_VALUE"""),490061.314385)</f>
        <v>490061.31438499998</v>
      </c>
      <c r="F644" s="22">
        <f ca="1">IFERROR(__xludf.DUMMYFUNCTION("""COMPUTED_VALUE"""),-172344.177964999)</f>
        <v>-172344.17796499899</v>
      </c>
      <c r="G644" s="22">
        <f ca="1">IFERROR(__xludf.DUMMYFUNCTION("""COMPUTED_VALUE"""),172344.177964999)</f>
        <v>172344.17796499899</v>
      </c>
      <c r="H644" s="7">
        <f ca="1">IFERROR(__xludf.DUMMYFUNCTION("""COMPUTED_VALUE"""),490061.314385)</f>
        <v>490061.31438499998</v>
      </c>
    </row>
    <row r="645" spans="1:8" ht="13" x14ac:dyDescent="0.15">
      <c r="A645" s="5" t="str">
        <f ca="1">IFERROR(__xludf.DUMMYFUNCTION("""COMPUTED_VALUE"""),"36221")</f>
        <v>36221</v>
      </c>
      <c r="B645" s="51">
        <f ca="1">IFERROR(__xludf.DUMMYFUNCTION("""COMPUTED_VALUE"""),44640)</f>
        <v>44640</v>
      </c>
      <c r="C645" s="22">
        <f ca="1">IFERROR(__xludf.DUMMYFUNCTION("""COMPUTED_VALUE"""),-172344.177964999)</f>
        <v>-172344.17796499899</v>
      </c>
      <c r="D645" s="22">
        <f ca="1">IFERROR(__xludf.DUMMYFUNCTION("""COMPUTED_VALUE"""),662261.158985)</f>
        <v>662261.15898499999</v>
      </c>
      <c r="E645" s="22">
        <f ca="1">IFERROR(__xludf.DUMMYFUNCTION("""COMPUTED_VALUE"""),489916.98102)</f>
        <v>489916.98102000001</v>
      </c>
      <c r="F645" s="22">
        <f ca="1">IFERROR(__xludf.DUMMYFUNCTION("""COMPUTED_VALUE"""),-172344.177964999)</f>
        <v>-172344.17796499899</v>
      </c>
      <c r="G645" s="22">
        <f ca="1">IFERROR(__xludf.DUMMYFUNCTION("""COMPUTED_VALUE"""),172344.177964999)</f>
        <v>172344.17796499899</v>
      </c>
      <c r="H645" s="7">
        <f ca="1">IFERROR(__xludf.DUMMYFUNCTION("""COMPUTED_VALUE"""),489916.98102)</f>
        <v>489916.98102000001</v>
      </c>
    </row>
    <row r="646" spans="1:8" ht="13" x14ac:dyDescent="0.15">
      <c r="A646" s="5" t="str">
        <f ca="1">IFERROR(__xludf.DUMMYFUNCTION("""COMPUTED_VALUE"""),"36221")</f>
        <v>36221</v>
      </c>
      <c r="B646" s="51">
        <f ca="1">IFERROR(__xludf.DUMMYFUNCTION("""COMPUTED_VALUE"""),44641)</f>
        <v>44641</v>
      </c>
      <c r="C646" s="22">
        <f ca="1">IFERROR(__xludf.DUMMYFUNCTION("""COMPUTED_VALUE"""),-172344.177964999)</f>
        <v>-172344.17796499899</v>
      </c>
      <c r="D646" s="22">
        <f ca="1">IFERROR(__xludf.DUMMYFUNCTION("""COMPUTED_VALUE"""),659544.5769)</f>
        <v>659544.57689999999</v>
      </c>
      <c r="E646" s="22">
        <f ca="1">IFERROR(__xludf.DUMMYFUNCTION("""COMPUTED_VALUE"""),487200.398935)</f>
        <v>487200.398935</v>
      </c>
      <c r="F646" s="22">
        <f ca="1">IFERROR(__xludf.DUMMYFUNCTION("""COMPUTED_VALUE"""),-172344.177964999)</f>
        <v>-172344.17796499899</v>
      </c>
      <c r="G646" s="22">
        <f ca="1">IFERROR(__xludf.DUMMYFUNCTION("""COMPUTED_VALUE"""),172344.177964999)</f>
        <v>172344.17796499899</v>
      </c>
      <c r="H646" s="7">
        <f ca="1">IFERROR(__xludf.DUMMYFUNCTION("""COMPUTED_VALUE"""),487200.398935)</f>
        <v>487200.398935</v>
      </c>
    </row>
    <row r="647" spans="1:8" ht="13" x14ac:dyDescent="0.15">
      <c r="A647" s="5" t="str">
        <f ca="1">IFERROR(__xludf.DUMMYFUNCTION("""COMPUTED_VALUE"""),"36221")</f>
        <v>36221</v>
      </c>
      <c r="B647" s="51">
        <f ca="1">IFERROR(__xludf.DUMMYFUNCTION("""COMPUTED_VALUE"""),44642)</f>
        <v>44642</v>
      </c>
      <c r="C647" s="22">
        <f ca="1">IFERROR(__xludf.DUMMYFUNCTION("""COMPUTED_VALUE"""),-172344.177964999)</f>
        <v>-172344.17796499899</v>
      </c>
      <c r="D647" s="22">
        <f ca="1">IFERROR(__xludf.DUMMYFUNCTION("""COMPUTED_VALUE"""),662754.8182)</f>
        <v>662754.81819999998</v>
      </c>
      <c r="E647" s="22">
        <f ca="1">IFERROR(__xludf.DUMMYFUNCTION("""COMPUTED_VALUE"""),490410.640235)</f>
        <v>490410.640235</v>
      </c>
      <c r="F647" s="22">
        <f ca="1">IFERROR(__xludf.DUMMYFUNCTION("""COMPUTED_VALUE"""),-172344.177964999)</f>
        <v>-172344.17796499899</v>
      </c>
      <c r="G647" s="22">
        <f ca="1">IFERROR(__xludf.DUMMYFUNCTION("""COMPUTED_VALUE"""),172344.177964999)</f>
        <v>172344.17796499899</v>
      </c>
      <c r="H647" s="7">
        <f ca="1">IFERROR(__xludf.DUMMYFUNCTION("""COMPUTED_VALUE"""),490410.640235)</f>
        <v>490410.640235</v>
      </c>
    </row>
    <row r="648" spans="1:8" ht="13" x14ac:dyDescent="0.15">
      <c r="A648" s="5" t="str">
        <f ca="1">IFERROR(__xludf.DUMMYFUNCTION("""COMPUTED_VALUE"""),"36242")</f>
        <v>36242</v>
      </c>
      <c r="B648" s="51">
        <f ca="1">IFERROR(__xludf.DUMMYFUNCTION("""COMPUTED_VALUE"""),44597)</f>
        <v>44597</v>
      </c>
      <c r="C648" s="22">
        <f ca="1">IFERROR(__xludf.DUMMYFUNCTION("""COMPUTED_VALUE"""),500000)</f>
        <v>500000</v>
      </c>
      <c r="D648" s="22">
        <f ca="1">IFERROR(__xludf.DUMMYFUNCTION("""COMPUTED_VALUE"""),0)</f>
        <v>0</v>
      </c>
      <c r="E648" s="22">
        <f ca="1">IFERROR(__xludf.DUMMYFUNCTION("""COMPUTED_VALUE"""),500000)</f>
        <v>500000</v>
      </c>
      <c r="F648" s="22">
        <f ca="1">IFERROR(__xludf.DUMMYFUNCTION("""COMPUTED_VALUE"""),500000)</f>
        <v>500000</v>
      </c>
      <c r="G648" s="22">
        <f ca="1">IFERROR(__xludf.DUMMYFUNCTION("""COMPUTED_VALUE"""),0)</f>
        <v>0</v>
      </c>
      <c r="H648" s="7">
        <f ca="1">IFERROR(__xludf.DUMMYFUNCTION("""COMPUTED_VALUE"""),500000)</f>
        <v>500000</v>
      </c>
    </row>
    <row r="649" spans="1:8" ht="13" x14ac:dyDescent="0.15">
      <c r="A649" s="5" t="str">
        <f ca="1">IFERROR(__xludf.DUMMYFUNCTION("""COMPUTED_VALUE"""),"36242")</f>
        <v>36242</v>
      </c>
      <c r="B649" s="51">
        <f ca="1">IFERROR(__xludf.DUMMYFUNCTION("""COMPUTED_VALUE"""),44598)</f>
        <v>44598</v>
      </c>
      <c r="C649" s="22">
        <f ca="1">IFERROR(__xludf.DUMMYFUNCTION("""COMPUTED_VALUE"""),500000)</f>
        <v>500000</v>
      </c>
      <c r="D649" s="22">
        <f ca="1">IFERROR(__xludf.DUMMYFUNCTION("""COMPUTED_VALUE"""),0)</f>
        <v>0</v>
      </c>
      <c r="E649" s="22">
        <f ca="1">IFERROR(__xludf.DUMMYFUNCTION("""COMPUTED_VALUE"""),500000)</f>
        <v>500000</v>
      </c>
      <c r="F649" s="22">
        <f ca="1">IFERROR(__xludf.DUMMYFUNCTION("""COMPUTED_VALUE"""),500000)</f>
        <v>500000</v>
      </c>
      <c r="G649" s="22">
        <f ca="1">IFERROR(__xludf.DUMMYFUNCTION("""COMPUTED_VALUE"""),0)</f>
        <v>0</v>
      </c>
      <c r="H649" s="7">
        <f ca="1">IFERROR(__xludf.DUMMYFUNCTION("""COMPUTED_VALUE"""),500000)</f>
        <v>500000</v>
      </c>
    </row>
    <row r="650" spans="1:8" ht="13" x14ac:dyDescent="0.15">
      <c r="A650" s="5" t="str">
        <f ca="1">IFERROR(__xludf.DUMMYFUNCTION("""COMPUTED_VALUE"""),"36242")</f>
        <v>36242</v>
      </c>
      <c r="B650" s="51">
        <f ca="1">IFERROR(__xludf.DUMMYFUNCTION("""COMPUTED_VALUE"""),44599)</f>
        <v>44599</v>
      </c>
      <c r="C650" s="22">
        <f ca="1">IFERROR(__xludf.DUMMYFUNCTION("""COMPUTED_VALUE"""),500000)</f>
        <v>500000</v>
      </c>
      <c r="D650" s="22">
        <f ca="1">IFERROR(__xludf.DUMMYFUNCTION("""COMPUTED_VALUE"""),0)</f>
        <v>0</v>
      </c>
      <c r="E650" s="22">
        <f ca="1">IFERROR(__xludf.DUMMYFUNCTION("""COMPUTED_VALUE"""),500000)</f>
        <v>500000</v>
      </c>
      <c r="F650" s="22">
        <f ca="1">IFERROR(__xludf.DUMMYFUNCTION("""COMPUTED_VALUE"""),500000)</f>
        <v>500000</v>
      </c>
      <c r="G650" s="22">
        <f ca="1">IFERROR(__xludf.DUMMYFUNCTION("""COMPUTED_VALUE"""),0)</f>
        <v>0</v>
      </c>
      <c r="H650" s="7">
        <f ca="1">IFERROR(__xludf.DUMMYFUNCTION("""COMPUTED_VALUE"""),500000)</f>
        <v>500000</v>
      </c>
    </row>
    <row r="651" spans="1:8" ht="13" x14ac:dyDescent="0.15">
      <c r="A651" s="5" t="str">
        <f ca="1">IFERROR(__xludf.DUMMYFUNCTION("""COMPUTED_VALUE"""),"36242")</f>
        <v>36242</v>
      </c>
      <c r="B651" s="51">
        <f ca="1">IFERROR(__xludf.DUMMYFUNCTION("""COMPUTED_VALUE"""),44600)</f>
        <v>44600</v>
      </c>
      <c r="C651" s="22">
        <f ca="1">IFERROR(__xludf.DUMMYFUNCTION("""COMPUTED_VALUE"""),500000)</f>
        <v>500000</v>
      </c>
      <c r="D651" s="22">
        <f ca="1">IFERROR(__xludf.DUMMYFUNCTION("""COMPUTED_VALUE"""),0)</f>
        <v>0</v>
      </c>
      <c r="E651" s="22">
        <f ca="1">IFERROR(__xludf.DUMMYFUNCTION("""COMPUTED_VALUE"""),500000)</f>
        <v>500000</v>
      </c>
      <c r="F651" s="22">
        <f ca="1">IFERROR(__xludf.DUMMYFUNCTION("""COMPUTED_VALUE"""),500000)</f>
        <v>500000</v>
      </c>
      <c r="G651" s="22">
        <f ca="1">IFERROR(__xludf.DUMMYFUNCTION("""COMPUTED_VALUE"""),0)</f>
        <v>0</v>
      </c>
      <c r="H651" s="7">
        <f ca="1">IFERROR(__xludf.DUMMYFUNCTION("""COMPUTED_VALUE"""),500000)</f>
        <v>500000</v>
      </c>
    </row>
    <row r="652" spans="1:8" ht="13" x14ac:dyDescent="0.15">
      <c r="A652" s="5" t="str">
        <f ca="1">IFERROR(__xludf.DUMMYFUNCTION("""COMPUTED_VALUE"""),"36242")</f>
        <v>36242</v>
      </c>
      <c r="B652" s="51">
        <f ca="1">IFERROR(__xludf.DUMMYFUNCTION("""COMPUTED_VALUE"""),44601)</f>
        <v>44601</v>
      </c>
      <c r="C652" s="22">
        <f ca="1">IFERROR(__xludf.DUMMYFUNCTION("""COMPUTED_VALUE"""),500000)</f>
        <v>500000</v>
      </c>
      <c r="D652" s="22">
        <f ca="1">IFERROR(__xludf.DUMMYFUNCTION("""COMPUTED_VALUE"""),0)</f>
        <v>0</v>
      </c>
      <c r="E652" s="22">
        <f ca="1">IFERROR(__xludf.DUMMYFUNCTION("""COMPUTED_VALUE"""),500000)</f>
        <v>500000</v>
      </c>
      <c r="F652" s="22">
        <f ca="1">IFERROR(__xludf.DUMMYFUNCTION("""COMPUTED_VALUE"""),500000)</f>
        <v>500000</v>
      </c>
      <c r="G652" s="22">
        <f ca="1">IFERROR(__xludf.DUMMYFUNCTION("""COMPUTED_VALUE"""),0)</f>
        <v>0</v>
      </c>
      <c r="H652" s="7">
        <f ca="1">IFERROR(__xludf.DUMMYFUNCTION("""COMPUTED_VALUE"""),500000)</f>
        <v>500000</v>
      </c>
    </row>
    <row r="653" spans="1:8" ht="13" x14ac:dyDescent="0.15">
      <c r="A653" s="5" t="str">
        <f ca="1">IFERROR(__xludf.DUMMYFUNCTION("""COMPUTED_VALUE"""),"36242")</f>
        <v>36242</v>
      </c>
      <c r="B653" s="51">
        <f ca="1">IFERROR(__xludf.DUMMYFUNCTION("""COMPUTED_VALUE"""),44602)</f>
        <v>44602</v>
      </c>
      <c r="C653" s="22">
        <f ca="1">IFERROR(__xludf.DUMMYFUNCTION("""COMPUTED_VALUE"""),500000)</f>
        <v>500000</v>
      </c>
      <c r="D653" s="22">
        <f ca="1">IFERROR(__xludf.DUMMYFUNCTION("""COMPUTED_VALUE"""),0)</f>
        <v>0</v>
      </c>
      <c r="E653" s="22">
        <f ca="1">IFERROR(__xludf.DUMMYFUNCTION("""COMPUTED_VALUE"""),500000)</f>
        <v>500000</v>
      </c>
      <c r="F653" s="22">
        <f ca="1">IFERROR(__xludf.DUMMYFUNCTION("""COMPUTED_VALUE"""),500000)</f>
        <v>500000</v>
      </c>
      <c r="G653" s="22">
        <f ca="1">IFERROR(__xludf.DUMMYFUNCTION("""COMPUTED_VALUE"""),0)</f>
        <v>0</v>
      </c>
      <c r="H653" s="7">
        <f ca="1">IFERROR(__xludf.DUMMYFUNCTION("""COMPUTED_VALUE"""),500000)</f>
        <v>500000</v>
      </c>
    </row>
    <row r="654" spans="1:8" ht="13" x14ac:dyDescent="0.15">
      <c r="A654" s="5" t="str">
        <f ca="1">IFERROR(__xludf.DUMMYFUNCTION("""COMPUTED_VALUE"""),"36242")</f>
        <v>36242</v>
      </c>
      <c r="B654" s="51">
        <f ca="1">IFERROR(__xludf.DUMMYFUNCTION("""COMPUTED_VALUE"""),44603)</f>
        <v>44603</v>
      </c>
      <c r="C654" s="22">
        <f ca="1">IFERROR(__xludf.DUMMYFUNCTION("""COMPUTED_VALUE"""),500000)</f>
        <v>500000</v>
      </c>
      <c r="D654" s="22">
        <f ca="1">IFERROR(__xludf.DUMMYFUNCTION("""COMPUTED_VALUE"""),0)</f>
        <v>0</v>
      </c>
      <c r="E654" s="22">
        <f ca="1">IFERROR(__xludf.DUMMYFUNCTION("""COMPUTED_VALUE"""),500000)</f>
        <v>500000</v>
      </c>
      <c r="F654" s="22">
        <f ca="1">IFERROR(__xludf.DUMMYFUNCTION("""COMPUTED_VALUE"""),500000)</f>
        <v>500000</v>
      </c>
      <c r="G654" s="22">
        <f ca="1">IFERROR(__xludf.DUMMYFUNCTION("""COMPUTED_VALUE"""),0)</f>
        <v>0</v>
      </c>
      <c r="H654" s="7">
        <f ca="1">IFERROR(__xludf.DUMMYFUNCTION("""COMPUTED_VALUE"""),500000)</f>
        <v>500000</v>
      </c>
    </row>
    <row r="655" spans="1:8" ht="13" x14ac:dyDescent="0.15">
      <c r="A655" s="5" t="str">
        <f ca="1">IFERROR(__xludf.DUMMYFUNCTION("""COMPUTED_VALUE"""),"36242")</f>
        <v>36242</v>
      </c>
      <c r="B655" s="51">
        <f ca="1">IFERROR(__xludf.DUMMYFUNCTION("""COMPUTED_VALUE"""),44604)</f>
        <v>44604</v>
      </c>
      <c r="C655" s="22">
        <f ca="1">IFERROR(__xludf.DUMMYFUNCTION("""COMPUTED_VALUE"""),500000)</f>
        <v>500000</v>
      </c>
      <c r="D655" s="22">
        <f ca="1">IFERROR(__xludf.DUMMYFUNCTION("""COMPUTED_VALUE"""),0)</f>
        <v>0</v>
      </c>
      <c r="E655" s="22">
        <f ca="1">IFERROR(__xludf.DUMMYFUNCTION("""COMPUTED_VALUE"""),500000)</f>
        <v>500000</v>
      </c>
      <c r="F655" s="22">
        <f ca="1">IFERROR(__xludf.DUMMYFUNCTION("""COMPUTED_VALUE"""),500000)</f>
        <v>500000</v>
      </c>
      <c r="G655" s="22">
        <f ca="1">IFERROR(__xludf.DUMMYFUNCTION("""COMPUTED_VALUE"""),0)</f>
        <v>0</v>
      </c>
      <c r="H655" s="7">
        <f ca="1">IFERROR(__xludf.DUMMYFUNCTION("""COMPUTED_VALUE"""),500000)</f>
        <v>500000</v>
      </c>
    </row>
    <row r="656" spans="1:8" ht="13" x14ac:dyDescent="0.15">
      <c r="A656" s="5" t="str">
        <f ca="1">IFERROR(__xludf.DUMMYFUNCTION("""COMPUTED_VALUE"""),"36242")</f>
        <v>36242</v>
      </c>
      <c r="B656" s="51">
        <f ca="1">IFERROR(__xludf.DUMMYFUNCTION("""COMPUTED_VALUE"""),44605)</f>
        <v>44605</v>
      </c>
      <c r="C656" s="22">
        <f ca="1">IFERROR(__xludf.DUMMYFUNCTION("""COMPUTED_VALUE"""),500000)</f>
        <v>500000</v>
      </c>
      <c r="D656" s="22">
        <f ca="1">IFERROR(__xludf.DUMMYFUNCTION("""COMPUTED_VALUE"""),0)</f>
        <v>0</v>
      </c>
      <c r="E656" s="22">
        <f ca="1">IFERROR(__xludf.DUMMYFUNCTION("""COMPUTED_VALUE"""),500000)</f>
        <v>500000</v>
      </c>
      <c r="F656" s="22">
        <f ca="1">IFERROR(__xludf.DUMMYFUNCTION("""COMPUTED_VALUE"""),500000)</f>
        <v>500000</v>
      </c>
      <c r="G656" s="22">
        <f ca="1">IFERROR(__xludf.DUMMYFUNCTION("""COMPUTED_VALUE"""),0)</f>
        <v>0</v>
      </c>
      <c r="H656" s="7">
        <f ca="1">IFERROR(__xludf.DUMMYFUNCTION("""COMPUTED_VALUE"""),500000)</f>
        <v>500000</v>
      </c>
    </row>
    <row r="657" spans="1:8" ht="13" x14ac:dyDescent="0.15">
      <c r="A657" s="5" t="str">
        <f ca="1">IFERROR(__xludf.DUMMYFUNCTION("""COMPUTED_VALUE"""),"36242")</f>
        <v>36242</v>
      </c>
      <c r="B657" s="51">
        <f ca="1">IFERROR(__xludf.DUMMYFUNCTION("""COMPUTED_VALUE"""),44606)</f>
        <v>44606</v>
      </c>
      <c r="C657" s="22">
        <f ca="1">IFERROR(__xludf.DUMMYFUNCTION("""COMPUTED_VALUE"""),500000)</f>
        <v>500000</v>
      </c>
      <c r="D657" s="22">
        <f ca="1">IFERROR(__xludf.DUMMYFUNCTION("""COMPUTED_VALUE"""),0)</f>
        <v>0</v>
      </c>
      <c r="E657" s="22">
        <f ca="1">IFERROR(__xludf.DUMMYFUNCTION("""COMPUTED_VALUE"""),500000)</f>
        <v>500000</v>
      </c>
      <c r="F657" s="22">
        <f ca="1">IFERROR(__xludf.DUMMYFUNCTION("""COMPUTED_VALUE"""),500000)</f>
        <v>500000</v>
      </c>
      <c r="G657" s="22">
        <f ca="1">IFERROR(__xludf.DUMMYFUNCTION("""COMPUTED_VALUE"""),0)</f>
        <v>0</v>
      </c>
      <c r="H657" s="7">
        <f ca="1">IFERROR(__xludf.DUMMYFUNCTION("""COMPUTED_VALUE"""),500000)</f>
        <v>500000</v>
      </c>
    </row>
    <row r="658" spans="1:8" ht="13" x14ac:dyDescent="0.15">
      <c r="A658" s="5" t="str">
        <f ca="1">IFERROR(__xludf.DUMMYFUNCTION("""COMPUTED_VALUE"""),"36242")</f>
        <v>36242</v>
      </c>
      <c r="B658" s="51">
        <f ca="1">IFERROR(__xludf.DUMMYFUNCTION("""COMPUTED_VALUE"""),44607)</f>
        <v>44607</v>
      </c>
      <c r="C658" s="22">
        <f ca="1">IFERROR(__xludf.DUMMYFUNCTION("""COMPUTED_VALUE"""),500000)</f>
        <v>500000</v>
      </c>
      <c r="D658" s="22">
        <f ca="1">IFERROR(__xludf.DUMMYFUNCTION("""COMPUTED_VALUE"""),0)</f>
        <v>0</v>
      </c>
      <c r="E658" s="22">
        <f ca="1">IFERROR(__xludf.DUMMYFUNCTION("""COMPUTED_VALUE"""),500000)</f>
        <v>500000</v>
      </c>
      <c r="F658" s="22">
        <f ca="1">IFERROR(__xludf.DUMMYFUNCTION("""COMPUTED_VALUE"""),500000)</f>
        <v>500000</v>
      </c>
      <c r="G658" s="22">
        <f ca="1">IFERROR(__xludf.DUMMYFUNCTION("""COMPUTED_VALUE"""),0)</f>
        <v>0</v>
      </c>
      <c r="H658" s="7">
        <f ca="1">IFERROR(__xludf.DUMMYFUNCTION("""COMPUTED_VALUE"""),500000)</f>
        <v>500000</v>
      </c>
    </row>
    <row r="659" spans="1:8" ht="13" x14ac:dyDescent="0.15">
      <c r="A659" s="5" t="str">
        <f ca="1">IFERROR(__xludf.DUMMYFUNCTION("""COMPUTED_VALUE"""),"36242")</f>
        <v>36242</v>
      </c>
      <c r="B659" s="51">
        <f ca="1">IFERROR(__xludf.DUMMYFUNCTION("""COMPUTED_VALUE"""),44608)</f>
        <v>44608</v>
      </c>
      <c r="C659" s="22">
        <f ca="1">IFERROR(__xludf.DUMMYFUNCTION("""COMPUTED_VALUE"""),500000)</f>
        <v>500000</v>
      </c>
      <c r="D659" s="22">
        <f ca="1">IFERROR(__xludf.DUMMYFUNCTION("""COMPUTED_VALUE"""),0)</f>
        <v>0</v>
      </c>
      <c r="E659" s="22">
        <f ca="1">IFERROR(__xludf.DUMMYFUNCTION("""COMPUTED_VALUE"""),500000)</f>
        <v>500000</v>
      </c>
      <c r="F659" s="22">
        <f ca="1">IFERROR(__xludf.DUMMYFUNCTION("""COMPUTED_VALUE"""),500000)</f>
        <v>500000</v>
      </c>
      <c r="G659" s="22">
        <f ca="1">IFERROR(__xludf.DUMMYFUNCTION("""COMPUTED_VALUE"""),0)</f>
        <v>0</v>
      </c>
      <c r="H659" s="7">
        <f ca="1">IFERROR(__xludf.DUMMYFUNCTION("""COMPUTED_VALUE"""),500000)</f>
        <v>500000</v>
      </c>
    </row>
    <row r="660" spans="1:8" ht="13" x14ac:dyDescent="0.15">
      <c r="A660" s="5" t="str">
        <f ca="1">IFERROR(__xludf.DUMMYFUNCTION("""COMPUTED_VALUE"""),"36242")</f>
        <v>36242</v>
      </c>
      <c r="B660" s="51">
        <f ca="1">IFERROR(__xludf.DUMMYFUNCTION("""COMPUTED_VALUE"""),44609)</f>
        <v>44609</v>
      </c>
      <c r="C660" s="22">
        <f ca="1">IFERROR(__xludf.DUMMYFUNCTION("""COMPUTED_VALUE"""),500000)</f>
        <v>500000</v>
      </c>
      <c r="D660" s="22">
        <f ca="1">IFERROR(__xludf.DUMMYFUNCTION("""COMPUTED_VALUE"""),0)</f>
        <v>0</v>
      </c>
      <c r="E660" s="22">
        <f ca="1">IFERROR(__xludf.DUMMYFUNCTION("""COMPUTED_VALUE"""),500000)</f>
        <v>500000</v>
      </c>
      <c r="F660" s="22">
        <f ca="1">IFERROR(__xludf.DUMMYFUNCTION("""COMPUTED_VALUE"""),500000)</f>
        <v>500000</v>
      </c>
      <c r="G660" s="22">
        <f ca="1">IFERROR(__xludf.DUMMYFUNCTION("""COMPUTED_VALUE"""),0)</f>
        <v>0</v>
      </c>
      <c r="H660" s="7">
        <f ca="1">IFERROR(__xludf.DUMMYFUNCTION("""COMPUTED_VALUE"""),500000)</f>
        <v>500000</v>
      </c>
    </row>
    <row r="661" spans="1:8" ht="13" x14ac:dyDescent="0.15">
      <c r="A661" s="5" t="str">
        <f ca="1">IFERROR(__xludf.DUMMYFUNCTION("""COMPUTED_VALUE"""),"36242")</f>
        <v>36242</v>
      </c>
      <c r="B661" s="51">
        <f ca="1">IFERROR(__xludf.DUMMYFUNCTION("""COMPUTED_VALUE"""),44610)</f>
        <v>44610</v>
      </c>
      <c r="C661" s="22">
        <f ca="1">IFERROR(__xludf.DUMMYFUNCTION("""COMPUTED_VALUE"""),500000)</f>
        <v>500000</v>
      </c>
      <c r="D661" s="22">
        <f ca="1">IFERROR(__xludf.DUMMYFUNCTION("""COMPUTED_VALUE"""),0)</f>
        <v>0</v>
      </c>
      <c r="E661" s="22">
        <f ca="1">IFERROR(__xludf.DUMMYFUNCTION("""COMPUTED_VALUE"""),500000)</f>
        <v>500000</v>
      </c>
      <c r="F661" s="22">
        <f ca="1">IFERROR(__xludf.DUMMYFUNCTION("""COMPUTED_VALUE"""),500000)</f>
        <v>500000</v>
      </c>
      <c r="G661" s="22">
        <f ca="1">IFERROR(__xludf.DUMMYFUNCTION("""COMPUTED_VALUE"""),0)</f>
        <v>0</v>
      </c>
      <c r="H661" s="7">
        <f ca="1">IFERROR(__xludf.DUMMYFUNCTION("""COMPUTED_VALUE"""),500000)</f>
        <v>500000</v>
      </c>
    </row>
    <row r="662" spans="1:8" ht="13" x14ac:dyDescent="0.15">
      <c r="A662" s="5" t="str">
        <f ca="1">IFERROR(__xludf.DUMMYFUNCTION("""COMPUTED_VALUE"""),"36242")</f>
        <v>36242</v>
      </c>
      <c r="B662" s="51">
        <f ca="1">IFERROR(__xludf.DUMMYFUNCTION("""COMPUTED_VALUE"""),44611)</f>
        <v>44611</v>
      </c>
      <c r="C662" s="22">
        <f ca="1">IFERROR(__xludf.DUMMYFUNCTION("""COMPUTED_VALUE"""),500000)</f>
        <v>500000</v>
      </c>
      <c r="D662" s="22">
        <f ca="1">IFERROR(__xludf.DUMMYFUNCTION("""COMPUTED_VALUE"""),0)</f>
        <v>0</v>
      </c>
      <c r="E662" s="22">
        <f ca="1">IFERROR(__xludf.DUMMYFUNCTION("""COMPUTED_VALUE"""),500000)</f>
        <v>500000</v>
      </c>
      <c r="F662" s="22">
        <f ca="1">IFERROR(__xludf.DUMMYFUNCTION("""COMPUTED_VALUE"""),500000)</f>
        <v>500000</v>
      </c>
      <c r="G662" s="22">
        <f ca="1">IFERROR(__xludf.DUMMYFUNCTION("""COMPUTED_VALUE"""),0)</f>
        <v>0</v>
      </c>
      <c r="H662" s="7">
        <f ca="1">IFERROR(__xludf.DUMMYFUNCTION("""COMPUTED_VALUE"""),500000)</f>
        <v>500000</v>
      </c>
    </row>
    <row r="663" spans="1:8" ht="13" x14ac:dyDescent="0.15">
      <c r="A663" s="5" t="str">
        <f ca="1">IFERROR(__xludf.DUMMYFUNCTION("""COMPUTED_VALUE"""),"36242")</f>
        <v>36242</v>
      </c>
      <c r="B663" s="51">
        <f ca="1">IFERROR(__xludf.DUMMYFUNCTION("""COMPUTED_VALUE"""),44612)</f>
        <v>44612</v>
      </c>
      <c r="C663" s="22">
        <f ca="1">IFERROR(__xludf.DUMMYFUNCTION("""COMPUTED_VALUE"""),500000)</f>
        <v>500000</v>
      </c>
      <c r="D663" s="22">
        <f ca="1">IFERROR(__xludf.DUMMYFUNCTION("""COMPUTED_VALUE"""),0)</f>
        <v>0</v>
      </c>
      <c r="E663" s="22">
        <f ca="1">IFERROR(__xludf.DUMMYFUNCTION("""COMPUTED_VALUE"""),500000)</f>
        <v>500000</v>
      </c>
      <c r="F663" s="22">
        <f ca="1">IFERROR(__xludf.DUMMYFUNCTION("""COMPUTED_VALUE"""),500000)</f>
        <v>500000</v>
      </c>
      <c r="G663" s="22">
        <f ca="1">IFERROR(__xludf.DUMMYFUNCTION("""COMPUTED_VALUE"""),0)</f>
        <v>0</v>
      </c>
      <c r="H663" s="7">
        <f ca="1">IFERROR(__xludf.DUMMYFUNCTION("""COMPUTED_VALUE"""),500000)</f>
        <v>500000</v>
      </c>
    </row>
    <row r="664" spans="1:8" ht="13" x14ac:dyDescent="0.15">
      <c r="A664" s="5" t="str">
        <f ca="1">IFERROR(__xludf.DUMMYFUNCTION("""COMPUTED_VALUE"""),"36242")</f>
        <v>36242</v>
      </c>
      <c r="B664" s="51">
        <f ca="1">IFERROR(__xludf.DUMMYFUNCTION("""COMPUTED_VALUE"""),44613)</f>
        <v>44613</v>
      </c>
      <c r="C664" s="22">
        <f ca="1">IFERROR(__xludf.DUMMYFUNCTION("""COMPUTED_VALUE"""),500000)</f>
        <v>500000</v>
      </c>
      <c r="D664" s="22">
        <f ca="1">IFERROR(__xludf.DUMMYFUNCTION("""COMPUTED_VALUE"""),0)</f>
        <v>0</v>
      </c>
      <c r="E664" s="22">
        <f ca="1">IFERROR(__xludf.DUMMYFUNCTION("""COMPUTED_VALUE"""),500000)</f>
        <v>500000</v>
      </c>
      <c r="F664" s="22">
        <f ca="1">IFERROR(__xludf.DUMMYFUNCTION("""COMPUTED_VALUE"""),500000)</f>
        <v>500000</v>
      </c>
      <c r="G664" s="22">
        <f ca="1">IFERROR(__xludf.DUMMYFUNCTION("""COMPUTED_VALUE"""),0)</f>
        <v>0</v>
      </c>
      <c r="H664" s="7">
        <f ca="1">IFERROR(__xludf.DUMMYFUNCTION("""COMPUTED_VALUE"""),500000)</f>
        <v>500000</v>
      </c>
    </row>
    <row r="665" spans="1:8" ht="13" x14ac:dyDescent="0.15">
      <c r="A665" s="5" t="str">
        <f ca="1">IFERROR(__xludf.DUMMYFUNCTION("""COMPUTED_VALUE"""),"36242")</f>
        <v>36242</v>
      </c>
      <c r="B665" s="51">
        <f ca="1">IFERROR(__xludf.DUMMYFUNCTION("""COMPUTED_VALUE"""),44614)</f>
        <v>44614</v>
      </c>
      <c r="C665" s="22">
        <f ca="1">IFERROR(__xludf.DUMMYFUNCTION("""COMPUTED_VALUE"""),500000)</f>
        <v>500000</v>
      </c>
      <c r="D665" s="22">
        <f ca="1">IFERROR(__xludf.DUMMYFUNCTION("""COMPUTED_VALUE"""),0)</f>
        <v>0</v>
      </c>
      <c r="E665" s="22">
        <f ca="1">IFERROR(__xludf.DUMMYFUNCTION("""COMPUTED_VALUE"""),500000)</f>
        <v>500000</v>
      </c>
      <c r="F665" s="22">
        <f ca="1">IFERROR(__xludf.DUMMYFUNCTION("""COMPUTED_VALUE"""),500000)</f>
        <v>500000</v>
      </c>
      <c r="G665" s="22">
        <f ca="1">IFERROR(__xludf.DUMMYFUNCTION("""COMPUTED_VALUE"""),0)</f>
        <v>0</v>
      </c>
      <c r="H665" s="7">
        <f ca="1">IFERROR(__xludf.DUMMYFUNCTION("""COMPUTED_VALUE"""),500000)</f>
        <v>500000</v>
      </c>
    </row>
    <row r="666" spans="1:8" ht="13" x14ac:dyDescent="0.15">
      <c r="A666" s="5" t="str">
        <f ca="1">IFERROR(__xludf.DUMMYFUNCTION("""COMPUTED_VALUE"""),"36242")</f>
        <v>36242</v>
      </c>
      <c r="B666" s="51">
        <f ca="1">IFERROR(__xludf.DUMMYFUNCTION("""COMPUTED_VALUE"""),44615)</f>
        <v>44615</v>
      </c>
      <c r="C666" s="22">
        <f ca="1">IFERROR(__xludf.DUMMYFUNCTION("""COMPUTED_VALUE"""),500000)</f>
        <v>500000</v>
      </c>
      <c r="D666" s="22">
        <f ca="1">IFERROR(__xludf.DUMMYFUNCTION("""COMPUTED_VALUE"""),0)</f>
        <v>0</v>
      </c>
      <c r="E666" s="22">
        <f ca="1">IFERROR(__xludf.DUMMYFUNCTION("""COMPUTED_VALUE"""),500000)</f>
        <v>500000</v>
      </c>
      <c r="F666" s="22">
        <f ca="1">IFERROR(__xludf.DUMMYFUNCTION("""COMPUTED_VALUE"""),500000)</f>
        <v>500000</v>
      </c>
      <c r="G666" s="22">
        <f ca="1">IFERROR(__xludf.DUMMYFUNCTION("""COMPUTED_VALUE"""),0)</f>
        <v>0</v>
      </c>
      <c r="H666" s="7">
        <f ca="1">IFERROR(__xludf.DUMMYFUNCTION("""COMPUTED_VALUE"""),500000)</f>
        <v>500000</v>
      </c>
    </row>
    <row r="667" spans="1:8" ht="13" x14ac:dyDescent="0.15">
      <c r="A667" s="5" t="str">
        <f ca="1">IFERROR(__xludf.DUMMYFUNCTION("""COMPUTED_VALUE"""),"36242")</f>
        <v>36242</v>
      </c>
      <c r="B667" s="51">
        <f ca="1">IFERROR(__xludf.DUMMYFUNCTION("""COMPUTED_VALUE"""),44616)</f>
        <v>44616</v>
      </c>
      <c r="C667" s="22">
        <f ca="1">IFERROR(__xludf.DUMMYFUNCTION("""COMPUTED_VALUE"""),500000)</f>
        <v>500000</v>
      </c>
      <c r="D667" s="22">
        <f ca="1">IFERROR(__xludf.DUMMYFUNCTION("""COMPUTED_VALUE"""),0)</f>
        <v>0</v>
      </c>
      <c r="E667" s="22">
        <f ca="1">IFERROR(__xludf.DUMMYFUNCTION("""COMPUTED_VALUE"""),500000)</f>
        <v>500000</v>
      </c>
      <c r="F667" s="22">
        <f ca="1">IFERROR(__xludf.DUMMYFUNCTION("""COMPUTED_VALUE"""),500000)</f>
        <v>500000</v>
      </c>
      <c r="G667" s="22">
        <f ca="1">IFERROR(__xludf.DUMMYFUNCTION("""COMPUTED_VALUE"""),0)</f>
        <v>0</v>
      </c>
      <c r="H667" s="7">
        <f ca="1">IFERROR(__xludf.DUMMYFUNCTION("""COMPUTED_VALUE"""),500000)</f>
        <v>500000</v>
      </c>
    </row>
    <row r="668" spans="1:8" ht="13" x14ac:dyDescent="0.15">
      <c r="A668" s="5" t="str">
        <f ca="1">IFERROR(__xludf.DUMMYFUNCTION("""COMPUTED_VALUE"""),"36242")</f>
        <v>36242</v>
      </c>
      <c r="B668" s="51">
        <f ca="1">IFERROR(__xludf.DUMMYFUNCTION("""COMPUTED_VALUE"""),44617)</f>
        <v>44617</v>
      </c>
      <c r="C668" s="22">
        <f ca="1">IFERROR(__xludf.DUMMYFUNCTION("""COMPUTED_VALUE"""),500000)</f>
        <v>500000</v>
      </c>
      <c r="D668" s="22">
        <f ca="1">IFERROR(__xludf.DUMMYFUNCTION("""COMPUTED_VALUE"""),0)</f>
        <v>0</v>
      </c>
      <c r="E668" s="22">
        <f ca="1">IFERROR(__xludf.DUMMYFUNCTION("""COMPUTED_VALUE"""),500000)</f>
        <v>500000</v>
      </c>
      <c r="F668" s="22">
        <f ca="1">IFERROR(__xludf.DUMMYFUNCTION("""COMPUTED_VALUE"""),500000)</f>
        <v>500000</v>
      </c>
      <c r="G668" s="22">
        <f ca="1">IFERROR(__xludf.DUMMYFUNCTION("""COMPUTED_VALUE"""),0)</f>
        <v>0</v>
      </c>
      <c r="H668" s="7">
        <f ca="1">IFERROR(__xludf.DUMMYFUNCTION("""COMPUTED_VALUE"""),500000)</f>
        <v>500000</v>
      </c>
    </row>
    <row r="669" spans="1:8" ht="13" x14ac:dyDescent="0.15">
      <c r="A669" s="5" t="str">
        <f ca="1">IFERROR(__xludf.DUMMYFUNCTION("""COMPUTED_VALUE"""),"36242")</f>
        <v>36242</v>
      </c>
      <c r="B669" s="51">
        <f ca="1">IFERROR(__xludf.DUMMYFUNCTION("""COMPUTED_VALUE"""),44618)</f>
        <v>44618</v>
      </c>
      <c r="C669" s="22">
        <f ca="1">IFERROR(__xludf.DUMMYFUNCTION("""COMPUTED_VALUE"""),500000)</f>
        <v>500000</v>
      </c>
      <c r="D669" s="22">
        <f ca="1">IFERROR(__xludf.DUMMYFUNCTION("""COMPUTED_VALUE"""),0)</f>
        <v>0</v>
      </c>
      <c r="E669" s="22">
        <f ca="1">IFERROR(__xludf.DUMMYFUNCTION("""COMPUTED_VALUE"""),500000)</f>
        <v>500000</v>
      </c>
      <c r="F669" s="22">
        <f ca="1">IFERROR(__xludf.DUMMYFUNCTION("""COMPUTED_VALUE"""),500000)</f>
        <v>500000</v>
      </c>
      <c r="G669" s="22">
        <f ca="1">IFERROR(__xludf.DUMMYFUNCTION("""COMPUTED_VALUE"""),0)</f>
        <v>0</v>
      </c>
      <c r="H669" s="7">
        <f ca="1">IFERROR(__xludf.DUMMYFUNCTION("""COMPUTED_VALUE"""),500000)</f>
        <v>500000</v>
      </c>
    </row>
    <row r="670" spans="1:8" ht="13" x14ac:dyDescent="0.15">
      <c r="A670" s="5" t="str">
        <f ca="1">IFERROR(__xludf.DUMMYFUNCTION("""COMPUTED_VALUE"""),"36242")</f>
        <v>36242</v>
      </c>
      <c r="B670" s="51">
        <f ca="1">IFERROR(__xludf.DUMMYFUNCTION("""COMPUTED_VALUE"""),44619)</f>
        <v>44619</v>
      </c>
      <c r="C670" s="22">
        <f ca="1">IFERROR(__xludf.DUMMYFUNCTION("""COMPUTED_VALUE"""),500000)</f>
        <v>500000</v>
      </c>
      <c r="D670" s="22">
        <f ca="1">IFERROR(__xludf.DUMMYFUNCTION("""COMPUTED_VALUE"""),0)</f>
        <v>0</v>
      </c>
      <c r="E670" s="22">
        <f ca="1">IFERROR(__xludf.DUMMYFUNCTION("""COMPUTED_VALUE"""),500000)</f>
        <v>500000</v>
      </c>
      <c r="F670" s="22">
        <f ca="1">IFERROR(__xludf.DUMMYFUNCTION("""COMPUTED_VALUE"""),500000)</f>
        <v>500000</v>
      </c>
      <c r="G670" s="22">
        <f ca="1">IFERROR(__xludf.DUMMYFUNCTION("""COMPUTED_VALUE"""),0)</f>
        <v>0</v>
      </c>
      <c r="H670" s="7">
        <f ca="1">IFERROR(__xludf.DUMMYFUNCTION("""COMPUTED_VALUE"""),500000)</f>
        <v>500000</v>
      </c>
    </row>
    <row r="671" spans="1:8" ht="13" x14ac:dyDescent="0.15">
      <c r="A671" s="5" t="str">
        <f ca="1">IFERROR(__xludf.DUMMYFUNCTION("""COMPUTED_VALUE"""),"36242")</f>
        <v>36242</v>
      </c>
      <c r="B671" s="51">
        <f ca="1">IFERROR(__xludf.DUMMYFUNCTION("""COMPUTED_VALUE"""),44620)</f>
        <v>44620</v>
      </c>
      <c r="C671" s="22">
        <f ca="1">IFERROR(__xludf.DUMMYFUNCTION("""COMPUTED_VALUE"""),500000)</f>
        <v>500000</v>
      </c>
      <c r="D671" s="22">
        <f ca="1">IFERROR(__xludf.DUMMYFUNCTION("""COMPUTED_VALUE"""),0)</f>
        <v>0</v>
      </c>
      <c r="E671" s="22">
        <f ca="1">IFERROR(__xludf.DUMMYFUNCTION("""COMPUTED_VALUE"""),500000)</f>
        <v>500000</v>
      </c>
      <c r="F671" s="22">
        <f ca="1">IFERROR(__xludf.DUMMYFUNCTION("""COMPUTED_VALUE"""),500000)</f>
        <v>500000</v>
      </c>
      <c r="G671" s="22">
        <f ca="1">IFERROR(__xludf.DUMMYFUNCTION("""COMPUTED_VALUE"""),0)</f>
        <v>0</v>
      </c>
      <c r="H671" s="7">
        <f ca="1">IFERROR(__xludf.DUMMYFUNCTION("""COMPUTED_VALUE"""),500000)</f>
        <v>500000</v>
      </c>
    </row>
    <row r="672" spans="1:8" ht="13" x14ac:dyDescent="0.15">
      <c r="A672" s="5" t="str">
        <f ca="1">IFERROR(__xludf.DUMMYFUNCTION("""COMPUTED_VALUE"""),"36242")</f>
        <v>36242</v>
      </c>
      <c r="B672" s="51">
        <f ca="1">IFERROR(__xludf.DUMMYFUNCTION("""COMPUTED_VALUE"""),44621)</f>
        <v>44621</v>
      </c>
      <c r="C672" s="22">
        <f ca="1">IFERROR(__xludf.DUMMYFUNCTION("""COMPUTED_VALUE"""),500000)</f>
        <v>500000</v>
      </c>
      <c r="D672" s="22">
        <f ca="1">IFERROR(__xludf.DUMMYFUNCTION("""COMPUTED_VALUE"""),0)</f>
        <v>0</v>
      </c>
      <c r="E672" s="22">
        <f ca="1">IFERROR(__xludf.DUMMYFUNCTION("""COMPUTED_VALUE"""),500000)</f>
        <v>500000</v>
      </c>
      <c r="F672" s="22">
        <f ca="1">IFERROR(__xludf.DUMMYFUNCTION("""COMPUTED_VALUE"""),500000)</f>
        <v>500000</v>
      </c>
      <c r="G672" s="22">
        <f ca="1">IFERROR(__xludf.DUMMYFUNCTION("""COMPUTED_VALUE"""),0)</f>
        <v>0</v>
      </c>
      <c r="H672" s="7">
        <f ca="1">IFERROR(__xludf.DUMMYFUNCTION("""COMPUTED_VALUE"""),500000)</f>
        <v>500000</v>
      </c>
    </row>
    <row r="673" spans="1:8" ht="13" x14ac:dyDescent="0.15">
      <c r="A673" s="5" t="str">
        <f ca="1">IFERROR(__xludf.DUMMYFUNCTION("""COMPUTED_VALUE"""),"36242")</f>
        <v>36242</v>
      </c>
      <c r="B673" s="51">
        <f ca="1">IFERROR(__xludf.DUMMYFUNCTION("""COMPUTED_VALUE"""),44622)</f>
        <v>44622</v>
      </c>
      <c r="C673" s="22">
        <f ca="1">IFERROR(__xludf.DUMMYFUNCTION("""COMPUTED_VALUE"""),500000)</f>
        <v>500000</v>
      </c>
      <c r="D673" s="22">
        <f ca="1">IFERROR(__xludf.DUMMYFUNCTION("""COMPUTED_VALUE"""),0)</f>
        <v>0</v>
      </c>
      <c r="E673" s="22">
        <f ca="1">IFERROR(__xludf.DUMMYFUNCTION("""COMPUTED_VALUE"""),500000)</f>
        <v>500000</v>
      </c>
      <c r="F673" s="22">
        <f ca="1">IFERROR(__xludf.DUMMYFUNCTION("""COMPUTED_VALUE"""),500000)</f>
        <v>500000</v>
      </c>
      <c r="G673" s="22">
        <f ca="1">IFERROR(__xludf.DUMMYFUNCTION("""COMPUTED_VALUE"""),0)</f>
        <v>0</v>
      </c>
      <c r="H673" s="7">
        <f ca="1">IFERROR(__xludf.DUMMYFUNCTION("""COMPUTED_VALUE"""),500000)</f>
        <v>500000</v>
      </c>
    </row>
    <row r="674" spans="1:8" ht="13" x14ac:dyDescent="0.15">
      <c r="A674" s="5" t="str">
        <f ca="1">IFERROR(__xludf.DUMMYFUNCTION("""COMPUTED_VALUE"""),"36242")</f>
        <v>36242</v>
      </c>
      <c r="B674" s="51">
        <f ca="1">IFERROR(__xludf.DUMMYFUNCTION("""COMPUTED_VALUE"""),44623)</f>
        <v>44623</v>
      </c>
      <c r="C674" s="22">
        <f ca="1">IFERROR(__xludf.DUMMYFUNCTION("""COMPUTED_VALUE"""),500000)</f>
        <v>500000</v>
      </c>
      <c r="D674" s="22">
        <f ca="1">IFERROR(__xludf.DUMMYFUNCTION("""COMPUTED_VALUE"""),0)</f>
        <v>0</v>
      </c>
      <c r="E674" s="22">
        <f ca="1">IFERROR(__xludf.DUMMYFUNCTION("""COMPUTED_VALUE"""),500000)</f>
        <v>500000</v>
      </c>
      <c r="F674" s="22">
        <f ca="1">IFERROR(__xludf.DUMMYFUNCTION("""COMPUTED_VALUE"""),500000)</f>
        <v>500000</v>
      </c>
      <c r="G674" s="22">
        <f ca="1">IFERROR(__xludf.DUMMYFUNCTION("""COMPUTED_VALUE"""),0)</f>
        <v>0</v>
      </c>
      <c r="H674" s="7">
        <f ca="1">IFERROR(__xludf.DUMMYFUNCTION("""COMPUTED_VALUE"""),500000)</f>
        <v>500000</v>
      </c>
    </row>
    <row r="675" spans="1:8" ht="13" x14ac:dyDescent="0.15">
      <c r="A675" s="5" t="str">
        <f ca="1">IFERROR(__xludf.DUMMYFUNCTION("""COMPUTED_VALUE"""),"36242")</f>
        <v>36242</v>
      </c>
      <c r="B675" s="51">
        <f ca="1">IFERROR(__xludf.DUMMYFUNCTION("""COMPUTED_VALUE"""),44624)</f>
        <v>44624</v>
      </c>
      <c r="C675" s="22">
        <f ca="1">IFERROR(__xludf.DUMMYFUNCTION("""COMPUTED_VALUE"""),500000)</f>
        <v>500000</v>
      </c>
      <c r="D675" s="22">
        <f ca="1">IFERROR(__xludf.DUMMYFUNCTION("""COMPUTED_VALUE"""),0)</f>
        <v>0</v>
      </c>
      <c r="E675" s="22">
        <f ca="1">IFERROR(__xludf.DUMMYFUNCTION("""COMPUTED_VALUE"""),500000)</f>
        <v>500000</v>
      </c>
      <c r="F675" s="22">
        <f ca="1">IFERROR(__xludf.DUMMYFUNCTION("""COMPUTED_VALUE"""),500000)</f>
        <v>500000</v>
      </c>
      <c r="G675" s="22">
        <f ca="1">IFERROR(__xludf.DUMMYFUNCTION("""COMPUTED_VALUE"""),0)</f>
        <v>0</v>
      </c>
      <c r="H675" s="7">
        <f ca="1">IFERROR(__xludf.DUMMYFUNCTION("""COMPUTED_VALUE"""),500000)</f>
        <v>500000</v>
      </c>
    </row>
    <row r="676" spans="1:8" ht="13" x14ac:dyDescent="0.15">
      <c r="A676" s="5" t="str">
        <f ca="1">IFERROR(__xludf.DUMMYFUNCTION("""COMPUTED_VALUE"""),"36242")</f>
        <v>36242</v>
      </c>
      <c r="B676" s="51">
        <f ca="1">IFERROR(__xludf.DUMMYFUNCTION("""COMPUTED_VALUE"""),44625)</f>
        <v>44625</v>
      </c>
      <c r="C676" s="22">
        <f ca="1">IFERROR(__xludf.DUMMYFUNCTION("""COMPUTED_VALUE"""),500000)</f>
        <v>500000</v>
      </c>
      <c r="D676" s="22">
        <f ca="1">IFERROR(__xludf.DUMMYFUNCTION("""COMPUTED_VALUE"""),0)</f>
        <v>0</v>
      </c>
      <c r="E676" s="22">
        <f ca="1">IFERROR(__xludf.DUMMYFUNCTION("""COMPUTED_VALUE"""),500000)</f>
        <v>500000</v>
      </c>
      <c r="F676" s="22">
        <f ca="1">IFERROR(__xludf.DUMMYFUNCTION("""COMPUTED_VALUE"""),500000)</f>
        <v>500000</v>
      </c>
      <c r="G676" s="22">
        <f ca="1">IFERROR(__xludf.DUMMYFUNCTION("""COMPUTED_VALUE"""),0)</f>
        <v>0</v>
      </c>
      <c r="H676" s="7">
        <f ca="1">IFERROR(__xludf.DUMMYFUNCTION("""COMPUTED_VALUE"""),500000)</f>
        <v>500000</v>
      </c>
    </row>
    <row r="677" spans="1:8" ht="13" x14ac:dyDescent="0.15">
      <c r="A677" s="5" t="str">
        <f ca="1">IFERROR(__xludf.DUMMYFUNCTION("""COMPUTED_VALUE"""),"36242")</f>
        <v>36242</v>
      </c>
      <c r="B677" s="51">
        <f ca="1">IFERROR(__xludf.DUMMYFUNCTION("""COMPUTED_VALUE"""),44626)</f>
        <v>44626</v>
      </c>
      <c r="C677" s="22">
        <f ca="1">IFERROR(__xludf.DUMMYFUNCTION("""COMPUTED_VALUE"""),500000)</f>
        <v>500000</v>
      </c>
      <c r="D677" s="22">
        <f ca="1">IFERROR(__xludf.DUMMYFUNCTION("""COMPUTED_VALUE"""),0)</f>
        <v>0</v>
      </c>
      <c r="E677" s="22">
        <f ca="1">IFERROR(__xludf.DUMMYFUNCTION("""COMPUTED_VALUE"""),500000)</f>
        <v>500000</v>
      </c>
      <c r="F677" s="22">
        <f ca="1">IFERROR(__xludf.DUMMYFUNCTION("""COMPUTED_VALUE"""),500000)</f>
        <v>500000</v>
      </c>
      <c r="G677" s="22">
        <f ca="1">IFERROR(__xludf.DUMMYFUNCTION("""COMPUTED_VALUE"""),0)</f>
        <v>0</v>
      </c>
      <c r="H677" s="7">
        <f ca="1">IFERROR(__xludf.DUMMYFUNCTION("""COMPUTED_VALUE"""),500000)</f>
        <v>500000</v>
      </c>
    </row>
    <row r="678" spans="1:8" ht="13" x14ac:dyDescent="0.15">
      <c r="A678" s="5" t="str">
        <f ca="1">IFERROR(__xludf.DUMMYFUNCTION("""COMPUTED_VALUE"""),"36242")</f>
        <v>36242</v>
      </c>
      <c r="B678" s="51">
        <f ca="1">IFERROR(__xludf.DUMMYFUNCTION("""COMPUTED_VALUE"""),44627)</f>
        <v>44627</v>
      </c>
      <c r="C678" s="22">
        <f ca="1">IFERROR(__xludf.DUMMYFUNCTION("""COMPUTED_VALUE"""),500000)</f>
        <v>500000</v>
      </c>
      <c r="D678" s="22">
        <f ca="1">IFERROR(__xludf.DUMMYFUNCTION("""COMPUTED_VALUE"""),0)</f>
        <v>0</v>
      </c>
      <c r="E678" s="22">
        <f ca="1">IFERROR(__xludf.DUMMYFUNCTION("""COMPUTED_VALUE"""),500000)</f>
        <v>500000</v>
      </c>
      <c r="F678" s="22">
        <f ca="1">IFERROR(__xludf.DUMMYFUNCTION("""COMPUTED_VALUE"""),500000)</f>
        <v>500000</v>
      </c>
      <c r="G678" s="22">
        <f ca="1">IFERROR(__xludf.DUMMYFUNCTION("""COMPUTED_VALUE"""),0)</f>
        <v>0</v>
      </c>
      <c r="H678" s="7">
        <f ca="1">IFERROR(__xludf.DUMMYFUNCTION("""COMPUTED_VALUE"""),500000)</f>
        <v>500000</v>
      </c>
    </row>
    <row r="679" spans="1:8" ht="13" x14ac:dyDescent="0.15">
      <c r="A679" s="5" t="str">
        <f ca="1">IFERROR(__xludf.DUMMYFUNCTION("""COMPUTED_VALUE"""),"36242")</f>
        <v>36242</v>
      </c>
      <c r="B679" s="51">
        <f ca="1">IFERROR(__xludf.DUMMYFUNCTION("""COMPUTED_VALUE"""),44628)</f>
        <v>44628</v>
      </c>
      <c r="C679" s="22">
        <f ca="1">IFERROR(__xludf.DUMMYFUNCTION("""COMPUTED_VALUE"""),500000)</f>
        <v>500000</v>
      </c>
      <c r="D679" s="22">
        <f ca="1">IFERROR(__xludf.DUMMYFUNCTION("""COMPUTED_VALUE"""),0)</f>
        <v>0</v>
      </c>
      <c r="E679" s="22">
        <f ca="1">IFERROR(__xludf.DUMMYFUNCTION("""COMPUTED_VALUE"""),500000)</f>
        <v>500000</v>
      </c>
      <c r="F679" s="22">
        <f ca="1">IFERROR(__xludf.DUMMYFUNCTION("""COMPUTED_VALUE"""),500000)</f>
        <v>500000</v>
      </c>
      <c r="G679" s="22">
        <f ca="1">IFERROR(__xludf.DUMMYFUNCTION("""COMPUTED_VALUE"""),0)</f>
        <v>0</v>
      </c>
      <c r="H679" s="7">
        <f ca="1">IFERROR(__xludf.DUMMYFUNCTION("""COMPUTED_VALUE"""),500000)</f>
        <v>500000</v>
      </c>
    </row>
    <row r="680" spans="1:8" ht="13" x14ac:dyDescent="0.15">
      <c r="A680" s="5" t="str">
        <f ca="1">IFERROR(__xludf.DUMMYFUNCTION("""COMPUTED_VALUE"""),"36242")</f>
        <v>36242</v>
      </c>
      <c r="B680" s="51">
        <f ca="1">IFERROR(__xludf.DUMMYFUNCTION("""COMPUTED_VALUE"""),44629)</f>
        <v>44629</v>
      </c>
      <c r="C680" s="22">
        <f ca="1">IFERROR(__xludf.DUMMYFUNCTION("""COMPUTED_VALUE"""),500000)</f>
        <v>500000</v>
      </c>
      <c r="D680" s="22">
        <f ca="1">IFERROR(__xludf.DUMMYFUNCTION("""COMPUTED_VALUE"""),0)</f>
        <v>0</v>
      </c>
      <c r="E680" s="22">
        <f ca="1">IFERROR(__xludf.DUMMYFUNCTION("""COMPUTED_VALUE"""),500000)</f>
        <v>500000</v>
      </c>
      <c r="F680" s="22">
        <f ca="1">IFERROR(__xludf.DUMMYFUNCTION("""COMPUTED_VALUE"""),500000)</f>
        <v>500000</v>
      </c>
      <c r="G680" s="22">
        <f ca="1">IFERROR(__xludf.DUMMYFUNCTION("""COMPUTED_VALUE"""),0)</f>
        <v>0</v>
      </c>
      <c r="H680" s="7">
        <f ca="1">IFERROR(__xludf.DUMMYFUNCTION("""COMPUTED_VALUE"""),500000)</f>
        <v>500000</v>
      </c>
    </row>
    <row r="681" spans="1:8" ht="13" x14ac:dyDescent="0.15">
      <c r="A681" s="5" t="str">
        <f ca="1">IFERROR(__xludf.DUMMYFUNCTION("""COMPUTED_VALUE"""),"36242")</f>
        <v>36242</v>
      </c>
      <c r="B681" s="51">
        <f ca="1">IFERROR(__xludf.DUMMYFUNCTION("""COMPUTED_VALUE"""),44630)</f>
        <v>44630</v>
      </c>
      <c r="C681" s="22">
        <f ca="1">IFERROR(__xludf.DUMMYFUNCTION("""COMPUTED_VALUE"""),500000)</f>
        <v>500000</v>
      </c>
      <c r="D681" s="22">
        <f ca="1">IFERROR(__xludf.DUMMYFUNCTION("""COMPUTED_VALUE"""),0)</f>
        <v>0</v>
      </c>
      <c r="E681" s="22">
        <f ca="1">IFERROR(__xludf.DUMMYFUNCTION("""COMPUTED_VALUE"""),500000)</f>
        <v>500000</v>
      </c>
      <c r="F681" s="22">
        <f ca="1">IFERROR(__xludf.DUMMYFUNCTION("""COMPUTED_VALUE"""),500000)</f>
        <v>500000</v>
      </c>
      <c r="G681" s="22">
        <f ca="1">IFERROR(__xludf.DUMMYFUNCTION("""COMPUTED_VALUE"""),0)</f>
        <v>0</v>
      </c>
      <c r="H681" s="7">
        <f ca="1">IFERROR(__xludf.DUMMYFUNCTION("""COMPUTED_VALUE"""),500000)</f>
        <v>500000</v>
      </c>
    </row>
    <row r="682" spans="1:8" ht="13" x14ac:dyDescent="0.15">
      <c r="A682" s="5" t="str">
        <f ca="1">IFERROR(__xludf.DUMMYFUNCTION("""COMPUTED_VALUE"""),"36242")</f>
        <v>36242</v>
      </c>
      <c r="B682" s="51">
        <f ca="1">IFERROR(__xludf.DUMMYFUNCTION("""COMPUTED_VALUE"""),44631)</f>
        <v>44631</v>
      </c>
      <c r="C682" s="22">
        <f ca="1">IFERROR(__xludf.DUMMYFUNCTION("""COMPUTED_VALUE"""),500000)</f>
        <v>500000</v>
      </c>
      <c r="D682" s="22">
        <f ca="1">IFERROR(__xludf.DUMMYFUNCTION("""COMPUTED_VALUE"""),0)</f>
        <v>0</v>
      </c>
      <c r="E682" s="22">
        <f ca="1">IFERROR(__xludf.DUMMYFUNCTION("""COMPUTED_VALUE"""),500000)</f>
        <v>500000</v>
      </c>
      <c r="F682" s="22">
        <f ca="1">IFERROR(__xludf.DUMMYFUNCTION("""COMPUTED_VALUE"""),500000)</f>
        <v>500000</v>
      </c>
      <c r="G682" s="22">
        <f ca="1">IFERROR(__xludf.DUMMYFUNCTION("""COMPUTED_VALUE"""),0)</f>
        <v>0</v>
      </c>
      <c r="H682" s="7">
        <f ca="1">IFERROR(__xludf.DUMMYFUNCTION("""COMPUTED_VALUE"""),500000)</f>
        <v>500000</v>
      </c>
    </row>
    <row r="683" spans="1:8" ht="13" x14ac:dyDescent="0.15">
      <c r="A683" s="5" t="str">
        <f ca="1">IFERROR(__xludf.DUMMYFUNCTION("""COMPUTED_VALUE"""),"36242")</f>
        <v>36242</v>
      </c>
      <c r="B683" s="51">
        <f ca="1">IFERROR(__xludf.DUMMYFUNCTION("""COMPUTED_VALUE"""),44632)</f>
        <v>44632</v>
      </c>
      <c r="C683" s="22">
        <f ca="1">IFERROR(__xludf.DUMMYFUNCTION("""COMPUTED_VALUE"""),500000)</f>
        <v>500000</v>
      </c>
      <c r="D683" s="22">
        <f ca="1">IFERROR(__xludf.DUMMYFUNCTION("""COMPUTED_VALUE"""),0)</f>
        <v>0</v>
      </c>
      <c r="E683" s="22">
        <f ca="1">IFERROR(__xludf.DUMMYFUNCTION("""COMPUTED_VALUE"""),500000)</f>
        <v>500000</v>
      </c>
      <c r="F683" s="22">
        <f ca="1">IFERROR(__xludf.DUMMYFUNCTION("""COMPUTED_VALUE"""),500000)</f>
        <v>500000</v>
      </c>
      <c r="G683" s="22">
        <f ca="1">IFERROR(__xludf.DUMMYFUNCTION("""COMPUTED_VALUE"""),0)</f>
        <v>0</v>
      </c>
      <c r="H683" s="7">
        <f ca="1">IFERROR(__xludf.DUMMYFUNCTION("""COMPUTED_VALUE"""),500000)</f>
        <v>500000</v>
      </c>
    </row>
    <row r="684" spans="1:8" ht="13" x14ac:dyDescent="0.15">
      <c r="A684" s="5" t="str">
        <f ca="1">IFERROR(__xludf.DUMMYFUNCTION("""COMPUTED_VALUE"""),"36242")</f>
        <v>36242</v>
      </c>
      <c r="B684" s="51">
        <f ca="1">IFERROR(__xludf.DUMMYFUNCTION("""COMPUTED_VALUE"""),44633)</f>
        <v>44633</v>
      </c>
      <c r="C684" s="22">
        <f ca="1">IFERROR(__xludf.DUMMYFUNCTION("""COMPUTED_VALUE"""),500000)</f>
        <v>500000</v>
      </c>
      <c r="D684" s="22">
        <f ca="1">IFERROR(__xludf.DUMMYFUNCTION("""COMPUTED_VALUE"""),0)</f>
        <v>0</v>
      </c>
      <c r="E684" s="22">
        <f ca="1">IFERROR(__xludf.DUMMYFUNCTION("""COMPUTED_VALUE"""),500000)</f>
        <v>500000</v>
      </c>
      <c r="F684" s="22">
        <f ca="1">IFERROR(__xludf.DUMMYFUNCTION("""COMPUTED_VALUE"""),500000)</f>
        <v>500000</v>
      </c>
      <c r="G684" s="22">
        <f ca="1">IFERROR(__xludf.DUMMYFUNCTION("""COMPUTED_VALUE"""),0)</f>
        <v>0</v>
      </c>
      <c r="H684" s="7">
        <f ca="1">IFERROR(__xludf.DUMMYFUNCTION("""COMPUTED_VALUE"""),500000)</f>
        <v>500000</v>
      </c>
    </row>
    <row r="685" spans="1:8" ht="13" x14ac:dyDescent="0.15">
      <c r="A685" s="5" t="str">
        <f ca="1">IFERROR(__xludf.DUMMYFUNCTION("""COMPUTED_VALUE"""),"36242")</f>
        <v>36242</v>
      </c>
      <c r="B685" s="51">
        <f ca="1">IFERROR(__xludf.DUMMYFUNCTION("""COMPUTED_VALUE"""),44634)</f>
        <v>44634</v>
      </c>
      <c r="C685" s="22">
        <f ca="1">IFERROR(__xludf.DUMMYFUNCTION("""COMPUTED_VALUE"""),500000)</f>
        <v>500000</v>
      </c>
      <c r="D685" s="22">
        <f ca="1">IFERROR(__xludf.DUMMYFUNCTION("""COMPUTED_VALUE"""),0)</f>
        <v>0</v>
      </c>
      <c r="E685" s="22">
        <f ca="1">IFERROR(__xludf.DUMMYFUNCTION("""COMPUTED_VALUE"""),500000)</f>
        <v>500000</v>
      </c>
      <c r="F685" s="22">
        <f ca="1">IFERROR(__xludf.DUMMYFUNCTION("""COMPUTED_VALUE"""),500000)</f>
        <v>500000</v>
      </c>
      <c r="G685" s="22">
        <f ca="1">IFERROR(__xludf.DUMMYFUNCTION("""COMPUTED_VALUE"""),0)</f>
        <v>0</v>
      </c>
      <c r="H685" s="7">
        <f ca="1">IFERROR(__xludf.DUMMYFUNCTION("""COMPUTED_VALUE"""),500000)</f>
        <v>500000</v>
      </c>
    </row>
    <row r="686" spans="1:8" ht="13" x14ac:dyDescent="0.15">
      <c r="A686" s="5" t="str">
        <f ca="1">IFERROR(__xludf.DUMMYFUNCTION("""COMPUTED_VALUE"""),"36242")</f>
        <v>36242</v>
      </c>
      <c r="B686" s="51">
        <f ca="1">IFERROR(__xludf.DUMMYFUNCTION("""COMPUTED_VALUE"""),44635)</f>
        <v>44635</v>
      </c>
      <c r="C686" s="22">
        <f ca="1">IFERROR(__xludf.DUMMYFUNCTION("""COMPUTED_VALUE"""),500000)</f>
        <v>500000</v>
      </c>
      <c r="D686" s="22">
        <f ca="1">IFERROR(__xludf.DUMMYFUNCTION("""COMPUTED_VALUE"""),0)</f>
        <v>0</v>
      </c>
      <c r="E686" s="22">
        <f ca="1">IFERROR(__xludf.DUMMYFUNCTION("""COMPUTED_VALUE"""),500000)</f>
        <v>500000</v>
      </c>
      <c r="F686" s="22">
        <f ca="1">IFERROR(__xludf.DUMMYFUNCTION("""COMPUTED_VALUE"""),500000)</f>
        <v>500000</v>
      </c>
      <c r="G686" s="22">
        <f ca="1">IFERROR(__xludf.DUMMYFUNCTION("""COMPUTED_VALUE"""),0)</f>
        <v>0</v>
      </c>
      <c r="H686" s="7">
        <f ca="1">IFERROR(__xludf.DUMMYFUNCTION("""COMPUTED_VALUE"""),500000)</f>
        <v>500000</v>
      </c>
    </row>
    <row r="687" spans="1:8" ht="13" x14ac:dyDescent="0.15">
      <c r="A687" s="5" t="str">
        <f ca="1">IFERROR(__xludf.DUMMYFUNCTION("""COMPUTED_VALUE"""),"36242")</f>
        <v>36242</v>
      </c>
      <c r="B687" s="51">
        <f ca="1">IFERROR(__xludf.DUMMYFUNCTION("""COMPUTED_VALUE"""),44636)</f>
        <v>44636</v>
      </c>
      <c r="C687" s="22">
        <f ca="1">IFERROR(__xludf.DUMMYFUNCTION("""COMPUTED_VALUE"""),500000)</f>
        <v>500000</v>
      </c>
      <c r="D687" s="22">
        <f ca="1">IFERROR(__xludf.DUMMYFUNCTION("""COMPUTED_VALUE"""),0)</f>
        <v>0</v>
      </c>
      <c r="E687" s="22">
        <f ca="1">IFERROR(__xludf.DUMMYFUNCTION("""COMPUTED_VALUE"""),500000)</f>
        <v>500000</v>
      </c>
      <c r="F687" s="22">
        <f ca="1">IFERROR(__xludf.DUMMYFUNCTION("""COMPUTED_VALUE"""),500000)</f>
        <v>500000</v>
      </c>
      <c r="G687" s="22">
        <f ca="1">IFERROR(__xludf.DUMMYFUNCTION("""COMPUTED_VALUE"""),0)</f>
        <v>0</v>
      </c>
      <c r="H687" s="7">
        <f ca="1">IFERROR(__xludf.DUMMYFUNCTION("""COMPUTED_VALUE"""),500000)</f>
        <v>500000</v>
      </c>
    </row>
    <row r="688" spans="1:8" ht="13" x14ac:dyDescent="0.15">
      <c r="A688" s="5" t="str">
        <f ca="1">IFERROR(__xludf.DUMMYFUNCTION("""COMPUTED_VALUE"""),"36242")</f>
        <v>36242</v>
      </c>
      <c r="B688" s="51">
        <f ca="1">IFERROR(__xludf.DUMMYFUNCTION("""COMPUTED_VALUE"""),44637)</f>
        <v>44637</v>
      </c>
      <c r="C688" s="22">
        <f ca="1">IFERROR(__xludf.DUMMYFUNCTION("""COMPUTED_VALUE"""),500000)</f>
        <v>500000</v>
      </c>
      <c r="D688" s="22">
        <f ca="1">IFERROR(__xludf.DUMMYFUNCTION("""COMPUTED_VALUE"""),0)</f>
        <v>0</v>
      </c>
      <c r="E688" s="22">
        <f ca="1">IFERROR(__xludf.DUMMYFUNCTION("""COMPUTED_VALUE"""),500000)</f>
        <v>500000</v>
      </c>
      <c r="F688" s="22">
        <f ca="1">IFERROR(__xludf.DUMMYFUNCTION("""COMPUTED_VALUE"""),500000)</f>
        <v>500000</v>
      </c>
      <c r="G688" s="22">
        <f ca="1">IFERROR(__xludf.DUMMYFUNCTION("""COMPUTED_VALUE"""),0)</f>
        <v>0</v>
      </c>
      <c r="H688" s="7">
        <f ca="1">IFERROR(__xludf.DUMMYFUNCTION("""COMPUTED_VALUE"""),500000)</f>
        <v>500000</v>
      </c>
    </row>
    <row r="689" spans="1:8" ht="13" x14ac:dyDescent="0.15">
      <c r="A689" s="5" t="str">
        <f ca="1">IFERROR(__xludf.DUMMYFUNCTION("""COMPUTED_VALUE"""),"36242")</f>
        <v>36242</v>
      </c>
      <c r="B689" s="51">
        <f ca="1">IFERROR(__xludf.DUMMYFUNCTION("""COMPUTED_VALUE"""),44638)</f>
        <v>44638</v>
      </c>
      <c r="C689" s="22">
        <f ca="1">IFERROR(__xludf.DUMMYFUNCTION("""COMPUTED_VALUE"""),500000)</f>
        <v>500000</v>
      </c>
      <c r="D689" s="22">
        <f ca="1">IFERROR(__xludf.DUMMYFUNCTION("""COMPUTED_VALUE"""),0)</f>
        <v>0</v>
      </c>
      <c r="E689" s="22">
        <f ca="1">IFERROR(__xludf.DUMMYFUNCTION("""COMPUTED_VALUE"""),500000)</f>
        <v>500000</v>
      </c>
      <c r="F689" s="22">
        <f ca="1">IFERROR(__xludf.DUMMYFUNCTION("""COMPUTED_VALUE"""),500000)</f>
        <v>500000</v>
      </c>
      <c r="G689" s="22">
        <f ca="1">IFERROR(__xludf.DUMMYFUNCTION("""COMPUTED_VALUE"""),0)</f>
        <v>0</v>
      </c>
      <c r="H689" s="7">
        <f ca="1">IFERROR(__xludf.DUMMYFUNCTION("""COMPUTED_VALUE"""),500000)</f>
        <v>500000</v>
      </c>
    </row>
    <row r="690" spans="1:8" ht="13" x14ac:dyDescent="0.15">
      <c r="A690" s="5" t="str">
        <f ca="1">IFERROR(__xludf.DUMMYFUNCTION("""COMPUTED_VALUE"""),"36242")</f>
        <v>36242</v>
      </c>
      <c r="B690" s="51">
        <f ca="1">IFERROR(__xludf.DUMMYFUNCTION("""COMPUTED_VALUE"""),44639)</f>
        <v>44639</v>
      </c>
      <c r="C690" s="22">
        <f ca="1">IFERROR(__xludf.DUMMYFUNCTION("""COMPUTED_VALUE"""),500000)</f>
        <v>500000</v>
      </c>
      <c r="D690" s="22">
        <f ca="1">IFERROR(__xludf.DUMMYFUNCTION("""COMPUTED_VALUE"""),0)</f>
        <v>0</v>
      </c>
      <c r="E690" s="22">
        <f ca="1">IFERROR(__xludf.DUMMYFUNCTION("""COMPUTED_VALUE"""),500000)</f>
        <v>500000</v>
      </c>
      <c r="F690" s="22">
        <f ca="1">IFERROR(__xludf.DUMMYFUNCTION("""COMPUTED_VALUE"""),500000)</f>
        <v>500000</v>
      </c>
      <c r="G690" s="22">
        <f ca="1">IFERROR(__xludf.DUMMYFUNCTION("""COMPUTED_VALUE"""),0)</f>
        <v>0</v>
      </c>
      <c r="H690" s="7">
        <f ca="1">IFERROR(__xludf.DUMMYFUNCTION("""COMPUTED_VALUE"""),500000)</f>
        <v>500000</v>
      </c>
    </row>
    <row r="691" spans="1:8" ht="13" x14ac:dyDescent="0.15">
      <c r="A691" s="5" t="str">
        <f ca="1">IFERROR(__xludf.DUMMYFUNCTION("""COMPUTED_VALUE"""),"36242")</f>
        <v>36242</v>
      </c>
      <c r="B691" s="51">
        <f ca="1">IFERROR(__xludf.DUMMYFUNCTION("""COMPUTED_VALUE"""),44640)</f>
        <v>44640</v>
      </c>
      <c r="C691" s="22">
        <f ca="1">IFERROR(__xludf.DUMMYFUNCTION("""COMPUTED_VALUE"""),500000)</f>
        <v>500000</v>
      </c>
      <c r="D691" s="22">
        <f ca="1">IFERROR(__xludf.DUMMYFUNCTION("""COMPUTED_VALUE"""),0)</f>
        <v>0</v>
      </c>
      <c r="E691" s="22">
        <f ca="1">IFERROR(__xludf.DUMMYFUNCTION("""COMPUTED_VALUE"""),500000)</f>
        <v>500000</v>
      </c>
      <c r="F691" s="22">
        <f ca="1">IFERROR(__xludf.DUMMYFUNCTION("""COMPUTED_VALUE"""),500000)</f>
        <v>500000</v>
      </c>
      <c r="G691" s="22">
        <f ca="1">IFERROR(__xludf.DUMMYFUNCTION("""COMPUTED_VALUE"""),0)</f>
        <v>0</v>
      </c>
      <c r="H691" s="7">
        <f ca="1">IFERROR(__xludf.DUMMYFUNCTION("""COMPUTED_VALUE"""),500000)</f>
        <v>500000</v>
      </c>
    </row>
    <row r="692" spans="1:8" ht="13" x14ac:dyDescent="0.15">
      <c r="A692" s="5" t="str">
        <f ca="1">IFERROR(__xludf.DUMMYFUNCTION("""COMPUTED_VALUE"""),"36242")</f>
        <v>36242</v>
      </c>
      <c r="B692" s="51">
        <f ca="1">IFERROR(__xludf.DUMMYFUNCTION("""COMPUTED_VALUE"""),44641)</f>
        <v>44641</v>
      </c>
      <c r="C692" s="22">
        <f ca="1">IFERROR(__xludf.DUMMYFUNCTION("""COMPUTED_VALUE"""),500000)</f>
        <v>500000</v>
      </c>
      <c r="D692" s="22">
        <f ca="1">IFERROR(__xludf.DUMMYFUNCTION("""COMPUTED_VALUE"""),0)</f>
        <v>0</v>
      </c>
      <c r="E692" s="22">
        <f ca="1">IFERROR(__xludf.DUMMYFUNCTION("""COMPUTED_VALUE"""),500000)</f>
        <v>500000</v>
      </c>
      <c r="F692" s="22">
        <f ca="1">IFERROR(__xludf.DUMMYFUNCTION("""COMPUTED_VALUE"""),500000)</f>
        <v>500000</v>
      </c>
      <c r="G692" s="22">
        <f ca="1">IFERROR(__xludf.DUMMYFUNCTION("""COMPUTED_VALUE"""),0)</f>
        <v>0</v>
      </c>
      <c r="H692" s="7">
        <f ca="1">IFERROR(__xludf.DUMMYFUNCTION("""COMPUTED_VALUE"""),500000)</f>
        <v>500000</v>
      </c>
    </row>
    <row r="693" spans="1:8" ht="13" x14ac:dyDescent="0.15">
      <c r="A693" s="5" t="str">
        <f ca="1">IFERROR(__xludf.DUMMYFUNCTION("""COMPUTED_VALUE"""),"36242")</f>
        <v>36242</v>
      </c>
      <c r="B693" s="51">
        <f ca="1">IFERROR(__xludf.DUMMYFUNCTION("""COMPUTED_VALUE"""),44642)</f>
        <v>44642</v>
      </c>
      <c r="C693" s="22">
        <f ca="1">IFERROR(__xludf.DUMMYFUNCTION("""COMPUTED_VALUE"""),500000)</f>
        <v>500000</v>
      </c>
      <c r="D693" s="22">
        <f ca="1">IFERROR(__xludf.DUMMYFUNCTION("""COMPUTED_VALUE"""),0)</f>
        <v>0</v>
      </c>
      <c r="E693" s="22">
        <f ca="1">IFERROR(__xludf.DUMMYFUNCTION("""COMPUTED_VALUE"""),500000)</f>
        <v>500000</v>
      </c>
      <c r="F693" s="22">
        <f ca="1">IFERROR(__xludf.DUMMYFUNCTION("""COMPUTED_VALUE"""),500000)</f>
        <v>500000</v>
      </c>
      <c r="G693" s="22">
        <f ca="1">IFERROR(__xludf.DUMMYFUNCTION("""COMPUTED_VALUE"""),0)</f>
        <v>0</v>
      </c>
      <c r="H693" s="7">
        <f ca="1">IFERROR(__xludf.DUMMYFUNCTION("""COMPUTED_VALUE"""),500000)</f>
        <v>500000</v>
      </c>
    </row>
    <row r="694" spans="1:8" ht="13" x14ac:dyDescent="0.15">
      <c r="A694" s="5" t="str">
        <f ca="1">IFERROR(__xludf.DUMMYFUNCTION("""COMPUTED_VALUE"""),"36252")</f>
        <v>36252</v>
      </c>
      <c r="B694" s="51">
        <f ca="1">IFERROR(__xludf.DUMMYFUNCTION("""COMPUTED_VALUE"""),44597)</f>
        <v>44597</v>
      </c>
      <c r="C694" s="22">
        <f ca="1">IFERROR(__xludf.DUMMYFUNCTION("""COMPUTED_VALUE"""),500000)</f>
        <v>500000</v>
      </c>
      <c r="D694" s="22">
        <f ca="1">IFERROR(__xludf.DUMMYFUNCTION("""COMPUTED_VALUE"""),0)</f>
        <v>0</v>
      </c>
      <c r="E694" s="22">
        <f ca="1">IFERROR(__xludf.DUMMYFUNCTION("""COMPUTED_VALUE"""),500000)</f>
        <v>500000</v>
      </c>
      <c r="F694" s="22">
        <f ca="1">IFERROR(__xludf.DUMMYFUNCTION("""COMPUTED_VALUE"""),500000)</f>
        <v>500000</v>
      </c>
      <c r="G694" s="22">
        <f ca="1">IFERROR(__xludf.DUMMYFUNCTION("""COMPUTED_VALUE"""),0)</f>
        <v>0</v>
      </c>
      <c r="H694" s="7">
        <f ca="1">IFERROR(__xludf.DUMMYFUNCTION("""COMPUTED_VALUE"""),500000)</f>
        <v>500000</v>
      </c>
    </row>
    <row r="695" spans="1:8" ht="13" x14ac:dyDescent="0.15">
      <c r="A695" s="5" t="str">
        <f ca="1">IFERROR(__xludf.DUMMYFUNCTION("""COMPUTED_VALUE"""),"36252")</f>
        <v>36252</v>
      </c>
      <c r="B695" s="51">
        <f ca="1">IFERROR(__xludf.DUMMYFUNCTION("""COMPUTED_VALUE"""),44598)</f>
        <v>44598</v>
      </c>
      <c r="C695" s="22">
        <f ca="1">IFERROR(__xludf.DUMMYFUNCTION("""COMPUTED_VALUE"""),500000)</f>
        <v>500000</v>
      </c>
      <c r="D695" s="22">
        <f ca="1">IFERROR(__xludf.DUMMYFUNCTION("""COMPUTED_VALUE"""),0)</f>
        <v>0</v>
      </c>
      <c r="E695" s="22">
        <f ca="1">IFERROR(__xludf.DUMMYFUNCTION("""COMPUTED_VALUE"""),500000)</f>
        <v>500000</v>
      </c>
      <c r="F695" s="22">
        <f ca="1">IFERROR(__xludf.DUMMYFUNCTION("""COMPUTED_VALUE"""),500000)</f>
        <v>500000</v>
      </c>
      <c r="G695" s="22">
        <f ca="1">IFERROR(__xludf.DUMMYFUNCTION("""COMPUTED_VALUE"""),0)</f>
        <v>0</v>
      </c>
      <c r="H695" s="7">
        <f ca="1">IFERROR(__xludf.DUMMYFUNCTION("""COMPUTED_VALUE"""),500000)</f>
        <v>500000</v>
      </c>
    </row>
    <row r="696" spans="1:8" ht="13" x14ac:dyDescent="0.15">
      <c r="A696" s="5" t="str">
        <f ca="1">IFERROR(__xludf.DUMMYFUNCTION("""COMPUTED_VALUE"""),"36252")</f>
        <v>36252</v>
      </c>
      <c r="B696" s="51">
        <f ca="1">IFERROR(__xludf.DUMMYFUNCTION("""COMPUTED_VALUE"""),44599)</f>
        <v>44599</v>
      </c>
      <c r="C696" s="22">
        <f ca="1">IFERROR(__xludf.DUMMYFUNCTION("""COMPUTED_VALUE"""),500000)</f>
        <v>500000</v>
      </c>
      <c r="D696" s="22">
        <f ca="1">IFERROR(__xludf.DUMMYFUNCTION("""COMPUTED_VALUE"""),0)</f>
        <v>0</v>
      </c>
      <c r="E696" s="22">
        <f ca="1">IFERROR(__xludf.DUMMYFUNCTION("""COMPUTED_VALUE"""),500000)</f>
        <v>500000</v>
      </c>
      <c r="F696" s="22">
        <f ca="1">IFERROR(__xludf.DUMMYFUNCTION("""COMPUTED_VALUE"""),500000)</f>
        <v>500000</v>
      </c>
      <c r="G696" s="22">
        <f ca="1">IFERROR(__xludf.DUMMYFUNCTION("""COMPUTED_VALUE"""),0)</f>
        <v>0</v>
      </c>
      <c r="H696" s="7">
        <f ca="1">IFERROR(__xludf.DUMMYFUNCTION("""COMPUTED_VALUE"""),500000)</f>
        <v>500000</v>
      </c>
    </row>
    <row r="697" spans="1:8" ht="13" x14ac:dyDescent="0.15">
      <c r="A697" s="5" t="str">
        <f ca="1">IFERROR(__xludf.DUMMYFUNCTION("""COMPUTED_VALUE"""),"36252")</f>
        <v>36252</v>
      </c>
      <c r="B697" s="51">
        <f ca="1">IFERROR(__xludf.DUMMYFUNCTION("""COMPUTED_VALUE"""),44600)</f>
        <v>44600</v>
      </c>
      <c r="C697" s="22">
        <f ca="1">IFERROR(__xludf.DUMMYFUNCTION("""COMPUTED_VALUE"""),500000)</f>
        <v>500000</v>
      </c>
      <c r="D697" s="22">
        <f ca="1">IFERROR(__xludf.DUMMYFUNCTION("""COMPUTED_VALUE"""),0)</f>
        <v>0</v>
      </c>
      <c r="E697" s="22">
        <f ca="1">IFERROR(__xludf.DUMMYFUNCTION("""COMPUTED_VALUE"""),500000)</f>
        <v>500000</v>
      </c>
      <c r="F697" s="22">
        <f ca="1">IFERROR(__xludf.DUMMYFUNCTION("""COMPUTED_VALUE"""),500000)</f>
        <v>500000</v>
      </c>
      <c r="G697" s="22">
        <f ca="1">IFERROR(__xludf.DUMMYFUNCTION("""COMPUTED_VALUE"""),0)</f>
        <v>0</v>
      </c>
      <c r="H697" s="7">
        <f ca="1">IFERROR(__xludf.DUMMYFUNCTION("""COMPUTED_VALUE"""),500000)</f>
        <v>500000</v>
      </c>
    </row>
    <row r="698" spans="1:8" ht="13" x14ac:dyDescent="0.15">
      <c r="A698" s="5" t="str">
        <f ca="1">IFERROR(__xludf.DUMMYFUNCTION("""COMPUTED_VALUE"""),"36252")</f>
        <v>36252</v>
      </c>
      <c r="B698" s="51">
        <f ca="1">IFERROR(__xludf.DUMMYFUNCTION("""COMPUTED_VALUE"""),44601)</f>
        <v>44601</v>
      </c>
      <c r="C698" s="22">
        <f ca="1">IFERROR(__xludf.DUMMYFUNCTION("""COMPUTED_VALUE"""),500000)</f>
        <v>500000</v>
      </c>
      <c r="D698" s="22">
        <f ca="1">IFERROR(__xludf.DUMMYFUNCTION("""COMPUTED_VALUE"""),0)</f>
        <v>0</v>
      </c>
      <c r="E698" s="22">
        <f ca="1">IFERROR(__xludf.DUMMYFUNCTION("""COMPUTED_VALUE"""),500000)</f>
        <v>500000</v>
      </c>
      <c r="F698" s="22">
        <f ca="1">IFERROR(__xludf.DUMMYFUNCTION("""COMPUTED_VALUE"""),500000)</f>
        <v>500000</v>
      </c>
      <c r="G698" s="22">
        <f ca="1">IFERROR(__xludf.DUMMYFUNCTION("""COMPUTED_VALUE"""),0)</f>
        <v>0</v>
      </c>
      <c r="H698" s="7">
        <f ca="1">IFERROR(__xludf.DUMMYFUNCTION("""COMPUTED_VALUE"""),500000)</f>
        <v>500000</v>
      </c>
    </row>
    <row r="699" spans="1:8" ht="13" x14ac:dyDescent="0.15">
      <c r="A699" s="5" t="str">
        <f ca="1">IFERROR(__xludf.DUMMYFUNCTION("""COMPUTED_VALUE"""),"36252")</f>
        <v>36252</v>
      </c>
      <c r="B699" s="51">
        <f ca="1">IFERROR(__xludf.DUMMYFUNCTION("""COMPUTED_VALUE"""),44602)</f>
        <v>44602</v>
      </c>
      <c r="C699" s="22">
        <f ca="1">IFERROR(__xludf.DUMMYFUNCTION("""COMPUTED_VALUE"""),500000)</f>
        <v>500000</v>
      </c>
      <c r="D699" s="22">
        <f ca="1">IFERROR(__xludf.DUMMYFUNCTION("""COMPUTED_VALUE"""),0)</f>
        <v>0</v>
      </c>
      <c r="E699" s="22">
        <f ca="1">IFERROR(__xludf.DUMMYFUNCTION("""COMPUTED_VALUE"""),500000)</f>
        <v>500000</v>
      </c>
      <c r="F699" s="22">
        <f ca="1">IFERROR(__xludf.DUMMYFUNCTION("""COMPUTED_VALUE"""),500000)</f>
        <v>500000</v>
      </c>
      <c r="G699" s="22">
        <f ca="1">IFERROR(__xludf.DUMMYFUNCTION("""COMPUTED_VALUE"""),0)</f>
        <v>0</v>
      </c>
      <c r="H699" s="7">
        <f ca="1">IFERROR(__xludf.DUMMYFUNCTION("""COMPUTED_VALUE"""),500000)</f>
        <v>500000</v>
      </c>
    </row>
    <row r="700" spans="1:8" ht="13" x14ac:dyDescent="0.15">
      <c r="A700" s="5" t="str">
        <f ca="1">IFERROR(__xludf.DUMMYFUNCTION("""COMPUTED_VALUE"""),"36252")</f>
        <v>36252</v>
      </c>
      <c r="B700" s="51">
        <f ca="1">IFERROR(__xludf.DUMMYFUNCTION("""COMPUTED_VALUE"""),44603)</f>
        <v>44603</v>
      </c>
      <c r="C700" s="22">
        <f ca="1">IFERROR(__xludf.DUMMYFUNCTION("""COMPUTED_VALUE"""),500000)</f>
        <v>500000</v>
      </c>
      <c r="D700" s="22">
        <f ca="1">IFERROR(__xludf.DUMMYFUNCTION("""COMPUTED_VALUE"""),0)</f>
        <v>0</v>
      </c>
      <c r="E700" s="22">
        <f ca="1">IFERROR(__xludf.DUMMYFUNCTION("""COMPUTED_VALUE"""),500000)</f>
        <v>500000</v>
      </c>
      <c r="F700" s="22">
        <f ca="1">IFERROR(__xludf.DUMMYFUNCTION("""COMPUTED_VALUE"""),500000)</f>
        <v>500000</v>
      </c>
      <c r="G700" s="22">
        <f ca="1">IFERROR(__xludf.DUMMYFUNCTION("""COMPUTED_VALUE"""),0)</f>
        <v>0</v>
      </c>
      <c r="H700" s="7">
        <f ca="1">IFERROR(__xludf.DUMMYFUNCTION("""COMPUTED_VALUE"""),500000)</f>
        <v>500000</v>
      </c>
    </row>
    <row r="701" spans="1:8" ht="13" x14ac:dyDescent="0.15">
      <c r="A701" s="5" t="str">
        <f ca="1">IFERROR(__xludf.DUMMYFUNCTION("""COMPUTED_VALUE"""),"36252")</f>
        <v>36252</v>
      </c>
      <c r="B701" s="51">
        <f ca="1">IFERROR(__xludf.DUMMYFUNCTION("""COMPUTED_VALUE"""),44604)</f>
        <v>44604</v>
      </c>
      <c r="C701" s="22">
        <f ca="1">IFERROR(__xludf.DUMMYFUNCTION("""COMPUTED_VALUE"""),500000)</f>
        <v>500000</v>
      </c>
      <c r="D701" s="22">
        <f ca="1">IFERROR(__xludf.DUMMYFUNCTION("""COMPUTED_VALUE"""),0)</f>
        <v>0</v>
      </c>
      <c r="E701" s="22">
        <f ca="1">IFERROR(__xludf.DUMMYFUNCTION("""COMPUTED_VALUE"""),500000)</f>
        <v>500000</v>
      </c>
      <c r="F701" s="22">
        <f ca="1">IFERROR(__xludf.DUMMYFUNCTION("""COMPUTED_VALUE"""),500000)</f>
        <v>500000</v>
      </c>
      <c r="G701" s="22">
        <f ca="1">IFERROR(__xludf.DUMMYFUNCTION("""COMPUTED_VALUE"""),0)</f>
        <v>0</v>
      </c>
      <c r="H701" s="7">
        <f ca="1">IFERROR(__xludf.DUMMYFUNCTION("""COMPUTED_VALUE"""),500000)</f>
        <v>500000</v>
      </c>
    </row>
    <row r="702" spans="1:8" ht="13" x14ac:dyDescent="0.15">
      <c r="A702" s="5" t="str">
        <f ca="1">IFERROR(__xludf.DUMMYFUNCTION("""COMPUTED_VALUE"""),"36252")</f>
        <v>36252</v>
      </c>
      <c r="B702" s="51">
        <f ca="1">IFERROR(__xludf.DUMMYFUNCTION("""COMPUTED_VALUE"""),44605)</f>
        <v>44605</v>
      </c>
      <c r="C702" s="22">
        <f ca="1">IFERROR(__xludf.DUMMYFUNCTION("""COMPUTED_VALUE"""),500000)</f>
        <v>500000</v>
      </c>
      <c r="D702" s="22">
        <f ca="1">IFERROR(__xludf.DUMMYFUNCTION("""COMPUTED_VALUE"""),0)</f>
        <v>0</v>
      </c>
      <c r="E702" s="22">
        <f ca="1">IFERROR(__xludf.DUMMYFUNCTION("""COMPUTED_VALUE"""),500000)</f>
        <v>500000</v>
      </c>
      <c r="F702" s="22">
        <f ca="1">IFERROR(__xludf.DUMMYFUNCTION("""COMPUTED_VALUE"""),500000)</f>
        <v>500000</v>
      </c>
      <c r="G702" s="22">
        <f ca="1">IFERROR(__xludf.DUMMYFUNCTION("""COMPUTED_VALUE"""),0)</f>
        <v>0</v>
      </c>
      <c r="H702" s="7">
        <f ca="1">IFERROR(__xludf.DUMMYFUNCTION("""COMPUTED_VALUE"""),500000)</f>
        <v>500000</v>
      </c>
    </row>
    <row r="703" spans="1:8" ht="13" x14ac:dyDescent="0.15">
      <c r="A703" s="5" t="str">
        <f ca="1">IFERROR(__xludf.DUMMYFUNCTION("""COMPUTED_VALUE"""),"36252")</f>
        <v>36252</v>
      </c>
      <c r="B703" s="51">
        <f ca="1">IFERROR(__xludf.DUMMYFUNCTION("""COMPUTED_VALUE"""),44606)</f>
        <v>44606</v>
      </c>
      <c r="C703" s="22">
        <f ca="1">IFERROR(__xludf.DUMMYFUNCTION("""COMPUTED_VALUE"""),500000)</f>
        <v>500000</v>
      </c>
      <c r="D703" s="22">
        <f ca="1">IFERROR(__xludf.DUMMYFUNCTION("""COMPUTED_VALUE"""),0)</f>
        <v>0</v>
      </c>
      <c r="E703" s="22">
        <f ca="1">IFERROR(__xludf.DUMMYFUNCTION("""COMPUTED_VALUE"""),500000)</f>
        <v>500000</v>
      </c>
      <c r="F703" s="22">
        <f ca="1">IFERROR(__xludf.DUMMYFUNCTION("""COMPUTED_VALUE"""),500000)</f>
        <v>500000</v>
      </c>
      <c r="G703" s="22">
        <f ca="1">IFERROR(__xludf.DUMMYFUNCTION("""COMPUTED_VALUE"""),0)</f>
        <v>0</v>
      </c>
      <c r="H703" s="7">
        <f ca="1">IFERROR(__xludf.DUMMYFUNCTION("""COMPUTED_VALUE"""),500000)</f>
        <v>500000</v>
      </c>
    </row>
    <row r="704" spans="1:8" ht="13" x14ac:dyDescent="0.15">
      <c r="A704" s="5" t="str">
        <f ca="1">IFERROR(__xludf.DUMMYFUNCTION("""COMPUTED_VALUE"""),"36252")</f>
        <v>36252</v>
      </c>
      <c r="B704" s="51">
        <f ca="1">IFERROR(__xludf.DUMMYFUNCTION("""COMPUTED_VALUE"""),44607)</f>
        <v>44607</v>
      </c>
      <c r="C704" s="22">
        <f ca="1">IFERROR(__xludf.DUMMYFUNCTION("""COMPUTED_VALUE"""),500000)</f>
        <v>500000</v>
      </c>
      <c r="D704" s="22">
        <f ca="1">IFERROR(__xludf.DUMMYFUNCTION("""COMPUTED_VALUE"""),0)</f>
        <v>0</v>
      </c>
      <c r="E704" s="22">
        <f ca="1">IFERROR(__xludf.DUMMYFUNCTION("""COMPUTED_VALUE"""),500000)</f>
        <v>500000</v>
      </c>
      <c r="F704" s="22">
        <f ca="1">IFERROR(__xludf.DUMMYFUNCTION("""COMPUTED_VALUE"""),500000)</f>
        <v>500000</v>
      </c>
      <c r="G704" s="22">
        <f ca="1">IFERROR(__xludf.DUMMYFUNCTION("""COMPUTED_VALUE"""),0)</f>
        <v>0</v>
      </c>
      <c r="H704" s="7">
        <f ca="1">IFERROR(__xludf.DUMMYFUNCTION("""COMPUTED_VALUE"""),500000)</f>
        <v>500000</v>
      </c>
    </row>
    <row r="705" spans="1:8" ht="13" x14ac:dyDescent="0.15">
      <c r="A705" s="5" t="str">
        <f ca="1">IFERROR(__xludf.DUMMYFUNCTION("""COMPUTED_VALUE"""),"36252")</f>
        <v>36252</v>
      </c>
      <c r="B705" s="51">
        <f ca="1">IFERROR(__xludf.DUMMYFUNCTION("""COMPUTED_VALUE"""),44608)</f>
        <v>44608</v>
      </c>
      <c r="C705" s="22">
        <f ca="1">IFERROR(__xludf.DUMMYFUNCTION("""COMPUTED_VALUE"""),500000)</f>
        <v>500000</v>
      </c>
      <c r="D705" s="22">
        <f ca="1">IFERROR(__xludf.DUMMYFUNCTION("""COMPUTED_VALUE"""),0)</f>
        <v>0</v>
      </c>
      <c r="E705" s="22">
        <f ca="1">IFERROR(__xludf.DUMMYFUNCTION("""COMPUTED_VALUE"""),500000)</f>
        <v>500000</v>
      </c>
      <c r="F705" s="22">
        <f ca="1">IFERROR(__xludf.DUMMYFUNCTION("""COMPUTED_VALUE"""),500000)</f>
        <v>500000</v>
      </c>
      <c r="G705" s="22">
        <f ca="1">IFERROR(__xludf.DUMMYFUNCTION("""COMPUTED_VALUE"""),0)</f>
        <v>0</v>
      </c>
      <c r="H705" s="7">
        <f ca="1">IFERROR(__xludf.DUMMYFUNCTION("""COMPUTED_VALUE"""),500000)</f>
        <v>500000</v>
      </c>
    </row>
    <row r="706" spans="1:8" ht="13" x14ac:dyDescent="0.15">
      <c r="A706" s="5" t="str">
        <f ca="1">IFERROR(__xludf.DUMMYFUNCTION("""COMPUTED_VALUE"""),"36252")</f>
        <v>36252</v>
      </c>
      <c r="B706" s="51">
        <f ca="1">IFERROR(__xludf.DUMMYFUNCTION("""COMPUTED_VALUE"""),44609)</f>
        <v>44609</v>
      </c>
      <c r="C706" s="22">
        <f ca="1">IFERROR(__xludf.DUMMYFUNCTION("""COMPUTED_VALUE"""),500000)</f>
        <v>500000</v>
      </c>
      <c r="D706" s="22">
        <f ca="1">IFERROR(__xludf.DUMMYFUNCTION("""COMPUTED_VALUE"""),0)</f>
        <v>0</v>
      </c>
      <c r="E706" s="22">
        <f ca="1">IFERROR(__xludf.DUMMYFUNCTION("""COMPUTED_VALUE"""),500000)</f>
        <v>500000</v>
      </c>
      <c r="F706" s="22">
        <f ca="1">IFERROR(__xludf.DUMMYFUNCTION("""COMPUTED_VALUE"""),500000)</f>
        <v>500000</v>
      </c>
      <c r="G706" s="22">
        <f ca="1">IFERROR(__xludf.DUMMYFUNCTION("""COMPUTED_VALUE"""),0)</f>
        <v>0</v>
      </c>
      <c r="H706" s="7">
        <f ca="1">IFERROR(__xludf.DUMMYFUNCTION("""COMPUTED_VALUE"""),500000)</f>
        <v>500000</v>
      </c>
    </row>
    <row r="707" spans="1:8" ht="13" x14ac:dyDescent="0.15">
      <c r="A707" s="5" t="str">
        <f ca="1">IFERROR(__xludf.DUMMYFUNCTION("""COMPUTED_VALUE"""),"36252")</f>
        <v>36252</v>
      </c>
      <c r="B707" s="51">
        <f ca="1">IFERROR(__xludf.DUMMYFUNCTION("""COMPUTED_VALUE"""),44610)</f>
        <v>44610</v>
      </c>
      <c r="C707" s="22">
        <f ca="1">IFERROR(__xludf.DUMMYFUNCTION("""COMPUTED_VALUE"""),500000)</f>
        <v>500000</v>
      </c>
      <c r="D707" s="22">
        <f ca="1">IFERROR(__xludf.DUMMYFUNCTION("""COMPUTED_VALUE"""),0)</f>
        <v>0</v>
      </c>
      <c r="E707" s="22">
        <f ca="1">IFERROR(__xludf.DUMMYFUNCTION("""COMPUTED_VALUE"""),500000)</f>
        <v>500000</v>
      </c>
      <c r="F707" s="22">
        <f ca="1">IFERROR(__xludf.DUMMYFUNCTION("""COMPUTED_VALUE"""),500000)</f>
        <v>500000</v>
      </c>
      <c r="G707" s="22">
        <f ca="1">IFERROR(__xludf.DUMMYFUNCTION("""COMPUTED_VALUE"""),0)</f>
        <v>0</v>
      </c>
      <c r="H707" s="7">
        <f ca="1">IFERROR(__xludf.DUMMYFUNCTION("""COMPUTED_VALUE"""),500000)</f>
        <v>500000</v>
      </c>
    </row>
    <row r="708" spans="1:8" ht="13" x14ac:dyDescent="0.15">
      <c r="A708" s="5" t="str">
        <f ca="1">IFERROR(__xludf.DUMMYFUNCTION("""COMPUTED_VALUE"""),"36252")</f>
        <v>36252</v>
      </c>
      <c r="B708" s="51">
        <f ca="1">IFERROR(__xludf.DUMMYFUNCTION("""COMPUTED_VALUE"""),44611)</f>
        <v>44611</v>
      </c>
      <c r="C708" s="22">
        <f ca="1">IFERROR(__xludf.DUMMYFUNCTION("""COMPUTED_VALUE"""),500000)</f>
        <v>500000</v>
      </c>
      <c r="D708" s="22">
        <f ca="1">IFERROR(__xludf.DUMMYFUNCTION("""COMPUTED_VALUE"""),0)</f>
        <v>0</v>
      </c>
      <c r="E708" s="22">
        <f ca="1">IFERROR(__xludf.DUMMYFUNCTION("""COMPUTED_VALUE"""),500000)</f>
        <v>500000</v>
      </c>
      <c r="F708" s="22">
        <f ca="1">IFERROR(__xludf.DUMMYFUNCTION("""COMPUTED_VALUE"""),500000)</f>
        <v>500000</v>
      </c>
      <c r="G708" s="22">
        <f ca="1">IFERROR(__xludf.DUMMYFUNCTION("""COMPUTED_VALUE"""),0)</f>
        <v>0</v>
      </c>
      <c r="H708" s="7">
        <f ca="1">IFERROR(__xludf.DUMMYFUNCTION("""COMPUTED_VALUE"""),500000)</f>
        <v>500000</v>
      </c>
    </row>
    <row r="709" spans="1:8" ht="13" x14ac:dyDescent="0.15">
      <c r="A709" s="5" t="str">
        <f ca="1">IFERROR(__xludf.DUMMYFUNCTION("""COMPUTED_VALUE"""),"36252")</f>
        <v>36252</v>
      </c>
      <c r="B709" s="51">
        <f ca="1">IFERROR(__xludf.DUMMYFUNCTION("""COMPUTED_VALUE"""),44612)</f>
        <v>44612</v>
      </c>
      <c r="C709" s="22">
        <f ca="1">IFERROR(__xludf.DUMMYFUNCTION("""COMPUTED_VALUE"""),500000)</f>
        <v>500000</v>
      </c>
      <c r="D709" s="22">
        <f ca="1">IFERROR(__xludf.DUMMYFUNCTION("""COMPUTED_VALUE"""),0)</f>
        <v>0</v>
      </c>
      <c r="E709" s="22">
        <f ca="1">IFERROR(__xludf.DUMMYFUNCTION("""COMPUTED_VALUE"""),500000)</f>
        <v>500000</v>
      </c>
      <c r="F709" s="22">
        <f ca="1">IFERROR(__xludf.DUMMYFUNCTION("""COMPUTED_VALUE"""),500000)</f>
        <v>500000</v>
      </c>
      <c r="G709" s="22">
        <f ca="1">IFERROR(__xludf.DUMMYFUNCTION("""COMPUTED_VALUE"""),0)</f>
        <v>0</v>
      </c>
      <c r="H709" s="7">
        <f ca="1">IFERROR(__xludf.DUMMYFUNCTION("""COMPUTED_VALUE"""),500000)</f>
        <v>500000</v>
      </c>
    </row>
    <row r="710" spans="1:8" ht="13" x14ac:dyDescent="0.15">
      <c r="A710" s="5" t="str">
        <f ca="1">IFERROR(__xludf.DUMMYFUNCTION("""COMPUTED_VALUE"""),"36252")</f>
        <v>36252</v>
      </c>
      <c r="B710" s="51">
        <f ca="1">IFERROR(__xludf.DUMMYFUNCTION("""COMPUTED_VALUE"""),44613)</f>
        <v>44613</v>
      </c>
      <c r="C710" s="22">
        <f ca="1">IFERROR(__xludf.DUMMYFUNCTION("""COMPUTED_VALUE"""),500000)</f>
        <v>500000</v>
      </c>
      <c r="D710" s="22">
        <f ca="1">IFERROR(__xludf.DUMMYFUNCTION("""COMPUTED_VALUE"""),0)</f>
        <v>0</v>
      </c>
      <c r="E710" s="22">
        <f ca="1">IFERROR(__xludf.DUMMYFUNCTION("""COMPUTED_VALUE"""),500000)</f>
        <v>500000</v>
      </c>
      <c r="F710" s="22">
        <f ca="1">IFERROR(__xludf.DUMMYFUNCTION("""COMPUTED_VALUE"""),500000)</f>
        <v>500000</v>
      </c>
      <c r="G710" s="22">
        <f ca="1">IFERROR(__xludf.DUMMYFUNCTION("""COMPUTED_VALUE"""),0)</f>
        <v>0</v>
      </c>
      <c r="H710" s="7">
        <f ca="1">IFERROR(__xludf.DUMMYFUNCTION("""COMPUTED_VALUE"""),500000)</f>
        <v>500000</v>
      </c>
    </row>
    <row r="711" spans="1:8" ht="13" x14ac:dyDescent="0.15">
      <c r="A711" s="5" t="str">
        <f ca="1">IFERROR(__xludf.DUMMYFUNCTION("""COMPUTED_VALUE"""),"36252")</f>
        <v>36252</v>
      </c>
      <c r="B711" s="51">
        <f ca="1">IFERROR(__xludf.DUMMYFUNCTION("""COMPUTED_VALUE"""),44614)</f>
        <v>44614</v>
      </c>
      <c r="C711" s="22">
        <f ca="1">IFERROR(__xludf.DUMMYFUNCTION("""COMPUTED_VALUE"""),500000)</f>
        <v>500000</v>
      </c>
      <c r="D711" s="22">
        <f ca="1">IFERROR(__xludf.DUMMYFUNCTION("""COMPUTED_VALUE"""),0)</f>
        <v>0</v>
      </c>
      <c r="E711" s="22">
        <f ca="1">IFERROR(__xludf.DUMMYFUNCTION("""COMPUTED_VALUE"""),500000)</f>
        <v>500000</v>
      </c>
      <c r="F711" s="22">
        <f ca="1">IFERROR(__xludf.DUMMYFUNCTION("""COMPUTED_VALUE"""),500000)</f>
        <v>500000</v>
      </c>
      <c r="G711" s="22">
        <f ca="1">IFERROR(__xludf.DUMMYFUNCTION("""COMPUTED_VALUE"""),0)</f>
        <v>0</v>
      </c>
      <c r="H711" s="7">
        <f ca="1">IFERROR(__xludf.DUMMYFUNCTION("""COMPUTED_VALUE"""),500000)</f>
        <v>500000</v>
      </c>
    </row>
    <row r="712" spans="1:8" ht="13" x14ac:dyDescent="0.15">
      <c r="A712" s="5" t="str">
        <f ca="1">IFERROR(__xludf.DUMMYFUNCTION("""COMPUTED_VALUE"""),"36252")</f>
        <v>36252</v>
      </c>
      <c r="B712" s="51">
        <f ca="1">IFERROR(__xludf.DUMMYFUNCTION("""COMPUTED_VALUE"""),44615)</f>
        <v>44615</v>
      </c>
      <c r="C712" s="22">
        <f ca="1">IFERROR(__xludf.DUMMYFUNCTION("""COMPUTED_VALUE"""),500000)</f>
        <v>500000</v>
      </c>
      <c r="D712" s="22">
        <f ca="1">IFERROR(__xludf.DUMMYFUNCTION("""COMPUTED_VALUE"""),0)</f>
        <v>0</v>
      </c>
      <c r="E712" s="22">
        <f ca="1">IFERROR(__xludf.DUMMYFUNCTION("""COMPUTED_VALUE"""),500000)</f>
        <v>500000</v>
      </c>
      <c r="F712" s="22">
        <f ca="1">IFERROR(__xludf.DUMMYFUNCTION("""COMPUTED_VALUE"""),500000)</f>
        <v>500000</v>
      </c>
      <c r="G712" s="22">
        <f ca="1">IFERROR(__xludf.DUMMYFUNCTION("""COMPUTED_VALUE"""),0)</f>
        <v>0</v>
      </c>
      <c r="H712" s="7">
        <f ca="1">IFERROR(__xludf.DUMMYFUNCTION("""COMPUTED_VALUE"""),500000)</f>
        <v>500000</v>
      </c>
    </row>
    <row r="713" spans="1:8" ht="13" x14ac:dyDescent="0.15">
      <c r="A713" s="5" t="str">
        <f ca="1">IFERROR(__xludf.DUMMYFUNCTION("""COMPUTED_VALUE"""),"36252")</f>
        <v>36252</v>
      </c>
      <c r="B713" s="51">
        <f ca="1">IFERROR(__xludf.DUMMYFUNCTION("""COMPUTED_VALUE"""),44616)</f>
        <v>44616</v>
      </c>
      <c r="C713" s="22">
        <f ca="1">IFERROR(__xludf.DUMMYFUNCTION("""COMPUTED_VALUE"""),500000)</f>
        <v>500000</v>
      </c>
      <c r="D713" s="22">
        <f ca="1">IFERROR(__xludf.DUMMYFUNCTION("""COMPUTED_VALUE"""),0)</f>
        <v>0</v>
      </c>
      <c r="E713" s="22">
        <f ca="1">IFERROR(__xludf.DUMMYFUNCTION("""COMPUTED_VALUE"""),500000)</f>
        <v>500000</v>
      </c>
      <c r="F713" s="22">
        <f ca="1">IFERROR(__xludf.DUMMYFUNCTION("""COMPUTED_VALUE"""),500000)</f>
        <v>500000</v>
      </c>
      <c r="G713" s="22">
        <f ca="1">IFERROR(__xludf.DUMMYFUNCTION("""COMPUTED_VALUE"""),0)</f>
        <v>0</v>
      </c>
      <c r="H713" s="7">
        <f ca="1">IFERROR(__xludf.DUMMYFUNCTION("""COMPUTED_VALUE"""),500000)</f>
        <v>500000</v>
      </c>
    </row>
    <row r="714" spans="1:8" ht="13" x14ac:dyDescent="0.15">
      <c r="A714" s="5" t="str">
        <f ca="1">IFERROR(__xludf.DUMMYFUNCTION("""COMPUTED_VALUE"""),"36252")</f>
        <v>36252</v>
      </c>
      <c r="B714" s="51">
        <f ca="1">IFERROR(__xludf.DUMMYFUNCTION("""COMPUTED_VALUE"""),44617)</f>
        <v>44617</v>
      </c>
      <c r="C714" s="22">
        <f ca="1">IFERROR(__xludf.DUMMYFUNCTION("""COMPUTED_VALUE"""),500000)</f>
        <v>500000</v>
      </c>
      <c r="D714" s="22">
        <f ca="1">IFERROR(__xludf.DUMMYFUNCTION("""COMPUTED_VALUE"""),0)</f>
        <v>0</v>
      </c>
      <c r="E714" s="22">
        <f ca="1">IFERROR(__xludf.DUMMYFUNCTION("""COMPUTED_VALUE"""),500000)</f>
        <v>500000</v>
      </c>
      <c r="F714" s="22">
        <f ca="1">IFERROR(__xludf.DUMMYFUNCTION("""COMPUTED_VALUE"""),500000)</f>
        <v>500000</v>
      </c>
      <c r="G714" s="22">
        <f ca="1">IFERROR(__xludf.DUMMYFUNCTION("""COMPUTED_VALUE"""),0)</f>
        <v>0</v>
      </c>
      <c r="H714" s="7">
        <f ca="1">IFERROR(__xludf.DUMMYFUNCTION("""COMPUTED_VALUE"""),500000)</f>
        <v>500000</v>
      </c>
    </row>
    <row r="715" spans="1:8" ht="13" x14ac:dyDescent="0.15">
      <c r="A715" s="5" t="str">
        <f ca="1">IFERROR(__xludf.DUMMYFUNCTION("""COMPUTED_VALUE"""),"36252")</f>
        <v>36252</v>
      </c>
      <c r="B715" s="51">
        <f ca="1">IFERROR(__xludf.DUMMYFUNCTION("""COMPUTED_VALUE"""),44618)</f>
        <v>44618</v>
      </c>
      <c r="C715" s="22">
        <f ca="1">IFERROR(__xludf.DUMMYFUNCTION("""COMPUTED_VALUE"""),500000)</f>
        <v>500000</v>
      </c>
      <c r="D715" s="22">
        <f ca="1">IFERROR(__xludf.DUMMYFUNCTION("""COMPUTED_VALUE"""),0)</f>
        <v>0</v>
      </c>
      <c r="E715" s="22">
        <f ca="1">IFERROR(__xludf.DUMMYFUNCTION("""COMPUTED_VALUE"""),500000)</f>
        <v>500000</v>
      </c>
      <c r="F715" s="22">
        <f ca="1">IFERROR(__xludf.DUMMYFUNCTION("""COMPUTED_VALUE"""),500000)</f>
        <v>500000</v>
      </c>
      <c r="G715" s="22">
        <f ca="1">IFERROR(__xludf.DUMMYFUNCTION("""COMPUTED_VALUE"""),0)</f>
        <v>0</v>
      </c>
      <c r="H715" s="7">
        <f ca="1">IFERROR(__xludf.DUMMYFUNCTION("""COMPUTED_VALUE"""),500000)</f>
        <v>500000</v>
      </c>
    </row>
    <row r="716" spans="1:8" ht="13" x14ac:dyDescent="0.15">
      <c r="A716" s="5" t="str">
        <f ca="1">IFERROR(__xludf.DUMMYFUNCTION("""COMPUTED_VALUE"""),"36252")</f>
        <v>36252</v>
      </c>
      <c r="B716" s="51">
        <f ca="1">IFERROR(__xludf.DUMMYFUNCTION("""COMPUTED_VALUE"""),44619)</f>
        <v>44619</v>
      </c>
      <c r="C716" s="22">
        <f ca="1">IFERROR(__xludf.DUMMYFUNCTION("""COMPUTED_VALUE"""),500000)</f>
        <v>500000</v>
      </c>
      <c r="D716" s="22">
        <f ca="1">IFERROR(__xludf.DUMMYFUNCTION("""COMPUTED_VALUE"""),0)</f>
        <v>0</v>
      </c>
      <c r="E716" s="22">
        <f ca="1">IFERROR(__xludf.DUMMYFUNCTION("""COMPUTED_VALUE"""),500000)</f>
        <v>500000</v>
      </c>
      <c r="F716" s="22">
        <f ca="1">IFERROR(__xludf.DUMMYFUNCTION("""COMPUTED_VALUE"""),500000)</f>
        <v>500000</v>
      </c>
      <c r="G716" s="22">
        <f ca="1">IFERROR(__xludf.DUMMYFUNCTION("""COMPUTED_VALUE"""),0)</f>
        <v>0</v>
      </c>
      <c r="H716" s="7">
        <f ca="1">IFERROR(__xludf.DUMMYFUNCTION("""COMPUTED_VALUE"""),500000)</f>
        <v>500000</v>
      </c>
    </row>
    <row r="717" spans="1:8" ht="13" x14ac:dyDescent="0.15">
      <c r="A717" s="5" t="str">
        <f ca="1">IFERROR(__xludf.DUMMYFUNCTION("""COMPUTED_VALUE"""),"36252")</f>
        <v>36252</v>
      </c>
      <c r="B717" s="51">
        <f ca="1">IFERROR(__xludf.DUMMYFUNCTION("""COMPUTED_VALUE"""),44620)</f>
        <v>44620</v>
      </c>
      <c r="C717" s="22">
        <f ca="1">IFERROR(__xludf.DUMMYFUNCTION("""COMPUTED_VALUE"""),500000)</f>
        <v>500000</v>
      </c>
      <c r="D717" s="22">
        <f ca="1">IFERROR(__xludf.DUMMYFUNCTION("""COMPUTED_VALUE"""),0)</f>
        <v>0</v>
      </c>
      <c r="E717" s="22">
        <f ca="1">IFERROR(__xludf.DUMMYFUNCTION("""COMPUTED_VALUE"""),500000)</f>
        <v>500000</v>
      </c>
      <c r="F717" s="22">
        <f ca="1">IFERROR(__xludf.DUMMYFUNCTION("""COMPUTED_VALUE"""),500000)</f>
        <v>500000</v>
      </c>
      <c r="G717" s="22">
        <f ca="1">IFERROR(__xludf.DUMMYFUNCTION("""COMPUTED_VALUE"""),0)</f>
        <v>0</v>
      </c>
      <c r="H717" s="7">
        <f ca="1">IFERROR(__xludf.DUMMYFUNCTION("""COMPUTED_VALUE"""),500000)</f>
        <v>500000</v>
      </c>
    </row>
    <row r="718" spans="1:8" ht="13" x14ac:dyDescent="0.15">
      <c r="A718" s="5" t="str">
        <f ca="1">IFERROR(__xludf.DUMMYFUNCTION("""COMPUTED_VALUE"""),"36252")</f>
        <v>36252</v>
      </c>
      <c r="B718" s="51">
        <f ca="1">IFERROR(__xludf.DUMMYFUNCTION("""COMPUTED_VALUE"""),44621)</f>
        <v>44621</v>
      </c>
      <c r="C718" s="22">
        <f ca="1">IFERROR(__xludf.DUMMYFUNCTION("""COMPUTED_VALUE"""),500000)</f>
        <v>500000</v>
      </c>
      <c r="D718" s="22">
        <f ca="1">IFERROR(__xludf.DUMMYFUNCTION("""COMPUTED_VALUE"""),0)</f>
        <v>0</v>
      </c>
      <c r="E718" s="22">
        <f ca="1">IFERROR(__xludf.DUMMYFUNCTION("""COMPUTED_VALUE"""),500000)</f>
        <v>500000</v>
      </c>
      <c r="F718" s="22">
        <f ca="1">IFERROR(__xludf.DUMMYFUNCTION("""COMPUTED_VALUE"""),500000)</f>
        <v>500000</v>
      </c>
      <c r="G718" s="22">
        <f ca="1">IFERROR(__xludf.DUMMYFUNCTION("""COMPUTED_VALUE"""),0)</f>
        <v>0</v>
      </c>
      <c r="H718" s="7">
        <f ca="1">IFERROR(__xludf.DUMMYFUNCTION("""COMPUTED_VALUE"""),500000)</f>
        <v>500000</v>
      </c>
    </row>
    <row r="719" spans="1:8" ht="13" x14ac:dyDescent="0.15">
      <c r="A719" s="5" t="str">
        <f ca="1">IFERROR(__xludf.DUMMYFUNCTION("""COMPUTED_VALUE"""),"36252")</f>
        <v>36252</v>
      </c>
      <c r="B719" s="51">
        <f ca="1">IFERROR(__xludf.DUMMYFUNCTION("""COMPUTED_VALUE"""),44622)</f>
        <v>44622</v>
      </c>
      <c r="C719" s="22">
        <f ca="1">IFERROR(__xludf.DUMMYFUNCTION("""COMPUTED_VALUE"""),500000)</f>
        <v>500000</v>
      </c>
      <c r="D719" s="22">
        <f ca="1">IFERROR(__xludf.DUMMYFUNCTION("""COMPUTED_VALUE"""),0)</f>
        <v>0</v>
      </c>
      <c r="E719" s="22">
        <f ca="1">IFERROR(__xludf.DUMMYFUNCTION("""COMPUTED_VALUE"""),500000)</f>
        <v>500000</v>
      </c>
      <c r="F719" s="22">
        <f ca="1">IFERROR(__xludf.DUMMYFUNCTION("""COMPUTED_VALUE"""),500000)</f>
        <v>500000</v>
      </c>
      <c r="G719" s="22">
        <f ca="1">IFERROR(__xludf.DUMMYFUNCTION("""COMPUTED_VALUE"""),0)</f>
        <v>0</v>
      </c>
      <c r="H719" s="7">
        <f ca="1">IFERROR(__xludf.DUMMYFUNCTION("""COMPUTED_VALUE"""),500000)</f>
        <v>500000</v>
      </c>
    </row>
    <row r="720" spans="1:8" ht="13" x14ac:dyDescent="0.15">
      <c r="A720" s="5" t="str">
        <f ca="1">IFERROR(__xludf.DUMMYFUNCTION("""COMPUTED_VALUE"""),"36252")</f>
        <v>36252</v>
      </c>
      <c r="B720" s="51">
        <f ca="1">IFERROR(__xludf.DUMMYFUNCTION("""COMPUTED_VALUE"""),44623)</f>
        <v>44623</v>
      </c>
      <c r="C720" s="22">
        <f ca="1">IFERROR(__xludf.DUMMYFUNCTION("""COMPUTED_VALUE"""),500000)</f>
        <v>500000</v>
      </c>
      <c r="D720" s="22">
        <f ca="1">IFERROR(__xludf.DUMMYFUNCTION("""COMPUTED_VALUE"""),0)</f>
        <v>0</v>
      </c>
      <c r="E720" s="22">
        <f ca="1">IFERROR(__xludf.DUMMYFUNCTION("""COMPUTED_VALUE"""),500000)</f>
        <v>500000</v>
      </c>
      <c r="F720" s="22">
        <f ca="1">IFERROR(__xludf.DUMMYFUNCTION("""COMPUTED_VALUE"""),500000)</f>
        <v>500000</v>
      </c>
      <c r="G720" s="22">
        <f ca="1">IFERROR(__xludf.DUMMYFUNCTION("""COMPUTED_VALUE"""),0)</f>
        <v>0</v>
      </c>
      <c r="H720" s="7">
        <f ca="1">IFERROR(__xludf.DUMMYFUNCTION("""COMPUTED_VALUE"""),500000)</f>
        <v>500000</v>
      </c>
    </row>
    <row r="721" spans="1:8" ht="13" x14ac:dyDescent="0.15">
      <c r="A721" s="5" t="str">
        <f ca="1">IFERROR(__xludf.DUMMYFUNCTION("""COMPUTED_VALUE"""),"36252")</f>
        <v>36252</v>
      </c>
      <c r="B721" s="51">
        <f ca="1">IFERROR(__xludf.DUMMYFUNCTION("""COMPUTED_VALUE"""),44624)</f>
        <v>44624</v>
      </c>
      <c r="C721" s="22">
        <f ca="1">IFERROR(__xludf.DUMMYFUNCTION("""COMPUTED_VALUE"""),500000)</f>
        <v>500000</v>
      </c>
      <c r="D721" s="22">
        <f ca="1">IFERROR(__xludf.DUMMYFUNCTION("""COMPUTED_VALUE"""),0)</f>
        <v>0</v>
      </c>
      <c r="E721" s="22">
        <f ca="1">IFERROR(__xludf.DUMMYFUNCTION("""COMPUTED_VALUE"""),500000)</f>
        <v>500000</v>
      </c>
      <c r="F721" s="22">
        <f ca="1">IFERROR(__xludf.DUMMYFUNCTION("""COMPUTED_VALUE"""),500000)</f>
        <v>500000</v>
      </c>
      <c r="G721" s="22">
        <f ca="1">IFERROR(__xludf.DUMMYFUNCTION("""COMPUTED_VALUE"""),0)</f>
        <v>0</v>
      </c>
      <c r="H721" s="7">
        <f ca="1">IFERROR(__xludf.DUMMYFUNCTION("""COMPUTED_VALUE"""),500000)</f>
        <v>500000</v>
      </c>
    </row>
    <row r="722" spans="1:8" ht="13" x14ac:dyDescent="0.15">
      <c r="A722" s="5" t="str">
        <f ca="1">IFERROR(__xludf.DUMMYFUNCTION("""COMPUTED_VALUE"""),"36252")</f>
        <v>36252</v>
      </c>
      <c r="B722" s="51">
        <f ca="1">IFERROR(__xludf.DUMMYFUNCTION("""COMPUTED_VALUE"""),44625)</f>
        <v>44625</v>
      </c>
      <c r="C722" s="22">
        <f ca="1">IFERROR(__xludf.DUMMYFUNCTION("""COMPUTED_VALUE"""),500000)</f>
        <v>500000</v>
      </c>
      <c r="D722" s="22">
        <f ca="1">IFERROR(__xludf.DUMMYFUNCTION("""COMPUTED_VALUE"""),0)</f>
        <v>0</v>
      </c>
      <c r="E722" s="22">
        <f ca="1">IFERROR(__xludf.DUMMYFUNCTION("""COMPUTED_VALUE"""),500000)</f>
        <v>500000</v>
      </c>
      <c r="F722" s="22">
        <f ca="1">IFERROR(__xludf.DUMMYFUNCTION("""COMPUTED_VALUE"""),500000)</f>
        <v>500000</v>
      </c>
      <c r="G722" s="22">
        <f ca="1">IFERROR(__xludf.DUMMYFUNCTION("""COMPUTED_VALUE"""),0)</f>
        <v>0</v>
      </c>
      <c r="H722" s="7">
        <f ca="1">IFERROR(__xludf.DUMMYFUNCTION("""COMPUTED_VALUE"""),500000)</f>
        <v>500000</v>
      </c>
    </row>
    <row r="723" spans="1:8" ht="13" x14ac:dyDescent="0.15">
      <c r="A723" s="5" t="str">
        <f ca="1">IFERROR(__xludf.DUMMYFUNCTION("""COMPUTED_VALUE"""),"36252")</f>
        <v>36252</v>
      </c>
      <c r="B723" s="51">
        <f ca="1">IFERROR(__xludf.DUMMYFUNCTION("""COMPUTED_VALUE"""),44626)</f>
        <v>44626</v>
      </c>
      <c r="C723" s="22">
        <f ca="1">IFERROR(__xludf.DUMMYFUNCTION("""COMPUTED_VALUE"""),500000)</f>
        <v>500000</v>
      </c>
      <c r="D723" s="22">
        <f ca="1">IFERROR(__xludf.DUMMYFUNCTION("""COMPUTED_VALUE"""),0)</f>
        <v>0</v>
      </c>
      <c r="E723" s="22">
        <f ca="1">IFERROR(__xludf.DUMMYFUNCTION("""COMPUTED_VALUE"""),500000)</f>
        <v>500000</v>
      </c>
      <c r="F723" s="22">
        <f ca="1">IFERROR(__xludf.DUMMYFUNCTION("""COMPUTED_VALUE"""),500000)</f>
        <v>500000</v>
      </c>
      <c r="G723" s="22">
        <f ca="1">IFERROR(__xludf.DUMMYFUNCTION("""COMPUTED_VALUE"""),0)</f>
        <v>0</v>
      </c>
      <c r="H723" s="7">
        <f ca="1">IFERROR(__xludf.DUMMYFUNCTION("""COMPUTED_VALUE"""),500000)</f>
        <v>500000</v>
      </c>
    </row>
    <row r="724" spans="1:8" ht="13" x14ac:dyDescent="0.15">
      <c r="A724" s="5" t="str">
        <f ca="1">IFERROR(__xludf.DUMMYFUNCTION("""COMPUTED_VALUE"""),"36252")</f>
        <v>36252</v>
      </c>
      <c r="B724" s="51">
        <f ca="1">IFERROR(__xludf.DUMMYFUNCTION("""COMPUTED_VALUE"""),44627)</f>
        <v>44627</v>
      </c>
      <c r="C724" s="22">
        <f ca="1">IFERROR(__xludf.DUMMYFUNCTION("""COMPUTED_VALUE"""),500000)</f>
        <v>500000</v>
      </c>
      <c r="D724" s="22">
        <f ca="1">IFERROR(__xludf.DUMMYFUNCTION("""COMPUTED_VALUE"""),0)</f>
        <v>0</v>
      </c>
      <c r="E724" s="22">
        <f ca="1">IFERROR(__xludf.DUMMYFUNCTION("""COMPUTED_VALUE"""),500000)</f>
        <v>500000</v>
      </c>
      <c r="F724" s="22">
        <f ca="1">IFERROR(__xludf.DUMMYFUNCTION("""COMPUTED_VALUE"""),500000)</f>
        <v>500000</v>
      </c>
      <c r="G724" s="22">
        <f ca="1">IFERROR(__xludf.DUMMYFUNCTION("""COMPUTED_VALUE"""),0)</f>
        <v>0</v>
      </c>
      <c r="H724" s="7">
        <f ca="1">IFERROR(__xludf.DUMMYFUNCTION("""COMPUTED_VALUE"""),500000)</f>
        <v>500000</v>
      </c>
    </row>
    <row r="725" spans="1:8" ht="13" x14ac:dyDescent="0.15">
      <c r="A725" s="5" t="str">
        <f ca="1">IFERROR(__xludf.DUMMYFUNCTION("""COMPUTED_VALUE"""),"36252")</f>
        <v>36252</v>
      </c>
      <c r="B725" s="51">
        <f ca="1">IFERROR(__xludf.DUMMYFUNCTION("""COMPUTED_VALUE"""),44628)</f>
        <v>44628</v>
      </c>
      <c r="C725" s="22">
        <f ca="1">IFERROR(__xludf.DUMMYFUNCTION("""COMPUTED_VALUE"""),500000)</f>
        <v>500000</v>
      </c>
      <c r="D725" s="22">
        <f ca="1">IFERROR(__xludf.DUMMYFUNCTION("""COMPUTED_VALUE"""),0)</f>
        <v>0</v>
      </c>
      <c r="E725" s="22">
        <f ca="1">IFERROR(__xludf.DUMMYFUNCTION("""COMPUTED_VALUE"""),500000)</f>
        <v>500000</v>
      </c>
      <c r="F725" s="22">
        <f ca="1">IFERROR(__xludf.DUMMYFUNCTION("""COMPUTED_VALUE"""),500000)</f>
        <v>500000</v>
      </c>
      <c r="G725" s="22">
        <f ca="1">IFERROR(__xludf.DUMMYFUNCTION("""COMPUTED_VALUE"""),0)</f>
        <v>0</v>
      </c>
      <c r="H725" s="7">
        <f ca="1">IFERROR(__xludf.DUMMYFUNCTION("""COMPUTED_VALUE"""),500000)</f>
        <v>500000</v>
      </c>
    </row>
    <row r="726" spans="1:8" ht="13" x14ac:dyDescent="0.15">
      <c r="A726" s="5" t="str">
        <f ca="1">IFERROR(__xludf.DUMMYFUNCTION("""COMPUTED_VALUE"""),"36252")</f>
        <v>36252</v>
      </c>
      <c r="B726" s="51">
        <f ca="1">IFERROR(__xludf.DUMMYFUNCTION("""COMPUTED_VALUE"""),44629)</f>
        <v>44629</v>
      </c>
      <c r="C726" s="22">
        <f ca="1">IFERROR(__xludf.DUMMYFUNCTION("""COMPUTED_VALUE"""),500000)</f>
        <v>500000</v>
      </c>
      <c r="D726" s="22">
        <f ca="1">IFERROR(__xludf.DUMMYFUNCTION("""COMPUTED_VALUE"""),0)</f>
        <v>0</v>
      </c>
      <c r="E726" s="22">
        <f ca="1">IFERROR(__xludf.DUMMYFUNCTION("""COMPUTED_VALUE"""),500000)</f>
        <v>500000</v>
      </c>
      <c r="F726" s="22">
        <f ca="1">IFERROR(__xludf.DUMMYFUNCTION("""COMPUTED_VALUE"""),500000)</f>
        <v>500000</v>
      </c>
      <c r="G726" s="22">
        <f ca="1">IFERROR(__xludf.DUMMYFUNCTION("""COMPUTED_VALUE"""),0)</f>
        <v>0</v>
      </c>
      <c r="H726" s="7">
        <f ca="1">IFERROR(__xludf.DUMMYFUNCTION("""COMPUTED_VALUE"""),500000)</f>
        <v>500000</v>
      </c>
    </row>
    <row r="727" spans="1:8" ht="13" x14ac:dyDescent="0.15">
      <c r="A727" s="5" t="str">
        <f ca="1">IFERROR(__xludf.DUMMYFUNCTION("""COMPUTED_VALUE"""),"36252")</f>
        <v>36252</v>
      </c>
      <c r="B727" s="51">
        <f ca="1">IFERROR(__xludf.DUMMYFUNCTION("""COMPUTED_VALUE"""),44630)</f>
        <v>44630</v>
      </c>
      <c r="C727" s="22">
        <f ca="1">IFERROR(__xludf.DUMMYFUNCTION("""COMPUTED_VALUE"""),500000)</f>
        <v>500000</v>
      </c>
      <c r="D727" s="22">
        <f ca="1">IFERROR(__xludf.DUMMYFUNCTION("""COMPUTED_VALUE"""),0)</f>
        <v>0</v>
      </c>
      <c r="E727" s="22">
        <f ca="1">IFERROR(__xludf.DUMMYFUNCTION("""COMPUTED_VALUE"""),500000)</f>
        <v>500000</v>
      </c>
      <c r="F727" s="22">
        <f ca="1">IFERROR(__xludf.DUMMYFUNCTION("""COMPUTED_VALUE"""),500000)</f>
        <v>500000</v>
      </c>
      <c r="G727" s="22">
        <f ca="1">IFERROR(__xludf.DUMMYFUNCTION("""COMPUTED_VALUE"""),0)</f>
        <v>0</v>
      </c>
      <c r="H727" s="7">
        <f ca="1">IFERROR(__xludf.DUMMYFUNCTION("""COMPUTED_VALUE"""),500000)</f>
        <v>500000</v>
      </c>
    </row>
    <row r="728" spans="1:8" ht="13" x14ac:dyDescent="0.15">
      <c r="A728" s="5" t="str">
        <f ca="1">IFERROR(__xludf.DUMMYFUNCTION("""COMPUTED_VALUE"""),"36252")</f>
        <v>36252</v>
      </c>
      <c r="B728" s="51">
        <f ca="1">IFERROR(__xludf.DUMMYFUNCTION("""COMPUTED_VALUE"""),44631)</f>
        <v>44631</v>
      </c>
      <c r="C728" s="22">
        <f ca="1">IFERROR(__xludf.DUMMYFUNCTION("""COMPUTED_VALUE"""),500000)</f>
        <v>500000</v>
      </c>
      <c r="D728" s="22">
        <f ca="1">IFERROR(__xludf.DUMMYFUNCTION("""COMPUTED_VALUE"""),0)</f>
        <v>0</v>
      </c>
      <c r="E728" s="22">
        <f ca="1">IFERROR(__xludf.DUMMYFUNCTION("""COMPUTED_VALUE"""),500000)</f>
        <v>500000</v>
      </c>
      <c r="F728" s="22">
        <f ca="1">IFERROR(__xludf.DUMMYFUNCTION("""COMPUTED_VALUE"""),500000)</f>
        <v>500000</v>
      </c>
      <c r="G728" s="22">
        <f ca="1">IFERROR(__xludf.DUMMYFUNCTION("""COMPUTED_VALUE"""),0)</f>
        <v>0</v>
      </c>
      <c r="H728" s="7">
        <f ca="1">IFERROR(__xludf.DUMMYFUNCTION("""COMPUTED_VALUE"""),500000)</f>
        <v>500000</v>
      </c>
    </row>
    <row r="729" spans="1:8" ht="13" x14ac:dyDescent="0.15">
      <c r="A729" s="5" t="str">
        <f ca="1">IFERROR(__xludf.DUMMYFUNCTION("""COMPUTED_VALUE"""),"36252")</f>
        <v>36252</v>
      </c>
      <c r="B729" s="51">
        <f ca="1">IFERROR(__xludf.DUMMYFUNCTION("""COMPUTED_VALUE"""),44632)</f>
        <v>44632</v>
      </c>
      <c r="C729" s="22">
        <f ca="1">IFERROR(__xludf.DUMMYFUNCTION("""COMPUTED_VALUE"""),500000)</f>
        <v>500000</v>
      </c>
      <c r="D729" s="22">
        <f ca="1">IFERROR(__xludf.DUMMYFUNCTION("""COMPUTED_VALUE"""),0)</f>
        <v>0</v>
      </c>
      <c r="E729" s="22">
        <f ca="1">IFERROR(__xludf.DUMMYFUNCTION("""COMPUTED_VALUE"""),500000)</f>
        <v>500000</v>
      </c>
      <c r="F729" s="22">
        <f ca="1">IFERROR(__xludf.DUMMYFUNCTION("""COMPUTED_VALUE"""),500000)</f>
        <v>500000</v>
      </c>
      <c r="G729" s="22">
        <f ca="1">IFERROR(__xludf.DUMMYFUNCTION("""COMPUTED_VALUE"""),0)</f>
        <v>0</v>
      </c>
      <c r="H729" s="7">
        <f ca="1">IFERROR(__xludf.DUMMYFUNCTION("""COMPUTED_VALUE"""),500000)</f>
        <v>500000</v>
      </c>
    </row>
    <row r="730" spans="1:8" ht="13" x14ac:dyDescent="0.15">
      <c r="A730" s="5" t="str">
        <f ca="1">IFERROR(__xludf.DUMMYFUNCTION("""COMPUTED_VALUE"""),"36252")</f>
        <v>36252</v>
      </c>
      <c r="B730" s="51">
        <f ca="1">IFERROR(__xludf.DUMMYFUNCTION("""COMPUTED_VALUE"""),44633)</f>
        <v>44633</v>
      </c>
      <c r="C730" s="22">
        <f ca="1">IFERROR(__xludf.DUMMYFUNCTION("""COMPUTED_VALUE"""),500000)</f>
        <v>500000</v>
      </c>
      <c r="D730" s="22">
        <f ca="1">IFERROR(__xludf.DUMMYFUNCTION("""COMPUTED_VALUE"""),0)</f>
        <v>0</v>
      </c>
      <c r="E730" s="22">
        <f ca="1">IFERROR(__xludf.DUMMYFUNCTION("""COMPUTED_VALUE"""),500000)</f>
        <v>500000</v>
      </c>
      <c r="F730" s="22">
        <f ca="1">IFERROR(__xludf.DUMMYFUNCTION("""COMPUTED_VALUE"""),500000)</f>
        <v>500000</v>
      </c>
      <c r="G730" s="22">
        <f ca="1">IFERROR(__xludf.DUMMYFUNCTION("""COMPUTED_VALUE"""),0)</f>
        <v>0</v>
      </c>
      <c r="H730" s="7">
        <f ca="1">IFERROR(__xludf.DUMMYFUNCTION("""COMPUTED_VALUE"""),500000)</f>
        <v>500000</v>
      </c>
    </row>
    <row r="731" spans="1:8" ht="13" x14ac:dyDescent="0.15">
      <c r="A731" s="5" t="str">
        <f ca="1">IFERROR(__xludf.DUMMYFUNCTION("""COMPUTED_VALUE"""),"36252")</f>
        <v>36252</v>
      </c>
      <c r="B731" s="51">
        <f ca="1">IFERROR(__xludf.DUMMYFUNCTION("""COMPUTED_VALUE"""),44634)</f>
        <v>44634</v>
      </c>
      <c r="C731" s="22">
        <f ca="1">IFERROR(__xludf.DUMMYFUNCTION("""COMPUTED_VALUE"""),500000)</f>
        <v>500000</v>
      </c>
      <c r="D731" s="22">
        <f ca="1">IFERROR(__xludf.DUMMYFUNCTION("""COMPUTED_VALUE"""),0)</f>
        <v>0</v>
      </c>
      <c r="E731" s="22">
        <f ca="1">IFERROR(__xludf.DUMMYFUNCTION("""COMPUTED_VALUE"""),500000)</f>
        <v>500000</v>
      </c>
      <c r="F731" s="22">
        <f ca="1">IFERROR(__xludf.DUMMYFUNCTION("""COMPUTED_VALUE"""),500000)</f>
        <v>500000</v>
      </c>
      <c r="G731" s="22">
        <f ca="1">IFERROR(__xludf.DUMMYFUNCTION("""COMPUTED_VALUE"""),0)</f>
        <v>0</v>
      </c>
      <c r="H731" s="7">
        <f ca="1">IFERROR(__xludf.DUMMYFUNCTION("""COMPUTED_VALUE"""),500000)</f>
        <v>500000</v>
      </c>
    </row>
    <row r="732" spans="1:8" ht="13" x14ac:dyDescent="0.15">
      <c r="A732" s="5" t="str">
        <f ca="1">IFERROR(__xludf.DUMMYFUNCTION("""COMPUTED_VALUE"""),"36252")</f>
        <v>36252</v>
      </c>
      <c r="B732" s="51">
        <f ca="1">IFERROR(__xludf.DUMMYFUNCTION("""COMPUTED_VALUE"""),44635)</f>
        <v>44635</v>
      </c>
      <c r="C732" s="22">
        <f ca="1">IFERROR(__xludf.DUMMYFUNCTION("""COMPUTED_VALUE"""),500000)</f>
        <v>500000</v>
      </c>
      <c r="D732" s="22">
        <f ca="1">IFERROR(__xludf.DUMMYFUNCTION("""COMPUTED_VALUE"""),0)</f>
        <v>0</v>
      </c>
      <c r="E732" s="22">
        <f ca="1">IFERROR(__xludf.DUMMYFUNCTION("""COMPUTED_VALUE"""),500000)</f>
        <v>500000</v>
      </c>
      <c r="F732" s="22">
        <f ca="1">IFERROR(__xludf.DUMMYFUNCTION("""COMPUTED_VALUE"""),500000)</f>
        <v>500000</v>
      </c>
      <c r="G732" s="22">
        <f ca="1">IFERROR(__xludf.DUMMYFUNCTION("""COMPUTED_VALUE"""),0)</f>
        <v>0</v>
      </c>
      <c r="H732" s="7">
        <f ca="1">IFERROR(__xludf.DUMMYFUNCTION("""COMPUTED_VALUE"""),500000)</f>
        <v>500000</v>
      </c>
    </row>
    <row r="733" spans="1:8" ht="13" x14ac:dyDescent="0.15">
      <c r="A733" s="5" t="str">
        <f ca="1">IFERROR(__xludf.DUMMYFUNCTION("""COMPUTED_VALUE"""),"36252")</f>
        <v>36252</v>
      </c>
      <c r="B733" s="51">
        <f ca="1">IFERROR(__xludf.DUMMYFUNCTION("""COMPUTED_VALUE"""),44636)</f>
        <v>44636</v>
      </c>
      <c r="C733" s="22">
        <f ca="1">IFERROR(__xludf.DUMMYFUNCTION("""COMPUTED_VALUE"""),500000)</f>
        <v>500000</v>
      </c>
      <c r="D733" s="22">
        <f ca="1">IFERROR(__xludf.DUMMYFUNCTION("""COMPUTED_VALUE"""),0)</f>
        <v>0</v>
      </c>
      <c r="E733" s="22">
        <f ca="1">IFERROR(__xludf.DUMMYFUNCTION("""COMPUTED_VALUE"""),500000)</f>
        <v>500000</v>
      </c>
      <c r="F733" s="22">
        <f ca="1">IFERROR(__xludf.DUMMYFUNCTION("""COMPUTED_VALUE"""),500000)</f>
        <v>500000</v>
      </c>
      <c r="G733" s="22">
        <f ca="1">IFERROR(__xludf.DUMMYFUNCTION("""COMPUTED_VALUE"""),0)</f>
        <v>0</v>
      </c>
      <c r="H733" s="7">
        <f ca="1">IFERROR(__xludf.DUMMYFUNCTION("""COMPUTED_VALUE"""),500000)</f>
        <v>500000</v>
      </c>
    </row>
    <row r="734" spans="1:8" ht="13" x14ac:dyDescent="0.15">
      <c r="A734" s="5" t="str">
        <f ca="1">IFERROR(__xludf.DUMMYFUNCTION("""COMPUTED_VALUE"""),"36252")</f>
        <v>36252</v>
      </c>
      <c r="B734" s="51">
        <f ca="1">IFERROR(__xludf.DUMMYFUNCTION("""COMPUTED_VALUE"""),44637)</f>
        <v>44637</v>
      </c>
      <c r="C734" s="22">
        <f ca="1">IFERROR(__xludf.DUMMYFUNCTION("""COMPUTED_VALUE"""),500000)</f>
        <v>500000</v>
      </c>
      <c r="D734" s="22">
        <f ca="1">IFERROR(__xludf.DUMMYFUNCTION("""COMPUTED_VALUE"""),0)</f>
        <v>0</v>
      </c>
      <c r="E734" s="22">
        <f ca="1">IFERROR(__xludf.DUMMYFUNCTION("""COMPUTED_VALUE"""),500000)</f>
        <v>500000</v>
      </c>
      <c r="F734" s="22">
        <f ca="1">IFERROR(__xludf.DUMMYFUNCTION("""COMPUTED_VALUE"""),500000)</f>
        <v>500000</v>
      </c>
      <c r="G734" s="22">
        <f ca="1">IFERROR(__xludf.DUMMYFUNCTION("""COMPUTED_VALUE"""),0)</f>
        <v>0</v>
      </c>
      <c r="H734" s="7">
        <f ca="1">IFERROR(__xludf.DUMMYFUNCTION("""COMPUTED_VALUE"""),500000)</f>
        <v>500000</v>
      </c>
    </row>
    <row r="735" spans="1:8" ht="13" x14ac:dyDescent="0.15">
      <c r="A735" s="5" t="str">
        <f ca="1">IFERROR(__xludf.DUMMYFUNCTION("""COMPUTED_VALUE"""),"36252")</f>
        <v>36252</v>
      </c>
      <c r="B735" s="51">
        <f ca="1">IFERROR(__xludf.DUMMYFUNCTION("""COMPUTED_VALUE"""),44638)</f>
        <v>44638</v>
      </c>
      <c r="C735" s="22">
        <f ca="1">IFERROR(__xludf.DUMMYFUNCTION("""COMPUTED_VALUE"""),500000)</f>
        <v>500000</v>
      </c>
      <c r="D735" s="22">
        <f ca="1">IFERROR(__xludf.DUMMYFUNCTION("""COMPUTED_VALUE"""),0)</f>
        <v>0</v>
      </c>
      <c r="E735" s="22">
        <f ca="1">IFERROR(__xludf.DUMMYFUNCTION("""COMPUTED_VALUE"""),500000)</f>
        <v>500000</v>
      </c>
      <c r="F735" s="22">
        <f ca="1">IFERROR(__xludf.DUMMYFUNCTION("""COMPUTED_VALUE"""),500000)</f>
        <v>500000</v>
      </c>
      <c r="G735" s="22">
        <f ca="1">IFERROR(__xludf.DUMMYFUNCTION("""COMPUTED_VALUE"""),0)</f>
        <v>0</v>
      </c>
      <c r="H735" s="7">
        <f ca="1">IFERROR(__xludf.DUMMYFUNCTION("""COMPUTED_VALUE"""),500000)</f>
        <v>500000</v>
      </c>
    </row>
    <row r="736" spans="1:8" ht="13" x14ac:dyDescent="0.15">
      <c r="A736" s="5" t="str">
        <f ca="1">IFERROR(__xludf.DUMMYFUNCTION("""COMPUTED_VALUE"""),"36252")</f>
        <v>36252</v>
      </c>
      <c r="B736" s="51">
        <f ca="1">IFERROR(__xludf.DUMMYFUNCTION("""COMPUTED_VALUE"""),44639)</f>
        <v>44639</v>
      </c>
      <c r="C736" s="22">
        <f ca="1">IFERROR(__xludf.DUMMYFUNCTION("""COMPUTED_VALUE"""),500000)</f>
        <v>500000</v>
      </c>
      <c r="D736" s="22">
        <f ca="1">IFERROR(__xludf.DUMMYFUNCTION("""COMPUTED_VALUE"""),0)</f>
        <v>0</v>
      </c>
      <c r="E736" s="22">
        <f ca="1">IFERROR(__xludf.DUMMYFUNCTION("""COMPUTED_VALUE"""),500000)</f>
        <v>500000</v>
      </c>
      <c r="F736" s="22">
        <f ca="1">IFERROR(__xludf.DUMMYFUNCTION("""COMPUTED_VALUE"""),500000)</f>
        <v>500000</v>
      </c>
      <c r="G736" s="22">
        <f ca="1">IFERROR(__xludf.DUMMYFUNCTION("""COMPUTED_VALUE"""),0)</f>
        <v>0</v>
      </c>
      <c r="H736" s="7">
        <f ca="1">IFERROR(__xludf.DUMMYFUNCTION("""COMPUTED_VALUE"""),500000)</f>
        <v>500000</v>
      </c>
    </row>
    <row r="737" spans="1:8" ht="13" x14ac:dyDescent="0.15">
      <c r="A737" s="5" t="str">
        <f ca="1">IFERROR(__xludf.DUMMYFUNCTION("""COMPUTED_VALUE"""),"36252")</f>
        <v>36252</v>
      </c>
      <c r="B737" s="51">
        <f ca="1">IFERROR(__xludf.DUMMYFUNCTION("""COMPUTED_VALUE"""),44640)</f>
        <v>44640</v>
      </c>
      <c r="C737" s="22">
        <f ca="1">IFERROR(__xludf.DUMMYFUNCTION("""COMPUTED_VALUE"""),500000)</f>
        <v>500000</v>
      </c>
      <c r="D737" s="22">
        <f ca="1">IFERROR(__xludf.DUMMYFUNCTION("""COMPUTED_VALUE"""),0)</f>
        <v>0</v>
      </c>
      <c r="E737" s="22">
        <f ca="1">IFERROR(__xludf.DUMMYFUNCTION("""COMPUTED_VALUE"""),500000)</f>
        <v>500000</v>
      </c>
      <c r="F737" s="22">
        <f ca="1">IFERROR(__xludf.DUMMYFUNCTION("""COMPUTED_VALUE"""),500000)</f>
        <v>500000</v>
      </c>
      <c r="G737" s="22">
        <f ca="1">IFERROR(__xludf.DUMMYFUNCTION("""COMPUTED_VALUE"""),0)</f>
        <v>0</v>
      </c>
      <c r="H737" s="7">
        <f ca="1">IFERROR(__xludf.DUMMYFUNCTION("""COMPUTED_VALUE"""),500000)</f>
        <v>500000</v>
      </c>
    </row>
    <row r="738" spans="1:8" ht="13" x14ac:dyDescent="0.15">
      <c r="A738" s="5" t="str">
        <f ca="1">IFERROR(__xludf.DUMMYFUNCTION("""COMPUTED_VALUE"""),"36252")</f>
        <v>36252</v>
      </c>
      <c r="B738" s="51">
        <f ca="1">IFERROR(__xludf.DUMMYFUNCTION("""COMPUTED_VALUE"""),44641)</f>
        <v>44641</v>
      </c>
      <c r="C738" s="22">
        <f ca="1">IFERROR(__xludf.DUMMYFUNCTION("""COMPUTED_VALUE"""),198100)</f>
        <v>198100</v>
      </c>
      <c r="D738" s="22">
        <f ca="1">IFERROR(__xludf.DUMMYFUNCTION("""COMPUTED_VALUE"""),301900)</f>
        <v>301900</v>
      </c>
      <c r="E738" s="22">
        <f ca="1">IFERROR(__xludf.DUMMYFUNCTION("""COMPUTED_VALUE"""),500000)</f>
        <v>500000</v>
      </c>
      <c r="F738" s="22">
        <f ca="1">IFERROR(__xludf.DUMMYFUNCTION("""COMPUTED_VALUE"""),198100)</f>
        <v>198100</v>
      </c>
      <c r="G738" s="22">
        <f ca="1">IFERROR(__xludf.DUMMYFUNCTION("""COMPUTED_VALUE"""),0)</f>
        <v>0</v>
      </c>
      <c r="H738" s="7">
        <f ca="1">IFERROR(__xludf.DUMMYFUNCTION("""COMPUTED_VALUE"""),500000)</f>
        <v>500000</v>
      </c>
    </row>
    <row r="739" spans="1:8" ht="13" x14ac:dyDescent="0.15">
      <c r="A739" s="5" t="str">
        <f ca="1">IFERROR(__xludf.DUMMYFUNCTION("""COMPUTED_VALUE"""),"36252")</f>
        <v>36252</v>
      </c>
      <c r="B739" s="51">
        <f ca="1">IFERROR(__xludf.DUMMYFUNCTION("""COMPUTED_VALUE"""),44642)</f>
        <v>44642</v>
      </c>
      <c r="C739" s="22">
        <f ca="1">IFERROR(__xludf.DUMMYFUNCTION("""COMPUTED_VALUE"""),198100)</f>
        <v>198100</v>
      </c>
      <c r="D739" s="22">
        <f ca="1">IFERROR(__xludf.DUMMYFUNCTION("""COMPUTED_VALUE"""),304320)</f>
        <v>304320</v>
      </c>
      <c r="E739" s="22">
        <f ca="1">IFERROR(__xludf.DUMMYFUNCTION("""COMPUTED_VALUE"""),502420)</f>
        <v>502420</v>
      </c>
      <c r="F739" s="22">
        <f ca="1">IFERROR(__xludf.DUMMYFUNCTION("""COMPUTED_VALUE"""),198100)</f>
        <v>198100</v>
      </c>
      <c r="G739" s="22">
        <f ca="1">IFERROR(__xludf.DUMMYFUNCTION("""COMPUTED_VALUE"""),0)</f>
        <v>0</v>
      </c>
      <c r="H739" s="7">
        <f ca="1">IFERROR(__xludf.DUMMYFUNCTION("""COMPUTED_VALUE"""),490760)</f>
        <v>490760</v>
      </c>
    </row>
    <row r="740" spans="1:8" ht="13" x14ac:dyDescent="0.15">
      <c r="A740" s="5" t="str">
        <f ca="1">IFERROR(__xludf.DUMMYFUNCTION("""COMPUTED_VALUE"""),"36460")</f>
        <v>36460</v>
      </c>
      <c r="B740" s="51">
        <f ca="1">IFERROR(__xludf.DUMMYFUNCTION("""COMPUTED_VALUE"""),44597)</f>
        <v>44597</v>
      </c>
      <c r="C740" s="22">
        <f ca="1">IFERROR(__xludf.DUMMYFUNCTION("""COMPUTED_VALUE"""),500000)</f>
        <v>500000</v>
      </c>
      <c r="D740" s="22">
        <f ca="1">IFERROR(__xludf.DUMMYFUNCTION("""COMPUTED_VALUE"""),0)</f>
        <v>0</v>
      </c>
      <c r="E740" s="22">
        <f ca="1">IFERROR(__xludf.DUMMYFUNCTION("""COMPUTED_VALUE"""),500000)</f>
        <v>500000</v>
      </c>
      <c r="F740" s="22">
        <f ca="1">IFERROR(__xludf.DUMMYFUNCTION("""COMPUTED_VALUE"""),500000)</f>
        <v>500000</v>
      </c>
      <c r="G740" s="22">
        <f ca="1">IFERROR(__xludf.DUMMYFUNCTION("""COMPUTED_VALUE"""),0)</f>
        <v>0</v>
      </c>
      <c r="H740" s="7">
        <f ca="1">IFERROR(__xludf.DUMMYFUNCTION("""COMPUTED_VALUE"""),500000)</f>
        <v>500000</v>
      </c>
    </row>
    <row r="741" spans="1:8" ht="13" x14ac:dyDescent="0.15">
      <c r="A741" s="5" t="str">
        <f ca="1">IFERROR(__xludf.DUMMYFUNCTION("""COMPUTED_VALUE"""),"36460")</f>
        <v>36460</v>
      </c>
      <c r="B741" s="51">
        <f ca="1">IFERROR(__xludf.DUMMYFUNCTION("""COMPUTED_VALUE"""),44598)</f>
        <v>44598</v>
      </c>
      <c r="C741" s="22">
        <f ca="1">IFERROR(__xludf.DUMMYFUNCTION("""COMPUTED_VALUE"""),500000)</f>
        <v>500000</v>
      </c>
      <c r="D741" s="22">
        <f ca="1">IFERROR(__xludf.DUMMYFUNCTION("""COMPUTED_VALUE"""),0)</f>
        <v>0</v>
      </c>
      <c r="E741" s="22">
        <f ca="1">IFERROR(__xludf.DUMMYFUNCTION("""COMPUTED_VALUE"""),500000)</f>
        <v>500000</v>
      </c>
      <c r="F741" s="22">
        <f ca="1">IFERROR(__xludf.DUMMYFUNCTION("""COMPUTED_VALUE"""),500000)</f>
        <v>500000</v>
      </c>
      <c r="G741" s="22">
        <f ca="1">IFERROR(__xludf.DUMMYFUNCTION("""COMPUTED_VALUE"""),0)</f>
        <v>0</v>
      </c>
      <c r="H741" s="7">
        <f ca="1">IFERROR(__xludf.DUMMYFUNCTION("""COMPUTED_VALUE"""),500000)</f>
        <v>500000</v>
      </c>
    </row>
    <row r="742" spans="1:8" ht="13" x14ac:dyDescent="0.15">
      <c r="A742" s="5" t="str">
        <f ca="1">IFERROR(__xludf.DUMMYFUNCTION("""COMPUTED_VALUE"""),"36460")</f>
        <v>36460</v>
      </c>
      <c r="B742" s="51">
        <f ca="1">IFERROR(__xludf.DUMMYFUNCTION("""COMPUTED_VALUE"""),44599)</f>
        <v>44599</v>
      </c>
      <c r="C742" s="22">
        <f ca="1">IFERROR(__xludf.DUMMYFUNCTION("""COMPUTED_VALUE"""),500000)</f>
        <v>500000</v>
      </c>
      <c r="D742" s="22">
        <f ca="1">IFERROR(__xludf.DUMMYFUNCTION("""COMPUTED_VALUE"""),0)</f>
        <v>0</v>
      </c>
      <c r="E742" s="22">
        <f ca="1">IFERROR(__xludf.DUMMYFUNCTION("""COMPUTED_VALUE"""),500000)</f>
        <v>500000</v>
      </c>
      <c r="F742" s="22">
        <f ca="1">IFERROR(__xludf.DUMMYFUNCTION("""COMPUTED_VALUE"""),500000)</f>
        <v>500000</v>
      </c>
      <c r="G742" s="22">
        <f ca="1">IFERROR(__xludf.DUMMYFUNCTION("""COMPUTED_VALUE"""),0)</f>
        <v>0</v>
      </c>
      <c r="H742" s="7">
        <f ca="1">IFERROR(__xludf.DUMMYFUNCTION("""COMPUTED_VALUE"""),500000)</f>
        <v>500000</v>
      </c>
    </row>
    <row r="743" spans="1:8" ht="13" x14ac:dyDescent="0.15">
      <c r="A743" s="5" t="str">
        <f ca="1">IFERROR(__xludf.DUMMYFUNCTION("""COMPUTED_VALUE"""),"36460")</f>
        <v>36460</v>
      </c>
      <c r="B743" s="51">
        <f ca="1">IFERROR(__xludf.DUMMYFUNCTION("""COMPUTED_VALUE"""),44600)</f>
        <v>44600</v>
      </c>
      <c r="C743" s="22">
        <f ca="1">IFERROR(__xludf.DUMMYFUNCTION("""COMPUTED_VALUE"""),500000)</f>
        <v>500000</v>
      </c>
      <c r="D743" s="22">
        <f ca="1">IFERROR(__xludf.DUMMYFUNCTION("""COMPUTED_VALUE"""),0)</f>
        <v>0</v>
      </c>
      <c r="E743" s="22">
        <f ca="1">IFERROR(__xludf.DUMMYFUNCTION("""COMPUTED_VALUE"""),500000)</f>
        <v>500000</v>
      </c>
      <c r="F743" s="22">
        <f ca="1">IFERROR(__xludf.DUMMYFUNCTION("""COMPUTED_VALUE"""),500000)</f>
        <v>500000</v>
      </c>
      <c r="G743" s="22">
        <f ca="1">IFERROR(__xludf.DUMMYFUNCTION("""COMPUTED_VALUE"""),0)</f>
        <v>0</v>
      </c>
      <c r="H743" s="7">
        <f ca="1">IFERROR(__xludf.DUMMYFUNCTION("""COMPUTED_VALUE"""),500000)</f>
        <v>500000</v>
      </c>
    </row>
    <row r="744" spans="1:8" ht="13" x14ac:dyDescent="0.15">
      <c r="A744" s="5" t="str">
        <f ca="1">IFERROR(__xludf.DUMMYFUNCTION("""COMPUTED_VALUE"""),"36460")</f>
        <v>36460</v>
      </c>
      <c r="B744" s="51">
        <f ca="1">IFERROR(__xludf.DUMMYFUNCTION("""COMPUTED_VALUE"""),44601)</f>
        <v>44601</v>
      </c>
      <c r="C744" s="22">
        <f ca="1">IFERROR(__xludf.DUMMYFUNCTION("""COMPUTED_VALUE"""),500000)</f>
        <v>500000</v>
      </c>
      <c r="D744" s="22">
        <f ca="1">IFERROR(__xludf.DUMMYFUNCTION("""COMPUTED_VALUE"""),0)</f>
        <v>0</v>
      </c>
      <c r="E744" s="22">
        <f ca="1">IFERROR(__xludf.DUMMYFUNCTION("""COMPUTED_VALUE"""),500000)</f>
        <v>500000</v>
      </c>
      <c r="F744" s="22">
        <f ca="1">IFERROR(__xludf.DUMMYFUNCTION("""COMPUTED_VALUE"""),500000)</f>
        <v>500000</v>
      </c>
      <c r="G744" s="22">
        <f ca="1">IFERROR(__xludf.DUMMYFUNCTION("""COMPUTED_VALUE"""),0)</f>
        <v>0</v>
      </c>
      <c r="H744" s="7">
        <f ca="1">IFERROR(__xludf.DUMMYFUNCTION("""COMPUTED_VALUE"""),500000)</f>
        <v>500000</v>
      </c>
    </row>
    <row r="745" spans="1:8" ht="13" x14ac:dyDescent="0.15">
      <c r="A745" s="5" t="str">
        <f ca="1">IFERROR(__xludf.DUMMYFUNCTION("""COMPUTED_VALUE"""),"36460")</f>
        <v>36460</v>
      </c>
      <c r="B745" s="51">
        <f ca="1">IFERROR(__xludf.DUMMYFUNCTION("""COMPUTED_VALUE"""),44602)</f>
        <v>44602</v>
      </c>
      <c r="C745" s="22">
        <f ca="1">IFERROR(__xludf.DUMMYFUNCTION("""COMPUTED_VALUE"""),500000)</f>
        <v>500000</v>
      </c>
      <c r="D745" s="22">
        <f ca="1">IFERROR(__xludf.DUMMYFUNCTION("""COMPUTED_VALUE"""),0)</f>
        <v>0</v>
      </c>
      <c r="E745" s="22">
        <f ca="1">IFERROR(__xludf.DUMMYFUNCTION("""COMPUTED_VALUE"""),500000)</f>
        <v>500000</v>
      </c>
      <c r="F745" s="22">
        <f ca="1">IFERROR(__xludf.DUMMYFUNCTION("""COMPUTED_VALUE"""),500000)</f>
        <v>500000</v>
      </c>
      <c r="G745" s="22">
        <f ca="1">IFERROR(__xludf.DUMMYFUNCTION("""COMPUTED_VALUE"""),0)</f>
        <v>0</v>
      </c>
      <c r="H745" s="7">
        <f ca="1">IFERROR(__xludf.DUMMYFUNCTION("""COMPUTED_VALUE"""),500000)</f>
        <v>500000</v>
      </c>
    </row>
    <row r="746" spans="1:8" ht="13" x14ac:dyDescent="0.15">
      <c r="A746" s="5" t="str">
        <f ca="1">IFERROR(__xludf.DUMMYFUNCTION("""COMPUTED_VALUE"""),"36460")</f>
        <v>36460</v>
      </c>
      <c r="B746" s="51">
        <f ca="1">IFERROR(__xludf.DUMMYFUNCTION("""COMPUTED_VALUE"""),44603)</f>
        <v>44603</v>
      </c>
      <c r="C746" s="22">
        <f ca="1">IFERROR(__xludf.DUMMYFUNCTION("""COMPUTED_VALUE"""),500000)</f>
        <v>500000</v>
      </c>
      <c r="D746" s="22">
        <f ca="1">IFERROR(__xludf.DUMMYFUNCTION("""COMPUTED_VALUE"""),0)</f>
        <v>0</v>
      </c>
      <c r="E746" s="22">
        <f ca="1">IFERROR(__xludf.DUMMYFUNCTION("""COMPUTED_VALUE"""),500000)</f>
        <v>500000</v>
      </c>
      <c r="F746" s="22">
        <f ca="1">IFERROR(__xludf.DUMMYFUNCTION("""COMPUTED_VALUE"""),500000)</f>
        <v>500000</v>
      </c>
      <c r="G746" s="22">
        <f ca="1">IFERROR(__xludf.DUMMYFUNCTION("""COMPUTED_VALUE"""),0)</f>
        <v>0</v>
      </c>
      <c r="H746" s="7">
        <f ca="1">IFERROR(__xludf.DUMMYFUNCTION("""COMPUTED_VALUE"""),500000)</f>
        <v>500000</v>
      </c>
    </row>
    <row r="747" spans="1:8" ht="13" x14ac:dyDescent="0.15">
      <c r="A747" s="5" t="str">
        <f ca="1">IFERROR(__xludf.DUMMYFUNCTION("""COMPUTED_VALUE"""),"36460")</f>
        <v>36460</v>
      </c>
      <c r="B747" s="51">
        <f ca="1">IFERROR(__xludf.DUMMYFUNCTION("""COMPUTED_VALUE"""),44604)</f>
        <v>44604</v>
      </c>
      <c r="C747" s="22">
        <f ca="1">IFERROR(__xludf.DUMMYFUNCTION("""COMPUTED_VALUE"""),500000)</f>
        <v>500000</v>
      </c>
      <c r="D747" s="22">
        <f ca="1">IFERROR(__xludf.DUMMYFUNCTION("""COMPUTED_VALUE"""),0)</f>
        <v>0</v>
      </c>
      <c r="E747" s="22">
        <f ca="1">IFERROR(__xludf.DUMMYFUNCTION("""COMPUTED_VALUE"""),500000)</f>
        <v>500000</v>
      </c>
      <c r="F747" s="22">
        <f ca="1">IFERROR(__xludf.DUMMYFUNCTION("""COMPUTED_VALUE"""),500000)</f>
        <v>500000</v>
      </c>
      <c r="G747" s="22">
        <f ca="1">IFERROR(__xludf.DUMMYFUNCTION("""COMPUTED_VALUE"""),0)</f>
        <v>0</v>
      </c>
      <c r="H747" s="7">
        <f ca="1">IFERROR(__xludf.DUMMYFUNCTION("""COMPUTED_VALUE"""),500000)</f>
        <v>500000</v>
      </c>
    </row>
    <row r="748" spans="1:8" ht="13" x14ac:dyDescent="0.15">
      <c r="A748" s="5" t="str">
        <f ca="1">IFERROR(__xludf.DUMMYFUNCTION("""COMPUTED_VALUE"""),"36460")</f>
        <v>36460</v>
      </c>
      <c r="B748" s="51">
        <f ca="1">IFERROR(__xludf.DUMMYFUNCTION("""COMPUTED_VALUE"""),44605)</f>
        <v>44605</v>
      </c>
      <c r="C748" s="22">
        <f ca="1">IFERROR(__xludf.DUMMYFUNCTION("""COMPUTED_VALUE"""),500000)</f>
        <v>500000</v>
      </c>
      <c r="D748" s="22">
        <f ca="1">IFERROR(__xludf.DUMMYFUNCTION("""COMPUTED_VALUE"""),0)</f>
        <v>0</v>
      </c>
      <c r="E748" s="22">
        <f ca="1">IFERROR(__xludf.DUMMYFUNCTION("""COMPUTED_VALUE"""),500000)</f>
        <v>500000</v>
      </c>
      <c r="F748" s="22">
        <f ca="1">IFERROR(__xludf.DUMMYFUNCTION("""COMPUTED_VALUE"""),500000)</f>
        <v>500000</v>
      </c>
      <c r="G748" s="22">
        <f ca="1">IFERROR(__xludf.DUMMYFUNCTION("""COMPUTED_VALUE"""),0)</f>
        <v>0</v>
      </c>
      <c r="H748" s="7">
        <f ca="1">IFERROR(__xludf.DUMMYFUNCTION("""COMPUTED_VALUE"""),500000)</f>
        <v>500000</v>
      </c>
    </row>
    <row r="749" spans="1:8" ht="13" x14ac:dyDescent="0.15">
      <c r="A749" s="5" t="str">
        <f ca="1">IFERROR(__xludf.DUMMYFUNCTION("""COMPUTED_VALUE"""),"36460")</f>
        <v>36460</v>
      </c>
      <c r="B749" s="51">
        <f ca="1">IFERROR(__xludf.DUMMYFUNCTION("""COMPUTED_VALUE"""),44606)</f>
        <v>44606</v>
      </c>
      <c r="C749" s="22">
        <f ca="1">IFERROR(__xludf.DUMMYFUNCTION("""COMPUTED_VALUE"""),500000)</f>
        <v>500000</v>
      </c>
      <c r="D749" s="22">
        <f ca="1">IFERROR(__xludf.DUMMYFUNCTION("""COMPUTED_VALUE"""),0)</f>
        <v>0</v>
      </c>
      <c r="E749" s="22">
        <f ca="1">IFERROR(__xludf.DUMMYFUNCTION("""COMPUTED_VALUE"""),500000)</f>
        <v>500000</v>
      </c>
      <c r="F749" s="22">
        <f ca="1">IFERROR(__xludf.DUMMYFUNCTION("""COMPUTED_VALUE"""),500000)</f>
        <v>500000</v>
      </c>
      <c r="G749" s="22">
        <f ca="1">IFERROR(__xludf.DUMMYFUNCTION("""COMPUTED_VALUE"""),0)</f>
        <v>0</v>
      </c>
      <c r="H749" s="7">
        <f ca="1">IFERROR(__xludf.DUMMYFUNCTION("""COMPUTED_VALUE"""),500000)</f>
        <v>500000</v>
      </c>
    </row>
    <row r="750" spans="1:8" ht="13" x14ac:dyDescent="0.15">
      <c r="A750" s="5" t="str">
        <f ca="1">IFERROR(__xludf.DUMMYFUNCTION("""COMPUTED_VALUE"""),"36460")</f>
        <v>36460</v>
      </c>
      <c r="B750" s="51">
        <f ca="1">IFERROR(__xludf.DUMMYFUNCTION("""COMPUTED_VALUE"""),44607)</f>
        <v>44607</v>
      </c>
      <c r="C750" s="22">
        <f ca="1">IFERROR(__xludf.DUMMYFUNCTION("""COMPUTED_VALUE"""),500000)</f>
        <v>500000</v>
      </c>
      <c r="D750" s="22">
        <f ca="1">IFERROR(__xludf.DUMMYFUNCTION("""COMPUTED_VALUE"""),0)</f>
        <v>0</v>
      </c>
      <c r="E750" s="22">
        <f ca="1">IFERROR(__xludf.DUMMYFUNCTION("""COMPUTED_VALUE"""),500000)</f>
        <v>500000</v>
      </c>
      <c r="F750" s="22">
        <f ca="1">IFERROR(__xludf.DUMMYFUNCTION("""COMPUTED_VALUE"""),500000)</f>
        <v>500000</v>
      </c>
      <c r="G750" s="22">
        <f ca="1">IFERROR(__xludf.DUMMYFUNCTION("""COMPUTED_VALUE"""),0)</f>
        <v>0</v>
      </c>
      <c r="H750" s="7">
        <f ca="1">IFERROR(__xludf.DUMMYFUNCTION("""COMPUTED_VALUE"""),500000)</f>
        <v>500000</v>
      </c>
    </row>
    <row r="751" spans="1:8" ht="13" x14ac:dyDescent="0.15">
      <c r="A751" s="5" t="str">
        <f ca="1">IFERROR(__xludf.DUMMYFUNCTION("""COMPUTED_VALUE"""),"36460")</f>
        <v>36460</v>
      </c>
      <c r="B751" s="51">
        <f ca="1">IFERROR(__xludf.DUMMYFUNCTION("""COMPUTED_VALUE"""),44608)</f>
        <v>44608</v>
      </c>
      <c r="C751" s="22">
        <f ca="1">IFERROR(__xludf.DUMMYFUNCTION("""COMPUTED_VALUE"""),500000)</f>
        <v>500000</v>
      </c>
      <c r="D751" s="22">
        <f ca="1">IFERROR(__xludf.DUMMYFUNCTION("""COMPUTED_VALUE"""),0)</f>
        <v>0</v>
      </c>
      <c r="E751" s="22">
        <f ca="1">IFERROR(__xludf.DUMMYFUNCTION("""COMPUTED_VALUE"""),500000)</f>
        <v>500000</v>
      </c>
      <c r="F751" s="22">
        <f ca="1">IFERROR(__xludf.DUMMYFUNCTION("""COMPUTED_VALUE"""),500000)</f>
        <v>500000</v>
      </c>
      <c r="G751" s="22">
        <f ca="1">IFERROR(__xludf.DUMMYFUNCTION("""COMPUTED_VALUE"""),0)</f>
        <v>0</v>
      </c>
      <c r="H751" s="7">
        <f ca="1">IFERROR(__xludf.DUMMYFUNCTION("""COMPUTED_VALUE"""),500000)</f>
        <v>500000</v>
      </c>
    </row>
    <row r="752" spans="1:8" ht="13" x14ac:dyDescent="0.15">
      <c r="A752" s="5" t="str">
        <f ca="1">IFERROR(__xludf.DUMMYFUNCTION("""COMPUTED_VALUE"""),"36460")</f>
        <v>36460</v>
      </c>
      <c r="B752" s="51">
        <f ca="1">IFERROR(__xludf.DUMMYFUNCTION("""COMPUTED_VALUE"""),44609)</f>
        <v>44609</v>
      </c>
      <c r="C752" s="22">
        <f ca="1">IFERROR(__xludf.DUMMYFUNCTION("""COMPUTED_VALUE"""),500000)</f>
        <v>500000</v>
      </c>
      <c r="D752" s="22">
        <f ca="1">IFERROR(__xludf.DUMMYFUNCTION("""COMPUTED_VALUE"""),0)</f>
        <v>0</v>
      </c>
      <c r="E752" s="22">
        <f ca="1">IFERROR(__xludf.DUMMYFUNCTION("""COMPUTED_VALUE"""),500000)</f>
        <v>500000</v>
      </c>
      <c r="F752" s="22">
        <f ca="1">IFERROR(__xludf.DUMMYFUNCTION("""COMPUTED_VALUE"""),500000)</f>
        <v>500000</v>
      </c>
      <c r="G752" s="22">
        <f ca="1">IFERROR(__xludf.DUMMYFUNCTION("""COMPUTED_VALUE"""),0)</f>
        <v>0</v>
      </c>
      <c r="H752" s="7">
        <f ca="1">IFERROR(__xludf.DUMMYFUNCTION("""COMPUTED_VALUE"""),500000)</f>
        <v>500000</v>
      </c>
    </row>
    <row r="753" spans="1:8" ht="13" x14ac:dyDescent="0.15">
      <c r="A753" s="5" t="str">
        <f ca="1">IFERROR(__xludf.DUMMYFUNCTION("""COMPUTED_VALUE"""),"36460")</f>
        <v>36460</v>
      </c>
      <c r="B753" s="51">
        <f ca="1">IFERROR(__xludf.DUMMYFUNCTION("""COMPUTED_VALUE"""),44610)</f>
        <v>44610</v>
      </c>
      <c r="C753" s="22">
        <f ca="1">IFERROR(__xludf.DUMMYFUNCTION("""COMPUTED_VALUE"""),500000)</f>
        <v>500000</v>
      </c>
      <c r="D753" s="22">
        <f ca="1">IFERROR(__xludf.DUMMYFUNCTION("""COMPUTED_VALUE"""),0)</f>
        <v>0</v>
      </c>
      <c r="E753" s="22">
        <f ca="1">IFERROR(__xludf.DUMMYFUNCTION("""COMPUTED_VALUE"""),500000)</f>
        <v>500000</v>
      </c>
      <c r="F753" s="22">
        <f ca="1">IFERROR(__xludf.DUMMYFUNCTION("""COMPUTED_VALUE"""),500000)</f>
        <v>500000</v>
      </c>
      <c r="G753" s="22">
        <f ca="1">IFERROR(__xludf.DUMMYFUNCTION("""COMPUTED_VALUE"""),0)</f>
        <v>0</v>
      </c>
      <c r="H753" s="7">
        <f ca="1">IFERROR(__xludf.DUMMYFUNCTION("""COMPUTED_VALUE"""),500000)</f>
        <v>500000</v>
      </c>
    </row>
    <row r="754" spans="1:8" ht="13" x14ac:dyDescent="0.15">
      <c r="A754" s="5" t="str">
        <f ca="1">IFERROR(__xludf.DUMMYFUNCTION("""COMPUTED_VALUE"""),"36460")</f>
        <v>36460</v>
      </c>
      <c r="B754" s="51">
        <f ca="1">IFERROR(__xludf.DUMMYFUNCTION("""COMPUTED_VALUE"""),44611)</f>
        <v>44611</v>
      </c>
      <c r="C754" s="22">
        <f ca="1">IFERROR(__xludf.DUMMYFUNCTION("""COMPUTED_VALUE"""),500000)</f>
        <v>500000</v>
      </c>
      <c r="D754" s="22">
        <f ca="1">IFERROR(__xludf.DUMMYFUNCTION("""COMPUTED_VALUE"""),0)</f>
        <v>0</v>
      </c>
      <c r="E754" s="22">
        <f ca="1">IFERROR(__xludf.DUMMYFUNCTION("""COMPUTED_VALUE"""),500000)</f>
        <v>500000</v>
      </c>
      <c r="F754" s="22">
        <f ca="1">IFERROR(__xludf.DUMMYFUNCTION("""COMPUTED_VALUE"""),500000)</f>
        <v>500000</v>
      </c>
      <c r="G754" s="22">
        <f ca="1">IFERROR(__xludf.DUMMYFUNCTION("""COMPUTED_VALUE"""),0)</f>
        <v>0</v>
      </c>
      <c r="H754" s="7">
        <f ca="1">IFERROR(__xludf.DUMMYFUNCTION("""COMPUTED_VALUE"""),500000)</f>
        <v>500000</v>
      </c>
    </row>
    <row r="755" spans="1:8" ht="13" x14ac:dyDescent="0.15">
      <c r="A755" s="5" t="str">
        <f ca="1">IFERROR(__xludf.DUMMYFUNCTION("""COMPUTED_VALUE"""),"36460")</f>
        <v>36460</v>
      </c>
      <c r="B755" s="51">
        <f ca="1">IFERROR(__xludf.DUMMYFUNCTION("""COMPUTED_VALUE"""),44612)</f>
        <v>44612</v>
      </c>
      <c r="C755" s="22">
        <f ca="1">IFERROR(__xludf.DUMMYFUNCTION("""COMPUTED_VALUE"""),500000)</f>
        <v>500000</v>
      </c>
      <c r="D755" s="22">
        <f ca="1">IFERROR(__xludf.DUMMYFUNCTION("""COMPUTED_VALUE"""),0)</f>
        <v>0</v>
      </c>
      <c r="E755" s="22">
        <f ca="1">IFERROR(__xludf.DUMMYFUNCTION("""COMPUTED_VALUE"""),500000)</f>
        <v>500000</v>
      </c>
      <c r="F755" s="22">
        <f ca="1">IFERROR(__xludf.DUMMYFUNCTION("""COMPUTED_VALUE"""),500000)</f>
        <v>500000</v>
      </c>
      <c r="G755" s="22">
        <f ca="1">IFERROR(__xludf.DUMMYFUNCTION("""COMPUTED_VALUE"""),0)</f>
        <v>0</v>
      </c>
      <c r="H755" s="7">
        <f ca="1">IFERROR(__xludf.DUMMYFUNCTION("""COMPUTED_VALUE"""),500000)</f>
        <v>500000</v>
      </c>
    </row>
    <row r="756" spans="1:8" ht="13" x14ac:dyDescent="0.15">
      <c r="A756" s="5" t="str">
        <f ca="1">IFERROR(__xludf.DUMMYFUNCTION("""COMPUTED_VALUE"""),"36460")</f>
        <v>36460</v>
      </c>
      <c r="B756" s="51">
        <f ca="1">IFERROR(__xludf.DUMMYFUNCTION("""COMPUTED_VALUE"""),44613)</f>
        <v>44613</v>
      </c>
      <c r="C756" s="22">
        <f ca="1">IFERROR(__xludf.DUMMYFUNCTION("""COMPUTED_VALUE"""),406000)</f>
        <v>406000</v>
      </c>
      <c r="D756" s="22">
        <f ca="1">IFERROR(__xludf.DUMMYFUNCTION("""COMPUTED_VALUE"""),94000)</f>
        <v>94000</v>
      </c>
      <c r="E756" s="22">
        <f ca="1">IFERROR(__xludf.DUMMYFUNCTION("""COMPUTED_VALUE"""),500000)</f>
        <v>500000</v>
      </c>
      <c r="F756" s="22">
        <f ca="1">IFERROR(__xludf.DUMMYFUNCTION("""COMPUTED_VALUE"""),406000)</f>
        <v>406000</v>
      </c>
      <c r="G756" s="22">
        <f ca="1">IFERROR(__xludf.DUMMYFUNCTION("""COMPUTED_VALUE"""),0)</f>
        <v>0</v>
      </c>
      <c r="H756" s="7">
        <f ca="1">IFERROR(__xludf.DUMMYFUNCTION("""COMPUTED_VALUE"""),495080)</f>
        <v>495080</v>
      </c>
    </row>
    <row r="757" spans="1:8" ht="13" x14ac:dyDescent="0.15">
      <c r="A757" s="5" t="str">
        <f ca="1">IFERROR(__xludf.DUMMYFUNCTION("""COMPUTED_VALUE"""),"36460")</f>
        <v>36460</v>
      </c>
      <c r="B757" s="51">
        <f ca="1">IFERROR(__xludf.DUMMYFUNCTION("""COMPUTED_VALUE"""),44614)</f>
        <v>44614</v>
      </c>
      <c r="C757" s="22">
        <f ca="1">IFERROR(__xludf.DUMMYFUNCTION("""COMPUTED_VALUE"""),406000)</f>
        <v>406000</v>
      </c>
      <c r="D757" s="22">
        <f ca="1">IFERROR(__xludf.DUMMYFUNCTION("""COMPUTED_VALUE"""),94000)</f>
        <v>94000</v>
      </c>
      <c r="E757" s="22">
        <f ca="1">IFERROR(__xludf.DUMMYFUNCTION("""COMPUTED_VALUE"""),500000)</f>
        <v>500000</v>
      </c>
      <c r="F757" s="22">
        <f ca="1">IFERROR(__xludf.DUMMYFUNCTION("""COMPUTED_VALUE"""),406000)</f>
        <v>406000</v>
      </c>
      <c r="G757" s="22">
        <f ca="1">IFERROR(__xludf.DUMMYFUNCTION("""COMPUTED_VALUE"""),0)</f>
        <v>0</v>
      </c>
      <c r="H757" s="7">
        <f ca="1">IFERROR(__xludf.DUMMYFUNCTION("""COMPUTED_VALUE"""),494960)</f>
        <v>494960</v>
      </c>
    </row>
    <row r="758" spans="1:8" ht="13" x14ac:dyDescent="0.15">
      <c r="A758" s="5" t="str">
        <f ca="1">IFERROR(__xludf.DUMMYFUNCTION("""COMPUTED_VALUE"""),"36460")</f>
        <v>36460</v>
      </c>
      <c r="B758" s="51">
        <f ca="1">IFERROR(__xludf.DUMMYFUNCTION("""COMPUTED_VALUE"""),44615)</f>
        <v>44615</v>
      </c>
      <c r="C758" s="22">
        <f ca="1">IFERROR(__xludf.DUMMYFUNCTION("""COMPUTED_VALUE"""),406000)</f>
        <v>406000</v>
      </c>
      <c r="D758" s="22">
        <f ca="1">IFERROR(__xludf.DUMMYFUNCTION("""COMPUTED_VALUE"""),94000)</f>
        <v>94000</v>
      </c>
      <c r="E758" s="22">
        <f ca="1">IFERROR(__xludf.DUMMYFUNCTION("""COMPUTED_VALUE"""),500000)</f>
        <v>500000</v>
      </c>
      <c r="F758" s="22">
        <f ca="1">IFERROR(__xludf.DUMMYFUNCTION("""COMPUTED_VALUE"""),406000)</f>
        <v>406000</v>
      </c>
      <c r="G758" s="22">
        <f ca="1">IFERROR(__xludf.DUMMYFUNCTION("""COMPUTED_VALUE"""),0)</f>
        <v>0</v>
      </c>
      <c r="H758" s="7">
        <f ca="1">IFERROR(__xludf.DUMMYFUNCTION("""COMPUTED_VALUE"""),495000)</f>
        <v>495000</v>
      </c>
    </row>
    <row r="759" spans="1:8" ht="13" x14ac:dyDescent="0.15">
      <c r="A759" s="5" t="str">
        <f ca="1">IFERROR(__xludf.DUMMYFUNCTION("""COMPUTED_VALUE"""),"36460")</f>
        <v>36460</v>
      </c>
      <c r="B759" s="51">
        <f ca="1">IFERROR(__xludf.DUMMYFUNCTION("""COMPUTED_VALUE"""),44616)</f>
        <v>44616</v>
      </c>
      <c r="C759" s="22">
        <f ca="1">IFERROR(__xludf.DUMMYFUNCTION("""COMPUTED_VALUE"""),-219221.19675)</f>
        <v>-219221.19675</v>
      </c>
      <c r="D759" s="22">
        <f ca="1">IFERROR(__xludf.DUMMYFUNCTION("""COMPUTED_VALUE"""),710781.19675)</f>
        <v>710781.19675</v>
      </c>
      <c r="E759" s="22">
        <f ca="1">IFERROR(__xludf.DUMMYFUNCTION("""COMPUTED_VALUE"""),491560)</f>
        <v>491560</v>
      </c>
      <c r="F759" s="22">
        <f ca="1">IFERROR(__xludf.DUMMYFUNCTION("""COMPUTED_VALUE"""),-219221.19675)</f>
        <v>-219221.19675</v>
      </c>
      <c r="G759" s="22">
        <f ca="1">IFERROR(__xludf.DUMMYFUNCTION("""COMPUTED_VALUE"""),219221.19675)</f>
        <v>219221.19675</v>
      </c>
      <c r="H759" s="7">
        <f ca="1">IFERROR(__xludf.DUMMYFUNCTION("""COMPUTED_VALUE"""),491560)</f>
        <v>491560</v>
      </c>
    </row>
    <row r="760" spans="1:8" ht="13" x14ac:dyDescent="0.15">
      <c r="A760" s="5" t="str">
        <f ca="1">IFERROR(__xludf.DUMMYFUNCTION("""COMPUTED_VALUE"""),"36460")</f>
        <v>36460</v>
      </c>
      <c r="B760" s="51">
        <f ca="1">IFERROR(__xludf.DUMMYFUNCTION("""COMPUTED_VALUE"""),44617)</f>
        <v>44617</v>
      </c>
      <c r="C760" s="22">
        <f ca="1">IFERROR(__xludf.DUMMYFUNCTION("""COMPUTED_VALUE"""),-219221.19675)</f>
        <v>-219221.19675</v>
      </c>
      <c r="D760" s="22">
        <f ca="1">IFERROR(__xludf.DUMMYFUNCTION("""COMPUTED_VALUE"""),717178.485865)</f>
        <v>717178.48586500005</v>
      </c>
      <c r="E760" s="22">
        <f ca="1">IFERROR(__xludf.DUMMYFUNCTION("""COMPUTED_VALUE"""),497957.289115)</f>
        <v>497957.28911499999</v>
      </c>
      <c r="F760" s="22">
        <f ca="1">IFERROR(__xludf.DUMMYFUNCTION("""COMPUTED_VALUE"""),-219221.19675)</f>
        <v>-219221.19675</v>
      </c>
      <c r="G760" s="22">
        <f ca="1">IFERROR(__xludf.DUMMYFUNCTION("""COMPUTED_VALUE"""),219221.19675)</f>
        <v>219221.19675</v>
      </c>
      <c r="H760" s="7">
        <f ca="1">IFERROR(__xludf.DUMMYFUNCTION("""COMPUTED_VALUE"""),497957.289115)</f>
        <v>497957.28911499999</v>
      </c>
    </row>
    <row r="761" spans="1:8" ht="13" x14ac:dyDescent="0.15">
      <c r="A761" s="5" t="str">
        <f ca="1">IFERROR(__xludf.DUMMYFUNCTION("""COMPUTED_VALUE"""),"36460")</f>
        <v>36460</v>
      </c>
      <c r="B761" s="51">
        <f ca="1">IFERROR(__xludf.DUMMYFUNCTION("""COMPUTED_VALUE"""),44618)</f>
        <v>44618</v>
      </c>
      <c r="C761" s="22">
        <f ca="1">IFERROR(__xludf.DUMMYFUNCTION("""COMPUTED_VALUE"""),-219221.19675)</f>
        <v>-219221.19675</v>
      </c>
      <c r="D761" s="22">
        <f ca="1">IFERROR(__xludf.DUMMYFUNCTION("""COMPUTED_VALUE"""),717190.633914999)</f>
        <v>717190.63391499897</v>
      </c>
      <c r="E761" s="22">
        <f ca="1">IFERROR(__xludf.DUMMYFUNCTION("""COMPUTED_VALUE"""),497969.437164999)</f>
        <v>497969.43716499902</v>
      </c>
      <c r="F761" s="22">
        <f ca="1">IFERROR(__xludf.DUMMYFUNCTION("""COMPUTED_VALUE"""),-219221.19675)</f>
        <v>-219221.19675</v>
      </c>
      <c r="G761" s="22">
        <f ca="1">IFERROR(__xludf.DUMMYFUNCTION("""COMPUTED_VALUE"""),219221.19675)</f>
        <v>219221.19675</v>
      </c>
      <c r="H761" s="7">
        <f ca="1">IFERROR(__xludf.DUMMYFUNCTION("""COMPUTED_VALUE"""),497969.437164999)</f>
        <v>497969.43716499902</v>
      </c>
    </row>
    <row r="762" spans="1:8" ht="13" x14ac:dyDescent="0.15">
      <c r="A762" s="5" t="str">
        <f ca="1">IFERROR(__xludf.DUMMYFUNCTION("""COMPUTED_VALUE"""),"36460")</f>
        <v>36460</v>
      </c>
      <c r="B762" s="51">
        <f ca="1">IFERROR(__xludf.DUMMYFUNCTION("""COMPUTED_VALUE"""),44619)</f>
        <v>44619</v>
      </c>
      <c r="C762" s="22">
        <f ca="1">IFERROR(__xludf.DUMMYFUNCTION("""COMPUTED_VALUE"""),-219221.19675)</f>
        <v>-219221.19675</v>
      </c>
      <c r="D762" s="22">
        <f ca="1">IFERROR(__xludf.DUMMYFUNCTION("""COMPUTED_VALUE"""),717162.6934)</f>
        <v>717162.69339999999</v>
      </c>
      <c r="E762" s="22">
        <f ca="1">IFERROR(__xludf.DUMMYFUNCTION("""COMPUTED_VALUE"""),497941.49665)</f>
        <v>497941.49664999999</v>
      </c>
      <c r="F762" s="22">
        <f ca="1">IFERROR(__xludf.DUMMYFUNCTION("""COMPUTED_VALUE"""),-219221.19675)</f>
        <v>-219221.19675</v>
      </c>
      <c r="G762" s="22">
        <f ca="1">IFERROR(__xludf.DUMMYFUNCTION("""COMPUTED_VALUE"""),219221.19675)</f>
        <v>219221.19675</v>
      </c>
      <c r="H762" s="7">
        <f ca="1">IFERROR(__xludf.DUMMYFUNCTION("""COMPUTED_VALUE"""),497941.49665)</f>
        <v>497941.49664999999</v>
      </c>
    </row>
    <row r="763" spans="1:8" ht="13" x14ac:dyDescent="0.15">
      <c r="A763" s="5" t="str">
        <f ca="1">IFERROR(__xludf.DUMMYFUNCTION("""COMPUTED_VALUE"""),"36460")</f>
        <v>36460</v>
      </c>
      <c r="B763" s="51">
        <f ca="1">IFERROR(__xludf.DUMMYFUNCTION("""COMPUTED_VALUE"""),44620)</f>
        <v>44620</v>
      </c>
      <c r="C763" s="22">
        <f ca="1">IFERROR(__xludf.DUMMYFUNCTION("""COMPUTED_VALUE"""),324863.705929999)</f>
        <v>324863.70592999901</v>
      </c>
      <c r="D763" s="22">
        <f ca="1">IFERROR(__xludf.DUMMYFUNCTION("""COMPUTED_VALUE"""),220261.225669999)</f>
        <v>220261.225669999</v>
      </c>
      <c r="E763" s="22">
        <f ca="1">IFERROR(__xludf.DUMMYFUNCTION("""COMPUTED_VALUE"""),545124.931599999)</f>
        <v>545124.93159999896</v>
      </c>
      <c r="F763" s="22">
        <f ca="1">IFERROR(__xludf.DUMMYFUNCTION("""COMPUTED_VALUE"""),324863.705929999)</f>
        <v>324863.70592999901</v>
      </c>
      <c r="G763" s="22">
        <f ca="1">IFERROR(__xludf.DUMMYFUNCTION("""COMPUTED_VALUE"""),0)</f>
        <v>0</v>
      </c>
      <c r="H763" s="7">
        <f ca="1">IFERROR(__xludf.DUMMYFUNCTION("""COMPUTED_VALUE"""),545124.931599999)</f>
        <v>545124.93159999896</v>
      </c>
    </row>
    <row r="764" spans="1:8" ht="13" x14ac:dyDescent="0.15">
      <c r="A764" s="5" t="str">
        <f ca="1">IFERROR(__xludf.DUMMYFUNCTION("""COMPUTED_VALUE"""),"36460")</f>
        <v>36460</v>
      </c>
      <c r="B764" s="51">
        <f ca="1">IFERROR(__xludf.DUMMYFUNCTION("""COMPUTED_VALUE"""),44621)</f>
        <v>44621</v>
      </c>
      <c r="C764" s="22">
        <f ca="1">IFERROR(__xludf.DUMMYFUNCTION("""COMPUTED_VALUE"""),324863.705929999)</f>
        <v>324863.70592999901</v>
      </c>
      <c r="D764" s="22">
        <f ca="1">IFERROR(__xludf.DUMMYFUNCTION("""COMPUTED_VALUE"""),217689.834105)</f>
        <v>217689.83410499999</v>
      </c>
      <c r="E764" s="22">
        <f ca="1">IFERROR(__xludf.DUMMYFUNCTION("""COMPUTED_VALUE"""),542553.540035)</f>
        <v>542553.54003499995</v>
      </c>
      <c r="F764" s="22">
        <f ca="1">IFERROR(__xludf.DUMMYFUNCTION("""COMPUTED_VALUE"""),324863.705929999)</f>
        <v>324863.70592999901</v>
      </c>
      <c r="G764" s="22">
        <f ca="1">IFERROR(__xludf.DUMMYFUNCTION("""COMPUTED_VALUE"""),0)</f>
        <v>0</v>
      </c>
      <c r="H764" s="7">
        <f ca="1">IFERROR(__xludf.DUMMYFUNCTION("""COMPUTED_VALUE"""),546178.653286999)</f>
        <v>546178.65328699898</v>
      </c>
    </row>
    <row r="765" spans="1:8" ht="13" x14ac:dyDescent="0.15">
      <c r="A765" s="5" t="str">
        <f ca="1">IFERROR(__xludf.DUMMYFUNCTION("""COMPUTED_VALUE"""),"36460")</f>
        <v>36460</v>
      </c>
      <c r="B765" s="51">
        <f ca="1">IFERROR(__xludf.DUMMYFUNCTION("""COMPUTED_VALUE"""),44622)</f>
        <v>44622</v>
      </c>
      <c r="C765" s="22">
        <f ca="1">IFERROR(__xludf.DUMMYFUNCTION("""COMPUTED_VALUE"""),324863.705929999)</f>
        <v>324863.70592999901</v>
      </c>
      <c r="D765" s="22">
        <f ca="1">IFERROR(__xludf.DUMMYFUNCTION("""COMPUTED_VALUE"""),228136.74387)</f>
        <v>228136.74387000001</v>
      </c>
      <c r="E765" s="22">
        <f ca="1">IFERROR(__xludf.DUMMYFUNCTION("""COMPUTED_VALUE"""),553000.4498)</f>
        <v>553000.44979999994</v>
      </c>
      <c r="F765" s="22">
        <f ca="1">IFERROR(__xludf.DUMMYFUNCTION("""COMPUTED_VALUE"""),324863.705929999)</f>
        <v>324863.70592999901</v>
      </c>
      <c r="G765" s="22">
        <f ca="1">IFERROR(__xludf.DUMMYFUNCTION("""COMPUTED_VALUE"""),0)</f>
        <v>0</v>
      </c>
      <c r="H765" s="7">
        <f ca="1">IFERROR(__xludf.DUMMYFUNCTION("""COMPUTED_VALUE"""),547052.035239999)</f>
        <v>547052.03523999895</v>
      </c>
    </row>
    <row r="766" spans="1:8" ht="13" x14ac:dyDescent="0.15">
      <c r="A766" s="5" t="str">
        <f ca="1">IFERROR(__xludf.DUMMYFUNCTION("""COMPUTED_VALUE"""),"36460")</f>
        <v>36460</v>
      </c>
      <c r="B766" s="51">
        <f ca="1">IFERROR(__xludf.DUMMYFUNCTION("""COMPUTED_VALUE"""),44623)</f>
        <v>44623</v>
      </c>
      <c r="C766" s="22">
        <f ca="1">IFERROR(__xludf.DUMMYFUNCTION("""COMPUTED_VALUE"""),324863.705929999)</f>
        <v>324863.70592999901</v>
      </c>
      <c r="D766" s="22">
        <f ca="1">IFERROR(__xludf.DUMMYFUNCTION("""COMPUTED_VALUE"""),195651.57197)</f>
        <v>195651.57196999999</v>
      </c>
      <c r="E766" s="22">
        <f ca="1">IFERROR(__xludf.DUMMYFUNCTION("""COMPUTED_VALUE"""),520515.2779)</f>
        <v>520515.27789999999</v>
      </c>
      <c r="F766" s="22">
        <f ca="1">IFERROR(__xludf.DUMMYFUNCTION("""COMPUTED_VALUE"""),324863.705929999)</f>
        <v>324863.70592999901</v>
      </c>
      <c r="G766" s="22">
        <f ca="1">IFERROR(__xludf.DUMMYFUNCTION("""COMPUTED_VALUE"""),0)</f>
        <v>0</v>
      </c>
      <c r="H766" s="7">
        <f ca="1">IFERROR(__xludf.DUMMYFUNCTION("""COMPUTED_VALUE"""),539819.000859999)</f>
        <v>539819.00085999898</v>
      </c>
    </row>
    <row r="767" spans="1:8" ht="13" x14ac:dyDescent="0.15">
      <c r="A767" s="5" t="str">
        <f ca="1">IFERROR(__xludf.DUMMYFUNCTION("""COMPUTED_VALUE"""),"36460")</f>
        <v>36460</v>
      </c>
      <c r="B767" s="51">
        <f ca="1">IFERROR(__xludf.DUMMYFUNCTION("""COMPUTED_VALUE"""),44624)</f>
        <v>44624</v>
      </c>
      <c r="C767" s="22">
        <f ca="1">IFERROR(__xludf.DUMMYFUNCTION("""COMPUTED_VALUE"""),324863.705929999)</f>
        <v>324863.70592999901</v>
      </c>
      <c r="D767" s="22">
        <f ca="1">IFERROR(__xludf.DUMMYFUNCTION("""COMPUTED_VALUE"""),191618.37544)</f>
        <v>191618.37544</v>
      </c>
      <c r="E767" s="22">
        <f ca="1">IFERROR(__xludf.DUMMYFUNCTION("""COMPUTED_VALUE"""),516482.08137)</f>
        <v>516482.08137000003</v>
      </c>
      <c r="F767" s="22">
        <f ca="1">IFERROR(__xludf.DUMMYFUNCTION("""COMPUTED_VALUE"""),324863.705929999)</f>
        <v>324863.70592999901</v>
      </c>
      <c r="G767" s="22">
        <f ca="1">IFERROR(__xludf.DUMMYFUNCTION("""COMPUTED_VALUE"""),0)</f>
        <v>0</v>
      </c>
      <c r="H767" s="7">
        <f ca="1">IFERROR(__xludf.DUMMYFUNCTION("""COMPUTED_VALUE"""),536516.361554)</f>
        <v>536516.36155399994</v>
      </c>
    </row>
    <row r="768" spans="1:8" ht="13" x14ac:dyDescent="0.15">
      <c r="A768" s="5" t="str">
        <f ca="1">IFERROR(__xludf.DUMMYFUNCTION("""COMPUTED_VALUE"""),"36460")</f>
        <v>36460</v>
      </c>
      <c r="B768" s="51">
        <f ca="1">IFERROR(__xludf.DUMMYFUNCTION("""COMPUTED_VALUE"""),44625)</f>
        <v>44625</v>
      </c>
      <c r="C768" s="22">
        <f ca="1">IFERROR(__xludf.DUMMYFUNCTION("""COMPUTED_VALUE"""),324863.705929999)</f>
        <v>324863.70592999901</v>
      </c>
      <c r="D768" s="22">
        <f ca="1">IFERROR(__xludf.DUMMYFUNCTION("""COMPUTED_VALUE"""),191618.37544)</f>
        <v>191618.37544</v>
      </c>
      <c r="E768" s="22">
        <f ca="1">IFERROR(__xludf.DUMMYFUNCTION("""COMPUTED_VALUE"""),516482.08137)</f>
        <v>516482.08137000003</v>
      </c>
      <c r="F768" s="22">
        <f ca="1">IFERROR(__xludf.DUMMYFUNCTION("""COMPUTED_VALUE"""),324863.705929999)</f>
        <v>324863.70592999901</v>
      </c>
      <c r="G768" s="22">
        <f ca="1">IFERROR(__xludf.DUMMYFUNCTION("""COMPUTED_VALUE"""),0)</f>
        <v>0</v>
      </c>
      <c r="H768" s="7">
        <f ca="1">IFERROR(__xludf.DUMMYFUNCTION("""COMPUTED_VALUE"""),536516.361554)</f>
        <v>536516.36155399994</v>
      </c>
    </row>
    <row r="769" spans="1:8" ht="13" x14ac:dyDescent="0.15">
      <c r="A769" s="5" t="str">
        <f ca="1">IFERROR(__xludf.DUMMYFUNCTION("""COMPUTED_VALUE"""),"36460")</f>
        <v>36460</v>
      </c>
      <c r="B769" s="51">
        <f ca="1">IFERROR(__xludf.DUMMYFUNCTION("""COMPUTED_VALUE"""),44626)</f>
        <v>44626</v>
      </c>
      <c r="C769" s="22">
        <f ca="1">IFERROR(__xludf.DUMMYFUNCTION("""COMPUTED_VALUE"""),324863.705929999)</f>
        <v>324863.70592999901</v>
      </c>
      <c r="D769" s="22">
        <f ca="1">IFERROR(__xludf.DUMMYFUNCTION("""COMPUTED_VALUE"""),191708.491615)</f>
        <v>191708.49161500001</v>
      </c>
      <c r="E769" s="22">
        <f ca="1">IFERROR(__xludf.DUMMYFUNCTION("""COMPUTED_VALUE"""),516572.197545)</f>
        <v>516572.197545</v>
      </c>
      <c r="F769" s="22">
        <f ca="1">IFERROR(__xludf.DUMMYFUNCTION("""COMPUTED_VALUE"""),324863.705929999)</f>
        <v>324863.70592999901</v>
      </c>
      <c r="G769" s="22">
        <f ca="1">IFERROR(__xludf.DUMMYFUNCTION("""COMPUTED_VALUE"""),0)</f>
        <v>0</v>
      </c>
      <c r="H769" s="7">
        <f ca="1">IFERROR(__xludf.DUMMYFUNCTION("""COMPUTED_VALUE"""),536534.384788999)</f>
        <v>536534.38478899898</v>
      </c>
    </row>
    <row r="770" spans="1:8" ht="13" x14ac:dyDescent="0.15">
      <c r="A770" s="5" t="str">
        <f ca="1">IFERROR(__xludf.DUMMYFUNCTION("""COMPUTED_VALUE"""),"36460")</f>
        <v>36460</v>
      </c>
      <c r="B770" s="51">
        <f ca="1">IFERROR(__xludf.DUMMYFUNCTION("""COMPUTED_VALUE"""),44627)</f>
        <v>44627</v>
      </c>
      <c r="C770" s="22">
        <f ca="1">IFERROR(__xludf.DUMMYFUNCTION("""COMPUTED_VALUE"""),324863.705929999)</f>
        <v>324863.70592999901</v>
      </c>
      <c r="D770" s="22">
        <f ca="1">IFERROR(__xludf.DUMMYFUNCTION("""COMPUTED_VALUE"""),162579.99322)</f>
        <v>162579.99322</v>
      </c>
      <c r="E770" s="22">
        <f ca="1">IFERROR(__xludf.DUMMYFUNCTION("""COMPUTED_VALUE"""),487443.69915)</f>
        <v>487443.69915</v>
      </c>
      <c r="F770" s="22">
        <f ca="1">IFERROR(__xludf.DUMMYFUNCTION("""COMPUTED_VALUE"""),324863.705929999)</f>
        <v>324863.70592999901</v>
      </c>
      <c r="G770" s="22">
        <f ca="1">IFERROR(__xludf.DUMMYFUNCTION("""COMPUTED_VALUE"""),0)</f>
        <v>0</v>
      </c>
      <c r="H770" s="7">
        <f ca="1">IFERROR(__xludf.DUMMYFUNCTION("""COMPUTED_VALUE"""),528276.68511)</f>
        <v>528276.68510999996</v>
      </c>
    </row>
    <row r="771" spans="1:8" ht="13" x14ac:dyDescent="0.15">
      <c r="A771" s="5" t="str">
        <f ca="1">IFERROR(__xludf.DUMMYFUNCTION("""COMPUTED_VALUE"""),"36460")</f>
        <v>36460</v>
      </c>
      <c r="B771" s="51">
        <f ca="1">IFERROR(__xludf.DUMMYFUNCTION("""COMPUTED_VALUE"""),44628)</f>
        <v>44628</v>
      </c>
      <c r="C771" s="22">
        <f ca="1">IFERROR(__xludf.DUMMYFUNCTION("""COMPUTED_VALUE"""),324863.705929999)</f>
        <v>324863.70592999901</v>
      </c>
      <c r="D771" s="22">
        <f ca="1">IFERROR(__xludf.DUMMYFUNCTION("""COMPUTED_VALUE"""),177151.39632)</f>
        <v>177151.39632</v>
      </c>
      <c r="E771" s="22">
        <f ca="1">IFERROR(__xludf.DUMMYFUNCTION("""COMPUTED_VALUE"""),502015.10225)</f>
        <v>502015.10225</v>
      </c>
      <c r="F771" s="22">
        <f ca="1">IFERROR(__xludf.DUMMYFUNCTION("""COMPUTED_VALUE"""),324863.705929999)</f>
        <v>324863.70592999901</v>
      </c>
      <c r="G771" s="22">
        <f ca="1">IFERROR(__xludf.DUMMYFUNCTION("""COMPUTED_VALUE"""),0)</f>
        <v>0</v>
      </c>
      <c r="H771" s="7">
        <f ca="1">IFERROR(__xludf.DUMMYFUNCTION("""COMPUTED_VALUE"""),530422.965729999)</f>
        <v>530422.96572999901</v>
      </c>
    </row>
    <row r="772" spans="1:8" ht="13" x14ac:dyDescent="0.15">
      <c r="A772" s="5" t="str">
        <f ca="1">IFERROR(__xludf.DUMMYFUNCTION("""COMPUTED_VALUE"""),"36460")</f>
        <v>36460</v>
      </c>
      <c r="B772" s="51">
        <f ca="1">IFERROR(__xludf.DUMMYFUNCTION("""COMPUTED_VALUE"""),44629)</f>
        <v>44629</v>
      </c>
      <c r="C772" s="22">
        <f ca="1">IFERROR(__xludf.DUMMYFUNCTION("""COMPUTED_VALUE"""),324863.705929999)</f>
        <v>324863.70592999901</v>
      </c>
      <c r="D772" s="22">
        <f ca="1">IFERROR(__xludf.DUMMYFUNCTION("""COMPUTED_VALUE"""),204533.80427)</f>
        <v>204533.80426999999</v>
      </c>
      <c r="E772" s="22">
        <f ca="1">IFERROR(__xludf.DUMMYFUNCTION("""COMPUTED_VALUE"""),529397.5102)</f>
        <v>529397.51020000002</v>
      </c>
      <c r="F772" s="22">
        <f ca="1">IFERROR(__xludf.DUMMYFUNCTION("""COMPUTED_VALUE"""),324863.705929999)</f>
        <v>324863.70592999901</v>
      </c>
      <c r="G772" s="22">
        <f ca="1">IFERROR(__xludf.DUMMYFUNCTION("""COMPUTED_VALUE"""),0)</f>
        <v>0</v>
      </c>
      <c r="H772" s="7">
        <f ca="1">IFERROR(__xludf.DUMMYFUNCTION("""COMPUTED_VALUE"""),536155.447319999)</f>
        <v>536155.44731999899</v>
      </c>
    </row>
    <row r="773" spans="1:8" ht="13" x14ac:dyDescent="0.15">
      <c r="A773" s="5" t="str">
        <f ca="1">IFERROR(__xludf.DUMMYFUNCTION("""COMPUTED_VALUE"""),"36460")</f>
        <v>36460</v>
      </c>
      <c r="B773" s="51">
        <f ca="1">IFERROR(__xludf.DUMMYFUNCTION("""COMPUTED_VALUE"""),44630)</f>
        <v>44630</v>
      </c>
      <c r="C773" s="22">
        <f ca="1">IFERROR(__xludf.DUMMYFUNCTION("""COMPUTED_VALUE"""),324863.705929999)</f>
        <v>324863.70592999901</v>
      </c>
      <c r="D773" s="22">
        <f ca="1">IFERROR(__xludf.DUMMYFUNCTION("""COMPUTED_VALUE"""),204874.44377)</f>
        <v>204874.44377000001</v>
      </c>
      <c r="E773" s="22">
        <f ca="1">IFERROR(__xludf.DUMMYFUNCTION("""COMPUTED_VALUE"""),529738.1497)</f>
        <v>529738.14969999995</v>
      </c>
      <c r="F773" s="22">
        <f ca="1">IFERROR(__xludf.DUMMYFUNCTION("""COMPUTED_VALUE"""),324863.705929999)</f>
        <v>324863.70592999901</v>
      </c>
      <c r="G773" s="22">
        <f ca="1">IFERROR(__xludf.DUMMYFUNCTION("""COMPUTED_VALUE"""),0)</f>
        <v>0</v>
      </c>
      <c r="H773" s="7">
        <f ca="1">IFERROR(__xludf.DUMMYFUNCTION("""COMPUTED_VALUE"""),536255.57522)</f>
        <v>536255.57522</v>
      </c>
    </row>
    <row r="774" spans="1:8" ht="13" x14ac:dyDescent="0.15">
      <c r="A774" s="5" t="str">
        <f ca="1">IFERROR(__xludf.DUMMYFUNCTION("""COMPUTED_VALUE"""),"36460")</f>
        <v>36460</v>
      </c>
      <c r="B774" s="51">
        <f ca="1">IFERROR(__xludf.DUMMYFUNCTION("""COMPUTED_VALUE"""),44631)</f>
        <v>44631</v>
      </c>
      <c r="C774" s="22">
        <f ca="1">IFERROR(__xludf.DUMMYFUNCTION("""COMPUTED_VALUE"""),324863.705929999)</f>
        <v>324863.70592999901</v>
      </c>
      <c r="D774" s="22">
        <f ca="1">IFERROR(__xludf.DUMMYFUNCTION("""COMPUTED_VALUE"""),152194.37982)</f>
        <v>152194.37982</v>
      </c>
      <c r="E774" s="22">
        <f ca="1">IFERROR(__xludf.DUMMYFUNCTION("""COMPUTED_VALUE"""),477058.085749999)</f>
        <v>477058.08574999898</v>
      </c>
      <c r="F774" s="22">
        <f ca="1">IFERROR(__xludf.DUMMYFUNCTION("""COMPUTED_VALUE"""),324863.705929999)</f>
        <v>324863.70592999901</v>
      </c>
      <c r="G774" s="22">
        <f ca="1">IFERROR(__xludf.DUMMYFUNCTION("""COMPUTED_VALUE"""),0)</f>
        <v>0</v>
      </c>
      <c r="H774" s="7">
        <f ca="1">IFERROR(__xludf.DUMMYFUNCTION("""COMPUTED_VALUE"""),522967.562429999)</f>
        <v>522967.562429999</v>
      </c>
    </row>
    <row r="775" spans="1:8" ht="13" x14ac:dyDescent="0.15">
      <c r="A775" s="5" t="str">
        <f ca="1">IFERROR(__xludf.DUMMYFUNCTION("""COMPUTED_VALUE"""),"36460")</f>
        <v>36460</v>
      </c>
      <c r="B775" s="51">
        <f ca="1">IFERROR(__xludf.DUMMYFUNCTION("""COMPUTED_VALUE"""),44632)</f>
        <v>44632</v>
      </c>
      <c r="C775" s="22">
        <f ca="1">IFERROR(__xludf.DUMMYFUNCTION("""COMPUTED_VALUE"""),324863.705929999)</f>
        <v>324863.70592999901</v>
      </c>
      <c r="D775" s="22">
        <f ca="1">IFERROR(__xludf.DUMMYFUNCTION("""COMPUTED_VALUE"""),152194.37982)</f>
        <v>152194.37982</v>
      </c>
      <c r="E775" s="22">
        <f ca="1">IFERROR(__xludf.DUMMYFUNCTION("""COMPUTED_VALUE"""),477058.085749999)</f>
        <v>477058.08574999898</v>
      </c>
      <c r="F775" s="22">
        <f ca="1">IFERROR(__xludf.DUMMYFUNCTION("""COMPUTED_VALUE"""),324863.705929999)</f>
        <v>324863.70592999901</v>
      </c>
      <c r="G775" s="22">
        <f ca="1">IFERROR(__xludf.DUMMYFUNCTION("""COMPUTED_VALUE"""),0)</f>
        <v>0</v>
      </c>
      <c r="H775" s="7">
        <f ca="1">IFERROR(__xludf.DUMMYFUNCTION("""COMPUTED_VALUE"""),522967.562429999)</f>
        <v>522967.562429999</v>
      </c>
    </row>
    <row r="776" spans="1:8" ht="13" x14ac:dyDescent="0.15">
      <c r="A776" s="5" t="str">
        <f ca="1">IFERROR(__xludf.DUMMYFUNCTION("""COMPUTED_VALUE"""),"36460")</f>
        <v>36460</v>
      </c>
      <c r="B776" s="51">
        <f ca="1">IFERROR(__xludf.DUMMYFUNCTION("""COMPUTED_VALUE"""),44633)</f>
        <v>44633</v>
      </c>
      <c r="C776" s="22">
        <f ca="1">IFERROR(__xludf.DUMMYFUNCTION("""COMPUTED_VALUE"""),324863.705929999)</f>
        <v>324863.70592999901</v>
      </c>
      <c r="D776" s="22">
        <f ca="1">IFERROR(__xludf.DUMMYFUNCTION("""COMPUTED_VALUE"""),152141.09137)</f>
        <v>152141.09137000001</v>
      </c>
      <c r="E776" s="22">
        <f ca="1">IFERROR(__xludf.DUMMYFUNCTION("""COMPUTED_VALUE"""),477004.7973)</f>
        <v>477004.79729999998</v>
      </c>
      <c r="F776" s="22">
        <f ca="1">IFERROR(__xludf.DUMMYFUNCTION("""COMPUTED_VALUE"""),324863.705929999)</f>
        <v>324863.70592999901</v>
      </c>
      <c r="G776" s="22">
        <f ca="1">IFERROR(__xludf.DUMMYFUNCTION("""COMPUTED_VALUE"""),0)</f>
        <v>0</v>
      </c>
      <c r="H776" s="7">
        <f ca="1">IFERROR(__xludf.DUMMYFUNCTION("""COMPUTED_VALUE"""),522956.904739999)</f>
        <v>522956.90473999898</v>
      </c>
    </row>
    <row r="777" spans="1:8" ht="13" x14ac:dyDescent="0.15">
      <c r="A777" s="5" t="str">
        <f ca="1">IFERROR(__xludf.DUMMYFUNCTION("""COMPUTED_VALUE"""),"36460")</f>
        <v>36460</v>
      </c>
      <c r="B777" s="51">
        <f ca="1">IFERROR(__xludf.DUMMYFUNCTION("""COMPUTED_VALUE"""),44634)</f>
        <v>44634</v>
      </c>
      <c r="C777" s="22">
        <f ca="1">IFERROR(__xludf.DUMMYFUNCTION("""COMPUTED_VALUE"""),324863.705929999)</f>
        <v>324863.70592999901</v>
      </c>
      <c r="D777" s="22">
        <f ca="1">IFERROR(__xludf.DUMMYFUNCTION("""COMPUTED_VALUE"""),122285.32957)</f>
        <v>122285.32957</v>
      </c>
      <c r="E777" s="22">
        <f ca="1">IFERROR(__xludf.DUMMYFUNCTION("""COMPUTED_VALUE"""),447149.0355)</f>
        <v>447149.0355</v>
      </c>
      <c r="F777" s="22">
        <f ca="1">IFERROR(__xludf.DUMMYFUNCTION("""COMPUTED_VALUE"""),324863.705929999)</f>
        <v>324863.70592999901</v>
      </c>
      <c r="G777" s="22">
        <f ca="1">IFERROR(__xludf.DUMMYFUNCTION("""COMPUTED_VALUE"""),0)</f>
        <v>0</v>
      </c>
      <c r="H777" s="7">
        <f ca="1">IFERROR(__xludf.DUMMYFUNCTION("""COMPUTED_VALUE"""),511225.752379999)</f>
        <v>511225.75237999897</v>
      </c>
    </row>
    <row r="778" spans="1:8" ht="13" x14ac:dyDescent="0.15">
      <c r="A778" s="5" t="str">
        <f ca="1">IFERROR(__xludf.DUMMYFUNCTION("""COMPUTED_VALUE"""),"36460")</f>
        <v>36460</v>
      </c>
      <c r="B778" s="51">
        <f ca="1">IFERROR(__xludf.DUMMYFUNCTION("""COMPUTED_VALUE"""),44635)</f>
        <v>44635</v>
      </c>
      <c r="C778" s="22">
        <f ca="1">IFERROR(__xludf.DUMMYFUNCTION("""COMPUTED_VALUE"""),324863.705929999)</f>
        <v>324863.70592999901</v>
      </c>
      <c r="D778" s="22">
        <f ca="1">IFERROR(__xludf.DUMMYFUNCTION("""COMPUTED_VALUE"""),143150.39087)</f>
        <v>143150.39087</v>
      </c>
      <c r="E778" s="22">
        <f ca="1">IFERROR(__xludf.DUMMYFUNCTION("""COMPUTED_VALUE"""),468014.0968)</f>
        <v>468014.0968</v>
      </c>
      <c r="F778" s="22">
        <f ca="1">IFERROR(__xludf.DUMMYFUNCTION("""COMPUTED_VALUE"""),324863.705929999)</f>
        <v>324863.70592999901</v>
      </c>
      <c r="G778" s="22">
        <f ca="1">IFERROR(__xludf.DUMMYFUNCTION("""COMPUTED_VALUE"""),0)</f>
        <v>0</v>
      </c>
      <c r="H778" s="7">
        <f ca="1">IFERROR(__xludf.DUMMYFUNCTION("""COMPUTED_VALUE"""),509990.764639999)</f>
        <v>509990.76463999902</v>
      </c>
    </row>
    <row r="779" spans="1:8" ht="13" x14ac:dyDescent="0.15">
      <c r="A779" s="5" t="str">
        <f ca="1">IFERROR(__xludf.DUMMYFUNCTION("""COMPUTED_VALUE"""),"36460")</f>
        <v>36460</v>
      </c>
      <c r="B779" s="51">
        <f ca="1">IFERROR(__xludf.DUMMYFUNCTION("""COMPUTED_VALUE"""),44636)</f>
        <v>44636</v>
      </c>
      <c r="C779" s="22">
        <f ca="1">IFERROR(__xludf.DUMMYFUNCTION("""COMPUTED_VALUE"""),324863.705929999)</f>
        <v>324863.70592999901</v>
      </c>
      <c r="D779" s="22">
        <f ca="1">IFERROR(__xludf.DUMMYFUNCTION("""COMPUTED_VALUE"""),186421.16997)</f>
        <v>186421.16996999999</v>
      </c>
      <c r="E779" s="22">
        <f ca="1">IFERROR(__xludf.DUMMYFUNCTION("""COMPUTED_VALUE"""),511284.8759)</f>
        <v>511284.87589999998</v>
      </c>
      <c r="F779" s="22">
        <f ca="1">IFERROR(__xludf.DUMMYFUNCTION("""COMPUTED_VALUE"""),324863.705929999)</f>
        <v>324863.70592999901</v>
      </c>
      <c r="G779" s="22">
        <f ca="1">IFERROR(__xludf.DUMMYFUNCTION("""COMPUTED_VALUE"""),0)</f>
        <v>0</v>
      </c>
      <c r="H779" s="7">
        <f ca="1">IFERROR(__xludf.DUMMYFUNCTION("""COMPUTED_VALUE"""),529684.920459999)</f>
        <v>529684.920459999</v>
      </c>
    </row>
    <row r="780" spans="1:8" ht="13" x14ac:dyDescent="0.15">
      <c r="A780" s="5" t="str">
        <f ca="1">IFERROR(__xludf.DUMMYFUNCTION("""COMPUTED_VALUE"""),"36460")</f>
        <v>36460</v>
      </c>
      <c r="B780" s="51">
        <f ca="1">IFERROR(__xludf.DUMMYFUNCTION("""COMPUTED_VALUE"""),44637)</f>
        <v>44637</v>
      </c>
      <c r="C780" s="22">
        <f ca="1">IFERROR(__xludf.DUMMYFUNCTION("""COMPUTED_VALUE"""),324863.705929999)</f>
        <v>324863.70592999901</v>
      </c>
      <c r="D780" s="22">
        <f ca="1">IFERROR(__xludf.DUMMYFUNCTION("""COMPUTED_VALUE"""),215240.45932)</f>
        <v>215240.45931999999</v>
      </c>
      <c r="E780" s="22">
        <f ca="1">IFERROR(__xludf.DUMMYFUNCTION("""COMPUTED_VALUE"""),540104.16525)</f>
        <v>540104.16524999996</v>
      </c>
      <c r="F780" s="22">
        <f ca="1">IFERROR(__xludf.DUMMYFUNCTION("""COMPUTED_VALUE"""),324863.705929999)</f>
        <v>324863.70592999901</v>
      </c>
      <c r="G780" s="22">
        <f ca="1">IFERROR(__xludf.DUMMYFUNCTION("""COMPUTED_VALUE"""),0)</f>
        <v>0</v>
      </c>
      <c r="H780" s="7">
        <f ca="1">IFERROR(__xludf.DUMMYFUNCTION("""COMPUTED_VALUE"""),539128.778329999)</f>
        <v>539128.77832999895</v>
      </c>
    </row>
    <row r="781" spans="1:8" ht="13" x14ac:dyDescent="0.15">
      <c r="A781" s="5" t="str">
        <f ca="1">IFERROR(__xludf.DUMMYFUNCTION("""COMPUTED_VALUE"""),"36460")</f>
        <v>36460</v>
      </c>
      <c r="B781" s="51">
        <f ca="1">IFERROR(__xludf.DUMMYFUNCTION("""COMPUTED_VALUE"""),44638)</f>
        <v>44638</v>
      </c>
      <c r="C781" s="22">
        <f ca="1">IFERROR(__xludf.DUMMYFUNCTION("""COMPUTED_VALUE"""),324863.705929999)</f>
        <v>324863.70592999901</v>
      </c>
      <c r="D781" s="22">
        <f ca="1">IFERROR(__xludf.DUMMYFUNCTION("""COMPUTED_VALUE"""),240578.24537)</f>
        <v>240578.24536999999</v>
      </c>
      <c r="E781" s="22">
        <f ca="1">IFERROR(__xludf.DUMMYFUNCTION("""COMPUTED_VALUE"""),565441.9513)</f>
        <v>565441.95129999996</v>
      </c>
      <c r="F781" s="22">
        <f ca="1">IFERROR(__xludf.DUMMYFUNCTION("""COMPUTED_VALUE"""),324863.705929999)</f>
        <v>324863.70592999901</v>
      </c>
      <c r="G781" s="22">
        <f ca="1">IFERROR(__xludf.DUMMYFUNCTION("""COMPUTED_VALUE"""),0)</f>
        <v>0</v>
      </c>
      <c r="H781" s="7">
        <f ca="1">IFERROR(__xludf.DUMMYFUNCTION("""COMPUTED_VALUE"""),542756.335539999)</f>
        <v>542756.33553999895</v>
      </c>
    </row>
    <row r="782" spans="1:8" ht="13" x14ac:dyDescent="0.15">
      <c r="A782" s="5" t="str">
        <f ca="1">IFERROR(__xludf.DUMMYFUNCTION("""COMPUTED_VALUE"""),"36460")</f>
        <v>36460</v>
      </c>
      <c r="B782" s="51">
        <f ca="1">IFERROR(__xludf.DUMMYFUNCTION("""COMPUTED_VALUE"""),44639)</f>
        <v>44639</v>
      </c>
      <c r="C782" s="22">
        <f ca="1">IFERROR(__xludf.DUMMYFUNCTION("""COMPUTED_VALUE"""),324863.705929999)</f>
        <v>324863.70592999901</v>
      </c>
      <c r="D782" s="22">
        <f ca="1">IFERROR(__xludf.DUMMYFUNCTION("""COMPUTED_VALUE"""),240578.24537)</f>
        <v>240578.24536999999</v>
      </c>
      <c r="E782" s="22">
        <f ca="1">IFERROR(__xludf.DUMMYFUNCTION("""COMPUTED_VALUE"""),565441.9513)</f>
        <v>565441.95129999996</v>
      </c>
      <c r="F782" s="22">
        <f ca="1">IFERROR(__xludf.DUMMYFUNCTION("""COMPUTED_VALUE"""),324863.705929999)</f>
        <v>324863.70592999901</v>
      </c>
      <c r="G782" s="22">
        <f ca="1">IFERROR(__xludf.DUMMYFUNCTION("""COMPUTED_VALUE"""),0)</f>
        <v>0</v>
      </c>
      <c r="H782" s="7">
        <f ca="1">IFERROR(__xludf.DUMMYFUNCTION("""COMPUTED_VALUE"""),542756.335539999)</f>
        <v>542756.33553999895</v>
      </c>
    </row>
    <row r="783" spans="1:8" ht="13" x14ac:dyDescent="0.15">
      <c r="A783" s="5" t="str">
        <f ca="1">IFERROR(__xludf.DUMMYFUNCTION("""COMPUTED_VALUE"""),"36460")</f>
        <v>36460</v>
      </c>
      <c r="B783" s="51">
        <f ca="1">IFERROR(__xludf.DUMMYFUNCTION("""COMPUTED_VALUE"""),44640)</f>
        <v>44640</v>
      </c>
      <c r="C783" s="22">
        <f ca="1">IFERROR(__xludf.DUMMYFUNCTION("""COMPUTED_VALUE"""),324863.705929999)</f>
        <v>324863.70592999901</v>
      </c>
      <c r="D783" s="22">
        <f ca="1">IFERROR(__xludf.DUMMYFUNCTION("""COMPUTED_VALUE"""),240423.876375)</f>
        <v>240423.87637499999</v>
      </c>
      <c r="E783" s="22">
        <f ca="1">IFERROR(__xludf.DUMMYFUNCTION("""COMPUTED_VALUE"""),565287.582305)</f>
        <v>565287.58230500005</v>
      </c>
      <c r="F783" s="22">
        <f ca="1">IFERROR(__xludf.DUMMYFUNCTION("""COMPUTED_VALUE"""),324863.705929999)</f>
        <v>324863.70592999901</v>
      </c>
      <c r="G783" s="22">
        <f ca="1">IFERROR(__xludf.DUMMYFUNCTION("""COMPUTED_VALUE"""),0)</f>
        <v>0</v>
      </c>
      <c r="H783" s="7">
        <f ca="1">IFERROR(__xludf.DUMMYFUNCTION("""COMPUTED_VALUE"""),542725.461741)</f>
        <v>542725.46174099995</v>
      </c>
    </row>
    <row r="784" spans="1:8" ht="13" x14ac:dyDescent="0.15">
      <c r="A784" s="5" t="str">
        <f ca="1">IFERROR(__xludf.DUMMYFUNCTION("""COMPUTED_VALUE"""),"36460")</f>
        <v>36460</v>
      </c>
      <c r="B784" s="51">
        <f ca="1">IFERROR(__xludf.DUMMYFUNCTION("""COMPUTED_VALUE"""),44641)</f>
        <v>44641</v>
      </c>
      <c r="C784" s="22">
        <f ca="1">IFERROR(__xludf.DUMMYFUNCTION("""COMPUTED_VALUE"""),324863.705929999)</f>
        <v>324863.70592999901</v>
      </c>
      <c r="D784" s="22">
        <f ca="1">IFERROR(__xludf.DUMMYFUNCTION("""COMPUTED_VALUE"""),251244.249519999)</f>
        <v>251244.24951999899</v>
      </c>
      <c r="E784" s="22">
        <f ca="1">IFERROR(__xludf.DUMMYFUNCTION("""COMPUTED_VALUE"""),576107.955449999)</f>
        <v>576107.95544999896</v>
      </c>
      <c r="F784" s="22">
        <f ca="1">IFERROR(__xludf.DUMMYFUNCTION("""COMPUTED_VALUE"""),324863.705929999)</f>
        <v>324863.70592999901</v>
      </c>
      <c r="G784" s="22">
        <f ca="1">IFERROR(__xludf.DUMMYFUNCTION("""COMPUTED_VALUE"""),0)</f>
        <v>0</v>
      </c>
      <c r="H784" s="7">
        <f ca="1">IFERROR(__xludf.DUMMYFUNCTION("""COMPUTED_VALUE"""),543513.536369999)</f>
        <v>543513.53636999906</v>
      </c>
    </row>
    <row r="785" spans="1:8" ht="13" x14ac:dyDescent="0.15">
      <c r="A785" s="5" t="str">
        <f ca="1">IFERROR(__xludf.DUMMYFUNCTION("""COMPUTED_VALUE"""),"36460")</f>
        <v>36460</v>
      </c>
      <c r="B785" s="51">
        <f ca="1">IFERROR(__xludf.DUMMYFUNCTION("""COMPUTED_VALUE"""),44642)</f>
        <v>44642</v>
      </c>
      <c r="C785" s="22">
        <f ca="1">IFERROR(__xludf.DUMMYFUNCTION("""COMPUTED_VALUE"""),324863.705929999)</f>
        <v>324863.70592999901</v>
      </c>
      <c r="D785" s="22">
        <f ca="1">IFERROR(__xludf.DUMMYFUNCTION("""COMPUTED_VALUE"""),311498.27342)</f>
        <v>311498.27341999998</v>
      </c>
      <c r="E785" s="22">
        <f ca="1">IFERROR(__xludf.DUMMYFUNCTION("""COMPUTED_VALUE"""),636361.97935)</f>
        <v>636361.97935000004</v>
      </c>
      <c r="F785" s="22">
        <f ca="1">IFERROR(__xludf.DUMMYFUNCTION("""COMPUTED_VALUE"""),324863.705929999)</f>
        <v>324863.70592999901</v>
      </c>
      <c r="G785" s="22">
        <f ca="1">IFERROR(__xludf.DUMMYFUNCTION("""COMPUTED_VALUE"""),0)</f>
        <v>0</v>
      </c>
      <c r="H785" s="7">
        <f ca="1">IFERROR(__xludf.DUMMYFUNCTION("""COMPUTED_VALUE"""),558060.34115)</f>
        <v>558060.34114999999</v>
      </c>
    </row>
    <row r="786" spans="1:8" ht="13" x14ac:dyDescent="0.15">
      <c r="A786" s="5" t="str">
        <f ca="1">IFERROR(__xludf.DUMMYFUNCTION("""COMPUTED_VALUE"""),"36560")</f>
        <v>36560</v>
      </c>
      <c r="B786" s="51">
        <f ca="1">IFERROR(__xludf.DUMMYFUNCTION("""COMPUTED_VALUE"""),44597)</f>
        <v>44597</v>
      </c>
      <c r="C786" s="22">
        <f ca="1">IFERROR(__xludf.DUMMYFUNCTION("""COMPUTED_VALUE"""),500000)</f>
        <v>500000</v>
      </c>
      <c r="D786" s="22">
        <f ca="1">IFERROR(__xludf.DUMMYFUNCTION("""COMPUTED_VALUE"""),0)</f>
        <v>0</v>
      </c>
      <c r="E786" s="22">
        <f ca="1">IFERROR(__xludf.DUMMYFUNCTION("""COMPUTED_VALUE"""),500000)</f>
        <v>500000</v>
      </c>
      <c r="F786" s="22">
        <f ca="1">IFERROR(__xludf.DUMMYFUNCTION("""COMPUTED_VALUE"""),500000)</f>
        <v>500000</v>
      </c>
      <c r="G786" s="22">
        <f ca="1">IFERROR(__xludf.DUMMYFUNCTION("""COMPUTED_VALUE"""),0)</f>
        <v>0</v>
      </c>
      <c r="H786" s="7">
        <f ca="1">IFERROR(__xludf.DUMMYFUNCTION("""COMPUTED_VALUE"""),500000)</f>
        <v>500000</v>
      </c>
    </row>
    <row r="787" spans="1:8" ht="13" x14ac:dyDescent="0.15">
      <c r="A787" s="5" t="str">
        <f ca="1">IFERROR(__xludf.DUMMYFUNCTION("""COMPUTED_VALUE"""),"36560")</f>
        <v>36560</v>
      </c>
      <c r="B787" s="51">
        <f ca="1">IFERROR(__xludf.DUMMYFUNCTION("""COMPUTED_VALUE"""),44598)</f>
        <v>44598</v>
      </c>
      <c r="C787" s="22">
        <f ca="1">IFERROR(__xludf.DUMMYFUNCTION("""COMPUTED_VALUE"""),500000)</f>
        <v>500000</v>
      </c>
      <c r="D787" s="22">
        <f ca="1">IFERROR(__xludf.DUMMYFUNCTION("""COMPUTED_VALUE"""),0)</f>
        <v>0</v>
      </c>
      <c r="E787" s="22">
        <f ca="1">IFERROR(__xludf.DUMMYFUNCTION("""COMPUTED_VALUE"""),500000)</f>
        <v>500000</v>
      </c>
      <c r="F787" s="22">
        <f ca="1">IFERROR(__xludf.DUMMYFUNCTION("""COMPUTED_VALUE"""),500000)</f>
        <v>500000</v>
      </c>
      <c r="G787" s="22">
        <f ca="1">IFERROR(__xludf.DUMMYFUNCTION("""COMPUTED_VALUE"""),0)</f>
        <v>0</v>
      </c>
      <c r="H787" s="7">
        <f ca="1">IFERROR(__xludf.DUMMYFUNCTION("""COMPUTED_VALUE"""),500000)</f>
        <v>500000</v>
      </c>
    </row>
    <row r="788" spans="1:8" ht="13" x14ac:dyDescent="0.15">
      <c r="A788" s="5" t="str">
        <f ca="1">IFERROR(__xludf.DUMMYFUNCTION("""COMPUTED_VALUE"""),"36560")</f>
        <v>36560</v>
      </c>
      <c r="B788" s="51">
        <f ca="1">IFERROR(__xludf.DUMMYFUNCTION("""COMPUTED_VALUE"""),44599)</f>
        <v>44599</v>
      </c>
      <c r="C788" s="22">
        <f ca="1">IFERROR(__xludf.DUMMYFUNCTION("""COMPUTED_VALUE"""),500000)</f>
        <v>500000</v>
      </c>
      <c r="D788" s="22">
        <f ca="1">IFERROR(__xludf.DUMMYFUNCTION("""COMPUTED_VALUE"""),0)</f>
        <v>0</v>
      </c>
      <c r="E788" s="22">
        <f ca="1">IFERROR(__xludf.DUMMYFUNCTION("""COMPUTED_VALUE"""),500000)</f>
        <v>500000</v>
      </c>
      <c r="F788" s="22">
        <f ca="1">IFERROR(__xludf.DUMMYFUNCTION("""COMPUTED_VALUE"""),500000)</f>
        <v>500000</v>
      </c>
      <c r="G788" s="22">
        <f ca="1">IFERROR(__xludf.DUMMYFUNCTION("""COMPUTED_VALUE"""),0)</f>
        <v>0</v>
      </c>
      <c r="H788" s="7">
        <f ca="1">IFERROR(__xludf.DUMMYFUNCTION("""COMPUTED_VALUE"""),500000)</f>
        <v>500000</v>
      </c>
    </row>
    <row r="789" spans="1:8" ht="13" x14ac:dyDescent="0.15">
      <c r="A789" s="5" t="str">
        <f ca="1">IFERROR(__xludf.DUMMYFUNCTION("""COMPUTED_VALUE"""),"36560")</f>
        <v>36560</v>
      </c>
      <c r="B789" s="51">
        <f ca="1">IFERROR(__xludf.DUMMYFUNCTION("""COMPUTED_VALUE"""),44600)</f>
        <v>44600</v>
      </c>
      <c r="C789" s="22">
        <f ca="1">IFERROR(__xludf.DUMMYFUNCTION("""COMPUTED_VALUE"""),500000)</f>
        <v>500000</v>
      </c>
      <c r="D789" s="22">
        <f ca="1">IFERROR(__xludf.DUMMYFUNCTION("""COMPUTED_VALUE"""),0)</f>
        <v>0</v>
      </c>
      <c r="E789" s="22">
        <f ca="1">IFERROR(__xludf.DUMMYFUNCTION("""COMPUTED_VALUE"""),500000)</f>
        <v>500000</v>
      </c>
      <c r="F789" s="22">
        <f ca="1">IFERROR(__xludf.DUMMYFUNCTION("""COMPUTED_VALUE"""),500000)</f>
        <v>500000</v>
      </c>
      <c r="G789" s="22">
        <f ca="1">IFERROR(__xludf.DUMMYFUNCTION("""COMPUTED_VALUE"""),0)</f>
        <v>0</v>
      </c>
      <c r="H789" s="7">
        <f ca="1">IFERROR(__xludf.DUMMYFUNCTION("""COMPUTED_VALUE"""),500000)</f>
        <v>500000</v>
      </c>
    </row>
    <row r="790" spans="1:8" ht="13" x14ac:dyDescent="0.15">
      <c r="A790" s="5" t="str">
        <f ca="1">IFERROR(__xludf.DUMMYFUNCTION("""COMPUTED_VALUE"""),"36560")</f>
        <v>36560</v>
      </c>
      <c r="B790" s="51">
        <f ca="1">IFERROR(__xludf.DUMMYFUNCTION("""COMPUTED_VALUE"""),44601)</f>
        <v>44601</v>
      </c>
      <c r="C790" s="22">
        <f ca="1">IFERROR(__xludf.DUMMYFUNCTION("""COMPUTED_VALUE"""),500000)</f>
        <v>500000</v>
      </c>
      <c r="D790" s="22">
        <f ca="1">IFERROR(__xludf.DUMMYFUNCTION("""COMPUTED_VALUE"""),0)</f>
        <v>0</v>
      </c>
      <c r="E790" s="22">
        <f ca="1">IFERROR(__xludf.DUMMYFUNCTION("""COMPUTED_VALUE"""),500000)</f>
        <v>500000</v>
      </c>
      <c r="F790" s="22">
        <f ca="1">IFERROR(__xludf.DUMMYFUNCTION("""COMPUTED_VALUE"""),500000)</f>
        <v>500000</v>
      </c>
      <c r="G790" s="22">
        <f ca="1">IFERROR(__xludf.DUMMYFUNCTION("""COMPUTED_VALUE"""),0)</f>
        <v>0</v>
      </c>
      <c r="H790" s="7">
        <f ca="1">IFERROR(__xludf.DUMMYFUNCTION("""COMPUTED_VALUE"""),500000)</f>
        <v>500000</v>
      </c>
    </row>
    <row r="791" spans="1:8" ht="13" x14ac:dyDescent="0.15">
      <c r="A791" s="5" t="str">
        <f ca="1">IFERROR(__xludf.DUMMYFUNCTION("""COMPUTED_VALUE"""),"36560")</f>
        <v>36560</v>
      </c>
      <c r="B791" s="51">
        <f ca="1">IFERROR(__xludf.DUMMYFUNCTION("""COMPUTED_VALUE"""),44602)</f>
        <v>44602</v>
      </c>
      <c r="C791" s="22">
        <f ca="1">IFERROR(__xludf.DUMMYFUNCTION("""COMPUTED_VALUE"""),500000)</f>
        <v>500000</v>
      </c>
      <c r="D791" s="22">
        <f ca="1">IFERROR(__xludf.DUMMYFUNCTION("""COMPUTED_VALUE"""),0)</f>
        <v>0</v>
      </c>
      <c r="E791" s="22">
        <f ca="1">IFERROR(__xludf.DUMMYFUNCTION("""COMPUTED_VALUE"""),500000)</f>
        <v>500000</v>
      </c>
      <c r="F791" s="22">
        <f ca="1">IFERROR(__xludf.DUMMYFUNCTION("""COMPUTED_VALUE"""),500000)</f>
        <v>500000</v>
      </c>
      <c r="G791" s="22">
        <f ca="1">IFERROR(__xludf.DUMMYFUNCTION("""COMPUTED_VALUE"""),0)</f>
        <v>0</v>
      </c>
      <c r="H791" s="7">
        <f ca="1">IFERROR(__xludf.DUMMYFUNCTION("""COMPUTED_VALUE"""),500000)</f>
        <v>500000</v>
      </c>
    </row>
    <row r="792" spans="1:8" ht="13" x14ac:dyDescent="0.15">
      <c r="A792" s="5" t="str">
        <f ca="1">IFERROR(__xludf.DUMMYFUNCTION("""COMPUTED_VALUE"""),"36560")</f>
        <v>36560</v>
      </c>
      <c r="B792" s="51">
        <f ca="1">IFERROR(__xludf.DUMMYFUNCTION("""COMPUTED_VALUE"""),44603)</f>
        <v>44603</v>
      </c>
      <c r="C792" s="22">
        <f ca="1">IFERROR(__xludf.DUMMYFUNCTION("""COMPUTED_VALUE"""),500000)</f>
        <v>500000</v>
      </c>
      <c r="D792" s="22">
        <f ca="1">IFERROR(__xludf.DUMMYFUNCTION("""COMPUTED_VALUE"""),0)</f>
        <v>0</v>
      </c>
      <c r="E792" s="22">
        <f ca="1">IFERROR(__xludf.DUMMYFUNCTION("""COMPUTED_VALUE"""),500000)</f>
        <v>500000</v>
      </c>
      <c r="F792" s="22">
        <f ca="1">IFERROR(__xludf.DUMMYFUNCTION("""COMPUTED_VALUE"""),500000)</f>
        <v>500000</v>
      </c>
      <c r="G792" s="22">
        <f ca="1">IFERROR(__xludf.DUMMYFUNCTION("""COMPUTED_VALUE"""),0)</f>
        <v>0</v>
      </c>
      <c r="H792" s="7">
        <f ca="1">IFERROR(__xludf.DUMMYFUNCTION("""COMPUTED_VALUE"""),500000)</f>
        <v>500000</v>
      </c>
    </row>
    <row r="793" spans="1:8" ht="13" x14ac:dyDescent="0.15">
      <c r="A793" s="5" t="str">
        <f ca="1">IFERROR(__xludf.DUMMYFUNCTION("""COMPUTED_VALUE"""),"36560")</f>
        <v>36560</v>
      </c>
      <c r="B793" s="51">
        <f ca="1">IFERROR(__xludf.DUMMYFUNCTION("""COMPUTED_VALUE"""),44604)</f>
        <v>44604</v>
      </c>
      <c r="C793" s="22">
        <f ca="1">IFERROR(__xludf.DUMMYFUNCTION("""COMPUTED_VALUE"""),500000)</f>
        <v>500000</v>
      </c>
      <c r="D793" s="22">
        <f ca="1">IFERROR(__xludf.DUMMYFUNCTION("""COMPUTED_VALUE"""),0)</f>
        <v>0</v>
      </c>
      <c r="E793" s="22">
        <f ca="1">IFERROR(__xludf.DUMMYFUNCTION("""COMPUTED_VALUE"""),500000)</f>
        <v>500000</v>
      </c>
      <c r="F793" s="22">
        <f ca="1">IFERROR(__xludf.DUMMYFUNCTION("""COMPUTED_VALUE"""),500000)</f>
        <v>500000</v>
      </c>
      <c r="G793" s="22">
        <f ca="1">IFERROR(__xludf.DUMMYFUNCTION("""COMPUTED_VALUE"""),0)</f>
        <v>0</v>
      </c>
      <c r="H793" s="7">
        <f ca="1">IFERROR(__xludf.DUMMYFUNCTION("""COMPUTED_VALUE"""),500000)</f>
        <v>500000</v>
      </c>
    </row>
    <row r="794" spans="1:8" ht="13" x14ac:dyDescent="0.15">
      <c r="A794" s="5" t="str">
        <f ca="1">IFERROR(__xludf.DUMMYFUNCTION("""COMPUTED_VALUE"""),"36560")</f>
        <v>36560</v>
      </c>
      <c r="B794" s="51">
        <f ca="1">IFERROR(__xludf.DUMMYFUNCTION("""COMPUTED_VALUE"""),44605)</f>
        <v>44605</v>
      </c>
      <c r="C794" s="22">
        <f ca="1">IFERROR(__xludf.DUMMYFUNCTION("""COMPUTED_VALUE"""),500000)</f>
        <v>500000</v>
      </c>
      <c r="D794" s="22">
        <f ca="1">IFERROR(__xludf.DUMMYFUNCTION("""COMPUTED_VALUE"""),0)</f>
        <v>0</v>
      </c>
      <c r="E794" s="22">
        <f ca="1">IFERROR(__xludf.DUMMYFUNCTION("""COMPUTED_VALUE"""),500000)</f>
        <v>500000</v>
      </c>
      <c r="F794" s="22">
        <f ca="1">IFERROR(__xludf.DUMMYFUNCTION("""COMPUTED_VALUE"""),500000)</f>
        <v>500000</v>
      </c>
      <c r="G794" s="22">
        <f ca="1">IFERROR(__xludf.DUMMYFUNCTION("""COMPUTED_VALUE"""),0)</f>
        <v>0</v>
      </c>
      <c r="H794" s="7">
        <f ca="1">IFERROR(__xludf.DUMMYFUNCTION("""COMPUTED_VALUE"""),500000)</f>
        <v>500000</v>
      </c>
    </row>
    <row r="795" spans="1:8" ht="13" x14ac:dyDescent="0.15">
      <c r="A795" s="5" t="str">
        <f ca="1">IFERROR(__xludf.DUMMYFUNCTION("""COMPUTED_VALUE"""),"36560")</f>
        <v>36560</v>
      </c>
      <c r="B795" s="51">
        <f ca="1">IFERROR(__xludf.DUMMYFUNCTION("""COMPUTED_VALUE"""),44606)</f>
        <v>44606</v>
      </c>
      <c r="C795" s="22">
        <f ca="1">IFERROR(__xludf.DUMMYFUNCTION("""COMPUTED_VALUE"""),500000)</f>
        <v>500000</v>
      </c>
      <c r="D795" s="22">
        <f ca="1">IFERROR(__xludf.DUMMYFUNCTION("""COMPUTED_VALUE"""),0)</f>
        <v>0</v>
      </c>
      <c r="E795" s="22">
        <f ca="1">IFERROR(__xludf.DUMMYFUNCTION("""COMPUTED_VALUE"""),500000)</f>
        <v>500000</v>
      </c>
      <c r="F795" s="22">
        <f ca="1">IFERROR(__xludf.DUMMYFUNCTION("""COMPUTED_VALUE"""),500000)</f>
        <v>500000</v>
      </c>
      <c r="G795" s="22">
        <f ca="1">IFERROR(__xludf.DUMMYFUNCTION("""COMPUTED_VALUE"""),0)</f>
        <v>0</v>
      </c>
      <c r="H795" s="7">
        <f ca="1">IFERROR(__xludf.DUMMYFUNCTION("""COMPUTED_VALUE"""),500000)</f>
        <v>500000</v>
      </c>
    </row>
    <row r="796" spans="1:8" ht="13" x14ac:dyDescent="0.15">
      <c r="A796" s="5" t="str">
        <f ca="1">IFERROR(__xludf.DUMMYFUNCTION("""COMPUTED_VALUE"""),"36560")</f>
        <v>36560</v>
      </c>
      <c r="B796" s="51">
        <f ca="1">IFERROR(__xludf.DUMMYFUNCTION("""COMPUTED_VALUE"""),44607)</f>
        <v>44607</v>
      </c>
      <c r="C796" s="22">
        <f ca="1">IFERROR(__xludf.DUMMYFUNCTION("""COMPUTED_VALUE"""),500000)</f>
        <v>500000</v>
      </c>
      <c r="D796" s="22">
        <f ca="1">IFERROR(__xludf.DUMMYFUNCTION("""COMPUTED_VALUE"""),0)</f>
        <v>0</v>
      </c>
      <c r="E796" s="22">
        <f ca="1">IFERROR(__xludf.DUMMYFUNCTION("""COMPUTED_VALUE"""),500000)</f>
        <v>500000</v>
      </c>
      <c r="F796" s="22">
        <f ca="1">IFERROR(__xludf.DUMMYFUNCTION("""COMPUTED_VALUE"""),500000)</f>
        <v>500000</v>
      </c>
      <c r="G796" s="22">
        <f ca="1">IFERROR(__xludf.DUMMYFUNCTION("""COMPUTED_VALUE"""),0)</f>
        <v>0</v>
      </c>
      <c r="H796" s="7">
        <f ca="1">IFERROR(__xludf.DUMMYFUNCTION("""COMPUTED_VALUE"""),500000)</f>
        <v>500000</v>
      </c>
    </row>
    <row r="797" spans="1:8" ht="13" x14ac:dyDescent="0.15">
      <c r="A797" s="5" t="str">
        <f ca="1">IFERROR(__xludf.DUMMYFUNCTION("""COMPUTED_VALUE"""),"36560")</f>
        <v>36560</v>
      </c>
      <c r="B797" s="51">
        <f ca="1">IFERROR(__xludf.DUMMYFUNCTION("""COMPUTED_VALUE"""),44608)</f>
        <v>44608</v>
      </c>
      <c r="C797" s="22">
        <f ca="1">IFERROR(__xludf.DUMMYFUNCTION("""COMPUTED_VALUE"""),500000)</f>
        <v>500000</v>
      </c>
      <c r="D797" s="22">
        <f ca="1">IFERROR(__xludf.DUMMYFUNCTION("""COMPUTED_VALUE"""),0)</f>
        <v>0</v>
      </c>
      <c r="E797" s="22">
        <f ca="1">IFERROR(__xludf.DUMMYFUNCTION("""COMPUTED_VALUE"""),500000)</f>
        <v>500000</v>
      </c>
      <c r="F797" s="22">
        <f ca="1">IFERROR(__xludf.DUMMYFUNCTION("""COMPUTED_VALUE"""),500000)</f>
        <v>500000</v>
      </c>
      <c r="G797" s="22">
        <f ca="1">IFERROR(__xludf.DUMMYFUNCTION("""COMPUTED_VALUE"""),0)</f>
        <v>0</v>
      </c>
      <c r="H797" s="7">
        <f ca="1">IFERROR(__xludf.DUMMYFUNCTION("""COMPUTED_VALUE"""),500000)</f>
        <v>500000</v>
      </c>
    </row>
    <row r="798" spans="1:8" ht="13" x14ac:dyDescent="0.15">
      <c r="A798" s="5" t="str">
        <f ca="1">IFERROR(__xludf.DUMMYFUNCTION("""COMPUTED_VALUE"""),"36560")</f>
        <v>36560</v>
      </c>
      <c r="B798" s="51">
        <f ca="1">IFERROR(__xludf.DUMMYFUNCTION("""COMPUTED_VALUE"""),44609)</f>
        <v>44609</v>
      </c>
      <c r="C798" s="22">
        <f ca="1">IFERROR(__xludf.DUMMYFUNCTION("""COMPUTED_VALUE"""),500000)</f>
        <v>500000</v>
      </c>
      <c r="D798" s="22">
        <f ca="1">IFERROR(__xludf.DUMMYFUNCTION("""COMPUTED_VALUE"""),0)</f>
        <v>0</v>
      </c>
      <c r="E798" s="22">
        <f ca="1">IFERROR(__xludf.DUMMYFUNCTION("""COMPUTED_VALUE"""),500000)</f>
        <v>500000</v>
      </c>
      <c r="F798" s="22">
        <f ca="1">IFERROR(__xludf.DUMMYFUNCTION("""COMPUTED_VALUE"""),500000)</f>
        <v>500000</v>
      </c>
      <c r="G798" s="22">
        <f ca="1">IFERROR(__xludf.DUMMYFUNCTION("""COMPUTED_VALUE"""),0)</f>
        <v>0</v>
      </c>
      <c r="H798" s="7">
        <f ca="1">IFERROR(__xludf.DUMMYFUNCTION("""COMPUTED_VALUE"""),500000)</f>
        <v>500000</v>
      </c>
    </row>
    <row r="799" spans="1:8" ht="13" x14ac:dyDescent="0.15">
      <c r="A799" s="5" t="str">
        <f ca="1">IFERROR(__xludf.DUMMYFUNCTION("""COMPUTED_VALUE"""),"36560")</f>
        <v>36560</v>
      </c>
      <c r="B799" s="51">
        <f ca="1">IFERROR(__xludf.DUMMYFUNCTION("""COMPUTED_VALUE"""),44610)</f>
        <v>44610</v>
      </c>
      <c r="C799" s="22">
        <f ca="1">IFERROR(__xludf.DUMMYFUNCTION("""COMPUTED_VALUE"""),500000)</f>
        <v>500000</v>
      </c>
      <c r="D799" s="22">
        <f ca="1">IFERROR(__xludf.DUMMYFUNCTION("""COMPUTED_VALUE"""),0)</f>
        <v>0</v>
      </c>
      <c r="E799" s="22">
        <f ca="1">IFERROR(__xludf.DUMMYFUNCTION("""COMPUTED_VALUE"""),500000)</f>
        <v>500000</v>
      </c>
      <c r="F799" s="22">
        <f ca="1">IFERROR(__xludf.DUMMYFUNCTION("""COMPUTED_VALUE"""),500000)</f>
        <v>500000</v>
      </c>
      <c r="G799" s="22">
        <f ca="1">IFERROR(__xludf.DUMMYFUNCTION("""COMPUTED_VALUE"""),0)</f>
        <v>0</v>
      </c>
      <c r="H799" s="7">
        <f ca="1">IFERROR(__xludf.DUMMYFUNCTION("""COMPUTED_VALUE"""),500000)</f>
        <v>500000</v>
      </c>
    </row>
    <row r="800" spans="1:8" ht="13" x14ac:dyDescent="0.15">
      <c r="A800" s="5" t="str">
        <f ca="1">IFERROR(__xludf.DUMMYFUNCTION("""COMPUTED_VALUE"""),"36560")</f>
        <v>36560</v>
      </c>
      <c r="B800" s="51">
        <f ca="1">IFERROR(__xludf.DUMMYFUNCTION("""COMPUTED_VALUE"""),44611)</f>
        <v>44611</v>
      </c>
      <c r="C800" s="22">
        <f ca="1">IFERROR(__xludf.DUMMYFUNCTION("""COMPUTED_VALUE"""),500000)</f>
        <v>500000</v>
      </c>
      <c r="D800" s="22">
        <f ca="1">IFERROR(__xludf.DUMMYFUNCTION("""COMPUTED_VALUE"""),0)</f>
        <v>0</v>
      </c>
      <c r="E800" s="22">
        <f ca="1">IFERROR(__xludf.DUMMYFUNCTION("""COMPUTED_VALUE"""),500000)</f>
        <v>500000</v>
      </c>
      <c r="F800" s="22">
        <f ca="1">IFERROR(__xludf.DUMMYFUNCTION("""COMPUTED_VALUE"""),500000)</f>
        <v>500000</v>
      </c>
      <c r="G800" s="22">
        <f ca="1">IFERROR(__xludf.DUMMYFUNCTION("""COMPUTED_VALUE"""),0)</f>
        <v>0</v>
      </c>
      <c r="H800" s="7">
        <f ca="1">IFERROR(__xludf.DUMMYFUNCTION("""COMPUTED_VALUE"""),500000)</f>
        <v>500000</v>
      </c>
    </row>
    <row r="801" spans="1:8" ht="13" x14ac:dyDescent="0.15">
      <c r="A801" s="5" t="str">
        <f ca="1">IFERROR(__xludf.DUMMYFUNCTION("""COMPUTED_VALUE"""),"36560")</f>
        <v>36560</v>
      </c>
      <c r="B801" s="51">
        <f ca="1">IFERROR(__xludf.DUMMYFUNCTION("""COMPUTED_VALUE"""),44612)</f>
        <v>44612</v>
      </c>
      <c r="C801" s="22">
        <f ca="1">IFERROR(__xludf.DUMMYFUNCTION("""COMPUTED_VALUE"""),500000)</f>
        <v>500000</v>
      </c>
      <c r="D801" s="22">
        <f ca="1">IFERROR(__xludf.DUMMYFUNCTION("""COMPUTED_VALUE"""),0)</f>
        <v>0</v>
      </c>
      <c r="E801" s="22">
        <f ca="1">IFERROR(__xludf.DUMMYFUNCTION("""COMPUTED_VALUE"""),500000)</f>
        <v>500000</v>
      </c>
      <c r="F801" s="22">
        <f ca="1">IFERROR(__xludf.DUMMYFUNCTION("""COMPUTED_VALUE"""),500000)</f>
        <v>500000</v>
      </c>
      <c r="G801" s="22">
        <f ca="1">IFERROR(__xludf.DUMMYFUNCTION("""COMPUTED_VALUE"""),0)</f>
        <v>0</v>
      </c>
      <c r="H801" s="7">
        <f ca="1">IFERROR(__xludf.DUMMYFUNCTION("""COMPUTED_VALUE"""),500000)</f>
        <v>500000</v>
      </c>
    </row>
    <row r="802" spans="1:8" ht="13" x14ac:dyDescent="0.15">
      <c r="A802" s="5" t="str">
        <f ca="1">IFERROR(__xludf.DUMMYFUNCTION("""COMPUTED_VALUE"""),"36560")</f>
        <v>36560</v>
      </c>
      <c r="B802" s="51">
        <f ca="1">IFERROR(__xludf.DUMMYFUNCTION("""COMPUTED_VALUE"""),44613)</f>
        <v>44613</v>
      </c>
      <c r="C802" s="22">
        <f ca="1">IFERROR(__xludf.DUMMYFUNCTION("""COMPUTED_VALUE"""),500000)</f>
        <v>500000</v>
      </c>
      <c r="D802" s="22">
        <f ca="1">IFERROR(__xludf.DUMMYFUNCTION("""COMPUTED_VALUE"""),0)</f>
        <v>0</v>
      </c>
      <c r="E802" s="22">
        <f ca="1">IFERROR(__xludf.DUMMYFUNCTION("""COMPUTED_VALUE"""),500000)</f>
        <v>500000</v>
      </c>
      <c r="F802" s="22">
        <f ca="1">IFERROR(__xludf.DUMMYFUNCTION("""COMPUTED_VALUE"""),500000)</f>
        <v>500000</v>
      </c>
      <c r="G802" s="22">
        <f ca="1">IFERROR(__xludf.DUMMYFUNCTION("""COMPUTED_VALUE"""),0)</f>
        <v>0</v>
      </c>
      <c r="H802" s="7">
        <f ca="1">IFERROR(__xludf.DUMMYFUNCTION("""COMPUTED_VALUE"""),500000)</f>
        <v>500000</v>
      </c>
    </row>
    <row r="803" spans="1:8" ht="13" x14ac:dyDescent="0.15">
      <c r="A803" s="5" t="str">
        <f ca="1">IFERROR(__xludf.DUMMYFUNCTION("""COMPUTED_VALUE"""),"36560")</f>
        <v>36560</v>
      </c>
      <c r="B803" s="51">
        <f ca="1">IFERROR(__xludf.DUMMYFUNCTION("""COMPUTED_VALUE"""),44614)</f>
        <v>44614</v>
      </c>
      <c r="C803" s="22">
        <f ca="1">IFERROR(__xludf.DUMMYFUNCTION("""COMPUTED_VALUE"""),500000)</f>
        <v>500000</v>
      </c>
      <c r="D803" s="22">
        <f ca="1">IFERROR(__xludf.DUMMYFUNCTION("""COMPUTED_VALUE"""),0)</f>
        <v>0</v>
      </c>
      <c r="E803" s="22">
        <f ca="1">IFERROR(__xludf.DUMMYFUNCTION("""COMPUTED_VALUE"""),500000)</f>
        <v>500000</v>
      </c>
      <c r="F803" s="22">
        <f ca="1">IFERROR(__xludf.DUMMYFUNCTION("""COMPUTED_VALUE"""),500000)</f>
        <v>500000</v>
      </c>
      <c r="G803" s="22">
        <f ca="1">IFERROR(__xludf.DUMMYFUNCTION("""COMPUTED_VALUE"""),0)</f>
        <v>0</v>
      </c>
      <c r="H803" s="7">
        <f ca="1">IFERROR(__xludf.DUMMYFUNCTION("""COMPUTED_VALUE"""),500000)</f>
        <v>500000</v>
      </c>
    </row>
    <row r="804" spans="1:8" ht="13" x14ac:dyDescent="0.15">
      <c r="A804" s="5" t="str">
        <f ca="1">IFERROR(__xludf.DUMMYFUNCTION("""COMPUTED_VALUE"""),"36560")</f>
        <v>36560</v>
      </c>
      <c r="B804" s="51">
        <f ca="1">IFERROR(__xludf.DUMMYFUNCTION("""COMPUTED_VALUE"""),44615)</f>
        <v>44615</v>
      </c>
      <c r="C804" s="22">
        <f ca="1">IFERROR(__xludf.DUMMYFUNCTION("""COMPUTED_VALUE"""),500000)</f>
        <v>500000</v>
      </c>
      <c r="D804" s="22">
        <f ca="1">IFERROR(__xludf.DUMMYFUNCTION("""COMPUTED_VALUE"""),0)</f>
        <v>0</v>
      </c>
      <c r="E804" s="22">
        <f ca="1">IFERROR(__xludf.DUMMYFUNCTION("""COMPUTED_VALUE"""),500000)</f>
        <v>500000</v>
      </c>
      <c r="F804" s="22">
        <f ca="1">IFERROR(__xludf.DUMMYFUNCTION("""COMPUTED_VALUE"""),500000)</f>
        <v>500000</v>
      </c>
      <c r="G804" s="22">
        <f ca="1">IFERROR(__xludf.DUMMYFUNCTION("""COMPUTED_VALUE"""),0)</f>
        <v>0</v>
      </c>
      <c r="H804" s="7">
        <f ca="1">IFERROR(__xludf.DUMMYFUNCTION("""COMPUTED_VALUE"""),500000)</f>
        <v>500000</v>
      </c>
    </row>
    <row r="805" spans="1:8" ht="13" x14ac:dyDescent="0.15">
      <c r="A805" s="5" t="str">
        <f ca="1">IFERROR(__xludf.DUMMYFUNCTION("""COMPUTED_VALUE"""),"36560")</f>
        <v>36560</v>
      </c>
      <c r="B805" s="51">
        <f ca="1">IFERROR(__xludf.DUMMYFUNCTION("""COMPUTED_VALUE"""),44616)</f>
        <v>44616</v>
      </c>
      <c r="C805" s="22">
        <f ca="1">IFERROR(__xludf.DUMMYFUNCTION("""COMPUTED_VALUE"""),500000)</f>
        <v>500000</v>
      </c>
      <c r="D805" s="22">
        <f ca="1">IFERROR(__xludf.DUMMYFUNCTION("""COMPUTED_VALUE"""),0)</f>
        <v>0</v>
      </c>
      <c r="E805" s="22">
        <f ca="1">IFERROR(__xludf.DUMMYFUNCTION("""COMPUTED_VALUE"""),500000)</f>
        <v>500000</v>
      </c>
      <c r="F805" s="22">
        <f ca="1">IFERROR(__xludf.DUMMYFUNCTION("""COMPUTED_VALUE"""),500000)</f>
        <v>500000</v>
      </c>
      <c r="G805" s="22">
        <f ca="1">IFERROR(__xludf.DUMMYFUNCTION("""COMPUTED_VALUE"""),0)</f>
        <v>0</v>
      </c>
      <c r="H805" s="7">
        <f ca="1">IFERROR(__xludf.DUMMYFUNCTION("""COMPUTED_VALUE"""),500000)</f>
        <v>500000</v>
      </c>
    </row>
    <row r="806" spans="1:8" ht="13" x14ac:dyDescent="0.15">
      <c r="A806" s="5" t="str">
        <f ca="1">IFERROR(__xludf.DUMMYFUNCTION("""COMPUTED_VALUE"""),"36560")</f>
        <v>36560</v>
      </c>
      <c r="B806" s="51">
        <f ca="1">IFERROR(__xludf.DUMMYFUNCTION("""COMPUTED_VALUE"""),44617)</f>
        <v>44617</v>
      </c>
      <c r="C806" s="22">
        <f ca="1">IFERROR(__xludf.DUMMYFUNCTION("""COMPUTED_VALUE"""),500000)</f>
        <v>500000</v>
      </c>
      <c r="D806" s="22">
        <f ca="1">IFERROR(__xludf.DUMMYFUNCTION("""COMPUTED_VALUE"""),0)</f>
        <v>0</v>
      </c>
      <c r="E806" s="22">
        <f ca="1">IFERROR(__xludf.DUMMYFUNCTION("""COMPUTED_VALUE"""),500000)</f>
        <v>500000</v>
      </c>
      <c r="F806" s="22">
        <f ca="1">IFERROR(__xludf.DUMMYFUNCTION("""COMPUTED_VALUE"""),500000)</f>
        <v>500000</v>
      </c>
      <c r="G806" s="22">
        <f ca="1">IFERROR(__xludf.DUMMYFUNCTION("""COMPUTED_VALUE"""),0)</f>
        <v>0</v>
      </c>
      <c r="H806" s="7">
        <f ca="1">IFERROR(__xludf.DUMMYFUNCTION("""COMPUTED_VALUE"""),500000)</f>
        <v>500000</v>
      </c>
    </row>
    <row r="807" spans="1:8" ht="13" x14ac:dyDescent="0.15">
      <c r="A807" s="5" t="str">
        <f ca="1">IFERROR(__xludf.DUMMYFUNCTION("""COMPUTED_VALUE"""),"36560")</f>
        <v>36560</v>
      </c>
      <c r="B807" s="51">
        <f ca="1">IFERROR(__xludf.DUMMYFUNCTION("""COMPUTED_VALUE"""),44618)</f>
        <v>44618</v>
      </c>
      <c r="C807" s="22">
        <f ca="1">IFERROR(__xludf.DUMMYFUNCTION("""COMPUTED_VALUE"""),500000)</f>
        <v>500000</v>
      </c>
      <c r="D807" s="22">
        <f ca="1">IFERROR(__xludf.DUMMYFUNCTION("""COMPUTED_VALUE"""),0)</f>
        <v>0</v>
      </c>
      <c r="E807" s="22">
        <f ca="1">IFERROR(__xludf.DUMMYFUNCTION("""COMPUTED_VALUE"""),500000)</f>
        <v>500000</v>
      </c>
      <c r="F807" s="22">
        <f ca="1">IFERROR(__xludf.DUMMYFUNCTION("""COMPUTED_VALUE"""),500000)</f>
        <v>500000</v>
      </c>
      <c r="G807" s="22">
        <f ca="1">IFERROR(__xludf.DUMMYFUNCTION("""COMPUTED_VALUE"""),0)</f>
        <v>0</v>
      </c>
      <c r="H807" s="7">
        <f ca="1">IFERROR(__xludf.DUMMYFUNCTION("""COMPUTED_VALUE"""),500000)</f>
        <v>500000</v>
      </c>
    </row>
    <row r="808" spans="1:8" ht="13" x14ac:dyDescent="0.15">
      <c r="A808" s="5" t="str">
        <f ca="1">IFERROR(__xludf.DUMMYFUNCTION("""COMPUTED_VALUE"""),"36560")</f>
        <v>36560</v>
      </c>
      <c r="B808" s="51">
        <f ca="1">IFERROR(__xludf.DUMMYFUNCTION("""COMPUTED_VALUE"""),44619)</f>
        <v>44619</v>
      </c>
      <c r="C808" s="22">
        <f ca="1">IFERROR(__xludf.DUMMYFUNCTION("""COMPUTED_VALUE"""),500000)</f>
        <v>500000</v>
      </c>
      <c r="D808" s="22">
        <f ca="1">IFERROR(__xludf.DUMMYFUNCTION("""COMPUTED_VALUE"""),0)</f>
        <v>0</v>
      </c>
      <c r="E808" s="22">
        <f ca="1">IFERROR(__xludf.DUMMYFUNCTION("""COMPUTED_VALUE"""),500000)</f>
        <v>500000</v>
      </c>
      <c r="F808" s="22">
        <f ca="1">IFERROR(__xludf.DUMMYFUNCTION("""COMPUTED_VALUE"""),500000)</f>
        <v>500000</v>
      </c>
      <c r="G808" s="22">
        <f ca="1">IFERROR(__xludf.DUMMYFUNCTION("""COMPUTED_VALUE"""),0)</f>
        <v>0</v>
      </c>
      <c r="H808" s="7">
        <f ca="1">IFERROR(__xludf.DUMMYFUNCTION("""COMPUTED_VALUE"""),500000)</f>
        <v>500000</v>
      </c>
    </row>
    <row r="809" spans="1:8" ht="13" x14ac:dyDescent="0.15">
      <c r="A809" s="5" t="str">
        <f ca="1">IFERROR(__xludf.DUMMYFUNCTION("""COMPUTED_VALUE"""),"36560")</f>
        <v>36560</v>
      </c>
      <c r="B809" s="51">
        <f ca="1">IFERROR(__xludf.DUMMYFUNCTION("""COMPUTED_VALUE"""),44620)</f>
        <v>44620</v>
      </c>
      <c r="C809" s="22">
        <f ca="1">IFERROR(__xludf.DUMMYFUNCTION("""COMPUTED_VALUE"""),500000)</f>
        <v>500000</v>
      </c>
      <c r="D809" s="22">
        <f ca="1">IFERROR(__xludf.DUMMYFUNCTION("""COMPUTED_VALUE"""),0)</f>
        <v>0</v>
      </c>
      <c r="E809" s="22">
        <f ca="1">IFERROR(__xludf.DUMMYFUNCTION("""COMPUTED_VALUE"""),500000)</f>
        <v>500000</v>
      </c>
      <c r="F809" s="22">
        <f ca="1">IFERROR(__xludf.DUMMYFUNCTION("""COMPUTED_VALUE"""),500000)</f>
        <v>500000</v>
      </c>
      <c r="G809" s="22">
        <f ca="1">IFERROR(__xludf.DUMMYFUNCTION("""COMPUTED_VALUE"""),0)</f>
        <v>0</v>
      </c>
      <c r="H809" s="7">
        <f ca="1">IFERROR(__xludf.DUMMYFUNCTION("""COMPUTED_VALUE"""),500000)</f>
        <v>500000</v>
      </c>
    </row>
    <row r="810" spans="1:8" ht="13" x14ac:dyDescent="0.15">
      <c r="A810" s="5" t="str">
        <f ca="1">IFERROR(__xludf.DUMMYFUNCTION("""COMPUTED_VALUE"""),"36560")</f>
        <v>36560</v>
      </c>
      <c r="B810" s="51">
        <f ca="1">IFERROR(__xludf.DUMMYFUNCTION("""COMPUTED_VALUE"""),44621)</f>
        <v>44621</v>
      </c>
      <c r="C810" s="22">
        <f ca="1">IFERROR(__xludf.DUMMYFUNCTION("""COMPUTED_VALUE"""),500000)</f>
        <v>500000</v>
      </c>
      <c r="D810" s="22">
        <f ca="1">IFERROR(__xludf.DUMMYFUNCTION("""COMPUTED_VALUE"""),0)</f>
        <v>0</v>
      </c>
      <c r="E810" s="22">
        <f ca="1">IFERROR(__xludf.DUMMYFUNCTION("""COMPUTED_VALUE"""),500000)</f>
        <v>500000</v>
      </c>
      <c r="F810" s="22">
        <f ca="1">IFERROR(__xludf.DUMMYFUNCTION("""COMPUTED_VALUE"""),500000)</f>
        <v>500000</v>
      </c>
      <c r="G810" s="22">
        <f ca="1">IFERROR(__xludf.DUMMYFUNCTION("""COMPUTED_VALUE"""),0)</f>
        <v>0</v>
      </c>
      <c r="H810" s="7">
        <f ca="1">IFERROR(__xludf.DUMMYFUNCTION("""COMPUTED_VALUE"""),500000)</f>
        <v>500000</v>
      </c>
    </row>
    <row r="811" spans="1:8" ht="13" x14ac:dyDescent="0.15">
      <c r="A811" s="5" t="str">
        <f ca="1">IFERROR(__xludf.DUMMYFUNCTION("""COMPUTED_VALUE"""),"36560")</f>
        <v>36560</v>
      </c>
      <c r="B811" s="51">
        <f ca="1">IFERROR(__xludf.DUMMYFUNCTION("""COMPUTED_VALUE"""),44622)</f>
        <v>44622</v>
      </c>
      <c r="C811" s="22">
        <f ca="1">IFERROR(__xludf.DUMMYFUNCTION("""COMPUTED_VALUE"""),500000)</f>
        <v>500000</v>
      </c>
      <c r="D811" s="22">
        <f ca="1">IFERROR(__xludf.DUMMYFUNCTION("""COMPUTED_VALUE"""),0)</f>
        <v>0</v>
      </c>
      <c r="E811" s="22">
        <f ca="1">IFERROR(__xludf.DUMMYFUNCTION("""COMPUTED_VALUE"""),500000)</f>
        <v>500000</v>
      </c>
      <c r="F811" s="22">
        <f ca="1">IFERROR(__xludf.DUMMYFUNCTION("""COMPUTED_VALUE"""),500000)</f>
        <v>500000</v>
      </c>
      <c r="G811" s="22">
        <f ca="1">IFERROR(__xludf.DUMMYFUNCTION("""COMPUTED_VALUE"""),0)</f>
        <v>0</v>
      </c>
      <c r="H811" s="7">
        <f ca="1">IFERROR(__xludf.DUMMYFUNCTION("""COMPUTED_VALUE"""),500000)</f>
        <v>500000</v>
      </c>
    </row>
    <row r="812" spans="1:8" ht="13" x14ac:dyDescent="0.15">
      <c r="A812" s="5" t="str">
        <f ca="1">IFERROR(__xludf.DUMMYFUNCTION("""COMPUTED_VALUE"""),"36560")</f>
        <v>36560</v>
      </c>
      <c r="B812" s="51">
        <f ca="1">IFERROR(__xludf.DUMMYFUNCTION("""COMPUTED_VALUE"""),44623)</f>
        <v>44623</v>
      </c>
      <c r="C812" s="22">
        <f ca="1">IFERROR(__xludf.DUMMYFUNCTION("""COMPUTED_VALUE"""),500000)</f>
        <v>500000</v>
      </c>
      <c r="D812" s="22">
        <f ca="1">IFERROR(__xludf.DUMMYFUNCTION("""COMPUTED_VALUE"""),0)</f>
        <v>0</v>
      </c>
      <c r="E812" s="22">
        <f ca="1">IFERROR(__xludf.DUMMYFUNCTION("""COMPUTED_VALUE"""),500000)</f>
        <v>500000</v>
      </c>
      <c r="F812" s="22">
        <f ca="1">IFERROR(__xludf.DUMMYFUNCTION("""COMPUTED_VALUE"""),500000)</f>
        <v>500000</v>
      </c>
      <c r="G812" s="22">
        <f ca="1">IFERROR(__xludf.DUMMYFUNCTION("""COMPUTED_VALUE"""),0)</f>
        <v>0</v>
      </c>
      <c r="H812" s="7">
        <f ca="1">IFERROR(__xludf.DUMMYFUNCTION("""COMPUTED_VALUE"""),500000)</f>
        <v>500000</v>
      </c>
    </row>
    <row r="813" spans="1:8" ht="13" x14ac:dyDescent="0.15">
      <c r="A813" s="5" t="str">
        <f ca="1">IFERROR(__xludf.DUMMYFUNCTION("""COMPUTED_VALUE"""),"36560")</f>
        <v>36560</v>
      </c>
      <c r="B813" s="51">
        <f ca="1">IFERROR(__xludf.DUMMYFUNCTION("""COMPUTED_VALUE"""),44624)</f>
        <v>44624</v>
      </c>
      <c r="C813" s="22">
        <f ca="1">IFERROR(__xludf.DUMMYFUNCTION("""COMPUTED_VALUE"""),500000)</f>
        <v>500000</v>
      </c>
      <c r="D813" s="22">
        <f ca="1">IFERROR(__xludf.DUMMYFUNCTION("""COMPUTED_VALUE"""),0)</f>
        <v>0</v>
      </c>
      <c r="E813" s="22">
        <f ca="1">IFERROR(__xludf.DUMMYFUNCTION("""COMPUTED_VALUE"""),500000)</f>
        <v>500000</v>
      </c>
      <c r="F813" s="22">
        <f ca="1">IFERROR(__xludf.DUMMYFUNCTION("""COMPUTED_VALUE"""),500000)</f>
        <v>500000</v>
      </c>
      <c r="G813" s="22">
        <f ca="1">IFERROR(__xludf.DUMMYFUNCTION("""COMPUTED_VALUE"""),0)</f>
        <v>0</v>
      </c>
      <c r="H813" s="7">
        <f ca="1">IFERROR(__xludf.DUMMYFUNCTION("""COMPUTED_VALUE"""),500000)</f>
        <v>500000</v>
      </c>
    </row>
    <row r="814" spans="1:8" ht="13" x14ac:dyDescent="0.15">
      <c r="A814" s="5" t="str">
        <f ca="1">IFERROR(__xludf.DUMMYFUNCTION("""COMPUTED_VALUE"""),"36560")</f>
        <v>36560</v>
      </c>
      <c r="B814" s="51">
        <f ca="1">IFERROR(__xludf.DUMMYFUNCTION("""COMPUTED_VALUE"""),44625)</f>
        <v>44625</v>
      </c>
      <c r="C814" s="22">
        <f ca="1">IFERROR(__xludf.DUMMYFUNCTION("""COMPUTED_VALUE"""),500000)</f>
        <v>500000</v>
      </c>
      <c r="D814" s="22">
        <f ca="1">IFERROR(__xludf.DUMMYFUNCTION("""COMPUTED_VALUE"""),0)</f>
        <v>0</v>
      </c>
      <c r="E814" s="22">
        <f ca="1">IFERROR(__xludf.DUMMYFUNCTION("""COMPUTED_VALUE"""),500000)</f>
        <v>500000</v>
      </c>
      <c r="F814" s="22">
        <f ca="1">IFERROR(__xludf.DUMMYFUNCTION("""COMPUTED_VALUE"""),500000)</f>
        <v>500000</v>
      </c>
      <c r="G814" s="22">
        <f ca="1">IFERROR(__xludf.DUMMYFUNCTION("""COMPUTED_VALUE"""),0)</f>
        <v>0</v>
      </c>
      <c r="H814" s="7">
        <f ca="1">IFERROR(__xludf.DUMMYFUNCTION("""COMPUTED_VALUE"""),500000)</f>
        <v>500000</v>
      </c>
    </row>
    <row r="815" spans="1:8" ht="13" x14ac:dyDescent="0.15">
      <c r="A815" s="5" t="str">
        <f ca="1">IFERROR(__xludf.DUMMYFUNCTION("""COMPUTED_VALUE"""),"36560")</f>
        <v>36560</v>
      </c>
      <c r="B815" s="51">
        <f ca="1">IFERROR(__xludf.DUMMYFUNCTION("""COMPUTED_VALUE"""),44626)</f>
        <v>44626</v>
      </c>
      <c r="C815" s="22">
        <f ca="1">IFERROR(__xludf.DUMMYFUNCTION("""COMPUTED_VALUE"""),500000)</f>
        <v>500000</v>
      </c>
      <c r="D815" s="22">
        <f ca="1">IFERROR(__xludf.DUMMYFUNCTION("""COMPUTED_VALUE"""),0)</f>
        <v>0</v>
      </c>
      <c r="E815" s="22">
        <f ca="1">IFERROR(__xludf.DUMMYFUNCTION("""COMPUTED_VALUE"""),500000)</f>
        <v>500000</v>
      </c>
      <c r="F815" s="22">
        <f ca="1">IFERROR(__xludf.DUMMYFUNCTION("""COMPUTED_VALUE"""),500000)</f>
        <v>500000</v>
      </c>
      <c r="G815" s="22">
        <f ca="1">IFERROR(__xludf.DUMMYFUNCTION("""COMPUTED_VALUE"""),0)</f>
        <v>0</v>
      </c>
      <c r="H815" s="7">
        <f ca="1">IFERROR(__xludf.DUMMYFUNCTION("""COMPUTED_VALUE"""),500000)</f>
        <v>500000</v>
      </c>
    </row>
    <row r="816" spans="1:8" ht="13" x14ac:dyDescent="0.15">
      <c r="A816" s="5" t="str">
        <f ca="1">IFERROR(__xludf.DUMMYFUNCTION("""COMPUTED_VALUE"""),"36560")</f>
        <v>36560</v>
      </c>
      <c r="B816" s="51">
        <f ca="1">IFERROR(__xludf.DUMMYFUNCTION("""COMPUTED_VALUE"""),44627)</f>
        <v>44627</v>
      </c>
      <c r="C816" s="22">
        <f ca="1">IFERROR(__xludf.DUMMYFUNCTION("""COMPUTED_VALUE"""),500000)</f>
        <v>500000</v>
      </c>
      <c r="D816" s="22">
        <f ca="1">IFERROR(__xludf.DUMMYFUNCTION("""COMPUTED_VALUE"""),0)</f>
        <v>0</v>
      </c>
      <c r="E816" s="22">
        <f ca="1">IFERROR(__xludf.DUMMYFUNCTION("""COMPUTED_VALUE"""),500000)</f>
        <v>500000</v>
      </c>
      <c r="F816" s="22">
        <f ca="1">IFERROR(__xludf.DUMMYFUNCTION("""COMPUTED_VALUE"""),500000)</f>
        <v>500000</v>
      </c>
      <c r="G816" s="22">
        <f ca="1">IFERROR(__xludf.DUMMYFUNCTION("""COMPUTED_VALUE"""),0)</f>
        <v>0</v>
      </c>
      <c r="H816" s="7">
        <f ca="1">IFERROR(__xludf.DUMMYFUNCTION("""COMPUTED_VALUE"""),500000)</f>
        <v>500000</v>
      </c>
    </row>
    <row r="817" spans="1:8" ht="13" x14ac:dyDescent="0.15">
      <c r="A817" s="5" t="str">
        <f ca="1">IFERROR(__xludf.DUMMYFUNCTION("""COMPUTED_VALUE"""),"36560")</f>
        <v>36560</v>
      </c>
      <c r="B817" s="51">
        <f ca="1">IFERROR(__xludf.DUMMYFUNCTION("""COMPUTED_VALUE"""),44628)</f>
        <v>44628</v>
      </c>
      <c r="C817" s="22">
        <f ca="1">IFERROR(__xludf.DUMMYFUNCTION("""COMPUTED_VALUE"""),500000)</f>
        <v>500000</v>
      </c>
      <c r="D817" s="22">
        <f ca="1">IFERROR(__xludf.DUMMYFUNCTION("""COMPUTED_VALUE"""),0)</f>
        <v>0</v>
      </c>
      <c r="E817" s="22">
        <f ca="1">IFERROR(__xludf.DUMMYFUNCTION("""COMPUTED_VALUE"""),500000)</f>
        <v>500000</v>
      </c>
      <c r="F817" s="22">
        <f ca="1">IFERROR(__xludf.DUMMYFUNCTION("""COMPUTED_VALUE"""),500000)</f>
        <v>500000</v>
      </c>
      <c r="G817" s="22">
        <f ca="1">IFERROR(__xludf.DUMMYFUNCTION("""COMPUTED_VALUE"""),0)</f>
        <v>0</v>
      </c>
      <c r="H817" s="7">
        <f ca="1">IFERROR(__xludf.DUMMYFUNCTION("""COMPUTED_VALUE"""),500000)</f>
        <v>500000</v>
      </c>
    </row>
    <row r="818" spans="1:8" ht="13" x14ac:dyDescent="0.15">
      <c r="A818" s="5" t="str">
        <f ca="1">IFERROR(__xludf.DUMMYFUNCTION("""COMPUTED_VALUE"""),"36560")</f>
        <v>36560</v>
      </c>
      <c r="B818" s="51">
        <f ca="1">IFERROR(__xludf.DUMMYFUNCTION("""COMPUTED_VALUE"""),44629)</f>
        <v>44629</v>
      </c>
      <c r="C818" s="22">
        <f ca="1">IFERROR(__xludf.DUMMYFUNCTION("""COMPUTED_VALUE"""),500000)</f>
        <v>500000</v>
      </c>
      <c r="D818" s="22">
        <f ca="1">IFERROR(__xludf.DUMMYFUNCTION("""COMPUTED_VALUE"""),0)</f>
        <v>0</v>
      </c>
      <c r="E818" s="22">
        <f ca="1">IFERROR(__xludf.DUMMYFUNCTION("""COMPUTED_VALUE"""),500000)</f>
        <v>500000</v>
      </c>
      <c r="F818" s="22">
        <f ca="1">IFERROR(__xludf.DUMMYFUNCTION("""COMPUTED_VALUE"""),500000)</f>
        <v>500000</v>
      </c>
      <c r="G818" s="22">
        <f ca="1">IFERROR(__xludf.DUMMYFUNCTION("""COMPUTED_VALUE"""),0)</f>
        <v>0</v>
      </c>
      <c r="H818" s="7">
        <f ca="1">IFERROR(__xludf.DUMMYFUNCTION("""COMPUTED_VALUE"""),500000)</f>
        <v>500000</v>
      </c>
    </row>
    <row r="819" spans="1:8" ht="13" x14ac:dyDescent="0.15">
      <c r="A819" s="5" t="str">
        <f ca="1">IFERROR(__xludf.DUMMYFUNCTION("""COMPUTED_VALUE"""),"36560")</f>
        <v>36560</v>
      </c>
      <c r="B819" s="51">
        <f ca="1">IFERROR(__xludf.DUMMYFUNCTION("""COMPUTED_VALUE"""),44630)</f>
        <v>44630</v>
      </c>
      <c r="C819" s="22">
        <f ca="1">IFERROR(__xludf.DUMMYFUNCTION("""COMPUTED_VALUE"""),500000)</f>
        <v>500000</v>
      </c>
      <c r="D819" s="22">
        <f ca="1">IFERROR(__xludf.DUMMYFUNCTION("""COMPUTED_VALUE"""),0)</f>
        <v>0</v>
      </c>
      <c r="E819" s="22">
        <f ca="1">IFERROR(__xludf.DUMMYFUNCTION("""COMPUTED_VALUE"""),500000)</f>
        <v>500000</v>
      </c>
      <c r="F819" s="22">
        <f ca="1">IFERROR(__xludf.DUMMYFUNCTION("""COMPUTED_VALUE"""),500000)</f>
        <v>500000</v>
      </c>
      <c r="G819" s="22">
        <f ca="1">IFERROR(__xludf.DUMMYFUNCTION("""COMPUTED_VALUE"""),0)</f>
        <v>0</v>
      </c>
      <c r="H819" s="7">
        <f ca="1">IFERROR(__xludf.DUMMYFUNCTION("""COMPUTED_VALUE"""),500000)</f>
        <v>500000</v>
      </c>
    </row>
    <row r="820" spans="1:8" ht="13" x14ac:dyDescent="0.15">
      <c r="A820" s="5" t="str">
        <f ca="1">IFERROR(__xludf.DUMMYFUNCTION("""COMPUTED_VALUE"""),"36560")</f>
        <v>36560</v>
      </c>
      <c r="B820" s="51">
        <f ca="1">IFERROR(__xludf.DUMMYFUNCTION("""COMPUTED_VALUE"""),44631)</f>
        <v>44631</v>
      </c>
      <c r="C820" s="22">
        <f ca="1">IFERROR(__xludf.DUMMYFUNCTION("""COMPUTED_VALUE"""),500000)</f>
        <v>500000</v>
      </c>
      <c r="D820" s="22">
        <f ca="1">IFERROR(__xludf.DUMMYFUNCTION("""COMPUTED_VALUE"""),0)</f>
        <v>0</v>
      </c>
      <c r="E820" s="22">
        <f ca="1">IFERROR(__xludf.DUMMYFUNCTION("""COMPUTED_VALUE"""),500000)</f>
        <v>500000</v>
      </c>
      <c r="F820" s="22">
        <f ca="1">IFERROR(__xludf.DUMMYFUNCTION("""COMPUTED_VALUE"""),500000)</f>
        <v>500000</v>
      </c>
      <c r="G820" s="22">
        <f ca="1">IFERROR(__xludf.DUMMYFUNCTION("""COMPUTED_VALUE"""),0)</f>
        <v>0</v>
      </c>
      <c r="H820" s="7">
        <f ca="1">IFERROR(__xludf.DUMMYFUNCTION("""COMPUTED_VALUE"""),500000)</f>
        <v>500000</v>
      </c>
    </row>
    <row r="821" spans="1:8" ht="13" x14ac:dyDescent="0.15">
      <c r="A821" s="5" t="str">
        <f ca="1">IFERROR(__xludf.DUMMYFUNCTION("""COMPUTED_VALUE"""),"36560")</f>
        <v>36560</v>
      </c>
      <c r="B821" s="51">
        <f ca="1">IFERROR(__xludf.DUMMYFUNCTION("""COMPUTED_VALUE"""),44632)</f>
        <v>44632</v>
      </c>
      <c r="C821" s="22">
        <f ca="1">IFERROR(__xludf.DUMMYFUNCTION("""COMPUTED_VALUE"""),500000)</f>
        <v>500000</v>
      </c>
      <c r="D821" s="22">
        <f ca="1">IFERROR(__xludf.DUMMYFUNCTION("""COMPUTED_VALUE"""),0)</f>
        <v>0</v>
      </c>
      <c r="E821" s="22">
        <f ca="1">IFERROR(__xludf.DUMMYFUNCTION("""COMPUTED_VALUE"""),500000)</f>
        <v>500000</v>
      </c>
      <c r="F821" s="22">
        <f ca="1">IFERROR(__xludf.DUMMYFUNCTION("""COMPUTED_VALUE"""),500000)</f>
        <v>500000</v>
      </c>
      <c r="G821" s="22">
        <f ca="1">IFERROR(__xludf.DUMMYFUNCTION("""COMPUTED_VALUE"""),0)</f>
        <v>0</v>
      </c>
      <c r="H821" s="7">
        <f ca="1">IFERROR(__xludf.DUMMYFUNCTION("""COMPUTED_VALUE"""),500000)</f>
        <v>500000</v>
      </c>
    </row>
    <row r="822" spans="1:8" ht="13" x14ac:dyDescent="0.15">
      <c r="A822" s="5" t="str">
        <f ca="1">IFERROR(__xludf.DUMMYFUNCTION("""COMPUTED_VALUE"""),"36560")</f>
        <v>36560</v>
      </c>
      <c r="B822" s="51">
        <f ca="1">IFERROR(__xludf.DUMMYFUNCTION("""COMPUTED_VALUE"""),44633)</f>
        <v>44633</v>
      </c>
      <c r="C822" s="22">
        <f ca="1">IFERROR(__xludf.DUMMYFUNCTION("""COMPUTED_VALUE"""),500000)</f>
        <v>500000</v>
      </c>
      <c r="D822" s="22">
        <f ca="1">IFERROR(__xludf.DUMMYFUNCTION("""COMPUTED_VALUE"""),0)</f>
        <v>0</v>
      </c>
      <c r="E822" s="22">
        <f ca="1">IFERROR(__xludf.DUMMYFUNCTION("""COMPUTED_VALUE"""),500000)</f>
        <v>500000</v>
      </c>
      <c r="F822" s="22">
        <f ca="1">IFERROR(__xludf.DUMMYFUNCTION("""COMPUTED_VALUE"""),500000)</f>
        <v>500000</v>
      </c>
      <c r="G822" s="22">
        <f ca="1">IFERROR(__xludf.DUMMYFUNCTION("""COMPUTED_VALUE"""),0)</f>
        <v>0</v>
      </c>
      <c r="H822" s="7">
        <f ca="1">IFERROR(__xludf.DUMMYFUNCTION("""COMPUTED_VALUE"""),500000)</f>
        <v>500000</v>
      </c>
    </row>
    <row r="823" spans="1:8" ht="13" x14ac:dyDescent="0.15">
      <c r="A823" s="5" t="str">
        <f ca="1">IFERROR(__xludf.DUMMYFUNCTION("""COMPUTED_VALUE"""),"36560")</f>
        <v>36560</v>
      </c>
      <c r="B823" s="51">
        <f ca="1">IFERROR(__xludf.DUMMYFUNCTION("""COMPUTED_VALUE"""),44634)</f>
        <v>44634</v>
      </c>
      <c r="C823" s="22">
        <f ca="1">IFERROR(__xludf.DUMMYFUNCTION("""COMPUTED_VALUE"""),500000)</f>
        <v>500000</v>
      </c>
      <c r="D823" s="22">
        <f ca="1">IFERROR(__xludf.DUMMYFUNCTION("""COMPUTED_VALUE"""),0)</f>
        <v>0</v>
      </c>
      <c r="E823" s="22">
        <f ca="1">IFERROR(__xludf.DUMMYFUNCTION("""COMPUTED_VALUE"""),500000)</f>
        <v>500000</v>
      </c>
      <c r="F823" s="22">
        <f ca="1">IFERROR(__xludf.DUMMYFUNCTION("""COMPUTED_VALUE"""),500000)</f>
        <v>500000</v>
      </c>
      <c r="G823" s="22">
        <f ca="1">IFERROR(__xludf.DUMMYFUNCTION("""COMPUTED_VALUE"""),0)</f>
        <v>0</v>
      </c>
      <c r="H823" s="7">
        <f ca="1">IFERROR(__xludf.DUMMYFUNCTION("""COMPUTED_VALUE"""),500000)</f>
        <v>500000</v>
      </c>
    </row>
    <row r="824" spans="1:8" ht="13" x14ac:dyDescent="0.15">
      <c r="A824" s="5" t="str">
        <f ca="1">IFERROR(__xludf.DUMMYFUNCTION("""COMPUTED_VALUE"""),"36560")</f>
        <v>36560</v>
      </c>
      <c r="B824" s="51">
        <f ca="1">IFERROR(__xludf.DUMMYFUNCTION("""COMPUTED_VALUE"""),44635)</f>
        <v>44635</v>
      </c>
      <c r="C824" s="22">
        <f ca="1">IFERROR(__xludf.DUMMYFUNCTION("""COMPUTED_VALUE"""),500000)</f>
        <v>500000</v>
      </c>
      <c r="D824" s="22">
        <f ca="1">IFERROR(__xludf.DUMMYFUNCTION("""COMPUTED_VALUE"""),0)</f>
        <v>0</v>
      </c>
      <c r="E824" s="22">
        <f ca="1">IFERROR(__xludf.DUMMYFUNCTION("""COMPUTED_VALUE"""),500000)</f>
        <v>500000</v>
      </c>
      <c r="F824" s="22">
        <f ca="1">IFERROR(__xludf.DUMMYFUNCTION("""COMPUTED_VALUE"""),500000)</f>
        <v>500000</v>
      </c>
      <c r="G824" s="22">
        <f ca="1">IFERROR(__xludf.DUMMYFUNCTION("""COMPUTED_VALUE"""),0)</f>
        <v>0</v>
      </c>
      <c r="H824" s="7">
        <f ca="1">IFERROR(__xludf.DUMMYFUNCTION("""COMPUTED_VALUE"""),500000)</f>
        <v>500000</v>
      </c>
    </row>
    <row r="825" spans="1:8" ht="13" x14ac:dyDescent="0.15">
      <c r="A825" s="5" t="str">
        <f ca="1">IFERROR(__xludf.DUMMYFUNCTION("""COMPUTED_VALUE"""),"36560")</f>
        <v>36560</v>
      </c>
      <c r="B825" s="51">
        <f ca="1">IFERROR(__xludf.DUMMYFUNCTION("""COMPUTED_VALUE"""),44636)</f>
        <v>44636</v>
      </c>
      <c r="C825" s="22">
        <f ca="1">IFERROR(__xludf.DUMMYFUNCTION("""COMPUTED_VALUE"""),500000)</f>
        <v>500000</v>
      </c>
      <c r="D825" s="22">
        <f ca="1">IFERROR(__xludf.DUMMYFUNCTION("""COMPUTED_VALUE"""),0)</f>
        <v>0</v>
      </c>
      <c r="E825" s="22">
        <f ca="1">IFERROR(__xludf.DUMMYFUNCTION("""COMPUTED_VALUE"""),500000)</f>
        <v>500000</v>
      </c>
      <c r="F825" s="22">
        <f ca="1">IFERROR(__xludf.DUMMYFUNCTION("""COMPUTED_VALUE"""),500000)</f>
        <v>500000</v>
      </c>
      <c r="G825" s="22">
        <f ca="1">IFERROR(__xludf.DUMMYFUNCTION("""COMPUTED_VALUE"""),0)</f>
        <v>0</v>
      </c>
      <c r="H825" s="7">
        <f ca="1">IFERROR(__xludf.DUMMYFUNCTION("""COMPUTED_VALUE"""),500000)</f>
        <v>500000</v>
      </c>
    </row>
    <row r="826" spans="1:8" ht="13" x14ac:dyDescent="0.15">
      <c r="A826" s="5" t="str">
        <f ca="1">IFERROR(__xludf.DUMMYFUNCTION("""COMPUTED_VALUE"""),"36560")</f>
        <v>36560</v>
      </c>
      <c r="B826" s="51">
        <f ca="1">IFERROR(__xludf.DUMMYFUNCTION("""COMPUTED_VALUE"""),44637)</f>
        <v>44637</v>
      </c>
      <c r="C826" s="22">
        <f ca="1">IFERROR(__xludf.DUMMYFUNCTION("""COMPUTED_VALUE"""),500000)</f>
        <v>500000</v>
      </c>
      <c r="D826" s="22">
        <f ca="1">IFERROR(__xludf.DUMMYFUNCTION("""COMPUTED_VALUE"""),0)</f>
        <v>0</v>
      </c>
      <c r="E826" s="22">
        <f ca="1">IFERROR(__xludf.DUMMYFUNCTION("""COMPUTED_VALUE"""),500000)</f>
        <v>500000</v>
      </c>
      <c r="F826" s="22">
        <f ca="1">IFERROR(__xludf.DUMMYFUNCTION("""COMPUTED_VALUE"""),500000)</f>
        <v>500000</v>
      </c>
      <c r="G826" s="22">
        <f ca="1">IFERROR(__xludf.DUMMYFUNCTION("""COMPUTED_VALUE"""),0)</f>
        <v>0</v>
      </c>
      <c r="H826" s="7">
        <f ca="1">IFERROR(__xludf.DUMMYFUNCTION("""COMPUTED_VALUE"""),500000)</f>
        <v>500000</v>
      </c>
    </row>
    <row r="827" spans="1:8" ht="13" x14ac:dyDescent="0.15">
      <c r="A827" s="5" t="str">
        <f ca="1">IFERROR(__xludf.DUMMYFUNCTION("""COMPUTED_VALUE"""),"36560")</f>
        <v>36560</v>
      </c>
      <c r="B827" s="51">
        <f ca="1">IFERROR(__xludf.DUMMYFUNCTION("""COMPUTED_VALUE"""),44638)</f>
        <v>44638</v>
      </c>
      <c r="C827" s="22">
        <f ca="1">IFERROR(__xludf.DUMMYFUNCTION("""COMPUTED_VALUE"""),500000)</f>
        <v>500000</v>
      </c>
      <c r="D827" s="22">
        <f ca="1">IFERROR(__xludf.DUMMYFUNCTION("""COMPUTED_VALUE"""),0)</f>
        <v>0</v>
      </c>
      <c r="E827" s="22">
        <f ca="1">IFERROR(__xludf.DUMMYFUNCTION("""COMPUTED_VALUE"""),500000)</f>
        <v>500000</v>
      </c>
      <c r="F827" s="22">
        <f ca="1">IFERROR(__xludf.DUMMYFUNCTION("""COMPUTED_VALUE"""),500000)</f>
        <v>500000</v>
      </c>
      <c r="G827" s="22">
        <f ca="1">IFERROR(__xludf.DUMMYFUNCTION("""COMPUTED_VALUE"""),0)</f>
        <v>0</v>
      </c>
      <c r="H827" s="7">
        <f ca="1">IFERROR(__xludf.DUMMYFUNCTION("""COMPUTED_VALUE"""),500000)</f>
        <v>500000</v>
      </c>
    </row>
    <row r="828" spans="1:8" ht="13" x14ac:dyDescent="0.15">
      <c r="A828" s="5" t="str">
        <f ca="1">IFERROR(__xludf.DUMMYFUNCTION("""COMPUTED_VALUE"""),"36560")</f>
        <v>36560</v>
      </c>
      <c r="B828" s="51">
        <f ca="1">IFERROR(__xludf.DUMMYFUNCTION("""COMPUTED_VALUE"""),44639)</f>
        <v>44639</v>
      </c>
      <c r="C828" s="22">
        <f ca="1">IFERROR(__xludf.DUMMYFUNCTION("""COMPUTED_VALUE"""),500000)</f>
        <v>500000</v>
      </c>
      <c r="D828" s="22">
        <f ca="1">IFERROR(__xludf.DUMMYFUNCTION("""COMPUTED_VALUE"""),0)</f>
        <v>0</v>
      </c>
      <c r="E828" s="22">
        <f ca="1">IFERROR(__xludf.DUMMYFUNCTION("""COMPUTED_VALUE"""),500000)</f>
        <v>500000</v>
      </c>
      <c r="F828" s="22">
        <f ca="1">IFERROR(__xludf.DUMMYFUNCTION("""COMPUTED_VALUE"""),500000)</f>
        <v>500000</v>
      </c>
      <c r="G828" s="22">
        <f ca="1">IFERROR(__xludf.DUMMYFUNCTION("""COMPUTED_VALUE"""),0)</f>
        <v>0</v>
      </c>
      <c r="H828" s="7">
        <f ca="1">IFERROR(__xludf.DUMMYFUNCTION("""COMPUTED_VALUE"""),500000)</f>
        <v>500000</v>
      </c>
    </row>
    <row r="829" spans="1:8" ht="13" x14ac:dyDescent="0.15">
      <c r="A829" s="5" t="str">
        <f ca="1">IFERROR(__xludf.DUMMYFUNCTION("""COMPUTED_VALUE"""),"36560")</f>
        <v>36560</v>
      </c>
      <c r="B829" s="51">
        <f ca="1">IFERROR(__xludf.DUMMYFUNCTION("""COMPUTED_VALUE"""),44640)</f>
        <v>44640</v>
      </c>
      <c r="C829" s="22">
        <f ca="1">IFERROR(__xludf.DUMMYFUNCTION("""COMPUTED_VALUE"""),500000)</f>
        <v>500000</v>
      </c>
      <c r="D829" s="22">
        <f ca="1">IFERROR(__xludf.DUMMYFUNCTION("""COMPUTED_VALUE"""),0)</f>
        <v>0</v>
      </c>
      <c r="E829" s="22">
        <f ca="1">IFERROR(__xludf.DUMMYFUNCTION("""COMPUTED_VALUE"""),500000)</f>
        <v>500000</v>
      </c>
      <c r="F829" s="22">
        <f ca="1">IFERROR(__xludf.DUMMYFUNCTION("""COMPUTED_VALUE"""),500000)</f>
        <v>500000</v>
      </c>
      <c r="G829" s="22">
        <f ca="1">IFERROR(__xludf.DUMMYFUNCTION("""COMPUTED_VALUE"""),0)</f>
        <v>0</v>
      </c>
      <c r="H829" s="7">
        <f ca="1">IFERROR(__xludf.DUMMYFUNCTION("""COMPUTED_VALUE"""),500000)</f>
        <v>500000</v>
      </c>
    </row>
    <row r="830" spans="1:8" ht="13" x14ac:dyDescent="0.15">
      <c r="A830" s="5" t="str">
        <f ca="1">IFERROR(__xludf.DUMMYFUNCTION("""COMPUTED_VALUE"""),"36560")</f>
        <v>36560</v>
      </c>
      <c r="B830" s="51">
        <f ca="1">IFERROR(__xludf.DUMMYFUNCTION("""COMPUTED_VALUE"""),44641)</f>
        <v>44641</v>
      </c>
      <c r="C830" s="22">
        <f ca="1">IFERROR(__xludf.DUMMYFUNCTION("""COMPUTED_VALUE"""),500000)</f>
        <v>500000</v>
      </c>
      <c r="D830" s="22">
        <f ca="1">IFERROR(__xludf.DUMMYFUNCTION("""COMPUTED_VALUE"""),0)</f>
        <v>0</v>
      </c>
      <c r="E830" s="22">
        <f ca="1">IFERROR(__xludf.DUMMYFUNCTION("""COMPUTED_VALUE"""),500000)</f>
        <v>500000</v>
      </c>
      <c r="F830" s="22">
        <f ca="1">IFERROR(__xludf.DUMMYFUNCTION("""COMPUTED_VALUE"""),500000)</f>
        <v>500000</v>
      </c>
      <c r="G830" s="22">
        <f ca="1">IFERROR(__xludf.DUMMYFUNCTION("""COMPUTED_VALUE"""),0)</f>
        <v>0</v>
      </c>
      <c r="H830" s="7">
        <f ca="1">IFERROR(__xludf.DUMMYFUNCTION("""COMPUTED_VALUE"""),500000)</f>
        <v>500000</v>
      </c>
    </row>
    <row r="831" spans="1:8" ht="13" x14ac:dyDescent="0.15">
      <c r="A831" s="5" t="str">
        <f ca="1">IFERROR(__xludf.DUMMYFUNCTION("""COMPUTED_VALUE"""),"36560")</f>
        <v>36560</v>
      </c>
      <c r="B831" s="51">
        <f ca="1">IFERROR(__xludf.DUMMYFUNCTION("""COMPUTED_VALUE"""),44642)</f>
        <v>44642</v>
      </c>
      <c r="C831" s="22">
        <f ca="1">IFERROR(__xludf.DUMMYFUNCTION("""COMPUTED_VALUE"""),500000)</f>
        <v>500000</v>
      </c>
      <c r="D831" s="22">
        <f ca="1">IFERROR(__xludf.DUMMYFUNCTION("""COMPUTED_VALUE"""),0)</f>
        <v>0</v>
      </c>
      <c r="E831" s="22">
        <f ca="1">IFERROR(__xludf.DUMMYFUNCTION("""COMPUTED_VALUE"""),500000)</f>
        <v>500000</v>
      </c>
      <c r="F831" s="22">
        <f ca="1">IFERROR(__xludf.DUMMYFUNCTION("""COMPUTED_VALUE"""),500000)</f>
        <v>500000</v>
      </c>
      <c r="G831" s="22">
        <f ca="1">IFERROR(__xludf.DUMMYFUNCTION("""COMPUTED_VALUE"""),0)</f>
        <v>0</v>
      </c>
      <c r="H831" s="7">
        <f ca="1">IFERROR(__xludf.DUMMYFUNCTION("""COMPUTED_VALUE"""),500000)</f>
        <v>500000</v>
      </c>
    </row>
    <row r="832" spans="1:8" ht="13" x14ac:dyDescent="0.15">
      <c r="A832" s="5" t="str">
        <f ca="1">IFERROR(__xludf.DUMMYFUNCTION("""COMPUTED_VALUE"""),"36903")</f>
        <v>36903</v>
      </c>
      <c r="B832" s="51">
        <f ca="1">IFERROR(__xludf.DUMMYFUNCTION("""COMPUTED_VALUE"""),44597)</f>
        <v>44597</v>
      </c>
      <c r="C832" s="22">
        <f ca="1">IFERROR(__xludf.DUMMYFUNCTION("""COMPUTED_VALUE"""),500000)</f>
        <v>500000</v>
      </c>
      <c r="D832" s="22">
        <f ca="1">IFERROR(__xludf.DUMMYFUNCTION("""COMPUTED_VALUE"""),0)</f>
        <v>0</v>
      </c>
      <c r="E832" s="22">
        <f ca="1">IFERROR(__xludf.DUMMYFUNCTION("""COMPUTED_VALUE"""),500000)</f>
        <v>500000</v>
      </c>
      <c r="F832" s="22">
        <f ca="1">IFERROR(__xludf.DUMMYFUNCTION("""COMPUTED_VALUE"""),500000)</f>
        <v>500000</v>
      </c>
      <c r="G832" s="22">
        <f ca="1">IFERROR(__xludf.DUMMYFUNCTION("""COMPUTED_VALUE"""),0)</f>
        <v>0</v>
      </c>
      <c r="H832" s="7">
        <f ca="1">IFERROR(__xludf.DUMMYFUNCTION("""COMPUTED_VALUE"""),500000)</f>
        <v>500000</v>
      </c>
    </row>
    <row r="833" spans="1:8" ht="13" x14ac:dyDescent="0.15">
      <c r="A833" s="5" t="str">
        <f ca="1">IFERROR(__xludf.DUMMYFUNCTION("""COMPUTED_VALUE"""),"36903")</f>
        <v>36903</v>
      </c>
      <c r="B833" s="51">
        <f ca="1">IFERROR(__xludf.DUMMYFUNCTION("""COMPUTED_VALUE"""),44598)</f>
        <v>44598</v>
      </c>
      <c r="C833" s="22">
        <f ca="1">IFERROR(__xludf.DUMMYFUNCTION("""COMPUTED_VALUE"""),500000)</f>
        <v>500000</v>
      </c>
      <c r="D833" s="22">
        <f ca="1">IFERROR(__xludf.DUMMYFUNCTION("""COMPUTED_VALUE"""),0)</f>
        <v>0</v>
      </c>
      <c r="E833" s="22">
        <f ca="1">IFERROR(__xludf.DUMMYFUNCTION("""COMPUTED_VALUE"""),500000)</f>
        <v>500000</v>
      </c>
      <c r="F833" s="22">
        <f ca="1">IFERROR(__xludf.DUMMYFUNCTION("""COMPUTED_VALUE"""),500000)</f>
        <v>500000</v>
      </c>
      <c r="G833" s="22">
        <f ca="1">IFERROR(__xludf.DUMMYFUNCTION("""COMPUTED_VALUE"""),0)</f>
        <v>0</v>
      </c>
      <c r="H833" s="7">
        <f ca="1">IFERROR(__xludf.DUMMYFUNCTION("""COMPUTED_VALUE"""),500000)</f>
        <v>500000</v>
      </c>
    </row>
    <row r="834" spans="1:8" ht="13" x14ac:dyDescent="0.15">
      <c r="A834" s="5" t="str">
        <f ca="1">IFERROR(__xludf.DUMMYFUNCTION("""COMPUTED_VALUE"""),"36903")</f>
        <v>36903</v>
      </c>
      <c r="B834" s="51">
        <f ca="1">IFERROR(__xludf.DUMMYFUNCTION("""COMPUTED_VALUE"""),44599)</f>
        <v>44599</v>
      </c>
      <c r="C834" s="22">
        <f ca="1">IFERROR(__xludf.DUMMYFUNCTION("""COMPUTED_VALUE"""),412374.501725)</f>
        <v>412374.50172499998</v>
      </c>
      <c r="D834" s="22">
        <f ca="1">IFERROR(__xludf.DUMMYFUNCTION("""COMPUTED_VALUE"""),87625.4982749999)</f>
        <v>87625.498274999904</v>
      </c>
      <c r="E834" s="22">
        <f ca="1">IFERROR(__xludf.DUMMYFUNCTION("""COMPUTED_VALUE"""),500000)</f>
        <v>500000</v>
      </c>
      <c r="F834" s="22">
        <f ca="1">IFERROR(__xludf.DUMMYFUNCTION("""COMPUTED_VALUE"""),412374.501725)</f>
        <v>412374.50172499998</v>
      </c>
      <c r="G834" s="22">
        <f ca="1">IFERROR(__xludf.DUMMYFUNCTION("""COMPUTED_VALUE"""),0)</f>
        <v>0</v>
      </c>
      <c r="H834" s="7">
        <f ca="1">IFERROR(__xludf.DUMMYFUNCTION("""COMPUTED_VALUE"""),500000)</f>
        <v>500000</v>
      </c>
    </row>
    <row r="835" spans="1:8" ht="13" x14ac:dyDescent="0.15">
      <c r="A835" s="5" t="str">
        <f ca="1">IFERROR(__xludf.DUMMYFUNCTION("""COMPUTED_VALUE"""),"36903")</f>
        <v>36903</v>
      </c>
      <c r="B835" s="51">
        <f ca="1">IFERROR(__xludf.DUMMYFUNCTION("""COMPUTED_VALUE"""),44600)</f>
        <v>44600</v>
      </c>
      <c r="C835" s="22">
        <f ca="1">IFERROR(__xludf.DUMMYFUNCTION("""COMPUTED_VALUE"""),412374.501725)</f>
        <v>412374.50172499998</v>
      </c>
      <c r="D835" s="22">
        <f ca="1">IFERROR(__xludf.DUMMYFUNCTION("""COMPUTED_VALUE"""),87625.4982749999)</f>
        <v>87625.498274999904</v>
      </c>
      <c r="E835" s="22">
        <f ca="1">IFERROR(__xludf.DUMMYFUNCTION("""COMPUTED_VALUE"""),500000)</f>
        <v>500000</v>
      </c>
      <c r="F835" s="22">
        <f ca="1">IFERROR(__xludf.DUMMYFUNCTION("""COMPUTED_VALUE"""),412374.501725)</f>
        <v>412374.50172499998</v>
      </c>
      <c r="G835" s="22">
        <f ca="1">IFERROR(__xludf.DUMMYFUNCTION("""COMPUTED_VALUE"""),0)</f>
        <v>0</v>
      </c>
      <c r="H835" s="7">
        <f ca="1">IFERROR(__xludf.DUMMYFUNCTION("""COMPUTED_VALUE"""),498173.63863)</f>
        <v>498173.63863</v>
      </c>
    </row>
    <row r="836" spans="1:8" ht="13" x14ac:dyDescent="0.15">
      <c r="A836" s="5" t="str">
        <f ca="1">IFERROR(__xludf.DUMMYFUNCTION("""COMPUTED_VALUE"""),"36903")</f>
        <v>36903</v>
      </c>
      <c r="B836" s="51">
        <f ca="1">IFERROR(__xludf.DUMMYFUNCTION("""COMPUTED_VALUE"""),44601)</f>
        <v>44601</v>
      </c>
      <c r="C836" s="22">
        <f ca="1">IFERROR(__xludf.DUMMYFUNCTION("""COMPUTED_VALUE"""),72211.9520749999)</f>
        <v>72211.952074999906</v>
      </c>
      <c r="D836" s="22">
        <f ca="1">IFERROR(__xludf.DUMMYFUNCTION("""COMPUTED_VALUE"""),430542.20965)</f>
        <v>430542.20964999998</v>
      </c>
      <c r="E836" s="22">
        <f ca="1">IFERROR(__xludf.DUMMYFUNCTION("""COMPUTED_VALUE"""),502754.161724999)</f>
        <v>502754.16172499902</v>
      </c>
      <c r="F836" s="22">
        <f ca="1">IFERROR(__xludf.DUMMYFUNCTION("""COMPUTED_VALUE"""),72211.9520749999)</f>
        <v>72211.952074999906</v>
      </c>
      <c r="G836" s="22">
        <f ca="1">IFERROR(__xludf.DUMMYFUNCTION("""COMPUTED_VALUE"""),0)</f>
        <v>0</v>
      </c>
      <c r="H836" s="7">
        <f ca="1">IFERROR(__xludf.DUMMYFUNCTION("""COMPUTED_VALUE"""),502754.161724999)</f>
        <v>502754.16172499902</v>
      </c>
    </row>
    <row r="837" spans="1:8" ht="13" x14ac:dyDescent="0.15">
      <c r="A837" s="5" t="str">
        <f ca="1">IFERROR(__xludf.DUMMYFUNCTION("""COMPUTED_VALUE"""),"36903")</f>
        <v>36903</v>
      </c>
      <c r="B837" s="51">
        <f ca="1">IFERROR(__xludf.DUMMYFUNCTION("""COMPUTED_VALUE"""),44602)</f>
        <v>44602</v>
      </c>
      <c r="C837" s="22">
        <f ca="1">IFERROR(__xludf.DUMMYFUNCTION("""COMPUTED_VALUE"""),72211.9520749999)</f>
        <v>72211.952074999906</v>
      </c>
      <c r="D837" s="22">
        <f ca="1">IFERROR(__xludf.DUMMYFUNCTION("""COMPUTED_VALUE"""),426373.8955525)</f>
        <v>426373.89555249998</v>
      </c>
      <c r="E837" s="22">
        <f ca="1">IFERROR(__xludf.DUMMYFUNCTION("""COMPUTED_VALUE"""),498585.847627499)</f>
        <v>498585.84762749902</v>
      </c>
      <c r="F837" s="22">
        <f ca="1">IFERROR(__xludf.DUMMYFUNCTION("""COMPUTED_VALUE"""),72211.9520749999)</f>
        <v>72211.952074999906</v>
      </c>
      <c r="G837" s="22">
        <f ca="1">IFERROR(__xludf.DUMMYFUNCTION("""COMPUTED_VALUE"""),0)</f>
        <v>0</v>
      </c>
      <c r="H837" s="7">
        <f ca="1">IFERROR(__xludf.DUMMYFUNCTION("""COMPUTED_VALUE"""),497830.882227499)</f>
        <v>497830.88222749898</v>
      </c>
    </row>
    <row r="838" spans="1:8" ht="13" x14ac:dyDescent="0.15">
      <c r="A838" s="5" t="str">
        <f ca="1">IFERROR(__xludf.DUMMYFUNCTION("""COMPUTED_VALUE"""),"36903")</f>
        <v>36903</v>
      </c>
      <c r="B838" s="51">
        <f ca="1">IFERROR(__xludf.DUMMYFUNCTION("""COMPUTED_VALUE"""),44603)</f>
        <v>44603</v>
      </c>
      <c r="C838" s="22">
        <f ca="1">IFERROR(__xludf.DUMMYFUNCTION("""COMPUTED_VALUE"""),72211.9520749999)</f>
        <v>72211.952074999906</v>
      </c>
      <c r="D838" s="22">
        <f ca="1">IFERROR(__xludf.DUMMYFUNCTION("""COMPUTED_VALUE"""),412516.4272775)</f>
        <v>412516.42727749998</v>
      </c>
      <c r="E838" s="22">
        <f ca="1">IFERROR(__xludf.DUMMYFUNCTION("""COMPUTED_VALUE"""),484728.379352499)</f>
        <v>484728.37935249897</v>
      </c>
      <c r="F838" s="22">
        <f ca="1">IFERROR(__xludf.DUMMYFUNCTION("""COMPUTED_VALUE"""),72211.9520749999)</f>
        <v>72211.952074999906</v>
      </c>
      <c r="G838" s="22">
        <f ca="1">IFERROR(__xludf.DUMMYFUNCTION("""COMPUTED_VALUE"""),0)</f>
        <v>0</v>
      </c>
      <c r="H838" s="7">
        <f ca="1">IFERROR(__xludf.DUMMYFUNCTION("""COMPUTED_VALUE"""),482763.178352499)</f>
        <v>482763.17835249897</v>
      </c>
    </row>
    <row r="839" spans="1:8" ht="13" x14ac:dyDescent="0.15">
      <c r="A839" s="5" t="str">
        <f ca="1">IFERROR(__xludf.DUMMYFUNCTION("""COMPUTED_VALUE"""),"36903")</f>
        <v>36903</v>
      </c>
      <c r="B839" s="51">
        <f ca="1">IFERROR(__xludf.DUMMYFUNCTION("""COMPUTED_VALUE"""),44604)</f>
        <v>44604</v>
      </c>
      <c r="C839" s="22">
        <f ca="1">IFERROR(__xludf.DUMMYFUNCTION("""COMPUTED_VALUE"""),72211.9520749999)</f>
        <v>72211.952074999906</v>
      </c>
      <c r="D839" s="22">
        <f ca="1">IFERROR(__xludf.DUMMYFUNCTION("""COMPUTED_VALUE"""),412516.4272775)</f>
        <v>412516.42727749998</v>
      </c>
      <c r="E839" s="22">
        <f ca="1">IFERROR(__xludf.DUMMYFUNCTION("""COMPUTED_VALUE"""),484728.379352499)</f>
        <v>484728.37935249897</v>
      </c>
      <c r="F839" s="22">
        <f ca="1">IFERROR(__xludf.DUMMYFUNCTION("""COMPUTED_VALUE"""),72211.9520749999)</f>
        <v>72211.952074999906</v>
      </c>
      <c r="G839" s="22">
        <f ca="1">IFERROR(__xludf.DUMMYFUNCTION("""COMPUTED_VALUE"""),0)</f>
        <v>0</v>
      </c>
      <c r="H839" s="7">
        <f ca="1">IFERROR(__xludf.DUMMYFUNCTION("""COMPUTED_VALUE"""),482763.178352499)</f>
        <v>482763.17835249897</v>
      </c>
    </row>
    <row r="840" spans="1:8" ht="13" x14ac:dyDescent="0.15">
      <c r="A840" s="5" t="str">
        <f ca="1">IFERROR(__xludf.DUMMYFUNCTION("""COMPUTED_VALUE"""),"36903")</f>
        <v>36903</v>
      </c>
      <c r="B840" s="51">
        <f ca="1">IFERROR(__xludf.DUMMYFUNCTION("""COMPUTED_VALUE"""),44605)</f>
        <v>44605</v>
      </c>
      <c r="C840" s="22">
        <f ca="1">IFERROR(__xludf.DUMMYFUNCTION("""COMPUTED_VALUE"""),72211.9520749999)</f>
        <v>72211.952074999906</v>
      </c>
      <c r="D840" s="22">
        <f ca="1">IFERROR(__xludf.DUMMYFUNCTION("""COMPUTED_VALUE"""),412534.7416225)</f>
        <v>412534.74162250001</v>
      </c>
      <c r="E840" s="22">
        <f ca="1">IFERROR(__xludf.DUMMYFUNCTION("""COMPUTED_VALUE"""),484746.693697499)</f>
        <v>484746.69369749899</v>
      </c>
      <c r="F840" s="22">
        <f ca="1">IFERROR(__xludf.DUMMYFUNCTION("""COMPUTED_VALUE"""),72211.9520749999)</f>
        <v>72211.952074999906</v>
      </c>
      <c r="G840" s="22">
        <f ca="1">IFERROR(__xludf.DUMMYFUNCTION("""COMPUTED_VALUE"""),0)</f>
        <v>0</v>
      </c>
      <c r="H840" s="7">
        <f ca="1">IFERROR(__xludf.DUMMYFUNCTION("""COMPUTED_VALUE"""),482785.809897499)</f>
        <v>482785.80989749898</v>
      </c>
    </row>
    <row r="841" spans="1:8" ht="13" x14ac:dyDescent="0.15">
      <c r="A841" s="5" t="str">
        <f ca="1">IFERROR(__xludf.DUMMYFUNCTION("""COMPUTED_VALUE"""),"36903")</f>
        <v>36903</v>
      </c>
      <c r="B841" s="51">
        <f ca="1">IFERROR(__xludf.DUMMYFUNCTION("""COMPUTED_VALUE"""),44606)</f>
        <v>44606</v>
      </c>
      <c r="C841" s="22">
        <f ca="1">IFERROR(__xludf.DUMMYFUNCTION("""COMPUTED_VALUE"""),72211.9520749999)</f>
        <v>72211.952074999906</v>
      </c>
      <c r="D841" s="22">
        <f ca="1">IFERROR(__xludf.DUMMYFUNCTION("""COMPUTED_VALUE"""),410627.54992)</f>
        <v>410627.54992000002</v>
      </c>
      <c r="E841" s="22">
        <f ca="1">IFERROR(__xludf.DUMMYFUNCTION("""COMPUTED_VALUE"""),482839.501994999)</f>
        <v>482839.50199499901</v>
      </c>
      <c r="F841" s="22">
        <f ca="1">IFERROR(__xludf.DUMMYFUNCTION("""COMPUTED_VALUE"""),72211.9520749999)</f>
        <v>72211.952074999906</v>
      </c>
      <c r="G841" s="22">
        <f ca="1">IFERROR(__xludf.DUMMYFUNCTION("""COMPUTED_VALUE"""),0)</f>
        <v>0</v>
      </c>
      <c r="H841" s="7">
        <f ca="1">IFERROR(__xludf.DUMMYFUNCTION("""COMPUTED_VALUE"""),480555.669814999)</f>
        <v>480555.66981499898</v>
      </c>
    </row>
    <row r="842" spans="1:8" ht="13" x14ac:dyDescent="0.15">
      <c r="A842" s="5" t="str">
        <f ca="1">IFERROR(__xludf.DUMMYFUNCTION("""COMPUTED_VALUE"""),"36903")</f>
        <v>36903</v>
      </c>
      <c r="B842" s="51">
        <f ca="1">IFERROR(__xludf.DUMMYFUNCTION("""COMPUTED_VALUE"""),44607)</f>
        <v>44607</v>
      </c>
      <c r="C842" s="22">
        <f ca="1">IFERROR(__xludf.DUMMYFUNCTION("""COMPUTED_VALUE"""),72211.9520749999)</f>
        <v>72211.952074999906</v>
      </c>
      <c r="D842" s="22">
        <f ca="1">IFERROR(__xludf.DUMMYFUNCTION("""COMPUTED_VALUE"""),417651.667375)</f>
        <v>417651.66737500002</v>
      </c>
      <c r="E842" s="22">
        <f ca="1">IFERROR(__xludf.DUMMYFUNCTION("""COMPUTED_VALUE"""),489863.619449999)</f>
        <v>489863.61944999901</v>
      </c>
      <c r="F842" s="22">
        <f ca="1">IFERROR(__xludf.DUMMYFUNCTION("""COMPUTED_VALUE"""),72211.9520749999)</f>
        <v>72211.952074999906</v>
      </c>
      <c r="G842" s="22">
        <f ca="1">IFERROR(__xludf.DUMMYFUNCTION("""COMPUTED_VALUE"""),0)</f>
        <v>0</v>
      </c>
      <c r="H842" s="7">
        <f ca="1">IFERROR(__xludf.DUMMYFUNCTION("""COMPUTED_VALUE"""),488468.850809999)</f>
        <v>488468.85080999898</v>
      </c>
    </row>
    <row r="843" spans="1:8" ht="13" x14ac:dyDescent="0.15">
      <c r="A843" s="5" t="str">
        <f ca="1">IFERROR(__xludf.DUMMYFUNCTION("""COMPUTED_VALUE"""),"36903")</f>
        <v>36903</v>
      </c>
      <c r="B843" s="51">
        <f ca="1">IFERROR(__xludf.DUMMYFUNCTION("""COMPUTED_VALUE"""),44608)</f>
        <v>44608</v>
      </c>
      <c r="C843" s="22">
        <f ca="1">IFERROR(__xludf.DUMMYFUNCTION("""COMPUTED_VALUE"""),72211.9520749999)</f>
        <v>72211.952074999906</v>
      </c>
      <c r="D843" s="22">
        <f ca="1">IFERROR(__xludf.DUMMYFUNCTION("""COMPUTED_VALUE"""),412194.9055)</f>
        <v>412194.90549999999</v>
      </c>
      <c r="E843" s="22">
        <f ca="1">IFERROR(__xludf.DUMMYFUNCTION("""COMPUTED_VALUE"""),484406.857575)</f>
        <v>484406.85757499997</v>
      </c>
      <c r="F843" s="22">
        <f ca="1">IFERROR(__xludf.DUMMYFUNCTION("""COMPUTED_VALUE"""),72211.9520749999)</f>
        <v>72211.952074999906</v>
      </c>
      <c r="G843" s="22">
        <f ca="1">IFERROR(__xludf.DUMMYFUNCTION("""COMPUTED_VALUE"""),0)</f>
        <v>0</v>
      </c>
      <c r="H843" s="7">
        <f ca="1">IFERROR(__xludf.DUMMYFUNCTION("""COMPUTED_VALUE"""),482878.635174999)</f>
        <v>482878.63517499901</v>
      </c>
    </row>
    <row r="844" spans="1:8" ht="13" x14ac:dyDescent="0.15">
      <c r="A844" s="5" t="str">
        <f ca="1">IFERROR(__xludf.DUMMYFUNCTION("""COMPUTED_VALUE"""),"36903")</f>
        <v>36903</v>
      </c>
      <c r="B844" s="51">
        <f ca="1">IFERROR(__xludf.DUMMYFUNCTION("""COMPUTED_VALUE"""),44609)</f>
        <v>44609</v>
      </c>
      <c r="C844" s="22">
        <f ca="1">IFERROR(__xludf.DUMMYFUNCTION("""COMPUTED_VALUE"""),72211.9520749999)</f>
        <v>72211.952074999906</v>
      </c>
      <c r="D844" s="22">
        <f ca="1">IFERROR(__xludf.DUMMYFUNCTION("""COMPUTED_VALUE"""),394760.3251645)</f>
        <v>394760.32516449998</v>
      </c>
      <c r="E844" s="22">
        <f ca="1">IFERROR(__xludf.DUMMYFUNCTION("""COMPUTED_VALUE"""),466972.277239499)</f>
        <v>466972.27723949897</v>
      </c>
      <c r="F844" s="22">
        <f ca="1">IFERROR(__xludf.DUMMYFUNCTION("""COMPUTED_VALUE"""),72211.9520749999)</f>
        <v>72211.952074999906</v>
      </c>
      <c r="G844" s="22">
        <f ca="1">IFERROR(__xludf.DUMMYFUNCTION("""COMPUTED_VALUE"""),0)</f>
        <v>0</v>
      </c>
      <c r="H844" s="7">
        <f ca="1">IFERROR(__xludf.DUMMYFUNCTION("""COMPUTED_VALUE"""),463807.855959499)</f>
        <v>463807.85595949902</v>
      </c>
    </row>
    <row r="845" spans="1:8" ht="13" x14ac:dyDescent="0.15">
      <c r="A845" s="5" t="str">
        <f ca="1">IFERROR(__xludf.DUMMYFUNCTION("""COMPUTED_VALUE"""),"36903")</f>
        <v>36903</v>
      </c>
      <c r="B845" s="51">
        <f ca="1">IFERROR(__xludf.DUMMYFUNCTION("""COMPUTED_VALUE"""),44610)</f>
        <v>44610</v>
      </c>
      <c r="C845" s="22">
        <f ca="1">IFERROR(__xludf.DUMMYFUNCTION("""COMPUTED_VALUE"""),72211.9520749999)</f>
        <v>72211.952074999906</v>
      </c>
      <c r="D845" s="22">
        <f ca="1">IFERROR(__xludf.DUMMYFUNCTION("""COMPUTED_VALUE"""),387589.402258)</f>
        <v>387589.40225799999</v>
      </c>
      <c r="E845" s="22">
        <f ca="1">IFERROR(__xludf.DUMMYFUNCTION("""COMPUTED_VALUE"""),459801.354332999)</f>
        <v>459801.35433299898</v>
      </c>
      <c r="F845" s="22">
        <f ca="1">IFERROR(__xludf.DUMMYFUNCTION("""COMPUTED_VALUE"""),72211.9520749999)</f>
        <v>72211.952074999906</v>
      </c>
      <c r="G845" s="22">
        <f ca="1">IFERROR(__xludf.DUMMYFUNCTION("""COMPUTED_VALUE"""),0)</f>
        <v>0</v>
      </c>
      <c r="H845" s="7">
        <f ca="1">IFERROR(__xludf.DUMMYFUNCTION("""COMPUTED_VALUE"""),456276.302332999)</f>
        <v>456276.30233299901</v>
      </c>
    </row>
    <row r="846" spans="1:8" ht="13" x14ac:dyDescent="0.15">
      <c r="A846" s="5" t="str">
        <f ca="1">IFERROR(__xludf.DUMMYFUNCTION("""COMPUTED_VALUE"""),"36903")</f>
        <v>36903</v>
      </c>
      <c r="B846" s="51">
        <f ca="1">IFERROR(__xludf.DUMMYFUNCTION("""COMPUTED_VALUE"""),44611)</f>
        <v>44611</v>
      </c>
      <c r="C846" s="22">
        <f ca="1">IFERROR(__xludf.DUMMYFUNCTION("""COMPUTED_VALUE"""),72211.9520749999)</f>
        <v>72211.952074999906</v>
      </c>
      <c r="D846" s="22">
        <f ca="1">IFERROR(__xludf.DUMMYFUNCTION("""COMPUTED_VALUE"""),387589.402258)</f>
        <v>387589.40225799999</v>
      </c>
      <c r="E846" s="22">
        <f ca="1">IFERROR(__xludf.DUMMYFUNCTION("""COMPUTED_VALUE"""),459801.354332999)</f>
        <v>459801.35433299898</v>
      </c>
      <c r="F846" s="22">
        <f ca="1">IFERROR(__xludf.DUMMYFUNCTION("""COMPUTED_VALUE"""),72211.9520749999)</f>
        <v>72211.952074999906</v>
      </c>
      <c r="G846" s="22">
        <f ca="1">IFERROR(__xludf.DUMMYFUNCTION("""COMPUTED_VALUE"""),0)</f>
        <v>0</v>
      </c>
      <c r="H846" s="7">
        <f ca="1">IFERROR(__xludf.DUMMYFUNCTION("""COMPUTED_VALUE"""),456276.302332999)</f>
        <v>456276.30233299901</v>
      </c>
    </row>
    <row r="847" spans="1:8" ht="13" x14ac:dyDescent="0.15">
      <c r="A847" s="5" t="str">
        <f ca="1">IFERROR(__xludf.DUMMYFUNCTION("""COMPUTED_VALUE"""),"36903")</f>
        <v>36903</v>
      </c>
      <c r="B847" s="51">
        <f ca="1">IFERROR(__xludf.DUMMYFUNCTION("""COMPUTED_VALUE"""),44612)</f>
        <v>44612</v>
      </c>
      <c r="C847" s="22">
        <f ca="1">IFERROR(__xludf.DUMMYFUNCTION("""COMPUTED_VALUE"""),72211.9520749999)</f>
        <v>72211.952074999906</v>
      </c>
      <c r="D847" s="22">
        <f ca="1">IFERROR(__xludf.DUMMYFUNCTION("""COMPUTED_VALUE"""),387578.962371)</f>
        <v>387578.96237099997</v>
      </c>
      <c r="E847" s="22">
        <f ca="1">IFERROR(__xludf.DUMMYFUNCTION("""COMPUTED_VALUE"""),459790.914445999)</f>
        <v>459790.91444599902</v>
      </c>
      <c r="F847" s="22">
        <f ca="1">IFERROR(__xludf.DUMMYFUNCTION("""COMPUTED_VALUE"""),72211.9520749999)</f>
        <v>72211.952074999906</v>
      </c>
      <c r="G847" s="22">
        <f ca="1">IFERROR(__xludf.DUMMYFUNCTION("""COMPUTED_VALUE"""),0)</f>
        <v>0</v>
      </c>
      <c r="H847" s="7">
        <f ca="1">IFERROR(__xludf.DUMMYFUNCTION("""COMPUTED_VALUE"""),456263.254845999)</f>
        <v>456263.25484599901</v>
      </c>
    </row>
    <row r="848" spans="1:8" ht="13" x14ac:dyDescent="0.15">
      <c r="A848" s="5" t="str">
        <f ca="1">IFERROR(__xludf.DUMMYFUNCTION("""COMPUTED_VALUE"""),"36903")</f>
        <v>36903</v>
      </c>
      <c r="B848" s="51">
        <f ca="1">IFERROR(__xludf.DUMMYFUNCTION("""COMPUTED_VALUE"""),44613)</f>
        <v>44613</v>
      </c>
      <c r="C848" s="22">
        <f ca="1">IFERROR(__xludf.DUMMYFUNCTION("""COMPUTED_VALUE"""),72211.9520749999)</f>
        <v>72211.952074999906</v>
      </c>
      <c r="D848" s="22">
        <f ca="1">IFERROR(__xludf.DUMMYFUNCTION("""COMPUTED_VALUE"""),387608.903179)</f>
        <v>387608.90317900002</v>
      </c>
      <c r="E848" s="22">
        <f ca="1">IFERROR(__xludf.DUMMYFUNCTION("""COMPUTED_VALUE"""),459820.855254)</f>
        <v>459820.85525399999</v>
      </c>
      <c r="F848" s="22">
        <f ca="1">IFERROR(__xludf.DUMMYFUNCTION("""COMPUTED_VALUE"""),72211.9520749999)</f>
        <v>72211.952074999906</v>
      </c>
      <c r="G848" s="22">
        <f ca="1">IFERROR(__xludf.DUMMYFUNCTION("""COMPUTED_VALUE"""),0)</f>
        <v>0</v>
      </c>
      <c r="H848" s="7">
        <f ca="1">IFERROR(__xludf.DUMMYFUNCTION("""COMPUTED_VALUE"""),456300.674053999)</f>
        <v>456300.67405399901</v>
      </c>
    </row>
    <row r="849" spans="1:8" ht="13" x14ac:dyDescent="0.15">
      <c r="A849" s="5" t="str">
        <f ca="1">IFERROR(__xludf.DUMMYFUNCTION("""COMPUTED_VALUE"""),"36903")</f>
        <v>36903</v>
      </c>
      <c r="B849" s="51">
        <f ca="1">IFERROR(__xludf.DUMMYFUNCTION("""COMPUTED_VALUE"""),44614)</f>
        <v>44614</v>
      </c>
      <c r="C849" s="22">
        <f ca="1">IFERROR(__xludf.DUMMYFUNCTION("""COMPUTED_VALUE"""),72211.9520749999)</f>
        <v>72211.952074999906</v>
      </c>
      <c r="D849" s="22">
        <f ca="1">IFERROR(__xludf.DUMMYFUNCTION("""COMPUTED_VALUE"""),380886.6186)</f>
        <v>380886.61859999999</v>
      </c>
      <c r="E849" s="22">
        <f ca="1">IFERROR(__xludf.DUMMYFUNCTION("""COMPUTED_VALUE"""),453098.570674999)</f>
        <v>453098.57067499898</v>
      </c>
      <c r="F849" s="22">
        <f ca="1">IFERROR(__xludf.DUMMYFUNCTION("""COMPUTED_VALUE"""),72211.9520749999)</f>
        <v>72211.952074999906</v>
      </c>
      <c r="G849" s="22">
        <f ca="1">IFERROR(__xludf.DUMMYFUNCTION("""COMPUTED_VALUE"""),0)</f>
        <v>0</v>
      </c>
      <c r="H849" s="7">
        <f ca="1">IFERROR(__xludf.DUMMYFUNCTION("""COMPUTED_VALUE"""),449398.478274999)</f>
        <v>449398.47827499901</v>
      </c>
    </row>
    <row r="850" spans="1:8" ht="13" x14ac:dyDescent="0.15">
      <c r="A850" s="5" t="str">
        <f ca="1">IFERROR(__xludf.DUMMYFUNCTION("""COMPUTED_VALUE"""),"36903")</f>
        <v>36903</v>
      </c>
      <c r="B850" s="51">
        <f ca="1">IFERROR(__xludf.DUMMYFUNCTION("""COMPUTED_VALUE"""),44615)</f>
        <v>44615</v>
      </c>
      <c r="C850" s="22">
        <f ca="1">IFERROR(__xludf.DUMMYFUNCTION("""COMPUTED_VALUE"""),72211.9520749999)</f>
        <v>72211.952074999906</v>
      </c>
      <c r="D850" s="22">
        <f ca="1">IFERROR(__xludf.DUMMYFUNCTION("""COMPUTED_VALUE"""),376174.971725)</f>
        <v>376174.97172500001</v>
      </c>
      <c r="E850" s="22">
        <f ca="1">IFERROR(__xludf.DUMMYFUNCTION("""COMPUTED_VALUE"""),448386.923799999)</f>
        <v>448386.923799999</v>
      </c>
      <c r="F850" s="22">
        <f ca="1">IFERROR(__xludf.DUMMYFUNCTION("""COMPUTED_VALUE"""),72211.9520749999)</f>
        <v>72211.952074999906</v>
      </c>
      <c r="G850" s="22">
        <f ca="1">IFERROR(__xludf.DUMMYFUNCTION("""COMPUTED_VALUE"""),0)</f>
        <v>0</v>
      </c>
      <c r="H850" s="7">
        <f ca="1">IFERROR(__xludf.DUMMYFUNCTION("""COMPUTED_VALUE"""),443973.827399999)</f>
        <v>443973.82739999902</v>
      </c>
    </row>
    <row r="851" spans="1:8" ht="13" x14ac:dyDescent="0.15">
      <c r="A851" s="5" t="str">
        <f ca="1">IFERROR(__xludf.DUMMYFUNCTION("""COMPUTED_VALUE"""),"36903")</f>
        <v>36903</v>
      </c>
      <c r="B851" s="51">
        <f ca="1">IFERROR(__xludf.DUMMYFUNCTION("""COMPUTED_VALUE"""),44616)</f>
        <v>44616</v>
      </c>
      <c r="C851" s="22">
        <f ca="1">IFERROR(__xludf.DUMMYFUNCTION("""COMPUTED_VALUE"""),72211.9520749999)</f>
        <v>72211.952074999906</v>
      </c>
      <c r="D851" s="22">
        <f ca="1">IFERROR(__xludf.DUMMYFUNCTION("""COMPUTED_VALUE"""),390312.2074)</f>
        <v>390312.20740000001</v>
      </c>
      <c r="E851" s="22">
        <f ca="1">IFERROR(__xludf.DUMMYFUNCTION("""COMPUTED_VALUE"""),462524.159475)</f>
        <v>462524.15947499999</v>
      </c>
      <c r="F851" s="22">
        <f ca="1">IFERROR(__xludf.DUMMYFUNCTION("""COMPUTED_VALUE"""),72211.9520749999)</f>
        <v>72211.952074999906</v>
      </c>
      <c r="G851" s="22">
        <f ca="1">IFERROR(__xludf.DUMMYFUNCTION("""COMPUTED_VALUE"""),0)</f>
        <v>0</v>
      </c>
      <c r="H851" s="7">
        <f ca="1">IFERROR(__xludf.DUMMYFUNCTION("""COMPUTED_VALUE"""),458633.115075)</f>
        <v>458633.11507499998</v>
      </c>
    </row>
    <row r="852" spans="1:8" ht="13" x14ac:dyDescent="0.15">
      <c r="A852" s="5" t="str">
        <f ca="1">IFERROR(__xludf.DUMMYFUNCTION("""COMPUTED_VALUE"""),"36903")</f>
        <v>36903</v>
      </c>
      <c r="B852" s="51">
        <f ca="1">IFERROR(__xludf.DUMMYFUNCTION("""COMPUTED_VALUE"""),44617)</f>
        <v>44617</v>
      </c>
      <c r="C852" s="22">
        <f ca="1">IFERROR(__xludf.DUMMYFUNCTION("""COMPUTED_VALUE"""),72211.9520749999)</f>
        <v>72211.952074999906</v>
      </c>
      <c r="D852" s="22">
        <f ca="1">IFERROR(__xludf.DUMMYFUNCTION("""COMPUTED_VALUE"""),396931.227798)</f>
        <v>396931.22779799998</v>
      </c>
      <c r="E852" s="22">
        <f ca="1">IFERROR(__xludf.DUMMYFUNCTION("""COMPUTED_VALUE"""),469143.179872999)</f>
        <v>469143.17987299903</v>
      </c>
      <c r="F852" s="22">
        <f ca="1">IFERROR(__xludf.DUMMYFUNCTION("""COMPUTED_VALUE"""),72211.9520749999)</f>
        <v>72211.952074999906</v>
      </c>
      <c r="G852" s="22">
        <f ca="1">IFERROR(__xludf.DUMMYFUNCTION("""COMPUTED_VALUE"""),0)</f>
        <v>0</v>
      </c>
      <c r="H852" s="7">
        <f ca="1">IFERROR(__xludf.DUMMYFUNCTION("""COMPUTED_VALUE"""),465383.380472999)</f>
        <v>465383.38047299901</v>
      </c>
    </row>
    <row r="853" spans="1:8" ht="13" x14ac:dyDescent="0.15">
      <c r="A853" s="5" t="str">
        <f ca="1">IFERROR(__xludf.DUMMYFUNCTION("""COMPUTED_VALUE"""),"36903")</f>
        <v>36903</v>
      </c>
      <c r="B853" s="51">
        <f ca="1">IFERROR(__xludf.DUMMYFUNCTION("""COMPUTED_VALUE"""),44618)</f>
        <v>44618</v>
      </c>
      <c r="C853" s="22">
        <f ca="1">IFERROR(__xludf.DUMMYFUNCTION("""COMPUTED_VALUE"""),72211.9520749999)</f>
        <v>72211.952074999906</v>
      </c>
      <c r="D853" s="22">
        <f ca="1">IFERROR(__xludf.DUMMYFUNCTION("""COMPUTED_VALUE"""),396937.310658)</f>
        <v>396937.310658</v>
      </c>
      <c r="E853" s="22">
        <f ca="1">IFERROR(__xludf.DUMMYFUNCTION("""COMPUTED_VALUE"""),469149.262732999)</f>
        <v>469149.26273299899</v>
      </c>
      <c r="F853" s="22">
        <f ca="1">IFERROR(__xludf.DUMMYFUNCTION("""COMPUTED_VALUE"""),72211.9520749999)</f>
        <v>72211.952074999906</v>
      </c>
      <c r="G853" s="22">
        <f ca="1">IFERROR(__xludf.DUMMYFUNCTION("""COMPUTED_VALUE"""),0)</f>
        <v>0</v>
      </c>
      <c r="H853" s="7">
        <f ca="1">IFERROR(__xludf.DUMMYFUNCTION("""COMPUTED_VALUE"""),465390.933332999)</f>
        <v>465390.933332999</v>
      </c>
    </row>
    <row r="854" spans="1:8" ht="13" x14ac:dyDescent="0.15">
      <c r="A854" s="5" t="str">
        <f ca="1">IFERROR(__xludf.DUMMYFUNCTION("""COMPUTED_VALUE"""),"36903")</f>
        <v>36903</v>
      </c>
      <c r="B854" s="51">
        <f ca="1">IFERROR(__xludf.DUMMYFUNCTION("""COMPUTED_VALUE"""),44619)</f>
        <v>44619</v>
      </c>
      <c r="C854" s="22">
        <f ca="1">IFERROR(__xludf.DUMMYFUNCTION("""COMPUTED_VALUE"""),72211.9520749999)</f>
        <v>72211.952074999906</v>
      </c>
      <c r="D854" s="22">
        <f ca="1">IFERROR(__xludf.DUMMYFUNCTION("""COMPUTED_VALUE"""),396923.32008)</f>
        <v>396923.32007999998</v>
      </c>
      <c r="E854" s="22">
        <f ca="1">IFERROR(__xludf.DUMMYFUNCTION("""COMPUTED_VALUE"""),469135.272154999)</f>
        <v>469135.27215499902</v>
      </c>
      <c r="F854" s="22">
        <f ca="1">IFERROR(__xludf.DUMMYFUNCTION("""COMPUTED_VALUE"""),72211.9520749999)</f>
        <v>72211.952074999906</v>
      </c>
      <c r="G854" s="22">
        <f ca="1">IFERROR(__xludf.DUMMYFUNCTION("""COMPUTED_VALUE"""),0)</f>
        <v>0</v>
      </c>
      <c r="H854" s="7">
        <f ca="1">IFERROR(__xludf.DUMMYFUNCTION("""COMPUTED_VALUE"""),465373.561754999)</f>
        <v>465373.56175499898</v>
      </c>
    </row>
    <row r="855" spans="1:8" ht="13" x14ac:dyDescent="0.15">
      <c r="A855" s="5" t="str">
        <f ca="1">IFERROR(__xludf.DUMMYFUNCTION("""COMPUTED_VALUE"""),"36903")</f>
        <v>36903</v>
      </c>
      <c r="B855" s="51">
        <f ca="1">IFERROR(__xludf.DUMMYFUNCTION("""COMPUTED_VALUE"""),44620)</f>
        <v>44620</v>
      </c>
      <c r="C855" s="22">
        <f ca="1">IFERROR(__xludf.DUMMYFUNCTION("""COMPUTED_VALUE"""),72211.9520749999)</f>
        <v>72211.952074999906</v>
      </c>
      <c r="D855" s="22">
        <f ca="1">IFERROR(__xludf.DUMMYFUNCTION("""COMPUTED_VALUE"""),394764.838105)</f>
        <v>394764.83810499997</v>
      </c>
      <c r="E855" s="22">
        <f ca="1">IFERROR(__xludf.DUMMYFUNCTION("""COMPUTED_VALUE"""),466976.790179999)</f>
        <v>466976.79017999902</v>
      </c>
      <c r="F855" s="22">
        <f ca="1">IFERROR(__xludf.DUMMYFUNCTION("""COMPUTED_VALUE"""),72211.9520749999)</f>
        <v>72211.952074999906</v>
      </c>
      <c r="G855" s="22">
        <f ca="1">IFERROR(__xludf.DUMMYFUNCTION("""COMPUTED_VALUE"""),0)</f>
        <v>0</v>
      </c>
      <c r="H855" s="7">
        <f ca="1">IFERROR(__xludf.DUMMYFUNCTION("""COMPUTED_VALUE"""),463329.037379999)</f>
        <v>463329.037379999</v>
      </c>
    </row>
    <row r="856" spans="1:8" ht="13" x14ac:dyDescent="0.15">
      <c r="A856" s="5" t="str">
        <f ca="1">IFERROR(__xludf.DUMMYFUNCTION("""COMPUTED_VALUE"""),"36903")</f>
        <v>36903</v>
      </c>
      <c r="B856" s="51">
        <f ca="1">IFERROR(__xludf.DUMMYFUNCTION("""COMPUTED_VALUE"""),44621)</f>
        <v>44621</v>
      </c>
      <c r="C856" s="22">
        <f ca="1">IFERROR(__xludf.DUMMYFUNCTION("""COMPUTED_VALUE"""),72211.9520749999)</f>
        <v>72211.952074999906</v>
      </c>
      <c r="D856" s="22">
        <f ca="1">IFERROR(__xludf.DUMMYFUNCTION("""COMPUTED_VALUE"""),378288.5545035)</f>
        <v>378288.5545035</v>
      </c>
      <c r="E856" s="22">
        <f ca="1">IFERROR(__xludf.DUMMYFUNCTION("""COMPUTED_VALUE"""),450500.5065785)</f>
        <v>450500.50657849998</v>
      </c>
      <c r="F856" s="22">
        <f ca="1">IFERROR(__xludf.DUMMYFUNCTION("""COMPUTED_VALUE"""),72211.9520749999)</f>
        <v>72211.952074999906</v>
      </c>
      <c r="G856" s="22">
        <f ca="1">IFERROR(__xludf.DUMMYFUNCTION("""COMPUTED_VALUE"""),0)</f>
        <v>0</v>
      </c>
      <c r="H856" s="7">
        <f ca="1">IFERROR(__xludf.DUMMYFUNCTION("""COMPUTED_VALUE"""),446469.429758499)</f>
        <v>446469.42975849903</v>
      </c>
    </row>
    <row r="857" spans="1:8" ht="13" x14ac:dyDescent="0.15">
      <c r="A857" s="5" t="str">
        <f ca="1">IFERROR(__xludf.DUMMYFUNCTION("""COMPUTED_VALUE"""),"36903")</f>
        <v>36903</v>
      </c>
      <c r="B857" s="51">
        <f ca="1">IFERROR(__xludf.DUMMYFUNCTION("""COMPUTED_VALUE"""),44622)</f>
        <v>44622</v>
      </c>
      <c r="C857" s="22">
        <f ca="1">IFERROR(__xludf.DUMMYFUNCTION("""COMPUTED_VALUE"""),72211.9520749999)</f>
        <v>72211.952074999906</v>
      </c>
      <c r="D857" s="22">
        <f ca="1">IFERROR(__xludf.DUMMYFUNCTION("""COMPUTED_VALUE"""),382012.279885)</f>
        <v>382012.27988500003</v>
      </c>
      <c r="E857" s="22">
        <f ca="1">IFERROR(__xludf.DUMMYFUNCTION("""COMPUTED_VALUE"""),454224.231959999)</f>
        <v>454224.23195999902</v>
      </c>
      <c r="F857" s="22">
        <f ca="1">IFERROR(__xludf.DUMMYFUNCTION("""COMPUTED_VALUE"""),72211.9520749999)</f>
        <v>72211.952074999906</v>
      </c>
      <c r="G857" s="22">
        <f ca="1">IFERROR(__xludf.DUMMYFUNCTION("""COMPUTED_VALUE"""),0)</f>
        <v>0</v>
      </c>
      <c r="H857" s="7">
        <f ca="1">IFERROR(__xludf.DUMMYFUNCTION("""COMPUTED_VALUE"""),450768.917959999)</f>
        <v>450768.917959999</v>
      </c>
    </row>
    <row r="858" spans="1:8" ht="13" x14ac:dyDescent="0.15">
      <c r="A858" s="5" t="str">
        <f ca="1">IFERROR(__xludf.DUMMYFUNCTION("""COMPUTED_VALUE"""),"36903")</f>
        <v>36903</v>
      </c>
      <c r="B858" s="51">
        <f ca="1">IFERROR(__xludf.DUMMYFUNCTION("""COMPUTED_VALUE"""),44623)</f>
        <v>44623</v>
      </c>
      <c r="C858" s="22">
        <f ca="1">IFERROR(__xludf.DUMMYFUNCTION("""COMPUTED_VALUE"""),72211.9520749999)</f>
        <v>72211.952074999906</v>
      </c>
      <c r="D858" s="22">
        <f ca="1">IFERROR(__xludf.DUMMYFUNCTION("""COMPUTED_VALUE"""),362638.249085)</f>
        <v>362638.24908500002</v>
      </c>
      <c r="E858" s="22">
        <f ca="1">IFERROR(__xludf.DUMMYFUNCTION("""COMPUTED_VALUE"""),434850.201159999)</f>
        <v>434850.20115999901</v>
      </c>
      <c r="F858" s="22">
        <f ca="1">IFERROR(__xludf.DUMMYFUNCTION("""COMPUTED_VALUE"""),72211.9520749999)</f>
        <v>72211.952074999906</v>
      </c>
      <c r="G858" s="22">
        <f ca="1">IFERROR(__xludf.DUMMYFUNCTION("""COMPUTED_VALUE"""),0)</f>
        <v>0</v>
      </c>
      <c r="H858" s="7">
        <f ca="1">IFERROR(__xludf.DUMMYFUNCTION("""COMPUTED_VALUE"""),431038.407159999)</f>
        <v>431038.40715999901</v>
      </c>
    </row>
    <row r="859" spans="1:8" ht="13" x14ac:dyDescent="0.15">
      <c r="A859" s="5" t="str">
        <f ca="1">IFERROR(__xludf.DUMMYFUNCTION("""COMPUTED_VALUE"""),"36903")</f>
        <v>36903</v>
      </c>
      <c r="B859" s="51">
        <f ca="1">IFERROR(__xludf.DUMMYFUNCTION("""COMPUTED_VALUE"""),44624)</f>
        <v>44624</v>
      </c>
      <c r="C859" s="22">
        <f ca="1">IFERROR(__xludf.DUMMYFUNCTION("""COMPUTED_VALUE"""),72211.9520749999)</f>
        <v>72211.952074999906</v>
      </c>
      <c r="D859" s="22">
        <f ca="1">IFERROR(__xludf.DUMMYFUNCTION("""COMPUTED_VALUE"""),354155.392984)</f>
        <v>354155.39298399998</v>
      </c>
      <c r="E859" s="22">
        <f ca="1">IFERROR(__xludf.DUMMYFUNCTION("""COMPUTED_VALUE"""),426367.345058999)</f>
        <v>426367.34505899902</v>
      </c>
      <c r="F859" s="22">
        <f ca="1">IFERROR(__xludf.DUMMYFUNCTION("""COMPUTED_VALUE"""),72211.9520749999)</f>
        <v>72211.952074999906</v>
      </c>
      <c r="G859" s="22">
        <f ca="1">IFERROR(__xludf.DUMMYFUNCTION("""COMPUTED_VALUE"""),0)</f>
        <v>0</v>
      </c>
      <c r="H859" s="7">
        <f ca="1">IFERROR(__xludf.DUMMYFUNCTION("""COMPUTED_VALUE"""),422196.361858999)</f>
        <v>422196.36185899901</v>
      </c>
    </row>
    <row r="860" spans="1:8" ht="13" x14ac:dyDescent="0.15">
      <c r="A860" s="5" t="str">
        <f ca="1">IFERROR(__xludf.DUMMYFUNCTION("""COMPUTED_VALUE"""),"36903")</f>
        <v>36903</v>
      </c>
      <c r="B860" s="51">
        <f ca="1">IFERROR(__xludf.DUMMYFUNCTION("""COMPUTED_VALUE"""),44625)</f>
        <v>44625</v>
      </c>
      <c r="C860" s="22">
        <f ca="1">IFERROR(__xludf.DUMMYFUNCTION("""COMPUTED_VALUE"""),72211.9520749999)</f>
        <v>72211.952074999906</v>
      </c>
      <c r="D860" s="22">
        <f ca="1">IFERROR(__xludf.DUMMYFUNCTION("""COMPUTED_VALUE"""),354155.392984)</f>
        <v>354155.39298399998</v>
      </c>
      <c r="E860" s="22">
        <f ca="1">IFERROR(__xludf.DUMMYFUNCTION("""COMPUTED_VALUE"""),426367.345058999)</f>
        <v>426367.34505899902</v>
      </c>
      <c r="F860" s="22">
        <f ca="1">IFERROR(__xludf.DUMMYFUNCTION("""COMPUTED_VALUE"""),72211.9520749999)</f>
        <v>72211.952074999906</v>
      </c>
      <c r="G860" s="22">
        <f ca="1">IFERROR(__xludf.DUMMYFUNCTION("""COMPUTED_VALUE"""),0)</f>
        <v>0</v>
      </c>
      <c r="H860" s="7">
        <f ca="1">IFERROR(__xludf.DUMMYFUNCTION("""COMPUTED_VALUE"""),422196.361858999)</f>
        <v>422196.36185899901</v>
      </c>
    </row>
    <row r="861" spans="1:8" ht="13" x14ac:dyDescent="0.15">
      <c r="A861" s="5" t="str">
        <f ca="1">IFERROR(__xludf.DUMMYFUNCTION("""COMPUTED_VALUE"""),"36903")</f>
        <v>36903</v>
      </c>
      <c r="B861" s="51">
        <f ca="1">IFERROR(__xludf.DUMMYFUNCTION("""COMPUTED_VALUE"""),44626)</f>
        <v>44626</v>
      </c>
      <c r="C861" s="22">
        <f ca="1">IFERROR(__xludf.DUMMYFUNCTION("""COMPUTED_VALUE"""),72211.9520749999)</f>
        <v>72211.952074999906</v>
      </c>
      <c r="D861" s="22">
        <f ca="1">IFERROR(__xludf.DUMMYFUNCTION("""COMPUTED_VALUE"""),354193.069369)</f>
        <v>354193.06936899998</v>
      </c>
      <c r="E861" s="22">
        <f ca="1">IFERROR(__xludf.DUMMYFUNCTION("""COMPUTED_VALUE"""),426405.021443999)</f>
        <v>426405.02144399902</v>
      </c>
      <c r="F861" s="22">
        <f ca="1">IFERROR(__xludf.DUMMYFUNCTION("""COMPUTED_VALUE"""),72211.9520749999)</f>
        <v>72211.952074999906</v>
      </c>
      <c r="G861" s="22">
        <f ca="1">IFERROR(__xludf.DUMMYFUNCTION("""COMPUTED_VALUE"""),0)</f>
        <v>0</v>
      </c>
      <c r="H861" s="7">
        <f ca="1">IFERROR(__xludf.DUMMYFUNCTION("""COMPUTED_VALUE"""),422244.508743999)</f>
        <v>422244.508743999</v>
      </c>
    </row>
    <row r="862" spans="1:8" ht="13" x14ac:dyDescent="0.15">
      <c r="A862" s="5" t="str">
        <f ca="1">IFERROR(__xludf.DUMMYFUNCTION("""COMPUTED_VALUE"""),"36903")</f>
        <v>36903</v>
      </c>
      <c r="B862" s="51">
        <f ca="1">IFERROR(__xludf.DUMMYFUNCTION("""COMPUTED_VALUE"""),44627)</f>
        <v>44627</v>
      </c>
      <c r="C862" s="22">
        <f ca="1">IFERROR(__xludf.DUMMYFUNCTION("""COMPUTED_VALUE"""),72211.9520749999)</f>
        <v>72211.952074999906</v>
      </c>
      <c r="D862" s="22">
        <f ca="1">IFERROR(__xludf.DUMMYFUNCTION("""COMPUTED_VALUE"""),334276.267555)</f>
        <v>334276.26755500003</v>
      </c>
      <c r="E862" s="22">
        <f ca="1">IFERROR(__xludf.DUMMYFUNCTION("""COMPUTED_VALUE"""),406488.219629999)</f>
        <v>406488.21962999902</v>
      </c>
      <c r="F862" s="22">
        <f ca="1">IFERROR(__xludf.DUMMYFUNCTION("""COMPUTED_VALUE"""),72211.9520749999)</f>
        <v>72211.952074999906</v>
      </c>
      <c r="G862" s="22">
        <f ca="1">IFERROR(__xludf.DUMMYFUNCTION("""COMPUTED_VALUE"""),0)</f>
        <v>0</v>
      </c>
      <c r="H862" s="7">
        <f ca="1">IFERROR(__xludf.DUMMYFUNCTION("""COMPUTED_VALUE"""),401232.955029999)</f>
        <v>401232.95502999902</v>
      </c>
    </row>
    <row r="863" spans="1:8" ht="13" x14ac:dyDescent="0.15">
      <c r="A863" s="5" t="str">
        <f ca="1">IFERROR(__xludf.DUMMYFUNCTION("""COMPUTED_VALUE"""),"36903")</f>
        <v>36903</v>
      </c>
      <c r="B863" s="51">
        <f ca="1">IFERROR(__xludf.DUMMYFUNCTION("""COMPUTED_VALUE"""),44628)</f>
        <v>44628</v>
      </c>
      <c r="C863" s="22">
        <f ca="1">IFERROR(__xludf.DUMMYFUNCTION("""COMPUTED_VALUE"""),72211.9520749999)</f>
        <v>72211.952074999906</v>
      </c>
      <c r="D863" s="22">
        <f ca="1">IFERROR(__xludf.DUMMYFUNCTION("""COMPUTED_VALUE"""),338837.5900075)</f>
        <v>338837.59000750002</v>
      </c>
      <c r="E863" s="22">
        <f ca="1">IFERROR(__xludf.DUMMYFUNCTION("""COMPUTED_VALUE"""),411049.542082499)</f>
        <v>411049.54208249901</v>
      </c>
      <c r="F863" s="22">
        <f ca="1">IFERROR(__xludf.DUMMYFUNCTION("""COMPUTED_VALUE"""),72211.9520749999)</f>
        <v>72211.952074999906</v>
      </c>
      <c r="G863" s="22">
        <f ca="1">IFERROR(__xludf.DUMMYFUNCTION("""COMPUTED_VALUE"""),0)</f>
        <v>0</v>
      </c>
      <c r="H863" s="7">
        <f ca="1">IFERROR(__xludf.DUMMYFUNCTION("""COMPUTED_VALUE"""),405360.493182499)</f>
        <v>405360.49318249902</v>
      </c>
    </row>
    <row r="864" spans="1:8" ht="13" x14ac:dyDescent="0.15">
      <c r="A864" s="5" t="str">
        <f ca="1">IFERROR(__xludf.DUMMYFUNCTION("""COMPUTED_VALUE"""),"36903")</f>
        <v>36903</v>
      </c>
      <c r="B864" s="51">
        <f ca="1">IFERROR(__xludf.DUMMYFUNCTION("""COMPUTED_VALUE"""),44629)</f>
        <v>44629</v>
      </c>
      <c r="C864" s="22">
        <f ca="1">IFERROR(__xludf.DUMMYFUNCTION("""COMPUTED_VALUE"""),72211.9520749999)</f>
        <v>72211.952074999906</v>
      </c>
      <c r="D864" s="22">
        <f ca="1">IFERROR(__xludf.DUMMYFUNCTION("""COMPUTED_VALUE"""),374485.11415)</f>
        <v>374485.11414999998</v>
      </c>
      <c r="E864" s="22">
        <f ca="1">IFERROR(__xludf.DUMMYFUNCTION("""COMPUTED_VALUE"""),446697.066224999)</f>
        <v>446697.06622499903</v>
      </c>
      <c r="F864" s="22">
        <f ca="1">IFERROR(__xludf.DUMMYFUNCTION("""COMPUTED_VALUE"""),72211.9520749999)</f>
        <v>72211.952074999906</v>
      </c>
      <c r="G864" s="22">
        <f ca="1">IFERROR(__xludf.DUMMYFUNCTION("""COMPUTED_VALUE"""),0)</f>
        <v>0</v>
      </c>
      <c r="H864" s="7">
        <f ca="1">IFERROR(__xludf.DUMMYFUNCTION("""COMPUTED_VALUE"""),442231.413424999)</f>
        <v>442231.41342499899</v>
      </c>
    </row>
    <row r="865" spans="1:8" ht="13" x14ac:dyDescent="0.15">
      <c r="A865" s="5" t="str">
        <f ca="1">IFERROR(__xludf.DUMMYFUNCTION("""COMPUTED_VALUE"""),"36903")</f>
        <v>36903</v>
      </c>
      <c r="B865" s="51">
        <f ca="1">IFERROR(__xludf.DUMMYFUNCTION("""COMPUTED_VALUE"""),44630)</f>
        <v>44630</v>
      </c>
      <c r="C865" s="22">
        <f ca="1">IFERROR(__xludf.DUMMYFUNCTION("""COMPUTED_VALUE"""),72211.9520749999)</f>
        <v>72211.952074999906</v>
      </c>
      <c r="D865" s="22">
        <f ca="1">IFERROR(__xludf.DUMMYFUNCTION("""COMPUTED_VALUE"""),371270.968705)</f>
        <v>371270.96870500001</v>
      </c>
      <c r="E865" s="22">
        <f ca="1">IFERROR(__xludf.DUMMYFUNCTION("""COMPUTED_VALUE"""),443482.92078)</f>
        <v>443482.92077999999</v>
      </c>
      <c r="F865" s="22">
        <f ca="1">IFERROR(__xludf.DUMMYFUNCTION("""COMPUTED_VALUE"""),72211.9520749999)</f>
        <v>72211.952074999906</v>
      </c>
      <c r="G865" s="22">
        <f ca="1">IFERROR(__xludf.DUMMYFUNCTION("""COMPUTED_VALUE"""),0)</f>
        <v>0</v>
      </c>
      <c r="H865" s="7">
        <f ca="1">IFERROR(__xludf.DUMMYFUNCTION("""COMPUTED_VALUE"""),439019.912579999)</f>
        <v>439019.91257999901</v>
      </c>
    </row>
    <row r="866" spans="1:8" ht="13" x14ac:dyDescent="0.15">
      <c r="A866" s="5" t="str">
        <f ca="1">IFERROR(__xludf.DUMMYFUNCTION("""COMPUTED_VALUE"""),"36903")</f>
        <v>36903</v>
      </c>
      <c r="B866" s="51">
        <f ca="1">IFERROR(__xludf.DUMMYFUNCTION("""COMPUTED_VALUE"""),44631)</f>
        <v>44631</v>
      </c>
      <c r="C866" s="22">
        <f ca="1">IFERROR(__xludf.DUMMYFUNCTION("""COMPUTED_VALUE"""),72211.9520749999)</f>
        <v>72211.952074999906</v>
      </c>
      <c r="D866" s="22">
        <f ca="1">IFERROR(__xludf.DUMMYFUNCTION("""COMPUTED_VALUE"""),355914.13725)</f>
        <v>355914.13725000003</v>
      </c>
      <c r="E866" s="22">
        <f ca="1">IFERROR(__xludf.DUMMYFUNCTION("""COMPUTED_VALUE"""),428126.089324999)</f>
        <v>428126.08932499902</v>
      </c>
      <c r="F866" s="22">
        <f ca="1">IFERROR(__xludf.DUMMYFUNCTION("""COMPUTED_VALUE"""),72211.9520749999)</f>
        <v>72211.952074999906</v>
      </c>
      <c r="G866" s="22">
        <f ca="1">IFERROR(__xludf.DUMMYFUNCTION("""COMPUTED_VALUE"""),0)</f>
        <v>0</v>
      </c>
      <c r="H866" s="7">
        <f ca="1">IFERROR(__xludf.DUMMYFUNCTION("""COMPUTED_VALUE"""),422380.858925)</f>
        <v>422380.85892500001</v>
      </c>
    </row>
    <row r="867" spans="1:8" ht="13" x14ac:dyDescent="0.15">
      <c r="A867" s="5" t="str">
        <f ca="1">IFERROR(__xludf.DUMMYFUNCTION("""COMPUTED_VALUE"""),"36903")</f>
        <v>36903</v>
      </c>
      <c r="B867" s="51">
        <f ca="1">IFERROR(__xludf.DUMMYFUNCTION("""COMPUTED_VALUE"""),44632)</f>
        <v>44632</v>
      </c>
      <c r="C867" s="22">
        <f ca="1">IFERROR(__xludf.DUMMYFUNCTION("""COMPUTED_VALUE"""),72211.9520749999)</f>
        <v>72211.952074999906</v>
      </c>
      <c r="D867" s="22">
        <f ca="1">IFERROR(__xludf.DUMMYFUNCTION("""COMPUTED_VALUE"""),355914.13725)</f>
        <v>355914.13725000003</v>
      </c>
      <c r="E867" s="22">
        <f ca="1">IFERROR(__xludf.DUMMYFUNCTION("""COMPUTED_VALUE"""),428126.089324999)</f>
        <v>428126.08932499902</v>
      </c>
      <c r="F867" s="22">
        <f ca="1">IFERROR(__xludf.DUMMYFUNCTION("""COMPUTED_VALUE"""),72211.9520749999)</f>
        <v>72211.952074999906</v>
      </c>
      <c r="G867" s="22">
        <f ca="1">IFERROR(__xludf.DUMMYFUNCTION("""COMPUTED_VALUE"""),0)</f>
        <v>0</v>
      </c>
      <c r="H867" s="7">
        <f ca="1">IFERROR(__xludf.DUMMYFUNCTION("""COMPUTED_VALUE"""),422380.858925)</f>
        <v>422380.85892500001</v>
      </c>
    </row>
    <row r="868" spans="1:8" ht="13" x14ac:dyDescent="0.15">
      <c r="A868" s="5" t="str">
        <f ca="1">IFERROR(__xludf.DUMMYFUNCTION("""COMPUTED_VALUE"""),"36903")</f>
        <v>36903</v>
      </c>
      <c r="B868" s="51">
        <f ca="1">IFERROR(__xludf.DUMMYFUNCTION("""COMPUTED_VALUE"""),44633)</f>
        <v>44633</v>
      </c>
      <c r="C868" s="22">
        <f ca="1">IFERROR(__xludf.DUMMYFUNCTION("""COMPUTED_VALUE"""),72211.9520749999)</f>
        <v>72211.952074999906</v>
      </c>
      <c r="D868" s="22">
        <f ca="1">IFERROR(__xludf.DUMMYFUNCTION("""COMPUTED_VALUE"""),355890.550369)</f>
        <v>355890.550369</v>
      </c>
      <c r="E868" s="22">
        <f ca="1">IFERROR(__xludf.DUMMYFUNCTION("""COMPUTED_VALUE"""),428102.502444)</f>
        <v>428102.50244399998</v>
      </c>
      <c r="F868" s="22">
        <f ca="1">IFERROR(__xludf.DUMMYFUNCTION("""COMPUTED_VALUE"""),72211.9520749999)</f>
        <v>72211.952074999906</v>
      </c>
      <c r="G868" s="22">
        <f ca="1">IFERROR(__xludf.DUMMYFUNCTION("""COMPUTED_VALUE"""),0)</f>
        <v>0</v>
      </c>
      <c r="H868" s="7">
        <f ca="1">IFERROR(__xludf.DUMMYFUNCTION("""COMPUTED_VALUE"""),422350.893643999)</f>
        <v>422350.89364399901</v>
      </c>
    </row>
    <row r="869" spans="1:8" ht="13" x14ac:dyDescent="0.15">
      <c r="A869" s="5" t="str">
        <f ca="1">IFERROR(__xludf.DUMMYFUNCTION("""COMPUTED_VALUE"""),"36903")</f>
        <v>36903</v>
      </c>
      <c r="B869" s="51">
        <f ca="1">IFERROR(__xludf.DUMMYFUNCTION("""COMPUTED_VALUE"""),44634)</f>
        <v>44634</v>
      </c>
      <c r="C869" s="22">
        <f ca="1">IFERROR(__xludf.DUMMYFUNCTION("""COMPUTED_VALUE"""),38871.9520749999)</f>
        <v>38871.952074999899</v>
      </c>
      <c r="D869" s="22">
        <f ca="1">IFERROR(__xludf.DUMMYFUNCTION("""COMPUTED_VALUE"""),379462.530325)</f>
        <v>379462.530325</v>
      </c>
      <c r="E869" s="22">
        <f ca="1">IFERROR(__xludf.DUMMYFUNCTION("""COMPUTED_VALUE"""),418334.482399999)</f>
        <v>418334.48239999899</v>
      </c>
      <c r="F869" s="22">
        <f ca="1">IFERROR(__xludf.DUMMYFUNCTION("""COMPUTED_VALUE"""),38871.9520749999)</f>
        <v>38871.952074999899</v>
      </c>
      <c r="G869" s="22">
        <f ca="1">IFERROR(__xludf.DUMMYFUNCTION("""COMPUTED_VALUE"""),0)</f>
        <v>0</v>
      </c>
      <c r="H869" s="7">
        <f ca="1">IFERROR(__xludf.DUMMYFUNCTION("""COMPUTED_VALUE"""),418334.482399999)</f>
        <v>418334.48239999899</v>
      </c>
    </row>
    <row r="870" spans="1:8" ht="13" x14ac:dyDescent="0.15">
      <c r="A870" s="5" t="str">
        <f ca="1">IFERROR(__xludf.DUMMYFUNCTION("""COMPUTED_VALUE"""),"36903")</f>
        <v>36903</v>
      </c>
      <c r="B870" s="51">
        <f ca="1">IFERROR(__xludf.DUMMYFUNCTION("""COMPUTED_VALUE"""),44635)</f>
        <v>44635</v>
      </c>
      <c r="C870" s="22">
        <f ca="1">IFERROR(__xludf.DUMMYFUNCTION("""COMPUTED_VALUE"""),38871.9520749999)</f>
        <v>38871.952074999899</v>
      </c>
      <c r="D870" s="22">
        <f ca="1">IFERROR(__xludf.DUMMYFUNCTION("""COMPUTED_VALUE"""),392040.508855)</f>
        <v>392040.50885500002</v>
      </c>
      <c r="E870" s="22">
        <f ca="1">IFERROR(__xludf.DUMMYFUNCTION("""COMPUTED_VALUE"""),430912.460929999)</f>
        <v>430912.46092999901</v>
      </c>
      <c r="F870" s="22">
        <f ca="1">IFERROR(__xludf.DUMMYFUNCTION("""COMPUTED_VALUE"""),38871.9520749999)</f>
        <v>38871.952074999899</v>
      </c>
      <c r="G870" s="22">
        <f ca="1">IFERROR(__xludf.DUMMYFUNCTION("""COMPUTED_VALUE"""),0)</f>
        <v>0</v>
      </c>
      <c r="H870" s="7">
        <f ca="1">IFERROR(__xludf.DUMMYFUNCTION("""COMPUTED_VALUE"""),429812.460929999)</f>
        <v>429812.46092999901</v>
      </c>
    </row>
    <row r="871" spans="1:8" ht="13" x14ac:dyDescent="0.15">
      <c r="A871" s="5" t="str">
        <f ca="1">IFERROR(__xludf.DUMMYFUNCTION("""COMPUTED_VALUE"""),"36903")</f>
        <v>36903</v>
      </c>
      <c r="B871" s="51">
        <f ca="1">IFERROR(__xludf.DUMMYFUNCTION("""COMPUTED_VALUE"""),44636)</f>
        <v>44636</v>
      </c>
      <c r="C871" s="22">
        <f ca="1">IFERROR(__xludf.DUMMYFUNCTION("""COMPUTED_VALUE"""),38871.9520749999)</f>
        <v>38871.952074999899</v>
      </c>
      <c r="D871" s="22">
        <f ca="1">IFERROR(__xludf.DUMMYFUNCTION("""COMPUTED_VALUE"""),416170.781544999)</f>
        <v>416170.78154499899</v>
      </c>
      <c r="E871" s="22">
        <f ca="1">IFERROR(__xludf.DUMMYFUNCTION("""COMPUTED_VALUE"""),455042.733619999)</f>
        <v>455042.73361999902</v>
      </c>
      <c r="F871" s="22">
        <f ca="1">IFERROR(__xludf.DUMMYFUNCTION("""COMPUTED_VALUE"""),38871.9520749999)</f>
        <v>38871.952074999899</v>
      </c>
      <c r="G871" s="22">
        <f ca="1">IFERROR(__xludf.DUMMYFUNCTION("""COMPUTED_VALUE"""),0)</f>
        <v>0</v>
      </c>
      <c r="H871" s="7">
        <f ca="1">IFERROR(__xludf.DUMMYFUNCTION("""COMPUTED_VALUE"""),457742.733619999)</f>
        <v>457742.73361999902</v>
      </c>
    </row>
    <row r="872" spans="1:8" ht="13" x14ac:dyDescent="0.15">
      <c r="A872" s="5" t="str">
        <f ca="1">IFERROR(__xludf.DUMMYFUNCTION("""COMPUTED_VALUE"""),"36903")</f>
        <v>36903</v>
      </c>
      <c r="B872" s="51">
        <f ca="1">IFERROR(__xludf.DUMMYFUNCTION("""COMPUTED_VALUE"""),44637)</f>
        <v>44637</v>
      </c>
      <c r="C872" s="22">
        <f ca="1">IFERROR(__xludf.DUMMYFUNCTION("""COMPUTED_VALUE"""),38871.9520749999)</f>
        <v>38871.952074999899</v>
      </c>
      <c r="D872" s="22">
        <f ca="1">IFERROR(__xludf.DUMMYFUNCTION("""COMPUTED_VALUE"""),434624.69164)</f>
        <v>434624.69163999998</v>
      </c>
      <c r="E872" s="22">
        <f ca="1">IFERROR(__xludf.DUMMYFUNCTION("""COMPUTED_VALUE"""),473496.643714999)</f>
        <v>473496.64371499902</v>
      </c>
      <c r="F872" s="22">
        <f ca="1">IFERROR(__xludf.DUMMYFUNCTION("""COMPUTED_VALUE"""),38871.9520749999)</f>
        <v>38871.952074999899</v>
      </c>
      <c r="G872" s="22">
        <f ca="1">IFERROR(__xludf.DUMMYFUNCTION("""COMPUTED_VALUE"""),0)</f>
        <v>0</v>
      </c>
      <c r="H872" s="7">
        <f ca="1">IFERROR(__xludf.DUMMYFUNCTION("""COMPUTED_VALUE"""),478416.643714999)</f>
        <v>478416.64371499902</v>
      </c>
    </row>
    <row r="873" spans="1:8" ht="13" x14ac:dyDescent="0.15">
      <c r="A873" s="5" t="str">
        <f ca="1">IFERROR(__xludf.DUMMYFUNCTION("""COMPUTED_VALUE"""),"36903")</f>
        <v>36903</v>
      </c>
      <c r="B873" s="51">
        <f ca="1">IFERROR(__xludf.DUMMYFUNCTION("""COMPUTED_VALUE"""),44638)</f>
        <v>44638</v>
      </c>
      <c r="C873" s="22">
        <f ca="1">IFERROR(__xludf.DUMMYFUNCTION("""COMPUTED_VALUE"""),38871.9520749999)</f>
        <v>38871.952074999899</v>
      </c>
      <c r="D873" s="22">
        <f ca="1">IFERROR(__xludf.DUMMYFUNCTION("""COMPUTED_VALUE"""),444171.002364999)</f>
        <v>444171.00236499897</v>
      </c>
      <c r="E873" s="22">
        <f ca="1">IFERROR(__xludf.DUMMYFUNCTION("""COMPUTED_VALUE"""),483042.954439999)</f>
        <v>483042.95443999901</v>
      </c>
      <c r="F873" s="22">
        <f ca="1">IFERROR(__xludf.DUMMYFUNCTION("""COMPUTED_VALUE"""),38871.9520749999)</f>
        <v>38871.952074999899</v>
      </c>
      <c r="G873" s="22">
        <f ca="1">IFERROR(__xludf.DUMMYFUNCTION("""COMPUTED_VALUE"""),0)</f>
        <v>0</v>
      </c>
      <c r="H873" s="7">
        <f ca="1">IFERROR(__xludf.DUMMYFUNCTION("""COMPUTED_VALUE"""),487562.954439999)</f>
        <v>487562.95443999901</v>
      </c>
    </row>
    <row r="874" spans="1:8" ht="13" x14ac:dyDescent="0.15">
      <c r="A874" s="5" t="str">
        <f ca="1">IFERROR(__xludf.DUMMYFUNCTION("""COMPUTED_VALUE"""),"36903")</f>
        <v>36903</v>
      </c>
      <c r="B874" s="51">
        <f ca="1">IFERROR(__xludf.DUMMYFUNCTION("""COMPUTED_VALUE"""),44639)</f>
        <v>44639</v>
      </c>
      <c r="C874" s="22">
        <f ca="1">IFERROR(__xludf.DUMMYFUNCTION("""COMPUTED_VALUE"""),38871.9520749999)</f>
        <v>38871.952074999899</v>
      </c>
      <c r="D874" s="22">
        <f ca="1">IFERROR(__xludf.DUMMYFUNCTION("""COMPUTED_VALUE"""),444171.002364999)</f>
        <v>444171.00236499897</v>
      </c>
      <c r="E874" s="22">
        <f ca="1">IFERROR(__xludf.DUMMYFUNCTION("""COMPUTED_VALUE"""),483042.954439999)</f>
        <v>483042.95443999901</v>
      </c>
      <c r="F874" s="22">
        <f ca="1">IFERROR(__xludf.DUMMYFUNCTION("""COMPUTED_VALUE"""),38871.9520749999)</f>
        <v>38871.952074999899</v>
      </c>
      <c r="G874" s="22">
        <f ca="1">IFERROR(__xludf.DUMMYFUNCTION("""COMPUTED_VALUE"""),0)</f>
        <v>0</v>
      </c>
      <c r="H874" s="7">
        <f ca="1">IFERROR(__xludf.DUMMYFUNCTION("""COMPUTED_VALUE"""),487562.954439999)</f>
        <v>487562.95443999901</v>
      </c>
    </row>
    <row r="875" spans="1:8" ht="13" x14ac:dyDescent="0.15">
      <c r="A875" s="5" t="str">
        <f ca="1">IFERROR(__xludf.DUMMYFUNCTION("""COMPUTED_VALUE"""),"36903")</f>
        <v>36903</v>
      </c>
      <c r="B875" s="51">
        <f ca="1">IFERROR(__xludf.DUMMYFUNCTION("""COMPUTED_VALUE"""),44640)</f>
        <v>44640</v>
      </c>
      <c r="C875" s="22">
        <f ca="1">IFERROR(__xludf.DUMMYFUNCTION("""COMPUTED_VALUE"""),38871.9520749999)</f>
        <v>38871.952074999899</v>
      </c>
      <c r="D875" s="22">
        <f ca="1">IFERROR(__xludf.DUMMYFUNCTION("""COMPUTED_VALUE"""),444081.4852615)</f>
        <v>444081.4852615</v>
      </c>
      <c r="E875" s="22">
        <f ca="1">IFERROR(__xludf.DUMMYFUNCTION("""COMPUTED_VALUE"""),482953.437336499)</f>
        <v>482953.43733649899</v>
      </c>
      <c r="F875" s="22">
        <f ca="1">IFERROR(__xludf.DUMMYFUNCTION("""COMPUTED_VALUE"""),38871.9520749999)</f>
        <v>38871.952074999899</v>
      </c>
      <c r="G875" s="22">
        <f ca="1">IFERROR(__xludf.DUMMYFUNCTION("""COMPUTED_VALUE"""),0)</f>
        <v>0</v>
      </c>
      <c r="H875" s="7">
        <f ca="1">IFERROR(__xludf.DUMMYFUNCTION("""COMPUTED_VALUE"""),487473.437336499)</f>
        <v>487473.43733649899</v>
      </c>
    </row>
    <row r="876" spans="1:8" ht="13" x14ac:dyDescent="0.15">
      <c r="A876" s="5" t="str">
        <f ca="1">IFERROR(__xludf.DUMMYFUNCTION("""COMPUTED_VALUE"""),"36903")</f>
        <v>36903</v>
      </c>
      <c r="B876" s="51">
        <f ca="1">IFERROR(__xludf.DUMMYFUNCTION("""COMPUTED_VALUE"""),44641)</f>
        <v>44641</v>
      </c>
      <c r="C876" s="22">
        <f ca="1">IFERROR(__xludf.DUMMYFUNCTION("""COMPUTED_VALUE"""),38871.9520749999)</f>
        <v>38871.952074999899</v>
      </c>
      <c r="D876" s="22">
        <f ca="1">IFERROR(__xludf.DUMMYFUNCTION("""COMPUTED_VALUE"""),439040.282165)</f>
        <v>439040.28216499998</v>
      </c>
      <c r="E876" s="22">
        <f ca="1">IFERROR(__xludf.DUMMYFUNCTION("""COMPUTED_VALUE"""),477912.234239999)</f>
        <v>477912.23423999897</v>
      </c>
      <c r="F876" s="22">
        <f ca="1">IFERROR(__xludf.DUMMYFUNCTION("""COMPUTED_VALUE"""),38871.9520749999)</f>
        <v>38871.952074999899</v>
      </c>
      <c r="G876" s="22">
        <f ca="1">IFERROR(__xludf.DUMMYFUNCTION("""COMPUTED_VALUE"""),0)</f>
        <v>0</v>
      </c>
      <c r="H876" s="7">
        <f ca="1">IFERROR(__xludf.DUMMYFUNCTION("""COMPUTED_VALUE"""),481992.234239999)</f>
        <v>481992.23423999897</v>
      </c>
    </row>
    <row r="877" spans="1:8" ht="13" x14ac:dyDescent="0.15">
      <c r="A877" s="5" t="str">
        <f ca="1">IFERROR(__xludf.DUMMYFUNCTION("""COMPUTED_VALUE"""),"36903")</f>
        <v>36903</v>
      </c>
      <c r="B877" s="51">
        <f ca="1">IFERROR(__xludf.DUMMYFUNCTION("""COMPUTED_VALUE"""),44642)</f>
        <v>44642</v>
      </c>
      <c r="C877" s="22">
        <f ca="1">IFERROR(__xludf.DUMMYFUNCTION("""COMPUTED_VALUE"""),38871.9520749999)</f>
        <v>38871.952074999899</v>
      </c>
      <c r="D877" s="22">
        <f ca="1">IFERROR(__xludf.DUMMYFUNCTION("""COMPUTED_VALUE"""),443147.361575)</f>
        <v>443147.36157499999</v>
      </c>
      <c r="E877" s="22">
        <f ca="1">IFERROR(__xludf.DUMMYFUNCTION("""COMPUTED_VALUE"""),482019.313649999)</f>
        <v>482019.31364999898</v>
      </c>
      <c r="F877" s="22">
        <f ca="1">IFERROR(__xludf.DUMMYFUNCTION("""COMPUTED_VALUE"""),38871.9520749999)</f>
        <v>38871.952074999899</v>
      </c>
      <c r="G877" s="22">
        <f ca="1">IFERROR(__xludf.DUMMYFUNCTION("""COMPUTED_VALUE"""),0)</f>
        <v>0</v>
      </c>
      <c r="H877" s="7">
        <f ca="1">IFERROR(__xludf.DUMMYFUNCTION("""COMPUTED_VALUE"""),486679.313649999)</f>
        <v>486679.31364999898</v>
      </c>
    </row>
    <row r="878" spans="1:8" ht="13" x14ac:dyDescent="0.15">
      <c r="A878" s="5" t="str">
        <f ca="1">IFERROR(__xludf.DUMMYFUNCTION("""COMPUTED_VALUE"""),"37198")</f>
        <v>37198</v>
      </c>
      <c r="B878" s="51">
        <f ca="1">IFERROR(__xludf.DUMMYFUNCTION("""COMPUTED_VALUE"""),44597)</f>
        <v>44597</v>
      </c>
      <c r="C878" s="22">
        <f ca="1">IFERROR(__xludf.DUMMYFUNCTION("""COMPUTED_VALUE"""),500000)</f>
        <v>500000</v>
      </c>
      <c r="D878" s="22">
        <f ca="1">IFERROR(__xludf.DUMMYFUNCTION("""COMPUTED_VALUE"""),0)</f>
        <v>0</v>
      </c>
      <c r="E878" s="22">
        <f ca="1">IFERROR(__xludf.DUMMYFUNCTION("""COMPUTED_VALUE"""),500000)</f>
        <v>500000</v>
      </c>
      <c r="F878" s="22">
        <f ca="1">IFERROR(__xludf.DUMMYFUNCTION("""COMPUTED_VALUE"""),500000)</f>
        <v>500000</v>
      </c>
      <c r="G878" s="22">
        <f ca="1">IFERROR(__xludf.DUMMYFUNCTION("""COMPUTED_VALUE"""),0)</f>
        <v>0</v>
      </c>
      <c r="H878" s="7">
        <f ca="1">IFERROR(__xludf.DUMMYFUNCTION("""COMPUTED_VALUE"""),500000)</f>
        <v>500000</v>
      </c>
    </row>
    <row r="879" spans="1:8" ht="13" x14ac:dyDescent="0.15">
      <c r="A879" s="5" t="str">
        <f ca="1">IFERROR(__xludf.DUMMYFUNCTION("""COMPUTED_VALUE"""),"37198")</f>
        <v>37198</v>
      </c>
      <c r="B879" s="51">
        <f ca="1">IFERROR(__xludf.DUMMYFUNCTION("""COMPUTED_VALUE"""),44598)</f>
        <v>44598</v>
      </c>
      <c r="C879" s="22">
        <f ca="1">IFERROR(__xludf.DUMMYFUNCTION("""COMPUTED_VALUE"""),500000)</f>
        <v>500000</v>
      </c>
      <c r="D879" s="22">
        <f ca="1">IFERROR(__xludf.DUMMYFUNCTION("""COMPUTED_VALUE"""),0)</f>
        <v>0</v>
      </c>
      <c r="E879" s="22">
        <f ca="1">IFERROR(__xludf.DUMMYFUNCTION("""COMPUTED_VALUE"""),500000)</f>
        <v>500000</v>
      </c>
      <c r="F879" s="22">
        <f ca="1">IFERROR(__xludf.DUMMYFUNCTION("""COMPUTED_VALUE"""),500000)</f>
        <v>500000</v>
      </c>
      <c r="G879" s="22">
        <f ca="1">IFERROR(__xludf.DUMMYFUNCTION("""COMPUTED_VALUE"""),0)</f>
        <v>0</v>
      </c>
      <c r="H879" s="7">
        <f ca="1">IFERROR(__xludf.DUMMYFUNCTION("""COMPUTED_VALUE"""),500000)</f>
        <v>500000</v>
      </c>
    </row>
    <row r="880" spans="1:8" ht="13" x14ac:dyDescent="0.15">
      <c r="A880" s="5" t="str">
        <f ca="1">IFERROR(__xludf.DUMMYFUNCTION("""COMPUTED_VALUE"""),"37198")</f>
        <v>37198</v>
      </c>
      <c r="B880" s="51">
        <f ca="1">IFERROR(__xludf.DUMMYFUNCTION("""COMPUTED_VALUE"""),44599)</f>
        <v>44599</v>
      </c>
      <c r="C880" s="22">
        <f ca="1">IFERROR(__xludf.DUMMYFUNCTION("""COMPUTED_VALUE"""),500000)</f>
        <v>500000</v>
      </c>
      <c r="D880" s="22">
        <f ca="1">IFERROR(__xludf.DUMMYFUNCTION("""COMPUTED_VALUE"""),0)</f>
        <v>0</v>
      </c>
      <c r="E880" s="22">
        <f ca="1">IFERROR(__xludf.DUMMYFUNCTION("""COMPUTED_VALUE"""),500000)</f>
        <v>500000</v>
      </c>
      <c r="F880" s="22">
        <f ca="1">IFERROR(__xludf.DUMMYFUNCTION("""COMPUTED_VALUE"""),500000)</f>
        <v>500000</v>
      </c>
      <c r="G880" s="22">
        <f ca="1">IFERROR(__xludf.DUMMYFUNCTION("""COMPUTED_VALUE"""),0)</f>
        <v>0</v>
      </c>
      <c r="H880" s="7">
        <f ca="1">IFERROR(__xludf.DUMMYFUNCTION("""COMPUTED_VALUE"""),500000)</f>
        <v>500000</v>
      </c>
    </row>
    <row r="881" spans="1:8" ht="13" x14ac:dyDescent="0.15">
      <c r="A881" s="5" t="str">
        <f ca="1">IFERROR(__xludf.DUMMYFUNCTION("""COMPUTED_VALUE"""),"37198")</f>
        <v>37198</v>
      </c>
      <c r="B881" s="51">
        <f ca="1">IFERROR(__xludf.DUMMYFUNCTION("""COMPUTED_VALUE"""),44600)</f>
        <v>44600</v>
      </c>
      <c r="C881" s="22">
        <f ca="1">IFERROR(__xludf.DUMMYFUNCTION("""COMPUTED_VALUE"""),500000)</f>
        <v>500000</v>
      </c>
      <c r="D881" s="22">
        <f ca="1">IFERROR(__xludf.DUMMYFUNCTION("""COMPUTED_VALUE"""),0)</f>
        <v>0</v>
      </c>
      <c r="E881" s="22">
        <f ca="1">IFERROR(__xludf.DUMMYFUNCTION("""COMPUTED_VALUE"""),500000)</f>
        <v>500000</v>
      </c>
      <c r="F881" s="22">
        <f ca="1">IFERROR(__xludf.DUMMYFUNCTION("""COMPUTED_VALUE"""),500000)</f>
        <v>500000</v>
      </c>
      <c r="G881" s="22">
        <f ca="1">IFERROR(__xludf.DUMMYFUNCTION("""COMPUTED_VALUE"""),0)</f>
        <v>0</v>
      </c>
      <c r="H881" s="7">
        <f ca="1">IFERROR(__xludf.DUMMYFUNCTION("""COMPUTED_VALUE"""),500000)</f>
        <v>500000</v>
      </c>
    </row>
    <row r="882" spans="1:8" ht="13" x14ac:dyDescent="0.15">
      <c r="A882" s="5" t="str">
        <f ca="1">IFERROR(__xludf.DUMMYFUNCTION("""COMPUTED_VALUE"""),"37198")</f>
        <v>37198</v>
      </c>
      <c r="B882" s="51">
        <f ca="1">IFERROR(__xludf.DUMMYFUNCTION("""COMPUTED_VALUE"""),44601)</f>
        <v>44601</v>
      </c>
      <c r="C882" s="22">
        <f ca="1">IFERROR(__xludf.DUMMYFUNCTION("""COMPUTED_VALUE"""),500000)</f>
        <v>500000</v>
      </c>
      <c r="D882" s="22">
        <f ca="1">IFERROR(__xludf.DUMMYFUNCTION("""COMPUTED_VALUE"""),0)</f>
        <v>0</v>
      </c>
      <c r="E882" s="22">
        <f ca="1">IFERROR(__xludf.DUMMYFUNCTION("""COMPUTED_VALUE"""),500000)</f>
        <v>500000</v>
      </c>
      <c r="F882" s="22">
        <f ca="1">IFERROR(__xludf.DUMMYFUNCTION("""COMPUTED_VALUE"""),500000)</f>
        <v>500000</v>
      </c>
      <c r="G882" s="22">
        <f ca="1">IFERROR(__xludf.DUMMYFUNCTION("""COMPUTED_VALUE"""),0)</f>
        <v>0</v>
      </c>
      <c r="H882" s="7">
        <f ca="1">IFERROR(__xludf.DUMMYFUNCTION("""COMPUTED_VALUE"""),500000)</f>
        <v>500000</v>
      </c>
    </row>
    <row r="883" spans="1:8" ht="13" x14ac:dyDescent="0.15">
      <c r="A883" s="5" t="str">
        <f ca="1">IFERROR(__xludf.DUMMYFUNCTION("""COMPUTED_VALUE"""),"37198")</f>
        <v>37198</v>
      </c>
      <c r="B883" s="51">
        <f ca="1">IFERROR(__xludf.DUMMYFUNCTION("""COMPUTED_VALUE"""),44602)</f>
        <v>44602</v>
      </c>
      <c r="C883" s="22">
        <f ca="1">IFERROR(__xludf.DUMMYFUNCTION("""COMPUTED_VALUE"""),500000)</f>
        <v>500000</v>
      </c>
      <c r="D883" s="22">
        <f ca="1">IFERROR(__xludf.DUMMYFUNCTION("""COMPUTED_VALUE"""),0)</f>
        <v>0</v>
      </c>
      <c r="E883" s="22">
        <f ca="1">IFERROR(__xludf.DUMMYFUNCTION("""COMPUTED_VALUE"""),500000)</f>
        <v>500000</v>
      </c>
      <c r="F883" s="22">
        <f ca="1">IFERROR(__xludf.DUMMYFUNCTION("""COMPUTED_VALUE"""),500000)</f>
        <v>500000</v>
      </c>
      <c r="G883" s="22">
        <f ca="1">IFERROR(__xludf.DUMMYFUNCTION("""COMPUTED_VALUE"""),0)</f>
        <v>0</v>
      </c>
      <c r="H883" s="7">
        <f ca="1">IFERROR(__xludf.DUMMYFUNCTION("""COMPUTED_VALUE"""),500000)</f>
        <v>500000</v>
      </c>
    </row>
    <row r="884" spans="1:8" ht="13" x14ac:dyDescent="0.15">
      <c r="A884" s="5" t="str">
        <f ca="1">IFERROR(__xludf.DUMMYFUNCTION("""COMPUTED_VALUE"""),"37198")</f>
        <v>37198</v>
      </c>
      <c r="B884" s="51">
        <f ca="1">IFERROR(__xludf.DUMMYFUNCTION("""COMPUTED_VALUE"""),44603)</f>
        <v>44603</v>
      </c>
      <c r="C884" s="22">
        <f ca="1">IFERROR(__xludf.DUMMYFUNCTION("""COMPUTED_VALUE"""),500000)</f>
        <v>500000</v>
      </c>
      <c r="D884" s="22">
        <f ca="1">IFERROR(__xludf.DUMMYFUNCTION("""COMPUTED_VALUE"""),0)</f>
        <v>0</v>
      </c>
      <c r="E884" s="22">
        <f ca="1">IFERROR(__xludf.DUMMYFUNCTION("""COMPUTED_VALUE"""),500000)</f>
        <v>500000</v>
      </c>
      <c r="F884" s="22">
        <f ca="1">IFERROR(__xludf.DUMMYFUNCTION("""COMPUTED_VALUE"""),500000)</f>
        <v>500000</v>
      </c>
      <c r="G884" s="22">
        <f ca="1">IFERROR(__xludf.DUMMYFUNCTION("""COMPUTED_VALUE"""),0)</f>
        <v>0</v>
      </c>
      <c r="H884" s="7">
        <f ca="1">IFERROR(__xludf.DUMMYFUNCTION("""COMPUTED_VALUE"""),500000)</f>
        <v>500000</v>
      </c>
    </row>
    <row r="885" spans="1:8" ht="13" x14ac:dyDescent="0.15">
      <c r="A885" s="5" t="str">
        <f ca="1">IFERROR(__xludf.DUMMYFUNCTION("""COMPUTED_VALUE"""),"37198")</f>
        <v>37198</v>
      </c>
      <c r="B885" s="51">
        <f ca="1">IFERROR(__xludf.DUMMYFUNCTION("""COMPUTED_VALUE"""),44604)</f>
        <v>44604</v>
      </c>
      <c r="C885" s="22">
        <f ca="1">IFERROR(__xludf.DUMMYFUNCTION("""COMPUTED_VALUE"""),500000)</f>
        <v>500000</v>
      </c>
      <c r="D885" s="22">
        <f ca="1">IFERROR(__xludf.DUMMYFUNCTION("""COMPUTED_VALUE"""),0)</f>
        <v>0</v>
      </c>
      <c r="E885" s="22">
        <f ca="1">IFERROR(__xludf.DUMMYFUNCTION("""COMPUTED_VALUE"""),500000)</f>
        <v>500000</v>
      </c>
      <c r="F885" s="22">
        <f ca="1">IFERROR(__xludf.DUMMYFUNCTION("""COMPUTED_VALUE"""),500000)</f>
        <v>500000</v>
      </c>
      <c r="G885" s="22">
        <f ca="1">IFERROR(__xludf.DUMMYFUNCTION("""COMPUTED_VALUE"""),0)</f>
        <v>0</v>
      </c>
      <c r="H885" s="7">
        <f ca="1">IFERROR(__xludf.DUMMYFUNCTION("""COMPUTED_VALUE"""),500000)</f>
        <v>500000</v>
      </c>
    </row>
    <row r="886" spans="1:8" ht="13" x14ac:dyDescent="0.15">
      <c r="A886" s="5" t="str">
        <f ca="1">IFERROR(__xludf.DUMMYFUNCTION("""COMPUTED_VALUE"""),"37198")</f>
        <v>37198</v>
      </c>
      <c r="B886" s="51">
        <f ca="1">IFERROR(__xludf.DUMMYFUNCTION("""COMPUTED_VALUE"""),44605)</f>
        <v>44605</v>
      </c>
      <c r="C886" s="22">
        <f ca="1">IFERROR(__xludf.DUMMYFUNCTION("""COMPUTED_VALUE"""),500000)</f>
        <v>500000</v>
      </c>
      <c r="D886" s="22">
        <f ca="1">IFERROR(__xludf.DUMMYFUNCTION("""COMPUTED_VALUE"""),0)</f>
        <v>0</v>
      </c>
      <c r="E886" s="22">
        <f ca="1">IFERROR(__xludf.DUMMYFUNCTION("""COMPUTED_VALUE"""),500000)</f>
        <v>500000</v>
      </c>
      <c r="F886" s="22">
        <f ca="1">IFERROR(__xludf.DUMMYFUNCTION("""COMPUTED_VALUE"""),500000)</f>
        <v>500000</v>
      </c>
      <c r="G886" s="22">
        <f ca="1">IFERROR(__xludf.DUMMYFUNCTION("""COMPUTED_VALUE"""),0)</f>
        <v>0</v>
      </c>
      <c r="H886" s="7">
        <f ca="1">IFERROR(__xludf.DUMMYFUNCTION("""COMPUTED_VALUE"""),500000)</f>
        <v>500000</v>
      </c>
    </row>
    <row r="887" spans="1:8" ht="13" x14ac:dyDescent="0.15">
      <c r="A887" s="5" t="str">
        <f ca="1">IFERROR(__xludf.DUMMYFUNCTION("""COMPUTED_VALUE"""),"37198")</f>
        <v>37198</v>
      </c>
      <c r="B887" s="51">
        <f ca="1">IFERROR(__xludf.DUMMYFUNCTION("""COMPUTED_VALUE"""),44606)</f>
        <v>44606</v>
      </c>
      <c r="C887" s="22">
        <f ca="1">IFERROR(__xludf.DUMMYFUNCTION("""COMPUTED_VALUE"""),500000)</f>
        <v>500000</v>
      </c>
      <c r="D887" s="22">
        <f ca="1">IFERROR(__xludf.DUMMYFUNCTION("""COMPUTED_VALUE"""),0)</f>
        <v>0</v>
      </c>
      <c r="E887" s="22">
        <f ca="1">IFERROR(__xludf.DUMMYFUNCTION("""COMPUTED_VALUE"""),500000)</f>
        <v>500000</v>
      </c>
      <c r="F887" s="22">
        <f ca="1">IFERROR(__xludf.DUMMYFUNCTION("""COMPUTED_VALUE"""),500000)</f>
        <v>500000</v>
      </c>
      <c r="G887" s="22">
        <f ca="1">IFERROR(__xludf.DUMMYFUNCTION("""COMPUTED_VALUE"""),0)</f>
        <v>0</v>
      </c>
      <c r="H887" s="7">
        <f ca="1">IFERROR(__xludf.DUMMYFUNCTION("""COMPUTED_VALUE"""),500000)</f>
        <v>500000</v>
      </c>
    </row>
    <row r="888" spans="1:8" ht="13" x14ac:dyDescent="0.15">
      <c r="A888" s="5" t="str">
        <f ca="1">IFERROR(__xludf.DUMMYFUNCTION("""COMPUTED_VALUE"""),"37198")</f>
        <v>37198</v>
      </c>
      <c r="B888" s="51">
        <f ca="1">IFERROR(__xludf.DUMMYFUNCTION("""COMPUTED_VALUE"""),44607)</f>
        <v>44607</v>
      </c>
      <c r="C888" s="22">
        <f ca="1">IFERROR(__xludf.DUMMYFUNCTION("""COMPUTED_VALUE"""),500000)</f>
        <v>500000</v>
      </c>
      <c r="D888" s="22">
        <f ca="1">IFERROR(__xludf.DUMMYFUNCTION("""COMPUTED_VALUE"""),0)</f>
        <v>0</v>
      </c>
      <c r="E888" s="22">
        <f ca="1">IFERROR(__xludf.DUMMYFUNCTION("""COMPUTED_VALUE"""),500000)</f>
        <v>500000</v>
      </c>
      <c r="F888" s="22">
        <f ca="1">IFERROR(__xludf.DUMMYFUNCTION("""COMPUTED_VALUE"""),500000)</f>
        <v>500000</v>
      </c>
      <c r="G888" s="22">
        <f ca="1">IFERROR(__xludf.DUMMYFUNCTION("""COMPUTED_VALUE"""),0)</f>
        <v>0</v>
      </c>
      <c r="H888" s="7">
        <f ca="1">IFERROR(__xludf.DUMMYFUNCTION("""COMPUTED_VALUE"""),500000)</f>
        <v>500000</v>
      </c>
    </row>
    <row r="889" spans="1:8" ht="13" x14ac:dyDescent="0.15">
      <c r="A889" s="5" t="str">
        <f ca="1">IFERROR(__xludf.DUMMYFUNCTION("""COMPUTED_VALUE"""),"37198")</f>
        <v>37198</v>
      </c>
      <c r="B889" s="51">
        <f ca="1">IFERROR(__xludf.DUMMYFUNCTION("""COMPUTED_VALUE"""),44608)</f>
        <v>44608</v>
      </c>
      <c r="C889" s="22">
        <f ca="1">IFERROR(__xludf.DUMMYFUNCTION("""COMPUTED_VALUE"""),500000)</f>
        <v>500000</v>
      </c>
      <c r="D889" s="22">
        <f ca="1">IFERROR(__xludf.DUMMYFUNCTION("""COMPUTED_VALUE"""),0)</f>
        <v>0</v>
      </c>
      <c r="E889" s="22">
        <f ca="1">IFERROR(__xludf.DUMMYFUNCTION("""COMPUTED_VALUE"""),500000)</f>
        <v>500000</v>
      </c>
      <c r="F889" s="22">
        <f ca="1">IFERROR(__xludf.DUMMYFUNCTION("""COMPUTED_VALUE"""),500000)</f>
        <v>500000</v>
      </c>
      <c r="G889" s="22">
        <f ca="1">IFERROR(__xludf.DUMMYFUNCTION("""COMPUTED_VALUE"""),0)</f>
        <v>0</v>
      </c>
      <c r="H889" s="7">
        <f ca="1">IFERROR(__xludf.DUMMYFUNCTION("""COMPUTED_VALUE"""),500000)</f>
        <v>500000</v>
      </c>
    </row>
    <row r="890" spans="1:8" ht="13" x14ac:dyDescent="0.15">
      <c r="A890" s="5" t="str">
        <f ca="1">IFERROR(__xludf.DUMMYFUNCTION("""COMPUTED_VALUE"""),"37198")</f>
        <v>37198</v>
      </c>
      <c r="B890" s="51">
        <f ca="1">IFERROR(__xludf.DUMMYFUNCTION("""COMPUTED_VALUE"""),44609)</f>
        <v>44609</v>
      </c>
      <c r="C890" s="22">
        <f ca="1">IFERROR(__xludf.DUMMYFUNCTION("""COMPUTED_VALUE"""),500000)</f>
        <v>500000</v>
      </c>
      <c r="D890" s="22">
        <f ca="1">IFERROR(__xludf.DUMMYFUNCTION("""COMPUTED_VALUE"""),0)</f>
        <v>0</v>
      </c>
      <c r="E890" s="22">
        <f ca="1">IFERROR(__xludf.DUMMYFUNCTION("""COMPUTED_VALUE"""),500000)</f>
        <v>500000</v>
      </c>
      <c r="F890" s="22">
        <f ca="1">IFERROR(__xludf.DUMMYFUNCTION("""COMPUTED_VALUE"""),500000)</f>
        <v>500000</v>
      </c>
      <c r="G890" s="22">
        <f ca="1">IFERROR(__xludf.DUMMYFUNCTION("""COMPUTED_VALUE"""),0)</f>
        <v>0</v>
      </c>
      <c r="H890" s="7">
        <f ca="1">IFERROR(__xludf.DUMMYFUNCTION("""COMPUTED_VALUE"""),500000)</f>
        <v>500000</v>
      </c>
    </row>
    <row r="891" spans="1:8" ht="13" x14ac:dyDescent="0.15">
      <c r="A891" s="5" t="str">
        <f ca="1">IFERROR(__xludf.DUMMYFUNCTION("""COMPUTED_VALUE"""),"37198")</f>
        <v>37198</v>
      </c>
      <c r="B891" s="51">
        <f ca="1">IFERROR(__xludf.DUMMYFUNCTION("""COMPUTED_VALUE"""),44610)</f>
        <v>44610</v>
      </c>
      <c r="C891" s="22">
        <f ca="1">IFERROR(__xludf.DUMMYFUNCTION("""COMPUTED_VALUE"""),500000)</f>
        <v>500000</v>
      </c>
      <c r="D891" s="22">
        <f ca="1">IFERROR(__xludf.DUMMYFUNCTION("""COMPUTED_VALUE"""),0)</f>
        <v>0</v>
      </c>
      <c r="E891" s="22">
        <f ca="1">IFERROR(__xludf.DUMMYFUNCTION("""COMPUTED_VALUE"""),500000)</f>
        <v>500000</v>
      </c>
      <c r="F891" s="22">
        <f ca="1">IFERROR(__xludf.DUMMYFUNCTION("""COMPUTED_VALUE"""),500000)</f>
        <v>500000</v>
      </c>
      <c r="G891" s="22">
        <f ca="1">IFERROR(__xludf.DUMMYFUNCTION("""COMPUTED_VALUE"""),0)</f>
        <v>0</v>
      </c>
      <c r="H891" s="7">
        <f ca="1">IFERROR(__xludf.DUMMYFUNCTION("""COMPUTED_VALUE"""),500000)</f>
        <v>500000</v>
      </c>
    </row>
    <row r="892" spans="1:8" ht="13" x14ac:dyDescent="0.15">
      <c r="A892" s="5" t="str">
        <f ca="1">IFERROR(__xludf.DUMMYFUNCTION("""COMPUTED_VALUE"""),"37198")</f>
        <v>37198</v>
      </c>
      <c r="B892" s="51">
        <f ca="1">IFERROR(__xludf.DUMMYFUNCTION("""COMPUTED_VALUE"""),44611)</f>
        <v>44611</v>
      </c>
      <c r="C892" s="22">
        <f ca="1">IFERROR(__xludf.DUMMYFUNCTION("""COMPUTED_VALUE"""),500000)</f>
        <v>500000</v>
      </c>
      <c r="D892" s="22">
        <f ca="1">IFERROR(__xludf.DUMMYFUNCTION("""COMPUTED_VALUE"""),0)</f>
        <v>0</v>
      </c>
      <c r="E892" s="22">
        <f ca="1">IFERROR(__xludf.DUMMYFUNCTION("""COMPUTED_VALUE"""),500000)</f>
        <v>500000</v>
      </c>
      <c r="F892" s="22">
        <f ca="1">IFERROR(__xludf.DUMMYFUNCTION("""COMPUTED_VALUE"""),500000)</f>
        <v>500000</v>
      </c>
      <c r="G892" s="22">
        <f ca="1">IFERROR(__xludf.DUMMYFUNCTION("""COMPUTED_VALUE"""),0)</f>
        <v>0</v>
      </c>
      <c r="H892" s="7">
        <f ca="1">IFERROR(__xludf.DUMMYFUNCTION("""COMPUTED_VALUE"""),500000)</f>
        <v>500000</v>
      </c>
    </row>
    <row r="893" spans="1:8" ht="13" x14ac:dyDescent="0.15">
      <c r="A893" s="5" t="str">
        <f ca="1">IFERROR(__xludf.DUMMYFUNCTION("""COMPUTED_VALUE"""),"37198")</f>
        <v>37198</v>
      </c>
      <c r="B893" s="51">
        <f ca="1">IFERROR(__xludf.DUMMYFUNCTION("""COMPUTED_VALUE"""),44612)</f>
        <v>44612</v>
      </c>
      <c r="C893" s="22">
        <f ca="1">IFERROR(__xludf.DUMMYFUNCTION("""COMPUTED_VALUE"""),500000)</f>
        <v>500000</v>
      </c>
      <c r="D893" s="22">
        <f ca="1">IFERROR(__xludf.DUMMYFUNCTION("""COMPUTED_VALUE"""),0)</f>
        <v>0</v>
      </c>
      <c r="E893" s="22">
        <f ca="1">IFERROR(__xludf.DUMMYFUNCTION("""COMPUTED_VALUE"""),500000)</f>
        <v>500000</v>
      </c>
      <c r="F893" s="22">
        <f ca="1">IFERROR(__xludf.DUMMYFUNCTION("""COMPUTED_VALUE"""),500000)</f>
        <v>500000</v>
      </c>
      <c r="G893" s="22">
        <f ca="1">IFERROR(__xludf.DUMMYFUNCTION("""COMPUTED_VALUE"""),0)</f>
        <v>0</v>
      </c>
      <c r="H893" s="7">
        <f ca="1">IFERROR(__xludf.DUMMYFUNCTION("""COMPUTED_VALUE"""),500000)</f>
        <v>500000</v>
      </c>
    </row>
    <row r="894" spans="1:8" ht="13" x14ac:dyDescent="0.15">
      <c r="A894" s="5" t="str">
        <f ca="1">IFERROR(__xludf.DUMMYFUNCTION("""COMPUTED_VALUE"""),"37198")</f>
        <v>37198</v>
      </c>
      <c r="B894" s="51">
        <f ca="1">IFERROR(__xludf.DUMMYFUNCTION("""COMPUTED_VALUE"""),44613)</f>
        <v>44613</v>
      </c>
      <c r="C894" s="22">
        <f ca="1">IFERROR(__xludf.DUMMYFUNCTION("""COMPUTED_VALUE"""),500000)</f>
        <v>500000</v>
      </c>
      <c r="D894" s="22">
        <f ca="1">IFERROR(__xludf.DUMMYFUNCTION("""COMPUTED_VALUE"""),0)</f>
        <v>0</v>
      </c>
      <c r="E894" s="22">
        <f ca="1">IFERROR(__xludf.DUMMYFUNCTION("""COMPUTED_VALUE"""),500000)</f>
        <v>500000</v>
      </c>
      <c r="F894" s="22">
        <f ca="1">IFERROR(__xludf.DUMMYFUNCTION("""COMPUTED_VALUE"""),500000)</f>
        <v>500000</v>
      </c>
      <c r="G894" s="22">
        <f ca="1">IFERROR(__xludf.DUMMYFUNCTION("""COMPUTED_VALUE"""),0)</f>
        <v>0</v>
      </c>
      <c r="H894" s="7">
        <f ca="1">IFERROR(__xludf.DUMMYFUNCTION("""COMPUTED_VALUE"""),500000)</f>
        <v>500000</v>
      </c>
    </row>
    <row r="895" spans="1:8" ht="13" x14ac:dyDescent="0.15">
      <c r="A895" s="5" t="str">
        <f ca="1">IFERROR(__xludf.DUMMYFUNCTION("""COMPUTED_VALUE"""),"37198")</f>
        <v>37198</v>
      </c>
      <c r="B895" s="51">
        <f ca="1">IFERROR(__xludf.DUMMYFUNCTION("""COMPUTED_VALUE"""),44614)</f>
        <v>44614</v>
      </c>
      <c r="C895" s="22">
        <f ca="1">IFERROR(__xludf.DUMMYFUNCTION("""COMPUTED_VALUE"""),500000)</f>
        <v>500000</v>
      </c>
      <c r="D895" s="22">
        <f ca="1">IFERROR(__xludf.DUMMYFUNCTION("""COMPUTED_VALUE"""),0)</f>
        <v>0</v>
      </c>
      <c r="E895" s="22">
        <f ca="1">IFERROR(__xludf.DUMMYFUNCTION("""COMPUTED_VALUE"""),500000)</f>
        <v>500000</v>
      </c>
      <c r="F895" s="22">
        <f ca="1">IFERROR(__xludf.DUMMYFUNCTION("""COMPUTED_VALUE"""),500000)</f>
        <v>500000</v>
      </c>
      <c r="G895" s="22">
        <f ca="1">IFERROR(__xludf.DUMMYFUNCTION("""COMPUTED_VALUE"""),0)</f>
        <v>0</v>
      </c>
      <c r="H895" s="7">
        <f ca="1">IFERROR(__xludf.DUMMYFUNCTION("""COMPUTED_VALUE"""),500000)</f>
        <v>500000</v>
      </c>
    </row>
    <row r="896" spans="1:8" ht="13" x14ac:dyDescent="0.15">
      <c r="A896" s="5" t="str">
        <f ca="1">IFERROR(__xludf.DUMMYFUNCTION("""COMPUTED_VALUE"""),"37198")</f>
        <v>37198</v>
      </c>
      <c r="B896" s="51">
        <f ca="1">IFERROR(__xludf.DUMMYFUNCTION("""COMPUTED_VALUE"""),44615)</f>
        <v>44615</v>
      </c>
      <c r="C896" s="22">
        <f ca="1">IFERROR(__xludf.DUMMYFUNCTION("""COMPUTED_VALUE"""),500000)</f>
        <v>500000</v>
      </c>
      <c r="D896" s="22">
        <f ca="1">IFERROR(__xludf.DUMMYFUNCTION("""COMPUTED_VALUE"""),0)</f>
        <v>0</v>
      </c>
      <c r="E896" s="22">
        <f ca="1">IFERROR(__xludf.DUMMYFUNCTION("""COMPUTED_VALUE"""),500000)</f>
        <v>500000</v>
      </c>
      <c r="F896" s="22">
        <f ca="1">IFERROR(__xludf.DUMMYFUNCTION("""COMPUTED_VALUE"""),500000)</f>
        <v>500000</v>
      </c>
      <c r="G896" s="22">
        <f ca="1">IFERROR(__xludf.DUMMYFUNCTION("""COMPUTED_VALUE"""),0)</f>
        <v>0</v>
      </c>
      <c r="H896" s="7">
        <f ca="1">IFERROR(__xludf.DUMMYFUNCTION("""COMPUTED_VALUE"""),500000)</f>
        <v>500000</v>
      </c>
    </row>
    <row r="897" spans="1:8" ht="13" x14ac:dyDescent="0.15">
      <c r="A897" s="5" t="str">
        <f ca="1">IFERROR(__xludf.DUMMYFUNCTION("""COMPUTED_VALUE"""),"37198")</f>
        <v>37198</v>
      </c>
      <c r="B897" s="51">
        <f ca="1">IFERROR(__xludf.DUMMYFUNCTION("""COMPUTED_VALUE"""),44616)</f>
        <v>44616</v>
      </c>
      <c r="C897" s="22">
        <f ca="1">IFERROR(__xludf.DUMMYFUNCTION("""COMPUTED_VALUE"""),500000)</f>
        <v>500000</v>
      </c>
      <c r="D897" s="22">
        <f ca="1">IFERROR(__xludf.DUMMYFUNCTION("""COMPUTED_VALUE"""),0)</f>
        <v>0</v>
      </c>
      <c r="E897" s="22">
        <f ca="1">IFERROR(__xludf.DUMMYFUNCTION("""COMPUTED_VALUE"""),500000)</f>
        <v>500000</v>
      </c>
      <c r="F897" s="22">
        <f ca="1">IFERROR(__xludf.DUMMYFUNCTION("""COMPUTED_VALUE"""),500000)</f>
        <v>500000</v>
      </c>
      <c r="G897" s="22">
        <f ca="1">IFERROR(__xludf.DUMMYFUNCTION("""COMPUTED_VALUE"""),0)</f>
        <v>0</v>
      </c>
      <c r="H897" s="7">
        <f ca="1">IFERROR(__xludf.DUMMYFUNCTION("""COMPUTED_VALUE"""),500000)</f>
        <v>500000</v>
      </c>
    </row>
    <row r="898" spans="1:8" ht="13" x14ac:dyDescent="0.15">
      <c r="A898" s="5" t="str">
        <f ca="1">IFERROR(__xludf.DUMMYFUNCTION("""COMPUTED_VALUE"""),"37198")</f>
        <v>37198</v>
      </c>
      <c r="B898" s="51">
        <f ca="1">IFERROR(__xludf.DUMMYFUNCTION("""COMPUTED_VALUE"""),44617)</f>
        <v>44617</v>
      </c>
      <c r="C898" s="22">
        <f ca="1">IFERROR(__xludf.DUMMYFUNCTION("""COMPUTED_VALUE"""),500000)</f>
        <v>500000</v>
      </c>
      <c r="D898" s="22">
        <f ca="1">IFERROR(__xludf.DUMMYFUNCTION("""COMPUTED_VALUE"""),0)</f>
        <v>0</v>
      </c>
      <c r="E898" s="22">
        <f ca="1">IFERROR(__xludf.DUMMYFUNCTION("""COMPUTED_VALUE"""),500000)</f>
        <v>500000</v>
      </c>
      <c r="F898" s="22">
        <f ca="1">IFERROR(__xludf.DUMMYFUNCTION("""COMPUTED_VALUE"""),500000)</f>
        <v>500000</v>
      </c>
      <c r="G898" s="22">
        <f ca="1">IFERROR(__xludf.DUMMYFUNCTION("""COMPUTED_VALUE"""),0)</f>
        <v>0</v>
      </c>
      <c r="H898" s="7">
        <f ca="1">IFERROR(__xludf.DUMMYFUNCTION("""COMPUTED_VALUE"""),500000)</f>
        <v>500000</v>
      </c>
    </row>
    <row r="899" spans="1:8" ht="13" x14ac:dyDescent="0.15">
      <c r="A899" s="5" t="str">
        <f ca="1">IFERROR(__xludf.DUMMYFUNCTION("""COMPUTED_VALUE"""),"37198")</f>
        <v>37198</v>
      </c>
      <c r="B899" s="51">
        <f ca="1">IFERROR(__xludf.DUMMYFUNCTION("""COMPUTED_VALUE"""),44618)</f>
        <v>44618</v>
      </c>
      <c r="C899" s="22">
        <f ca="1">IFERROR(__xludf.DUMMYFUNCTION("""COMPUTED_VALUE"""),500000)</f>
        <v>500000</v>
      </c>
      <c r="D899" s="22">
        <f ca="1">IFERROR(__xludf.DUMMYFUNCTION("""COMPUTED_VALUE"""),0)</f>
        <v>0</v>
      </c>
      <c r="E899" s="22">
        <f ca="1">IFERROR(__xludf.DUMMYFUNCTION("""COMPUTED_VALUE"""),500000)</f>
        <v>500000</v>
      </c>
      <c r="F899" s="22">
        <f ca="1">IFERROR(__xludf.DUMMYFUNCTION("""COMPUTED_VALUE"""),500000)</f>
        <v>500000</v>
      </c>
      <c r="G899" s="22">
        <f ca="1">IFERROR(__xludf.DUMMYFUNCTION("""COMPUTED_VALUE"""),0)</f>
        <v>0</v>
      </c>
      <c r="H899" s="7">
        <f ca="1">IFERROR(__xludf.DUMMYFUNCTION("""COMPUTED_VALUE"""),500000)</f>
        <v>500000</v>
      </c>
    </row>
    <row r="900" spans="1:8" ht="13" x14ac:dyDescent="0.15">
      <c r="A900" s="5" t="str">
        <f ca="1">IFERROR(__xludf.DUMMYFUNCTION("""COMPUTED_VALUE"""),"37198")</f>
        <v>37198</v>
      </c>
      <c r="B900" s="51">
        <f ca="1">IFERROR(__xludf.DUMMYFUNCTION("""COMPUTED_VALUE"""),44619)</f>
        <v>44619</v>
      </c>
      <c r="C900" s="22">
        <f ca="1">IFERROR(__xludf.DUMMYFUNCTION("""COMPUTED_VALUE"""),500000)</f>
        <v>500000</v>
      </c>
      <c r="D900" s="22">
        <f ca="1">IFERROR(__xludf.DUMMYFUNCTION("""COMPUTED_VALUE"""),0)</f>
        <v>0</v>
      </c>
      <c r="E900" s="22">
        <f ca="1">IFERROR(__xludf.DUMMYFUNCTION("""COMPUTED_VALUE"""),500000)</f>
        <v>500000</v>
      </c>
      <c r="F900" s="22">
        <f ca="1">IFERROR(__xludf.DUMMYFUNCTION("""COMPUTED_VALUE"""),500000)</f>
        <v>500000</v>
      </c>
      <c r="G900" s="22">
        <f ca="1">IFERROR(__xludf.DUMMYFUNCTION("""COMPUTED_VALUE"""),0)</f>
        <v>0</v>
      </c>
      <c r="H900" s="7">
        <f ca="1">IFERROR(__xludf.DUMMYFUNCTION("""COMPUTED_VALUE"""),500000)</f>
        <v>500000</v>
      </c>
    </row>
    <row r="901" spans="1:8" ht="13" x14ac:dyDescent="0.15">
      <c r="A901" s="5" t="str">
        <f ca="1">IFERROR(__xludf.DUMMYFUNCTION("""COMPUTED_VALUE"""),"37198")</f>
        <v>37198</v>
      </c>
      <c r="B901" s="51">
        <f ca="1">IFERROR(__xludf.DUMMYFUNCTION("""COMPUTED_VALUE"""),44620)</f>
        <v>44620</v>
      </c>
      <c r="C901" s="22">
        <f ca="1">IFERROR(__xludf.DUMMYFUNCTION("""COMPUTED_VALUE"""),500000)</f>
        <v>500000</v>
      </c>
      <c r="D901" s="22">
        <f ca="1">IFERROR(__xludf.DUMMYFUNCTION("""COMPUTED_VALUE"""),0)</f>
        <v>0</v>
      </c>
      <c r="E901" s="22">
        <f ca="1">IFERROR(__xludf.DUMMYFUNCTION("""COMPUTED_VALUE"""),500000)</f>
        <v>500000</v>
      </c>
      <c r="F901" s="22">
        <f ca="1">IFERROR(__xludf.DUMMYFUNCTION("""COMPUTED_VALUE"""),500000)</f>
        <v>500000</v>
      </c>
      <c r="G901" s="22">
        <f ca="1">IFERROR(__xludf.DUMMYFUNCTION("""COMPUTED_VALUE"""),0)</f>
        <v>0</v>
      </c>
      <c r="H901" s="7">
        <f ca="1">IFERROR(__xludf.DUMMYFUNCTION("""COMPUTED_VALUE"""),500000)</f>
        <v>500000</v>
      </c>
    </row>
    <row r="902" spans="1:8" ht="13" x14ac:dyDescent="0.15">
      <c r="A902" s="5" t="str">
        <f ca="1">IFERROR(__xludf.DUMMYFUNCTION("""COMPUTED_VALUE"""),"37198")</f>
        <v>37198</v>
      </c>
      <c r="B902" s="51">
        <f ca="1">IFERROR(__xludf.DUMMYFUNCTION("""COMPUTED_VALUE"""),44621)</f>
        <v>44621</v>
      </c>
      <c r="C902" s="22">
        <f ca="1">IFERROR(__xludf.DUMMYFUNCTION("""COMPUTED_VALUE"""),500000)</f>
        <v>500000</v>
      </c>
      <c r="D902" s="22">
        <f ca="1">IFERROR(__xludf.DUMMYFUNCTION("""COMPUTED_VALUE"""),0)</f>
        <v>0</v>
      </c>
      <c r="E902" s="22">
        <f ca="1">IFERROR(__xludf.DUMMYFUNCTION("""COMPUTED_VALUE"""),500000)</f>
        <v>500000</v>
      </c>
      <c r="F902" s="22">
        <f ca="1">IFERROR(__xludf.DUMMYFUNCTION("""COMPUTED_VALUE"""),500000)</f>
        <v>500000</v>
      </c>
      <c r="G902" s="22">
        <f ca="1">IFERROR(__xludf.DUMMYFUNCTION("""COMPUTED_VALUE"""),0)</f>
        <v>0</v>
      </c>
      <c r="H902" s="7">
        <f ca="1">IFERROR(__xludf.DUMMYFUNCTION("""COMPUTED_VALUE"""),500000)</f>
        <v>500000</v>
      </c>
    </row>
    <row r="903" spans="1:8" ht="13" x14ac:dyDescent="0.15">
      <c r="A903" s="5" t="str">
        <f ca="1">IFERROR(__xludf.DUMMYFUNCTION("""COMPUTED_VALUE"""),"37198")</f>
        <v>37198</v>
      </c>
      <c r="B903" s="51">
        <f ca="1">IFERROR(__xludf.DUMMYFUNCTION("""COMPUTED_VALUE"""),44622)</f>
        <v>44622</v>
      </c>
      <c r="C903" s="22">
        <f ca="1">IFERROR(__xludf.DUMMYFUNCTION("""COMPUTED_VALUE"""),500000)</f>
        <v>500000</v>
      </c>
      <c r="D903" s="22">
        <f ca="1">IFERROR(__xludf.DUMMYFUNCTION("""COMPUTED_VALUE"""),0)</f>
        <v>0</v>
      </c>
      <c r="E903" s="22">
        <f ca="1">IFERROR(__xludf.DUMMYFUNCTION("""COMPUTED_VALUE"""),500000)</f>
        <v>500000</v>
      </c>
      <c r="F903" s="22">
        <f ca="1">IFERROR(__xludf.DUMMYFUNCTION("""COMPUTED_VALUE"""),500000)</f>
        <v>500000</v>
      </c>
      <c r="G903" s="22">
        <f ca="1">IFERROR(__xludf.DUMMYFUNCTION("""COMPUTED_VALUE"""),0)</f>
        <v>0</v>
      </c>
      <c r="H903" s="7">
        <f ca="1">IFERROR(__xludf.DUMMYFUNCTION("""COMPUTED_VALUE"""),500000)</f>
        <v>500000</v>
      </c>
    </row>
    <row r="904" spans="1:8" ht="13" x14ac:dyDescent="0.15">
      <c r="A904" s="5" t="str">
        <f ca="1">IFERROR(__xludf.DUMMYFUNCTION("""COMPUTED_VALUE"""),"37198")</f>
        <v>37198</v>
      </c>
      <c r="B904" s="51">
        <f ca="1">IFERROR(__xludf.DUMMYFUNCTION("""COMPUTED_VALUE"""),44623)</f>
        <v>44623</v>
      </c>
      <c r="C904" s="22">
        <f ca="1">IFERROR(__xludf.DUMMYFUNCTION("""COMPUTED_VALUE"""),500000)</f>
        <v>500000</v>
      </c>
      <c r="D904" s="22">
        <f ca="1">IFERROR(__xludf.DUMMYFUNCTION("""COMPUTED_VALUE"""),0)</f>
        <v>0</v>
      </c>
      <c r="E904" s="22">
        <f ca="1">IFERROR(__xludf.DUMMYFUNCTION("""COMPUTED_VALUE"""),500000)</f>
        <v>500000</v>
      </c>
      <c r="F904" s="22">
        <f ca="1">IFERROR(__xludf.DUMMYFUNCTION("""COMPUTED_VALUE"""),500000)</f>
        <v>500000</v>
      </c>
      <c r="G904" s="22">
        <f ca="1">IFERROR(__xludf.DUMMYFUNCTION("""COMPUTED_VALUE"""),0)</f>
        <v>0</v>
      </c>
      <c r="H904" s="7">
        <f ca="1">IFERROR(__xludf.DUMMYFUNCTION("""COMPUTED_VALUE"""),500000)</f>
        <v>500000</v>
      </c>
    </row>
    <row r="905" spans="1:8" ht="13" x14ac:dyDescent="0.15">
      <c r="A905" s="5" t="str">
        <f ca="1">IFERROR(__xludf.DUMMYFUNCTION("""COMPUTED_VALUE"""),"37198")</f>
        <v>37198</v>
      </c>
      <c r="B905" s="51">
        <f ca="1">IFERROR(__xludf.DUMMYFUNCTION("""COMPUTED_VALUE"""),44624)</f>
        <v>44624</v>
      </c>
      <c r="C905" s="22">
        <f ca="1">IFERROR(__xludf.DUMMYFUNCTION("""COMPUTED_VALUE"""),500000)</f>
        <v>500000</v>
      </c>
      <c r="D905" s="22">
        <f ca="1">IFERROR(__xludf.DUMMYFUNCTION("""COMPUTED_VALUE"""),0)</f>
        <v>0</v>
      </c>
      <c r="E905" s="22">
        <f ca="1">IFERROR(__xludf.DUMMYFUNCTION("""COMPUTED_VALUE"""),500000)</f>
        <v>500000</v>
      </c>
      <c r="F905" s="22">
        <f ca="1">IFERROR(__xludf.DUMMYFUNCTION("""COMPUTED_VALUE"""),500000)</f>
        <v>500000</v>
      </c>
      <c r="G905" s="22">
        <f ca="1">IFERROR(__xludf.DUMMYFUNCTION("""COMPUTED_VALUE"""),0)</f>
        <v>0</v>
      </c>
      <c r="H905" s="7">
        <f ca="1">IFERROR(__xludf.DUMMYFUNCTION("""COMPUTED_VALUE"""),500000)</f>
        <v>500000</v>
      </c>
    </row>
    <row r="906" spans="1:8" ht="13" x14ac:dyDescent="0.15">
      <c r="A906" s="5" t="str">
        <f ca="1">IFERROR(__xludf.DUMMYFUNCTION("""COMPUTED_VALUE"""),"37198")</f>
        <v>37198</v>
      </c>
      <c r="B906" s="51">
        <f ca="1">IFERROR(__xludf.DUMMYFUNCTION("""COMPUTED_VALUE"""),44625)</f>
        <v>44625</v>
      </c>
      <c r="C906" s="22">
        <f ca="1">IFERROR(__xludf.DUMMYFUNCTION("""COMPUTED_VALUE"""),500000)</f>
        <v>500000</v>
      </c>
      <c r="D906" s="22">
        <f ca="1">IFERROR(__xludf.DUMMYFUNCTION("""COMPUTED_VALUE"""),0)</f>
        <v>0</v>
      </c>
      <c r="E906" s="22">
        <f ca="1">IFERROR(__xludf.DUMMYFUNCTION("""COMPUTED_VALUE"""),500000)</f>
        <v>500000</v>
      </c>
      <c r="F906" s="22">
        <f ca="1">IFERROR(__xludf.DUMMYFUNCTION("""COMPUTED_VALUE"""),500000)</f>
        <v>500000</v>
      </c>
      <c r="G906" s="22">
        <f ca="1">IFERROR(__xludf.DUMMYFUNCTION("""COMPUTED_VALUE"""),0)</f>
        <v>0</v>
      </c>
      <c r="H906" s="7">
        <f ca="1">IFERROR(__xludf.DUMMYFUNCTION("""COMPUTED_VALUE"""),500000)</f>
        <v>500000</v>
      </c>
    </row>
    <row r="907" spans="1:8" ht="13" x14ac:dyDescent="0.15">
      <c r="A907" s="5" t="str">
        <f ca="1">IFERROR(__xludf.DUMMYFUNCTION("""COMPUTED_VALUE"""),"37198")</f>
        <v>37198</v>
      </c>
      <c r="B907" s="51">
        <f ca="1">IFERROR(__xludf.DUMMYFUNCTION("""COMPUTED_VALUE"""),44626)</f>
        <v>44626</v>
      </c>
      <c r="C907" s="22">
        <f ca="1">IFERROR(__xludf.DUMMYFUNCTION("""COMPUTED_VALUE"""),500000)</f>
        <v>500000</v>
      </c>
      <c r="D907" s="22">
        <f ca="1">IFERROR(__xludf.DUMMYFUNCTION("""COMPUTED_VALUE"""),0)</f>
        <v>0</v>
      </c>
      <c r="E907" s="22">
        <f ca="1">IFERROR(__xludf.DUMMYFUNCTION("""COMPUTED_VALUE"""),500000)</f>
        <v>500000</v>
      </c>
      <c r="F907" s="22">
        <f ca="1">IFERROR(__xludf.DUMMYFUNCTION("""COMPUTED_VALUE"""),500000)</f>
        <v>500000</v>
      </c>
      <c r="G907" s="22">
        <f ca="1">IFERROR(__xludf.DUMMYFUNCTION("""COMPUTED_VALUE"""),0)</f>
        <v>0</v>
      </c>
      <c r="H907" s="7">
        <f ca="1">IFERROR(__xludf.DUMMYFUNCTION("""COMPUTED_VALUE"""),500000)</f>
        <v>500000</v>
      </c>
    </row>
    <row r="908" spans="1:8" ht="13" x14ac:dyDescent="0.15">
      <c r="A908" s="5" t="str">
        <f ca="1">IFERROR(__xludf.DUMMYFUNCTION("""COMPUTED_VALUE"""),"37198")</f>
        <v>37198</v>
      </c>
      <c r="B908" s="51">
        <f ca="1">IFERROR(__xludf.DUMMYFUNCTION("""COMPUTED_VALUE"""),44627)</f>
        <v>44627</v>
      </c>
      <c r="C908" s="22">
        <f ca="1">IFERROR(__xludf.DUMMYFUNCTION("""COMPUTED_VALUE"""),500000)</f>
        <v>500000</v>
      </c>
      <c r="D908" s="22">
        <f ca="1">IFERROR(__xludf.DUMMYFUNCTION("""COMPUTED_VALUE"""),0)</f>
        <v>0</v>
      </c>
      <c r="E908" s="22">
        <f ca="1">IFERROR(__xludf.DUMMYFUNCTION("""COMPUTED_VALUE"""),500000)</f>
        <v>500000</v>
      </c>
      <c r="F908" s="22">
        <f ca="1">IFERROR(__xludf.DUMMYFUNCTION("""COMPUTED_VALUE"""),500000)</f>
        <v>500000</v>
      </c>
      <c r="G908" s="22">
        <f ca="1">IFERROR(__xludf.DUMMYFUNCTION("""COMPUTED_VALUE"""),0)</f>
        <v>0</v>
      </c>
      <c r="H908" s="7">
        <f ca="1">IFERROR(__xludf.DUMMYFUNCTION("""COMPUTED_VALUE"""),500000)</f>
        <v>500000</v>
      </c>
    </row>
    <row r="909" spans="1:8" ht="13" x14ac:dyDescent="0.15">
      <c r="A909" s="5" t="str">
        <f ca="1">IFERROR(__xludf.DUMMYFUNCTION("""COMPUTED_VALUE"""),"37198")</f>
        <v>37198</v>
      </c>
      <c r="B909" s="51">
        <f ca="1">IFERROR(__xludf.DUMMYFUNCTION("""COMPUTED_VALUE"""),44628)</f>
        <v>44628</v>
      </c>
      <c r="C909" s="22">
        <f ca="1">IFERROR(__xludf.DUMMYFUNCTION("""COMPUTED_VALUE"""),500000)</f>
        <v>500000</v>
      </c>
      <c r="D909" s="22">
        <f ca="1">IFERROR(__xludf.DUMMYFUNCTION("""COMPUTED_VALUE"""),0)</f>
        <v>0</v>
      </c>
      <c r="E909" s="22">
        <f ca="1">IFERROR(__xludf.DUMMYFUNCTION("""COMPUTED_VALUE"""),500000)</f>
        <v>500000</v>
      </c>
      <c r="F909" s="22">
        <f ca="1">IFERROR(__xludf.DUMMYFUNCTION("""COMPUTED_VALUE"""),500000)</f>
        <v>500000</v>
      </c>
      <c r="G909" s="22">
        <f ca="1">IFERROR(__xludf.DUMMYFUNCTION("""COMPUTED_VALUE"""),0)</f>
        <v>0</v>
      </c>
      <c r="H909" s="7">
        <f ca="1">IFERROR(__xludf.DUMMYFUNCTION("""COMPUTED_VALUE"""),500000)</f>
        <v>500000</v>
      </c>
    </row>
    <row r="910" spans="1:8" ht="13" x14ac:dyDescent="0.15">
      <c r="A910" s="5" t="str">
        <f ca="1">IFERROR(__xludf.DUMMYFUNCTION("""COMPUTED_VALUE"""),"37198")</f>
        <v>37198</v>
      </c>
      <c r="B910" s="51">
        <f ca="1">IFERROR(__xludf.DUMMYFUNCTION("""COMPUTED_VALUE"""),44629)</f>
        <v>44629</v>
      </c>
      <c r="C910" s="22">
        <f ca="1">IFERROR(__xludf.DUMMYFUNCTION("""COMPUTED_VALUE"""),500000)</f>
        <v>500000</v>
      </c>
      <c r="D910" s="22">
        <f ca="1">IFERROR(__xludf.DUMMYFUNCTION("""COMPUTED_VALUE"""),0)</f>
        <v>0</v>
      </c>
      <c r="E910" s="22">
        <f ca="1">IFERROR(__xludf.DUMMYFUNCTION("""COMPUTED_VALUE"""),500000)</f>
        <v>500000</v>
      </c>
      <c r="F910" s="22">
        <f ca="1">IFERROR(__xludf.DUMMYFUNCTION("""COMPUTED_VALUE"""),500000)</f>
        <v>500000</v>
      </c>
      <c r="G910" s="22">
        <f ca="1">IFERROR(__xludf.DUMMYFUNCTION("""COMPUTED_VALUE"""),0)</f>
        <v>0</v>
      </c>
      <c r="H910" s="7">
        <f ca="1">IFERROR(__xludf.DUMMYFUNCTION("""COMPUTED_VALUE"""),500000)</f>
        <v>500000</v>
      </c>
    </row>
    <row r="911" spans="1:8" ht="13" x14ac:dyDescent="0.15">
      <c r="A911" s="5" t="str">
        <f ca="1">IFERROR(__xludf.DUMMYFUNCTION("""COMPUTED_VALUE"""),"37198")</f>
        <v>37198</v>
      </c>
      <c r="B911" s="51">
        <f ca="1">IFERROR(__xludf.DUMMYFUNCTION("""COMPUTED_VALUE"""),44630)</f>
        <v>44630</v>
      </c>
      <c r="C911" s="22">
        <f ca="1">IFERROR(__xludf.DUMMYFUNCTION("""COMPUTED_VALUE"""),500000)</f>
        <v>500000</v>
      </c>
      <c r="D911" s="22">
        <f ca="1">IFERROR(__xludf.DUMMYFUNCTION("""COMPUTED_VALUE"""),0)</f>
        <v>0</v>
      </c>
      <c r="E911" s="22">
        <f ca="1">IFERROR(__xludf.DUMMYFUNCTION("""COMPUTED_VALUE"""),500000)</f>
        <v>500000</v>
      </c>
      <c r="F911" s="22">
        <f ca="1">IFERROR(__xludf.DUMMYFUNCTION("""COMPUTED_VALUE"""),500000)</f>
        <v>500000</v>
      </c>
      <c r="G911" s="22">
        <f ca="1">IFERROR(__xludf.DUMMYFUNCTION("""COMPUTED_VALUE"""),0)</f>
        <v>0</v>
      </c>
      <c r="H911" s="7">
        <f ca="1">IFERROR(__xludf.DUMMYFUNCTION("""COMPUTED_VALUE"""),500000)</f>
        <v>500000</v>
      </c>
    </row>
    <row r="912" spans="1:8" ht="13" x14ac:dyDescent="0.15">
      <c r="A912" s="5" t="str">
        <f ca="1">IFERROR(__xludf.DUMMYFUNCTION("""COMPUTED_VALUE"""),"37198")</f>
        <v>37198</v>
      </c>
      <c r="B912" s="51">
        <f ca="1">IFERROR(__xludf.DUMMYFUNCTION("""COMPUTED_VALUE"""),44631)</f>
        <v>44631</v>
      </c>
      <c r="C912" s="22">
        <f ca="1">IFERROR(__xludf.DUMMYFUNCTION("""COMPUTED_VALUE"""),500000)</f>
        <v>500000</v>
      </c>
      <c r="D912" s="22">
        <f ca="1">IFERROR(__xludf.DUMMYFUNCTION("""COMPUTED_VALUE"""),0)</f>
        <v>0</v>
      </c>
      <c r="E912" s="22">
        <f ca="1">IFERROR(__xludf.DUMMYFUNCTION("""COMPUTED_VALUE"""),500000)</f>
        <v>500000</v>
      </c>
      <c r="F912" s="22">
        <f ca="1">IFERROR(__xludf.DUMMYFUNCTION("""COMPUTED_VALUE"""),500000)</f>
        <v>500000</v>
      </c>
      <c r="G912" s="22">
        <f ca="1">IFERROR(__xludf.DUMMYFUNCTION("""COMPUTED_VALUE"""),0)</f>
        <v>0</v>
      </c>
      <c r="H912" s="7">
        <f ca="1">IFERROR(__xludf.DUMMYFUNCTION("""COMPUTED_VALUE"""),500000)</f>
        <v>500000</v>
      </c>
    </row>
    <row r="913" spans="1:8" ht="13" x14ac:dyDescent="0.15">
      <c r="A913" s="5" t="str">
        <f ca="1">IFERROR(__xludf.DUMMYFUNCTION("""COMPUTED_VALUE"""),"37198")</f>
        <v>37198</v>
      </c>
      <c r="B913" s="51">
        <f ca="1">IFERROR(__xludf.DUMMYFUNCTION("""COMPUTED_VALUE"""),44632)</f>
        <v>44632</v>
      </c>
      <c r="C913" s="22">
        <f ca="1">IFERROR(__xludf.DUMMYFUNCTION("""COMPUTED_VALUE"""),500000)</f>
        <v>500000</v>
      </c>
      <c r="D913" s="22">
        <f ca="1">IFERROR(__xludf.DUMMYFUNCTION("""COMPUTED_VALUE"""),0)</f>
        <v>0</v>
      </c>
      <c r="E913" s="22">
        <f ca="1">IFERROR(__xludf.DUMMYFUNCTION("""COMPUTED_VALUE"""),500000)</f>
        <v>500000</v>
      </c>
      <c r="F913" s="22">
        <f ca="1">IFERROR(__xludf.DUMMYFUNCTION("""COMPUTED_VALUE"""),500000)</f>
        <v>500000</v>
      </c>
      <c r="G913" s="22">
        <f ca="1">IFERROR(__xludf.DUMMYFUNCTION("""COMPUTED_VALUE"""),0)</f>
        <v>0</v>
      </c>
      <c r="H913" s="7">
        <f ca="1">IFERROR(__xludf.DUMMYFUNCTION("""COMPUTED_VALUE"""),500000)</f>
        <v>500000</v>
      </c>
    </row>
    <row r="914" spans="1:8" ht="13" x14ac:dyDescent="0.15">
      <c r="A914" s="5" t="str">
        <f ca="1">IFERROR(__xludf.DUMMYFUNCTION("""COMPUTED_VALUE"""),"37198")</f>
        <v>37198</v>
      </c>
      <c r="B914" s="51">
        <f ca="1">IFERROR(__xludf.DUMMYFUNCTION("""COMPUTED_VALUE"""),44633)</f>
        <v>44633</v>
      </c>
      <c r="C914" s="22">
        <f ca="1">IFERROR(__xludf.DUMMYFUNCTION("""COMPUTED_VALUE"""),500000)</f>
        <v>500000</v>
      </c>
      <c r="D914" s="22">
        <f ca="1">IFERROR(__xludf.DUMMYFUNCTION("""COMPUTED_VALUE"""),0)</f>
        <v>0</v>
      </c>
      <c r="E914" s="22">
        <f ca="1">IFERROR(__xludf.DUMMYFUNCTION("""COMPUTED_VALUE"""),500000)</f>
        <v>500000</v>
      </c>
      <c r="F914" s="22">
        <f ca="1">IFERROR(__xludf.DUMMYFUNCTION("""COMPUTED_VALUE"""),500000)</f>
        <v>500000</v>
      </c>
      <c r="G914" s="22">
        <f ca="1">IFERROR(__xludf.DUMMYFUNCTION("""COMPUTED_VALUE"""),0)</f>
        <v>0</v>
      </c>
      <c r="H914" s="7">
        <f ca="1">IFERROR(__xludf.DUMMYFUNCTION("""COMPUTED_VALUE"""),500000)</f>
        <v>500000</v>
      </c>
    </row>
    <row r="915" spans="1:8" ht="13" x14ac:dyDescent="0.15">
      <c r="A915" s="5" t="str">
        <f ca="1">IFERROR(__xludf.DUMMYFUNCTION("""COMPUTED_VALUE"""),"37198")</f>
        <v>37198</v>
      </c>
      <c r="B915" s="51">
        <f ca="1">IFERROR(__xludf.DUMMYFUNCTION("""COMPUTED_VALUE"""),44634)</f>
        <v>44634</v>
      </c>
      <c r="C915" s="22">
        <f ca="1">IFERROR(__xludf.DUMMYFUNCTION("""COMPUTED_VALUE"""),500000)</f>
        <v>500000</v>
      </c>
      <c r="D915" s="22">
        <f ca="1">IFERROR(__xludf.DUMMYFUNCTION("""COMPUTED_VALUE"""),0)</f>
        <v>0</v>
      </c>
      <c r="E915" s="22">
        <f ca="1">IFERROR(__xludf.DUMMYFUNCTION("""COMPUTED_VALUE"""),500000)</f>
        <v>500000</v>
      </c>
      <c r="F915" s="22">
        <f ca="1">IFERROR(__xludf.DUMMYFUNCTION("""COMPUTED_VALUE"""),500000)</f>
        <v>500000</v>
      </c>
      <c r="G915" s="22">
        <f ca="1">IFERROR(__xludf.DUMMYFUNCTION("""COMPUTED_VALUE"""),0)</f>
        <v>0</v>
      </c>
      <c r="H915" s="7">
        <f ca="1">IFERROR(__xludf.DUMMYFUNCTION("""COMPUTED_VALUE"""),500000)</f>
        <v>500000</v>
      </c>
    </row>
    <row r="916" spans="1:8" ht="13" x14ac:dyDescent="0.15">
      <c r="A916" s="5" t="str">
        <f ca="1">IFERROR(__xludf.DUMMYFUNCTION("""COMPUTED_VALUE"""),"37198")</f>
        <v>37198</v>
      </c>
      <c r="B916" s="51">
        <f ca="1">IFERROR(__xludf.DUMMYFUNCTION("""COMPUTED_VALUE"""),44635)</f>
        <v>44635</v>
      </c>
      <c r="C916" s="22">
        <f ca="1">IFERROR(__xludf.DUMMYFUNCTION("""COMPUTED_VALUE"""),500000)</f>
        <v>500000</v>
      </c>
      <c r="D916" s="22">
        <f ca="1">IFERROR(__xludf.DUMMYFUNCTION("""COMPUTED_VALUE"""),0)</f>
        <v>0</v>
      </c>
      <c r="E916" s="22">
        <f ca="1">IFERROR(__xludf.DUMMYFUNCTION("""COMPUTED_VALUE"""),500000)</f>
        <v>500000</v>
      </c>
      <c r="F916" s="22">
        <f ca="1">IFERROR(__xludf.DUMMYFUNCTION("""COMPUTED_VALUE"""),500000)</f>
        <v>500000</v>
      </c>
      <c r="G916" s="22">
        <f ca="1">IFERROR(__xludf.DUMMYFUNCTION("""COMPUTED_VALUE"""),0)</f>
        <v>0</v>
      </c>
      <c r="H916" s="7">
        <f ca="1">IFERROR(__xludf.DUMMYFUNCTION("""COMPUTED_VALUE"""),500000)</f>
        <v>500000</v>
      </c>
    </row>
    <row r="917" spans="1:8" ht="13" x14ac:dyDescent="0.15">
      <c r="A917" s="5" t="str">
        <f ca="1">IFERROR(__xludf.DUMMYFUNCTION("""COMPUTED_VALUE"""),"37198")</f>
        <v>37198</v>
      </c>
      <c r="B917" s="51">
        <f ca="1">IFERROR(__xludf.DUMMYFUNCTION("""COMPUTED_VALUE"""),44636)</f>
        <v>44636</v>
      </c>
      <c r="C917" s="22">
        <f ca="1">IFERROR(__xludf.DUMMYFUNCTION("""COMPUTED_VALUE"""),500000)</f>
        <v>500000</v>
      </c>
      <c r="D917" s="22">
        <f ca="1">IFERROR(__xludf.DUMMYFUNCTION("""COMPUTED_VALUE"""),0)</f>
        <v>0</v>
      </c>
      <c r="E917" s="22">
        <f ca="1">IFERROR(__xludf.DUMMYFUNCTION("""COMPUTED_VALUE"""),500000)</f>
        <v>500000</v>
      </c>
      <c r="F917" s="22">
        <f ca="1">IFERROR(__xludf.DUMMYFUNCTION("""COMPUTED_VALUE"""),500000)</f>
        <v>500000</v>
      </c>
      <c r="G917" s="22">
        <f ca="1">IFERROR(__xludf.DUMMYFUNCTION("""COMPUTED_VALUE"""),0)</f>
        <v>0</v>
      </c>
      <c r="H917" s="7">
        <f ca="1">IFERROR(__xludf.DUMMYFUNCTION("""COMPUTED_VALUE"""),500000)</f>
        <v>500000</v>
      </c>
    </row>
    <row r="918" spans="1:8" ht="13" x14ac:dyDescent="0.15">
      <c r="A918" s="5" t="str">
        <f ca="1">IFERROR(__xludf.DUMMYFUNCTION("""COMPUTED_VALUE"""),"37198")</f>
        <v>37198</v>
      </c>
      <c r="B918" s="51">
        <f ca="1">IFERROR(__xludf.DUMMYFUNCTION("""COMPUTED_VALUE"""),44637)</f>
        <v>44637</v>
      </c>
      <c r="C918" s="22">
        <f ca="1">IFERROR(__xludf.DUMMYFUNCTION("""COMPUTED_VALUE"""),493449.3959)</f>
        <v>493449.3959</v>
      </c>
      <c r="D918" s="22">
        <f ca="1">IFERROR(__xludf.DUMMYFUNCTION("""COMPUTED_VALUE"""),6550.6041)</f>
        <v>6550.6040999999996</v>
      </c>
      <c r="E918" s="22">
        <f ca="1">IFERROR(__xludf.DUMMYFUNCTION("""COMPUTED_VALUE"""),500000)</f>
        <v>500000</v>
      </c>
      <c r="F918" s="22">
        <f ca="1">IFERROR(__xludf.DUMMYFUNCTION("""COMPUTED_VALUE"""),493449.3959)</f>
        <v>493449.3959</v>
      </c>
      <c r="G918" s="22">
        <f ca="1">IFERROR(__xludf.DUMMYFUNCTION("""COMPUTED_VALUE"""),0)</f>
        <v>0</v>
      </c>
      <c r="H918" s="7">
        <f ca="1">IFERROR(__xludf.DUMMYFUNCTION("""COMPUTED_VALUE"""),500000)</f>
        <v>500000</v>
      </c>
    </row>
    <row r="919" spans="1:8" ht="13" x14ac:dyDescent="0.15">
      <c r="A919" s="5" t="str">
        <f ca="1">IFERROR(__xludf.DUMMYFUNCTION("""COMPUTED_VALUE"""),"37198")</f>
        <v>37198</v>
      </c>
      <c r="B919" s="51">
        <f ca="1">IFERROR(__xludf.DUMMYFUNCTION("""COMPUTED_VALUE"""),44638)</f>
        <v>44638</v>
      </c>
      <c r="C919" s="22">
        <f ca="1">IFERROR(__xludf.DUMMYFUNCTION("""COMPUTED_VALUE"""),452327.95123)</f>
        <v>452327.95123000001</v>
      </c>
      <c r="D919" s="22">
        <f ca="1">IFERROR(__xludf.DUMMYFUNCTION("""COMPUTED_VALUE"""),49038.96165)</f>
        <v>49038.961649999997</v>
      </c>
      <c r="E919" s="22">
        <f ca="1">IFERROR(__xludf.DUMMYFUNCTION("""COMPUTED_VALUE"""),501366.91288)</f>
        <v>501366.91288000002</v>
      </c>
      <c r="F919" s="22">
        <f ca="1">IFERROR(__xludf.DUMMYFUNCTION("""COMPUTED_VALUE"""),452327.95123)</f>
        <v>452327.95123000001</v>
      </c>
      <c r="G919" s="22">
        <f ca="1">IFERROR(__xludf.DUMMYFUNCTION("""COMPUTED_VALUE"""),0)</f>
        <v>0</v>
      </c>
      <c r="H919" s="7">
        <f ca="1">IFERROR(__xludf.DUMMYFUNCTION("""COMPUTED_VALUE"""),501366.91288)</f>
        <v>501366.91288000002</v>
      </c>
    </row>
    <row r="920" spans="1:8" ht="13" x14ac:dyDescent="0.15">
      <c r="A920" s="5" t="str">
        <f ca="1">IFERROR(__xludf.DUMMYFUNCTION("""COMPUTED_VALUE"""),"37198")</f>
        <v>37198</v>
      </c>
      <c r="B920" s="51">
        <f ca="1">IFERROR(__xludf.DUMMYFUNCTION("""COMPUTED_VALUE"""),44639)</f>
        <v>44639</v>
      </c>
      <c r="C920" s="22">
        <f ca="1">IFERROR(__xludf.DUMMYFUNCTION("""COMPUTED_VALUE"""),452327.95123)</f>
        <v>452327.95123000001</v>
      </c>
      <c r="D920" s="22">
        <f ca="1">IFERROR(__xludf.DUMMYFUNCTION("""COMPUTED_VALUE"""),49038.96165)</f>
        <v>49038.961649999997</v>
      </c>
      <c r="E920" s="22">
        <f ca="1">IFERROR(__xludf.DUMMYFUNCTION("""COMPUTED_VALUE"""),501366.91288)</f>
        <v>501366.91288000002</v>
      </c>
      <c r="F920" s="22">
        <f ca="1">IFERROR(__xludf.DUMMYFUNCTION("""COMPUTED_VALUE"""),452327.95123)</f>
        <v>452327.95123000001</v>
      </c>
      <c r="G920" s="22">
        <f ca="1">IFERROR(__xludf.DUMMYFUNCTION("""COMPUTED_VALUE"""),0)</f>
        <v>0</v>
      </c>
      <c r="H920" s="7">
        <f ca="1">IFERROR(__xludf.DUMMYFUNCTION("""COMPUTED_VALUE"""),501366.91288)</f>
        <v>501366.91288000002</v>
      </c>
    </row>
    <row r="921" spans="1:8" ht="13" x14ac:dyDescent="0.15">
      <c r="A921" s="5" t="str">
        <f ca="1">IFERROR(__xludf.DUMMYFUNCTION("""COMPUTED_VALUE"""),"37198")</f>
        <v>37198</v>
      </c>
      <c r="B921" s="51">
        <f ca="1">IFERROR(__xludf.DUMMYFUNCTION("""COMPUTED_VALUE"""),44640)</f>
        <v>44640</v>
      </c>
      <c r="C921" s="22">
        <f ca="1">IFERROR(__xludf.DUMMYFUNCTION("""COMPUTED_VALUE"""),452327.95123)</f>
        <v>452327.95123000001</v>
      </c>
      <c r="D921" s="22">
        <f ca="1">IFERROR(__xludf.DUMMYFUNCTION("""COMPUTED_VALUE"""),49037.2361899999)</f>
        <v>49037.236189999901</v>
      </c>
      <c r="E921" s="22">
        <f ca="1">IFERROR(__xludf.DUMMYFUNCTION("""COMPUTED_VALUE"""),501365.18742)</f>
        <v>501365.18741999997</v>
      </c>
      <c r="F921" s="22">
        <f ca="1">IFERROR(__xludf.DUMMYFUNCTION("""COMPUTED_VALUE"""),452327.95123)</f>
        <v>452327.95123000001</v>
      </c>
      <c r="G921" s="22">
        <f ca="1">IFERROR(__xludf.DUMMYFUNCTION("""COMPUTED_VALUE"""),0)</f>
        <v>0</v>
      </c>
      <c r="H921" s="7">
        <f ca="1">IFERROR(__xludf.DUMMYFUNCTION("""COMPUTED_VALUE"""),501356.227645)</f>
        <v>501356.22764499998</v>
      </c>
    </row>
    <row r="922" spans="1:8" ht="13" x14ac:dyDescent="0.15">
      <c r="A922" s="5" t="str">
        <f ca="1">IFERROR(__xludf.DUMMYFUNCTION("""COMPUTED_VALUE"""),"37198")</f>
        <v>37198</v>
      </c>
      <c r="B922" s="51">
        <f ca="1">IFERROR(__xludf.DUMMYFUNCTION("""COMPUTED_VALUE"""),44641)</f>
        <v>44641</v>
      </c>
      <c r="C922" s="22">
        <f ca="1">IFERROR(__xludf.DUMMYFUNCTION("""COMPUTED_VALUE"""),452327.95123)</f>
        <v>452327.95123000001</v>
      </c>
      <c r="D922" s="22">
        <f ca="1">IFERROR(__xludf.DUMMYFUNCTION("""COMPUTED_VALUE"""),48397.78075)</f>
        <v>48397.780749999998</v>
      </c>
      <c r="E922" s="22">
        <f ca="1">IFERROR(__xludf.DUMMYFUNCTION("""COMPUTED_VALUE"""),500725.73198)</f>
        <v>500725.73197999998</v>
      </c>
      <c r="F922" s="22">
        <f ca="1">IFERROR(__xludf.DUMMYFUNCTION("""COMPUTED_VALUE"""),452327.95123)</f>
        <v>452327.95123000001</v>
      </c>
      <c r="G922" s="22">
        <f ca="1">IFERROR(__xludf.DUMMYFUNCTION("""COMPUTED_VALUE"""),0)</f>
        <v>0</v>
      </c>
      <c r="H922" s="7">
        <f ca="1">IFERROR(__xludf.DUMMYFUNCTION("""COMPUTED_VALUE"""),504058.088455)</f>
        <v>504058.08845500002</v>
      </c>
    </row>
    <row r="923" spans="1:8" ht="13" x14ac:dyDescent="0.15">
      <c r="A923" s="5" t="str">
        <f ca="1">IFERROR(__xludf.DUMMYFUNCTION("""COMPUTED_VALUE"""),"37198")</f>
        <v>37198</v>
      </c>
      <c r="B923" s="51">
        <f ca="1">IFERROR(__xludf.DUMMYFUNCTION("""COMPUTED_VALUE"""),44642)</f>
        <v>44642</v>
      </c>
      <c r="C923" s="22">
        <f ca="1">IFERROR(__xludf.DUMMYFUNCTION("""COMPUTED_VALUE"""),452327.95123)</f>
        <v>452327.95123000001</v>
      </c>
      <c r="D923" s="22">
        <f ca="1">IFERROR(__xludf.DUMMYFUNCTION("""COMPUTED_VALUE"""),49103.60125)</f>
        <v>49103.60125</v>
      </c>
      <c r="E923" s="22">
        <f ca="1">IFERROR(__xludf.DUMMYFUNCTION("""COMPUTED_VALUE"""),501431.55248)</f>
        <v>501431.55248000001</v>
      </c>
      <c r="F923" s="22">
        <f ca="1">IFERROR(__xludf.DUMMYFUNCTION("""COMPUTED_VALUE"""),452327.95123)</f>
        <v>452327.95123000001</v>
      </c>
      <c r="G923" s="22">
        <f ca="1">IFERROR(__xludf.DUMMYFUNCTION("""COMPUTED_VALUE"""),0)</f>
        <v>0</v>
      </c>
      <c r="H923" s="7">
        <f ca="1">IFERROR(__xludf.DUMMYFUNCTION("""COMPUTED_VALUE"""),503868.41698)</f>
        <v>503868.41697999998</v>
      </c>
    </row>
    <row r="924" spans="1:8" ht="13" x14ac:dyDescent="0.15">
      <c r="A924" s="5" t="str">
        <f ca="1">IFERROR(__xludf.DUMMYFUNCTION("""COMPUTED_VALUE"""),"37400")</f>
        <v>37400</v>
      </c>
      <c r="B924" s="51">
        <f ca="1">IFERROR(__xludf.DUMMYFUNCTION("""COMPUTED_VALUE"""),44597)</f>
        <v>44597</v>
      </c>
      <c r="C924" s="22">
        <f ca="1">IFERROR(__xludf.DUMMYFUNCTION("""COMPUTED_VALUE"""),500000)</f>
        <v>500000</v>
      </c>
      <c r="D924" s="22">
        <f ca="1">IFERROR(__xludf.DUMMYFUNCTION("""COMPUTED_VALUE"""),0)</f>
        <v>0</v>
      </c>
      <c r="E924" s="22">
        <f ca="1">IFERROR(__xludf.DUMMYFUNCTION("""COMPUTED_VALUE"""),500000)</f>
        <v>500000</v>
      </c>
      <c r="F924" s="22">
        <f ca="1">IFERROR(__xludf.DUMMYFUNCTION("""COMPUTED_VALUE"""),500000)</f>
        <v>500000</v>
      </c>
      <c r="G924" s="22">
        <f ca="1">IFERROR(__xludf.DUMMYFUNCTION("""COMPUTED_VALUE"""),0)</f>
        <v>0</v>
      </c>
      <c r="H924" s="7">
        <f ca="1">IFERROR(__xludf.DUMMYFUNCTION("""COMPUTED_VALUE"""),500000)</f>
        <v>500000</v>
      </c>
    </row>
    <row r="925" spans="1:8" ht="13" x14ac:dyDescent="0.15">
      <c r="A925" s="5" t="str">
        <f ca="1">IFERROR(__xludf.DUMMYFUNCTION("""COMPUTED_VALUE"""),"37400")</f>
        <v>37400</v>
      </c>
      <c r="B925" s="51">
        <f ca="1">IFERROR(__xludf.DUMMYFUNCTION("""COMPUTED_VALUE"""),44598)</f>
        <v>44598</v>
      </c>
      <c r="C925" s="22">
        <f ca="1">IFERROR(__xludf.DUMMYFUNCTION("""COMPUTED_VALUE"""),500000)</f>
        <v>500000</v>
      </c>
      <c r="D925" s="22">
        <f ca="1">IFERROR(__xludf.DUMMYFUNCTION("""COMPUTED_VALUE"""),0)</f>
        <v>0</v>
      </c>
      <c r="E925" s="22">
        <f ca="1">IFERROR(__xludf.DUMMYFUNCTION("""COMPUTED_VALUE"""),500000)</f>
        <v>500000</v>
      </c>
      <c r="F925" s="22">
        <f ca="1">IFERROR(__xludf.DUMMYFUNCTION("""COMPUTED_VALUE"""),500000)</f>
        <v>500000</v>
      </c>
      <c r="G925" s="22">
        <f ca="1">IFERROR(__xludf.DUMMYFUNCTION("""COMPUTED_VALUE"""),0)</f>
        <v>0</v>
      </c>
      <c r="H925" s="7">
        <f ca="1">IFERROR(__xludf.DUMMYFUNCTION("""COMPUTED_VALUE"""),500000)</f>
        <v>500000</v>
      </c>
    </row>
    <row r="926" spans="1:8" ht="13" x14ac:dyDescent="0.15">
      <c r="A926" s="5" t="str">
        <f ca="1">IFERROR(__xludf.DUMMYFUNCTION("""COMPUTED_VALUE"""),"37400")</f>
        <v>37400</v>
      </c>
      <c r="B926" s="51">
        <f ca="1">IFERROR(__xludf.DUMMYFUNCTION("""COMPUTED_VALUE"""),44599)</f>
        <v>44599</v>
      </c>
      <c r="C926" s="22">
        <f ca="1">IFERROR(__xludf.DUMMYFUNCTION("""COMPUTED_VALUE"""),500000)</f>
        <v>500000</v>
      </c>
      <c r="D926" s="22">
        <f ca="1">IFERROR(__xludf.DUMMYFUNCTION("""COMPUTED_VALUE"""),0)</f>
        <v>0</v>
      </c>
      <c r="E926" s="22">
        <f ca="1">IFERROR(__xludf.DUMMYFUNCTION("""COMPUTED_VALUE"""),500000)</f>
        <v>500000</v>
      </c>
      <c r="F926" s="22">
        <f ca="1">IFERROR(__xludf.DUMMYFUNCTION("""COMPUTED_VALUE"""),500000)</f>
        <v>500000</v>
      </c>
      <c r="G926" s="22">
        <f ca="1">IFERROR(__xludf.DUMMYFUNCTION("""COMPUTED_VALUE"""),0)</f>
        <v>0</v>
      </c>
      <c r="H926" s="7">
        <f ca="1">IFERROR(__xludf.DUMMYFUNCTION("""COMPUTED_VALUE"""),500000)</f>
        <v>500000</v>
      </c>
    </row>
    <row r="927" spans="1:8" ht="13" x14ac:dyDescent="0.15">
      <c r="A927" s="5" t="str">
        <f ca="1">IFERROR(__xludf.DUMMYFUNCTION("""COMPUTED_VALUE"""),"37400")</f>
        <v>37400</v>
      </c>
      <c r="B927" s="51">
        <f ca="1">IFERROR(__xludf.DUMMYFUNCTION("""COMPUTED_VALUE"""),44600)</f>
        <v>44600</v>
      </c>
      <c r="C927" s="22">
        <f ca="1">IFERROR(__xludf.DUMMYFUNCTION("""COMPUTED_VALUE"""),500000)</f>
        <v>500000</v>
      </c>
      <c r="D927" s="22">
        <f ca="1">IFERROR(__xludf.DUMMYFUNCTION("""COMPUTED_VALUE"""),0)</f>
        <v>0</v>
      </c>
      <c r="E927" s="22">
        <f ca="1">IFERROR(__xludf.DUMMYFUNCTION("""COMPUTED_VALUE"""),500000)</f>
        <v>500000</v>
      </c>
      <c r="F927" s="22">
        <f ca="1">IFERROR(__xludf.DUMMYFUNCTION("""COMPUTED_VALUE"""),500000)</f>
        <v>500000</v>
      </c>
      <c r="G927" s="22">
        <f ca="1">IFERROR(__xludf.DUMMYFUNCTION("""COMPUTED_VALUE"""),0)</f>
        <v>0</v>
      </c>
      <c r="H927" s="7">
        <f ca="1">IFERROR(__xludf.DUMMYFUNCTION("""COMPUTED_VALUE"""),500000)</f>
        <v>500000</v>
      </c>
    </row>
    <row r="928" spans="1:8" ht="13" x14ac:dyDescent="0.15">
      <c r="A928" s="5" t="str">
        <f ca="1">IFERROR(__xludf.DUMMYFUNCTION("""COMPUTED_VALUE"""),"37400")</f>
        <v>37400</v>
      </c>
      <c r="B928" s="51">
        <f ca="1">IFERROR(__xludf.DUMMYFUNCTION("""COMPUTED_VALUE"""),44601)</f>
        <v>44601</v>
      </c>
      <c r="C928" s="22">
        <f ca="1">IFERROR(__xludf.DUMMYFUNCTION("""COMPUTED_VALUE"""),500000)</f>
        <v>500000</v>
      </c>
      <c r="D928" s="22">
        <f ca="1">IFERROR(__xludf.DUMMYFUNCTION("""COMPUTED_VALUE"""),0)</f>
        <v>0</v>
      </c>
      <c r="E928" s="22">
        <f ca="1">IFERROR(__xludf.DUMMYFUNCTION("""COMPUTED_VALUE"""),500000)</f>
        <v>500000</v>
      </c>
      <c r="F928" s="22">
        <f ca="1">IFERROR(__xludf.DUMMYFUNCTION("""COMPUTED_VALUE"""),500000)</f>
        <v>500000</v>
      </c>
      <c r="G928" s="22">
        <f ca="1">IFERROR(__xludf.DUMMYFUNCTION("""COMPUTED_VALUE"""),0)</f>
        <v>0</v>
      </c>
      <c r="H928" s="7">
        <f ca="1">IFERROR(__xludf.DUMMYFUNCTION("""COMPUTED_VALUE"""),500000)</f>
        <v>500000</v>
      </c>
    </row>
    <row r="929" spans="1:8" ht="13" x14ac:dyDescent="0.15">
      <c r="A929" s="5" t="str">
        <f ca="1">IFERROR(__xludf.DUMMYFUNCTION("""COMPUTED_VALUE"""),"37400")</f>
        <v>37400</v>
      </c>
      <c r="B929" s="51">
        <f ca="1">IFERROR(__xludf.DUMMYFUNCTION("""COMPUTED_VALUE"""),44602)</f>
        <v>44602</v>
      </c>
      <c r="C929" s="22">
        <f ca="1">IFERROR(__xludf.DUMMYFUNCTION("""COMPUTED_VALUE"""),500000)</f>
        <v>500000</v>
      </c>
      <c r="D929" s="22">
        <f ca="1">IFERROR(__xludf.DUMMYFUNCTION("""COMPUTED_VALUE"""),0)</f>
        <v>0</v>
      </c>
      <c r="E929" s="22">
        <f ca="1">IFERROR(__xludf.DUMMYFUNCTION("""COMPUTED_VALUE"""),500000)</f>
        <v>500000</v>
      </c>
      <c r="F929" s="22">
        <f ca="1">IFERROR(__xludf.DUMMYFUNCTION("""COMPUTED_VALUE"""),500000)</f>
        <v>500000</v>
      </c>
      <c r="G929" s="22">
        <f ca="1">IFERROR(__xludf.DUMMYFUNCTION("""COMPUTED_VALUE"""),0)</f>
        <v>0</v>
      </c>
      <c r="H929" s="7">
        <f ca="1">IFERROR(__xludf.DUMMYFUNCTION("""COMPUTED_VALUE"""),500000)</f>
        <v>500000</v>
      </c>
    </row>
    <row r="930" spans="1:8" ht="13" x14ac:dyDescent="0.15">
      <c r="A930" s="5" t="str">
        <f ca="1">IFERROR(__xludf.DUMMYFUNCTION("""COMPUTED_VALUE"""),"37400")</f>
        <v>37400</v>
      </c>
      <c r="B930" s="51">
        <f ca="1">IFERROR(__xludf.DUMMYFUNCTION("""COMPUTED_VALUE"""),44603)</f>
        <v>44603</v>
      </c>
      <c r="C930" s="22">
        <f ca="1">IFERROR(__xludf.DUMMYFUNCTION("""COMPUTED_VALUE"""),500000)</f>
        <v>500000</v>
      </c>
      <c r="D930" s="22">
        <f ca="1">IFERROR(__xludf.DUMMYFUNCTION("""COMPUTED_VALUE"""),0)</f>
        <v>0</v>
      </c>
      <c r="E930" s="22">
        <f ca="1">IFERROR(__xludf.DUMMYFUNCTION("""COMPUTED_VALUE"""),500000)</f>
        <v>500000</v>
      </c>
      <c r="F930" s="22">
        <f ca="1">IFERROR(__xludf.DUMMYFUNCTION("""COMPUTED_VALUE"""),500000)</f>
        <v>500000</v>
      </c>
      <c r="G930" s="22">
        <f ca="1">IFERROR(__xludf.DUMMYFUNCTION("""COMPUTED_VALUE"""),0)</f>
        <v>0</v>
      </c>
      <c r="H930" s="7">
        <f ca="1">IFERROR(__xludf.DUMMYFUNCTION("""COMPUTED_VALUE"""),500000)</f>
        <v>500000</v>
      </c>
    </row>
    <row r="931" spans="1:8" ht="13" x14ac:dyDescent="0.15">
      <c r="A931" s="5" t="str">
        <f ca="1">IFERROR(__xludf.DUMMYFUNCTION("""COMPUTED_VALUE"""),"37400")</f>
        <v>37400</v>
      </c>
      <c r="B931" s="51">
        <f ca="1">IFERROR(__xludf.DUMMYFUNCTION("""COMPUTED_VALUE"""),44604)</f>
        <v>44604</v>
      </c>
      <c r="C931" s="22">
        <f ca="1">IFERROR(__xludf.DUMMYFUNCTION("""COMPUTED_VALUE"""),500000)</f>
        <v>500000</v>
      </c>
      <c r="D931" s="22">
        <f ca="1">IFERROR(__xludf.DUMMYFUNCTION("""COMPUTED_VALUE"""),0)</f>
        <v>0</v>
      </c>
      <c r="E931" s="22">
        <f ca="1">IFERROR(__xludf.DUMMYFUNCTION("""COMPUTED_VALUE"""),500000)</f>
        <v>500000</v>
      </c>
      <c r="F931" s="22">
        <f ca="1">IFERROR(__xludf.DUMMYFUNCTION("""COMPUTED_VALUE"""),500000)</f>
        <v>500000</v>
      </c>
      <c r="G931" s="22">
        <f ca="1">IFERROR(__xludf.DUMMYFUNCTION("""COMPUTED_VALUE"""),0)</f>
        <v>0</v>
      </c>
      <c r="H931" s="7">
        <f ca="1">IFERROR(__xludf.DUMMYFUNCTION("""COMPUTED_VALUE"""),500000)</f>
        <v>500000</v>
      </c>
    </row>
    <row r="932" spans="1:8" ht="13" x14ac:dyDescent="0.15">
      <c r="A932" s="5" t="str">
        <f ca="1">IFERROR(__xludf.DUMMYFUNCTION("""COMPUTED_VALUE"""),"37400")</f>
        <v>37400</v>
      </c>
      <c r="B932" s="51">
        <f ca="1">IFERROR(__xludf.DUMMYFUNCTION("""COMPUTED_VALUE"""),44605)</f>
        <v>44605</v>
      </c>
      <c r="C932" s="22">
        <f ca="1">IFERROR(__xludf.DUMMYFUNCTION("""COMPUTED_VALUE"""),500000)</f>
        <v>500000</v>
      </c>
      <c r="D932" s="22">
        <f ca="1">IFERROR(__xludf.DUMMYFUNCTION("""COMPUTED_VALUE"""),0)</f>
        <v>0</v>
      </c>
      <c r="E932" s="22">
        <f ca="1">IFERROR(__xludf.DUMMYFUNCTION("""COMPUTED_VALUE"""),500000)</f>
        <v>500000</v>
      </c>
      <c r="F932" s="22">
        <f ca="1">IFERROR(__xludf.DUMMYFUNCTION("""COMPUTED_VALUE"""),500000)</f>
        <v>500000</v>
      </c>
      <c r="G932" s="22">
        <f ca="1">IFERROR(__xludf.DUMMYFUNCTION("""COMPUTED_VALUE"""),0)</f>
        <v>0</v>
      </c>
      <c r="H932" s="7">
        <f ca="1">IFERROR(__xludf.DUMMYFUNCTION("""COMPUTED_VALUE"""),500000)</f>
        <v>500000</v>
      </c>
    </row>
    <row r="933" spans="1:8" ht="13" x14ac:dyDescent="0.15">
      <c r="A933" s="5" t="str">
        <f ca="1">IFERROR(__xludf.DUMMYFUNCTION("""COMPUTED_VALUE"""),"37400")</f>
        <v>37400</v>
      </c>
      <c r="B933" s="51">
        <f ca="1">IFERROR(__xludf.DUMMYFUNCTION("""COMPUTED_VALUE"""),44606)</f>
        <v>44606</v>
      </c>
      <c r="C933" s="22">
        <f ca="1">IFERROR(__xludf.DUMMYFUNCTION("""COMPUTED_VALUE"""),500000)</f>
        <v>500000</v>
      </c>
      <c r="D933" s="22">
        <f ca="1">IFERROR(__xludf.DUMMYFUNCTION("""COMPUTED_VALUE"""),0)</f>
        <v>0</v>
      </c>
      <c r="E933" s="22">
        <f ca="1">IFERROR(__xludf.DUMMYFUNCTION("""COMPUTED_VALUE"""),500000)</f>
        <v>500000</v>
      </c>
      <c r="F933" s="22">
        <f ca="1">IFERROR(__xludf.DUMMYFUNCTION("""COMPUTED_VALUE"""),500000)</f>
        <v>500000</v>
      </c>
      <c r="G933" s="22">
        <f ca="1">IFERROR(__xludf.DUMMYFUNCTION("""COMPUTED_VALUE"""),0)</f>
        <v>0</v>
      </c>
      <c r="H933" s="7">
        <f ca="1">IFERROR(__xludf.DUMMYFUNCTION("""COMPUTED_VALUE"""),500000)</f>
        <v>500000</v>
      </c>
    </row>
    <row r="934" spans="1:8" ht="13" x14ac:dyDescent="0.15">
      <c r="A934" s="5" t="str">
        <f ca="1">IFERROR(__xludf.DUMMYFUNCTION("""COMPUTED_VALUE"""),"37400")</f>
        <v>37400</v>
      </c>
      <c r="B934" s="51">
        <f ca="1">IFERROR(__xludf.DUMMYFUNCTION("""COMPUTED_VALUE"""),44607)</f>
        <v>44607</v>
      </c>
      <c r="C934" s="22">
        <f ca="1">IFERROR(__xludf.DUMMYFUNCTION("""COMPUTED_VALUE"""),500000)</f>
        <v>500000</v>
      </c>
      <c r="D934" s="22">
        <f ca="1">IFERROR(__xludf.DUMMYFUNCTION("""COMPUTED_VALUE"""),0)</f>
        <v>0</v>
      </c>
      <c r="E934" s="22">
        <f ca="1">IFERROR(__xludf.DUMMYFUNCTION("""COMPUTED_VALUE"""),500000)</f>
        <v>500000</v>
      </c>
      <c r="F934" s="22">
        <f ca="1">IFERROR(__xludf.DUMMYFUNCTION("""COMPUTED_VALUE"""),500000)</f>
        <v>500000</v>
      </c>
      <c r="G934" s="22">
        <f ca="1">IFERROR(__xludf.DUMMYFUNCTION("""COMPUTED_VALUE"""),0)</f>
        <v>0</v>
      </c>
      <c r="H934" s="7">
        <f ca="1">IFERROR(__xludf.DUMMYFUNCTION("""COMPUTED_VALUE"""),500000)</f>
        <v>500000</v>
      </c>
    </row>
    <row r="935" spans="1:8" ht="13" x14ac:dyDescent="0.15">
      <c r="A935" s="5" t="str">
        <f ca="1">IFERROR(__xludf.DUMMYFUNCTION("""COMPUTED_VALUE"""),"37400")</f>
        <v>37400</v>
      </c>
      <c r="B935" s="51">
        <f ca="1">IFERROR(__xludf.DUMMYFUNCTION("""COMPUTED_VALUE"""),44608)</f>
        <v>44608</v>
      </c>
      <c r="C935" s="22">
        <f ca="1">IFERROR(__xludf.DUMMYFUNCTION("""COMPUTED_VALUE"""),500000)</f>
        <v>500000</v>
      </c>
      <c r="D935" s="22">
        <f ca="1">IFERROR(__xludf.DUMMYFUNCTION("""COMPUTED_VALUE"""),0)</f>
        <v>0</v>
      </c>
      <c r="E935" s="22">
        <f ca="1">IFERROR(__xludf.DUMMYFUNCTION("""COMPUTED_VALUE"""),500000)</f>
        <v>500000</v>
      </c>
      <c r="F935" s="22">
        <f ca="1">IFERROR(__xludf.DUMMYFUNCTION("""COMPUTED_VALUE"""),500000)</f>
        <v>500000</v>
      </c>
      <c r="G935" s="22">
        <f ca="1">IFERROR(__xludf.DUMMYFUNCTION("""COMPUTED_VALUE"""),0)</f>
        <v>0</v>
      </c>
      <c r="H935" s="7">
        <f ca="1">IFERROR(__xludf.DUMMYFUNCTION("""COMPUTED_VALUE"""),500000)</f>
        <v>500000</v>
      </c>
    </row>
    <row r="936" spans="1:8" ht="13" x14ac:dyDescent="0.15">
      <c r="A936" s="5" t="str">
        <f ca="1">IFERROR(__xludf.DUMMYFUNCTION("""COMPUTED_VALUE"""),"37400")</f>
        <v>37400</v>
      </c>
      <c r="B936" s="51">
        <f ca="1">IFERROR(__xludf.DUMMYFUNCTION("""COMPUTED_VALUE"""),44609)</f>
        <v>44609</v>
      </c>
      <c r="C936" s="22">
        <f ca="1">IFERROR(__xludf.DUMMYFUNCTION("""COMPUTED_VALUE"""),376974.4202555)</f>
        <v>376974.42025550001</v>
      </c>
      <c r="D936" s="22">
        <f ca="1">IFERROR(__xludf.DUMMYFUNCTION("""COMPUTED_VALUE"""),123025.5797445)</f>
        <v>123025.57974450001</v>
      </c>
      <c r="E936" s="22">
        <f ca="1">IFERROR(__xludf.DUMMYFUNCTION("""COMPUTED_VALUE"""),500000)</f>
        <v>500000</v>
      </c>
      <c r="F936" s="22">
        <f ca="1">IFERROR(__xludf.DUMMYFUNCTION("""COMPUTED_VALUE"""),376974.4202555)</f>
        <v>376974.42025550001</v>
      </c>
      <c r="G936" s="22">
        <f ca="1">IFERROR(__xludf.DUMMYFUNCTION("""COMPUTED_VALUE"""),0)</f>
        <v>0</v>
      </c>
      <c r="H936" s="7">
        <f ca="1">IFERROR(__xludf.DUMMYFUNCTION("""COMPUTED_VALUE"""),500000)</f>
        <v>500000</v>
      </c>
    </row>
    <row r="937" spans="1:8" ht="13" x14ac:dyDescent="0.15">
      <c r="A937" s="5" t="str">
        <f ca="1">IFERROR(__xludf.DUMMYFUNCTION("""COMPUTED_VALUE"""),"37400")</f>
        <v>37400</v>
      </c>
      <c r="B937" s="51">
        <f ca="1">IFERROR(__xludf.DUMMYFUNCTION("""COMPUTED_VALUE"""),44610)</f>
        <v>44610</v>
      </c>
      <c r="C937" s="22">
        <f ca="1">IFERROR(__xludf.DUMMYFUNCTION("""COMPUTED_VALUE"""),283953.3385055)</f>
        <v>283953.3385055</v>
      </c>
      <c r="D937" s="22">
        <f ca="1">IFERROR(__xludf.DUMMYFUNCTION("""COMPUTED_VALUE"""),213348.9408264)</f>
        <v>213348.94082640001</v>
      </c>
      <c r="E937" s="22">
        <f ca="1">IFERROR(__xludf.DUMMYFUNCTION("""COMPUTED_VALUE"""),497302.2793319)</f>
        <v>497302.2793319</v>
      </c>
      <c r="F937" s="22">
        <f ca="1">IFERROR(__xludf.DUMMYFUNCTION("""COMPUTED_VALUE"""),283953.3385055)</f>
        <v>283953.3385055</v>
      </c>
      <c r="G937" s="22">
        <f ca="1">IFERROR(__xludf.DUMMYFUNCTION("""COMPUTED_VALUE"""),0)</f>
        <v>0</v>
      </c>
      <c r="H937" s="7">
        <f ca="1">IFERROR(__xludf.DUMMYFUNCTION("""COMPUTED_VALUE"""),497302.2793319)</f>
        <v>497302.2793319</v>
      </c>
    </row>
    <row r="938" spans="1:8" ht="13" x14ac:dyDescent="0.15">
      <c r="A938" s="5" t="str">
        <f ca="1">IFERROR(__xludf.DUMMYFUNCTION("""COMPUTED_VALUE"""),"37400")</f>
        <v>37400</v>
      </c>
      <c r="B938" s="51">
        <f ca="1">IFERROR(__xludf.DUMMYFUNCTION("""COMPUTED_VALUE"""),44611)</f>
        <v>44611</v>
      </c>
      <c r="C938" s="22">
        <f ca="1">IFERROR(__xludf.DUMMYFUNCTION("""COMPUTED_VALUE"""),283953.3385055)</f>
        <v>283953.3385055</v>
      </c>
      <c r="D938" s="22">
        <f ca="1">IFERROR(__xludf.DUMMYFUNCTION("""COMPUTED_VALUE"""),213348.9408264)</f>
        <v>213348.94082640001</v>
      </c>
      <c r="E938" s="22">
        <f ca="1">IFERROR(__xludf.DUMMYFUNCTION("""COMPUTED_VALUE"""),497302.2793319)</f>
        <v>497302.2793319</v>
      </c>
      <c r="F938" s="22">
        <f ca="1">IFERROR(__xludf.DUMMYFUNCTION("""COMPUTED_VALUE"""),283953.3385055)</f>
        <v>283953.3385055</v>
      </c>
      <c r="G938" s="22">
        <f ca="1">IFERROR(__xludf.DUMMYFUNCTION("""COMPUTED_VALUE"""),0)</f>
        <v>0</v>
      </c>
      <c r="H938" s="7">
        <f ca="1">IFERROR(__xludf.DUMMYFUNCTION("""COMPUTED_VALUE"""),497302.2793319)</f>
        <v>497302.2793319</v>
      </c>
    </row>
    <row r="939" spans="1:8" ht="13" x14ac:dyDescent="0.15">
      <c r="A939" s="5" t="str">
        <f ca="1">IFERROR(__xludf.DUMMYFUNCTION("""COMPUTED_VALUE"""),"37400")</f>
        <v>37400</v>
      </c>
      <c r="B939" s="51">
        <f ca="1">IFERROR(__xludf.DUMMYFUNCTION("""COMPUTED_VALUE"""),44612)</f>
        <v>44612</v>
      </c>
      <c r="C939" s="22">
        <f ca="1">IFERROR(__xludf.DUMMYFUNCTION("""COMPUTED_VALUE"""),283953.3385055)</f>
        <v>283953.3385055</v>
      </c>
      <c r="D939" s="22">
        <f ca="1">IFERROR(__xludf.DUMMYFUNCTION("""COMPUTED_VALUE"""),213344.8530318)</f>
        <v>213344.85303180001</v>
      </c>
      <c r="E939" s="22">
        <f ca="1">IFERROR(__xludf.DUMMYFUNCTION("""COMPUTED_VALUE"""),497298.1915373)</f>
        <v>497298.19153730001</v>
      </c>
      <c r="F939" s="22">
        <f ca="1">IFERROR(__xludf.DUMMYFUNCTION("""COMPUTED_VALUE"""),283953.3385055)</f>
        <v>283953.3385055</v>
      </c>
      <c r="G939" s="22">
        <f ca="1">IFERROR(__xludf.DUMMYFUNCTION("""COMPUTED_VALUE"""),0)</f>
        <v>0</v>
      </c>
      <c r="H939" s="7">
        <f ca="1">IFERROR(__xludf.DUMMYFUNCTION("""COMPUTED_VALUE"""),497295.0314123)</f>
        <v>497295.03141230001</v>
      </c>
    </row>
    <row r="940" spans="1:8" ht="13" x14ac:dyDescent="0.15">
      <c r="A940" s="5" t="str">
        <f ca="1">IFERROR(__xludf.DUMMYFUNCTION("""COMPUTED_VALUE"""),"37400")</f>
        <v>37400</v>
      </c>
      <c r="B940" s="51">
        <f ca="1">IFERROR(__xludf.DUMMYFUNCTION("""COMPUTED_VALUE"""),44613)</f>
        <v>44613</v>
      </c>
      <c r="C940" s="22">
        <f ca="1">IFERROR(__xludf.DUMMYFUNCTION("""COMPUTED_VALUE"""),283953.3385055)</f>
        <v>283953.3385055</v>
      </c>
      <c r="D940" s="22">
        <f ca="1">IFERROR(__xludf.DUMMYFUNCTION("""COMPUTED_VALUE"""),213356.5765182)</f>
        <v>213356.57651819999</v>
      </c>
      <c r="E940" s="22">
        <f ca="1">IFERROR(__xludf.DUMMYFUNCTION("""COMPUTED_VALUE"""),497309.9150237)</f>
        <v>497309.91502369998</v>
      </c>
      <c r="F940" s="22">
        <f ca="1">IFERROR(__xludf.DUMMYFUNCTION("""COMPUTED_VALUE"""),283953.3385055)</f>
        <v>283953.3385055</v>
      </c>
      <c r="G940" s="22">
        <f ca="1">IFERROR(__xludf.DUMMYFUNCTION("""COMPUTED_VALUE"""),0)</f>
        <v>0</v>
      </c>
      <c r="H940" s="7">
        <f ca="1">IFERROR(__xludf.DUMMYFUNCTION("""COMPUTED_VALUE"""),497315.8178987)</f>
        <v>497315.81789870001</v>
      </c>
    </row>
    <row r="941" spans="1:8" ht="13" x14ac:dyDescent="0.15">
      <c r="A941" s="5" t="str">
        <f ca="1">IFERROR(__xludf.DUMMYFUNCTION("""COMPUTED_VALUE"""),"37400")</f>
        <v>37400</v>
      </c>
      <c r="B941" s="51">
        <f ca="1">IFERROR(__xludf.DUMMYFUNCTION("""COMPUTED_VALUE"""),44614)</f>
        <v>44614</v>
      </c>
      <c r="C941" s="22">
        <f ca="1">IFERROR(__xludf.DUMMYFUNCTION("""COMPUTED_VALUE"""),283953.3385055)</f>
        <v>283953.3385055</v>
      </c>
      <c r="D941" s="22">
        <f ca="1">IFERROR(__xludf.DUMMYFUNCTION("""COMPUTED_VALUE"""),208389.771945)</f>
        <v>208389.77194499999</v>
      </c>
      <c r="E941" s="22">
        <f ca="1">IFERROR(__xludf.DUMMYFUNCTION("""COMPUTED_VALUE"""),492343.1104505)</f>
        <v>492343.11045049998</v>
      </c>
      <c r="F941" s="22">
        <f ca="1">IFERROR(__xludf.DUMMYFUNCTION("""COMPUTED_VALUE"""),283953.3385055)</f>
        <v>283953.3385055</v>
      </c>
      <c r="G941" s="22">
        <f ca="1">IFERROR(__xludf.DUMMYFUNCTION("""COMPUTED_VALUE"""),0)</f>
        <v>0</v>
      </c>
      <c r="H941" s="7">
        <f ca="1">IFERROR(__xludf.DUMMYFUNCTION("""COMPUTED_VALUE"""),491866.3872005)</f>
        <v>491866.3872005</v>
      </c>
    </row>
    <row r="942" spans="1:8" ht="13" x14ac:dyDescent="0.15">
      <c r="A942" s="5" t="str">
        <f ca="1">IFERROR(__xludf.DUMMYFUNCTION("""COMPUTED_VALUE"""),"37400")</f>
        <v>37400</v>
      </c>
      <c r="B942" s="51">
        <f ca="1">IFERROR(__xludf.DUMMYFUNCTION("""COMPUTED_VALUE"""),44615)</f>
        <v>44615</v>
      </c>
      <c r="C942" s="22">
        <f ca="1">IFERROR(__xludf.DUMMYFUNCTION("""COMPUTED_VALUE"""),283953.3385055)</f>
        <v>283953.3385055</v>
      </c>
      <c r="D942" s="22">
        <f ca="1">IFERROR(__xludf.DUMMYFUNCTION("""COMPUTED_VALUE"""),200367.250073999)</f>
        <v>200367.25007399899</v>
      </c>
      <c r="E942" s="22">
        <f ca="1">IFERROR(__xludf.DUMMYFUNCTION("""COMPUTED_VALUE"""),484320.5885795)</f>
        <v>484320.58857949998</v>
      </c>
      <c r="F942" s="22">
        <f ca="1">IFERROR(__xludf.DUMMYFUNCTION("""COMPUTED_VALUE"""),283953.3385055)</f>
        <v>283953.3385055</v>
      </c>
      <c r="G942" s="22">
        <f ca="1">IFERROR(__xludf.DUMMYFUNCTION("""COMPUTED_VALUE"""),0)</f>
        <v>0</v>
      </c>
      <c r="H942" s="7">
        <f ca="1">IFERROR(__xludf.DUMMYFUNCTION("""COMPUTED_VALUE"""),481993.372014499)</f>
        <v>481993.37201449898</v>
      </c>
    </row>
    <row r="943" spans="1:8" ht="13" x14ac:dyDescent="0.15">
      <c r="A943" s="5" t="str">
        <f ca="1">IFERROR(__xludf.DUMMYFUNCTION("""COMPUTED_VALUE"""),"37400")</f>
        <v>37400</v>
      </c>
      <c r="B943" s="51">
        <f ca="1">IFERROR(__xludf.DUMMYFUNCTION("""COMPUTED_VALUE"""),44616)</f>
        <v>44616</v>
      </c>
      <c r="C943" s="22">
        <f ca="1">IFERROR(__xludf.DUMMYFUNCTION("""COMPUTED_VALUE"""),127677.1622255)</f>
        <v>127677.1622255</v>
      </c>
      <c r="D943" s="22">
        <f ca="1">IFERROR(__xludf.DUMMYFUNCTION("""COMPUTED_VALUE"""),357520.542142499)</f>
        <v>357520.54214249901</v>
      </c>
      <c r="E943" s="22">
        <f ca="1">IFERROR(__xludf.DUMMYFUNCTION("""COMPUTED_VALUE"""),485197.704367999)</f>
        <v>485197.70436799899</v>
      </c>
      <c r="F943" s="22">
        <f ca="1">IFERROR(__xludf.DUMMYFUNCTION("""COMPUTED_VALUE"""),127677.162225499)</f>
        <v>127677.16222549901</v>
      </c>
      <c r="G943" s="22">
        <f ca="1">IFERROR(__xludf.DUMMYFUNCTION("""COMPUTED_VALUE"""),0)</f>
        <v>0</v>
      </c>
      <c r="H943" s="7">
        <f ca="1">IFERROR(__xludf.DUMMYFUNCTION("""COMPUTED_VALUE"""),485197.704367999)</f>
        <v>485197.70436799899</v>
      </c>
    </row>
    <row r="944" spans="1:8" ht="13" x14ac:dyDescent="0.15">
      <c r="A944" s="5" t="str">
        <f ca="1">IFERROR(__xludf.DUMMYFUNCTION("""COMPUTED_VALUE"""),"37400")</f>
        <v>37400</v>
      </c>
      <c r="B944" s="51">
        <f ca="1">IFERROR(__xludf.DUMMYFUNCTION("""COMPUTED_VALUE"""),44617)</f>
        <v>44617</v>
      </c>
      <c r="C944" s="22">
        <f ca="1">IFERROR(__xludf.DUMMYFUNCTION("""COMPUTED_VALUE"""),127677.1622255)</f>
        <v>127677.1622255</v>
      </c>
      <c r="D944" s="22">
        <f ca="1">IFERROR(__xludf.DUMMYFUNCTION("""COMPUTED_VALUE"""),361101.7773867)</f>
        <v>361101.77738669998</v>
      </c>
      <c r="E944" s="22">
        <f ca="1">IFERROR(__xludf.DUMMYFUNCTION("""COMPUTED_VALUE"""),488778.9396122)</f>
        <v>488778.93961220002</v>
      </c>
      <c r="F944" s="22">
        <f ca="1">IFERROR(__xludf.DUMMYFUNCTION("""COMPUTED_VALUE"""),127677.162225499)</f>
        <v>127677.16222549901</v>
      </c>
      <c r="G944" s="22">
        <f ca="1">IFERROR(__xludf.DUMMYFUNCTION("""COMPUTED_VALUE"""),0)</f>
        <v>0</v>
      </c>
      <c r="H944" s="7">
        <f ca="1">IFERROR(__xludf.DUMMYFUNCTION("""COMPUTED_VALUE"""),488930.526717799)</f>
        <v>488930.52671779902</v>
      </c>
    </row>
    <row r="945" spans="1:8" ht="13" x14ac:dyDescent="0.15">
      <c r="A945" s="5" t="str">
        <f ca="1">IFERROR(__xludf.DUMMYFUNCTION("""COMPUTED_VALUE"""),"37400")</f>
        <v>37400</v>
      </c>
      <c r="B945" s="51">
        <f ca="1">IFERROR(__xludf.DUMMYFUNCTION("""COMPUTED_VALUE"""),44618)</f>
        <v>44618</v>
      </c>
      <c r="C945" s="22">
        <f ca="1">IFERROR(__xludf.DUMMYFUNCTION("""COMPUTED_VALUE"""),127677.1622255)</f>
        <v>127677.1622255</v>
      </c>
      <c r="D945" s="22">
        <f ca="1">IFERROR(__xludf.DUMMYFUNCTION("""COMPUTED_VALUE"""),361105.712105699)</f>
        <v>361105.712105699</v>
      </c>
      <c r="E945" s="22">
        <f ca="1">IFERROR(__xludf.DUMMYFUNCTION("""COMPUTED_VALUE"""),488782.874331199)</f>
        <v>488782.87433119898</v>
      </c>
      <c r="F945" s="22">
        <f ca="1">IFERROR(__xludf.DUMMYFUNCTION("""COMPUTED_VALUE"""),127677.162225499)</f>
        <v>127677.16222549901</v>
      </c>
      <c r="G945" s="22">
        <f ca="1">IFERROR(__xludf.DUMMYFUNCTION("""COMPUTED_VALUE"""),0)</f>
        <v>0</v>
      </c>
      <c r="H945" s="7">
        <f ca="1">IFERROR(__xludf.DUMMYFUNCTION("""COMPUTED_VALUE"""),488937.4664288)</f>
        <v>488937.46642880002</v>
      </c>
    </row>
    <row r="946" spans="1:8" ht="13" x14ac:dyDescent="0.15">
      <c r="A946" s="5" t="str">
        <f ca="1">IFERROR(__xludf.DUMMYFUNCTION("""COMPUTED_VALUE"""),"37400")</f>
        <v>37400</v>
      </c>
      <c r="B946" s="51">
        <f ca="1">IFERROR(__xludf.DUMMYFUNCTION("""COMPUTED_VALUE"""),44619)</f>
        <v>44619</v>
      </c>
      <c r="C946" s="22">
        <f ca="1">IFERROR(__xludf.DUMMYFUNCTION("""COMPUTED_VALUE"""),127677.1622255)</f>
        <v>127677.1622255</v>
      </c>
      <c r="D946" s="22">
        <f ca="1">IFERROR(__xludf.DUMMYFUNCTION("""COMPUTED_VALUE"""),361096.662251999)</f>
        <v>361096.66225199902</v>
      </c>
      <c r="E946" s="22">
        <f ca="1">IFERROR(__xludf.DUMMYFUNCTION("""COMPUTED_VALUE"""),488773.824477499)</f>
        <v>488773.824477499</v>
      </c>
      <c r="F946" s="22">
        <f ca="1">IFERROR(__xludf.DUMMYFUNCTION("""COMPUTED_VALUE"""),127677.162225499)</f>
        <v>127677.16222549901</v>
      </c>
      <c r="G946" s="22">
        <f ca="1">IFERROR(__xludf.DUMMYFUNCTION("""COMPUTED_VALUE"""),0)</f>
        <v>0</v>
      </c>
      <c r="H946" s="7">
        <f ca="1">IFERROR(__xludf.DUMMYFUNCTION("""COMPUTED_VALUE"""),488921.5050935)</f>
        <v>488921.50509350002</v>
      </c>
    </row>
    <row r="947" spans="1:8" ht="13" x14ac:dyDescent="0.15">
      <c r="A947" s="5" t="str">
        <f ca="1">IFERROR(__xludf.DUMMYFUNCTION("""COMPUTED_VALUE"""),"37400")</f>
        <v>37400</v>
      </c>
      <c r="B947" s="51">
        <f ca="1">IFERROR(__xludf.DUMMYFUNCTION("""COMPUTED_VALUE"""),44620)</f>
        <v>44620</v>
      </c>
      <c r="C947" s="22">
        <f ca="1">IFERROR(__xludf.DUMMYFUNCTION("""COMPUTED_VALUE"""),127677.1622255)</f>
        <v>127677.1622255</v>
      </c>
      <c r="D947" s="22">
        <f ca="1">IFERROR(__xludf.DUMMYFUNCTION("""COMPUTED_VALUE"""),368633.558297999)</f>
        <v>368633.55829799903</v>
      </c>
      <c r="E947" s="22">
        <f ca="1">IFERROR(__xludf.DUMMYFUNCTION("""COMPUTED_VALUE"""),496310.7205235)</f>
        <v>496310.7205235</v>
      </c>
      <c r="F947" s="22">
        <f ca="1">IFERROR(__xludf.DUMMYFUNCTION("""COMPUTED_VALUE"""),127677.162225499)</f>
        <v>127677.16222549901</v>
      </c>
      <c r="G947" s="22">
        <f ca="1">IFERROR(__xludf.DUMMYFUNCTION("""COMPUTED_VALUE"""),0)</f>
        <v>0</v>
      </c>
      <c r="H947" s="7">
        <f ca="1">IFERROR(__xludf.DUMMYFUNCTION("""COMPUTED_VALUE"""),496632.959295499)</f>
        <v>496632.95929549902</v>
      </c>
    </row>
    <row r="948" spans="1:8" ht="13" x14ac:dyDescent="0.15">
      <c r="A948" s="5" t="str">
        <f ca="1">IFERROR(__xludf.DUMMYFUNCTION("""COMPUTED_VALUE"""),"37400")</f>
        <v>37400</v>
      </c>
      <c r="B948" s="51">
        <f ca="1">IFERROR(__xludf.DUMMYFUNCTION("""COMPUTED_VALUE"""),44621)</f>
        <v>44621</v>
      </c>
      <c r="C948" s="22">
        <f ca="1">IFERROR(__xludf.DUMMYFUNCTION("""COMPUTED_VALUE"""),127677.1622255)</f>
        <v>127677.1622255</v>
      </c>
      <c r="D948" s="22">
        <f ca="1">IFERROR(__xludf.DUMMYFUNCTION("""COMPUTED_VALUE"""),366876.6372753)</f>
        <v>366876.63727529999</v>
      </c>
      <c r="E948" s="22">
        <f ca="1">IFERROR(__xludf.DUMMYFUNCTION("""COMPUTED_VALUE"""),494553.799500799)</f>
        <v>494553.79950079898</v>
      </c>
      <c r="F948" s="22">
        <f ca="1">IFERROR(__xludf.DUMMYFUNCTION("""COMPUTED_VALUE"""),127677.162225499)</f>
        <v>127677.16222549901</v>
      </c>
      <c r="G948" s="22">
        <f ca="1">IFERROR(__xludf.DUMMYFUNCTION("""COMPUTED_VALUE"""),0)</f>
        <v>0</v>
      </c>
      <c r="H948" s="7">
        <f ca="1">IFERROR(__xludf.DUMMYFUNCTION("""COMPUTED_VALUE"""),501100.2245672)</f>
        <v>501100.2245672</v>
      </c>
    </row>
    <row r="949" spans="1:8" ht="13" x14ac:dyDescent="0.15">
      <c r="A949" s="5" t="str">
        <f ca="1">IFERROR(__xludf.DUMMYFUNCTION("""COMPUTED_VALUE"""),"37400")</f>
        <v>37400</v>
      </c>
      <c r="B949" s="51">
        <f ca="1">IFERROR(__xludf.DUMMYFUNCTION("""COMPUTED_VALUE"""),44622)</f>
        <v>44622</v>
      </c>
      <c r="C949" s="22">
        <f ca="1">IFERROR(__xludf.DUMMYFUNCTION("""COMPUTED_VALUE"""),127677.1622255)</f>
        <v>127677.1622255</v>
      </c>
      <c r="D949" s="22">
        <f ca="1">IFERROR(__xludf.DUMMYFUNCTION("""COMPUTED_VALUE"""),367872.628794)</f>
        <v>367872.62879400002</v>
      </c>
      <c r="E949" s="22">
        <f ca="1">IFERROR(__xludf.DUMMYFUNCTION("""COMPUTED_VALUE"""),495549.7910195)</f>
        <v>495549.7910195</v>
      </c>
      <c r="F949" s="22">
        <f ca="1">IFERROR(__xludf.DUMMYFUNCTION("""COMPUTED_VALUE"""),127677.162225499)</f>
        <v>127677.16222549901</v>
      </c>
      <c r="G949" s="22">
        <f ca="1">IFERROR(__xludf.DUMMYFUNCTION("""COMPUTED_VALUE"""),0)</f>
        <v>0</v>
      </c>
      <c r="H949" s="7">
        <f ca="1">IFERROR(__xludf.DUMMYFUNCTION("""COMPUTED_VALUE"""),499906.547679499)</f>
        <v>499906.54767949902</v>
      </c>
    </row>
    <row r="950" spans="1:8" ht="13" x14ac:dyDescent="0.15">
      <c r="A950" s="5" t="str">
        <f ca="1">IFERROR(__xludf.DUMMYFUNCTION("""COMPUTED_VALUE"""),"37400")</f>
        <v>37400</v>
      </c>
      <c r="B950" s="51">
        <f ca="1">IFERROR(__xludf.DUMMYFUNCTION("""COMPUTED_VALUE"""),44623)</f>
        <v>44623</v>
      </c>
      <c r="C950" s="22">
        <f ca="1">IFERROR(__xludf.DUMMYFUNCTION("""COMPUTED_VALUE"""),199154.3610115)</f>
        <v>199154.3610115</v>
      </c>
      <c r="D950" s="22">
        <f ca="1">IFERROR(__xludf.DUMMYFUNCTION("""COMPUTED_VALUE"""),296467.852177)</f>
        <v>296467.85217700002</v>
      </c>
      <c r="E950" s="22">
        <f ca="1">IFERROR(__xludf.DUMMYFUNCTION("""COMPUTED_VALUE"""),495622.2131885)</f>
        <v>495622.21318850003</v>
      </c>
      <c r="F950" s="22">
        <f ca="1">IFERROR(__xludf.DUMMYFUNCTION("""COMPUTED_VALUE"""),199154.361011499)</f>
        <v>199154.36101149899</v>
      </c>
      <c r="G950" s="22">
        <f ca="1">IFERROR(__xludf.DUMMYFUNCTION("""COMPUTED_VALUE"""),0)</f>
        <v>0</v>
      </c>
      <c r="H950" s="7">
        <f ca="1">IFERROR(__xludf.DUMMYFUNCTION("""COMPUTED_VALUE"""),495622.2131885)</f>
        <v>495622.21318850003</v>
      </c>
    </row>
    <row r="951" spans="1:8" ht="13" x14ac:dyDescent="0.15">
      <c r="A951" s="5" t="str">
        <f ca="1">IFERROR(__xludf.DUMMYFUNCTION("""COMPUTED_VALUE"""),"37400")</f>
        <v>37400</v>
      </c>
      <c r="B951" s="51">
        <f ca="1">IFERROR(__xludf.DUMMYFUNCTION("""COMPUTED_VALUE"""),44624)</f>
        <v>44624</v>
      </c>
      <c r="C951" s="22">
        <f ca="1">IFERROR(__xludf.DUMMYFUNCTION("""COMPUTED_VALUE"""),81242.9709499)</f>
        <v>81242.970949900002</v>
      </c>
      <c r="D951" s="22">
        <f ca="1">IFERROR(__xludf.DUMMYFUNCTION("""COMPUTED_VALUE"""),414668.9879112)</f>
        <v>414668.98791119998</v>
      </c>
      <c r="E951" s="22">
        <f ca="1">IFERROR(__xludf.DUMMYFUNCTION("""COMPUTED_VALUE"""),495911.9588611)</f>
        <v>495911.95886110002</v>
      </c>
      <c r="F951" s="22">
        <f ca="1">IFERROR(__xludf.DUMMYFUNCTION("""COMPUTED_VALUE"""),81242.9709498999)</f>
        <v>81242.9709498999</v>
      </c>
      <c r="G951" s="22">
        <f ca="1">IFERROR(__xludf.DUMMYFUNCTION("""COMPUTED_VALUE"""),0)</f>
        <v>0</v>
      </c>
      <c r="H951" s="7">
        <f ca="1">IFERROR(__xludf.DUMMYFUNCTION("""COMPUTED_VALUE"""),495911.958861099)</f>
        <v>495911.95886109897</v>
      </c>
    </row>
    <row r="952" spans="1:8" ht="13" x14ac:dyDescent="0.15">
      <c r="A952" s="5" t="str">
        <f ca="1">IFERROR(__xludf.DUMMYFUNCTION("""COMPUTED_VALUE"""),"37400")</f>
        <v>37400</v>
      </c>
      <c r="B952" s="51">
        <f ca="1">IFERROR(__xludf.DUMMYFUNCTION("""COMPUTED_VALUE"""),44625)</f>
        <v>44625</v>
      </c>
      <c r="C952" s="22">
        <f ca="1">IFERROR(__xludf.DUMMYFUNCTION("""COMPUTED_VALUE"""),81242.9709499)</f>
        <v>81242.970949900002</v>
      </c>
      <c r="D952" s="22">
        <f ca="1">IFERROR(__xludf.DUMMYFUNCTION("""COMPUTED_VALUE"""),414668.9879112)</f>
        <v>414668.98791119998</v>
      </c>
      <c r="E952" s="22">
        <f ca="1">IFERROR(__xludf.DUMMYFUNCTION("""COMPUTED_VALUE"""),495911.9588611)</f>
        <v>495911.95886110002</v>
      </c>
      <c r="F952" s="22">
        <f ca="1">IFERROR(__xludf.DUMMYFUNCTION("""COMPUTED_VALUE"""),81242.9709498999)</f>
        <v>81242.9709498999</v>
      </c>
      <c r="G952" s="22">
        <f ca="1">IFERROR(__xludf.DUMMYFUNCTION("""COMPUTED_VALUE"""),0)</f>
        <v>0</v>
      </c>
      <c r="H952" s="7">
        <f ca="1">IFERROR(__xludf.DUMMYFUNCTION("""COMPUTED_VALUE"""),495911.958861099)</f>
        <v>495911.95886109897</v>
      </c>
    </row>
    <row r="953" spans="1:8" ht="13" x14ac:dyDescent="0.15">
      <c r="A953" s="5" t="str">
        <f ca="1">IFERROR(__xludf.DUMMYFUNCTION("""COMPUTED_VALUE"""),"37400")</f>
        <v>37400</v>
      </c>
      <c r="B953" s="51">
        <f ca="1">IFERROR(__xludf.DUMMYFUNCTION("""COMPUTED_VALUE"""),44626)</f>
        <v>44626</v>
      </c>
      <c r="C953" s="22">
        <f ca="1">IFERROR(__xludf.DUMMYFUNCTION("""COMPUTED_VALUE"""),81242.9709499)</f>
        <v>81242.970949900002</v>
      </c>
      <c r="D953" s="22">
        <f ca="1">IFERROR(__xludf.DUMMYFUNCTION("""COMPUTED_VALUE"""),414709.8124552)</f>
        <v>414709.81245520001</v>
      </c>
      <c r="E953" s="22">
        <f ca="1">IFERROR(__xludf.DUMMYFUNCTION("""COMPUTED_VALUE"""),495952.7834051)</f>
        <v>495952.7834051</v>
      </c>
      <c r="F953" s="22">
        <f ca="1">IFERROR(__xludf.DUMMYFUNCTION("""COMPUTED_VALUE"""),81242.9709498999)</f>
        <v>81242.9709498999</v>
      </c>
      <c r="G953" s="22">
        <f ca="1">IFERROR(__xludf.DUMMYFUNCTION("""COMPUTED_VALUE"""),0)</f>
        <v>0</v>
      </c>
      <c r="H953" s="7">
        <f ca="1">IFERROR(__xludf.DUMMYFUNCTION("""COMPUTED_VALUE"""),495969.0043166)</f>
        <v>495969.00431659998</v>
      </c>
    </row>
    <row r="954" spans="1:8" ht="13" x14ac:dyDescent="0.15">
      <c r="A954" s="5" t="str">
        <f ca="1">IFERROR(__xludf.DUMMYFUNCTION("""COMPUTED_VALUE"""),"37400")</f>
        <v>37400</v>
      </c>
      <c r="B954" s="51">
        <f ca="1">IFERROR(__xludf.DUMMYFUNCTION("""COMPUTED_VALUE"""),44627)</f>
        <v>44627</v>
      </c>
      <c r="C954" s="22">
        <f ca="1">IFERROR(__xludf.DUMMYFUNCTION("""COMPUTED_VALUE"""),81242.9709499)</f>
        <v>81242.970949900002</v>
      </c>
      <c r="D954" s="22">
        <f ca="1">IFERROR(__xludf.DUMMYFUNCTION("""COMPUTED_VALUE"""),409505.3069086)</f>
        <v>409505.30690859997</v>
      </c>
      <c r="E954" s="22">
        <f ca="1">IFERROR(__xludf.DUMMYFUNCTION("""COMPUTED_VALUE"""),490748.2778585)</f>
        <v>490748.27785850002</v>
      </c>
      <c r="F954" s="22">
        <f ca="1">IFERROR(__xludf.DUMMYFUNCTION("""COMPUTED_VALUE"""),81242.9709498999)</f>
        <v>81242.9709498999</v>
      </c>
      <c r="G954" s="22">
        <f ca="1">IFERROR(__xludf.DUMMYFUNCTION("""COMPUTED_VALUE"""),0)</f>
        <v>0</v>
      </c>
      <c r="H954" s="7">
        <f ca="1">IFERROR(__xludf.DUMMYFUNCTION("""COMPUTED_VALUE"""),486068.5690589)</f>
        <v>486068.5690589</v>
      </c>
    </row>
    <row r="955" spans="1:8" ht="13" x14ac:dyDescent="0.15">
      <c r="A955" s="5" t="str">
        <f ca="1">IFERROR(__xludf.DUMMYFUNCTION("""COMPUTED_VALUE"""),"37400")</f>
        <v>37400</v>
      </c>
      <c r="B955" s="51">
        <f ca="1">IFERROR(__xludf.DUMMYFUNCTION("""COMPUTED_VALUE"""),44628)</f>
        <v>44628</v>
      </c>
      <c r="C955" s="22">
        <f ca="1">IFERROR(__xludf.DUMMYFUNCTION("""COMPUTED_VALUE"""),81242.9709499)</f>
        <v>81242.970949900002</v>
      </c>
      <c r="D955" s="22">
        <f ca="1">IFERROR(__xludf.DUMMYFUNCTION("""COMPUTED_VALUE"""),412367.7333816)</f>
        <v>412367.7333816</v>
      </c>
      <c r="E955" s="22">
        <f ca="1">IFERROR(__xludf.DUMMYFUNCTION("""COMPUTED_VALUE"""),493610.7043315)</f>
        <v>493610.70433149999</v>
      </c>
      <c r="F955" s="22">
        <f ca="1">IFERROR(__xludf.DUMMYFUNCTION("""COMPUTED_VALUE"""),81242.9709498999)</f>
        <v>81242.9709498999</v>
      </c>
      <c r="G955" s="22">
        <f ca="1">IFERROR(__xludf.DUMMYFUNCTION("""COMPUTED_VALUE"""),0)</f>
        <v>0</v>
      </c>
      <c r="H955" s="7">
        <f ca="1">IFERROR(__xludf.DUMMYFUNCTION("""COMPUTED_VALUE"""),491726.6480899)</f>
        <v>491726.64808989997</v>
      </c>
    </row>
    <row r="956" spans="1:8" ht="13" x14ac:dyDescent="0.15">
      <c r="A956" s="5" t="str">
        <f ca="1">IFERROR(__xludf.DUMMYFUNCTION("""COMPUTED_VALUE"""),"37400")</f>
        <v>37400</v>
      </c>
      <c r="B956" s="51">
        <f ca="1">IFERROR(__xludf.DUMMYFUNCTION("""COMPUTED_VALUE"""),44629)</f>
        <v>44629</v>
      </c>
      <c r="C956" s="22">
        <f ca="1">IFERROR(__xludf.DUMMYFUNCTION("""COMPUTED_VALUE"""),154912.9769749)</f>
        <v>154912.9769749</v>
      </c>
      <c r="D956" s="22">
        <f ca="1">IFERROR(__xludf.DUMMYFUNCTION("""COMPUTED_VALUE"""),336841.333752)</f>
        <v>336841.33375200001</v>
      </c>
      <c r="E956" s="22">
        <f ca="1">IFERROR(__xludf.DUMMYFUNCTION("""COMPUTED_VALUE"""),491754.3107269)</f>
        <v>491754.3107269</v>
      </c>
      <c r="F956" s="22">
        <f ca="1">IFERROR(__xludf.DUMMYFUNCTION("""COMPUTED_VALUE"""),154912.976974899)</f>
        <v>154912.97697489901</v>
      </c>
      <c r="G956" s="22">
        <f ca="1">IFERROR(__xludf.DUMMYFUNCTION("""COMPUTED_VALUE"""),0)</f>
        <v>0</v>
      </c>
      <c r="H956" s="7">
        <f ca="1">IFERROR(__xludf.DUMMYFUNCTION("""COMPUTED_VALUE"""),491754.3107269)</f>
        <v>491754.3107269</v>
      </c>
    </row>
    <row r="957" spans="1:8" ht="13" x14ac:dyDescent="0.15">
      <c r="A957" s="5" t="str">
        <f ca="1">IFERROR(__xludf.DUMMYFUNCTION("""COMPUTED_VALUE"""),"37400")</f>
        <v>37400</v>
      </c>
      <c r="B957" s="51">
        <f ca="1">IFERROR(__xludf.DUMMYFUNCTION("""COMPUTED_VALUE"""),44630)</f>
        <v>44630</v>
      </c>
      <c r="C957" s="22">
        <f ca="1">IFERROR(__xludf.DUMMYFUNCTION("""COMPUTED_VALUE"""),154912.9769749)</f>
        <v>154912.9769749</v>
      </c>
      <c r="D957" s="22">
        <f ca="1">IFERROR(__xludf.DUMMYFUNCTION("""COMPUTED_VALUE"""),337044.638847)</f>
        <v>337044.63884700002</v>
      </c>
      <c r="E957" s="22">
        <f ca="1">IFERROR(__xludf.DUMMYFUNCTION("""COMPUTED_VALUE"""),491957.6158219)</f>
        <v>491957.61582190002</v>
      </c>
      <c r="F957" s="22">
        <f ca="1">IFERROR(__xludf.DUMMYFUNCTION("""COMPUTED_VALUE"""),154912.976974899)</f>
        <v>154912.97697489901</v>
      </c>
      <c r="G957" s="22">
        <f ca="1">IFERROR(__xludf.DUMMYFUNCTION("""COMPUTED_VALUE"""),0)</f>
        <v>0</v>
      </c>
      <c r="H957" s="7">
        <f ca="1">IFERROR(__xludf.DUMMYFUNCTION("""COMPUTED_VALUE"""),491983.3119469)</f>
        <v>491983.31194689998</v>
      </c>
    </row>
    <row r="958" spans="1:8" ht="13" x14ac:dyDescent="0.15">
      <c r="A958" s="5" t="str">
        <f ca="1">IFERROR(__xludf.DUMMYFUNCTION("""COMPUTED_VALUE"""),"37400")</f>
        <v>37400</v>
      </c>
      <c r="B958" s="51">
        <f ca="1">IFERROR(__xludf.DUMMYFUNCTION("""COMPUTED_VALUE"""),44631)</f>
        <v>44631</v>
      </c>
      <c r="C958" s="22">
        <f ca="1">IFERROR(__xludf.DUMMYFUNCTION("""COMPUTED_VALUE"""),154912.9769749)</f>
        <v>154912.9769749</v>
      </c>
      <c r="D958" s="22">
        <f ca="1">IFERROR(__xludf.DUMMYFUNCTION("""COMPUTED_VALUE"""),316655.623375)</f>
        <v>316655.62337500002</v>
      </c>
      <c r="E958" s="22">
        <f ca="1">IFERROR(__xludf.DUMMYFUNCTION("""COMPUTED_VALUE"""),471568.6003499)</f>
        <v>471568.60034990002</v>
      </c>
      <c r="F958" s="22">
        <f ca="1">IFERROR(__xludf.DUMMYFUNCTION("""COMPUTED_VALUE"""),154912.976974899)</f>
        <v>154912.97697489901</v>
      </c>
      <c r="G958" s="22">
        <f ca="1">IFERROR(__xludf.DUMMYFUNCTION("""COMPUTED_VALUE"""),0)</f>
        <v>0</v>
      </c>
      <c r="H958" s="7">
        <f ca="1">IFERROR(__xludf.DUMMYFUNCTION("""COMPUTED_VALUE"""),474416.0811749)</f>
        <v>474416.0811749</v>
      </c>
    </row>
    <row r="959" spans="1:8" ht="13" x14ac:dyDescent="0.15">
      <c r="A959" s="5" t="str">
        <f ca="1">IFERROR(__xludf.DUMMYFUNCTION("""COMPUTED_VALUE"""),"37400")</f>
        <v>37400</v>
      </c>
      <c r="B959" s="51">
        <f ca="1">IFERROR(__xludf.DUMMYFUNCTION("""COMPUTED_VALUE"""),44632)</f>
        <v>44632</v>
      </c>
      <c r="C959" s="22">
        <f ca="1">IFERROR(__xludf.DUMMYFUNCTION("""COMPUTED_VALUE"""),154912.9769749)</f>
        <v>154912.9769749</v>
      </c>
      <c r="D959" s="22">
        <f ca="1">IFERROR(__xludf.DUMMYFUNCTION("""COMPUTED_VALUE"""),316655.623375)</f>
        <v>316655.62337500002</v>
      </c>
      <c r="E959" s="22">
        <f ca="1">IFERROR(__xludf.DUMMYFUNCTION("""COMPUTED_VALUE"""),471568.6003499)</f>
        <v>471568.60034990002</v>
      </c>
      <c r="F959" s="22">
        <f ca="1">IFERROR(__xludf.DUMMYFUNCTION("""COMPUTED_VALUE"""),154912.976974899)</f>
        <v>154912.97697489901</v>
      </c>
      <c r="G959" s="22">
        <f ca="1">IFERROR(__xludf.DUMMYFUNCTION("""COMPUTED_VALUE"""),0)</f>
        <v>0</v>
      </c>
      <c r="H959" s="7">
        <f ca="1">IFERROR(__xludf.DUMMYFUNCTION("""COMPUTED_VALUE"""),474416.0811749)</f>
        <v>474416.0811749</v>
      </c>
    </row>
    <row r="960" spans="1:8" ht="13" x14ac:dyDescent="0.15">
      <c r="A960" s="5" t="str">
        <f ca="1">IFERROR(__xludf.DUMMYFUNCTION("""COMPUTED_VALUE"""),"37400")</f>
        <v>37400</v>
      </c>
      <c r="B960" s="51">
        <f ca="1">IFERROR(__xludf.DUMMYFUNCTION("""COMPUTED_VALUE"""),44633)</f>
        <v>44633</v>
      </c>
      <c r="C960" s="22">
        <f ca="1">IFERROR(__xludf.DUMMYFUNCTION("""COMPUTED_VALUE"""),154912.9769749)</f>
        <v>154912.9769749</v>
      </c>
      <c r="D960" s="22">
        <f ca="1">IFERROR(__xludf.DUMMYFUNCTION("""COMPUTED_VALUE"""),316622.221730999)</f>
        <v>316622.22173099901</v>
      </c>
      <c r="E960" s="22">
        <f ca="1">IFERROR(__xludf.DUMMYFUNCTION("""COMPUTED_VALUE"""),471535.198705899)</f>
        <v>471535.19870589901</v>
      </c>
      <c r="F960" s="22">
        <f ca="1">IFERROR(__xludf.DUMMYFUNCTION("""COMPUTED_VALUE"""),154912.976974899)</f>
        <v>154912.97697489901</v>
      </c>
      <c r="G960" s="22">
        <f ca="1">IFERROR(__xludf.DUMMYFUNCTION("""COMPUTED_VALUE"""),0)</f>
        <v>0</v>
      </c>
      <c r="H960" s="7">
        <f ca="1">IFERROR(__xludf.DUMMYFUNCTION("""COMPUTED_VALUE"""),474388.7400829)</f>
        <v>474388.74008289998</v>
      </c>
    </row>
    <row r="961" spans="1:8" ht="13" x14ac:dyDescent="0.15">
      <c r="A961" s="5" t="str">
        <f ca="1">IFERROR(__xludf.DUMMYFUNCTION("""COMPUTED_VALUE"""),"37400")</f>
        <v>37400</v>
      </c>
      <c r="B961" s="51">
        <f ca="1">IFERROR(__xludf.DUMMYFUNCTION("""COMPUTED_VALUE"""),44634)</f>
        <v>44634</v>
      </c>
      <c r="C961" s="22">
        <f ca="1">IFERROR(__xludf.DUMMYFUNCTION("""COMPUTED_VALUE"""),154912.9769749)</f>
        <v>154912.9769749</v>
      </c>
      <c r="D961" s="22">
        <f ca="1">IFERROR(__xludf.DUMMYFUNCTION("""COMPUTED_VALUE"""),296620.009785)</f>
        <v>296620.009785</v>
      </c>
      <c r="E961" s="22">
        <f ca="1">IFERROR(__xludf.DUMMYFUNCTION("""COMPUTED_VALUE"""),451532.9867599)</f>
        <v>451532.9867599</v>
      </c>
      <c r="F961" s="22">
        <f ca="1">IFERROR(__xludf.DUMMYFUNCTION("""COMPUTED_VALUE"""),154912.976974899)</f>
        <v>154912.97697489901</v>
      </c>
      <c r="G961" s="22">
        <f ca="1">IFERROR(__xludf.DUMMYFUNCTION("""COMPUTED_VALUE"""),0)</f>
        <v>0</v>
      </c>
      <c r="H961" s="7">
        <f ca="1">IFERROR(__xludf.DUMMYFUNCTION("""COMPUTED_VALUE"""),463458.3955849)</f>
        <v>463458.39558489999</v>
      </c>
    </row>
    <row r="962" spans="1:8" ht="13" x14ac:dyDescent="0.15">
      <c r="A962" s="5" t="str">
        <f ca="1">IFERROR(__xludf.DUMMYFUNCTION("""COMPUTED_VALUE"""),"37400")</f>
        <v>37400</v>
      </c>
      <c r="B962" s="51">
        <f ca="1">IFERROR(__xludf.DUMMYFUNCTION("""COMPUTED_VALUE"""),44635)</f>
        <v>44635</v>
      </c>
      <c r="C962" s="22">
        <f ca="1">IFERROR(__xludf.DUMMYFUNCTION("""COMPUTED_VALUE"""),154912.9769749)</f>
        <v>154912.9769749</v>
      </c>
      <c r="D962" s="22">
        <f ca="1">IFERROR(__xludf.DUMMYFUNCTION("""COMPUTED_VALUE"""),313293.149662999)</f>
        <v>313293.14966299903</v>
      </c>
      <c r="E962" s="22">
        <f ca="1">IFERROR(__xludf.DUMMYFUNCTION("""COMPUTED_VALUE"""),468206.126637899)</f>
        <v>468206.12663789903</v>
      </c>
      <c r="F962" s="22">
        <f ca="1">IFERROR(__xludf.DUMMYFUNCTION("""COMPUTED_VALUE"""),154912.976974899)</f>
        <v>154912.97697489901</v>
      </c>
      <c r="G962" s="22">
        <f ca="1">IFERROR(__xludf.DUMMYFUNCTION("""COMPUTED_VALUE"""),0)</f>
        <v>0</v>
      </c>
      <c r="H962" s="7">
        <f ca="1">IFERROR(__xludf.DUMMYFUNCTION("""COMPUTED_VALUE"""),473884.9834029)</f>
        <v>473884.98340289999</v>
      </c>
    </row>
    <row r="963" spans="1:8" ht="13" x14ac:dyDescent="0.15">
      <c r="A963" s="5" t="str">
        <f ca="1">IFERROR(__xludf.DUMMYFUNCTION("""COMPUTED_VALUE"""),"37400")</f>
        <v>37400</v>
      </c>
      <c r="B963" s="51">
        <f ca="1">IFERROR(__xludf.DUMMYFUNCTION("""COMPUTED_VALUE"""),44636)</f>
        <v>44636</v>
      </c>
      <c r="C963" s="22">
        <f ca="1">IFERROR(__xludf.DUMMYFUNCTION("""COMPUTED_VALUE"""),154912.9769749)</f>
        <v>154912.9769749</v>
      </c>
      <c r="D963" s="22">
        <f ca="1">IFERROR(__xludf.DUMMYFUNCTION("""COMPUTED_VALUE"""),336232.234989)</f>
        <v>336232.23498900002</v>
      </c>
      <c r="E963" s="22">
        <f ca="1">IFERROR(__xludf.DUMMYFUNCTION("""COMPUTED_VALUE"""),491145.2119639)</f>
        <v>491145.21196390002</v>
      </c>
      <c r="F963" s="22">
        <f ca="1">IFERROR(__xludf.DUMMYFUNCTION("""COMPUTED_VALUE"""),154912.976974899)</f>
        <v>154912.97697489901</v>
      </c>
      <c r="G963" s="22">
        <f ca="1">IFERROR(__xludf.DUMMYFUNCTION("""COMPUTED_VALUE"""),0)</f>
        <v>0</v>
      </c>
      <c r="H963" s="7">
        <f ca="1">IFERROR(__xludf.DUMMYFUNCTION("""COMPUTED_VALUE"""),483792.7558789)</f>
        <v>483792.7558789</v>
      </c>
    </row>
    <row r="964" spans="1:8" ht="13" x14ac:dyDescent="0.15">
      <c r="A964" s="5" t="str">
        <f ca="1">IFERROR(__xludf.DUMMYFUNCTION("""COMPUTED_VALUE"""),"37400")</f>
        <v>37400</v>
      </c>
      <c r="B964" s="51">
        <f ca="1">IFERROR(__xludf.DUMMYFUNCTION("""COMPUTED_VALUE"""),44637)</f>
        <v>44637</v>
      </c>
      <c r="C964" s="22">
        <f ca="1">IFERROR(__xludf.DUMMYFUNCTION("""COMPUTED_VALUE"""),154912.9769749)</f>
        <v>154912.9769749</v>
      </c>
      <c r="D964" s="22">
        <f ca="1">IFERROR(__xludf.DUMMYFUNCTION("""COMPUTED_VALUE"""),344625.932205)</f>
        <v>344625.93220500002</v>
      </c>
      <c r="E964" s="22">
        <f ca="1">IFERROR(__xludf.DUMMYFUNCTION("""COMPUTED_VALUE"""),499538.9091799)</f>
        <v>499538.90917990002</v>
      </c>
      <c r="F964" s="22">
        <f ca="1">IFERROR(__xludf.DUMMYFUNCTION("""COMPUTED_VALUE"""),154912.976974899)</f>
        <v>154912.97697489901</v>
      </c>
      <c r="G964" s="22">
        <f ca="1">IFERROR(__xludf.DUMMYFUNCTION("""COMPUTED_VALUE"""),0)</f>
        <v>0</v>
      </c>
      <c r="H964" s="7">
        <f ca="1">IFERROR(__xludf.DUMMYFUNCTION("""COMPUTED_VALUE"""),494306.1852949)</f>
        <v>494306.18529489997</v>
      </c>
    </row>
    <row r="965" spans="1:8" ht="13" x14ac:dyDescent="0.15">
      <c r="A965" s="5" t="str">
        <f ca="1">IFERROR(__xludf.DUMMYFUNCTION("""COMPUTED_VALUE"""),"37400")</f>
        <v>37400</v>
      </c>
      <c r="B965" s="51">
        <f ca="1">IFERROR(__xludf.DUMMYFUNCTION("""COMPUTED_VALUE"""),44638)</f>
        <v>44638</v>
      </c>
      <c r="C965" s="22">
        <f ca="1">IFERROR(__xludf.DUMMYFUNCTION("""COMPUTED_VALUE"""),154912.9769749)</f>
        <v>154912.9769749</v>
      </c>
      <c r="D965" s="22">
        <f ca="1">IFERROR(__xludf.DUMMYFUNCTION("""COMPUTED_VALUE"""),353189.936918)</f>
        <v>353189.93691799999</v>
      </c>
      <c r="E965" s="22">
        <f ca="1">IFERROR(__xludf.DUMMYFUNCTION("""COMPUTED_VALUE"""),508102.9138929)</f>
        <v>508102.91389289999</v>
      </c>
      <c r="F965" s="22">
        <f ca="1">IFERROR(__xludf.DUMMYFUNCTION("""COMPUTED_VALUE"""),154912.976974899)</f>
        <v>154912.97697489901</v>
      </c>
      <c r="G965" s="22">
        <f ca="1">IFERROR(__xludf.DUMMYFUNCTION("""COMPUTED_VALUE"""),0)</f>
        <v>0</v>
      </c>
      <c r="H965" s="7">
        <f ca="1">IFERROR(__xludf.DUMMYFUNCTION("""COMPUTED_VALUE"""),503350.4885229)</f>
        <v>503350.48852289998</v>
      </c>
    </row>
    <row r="966" spans="1:8" ht="13" x14ac:dyDescent="0.15">
      <c r="A966" s="5" t="str">
        <f ca="1">IFERROR(__xludf.DUMMYFUNCTION("""COMPUTED_VALUE"""),"37400")</f>
        <v>37400</v>
      </c>
      <c r="B966" s="51">
        <f ca="1">IFERROR(__xludf.DUMMYFUNCTION("""COMPUTED_VALUE"""),44639)</f>
        <v>44639</v>
      </c>
      <c r="C966" s="22">
        <f ca="1">IFERROR(__xludf.DUMMYFUNCTION("""COMPUTED_VALUE"""),154912.9769749)</f>
        <v>154912.9769749</v>
      </c>
      <c r="D966" s="22">
        <f ca="1">IFERROR(__xludf.DUMMYFUNCTION("""COMPUTED_VALUE"""),353189.936918)</f>
        <v>353189.93691799999</v>
      </c>
      <c r="E966" s="22">
        <f ca="1">IFERROR(__xludf.DUMMYFUNCTION("""COMPUTED_VALUE"""),508102.9138929)</f>
        <v>508102.91389289999</v>
      </c>
      <c r="F966" s="22">
        <f ca="1">IFERROR(__xludf.DUMMYFUNCTION("""COMPUTED_VALUE"""),154912.976974899)</f>
        <v>154912.97697489901</v>
      </c>
      <c r="G966" s="22">
        <f ca="1">IFERROR(__xludf.DUMMYFUNCTION("""COMPUTED_VALUE"""),0)</f>
        <v>0</v>
      </c>
      <c r="H966" s="7">
        <f ca="1">IFERROR(__xludf.DUMMYFUNCTION("""COMPUTED_VALUE"""),503350.4885229)</f>
        <v>503350.48852289998</v>
      </c>
    </row>
    <row r="967" spans="1:8" ht="13" x14ac:dyDescent="0.15">
      <c r="A967" s="5" t="str">
        <f ca="1">IFERROR(__xludf.DUMMYFUNCTION("""COMPUTED_VALUE"""),"37400")</f>
        <v>37400</v>
      </c>
      <c r="B967" s="51">
        <f ca="1">IFERROR(__xludf.DUMMYFUNCTION("""COMPUTED_VALUE"""),44640)</f>
        <v>44640</v>
      </c>
      <c r="C967" s="22">
        <f ca="1">IFERROR(__xludf.DUMMYFUNCTION("""COMPUTED_VALUE"""),154912.9769749)</f>
        <v>154912.9769749</v>
      </c>
      <c r="D967" s="22">
        <f ca="1">IFERROR(__xludf.DUMMYFUNCTION("""COMPUTED_VALUE"""),353096.9272243)</f>
        <v>353096.92722429999</v>
      </c>
      <c r="E967" s="22">
        <f ca="1">IFERROR(__xludf.DUMMYFUNCTION("""COMPUTED_VALUE"""),508009.9041992)</f>
        <v>508009.90419919998</v>
      </c>
      <c r="F967" s="22">
        <f ca="1">IFERROR(__xludf.DUMMYFUNCTION("""COMPUTED_VALUE"""),154912.976974899)</f>
        <v>154912.97697489901</v>
      </c>
      <c r="G967" s="22">
        <f ca="1">IFERROR(__xludf.DUMMYFUNCTION("""COMPUTED_VALUE"""),0)</f>
        <v>0</v>
      </c>
      <c r="H967" s="7">
        <f ca="1">IFERROR(__xludf.DUMMYFUNCTION("""COMPUTED_VALUE"""),503274.5665097)</f>
        <v>503274.56650969997</v>
      </c>
    </row>
    <row r="968" spans="1:8" ht="13" x14ac:dyDescent="0.15">
      <c r="A968" s="5" t="str">
        <f ca="1">IFERROR(__xludf.DUMMYFUNCTION("""COMPUTED_VALUE"""),"37400")</f>
        <v>37400</v>
      </c>
      <c r="B968" s="51">
        <f ca="1">IFERROR(__xludf.DUMMYFUNCTION("""COMPUTED_VALUE"""),44641)</f>
        <v>44641</v>
      </c>
      <c r="C968" s="22">
        <f ca="1">IFERROR(__xludf.DUMMYFUNCTION("""COMPUTED_VALUE"""),414418.6717669)</f>
        <v>414418.67176689999</v>
      </c>
      <c r="D968" s="22">
        <f ca="1">IFERROR(__xludf.DUMMYFUNCTION("""COMPUTED_VALUE"""),95079.2175)</f>
        <v>95079.217499999999</v>
      </c>
      <c r="E968" s="22">
        <f ca="1">IFERROR(__xludf.DUMMYFUNCTION("""COMPUTED_VALUE"""),509497.8892669)</f>
        <v>509497.88926690002</v>
      </c>
      <c r="F968" s="22">
        <f ca="1">IFERROR(__xludf.DUMMYFUNCTION("""COMPUTED_VALUE"""),414418.6717669)</f>
        <v>414418.67176689999</v>
      </c>
      <c r="G968" s="22">
        <f ca="1">IFERROR(__xludf.DUMMYFUNCTION("""COMPUTED_VALUE"""),0)</f>
        <v>0</v>
      </c>
      <c r="H968" s="7">
        <f ca="1">IFERROR(__xludf.DUMMYFUNCTION("""COMPUTED_VALUE"""),509497.8892669)</f>
        <v>509497.88926690002</v>
      </c>
    </row>
    <row r="969" spans="1:8" ht="13" x14ac:dyDescent="0.15">
      <c r="A969" s="5" t="str">
        <f ca="1">IFERROR(__xludf.DUMMYFUNCTION("""COMPUTED_VALUE"""),"37400")</f>
        <v>37400</v>
      </c>
      <c r="B969" s="51">
        <f ca="1">IFERROR(__xludf.DUMMYFUNCTION("""COMPUTED_VALUE"""),44642)</f>
        <v>44642</v>
      </c>
      <c r="C969" s="22">
        <f ca="1">IFERROR(__xludf.DUMMYFUNCTION("""COMPUTED_VALUE"""),414418.6717669)</f>
        <v>414418.67176689999</v>
      </c>
      <c r="D969" s="22">
        <f ca="1">IFERROR(__xludf.DUMMYFUNCTION("""COMPUTED_VALUE"""),115391.747854)</f>
        <v>115391.747854</v>
      </c>
      <c r="E969" s="22">
        <f ca="1">IFERROR(__xludf.DUMMYFUNCTION("""COMPUTED_VALUE"""),529810.4196209)</f>
        <v>529810.41962089995</v>
      </c>
      <c r="F969" s="22">
        <f ca="1">IFERROR(__xludf.DUMMYFUNCTION("""COMPUTED_VALUE"""),414418.6717669)</f>
        <v>414418.67176689999</v>
      </c>
      <c r="G969" s="22">
        <f ca="1">IFERROR(__xludf.DUMMYFUNCTION("""COMPUTED_VALUE"""),0)</f>
        <v>0</v>
      </c>
      <c r="H969" s="7">
        <f ca="1">IFERROR(__xludf.DUMMYFUNCTION("""COMPUTED_VALUE"""),509242.1710169)</f>
        <v>509242.17101689999</v>
      </c>
    </row>
    <row r="970" spans="1:8" ht="13" x14ac:dyDescent="0.15">
      <c r="A970" s="5" t="str">
        <f ca="1">IFERROR(__xludf.DUMMYFUNCTION("""COMPUTED_VALUE"""),"37568")</f>
        <v>37568</v>
      </c>
      <c r="B970" s="51">
        <f ca="1">IFERROR(__xludf.DUMMYFUNCTION("""COMPUTED_VALUE"""),44597)</f>
        <v>44597</v>
      </c>
      <c r="C970" s="22">
        <f ca="1">IFERROR(__xludf.DUMMYFUNCTION("""COMPUTED_VALUE"""),500000)</f>
        <v>500000</v>
      </c>
      <c r="D970" s="22">
        <f ca="1">IFERROR(__xludf.DUMMYFUNCTION("""COMPUTED_VALUE"""),0)</f>
        <v>0</v>
      </c>
      <c r="E970" s="22">
        <f ca="1">IFERROR(__xludf.DUMMYFUNCTION("""COMPUTED_VALUE"""),500000)</f>
        <v>500000</v>
      </c>
      <c r="F970" s="22">
        <f ca="1">IFERROR(__xludf.DUMMYFUNCTION("""COMPUTED_VALUE"""),500000)</f>
        <v>500000</v>
      </c>
      <c r="G970" s="22">
        <f ca="1">IFERROR(__xludf.DUMMYFUNCTION("""COMPUTED_VALUE"""),0)</f>
        <v>0</v>
      </c>
      <c r="H970" s="7">
        <f ca="1">IFERROR(__xludf.DUMMYFUNCTION("""COMPUTED_VALUE"""),500000)</f>
        <v>500000</v>
      </c>
    </row>
    <row r="971" spans="1:8" ht="13" x14ac:dyDescent="0.15">
      <c r="A971" s="5" t="str">
        <f ca="1">IFERROR(__xludf.DUMMYFUNCTION("""COMPUTED_VALUE"""),"37568")</f>
        <v>37568</v>
      </c>
      <c r="B971" s="51">
        <f ca="1">IFERROR(__xludf.DUMMYFUNCTION("""COMPUTED_VALUE"""),44598)</f>
        <v>44598</v>
      </c>
      <c r="C971" s="22">
        <f ca="1">IFERROR(__xludf.DUMMYFUNCTION("""COMPUTED_VALUE"""),500000)</f>
        <v>500000</v>
      </c>
      <c r="D971" s="22">
        <f ca="1">IFERROR(__xludf.DUMMYFUNCTION("""COMPUTED_VALUE"""),0)</f>
        <v>0</v>
      </c>
      <c r="E971" s="22">
        <f ca="1">IFERROR(__xludf.DUMMYFUNCTION("""COMPUTED_VALUE"""),500000)</f>
        <v>500000</v>
      </c>
      <c r="F971" s="22">
        <f ca="1">IFERROR(__xludf.DUMMYFUNCTION("""COMPUTED_VALUE"""),500000)</f>
        <v>500000</v>
      </c>
      <c r="G971" s="22">
        <f ca="1">IFERROR(__xludf.DUMMYFUNCTION("""COMPUTED_VALUE"""),0)</f>
        <v>0</v>
      </c>
      <c r="H971" s="7">
        <f ca="1">IFERROR(__xludf.DUMMYFUNCTION("""COMPUTED_VALUE"""),500000)</f>
        <v>500000</v>
      </c>
    </row>
    <row r="972" spans="1:8" ht="13" x14ac:dyDescent="0.15">
      <c r="A972" s="5" t="str">
        <f ca="1">IFERROR(__xludf.DUMMYFUNCTION("""COMPUTED_VALUE"""),"37568")</f>
        <v>37568</v>
      </c>
      <c r="B972" s="51">
        <f ca="1">IFERROR(__xludf.DUMMYFUNCTION("""COMPUTED_VALUE"""),44599)</f>
        <v>44599</v>
      </c>
      <c r="C972" s="22">
        <f ca="1">IFERROR(__xludf.DUMMYFUNCTION("""COMPUTED_VALUE"""),500000)</f>
        <v>500000</v>
      </c>
      <c r="D972" s="22">
        <f ca="1">IFERROR(__xludf.DUMMYFUNCTION("""COMPUTED_VALUE"""),0)</f>
        <v>0</v>
      </c>
      <c r="E972" s="22">
        <f ca="1">IFERROR(__xludf.DUMMYFUNCTION("""COMPUTED_VALUE"""),500000)</f>
        <v>500000</v>
      </c>
      <c r="F972" s="22">
        <f ca="1">IFERROR(__xludf.DUMMYFUNCTION("""COMPUTED_VALUE"""),500000)</f>
        <v>500000</v>
      </c>
      <c r="G972" s="22">
        <f ca="1">IFERROR(__xludf.DUMMYFUNCTION("""COMPUTED_VALUE"""),0)</f>
        <v>0</v>
      </c>
      <c r="H972" s="7">
        <f ca="1">IFERROR(__xludf.DUMMYFUNCTION("""COMPUTED_VALUE"""),500000)</f>
        <v>500000</v>
      </c>
    </row>
    <row r="973" spans="1:8" ht="13" x14ac:dyDescent="0.15">
      <c r="A973" s="5" t="str">
        <f ca="1">IFERROR(__xludf.DUMMYFUNCTION("""COMPUTED_VALUE"""),"37568")</f>
        <v>37568</v>
      </c>
      <c r="B973" s="51">
        <f ca="1">IFERROR(__xludf.DUMMYFUNCTION("""COMPUTED_VALUE"""),44600)</f>
        <v>44600</v>
      </c>
      <c r="C973" s="22">
        <f ca="1">IFERROR(__xludf.DUMMYFUNCTION("""COMPUTED_VALUE"""),500000)</f>
        <v>500000</v>
      </c>
      <c r="D973" s="22">
        <f ca="1">IFERROR(__xludf.DUMMYFUNCTION("""COMPUTED_VALUE"""),0)</f>
        <v>0</v>
      </c>
      <c r="E973" s="22">
        <f ca="1">IFERROR(__xludf.DUMMYFUNCTION("""COMPUTED_VALUE"""),500000)</f>
        <v>500000</v>
      </c>
      <c r="F973" s="22">
        <f ca="1">IFERROR(__xludf.DUMMYFUNCTION("""COMPUTED_VALUE"""),500000)</f>
        <v>500000</v>
      </c>
      <c r="G973" s="22">
        <f ca="1">IFERROR(__xludf.DUMMYFUNCTION("""COMPUTED_VALUE"""),0)</f>
        <v>0</v>
      </c>
      <c r="H973" s="7">
        <f ca="1">IFERROR(__xludf.DUMMYFUNCTION("""COMPUTED_VALUE"""),500000)</f>
        <v>500000</v>
      </c>
    </row>
    <row r="974" spans="1:8" ht="13" x14ac:dyDescent="0.15">
      <c r="A974" s="5" t="str">
        <f ca="1">IFERROR(__xludf.DUMMYFUNCTION("""COMPUTED_VALUE"""),"37568")</f>
        <v>37568</v>
      </c>
      <c r="B974" s="51">
        <f ca="1">IFERROR(__xludf.DUMMYFUNCTION("""COMPUTED_VALUE"""),44601)</f>
        <v>44601</v>
      </c>
      <c r="C974" s="22">
        <f ca="1">IFERROR(__xludf.DUMMYFUNCTION("""COMPUTED_VALUE"""),500000)</f>
        <v>500000</v>
      </c>
      <c r="D974" s="22">
        <f ca="1">IFERROR(__xludf.DUMMYFUNCTION("""COMPUTED_VALUE"""),0)</f>
        <v>0</v>
      </c>
      <c r="E974" s="22">
        <f ca="1">IFERROR(__xludf.DUMMYFUNCTION("""COMPUTED_VALUE"""),500000)</f>
        <v>500000</v>
      </c>
      <c r="F974" s="22">
        <f ca="1">IFERROR(__xludf.DUMMYFUNCTION("""COMPUTED_VALUE"""),500000)</f>
        <v>500000</v>
      </c>
      <c r="G974" s="22">
        <f ca="1">IFERROR(__xludf.DUMMYFUNCTION("""COMPUTED_VALUE"""),0)</f>
        <v>0</v>
      </c>
      <c r="H974" s="7">
        <f ca="1">IFERROR(__xludf.DUMMYFUNCTION("""COMPUTED_VALUE"""),500000)</f>
        <v>500000</v>
      </c>
    </row>
    <row r="975" spans="1:8" ht="13" x14ac:dyDescent="0.15">
      <c r="A975" s="5" t="str">
        <f ca="1">IFERROR(__xludf.DUMMYFUNCTION("""COMPUTED_VALUE"""),"37568")</f>
        <v>37568</v>
      </c>
      <c r="B975" s="51">
        <f ca="1">IFERROR(__xludf.DUMMYFUNCTION("""COMPUTED_VALUE"""),44602)</f>
        <v>44602</v>
      </c>
      <c r="C975" s="22">
        <f ca="1">IFERROR(__xludf.DUMMYFUNCTION("""COMPUTED_VALUE"""),500000)</f>
        <v>500000</v>
      </c>
      <c r="D975" s="22">
        <f ca="1">IFERROR(__xludf.DUMMYFUNCTION("""COMPUTED_VALUE"""),0)</f>
        <v>0</v>
      </c>
      <c r="E975" s="22">
        <f ca="1">IFERROR(__xludf.DUMMYFUNCTION("""COMPUTED_VALUE"""),500000)</f>
        <v>500000</v>
      </c>
      <c r="F975" s="22">
        <f ca="1">IFERROR(__xludf.DUMMYFUNCTION("""COMPUTED_VALUE"""),500000)</f>
        <v>500000</v>
      </c>
      <c r="G975" s="22">
        <f ca="1">IFERROR(__xludf.DUMMYFUNCTION("""COMPUTED_VALUE"""),0)</f>
        <v>0</v>
      </c>
      <c r="H975" s="7">
        <f ca="1">IFERROR(__xludf.DUMMYFUNCTION("""COMPUTED_VALUE"""),500000)</f>
        <v>500000</v>
      </c>
    </row>
    <row r="976" spans="1:8" ht="13" x14ac:dyDescent="0.15">
      <c r="A976" s="5" t="str">
        <f ca="1">IFERROR(__xludf.DUMMYFUNCTION("""COMPUTED_VALUE"""),"37568")</f>
        <v>37568</v>
      </c>
      <c r="B976" s="51">
        <f ca="1">IFERROR(__xludf.DUMMYFUNCTION("""COMPUTED_VALUE"""),44603)</f>
        <v>44603</v>
      </c>
      <c r="C976" s="22">
        <f ca="1">IFERROR(__xludf.DUMMYFUNCTION("""COMPUTED_VALUE"""),500000)</f>
        <v>500000</v>
      </c>
      <c r="D976" s="22">
        <f ca="1">IFERROR(__xludf.DUMMYFUNCTION("""COMPUTED_VALUE"""),0)</f>
        <v>0</v>
      </c>
      <c r="E976" s="22">
        <f ca="1">IFERROR(__xludf.DUMMYFUNCTION("""COMPUTED_VALUE"""),500000)</f>
        <v>500000</v>
      </c>
      <c r="F976" s="22">
        <f ca="1">IFERROR(__xludf.DUMMYFUNCTION("""COMPUTED_VALUE"""),500000)</f>
        <v>500000</v>
      </c>
      <c r="G976" s="22">
        <f ca="1">IFERROR(__xludf.DUMMYFUNCTION("""COMPUTED_VALUE"""),0)</f>
        <v>0</v>
      </c>
      <c r="H976" s="7">
        <f ca="1">IFERROR(__xludf.DUMMYFUNCTION("""COMPUTED_VALUE"""),500000)</f>
        <v>500000</v>
      </c>
    </row>
    <row r="977" spans="1:8" ht="13" x14ac:dyDescent="0.15">
      <c r="A977" s="5" t="str">
        <f ca="1">IFERROR(__xludf.DUMMYFUNCTION("""COMPUTED_VALUE"""),"37568")</f>
        <v>37568</v>
      </c>
      <c r="B977" s="51">
        <f ca="1">IFERROR(__xludf.DUMMYFUNCTION("""COMPUTED_VALUE"""),44604)</f>
        <v>44604</v>
      </c>
      <c r="C977" s="22">
        <f ca="1">IFERROR(__xludf.DUMMYFUNCTION("""COMPUTED_VALUE"""),500000)</f>
        <v>500000</v>
      </c>
      <c r="D977" s="22">
        <f ca="1">IFERROR(__xludf.DUMMYFUNCTION("""COMPUTED_VALUE"""),0)</f>
        <v>0</v>
      </c>
      <c r="E977" s="22">
        <f ca="1">IFERROR(__xludf.DUMMYFUNCTION("""COMPUTED_VALUE"""),500000)</f>
        <v>500000</v>
      </c>
      <c r="F977" s="22">
        <f ca="1">IFERROR(__xludf.DUMMYFUNCTION("""COMPUTED_VALUE"""),500000)</f>
        <v>500000</v>
      </c>
      <c r="G977" s="22">
        <f ca="1">IFERROR(__xludf.DUMMYFUNCTION("""COMPUTED_VALUE"""),0)</f>
        <v>0</v>
      </c>
      <c r="H977" s="7">
        <f ca="1">IFERROR(__xludf.DUMMYFUNCTION("""COMPUTED_VALUE"""),500000)</f>
        <v>500000</v>
      </c>
    </row>
    <row r="978" spans="1:8" ht="13" x14ac:dyDescent="0.15">
      <c r="A978" s="5" t="str">
        <f ca="1">IFERROR(__xludf.DUMMYFUNCTION("""COMPUTED_VALUE"""),"37568")</f>
        <v>37568</v>
      </c>
      <c r="B978" s="51">
        <f ca="1">IFERROR(__xludf.DUMMYFUNCTION("""COMPUTED_VALUE"""),44605)</f>
        <v>44605</v>
      </c>
      <c r="C978" s="22">
        <f ca="1">IFERROR(__xludf.DUMMYFUNCTION("""COMPUTED_VALUE"""),500000)</f>
        <v>500000</v>
      </c>
      <c r="D978" s="22">
        <f ca="1">IFERROR(__xludf.DUMMYFUNCTION("""COMPUTED_VALUE"""),0)</f>
        <v>0</v>
      </c>
      <c r="E978" s="22">
        <f ca="1">IFERROR(__xludf.DUMMYFUNCTION("""COMPUTED_VALUE"""),500000)</f>
        <v>500000</v>
      </c>
      <c r="F978" s="22">
        <f ca="1">IFERROR(__xludf.DUMMYFUNCTION("""COMPUTED_VALUE"""),500000)</f>
        <v>500000</v>
      </c>
      <c r="G978" s="22">
        <f ca="1">IFERROR(__xludf.DUMMYFUNCTION("""COMPUTED_VALUE"""),0)</f>
        <v>0</v>
      </c>
      <c r="H978" s="7">
        <f ca="1">IFERROR(__xludf.DUMMYFUNCTION("""COMPUTED_VALUE"""),500000)</f>
        <v>500000</v>
      </c>
    </row>
    <row r="979" spans="1:8" ht="13" x14ac:dyDescent="0.15">
      <c r="A979" s="5" t="str">
        <f ca="1">IFERROR(__xludf.DUMMYFUNCTION("""COMPUTED_VALUE"""),"37568")</f>
        <v>37568</v>
      </c>
      <c r="B979" s="51">
        <f ca="1">IFERROR(__xludf.DUMMYFUNCTION("""COMPUTED_VALUE"""),44606)</f>
        <v>44606</v>
      </c>
      <c r="C979" s="22">
        <f ca="1">IFERROR(__xludf.DUMMYFUNCTION("""COMPUTED_VALUE"""),500000)</f>
        <v>500000</v>
      </c>
      <c r="D979" s="22">
        <f ca="1">IFERROR(__xludf.DUMMYFUNCTION("""COMPUTED_VALUE"""),0)</f>
        <v>0</v>
      </c>
      <c r="E979" s="22">
        <f ca="1">IFERROR(__xludf.DUMMYFUNCTION("""COMPUTED_VALUE"""),500000)</f>
        <v>500000</v>
      </c>
      <c r="F979" s="22">
        <f ca="1">IFERROR(__xludf.DUMMYFUNCTION("""COMPUTED_VALUE"""),500000)</f>
        <v>500000</v>
      </c>
      <c r="G979" s="22">
        <f ca="1">IFERROR(__xludf.DUMMYFUNCTION("""COMPUTED_VALUE"""),0)</f>
        <v>0</v>
      </c>
      <c r="H979" s="7">
        <f ca="1">IFERROR(__xludf.DUMMYFUNCTION("""COMPUTED_VALUE"""),500000)</f>
        <v>500000</v>
      </c>
    </row>
    <row r="980" spans="1:8" ht="13" x14ac:dyDescent="0.15">
      <c r="A980" s="5" t="str">
        <f ca="1">IFERROR(__xludf.DUMMYFUNCTION("""COMPUTED_VALUE"""),"37568")</f>
        <v>37568</v>
      </c>
      <c r="B980" s="51">
        <f ca="1">IFERROR(__xludf.DUMMYFUNCTION("""COMPUTED_VALUE"""),44607)</f>
        <v>44607</v>
      </c>
      <c r="C980" s="22">
        <f ca="1">IFERROR(__xludf.DUMMYFUNCTION("""COMPUTED_VALUE"""),500000)</f>
        <v>500000</v>
      </c>
      <c r="D980" s="22">
        <f ca="1">IFERROR(__xludf.DUMMYFUNCTION("""COMPUTED_VALUE"""),0)</f>
        <v>0</v>
      </c>
      <c r="E980" s="22">
        <f ca="1">IFERROR(__xludf.DUMMYFUNCTION("""COMPUTED_VALUE"""),500000)</f>
        <v>500000</v>
      </c>
      <c r="F980" s="22">
        <f ca="1">IFERROR(__xludf.DUMMYFUNCTION("""COMPUTED_VALUE"""),500000)</f>
        <v>500000</v>
      </c>
      <c r="G980" s="22">
        <f ca="1">IFERROR(__xludf.DUMMYFUNCTION("""COMPUTED_VALUE"""),0)</f>
        <v>0</v>
      </c>
      <c r="H980" s="7">
        <f ca="1">IFERROR(__xludf.DUMMYFUNCTION("""COMPUTED_VALUE"""),500000)</f>
        <v>500000</v>
      </c>
    </row>
    <row r="981" spans="1:8" ht="13" x14ac:dyDescent="0.15">
      <c r="A981" s="5" t="str">
        <f ca="1">IFERROR(__xludf.DUMMYFUNCTION("""COMPUTED_VALUE"""),"37568")</f>
        <v>37568</v>
      </c>
      <c r="B981" s="51">
        <f ca="1">IFERROR(__xludf.DUMMYFUNCTION("""COMPUTED_VALUE"""),44608)</f>
        <v>44608</v>
      </c>
      <c r="C981" s="22">
        <f ca="1">IFERROR(__xludf.DUMMYFUNCTION("""COMPUTED_VALUE"""),500000)</f>
        <v>500000</v>
      </c>
      <c r="D981" s="22">
        <f ca="1">IFERROR(__xludf.DUMMYFUNCTION("""COMPUTED_VALUE"""),0)</f>
        <v>0</v>
      </c>
      <c r="E981" s="22">
        <f ca="1">IFERROR(__xludf.DUMMYFUNCTION("""COMPUTED_VALUE"""),500000)</f>
        <v>500000</v>
      </c>
      <c r="F981" s="22">
        <f ca="1">IFERROR(__xludf.DUMMYFUNCTION("""COMPUTED_VALUE"""),500000)</f>
        <v>500000</v>
      </c>
      <c r="G981" s="22">
        <f ca="1">IFERROR(__xludf.DUMMYFUNCTION("""COMPUTED_VALUE"""),0)</f>
        <v>0</v>
      </c>
      <c r="H981" s="7">
        <f ca="1">IFERROR(__xludf.DUMMYFUNCTION("""COMPUTED_VALUE"""),500000)</f>
        <v>500000</v>
      </c>
    </row>
    <row r="982" spans="1:8" ht="13" x14ac:dyDescent="0.15">
      <c r="A982" s="5" t="str">
        <f ca="1">IFERROR(__xludf.DUMMYFUNCTION("""COMPUTED_VALUE"""),"37568")</f>
        <v>37568</v>
      </c>
      <c r="B982" s="51">
        <f ca="1">IFERROR(__xludf.DUMMYFUNCTION("""COMPUTED_VALUE"""),44609)</f>
        <v>44609</v>
      </c>
      <c r="C982" s="22">
        <f ca="1">IFERROR(__xludf.DUMMYFUNCTION("""COMPUTED_VALUE"""),500000)</f>
        <v>500000</v>
      </c>
      <c r="D982" s="22">
        <f ca="1">IFERROR(__xludf.DUMMYFUNCTION("""COMPUTED_VALUE"""),0)</f>
        <v>0</v>
      </c>
      <c r="E982" s="22">
        <f ca="1">IFERROR(__xludf.DUMMYFUNCTION("""COMPUTED_VALUE"""),500000)</f>
        <v>500000</v>
      </c>
      <c r="F982" s="22">
        <f ca="1">IFERROR(__xludf.DUMMYFUNCTION("""COMPUTED_VALUE"""),500000)</f>
        <v>500000</v>
      </c>
      <c r="G982" s="22">
        <f ca="1">IFERROR(__xludf.DUMMYFUNCTION("""COMPUTED_VALUE"""),0)</f>
        <v>0</v>
      </c>
      <c r="H982" s="7">
        <f ca="1">IFERROR(__xludf.DUMMYFUNCTION("""COMPUTED_VALUE"""),500000)</f>
        <v>500000</v>
      </c>
    </row>
    <row r="983" spans="1:8" ht="13" x14ac:dyDescent="0.15">
      <c r="A983" s="5" t="str">
        <f ca="1">IFERROR(__xludf.DUMMYFUNCTION("""COMPUTED_VALUE"""),"37568")</f>
        <v>37568</v>
      </c>
      <c r="B983" s="51">
        <f ca="1">IFERROR(__xludf.DUMMYFUNCTION("""COMPUTED_VALUE"""),44610)</f>
        <v>44610</v>
      </c>
      <c r="C983" s="22">
        <f ca="1">IFERROR(__xludf.DUMMYFUNCTION("""COMPUTED_VALUE"""),500000)</f>
        <v>500000</v>
      </c>
      <c r="D983" s="22">
        <f ca="1">IFERROR(__xludf.DUMMYFUNCTION("""COMPUTED_VALUE"""),0)</f>
        <v>0</v>
      </c>
      <c r="E983" s="22">
        <f ca="1">IFERROR(__xludf.DUMMYFUNCTION("""COMPUTED_VALUE"""),500000)</f>
        <v>500000</v>
      </c>
      <c r="F983" s="22">
        <f ca="1">IFERROR(__xludf.DUMMYFUNCTION("""COMPUTED_VALUE"""),500000)</f>
        <v>500000</v>
      </c>
      <c r="G983" s="22">
        <f ca="1">IFERROR(__xludf.DUMMYFUNCTION("""COMPUTED_VALUE"""),0)</f>
        <v>0</v>
      </c>
      <c r="H983" s="7">
        <f ca="1">IFERROR(__xludf.DUMMYFUNCTION("""COMPUTED_VALUE"""),500000)</f>
        <v>500000</v>
      </c>
    </row>
    <row r="984" spans="1:8" ht="13" x14ac:dyDescent="0.15">
      <c r="A984" s="5" t="str">
        <f ca="1">IFERROR(__xludf.DUMMYFUNCTION("""COMPUTED_VALUE"""),"37568")</f>
        <v>37568</v>
      </c>
      <c r="B984" s="51">
        <f ca="1">IFERROR(__xludf.DUMMYFUNCTION("""COMPUTED_VALUE"""),44611)</f>
        <v>44611</v>
      </c>
      <c r="C984" s="22">
        <f ca="1">IFERROR(__xludf.DUMMYFUNCTION("""COMPUTED_VALUE"""),500000)</f>
        <v>500000</v>
      </c>
      <c r="D984" s="22">
        <f ca="1">IFERROR(__xludf.DUMMYFUNCTION("""COMPUTED_VALUE"""),0)</f>
        <v>0</v>
      </c>
      <c r="E984" s="22">
        <f ca="1">IFERROR(__xludf.DUMMYFUNCTION("""COMPUTED_VALUE"""),500000)</f>
        <v>500000</v>
      </c>
      <c r="F984" s="22">
        <f ca="1">IFERROR(__xludf.DUMMYFUNCTION("""COMPUTED_VALUE"""),500000)</f>
        <v>500000</v>
      </c>
      <c r="G984" s="22">
        <f ca="1">IFERROR(__xludf.DUMMYFUNCTION("""COMPUTED_VALUE"""),0)</f>
        <v>0</v>
      </c>
      <c r="H984" s="7">
        <f ca="1">IFERROR(__xludf.DUMMYFUNCTION("""COMPUTED_VALUE"""),500000)</f>
        <v>500000</v>
      </c>
    </row>
    <row r="985" spans="1:8" ht="13" x14ac:dyDescent="0.15">
      <c r="A985" s="5" t="str">
        <f ca="1">IFERROR(__xludf.DUMMYFUNCTION("""COMPUTED_VALUE"""),"37568")</f>
        <v>37568</v>
      </c>
      <c r="B985" s="51">
        <f ca="1">IFERROR(__xludf.DUMMYFUNCTION("""COMPUTED_VALUE"""),44612)</f>
        <v>44612</v>
      </c>
      <c r="C985" s="22">
        <f ca="1">IFERROR(__xludf.DUMMYFUNCTION("""COMPUTED_VALUE"""),500000)</f>
        <v>500000</v>
      </c>
      <c r="D985" s="22">
        <f ca="1">IFERROR(__xludf.DUMMYFUNCTION("""COMPUTED_VALUE"""),0)</f>
        <v>0</v>
      </c>
      <c r="E985" s="22">
        <f ca="1">IFERROR(__xludf.DUMMYFUNCTION("""COMPUTED_VALUE"""),500000)</f>
        <v>500000</v>
      </c>
      <c r="F985" s="22">
        <f ca="1">IFERROR(__xludf.DUMMYFUNCTION("""COMPUTED_VALUE"""),500000)</f>
        <v>500000</v>
      </c>
      <c r="G985" s="22">
        <f ca="1">IFERROR(__xludf.DUMMYFUNCTION("""COMPUTED_VALUE"""),0)</f>
        <v>0</v>
      </c>
      <c r="H985" s="7">
        <f ca="1">IFERROR(__xludf.DUMMYFUNCTION("""COMPUTED_VALUE"""),500000)</f>
        <v>500000</v>
      </c>
    </row>
    <row r="986" spans="1:8" ht="13" x14ac:dyDescent="0.15">
      <c r="A986" s="5" t="str">
        <f ca="1">IFERROR(__xludf.DUMMYFUNCTION("""COMPUTED_VALUE"""),"37568")</f>
        <v>37568</v>
      </c>
      <c r="B986" s="51">
        <f ca="1">IFERROR(__xludf.DUMMYFUNCTION("""COMPUTED_VALUE"""),44613)</f>
        <v>44613</v>
      </c>
      <c r="C986" s="22">
        <f ca="1">IFERROR(__xludf.DUMMYFUNCTION("""COMPUTED_VALUE"""),500000)</f>
        <v>500000</v>
      </c>
      <c r="D986" s="22">
        <f ca="1">IFERROR(__xludf.DUMMYFUNCTION("""COMPUTED_VALUE"""),0)</f>
        <v>0</v>
      </c>
      <c r="E986" s="22">
        <f ca="1">IFERROR(__xludf.DUMMYFUNCTION("""COMPUTED_VALUE"""),500000)</f>
        <v>500000</v>
      </c>
      <c r="F986" s="22">
        <f ca="1">IFERROR(__xludf.DUMMYFUNCTION("""COMPUTED_VALUE"""),500000)</f>
        <v>500000</v>
      </c>
      <c r="G986" s="22">
        <f ca="1">IFERROR(__xludf.DUMMYFUNCTION("""COMPUTED_VALUE"""),0)</f>
        <v>0</v>
      </c>
      <c r="H986" s="7">
        <f ca="1">IFERROR(__xludf.DUMMYFUNCTION("""COMPUTED_VALUE"""),500000)</f>
        <v>500000</v>
      </c>
    </row>
    <row r="987" spans="1:8" ht="13" x14ac:dyDescent="0.15">
      <c r="A987" s="5" t="str">
        <f ca="1">IFERROR(__xludf.DUMMYFUNCTION("""COMPUTED_VALUE"""),"37568")</f>
        <v>37568</v>
      </c>
      <c r="B987" s="51">
        <f ca="1">IFERROR(__xludf.DUMMYFUNCTION("""COMPUTED_VALUE"""),44614)</f>
        <v>44614</v>
      </c>
      <c r="C987" s="22">
        <f ca="1">IFERROR(__xludf.DUMMYFUNCTION("""COMPUTED_VALUE"""),500000)</f>
        <v>500000</v>
      </c>
      <c r="D987" s="22">
        <f ca="1">IFERROR(__xludf.DUMMYFUNCTION("""COMPUTED_VALUE"""),0)</f>
        <v>0</v>
      </c>
      <c r="E987" s="22">
        <f ca="1">IFERROR(__xludf.DUMMYFUNCTION("""COMPUTED_VALUE"""),500000)</f>
        <v>500000</v>
      </c>
      <c r="F987" s="22">
        <f ca="1">IFERROR(__xludf.DUMMYFUNCTION("""COMPUTED_VALUE"""),500000)</f>
        <v>500000</v>
      </c>
      <c r="G987" s="22">
        <f ca="1">IFERROR(__xludf.DUMMYFUNCTION("""COMPUTED_VALUE"""),0)</f>
        <v>0</v>
      </c>
      <c r="H987" s="7">
        <f ca="1">IFERROR(__xludf.DUMMYFUNCTION("""COMPUTED_VALUE"""),500000)</f>
        <v>500000</v>
      </c>
    </row>
    <row r="988" spans="1:8" ht="13" x14ac:dyDescent="0.15">
      <c r="A988" s="5" t="str">
        <f ca="1">IFERROR(__xludf.DUMMYFUNCTION("""COMPUTED_VALUE"""),"37568")</f>
        <v>37568</v>
      </c>
      <c r="B988" s="51">
        <f ca="1">IFERROR(__xludf.DUMMYFUNCTION("""COMPUTED_VALUE"""),44615)</f>
        <v>44615</v>
      </c>
      <c r="C988" s="22">
        <f ca="1">IFERROR(__xludf.DUMMYFUNCTION("""COMPUTED_VALUE"""),500000)</f>
        <v>500000</v>
      </c>
      <c r="D988" s="22">
        <f ca="1">IFERROR(__xludf.DUMMYFUNCTION("""COMPUTED_VALUE"""),0)</f>
        <v>0</v>
      </c>
      <c r="E988" s="22">
        <f ca="1">IFERROR(__xludf.DUMMYFUNCTION("""COMPUTED_VALUE"""),500000)</f>
        <v>500000</v>
      </c>
      <c r="F988" s="22">
        <f ca="1">IFERROR(__xludf.DUMMYFUNCTION("""COMPUTED_VALUE"""),500000)</f>
        <v>500000</v>
      </c>
      <c r="G988" s="22">
        <f ca="1">IFERROR(__xludf.DUMMYFUNCTION("""COMPUTED_VALUE"""),0)</f>
        <v>0</v>
      </c>
      <c r="H988" s="7">
        <f ca="1">IFERROR(__xludf.DUMMYFUNCTION("""COMPUTED_VALUE"""),500000)</f>
        <v>500000</v>
      </c>
    </row>
    <row r="989" spans="1:8" ht="13" x14ac:dyDescent="0.15">
      <c r="A989" s="5" t="str">
        <f ca="1">IFERROR(__xludf.DUMMYFUNCTION("""COMPUTED_VALUE"""),"37568")</f>
        <v>37568</v>
      </c>
      <c r="B989" s="51">
        <f ca="1">IFERROR(__xludf.DUMMYFUNCTION("""COMPUTED_VALUE"""),44616)</f>
        <v>44616</v>
      </c>
      <c r="C989" s="22">
        <f ca="1">IFERROR(__xludf.DUMMYFUNCTION("""COMPUTED_VALUE"""),500000)</f>
        <v>500000</v>
      </c>
      <c r="D989" s="22">
        <f ca="1">IFERROR(__xludf.DUMMYFUNCTION("""COMPUTED_VALUE"""),0)</f>
        <v>0</v>
      </c>
      <c r="E989" s="22">
        <f ca="1">IFERROR(__xludf.DUMMYFUNCTION("""COMPUTED_VALUE"""),500000)</f>
        <v>500000</v>
      </c>
      <c r="F989" s="22">
        <f ca="1">IFERROR(__xludf.DUMMYFUNCTION("""COMPUTED_VALUE"""),500000)</f>
        <v>500000</v>
      </c>
      <c r="G989" s="22">
        <f ca="1">IFERROR(__xludf.DUMMYFUNCTION("""COMPUTED_VALUE"""),0)</f>
        <v>0</v>
      </c>
      <c r="H989" s="7">
        <f ca="1">IFERROR(__xludf.DUMMYFUNCTION("""COMPUTED_VALUE"""),500000)</f>
        <v>500000</v>
      </c>
    </row>
    <row r="990" spans="1:8" ht="13" x14ac:dyDescent="0.15">
      <c r="A990" s="5" t="str">
        <f ca="1">IFERROR(__xludf.DUMMYFUNCTION("""COMPUTED_VALUE"""),"37568")</f>
        <v>37568</v>
      </c>
      <c r="B990" s="51">
        <f ca="1">IFERROR(__xludf.DUMMYFUNCTION("""COMPUTED_VALUE"""),44617)</f>
        <v>44617</v>
      </c>
      <c r="C990" s="22">
        <f ca="1">IFERROR(__xludf.DUMMYFUNCTION("""COMPUTED_VALUE"""),500000)</f>
        <v>500000</v>
      </c>
      <c r="D990" s="22">
        <f ca="1">IFERROR(__xludf.DUMMYFUNCTION("""COMPUTED_VALUE"""),0)</f>
        <v>0</v>
      </c>
      <c r="E990" s="22">
        <f ca="1">IFERROR(__xludf.DUMMYFUNCTION("""COMPUTED_VALUE"""),500000)</f>
        <v>500000</v>
      </c>
      <c r="F990" s="22">
        <f ca="1">IFERROR(__xludf.DUMMYFUNCTION("""COMPUTED_VALUE"""),500000)</f>
        <v>500000</v>
      </c>
      <c r="G990" s="22">
        <f ca="1">IFERROR(__xludf.DUMMYFUNCTION("""COMPUTED_VALUE"""),0)</f>
        <v>0</v>
      </c>
      <c r="H990" s="7">
        <f ca="1">IFERROR(__xludf.DUMMYFUNCTION("""COMPUTED_VALUE"""),500000)</f>
        <v>500000</v>
      </c>
    </row>
    <row r="991" spans="1:8" ht="13" x14ac:dyDescent="0.15">
      <c r="A991" s="5" t="str">
        <f ca="1">IFERROR(__xludf.DUMMYFUNCTION("""COMPUTED_VALUE"""),"37568")</f>
        <v>37568</v>
      </c>
      <c r="B991" s="51">
        <f ca="1">IFERROR(__xludf.DUMMYFUNCTION("""COMPUTED_VALUE"""),44618)</f>
        <v>44618</v>
      </c>
      <c r="C991" s="22">
        <f ca="1">IFERROR(__xludf.DUMMYFUNCTION("""COMPUTED_VALUE"""),500000)</f>
        <v>500000</v>
      </c>
      <c r="D991" s="22">
        <f ca="1">IFERROR(__xludf.DUMMYFUNCTION("""COMPUTED_VALUE"""),0)</f>
        <v>0</v>
      </c>
      <c r="E991" s="22">
        <f ca="1">IFERROR(__xludf.DUMMYFUNCTION("""COMPUTED_VALUE"""),500000)</f>
        <v>500000</v>
      </c>
      <c r="F991" s="22">
        <f ca="1">IFERROR(__xludf.DUMMYFUNCTION("""COMPUTED_VALUE"""),500000)</f>
        <v>500000</v>
      </c>
      <c r="G991" s="22">
        <f ca="1">IFERROR(__xludf.DUMMYFUNCTION("""COMPUTED_VALUE"""),0)</f>
        <v>0</v>
      </c>
      <c r="H991" s="7">
        <f ca="1">IFERROR(__xludf.DUMMYFUNCTION("""COMPUTED_VALUE"""),500000)</f>
        <v>500000</v>
      </c>
    </row>
    <row r="992" spans="1:8" ht="13" x14ac:dyDescent="0.15">
      <c r="A992" s="5" t="str">
        <f ca="1">IFERROR(__xludf.DUMMYFUNCTION("""COMPUTED_VALUE"""),"37568")</f>
        <v>37568</v>
      </c>
      <c r="B992" s="51">
        <f ca="1">IFERROR(__xludf.DUMMYFUNCTION("""COMPUTED_VALUE"""),44619)</f>
        <v>44619</v>
      </c>
      <c r="C992" s="22">
        <f ca="1">IFERROR(__xludf.DUMMYFUNCTION("""COMPUTED_VALUE"""),500000)</f>
        <v>500000</v>
      </c>
      <c r="D992" s="22">
        <f ca="1">IFERROR(__xludf.DUMMYFUNCTION("""COMPUTED_VALUE"""),0)</f>
        <v>0</v>
      </c>
      <c r="E992" s="22">
        <f ca="1">IFERROR(__xludf.DUMMYFUNCTION("""COMPUTED_VALUE"""),500000)</f>
        <v>500000</v>
      </c>
      <c r="F992" s="22">
        <f ca="1">IFERROR(__xludf.DUMMYFUNCTION("""COMPUTED_VALUE"""),500000)</f>
        <v>500000</v>
      </c>
      <c r="G992" s="22">
        <f ca="1">IFERROR(__xludf.DUMMYFUNCTION("""COMPUTED_VALUE"""),0)</f>
        <v>0</v>
      </c>
      <c r="H992" s="7">
        <f ca="1">IFERROR(__xludf.DUMMYFUNCTION("""COMPUTED_VALUE"""),500000)</f>
        <v>500000</v>
      </c>
    </row>
    <row r="993" spans="1:8" ht="13" x14ac:dyDescent="0.15">
      <c r="A993" s="5" t="str">
        <f ca="1">IFERROR(__xludf.DUMMYFUNCTION("""COMPUTED_VALUE"""),"37568")</f>
        <v>37568</v>
      </c>
      <c r="B993" s="51">
        <f ca="1">IFERROR(__xludf.DUMMYFUNCTION("""COMPUTED_VALUE"""),44620)</f>
        <v>44620</v>
      </c>
      <c r="C993" s="22">
        <f ca="1">IFERROR(__xludf.DUMMYFUNCTION("""COMPUTED_VALUE"""),500000)</f>
        <v>500000</v>
      </c>
      <c r="D993" s="22">
        <f ca="1">IFERROR(__xludf.DUMMYFUNCTION("""COMPUTED_VALUE"""),0)</f>
        <v>0</v>
      </c>
      <c r="E993" s="22">
        <f ca="1">IFERROR(__xludf.DUMMYFUNCTION("""COMPUTED_VALUE"""),500000)</f>
        <v>500000</v>
      </c>
      <c r="F993" s="22">
        <f ca="1">IFERROR(__xludf.DUMMYFUNCTION("""COMPUTED_VALUE"""),500000)</f>
        <v>500000</v>
      </c>
      <c r="G993" s="22">
        <f ca="1">IFERROR(__xludf.DUMMYFUNCTION("""COMPUTED_VALUE"""),0)</f>
        <v>0</v>
      </c>
      <c r="H993" s="7">
        <f ca="1">IFERROR(__xludf.DUMMYFUNCTION("""COMPUTED_VALUE"""),500000)</f>
        <v>500000</v>
      </c>
    </row>
    <row r="994" spans="1:8" ht="13" x14ac:dyDescent="0.15">
      <c r="A994" s="5" t="str">
        <f ca="1">IFERROR(__xludf.DUMMYFUNCTION("""COMPUTED_VALUE"""),"37568")</f>
        <v>37568</v>
      </c>
      <c r="B994" s="51">
        <f ca="1">IFERROR(__xludf.DUMMYFUNCTION("""COMPUTED_VALUE"""),44621)</f>
        <v>44621</v>
      </c>
      <c r="C994" s="22">
        <f ca="1">IFERROR(__xludf.DUMMYFUNCTION("""COMPUTED_VALUE"""),500000)</f>
        <v>500000</v>
      </c>
      <c r="D994" s="22">
        <f ca="1">IFERROR(__xludf.DUMMYFUNCTION("""COMPUTED_VALUE"""),0)</f>
        <v>0</v>
      </c>
      <c r="E994" s="22">
        <f ca="1">IFERROR(__xludf.DUMMYFUNCTION("""COMPUTED_VALUE"""),500000)</f>
        <v>500000</v>
      </c>
      <c r="F994" s="22">
        <f ca="1">IFERROR(__xludf.DUMMYFUNCTION("""COMPUTED_VALUE"""),500000)</f>
        <v>500000</v>
      </c>
      <c r="G994" s="22">
        <f ca="1">IFERROR(__xludf.DUMMYFUNCTION("""COMPUTED_VALUE"""),0)</f>
        <v>0</v>
      </c>
      <c r="H994" s="7">
        <f ca="1">IFERROR(__xludf.DUMMYFUNCTION("""COMPUTED_VALUE"""),500000)</f>
        <v>500000</v>
      </c>
    </row>
    <row r="995" spans="1:8" ht="13" x14ac:dyDescent="0.15">
      <c r="A995" s="5" t="str">
        <f ca="1">IFERROR(__xludf.DUMMYFUNCTION("""COMPUTED_VALUE"""),"37568")</f>
        <v>37568</v>
      </c>
      <c r="B995" s="51">
        <f ca="1">IFERROR(__xludf.DUMMYFUNCTION("""COMPUTED_VALUE"""),44622)</f>
        <v>44622</v>
      </c>
      <c r="C995" s="22">
        <f ca="1">IFERROR(__xludf.DUMMYFUNCTION("""COMPUTED_VALUE"""),500000)</f>
        <v>500000</v>
      </c>
      <c r="D995" s="22">
        <f ca="1">IFERROR(__xludf.DUMMYFUNCTION("""COMPUTED_VALUE"""),0)</f>
        <v>0</v>
      </c>
      <c r="E995" s="22">
        <f ca="1">IFERROR(__xludf.DUMMYFUNCTION("""COMPUTED_VALUE"""),500000)</f>
        <v>500000</v>
      </c>
      <c r="F995" s="22">
        <f ca="1">IFERROR(__xludf.DUMMYFUNCTION("""COMPUTED_VALUE"""),500000)</f>
        <v>500000</v>
      </c>
      <c r="G995" s="22">
        <f ca="1">IFERROR(__xludf.DUMMYFUNCTION("""COMPUTED_VALUE"""),0)</f>
        <v>0</v>
      </c>
      <c r="H995" s="7">
        <f ca="1">IFERROR(__xludf.DUMMYFUNCTION("""COMPUTED_VALUE"""),500000)</f>
        <v>500000</v>
      </c>
    </row>
    <row r="996" spans="1:8" ht="13" x14ac:dyDescent="0.15">
      <c r="A996" s="5" t="str">
        <f ca="1">IFERROR(__xludf.DUMMYFUNCTION("""COMPUTED_VALUE"""),"37568")</f>
        <v>37568</v>
      </c>
      <c r="B996" s="51">
        <f ca="1">IFERROR(__xludf.DUMMYFUNCTION("""COMPUTED_VALUE"""),44623)</f>
        <v>44623</v>
      </c>
      <c r="C996" s="22">
        <f ca="1">IFERROR(__xludf.DUMMYFUNCTION("""COMPUTED_VALUE"""),500000)</f>
        <v>500000</v>
      </c>
      <c r="D996" s="22">
        <f ca="1">IFERROR(__xludf.DUMMYFUNCTION("""COMPUTED_VALUE"""),0)</f>
        <v>0</v>
      </c>
      <c r="E996" s="22">
        <f ca="1">IFERROR(__xludf.DUMMYFUNCTION("""COMPUTED_VALUE"""),500000)</f>
        <v>500000</v>
      </c>
      <c r="F996" s="22">
        <f ca="1">IFERROR(__xludf.DUMMYFUNCTION("""COMPUTED_VALUE"""),500000)</f>
        <v>500000</v>
      </c>
      <c r="G996" s="22">
        <f ca="1">IFERROR(__xludf.DUMMYFUNCTION("""COMPUTED_VALUE"""),0)</f>
        <v>0</v>
      </c>
      <c r="H996" s="7">
        <f ca="1">IFERROR(__xludf.DUMMYFUNCTION("""COMPUTED_VALUE"""),500000)</f>
        <v>500000</v>
      </c>
    </row>
    <row r="997" spans="1:8" ht="13" x14ac:dyDescent="0.15">
      <c r="A997" s="5" t="str">
        <f ca="1">IFERROR(__xludf.DUMMYFUNCTION("""COMPUTED_VALUE"""),"37568")</f>
        <v>37568</v>
      </c>
      <c r="B997" s="51">
        <f ca="1">IFERROR(__xludf.DUMMYFUNCTION("""COMPUTED_VALUE"""),44624)</f>
        <v>44624</v>
      </c>
      <c r="C997" s="22">
        <f ca="1">IFERROR(__xludf.DUMMYFUNCTION("""COMPUTED_VALUE"""),500000)</f>
        <v>500000</v>
      </c>
      <c r="D997" s="22">
        <f ca="1">IFERROR(__xludf.DUMMYFUNCTION("""COMPUTED_VALUE"""),0)</f>
        <v>0</v>
      </c>
      <c r="E997" s="22">
        <f ca="1">IFERROR(__xludf.DUMMYFUNCTION("""COMPUTED_VALUE"""),500000)</f>
        <v>500000</v>
      </c>
      <c r="F997" s="22">
        <f ca="1">IFERROR(__xludf.DUMMYFUNCTION("""COMPUTED_VALUE"""),500000)</f>
        <v>500000</v>
      </c>
      <c r="G997" s="22">
        <f ca="1">IFERROR(__xludf.DUMMYFUNCTION("""COMPUTED_VALUE"""),0)</f>
        <v>0</v>
      </c>
      <c r="H997" s="7">
        <f ca="1">IFERROR(__xludf.DUMMYFUNCTION("""COMPUTED_VALUE"""),500000)</f>
        <v>500000</v>
      </c>
    </row>
    <row r="998" spans="1:8" ht="13" x14ac:dyDescent="0.15">
      <c r="A998" s="5" t="str">
        <f ca="1">IFERROR(__xludf.DUMMYFUNCTION("""COMPUTED_VALUE"""),"37568")</f>
        <v>37568</v>
      </c>
      <c r="B998" s="51">
        <f ca="1">IFERROR(__xludf.DUMMYFUNCTION("""COMPUTED_VALUE"""),44625)</f>
        <v>44625</v>
      </c>
      <c r="C998" s="22">
        <f ca="1">IFERROR(__xludf.DUMMYFUNCTION("""COMPUTED_VALUE"""),500000)</f>
        <v>500000</v>
      </c>
      <c r="D998" s="22">
        <f ca="1">IFERROR(__xludf.DUMMYFUNCTION("""COMPUTED_VALUE"""),0)</f>
        <v>0</v>
      </c>
      <c r="E998" s="22">
        <f ca="1">IFERROR(__xludf.DUMMYFUNCTION("""COMPUTED_VALUE"""),500000)</f>
        <v>500000</v>
      </c>
      <c r="F998" s="22">
        <f ca="1">IFERROR(__xludf.DUMMYFUNCTION("""COMPUTED_VALUE"""),500000)</f>
        <v>500000</v>
      </c>
      <c r="G998" s="22">
        <f ca="1">IFERROR(__xludf.DUMMYFUNCTION("""COMPUTED_VALUE"""),0)</f>
        <v>0</v>
      </c>
      <c r="H998" s="7">
        <f ca="1">IFERROR(__xludf.DUMMYFUNCTION("""COMPUTED_VALUE"""),500000)</f>
        <v>500000</v>
      </c>
    </row>
    <row r="999" spans="1:8" ht="13" x14ac:dyDescent="0.15">
      <c r="A999" s="5" t="str">
        <f ca="1">IFERROR(__xludf.DUMMYFUNCTION("""COMPUTED_VALUE"""),"37568")</f>
        <v>37568</v>
      </c>
      <c r="B999" s="51">
        <f ca="1">IFERROR(__xludf.DUMMYFUNCTION("""COMPUTED_VALUE"""),44626)</f>
        <v>44626</v>
      </c>
      <c r="C999" s="22">
        <f ca="1">IFERROR(__xludf.DUMMYFUNCTION("""COMPUTED_VALUE"""),500000)</f>
        <v>500000</v>
      </c>
      <c r="D999" s="22">
        <f ca="1">IFERROR(__xludf.DUMMYFUNCTION("""COMPUTED_VALUE"""),0)</f>
        <v>0</v>
      </c>
      <c r="E999" s="22">
        <f ca="1">IFERROR(__xludf.DUMMYFUNCTION("""COMPUTED_VALUE"""),500000)</f>
        <v>500000</v>
      </c>
      <c r="F999" s="22">
        <f ca="1">IFERROR(__xludf.DUMMYFUNCTION("""COMPUTED_VALUE"""),500000)</f>
        <v>500000</v>
      </c>
      <c r="G999" s="22">
        <f ca="1">IFERROR(__xludf.DUMMYFUNCTION("""COMPUTED_VALUE"""),0)</f>
        <v>0</v>
      </c>
      <c r="H999" s="7">
        <f ca="1">IFERROR(__xludf.DUMMYFUNCTION("""COMPUTED_VALUE"""),500000)</f>
        <v>500000</v>
      </c>
    </row>
    <row r="1000" spans="1:8" ht="13" x14ac:dyDescent="0.15">
      <c r="A1000" s="5" t="str">
        <f ca="1">IFERROR(__xludf.DUMMYFUNCTION("""COMPUTED_VALUE"""),"37568")</f>
        <v>37568</v>
      </c>
      <c r="B1000" s="51">
        <f ca="1">IFERROR(__xludf.DUMMYFUNCTION("""COMPUTED_VALUE"""),44627)</f>
        <v>44627</v>
      </c>
      <c r="C1000" s="22">
        <f ca="1">IFERROR(__xludf.DUMMYFUNCTION("""COMPUTED_VALUE"""),500000)</f>
        <v>500000</v>
      </c>
      <c r="D1000" s="22">
        <f ca="1">IFERROR(__xludf.DUMMYFUNCTION("""COMPUTED_VALUE"""),0)</f>
        <v>0</v>
      </c>
      <c r="E1000" s="22">
        <f ca="1">IFERROR(__xludf.DUMMYFUNCTION("""COMPUTED_VALUE"""),500000)</f>
        <v>500000</v>
      </c>
      <c r="F1000" s="22">
        <f ca="1">IFERROR(__xludf.DUMMYFUNCTION("""COMPUTED_VALUE"""),500000)</f>
        <v>500000</v>
      </c>
      <c r="G1000" s="22">
        <f ca="1">IFERROR(__xludf.DUMMYFUNCTION("""COMPUTED_VALUE"""),0)</f>
        <v>0</v>
      </c>
      <c r="H1000" s="7">
        <f ca="1">IFERROR(__xludf.DUMMYFUNCTION("""COMPUTED_VALUE"""),500000)</f>
        <v>500000</v>
      </c>
    </row>
    <row r="1001" spans="1:8" ht="13" x14ac:dyDescent="0.15">
      <c r="A1001" s="5" t="str">
        <f ca="1">IFERROR(__xludf.DUMMYFUNCTION("""COMPUTED_VALUE"""),"37568")</f>
        <v>37568</v>
      </c>
      <c r="B1001" s="51">
        <f ca="1">IFERROR(__xludf.DUMMYFUNCTION("""COMPUTED_VALUE"""),44628)</f>
        <v>44628</v>
      </c>
      <c r="C1001" s="22">
        <f ca="1">IFERROR(__xludf.DUMMYFUNCTION("""COMPUTED_VALUE"""),500000)</f>
        <v>500000</v>
      </c>
      <c r="D1001" s="22">
        <f ca="1">IFERROR(__xludf.DUMMYFUNCTION("""COMPUTED_VALUE"""),0)</f>
        <v>0</v>
      </c>
      <c r="E1001" s="22">
        <f ca="1">IFERROR(__xludf.DUMMYFUNCTION("""COMPUTED_VALUE"""),500000)</f>
        <v>500000</v>
      </c>
      <c r="F1001" s="22">
        <f ca="1">IFERROR(__xludf.DUMMYFUNCTION("""COMPUTED_VALUE"""),500000)</f>
        <v>500000</v>
      </c>
      <c r="G1001" s="22">
        <f ca="1">IFERROR(__xludf.DUMMYFUNCTION("""COMPUTED_VALUE"""),0)</f>
        <v>0</v>
      </c>
      <c r="H1001" s="7">
        <f ca="1">IFERROR(__xludf.DUMMYFUNCTION("""COMPUTED_VALUE"""),500000)</f>
        <v>500000</v>
      </c>
    </row>
    <row r="1002" spans="1:8" ht="13" x14ac:dyDescent="0.15">
      <c r="A1002" s="5" t="str">
        <f ca="1">IFERROR(__xludf.DUMMYFUNCTION("""COMPUTED_VALUE"""),"37568")</f>
        <v>37568</v>
      </c>
      <c r="B1002" s="51">
        <f ca="1">IFERROR(__xludf.DUMMYFUNCTION("""COMPUTED_VALUE"""),44629)</f>
        <v>44629</v>
      </c>
      <c r="C1002" s="22">
        <f ca="1">IFERROR(__xludf.DUMMYFUNCTION("""COMPUTED_VALUE"""),500000)</f>
        <v>500000</v>
      </c>
      <c r="D1002" s="22">
        <f ca="1">IFERROR(__xludf.DUMMYFUNCTION("""COMPUTED_VALUE"""),0)</f>
        <v>0</v>
      </c>
      <c r="E1002" s="22">
        <f ca="1">IFERROR(__xludf.DUMMYFUNCTION("""COMPUTED_VALUE"""),500000)</f>
        <v>500000</v>
      </c>
      <c r="F1002" s="22">
        <f ca="1">IFERROR(__xludf.DUMMYFUNCTION("""COMPUTED_VALUE"""),500000)</f>
        <v>500000</v>
      </c>
      <c r="G1002" s="22">
        <f ca="1">IFERROR(__xludf.DUMMYFUNCTION("""COMPUTED_VALUE"""),0)</f>
        <v>0</v>
      </c>
      <c r="H1002" s="7">
        <f ca="1">IFERROR(__xludf.DUMMYFUNCTION("""COMPUTED_VALUE"""),500000)</f>
        <v>500000</v>
      </c>
    </row>
    <row r="1003" spans="1:8" ht="13" x14ac:dyDescent="0.15">
      <c r="A1003" s="5" t="str">
        <f ca="1">IFERROR(__xludf.DUMMYFUNCTION("""COMPUTED_VALUE"""),"37568")</f>
        <v>37568</v>
      </c>
      <c r="B1003" s="51">
        <f ca="1">IFERROR(__xludf.DUMMYFUNCTION("""COMPUTED_VALUE"""),44630)</f>
        <v>44630</v>
      </c>
      <c r="C1003" s="22">
        <f ca="1">IFERROR(__xludf.DUMMYFUNCTION("""COMPUTED_VALUE"""),500000)</f>
        <v>500000</v>
      </c>
      <c r="D1003" s="22">
        <f ca="1">IFERROR(__xludf.DUMMYFUNCTION("""COMPUTED_VALUE"""),0)</f>
        <v>0</v>
      </c>
      <c r="E1003" s="22">
        <f ca="1">IFERROR(__xludf.DUMMYFUNCTION("""COMPUTED_VALUE"""),500000)</f>
        <v>500000</v>
      </c>
      <c r="F1003" s="22">
        <f ca="1">IFERROR(__xludf.DUMMYFUNCTION("""COMPUTED_VALUE"""),500000)</f>
        <v>500000</v>
      </c>
      <c r="G1003" s="22">
        <f ca="1">IFERROR(__xludf.DUMMYFUNCTION("""COMPUTED_VALUE"""),0)</f>
        <v>0</v>
      </c>
      <c r="H1003" s="7">
        <f ca="1">IFERROR(__xludf.DUMMYFUNCTION("""COMPUTED_VALUE"""),500000)</f>
        <v>500000</v>
      </c>
    </row>
    <row r="1004" spans="1:8" ht="13" x14ac:dyDescent="0.15">
      <c r="A1004" s="5" t="str">
        <f ca="1">IFERROR(__xludf.DUMMYFUNCTION("""COMPUTED_VALUE"""),"37568")</f>
        <v>37568</v>
      </c>
      <c r="B1004" s="51">
        <f ca="1">IFERROR(__xludf.DUMMYFUNCTION("""COMPUTED_VALUE"""),44631)</f>
        <v>44631</v>
      </c>
      <c r="C1004" s="22">
        <f ca="1">IFERROR(__xludf.DUMMYFUNCTION("""COMPUTED_VALUE"""),500000)</f>
        <v>500000</v>
      </c>
      <c r="D1004" s="22">
        <f ca="1">IFERROR(__xludf.DUMMYFUNCTION("""COMPUTED_VALUE"""),0)</f>
        <v>0</v>
      </c>
      <c r="E1004" s="22">
        <f ca="1">IFERROR(__xludf.DUMMYFUNCTION("""COMPUTED_VALUE"""),500000)</f>
        <v>500000</v>
      </c>
      <c r="F1004" s="22">
        <f ca="1">IFERROR(__xludf.DUMMYFUNCTION("""COMPUTED_VALUE"""),500000)</f>
        <v>500000</v>
      </c>
      <c r="G1004" s="22">
        <f ca="1">IFERROR(__xludf.DUMMYFUNCTION("""COMPUTED_VALUE"""),0)</f>
        <v>0</v>
      </c>
      <c r="H1004" s="7">
        <f ca="1">IFERROR(__xludf.DUMMYFUNCTION("""COMPUTED_VALUE"""),500000)</f>
        <v>500000</v>
      </c>
    </row>
    <row r="1005" spans="1:8" ht="13" x14ac:dyDescent="0.15">
      <c r="A1005" s="5" t="str">
        <f ca="1">IFERROR(__xludf.DUMMYFUNCTION("""COMPUTED_VALUE"""),"37568")</f>
        <v>37568</v>
      </c>
      <c r="B1005" s="51">
        <f ca="1">IFERROR(__xludf.DUMMYFUNCTION("""COMPUTED_VALUE"""),44632)</f>
        <v>44632</v>
      </c>
      <c r="C1005" s="22">
        <f ca="1">IFERROR(__xludf.DUMMYFUNCTION("""COMPUTED_VALUE"""),500000)</f>
        <v>500000</v>
      </c>
      <c r="D1005" s="22">
        <f ca="1">IFERROR(__xludf.DUMMYFUNCTION("""COMPUTED_VALUE"""),0)</f>
        <v>0</v>
      </c>
      <c r="E1005" s="22">
        <f ca="1">IFERROR(__xludf.DUMMYFUNCTION("""COMPUTED_VALUE"""),500000)</f>
        <v>500000</v>
      </c>
      <c r="F1005" s="22">
        <f ca="1">IFERROR(__xludf.DUMMYFUNCTION("""COMPUTED_VALUE"""),500000)</f>
        <v>500000</v>
      </c>
      <c r="G1005" s="22">
        <f ca="1">IFERROR(__xludf.DUMMYFUNCTION("""COMPUTED_VALUE"""),0)</f>
        <v>0</v>
      </c>
      <c r="H1005" s="7">
        <f ca="1">IFERROR(__xludf.DUMMYFUNCTION("""COMPUTED_VALUE"""),500000)</f>
        <v>500000</v>
      </c>
    </row>
    <row r="1006" spans="1:8" ht="13" x14ac:dyDescent="0.15">
      <c r="A1006" s="5" t="str">
        <f ca="1">IFERROR(__xludf.DUMMYFUNCTION("""COMPUTED_VALUE"""),"37568")</f>
        <v>37568</v>
      </c>
      <c r="B1006" s="51">
        <f ca="1">IFERROR(__xludf.DUMMYFUNCTION("""COMPUTED_VALUE"""),44633)</f>
        <v>44633</v>
      </c>
      <c r="C1006" s="22">
        <f ca="1">IFERROR(__xludf.DUMMYFUNCTION("""COMPUTED_VALUE"""),500000)</f>
        <v>500000</v>
      </c>
      <c r="D1006" s="22">
        <f ca="1">IFERROR(__xludf.DUMMYFUNCTION("""COMPUTED_VALUE"""),0)</f>
        <v>0</v>
      </c>
      <c r="E1006" s="22">
        <f ca="1">IFERROR(__xludf.DUMMYFUNCTION("""COMPUTED_VALUE"""),500000)</f>
        <v>500000</v>
      </c>
      <c r="F1006" s="22">
        <f ca="1">IFERROR(__xludf.DUMMYFUNCTION("""COMPUTED_VALUE"""),500000)</f>
        <v>500000</v>
      </c>
      <c r="G1006" s="22">
        <f ca="1">IFERROR(__xludf.DUMMYFUNCTION("""COMPUTED_VALUE"""),0)</f>
        <v>0</v>
      </c>
      <c r="H1006" s="7">
        <f ca="1">IFERROR(__xludf.DUMMYFUNCTION("""COMPUTED_VALUE"""),500000)</f>
        <v>500000</v>
      </c>
    </row>
    <row r="1007" spans="1:8" ht="13" x14ac:dyDescent="0.15">
      <c r="A1007" s="5" t="str">
        <f ca="1">IFERROR(__xludf.DUMMYFUNCTION("""COMPUTED_VALUE"""),"37568")</f>
        <v>37568</v>
      </c>
      <c r="B1007" s="51">
        <f ca="1">IFERROR(__xludf.DUMMYFUNCTION("""COMPUTED_VALUE"""),44634)</f>
        <v>44634</v>
      </c>
      <c r="C1007" s="22">
        <f ca="1">IFERROR(__xludf.DUMMYFUNCTION("""COMPUTED_VALUE"""),500000)</f>
        <v>500000</v>
      </c>
      <c r="D1007" s="22">
        <f ca="1">IFERROR(__xludf.DUMMYFUNCTION("""COMPUTED_VALUE"""),0)</f>
        <v>0</v>
      </c>
      <c r="E1007" s="22">
        <f ca="1">IFERROR(__xludf.DUMMYFUNCTION("""COMPUTED_VALUE"""),500000)</f>
        <v>500000</v>
      </c>
      <c r="F1007" s="22">
        <f ca="1">IFERROR(__xludf.DUMMYFUNCTION("""COMPUTED_VALUE"""),500000)</f>
        <v>500000</v>
      </c>
      <c r="G1007" s="22">
        <f ca="1">IFERROR(__xludf.DUMMYFUNCTION("""COMPUTED_VALUE"""),0)</f>
        <v>0</v>
      </c>
      <c r="H1007" s="7">
        <f ca="1">IFERROR(__xludf.DUMMYFUNCTION("""COMPUTED_VALUE"""),500000)</f>
        <v>500000</v>
      </c>
    </row>
    <row r="1008" spans="1:8" ht="13" x14ac:dyDescent="0.15">
      <c r="A1008" s="5" t="str">
        <f ca="1">IFERROR(__xludf.DUMMYFUNCTION("""COMPUTED_VALUE"""),"37568")</f>
        <v>37568</v>
      </c>
      <c r="B1008" s="51">
        <f ca="1">IFERROR(__xludf.DUMMYFUNCTION("""COMPUTED_VALUE"""),44635)</f>
        <v>44635</v>
      </c>
      <c r="C1008" s="22">
        <f ca="1">IFERROR(__xludf.DUMMYFUNCTION("""COMPUTED_VALUE"""),500000)</f>
        <v>500000</v>
      </c>
      <c r="D1008" s="22">
        <f ca="1">IFERROR(__xludf.DUMMYFUNCTION("""COMPUTED_VALUE"""),0)</f>
        <v>0</v>
      </c>
      <c r="E1008" s="22">
        <f ca="1">IFERROR(__xludf.DUMMYFUNCTION("""COMPUTED_VALUE"""),500000)</f>
        <v>500000</v>
      </c>
      <c r="F1008" s="22">
        <f ca="1">IFERROR(__xludf.DUMMYFUNCTION("""COMPUTED_VALUE"""),500000)</f>
        <v>500000</v>
      </c>
      <c r="G1008" s="22">
        <f ca="1">IFERROR(__xludf.DUMMYFUNCTION("""COMPUTED_VALUE"""),0)</f>
        <v>0</v>
      </c>
      <c r="H1008" s="7">
        <f ca="1">IFERROR(__xludf.DUMMYFUNCTION("""COMPUTED_VALUE"""),500000)</f>
        <v>500000</v>
      </c>
    </row>
    <row r="1009" spans="1:8" ht="13" x14ac:dyDescent="0.15">
      <c r="A1009" s="5" t="str">
        <f ca="1">IFERROR(__xludf.DUMMYFUNCTION("""COMPUTED_VALUE"""),"37568")</f>
        <v>37568</v>
      </c>
      <c r="B1009" s="51">
        <f ca="1">IFERROR(__xludf.DUMMYFUNCTION("""COMPUTED_VALUE"""),44636)</f>
        <v>44636</v>
      </c>
      <c r="C1009" s="22">
        <f ca="1">IFERROR(__xludf.DUMMYFUNCTION("""COMPUTED_VALUE"""),500000)</f>
        <v>500000</v>
      </c>
      <c r="D1009" s="22">
        <f ca="1">IFERROR(__xludf.DUMMYFUNCTION("""COMPUTED_VALUE"""),0)</f>
        <v>0</v>
      </c>
      <c r="E1009" s="22">
        <f ca="1">IFERROR(__xludf.DUMMYFUNCTION("""COMPUTED_VALUE"""),500000)</f>
        <v>500000</v>
      </c>
      <c r="F1009" s="22">
        <f ca="1">IFERROR(__xludf.DUMMYFUNCTION("""COMPUTED_VALUE"""),500000)</f>
        <v>500000</v>
      </c>
      <c r="G1009" s="22">
        <f ca="1">IFERROR(__xludf.DUMMYFUNCTION("""COMPUTED_VALUE"""),0)</f>
        <v>0</v>
      </c>
      <c r="H1009" s="7">
        <f ca="1">IFERROR(__xludf.DUMMYFUNCTION("""COMPUTED_VALUE"""),500000)</f>
        <v>500000</v>
      </c>
    </row>
    <row r="1010" spans="1:8" ht="13" x14ac:dyDescent="0.15">
      <c r="A1010" s="5" t="str">
        <f ca="1">IFERROR(__xludf.DUMMYFUNCTION("""COMPUTED_VALUE"""),"37568")</f>
        <v>37568</v>
      </c>
      <c r="B1010" s="51">
        <f ca="1">IFERROR(__xludf.DUMMYFUNCTION("""COMPUTED_VALUE"""),44637)</f>
        <v>44637</v>
      </c>
      <c r="C1010" s="22">
        <f ca="1">IFERROR(__xludf.DUMMYFUNCTION("""COMPUTED_VALUE"""),500000)</f>
        <v>500000</v>
      </c>
      <c r="D1010" s="22">
        <f ca="1">IFERROR(__xludf.DUMMYFUNCTION("""COMPUTED_VALUE"""),0)</f>
        <v>0</v>
      </c>
      <c r="E1010" s="22">
        <f ca="1">IFERROR(__xludf.DUMMYFUNCTION("""COMPUTED_VALUE"""),500000)</f>
        <v>500000</v>
      </c>
      <c r="F1010" s="22">
        <f ca="1">IFERROR(__xludf.DUMMYFUNCTION("""COMPUTED_VALUE"""),500000)</f>
        <v>500000</v>
      </c>
      <c r="G1010" s="22">
        <f ca="1">IFERROR(__xludf.DUMMYFUNCTION("""COMPUTED_VALUE"""),0)</f>
        <v>0</v>
      </c>
      <c r="H1010" s="7">
        <f ca="1">IFERROR(__xludf.DUMMYFUNCTION("""COMPUTED_VALUE"""),500000)</f>
        <v>500000</v>
      </c>
    </row>
    <row r="1011" spans="1:8" ht="13" x14ac:dyDescent="0.15">
      <c r="A1011" s="5" t="str">
        <f ca="1">IFERROR(__xludf.DUMMYFUNCTION("""COMPUTED_VALUE"""),"37568")</f>
        <v>37568</v>
      </c>
      <c r="B1011" s="51">
        <f ca="1">IFERROR(__xludf.DUMMYFUNCTION("""COMPUTED_VALUE"""),44638)</f>
        <v>44638</v>
      </c>
      <c r="C1011" s="22">
        <f ca="1">IFERROR(__xludf.DUMMYFUNCTION("""COMPUTED_VALUE"""),500000)</f>
        <v>500000</v>
      </c>
      <c r="D1011" s="22">
        <f ca="1">IFERROR(__xludf.DUMMYFUNCTION("""COMPUTED_VALUE"""),0)</f>
        <v>0</v>
      </c>
      <c r="E1011" s="22">
        <f ca="1">IFERROR(__xludf.DUMMYFUNCTION("""COMPUTED_VALUE"""),500000)</f>
        <v>500000</v>
      </c>
      <c r="F1011" s="22">
        <f ca="1">IFERROR(__xludf.DUMMYFUNCTION("""COMPUTED_VALUE"""),500000)</f>
        <v>500000</v>
      </c>
      <c r="G1011" s="22">
        <f ca="1">IFERROR(__xludf.DUMMYFUNCTION("""COMPUTED_VALUE"""),0)</f>
        <v>0</v>
      </c>
      <c r="H1011" s="7">
        <f ca="1">IFERROR(__xludf.DUMMYFUNCTION("""COMPUTED_VALUE"""),500000)</f>
        <v>500000</v>
      </c>
    </row>
    <row r="1012" spans="1:8" ht="13" x14ac:dyDescent="0.15">
      <c r="A1012" s="5" t="str">
        <f ca="1">IFERROR(__xludf.DUMMYFUNCTION("""COMPUTED_VALUE"""),"37568")</f>
        <v>37568</v>
      </c>
      <c r="B1012" s="51">
        <f ca="1">IFERROR(__xludf.DUMMYFUNCTION("""COMPUTED_VALUE"""),44639)</f>
        <v>44639</v>
      </c>
      <c r="C1012" s="22">
        <f ca="1">IFERROR(__xludf.DUMMYFUNCTION("""COMPUTED_VALUE"""),500000)</f>
        <v>500000</v>
      </c>
      <c r="D1012" s="22">
        <f ca="1">IFERROR(__xludf.DUMMYFUNCTION("""COMPUTED_VALUE"""),0)</f>
        <v>0</v>
      </c>
      <c r="E1012" s="22">
        <f ca="1">IFERROR(__xludf.DUMMYFUNCTION("""COMPUTED_VALUE"""),500000)</f>
        <v>500000</v>
      </c>
      <c r="F1012" s="22">
        <f ca="1">IFERROR(__xludf.DUMMYFUNCTION("""COMPUTED_VALUE"""),500000)</f>
        <v>500000</v>
      </c>
      <c r="G1012" s="22">
        <f ca="1">IFERROR(__xludf.DUMMYFUNCTION("""COMPUTED_VALUE"""),0)</f>
        <v>0</v>
      </c>
      <c r="H1012" s="7">
        <f ca="1">IFERROR(__xludf.DUMMYFUNCTION("""COMPUTED_VALUE"""),500000)</f>
        <v>500000</v>
      </c>
    </row>
    <row r="1013" spans="1:8" ht="13" x14ac:dyDescent="0.15">
      <c r="A1013" s="5" t="str">
        <f ca="1">IFERROR(__xludf.DUMMYFUNCTION("""COMPUTED_VALUE"""),"37568")</f>
        <v>37568</v>
      </c>
      <c r="B1013" s="51">
        <f ca="1">IFERROR(__xludf.DUMMYFUNCTION("""COMPUTED_VALUE"""),44640)</f>
        <v>44640</v>
      </c>
      <c r="C1013" s="22">
        <f ca="1">IFERROR(__xludf.DUMMYFUNCTION("""COMPUTED_VALUE"""),500000)</f>
        <v>500000</v>
      </c>
      <c r="D1013" s="22">
        <f ca="1">IFERROR(__xludf.DUMMYFUNCTION("""COMPUTED_VALUE"""),0)</f>
        <v>0</v>
      </c>
      <c r="E1013" s="22">
        <f ca="1">IFERROR(__xludf.DUMMYFUNCTION("""COMPUTED_VALUE"""),500000)</f>
        <v>500000</v>
      </c>
      <c r="F1013" s="22">
        <f ca="1">IFERROR(__xludf.DUMMYFUNCTION("""COMPUTED_VALUE"""),500000)</f>
        <v>500000</v>
      </c>
      <c r="G1013" s="22">
        <f ca="1">IFERROR(__xludf.DUMMYFUNCTION("""COMPUTED_VALUE"""),0)</f>
        <v>0</v>
      </c>
      <c r="H1013" s="7">
        <f ca="1">IFERROR(__xludf.DUMMYFUNCTION("""COMPUTED_VALUE"""),500000)</f>
        <v>500000</v>
      </c>
    </row>
    <row r="1014" spans="1:8" ht="13" x14ac:dyDescent="0.15">
      <c r="A1014" s="5" t="str">
        <f ca="1">IFERROR(__xludf.DUMMYFUNCTION("""COMPUTED_VALUE"""),"37568")</f>
        <v>37568</v>
      </c>
      <c r="B1014" s="51">
        <f ca="1">IFERROR(__xludf.DUMMYFUNCTION("""COMPUTED_VALUE"""),44641)</f>
        <v>44641</v>
      </c>
      <c r="C1014" s="22">
        <f ca="1">IFERROR(__xludf.DUMMYFUNCTION("""COMPUTED_VALUE"""),500000)</f>
        <v>500000</v>
      </c>
      <c r="D1014" s="22">
        <f ca="1">IFERROR(__xludf.DUMMYFUNCTION("""COMPUTED_VALUE"""),0)</f>
        <v>0</v>
      </c>
      <c r="E1014" s="22">
        <f ca="1">IFERROR(__xludf.DUMMYFUNCTION("""COMPUTED_VALUE"""),500000)</f>
        <v>500000</v>
      </c>
      <c r="F1014" s="22">
        <f ca="1">IFERROR(__xludf.DUMMYFUNCTION("""COMPUTED_VALUE"""),500000)</f>
        <v>500000</v>
      </c>
      <c r="G1014" s="22">
        <f ca="1">IFERROR(__xludf.DUMMYFUNCTION("""COMPUTED_VALUE"""),0)</f>
        <v>0</v>
      </c>
      <c r="H1014" s="7">
        <f ca="1">IFERROR(__xludf.DUMMYFUNCTION("""COMPUTED_VALUE"""),500000)</f>
        <v>500000</v>
      </c>
    </row>
    <row r="1015" spans="1:8" ht="13" x14ac:dyDescent="0.15">
      <c r="A1015" s="5" t="str">
        <f ca="1">IFERROR(__xludf.DUMMYFUNCTION("""COMPUTED_VALUE"""),"37568")</f>
        <v>37568</v>
      </c>
      <c r="B1015" s="51">
        <f ca="1">IFERROR(__xludf.DUMMYFUNCTION("""COMPUTED_VALUE"""),44642)</f>
        <v>44642</v>
      </c>
      <c r="C1015" s="22">
        <f ca="1">IFERROR(__xludf.DUMMYFUNCTION("""COMPUTED_VALUE"""),500000)</f>
        <v>500000</v>
      </c>
      <c r="D1015" s="22">
        <f ca="1">IFERROR(__xludf.DUMMYFUNCTION("""COMPUTED_VALUE"""),0)</f>
        <v>0</v>
      </c>
      <c r="E1015" s="22">
        <f ca="1">IFERROR(__xludf.DUMMYFUNCTION("""COMPUTED_VALUE"""),500000)</f>
        <v>500000</v>
      </c>
      <c r="F1015" s="22">
        <f ca="1">IFERROR(__xludf.DUMMYFUNCTION("""COMPUTED_VALUE"""),500000)</f>
        <v>500000</v>
      </c>
      <c r="G1015" s="22">
        <f ca="1">IFERROR(__xludf.DUMMYFUNCTION("""COMPUTED_VALUE"""),0)</f>
        <v>0</v>
      </c>
      <c r="H1015" s="7">
        <f ca="1">IFERROR(__xludf.DUMMYFUNCTION("""COMPUTED_VALUE"""),500000)</f>
        <v>500000</v>
      </c>
    </row>
    <row r="1016" spans="1:8" ht="13" x14ac:dyDescent="0.15">
      <c r="A1016" s="5" t="str">
        <f ca="1">IFERROR(__xludf.DUMMYFUNCTION("""COMPUTED_VALUE"""),"37649")</f>
        <v>37649</v>
      </c>
      <c r="B1016" s="51">
        <f ca="1">IFERROR(__xludf.DUMMYFUNCTION("""COMPUTED_VALUE"""),44597)</f>
        <v>44597</v>
      </c>
      <c r="C1016" s="22">
        <f ca="1">IFERROR(__xludf.DUMMYFUNCTION("""COMPUTED_VALUE"""),500000)</f>
        <v>500000</v>
      </c>
      <c r="D1016" s="22">
        <f ca="1">IFERROR(__xludf.DUMMYFUNCTION("""COMPUTED_VALUE"""),0)</f>
        <v>0</v>
      </c>
      <c r="E1016" s="22">
        <f ca="1">IFERROR(__xludf.DUMMYFUNCTION("""COMPUTED_VALUE"""),500000)</f>
        <v>500000</v>
      </c>
      <c r="F1016" s="22">
        <f ca="1">IFERROR(__xludf.DUMMYFUNCTION("""COMPUTED_VALUE"""),500000)</f>
        <v>500000</v>
      </c>
      <c r="G1016" s="22">
        <f ca="1">IFERROR(__xludf.DUMMYFUNCTION("""COMPUTED_VALUE"""),0)</f>
        <v>0</v>
      </c>
      <c r="H1016" s="7">
        <f ca="1">IFERROR(__xludf.DUMMYFUNCTION("""COMPUTED_VALUE"""),500000)</f>
        <v>500000</v>
      </c>
    </row>
    <row r="1017" spans="1:8" ht="13" x14ac:dyDescent="0.15">
      <c r="A1017" s="5" t="str">
        <f ca="1">IFERROR(__xludf.DUMMYFUNCTION("""COMPUTED_VALUE"""),"37649")</f>
        <v>37649</v>
      </c>
      <c r="B1017" s="51">
        <f ca="1">IFERROR(__xludf.DUMMYFUNCTION("""COMPUTED_VALUE"""),44598)</f>
        <v>44598</v>
      </c>
      <c r="C1017" s="22">
        <f ca="1">IFERROR(__xludf.DUMMYFUNCTION("""COMPUTED_VALUE"""),500000)</f>
        <v>500000</v>
      </c>
      <c r="D1017" s="22">
        <f ca="1">IFERROR(__xludf.DUMMYFUNCTION("""COMPUTED_VALUE"""),0)</f>
        <v>0</v>
      </c>
      <c r="E1017" s="22">
        <f ca="1">IFERROR(__xludf.DUMMYFUNCTION("""COMPUTED_VALUE"""),500000)</f>
        <v>500000</v>
      </c>
      <c r="F1017" s="22">
        <f ca="1">IFERROR(__xludf.DUMMYFUNCTION("""COMPUTED_VALUE"""),500000)</f>
        <v>500000</v>
      </c>
      <c r="G1017" s="22">
        <f ca="1">IFERROR(__xludf.DUMMYFUNCTION("""COMPUTED_VALUE"""),0)</f>
        <v>0</v>
      </c>
      <c r="H1017" s="7">
        <f ca="1">IFERROR(__xludf.DUMMYFUNCTION("""COMPUTED_VALUE"""),500000)</f>
        <v>500000</v>
      </c>
    </row>
    <row r="1018" spans="1:8" ht="13" x14ac:dyDescent="0.15">
      <c r="A1018" s="5" t="str">
        <f ca="1">IFERROR(__xludf.DUMMYFUNCTION("""COMPUTED_VALUE"""),"37649")</f>
        <v>37649</v>
      </c>
      <c r="B1018" s="51">
        <f ca="1">IFERROR(__xludf.DUMMYFUNCTION("""COMPUTED_VALUE"""),44599)</f>
        <v>44599</v>
      </c>
      <c r="C1018" s="22">
        <f ca="1">IFERROR(__xludf.DUMMYFUNCTION("""COMPUTED_VALUE"""),500000)</f>
        <v>500000</v>
      </c>
      <c r="D1018" s="22">
        <f ca="1">IFERROR(__xludf.DUMMYFUNCTION("""COMPUTED_VALUE"""),0)</f>
        <v>0</v>
      </c>
      <c r="E1018" s="22">
        <f ca="1">IFERROR(__xludf.DUMMYFUNCTION("""COMPUTED_VALUE"""),500000)</f>
        <v>500000</v>
      </c>
      <c r="F1018" s="22">
        <f ca="1">IFERROR(__xludf.DUMMYFUNCTION("""COMPUTED_VALUE"""),500000)</f>
        <v>500000</v>
      </c>
      <c r="G1018" s="22">
        <f ca="1">IFERROR(__xludf.DUMMYFUNCTION("""COMPUTED_VALUE"""),0)</f>
        <v>0</v>
      </c>
      <c r="H1018" s="7">
        <f ca="1">IFERROR(__xludf.DUMMYFUNCTION("""COMPUTED_VALUE"""),500000)</f>
        <v>500000</v>
      </c>
    </row>
    <row r="1019" spans="1:8" ht="13" x14ac:dyDescent="0.15">
      <c r="A1019" s="5" t="str">
        <f ca="1">IFERROR(__xludf.DUMMYFUNCTION("""COMPUTED_VALUE"""),"37649")</f>
        <v>37649</v>
      </c>
      <c r="B1019" s="51">
        <f ca="1">IFERROR(__xludf.DUMMYFUNCTION("""COMPUTED_VALUE"""),44600)</f>
        <v>44600</v>
      </c>
      <c r="C1019" s="22">
        <f ca="1">IFERROR(__xludf.DUMMYFUNCTION("""COMPUTED_VALUE"""),500000)</f>
        <v>500000</v>
      </c>
      <c r="D1019" s="22">
        <f ca="1">IFERROR(__xludf.DUMMYFUNCTION("""COMPUTED_VALUE"""),0)</f>
        <v>0</v>
      </c>
      <c r="E1019" s="22">
        <f ca="1">IFERROR(__xludf.DUMMYFUNCTION("""COMPUTED_VALUE"""),500000)</f>
        <v>500000</v>
      </c>
      <c r="F1019" s="22">
        <f ca="1">IFERROR(__xludf.DUMMYFUNCTION("""COMPUTED_VALUE"""),500000)</f>
        <v>500000</v>
      </c>
      <c r="G1019" s="22">
        <f ca="1">IFERROR(__xludf.DUMMYFUNCTION("""COMPUTED_VALUE"""),0)</f>
        <v>0</v>
      </c>
      <c r="H1019" s="7">
        <f ca="1">IFERROR(__xludf.DUMMYFUNCTION("""COMPUTED_VALUE"""),500000)</f>
        <v>500000</v>
      </c>
    </row>
    <row r="1020" spans="1:8" ht="13" x14ac:dyDescent="0.15">
      <c r="A1020" s="5" t="str">
        <f ca="1">IFERROR(__xludf.DUMMYFUNCTION("""COMPUTED_VALUE"""),"37649")</f>
        <v>37649</v>
      </c>
      <c r="B1020" s="51">
        <f ca="1">IFERROR(__xludf.DUMMYFUNCTION("""COMPUTED_VALUE"""),44601)</f>
        <v>44601</v>
      </c>
      <c r="C1020" s="22">
        <f ca="1">IFERROR(__xludf.DUMMYFUNCTION("""COMPUTED_VALUE"""),500000)</f>
        <v>500000</v>
      </c>
      <c r="D1020" s="22">
        <f ca="1">IFERROR(__xludf.DUMMYFUNCTION("""COMPUTED_VALUE"""),0)</f>
        <v>0</v>
      </c>
      <c r="E1020" s="22">
        <f ca="1">IFERROR(__xludf.DUMMYFUNCTION("""COMPUTED_VALUE"""),500000)</f>
        <v>500000</v>
      </c>
      <c r="F1020" s="22">
        <f ca="1">IFERROR(__xludf.DUMMYFUNCTION("""COMPUTED_VALUE"""),500000)</f>
        <v>500000</v>
      </c>
      <c r="G1020" s="22">
        <f ca="1">IFERROR(__xludf.DUMMYFUNCTION("""COMPUTED_VALUE"""),0)</f>
        <v>0</v>
      </c>
      <c r="H1020" s="7">
        <f ca="1">IFERROR(__xludf.DUMMYFUNCTION("""COMPUTED_VALUE"""),500000)</f>
        <v>500000</v>
      </c>
    </row>
    <row r="1021" spans="1:8" ht="13" x14ac:dyDescent="0.15">
      <c r="A1021" s="5" t="str">
        <f ca="1">IFERROR(__xludf.DUMMYFUNCTION("""COMPUTED_VALUE"""),"37649")</f>
        <v>37649</v>
      </c>
      <c r="B1021" s="51">
        <f ca="1">IFERROR(__xludf.DUMMYFUNCTION("""COMPUTED_VALUE"""),44602)</f>
        <v>44602</v>
      </c>
      <c r="C1021" s="22">
        <f ca="1">IFERROR(__xludf.DUMMYFUNCTION("""COMPUTED_VALUE"""),500000)</f>
        <v>500000</v>
      </c>
      <c r="D1021" s="22">
        <f ca="1">IFERROR(__xludf.DUMMYFUNCTION("""COMPUTED_VALUE"""),0)</f>
        <v>0</v>
      </c>
      <c r="E1021" s="22">
        <f ca="1">IFERROR(__xludf.DUMMYFUNCTION("""COMPUTED_VALUE"""),500000)</f>
        <v>500000</v>
      </c>
      <c r="F1021" s="22">
        <f ca="1">IFERROR(__xludf.DUMMYFUNCTION("""COMPUTED_VALUE"""),500000)</f>
        <v>500000</v>
      </c>
      <c r="G1021" s="22">
        <f ca="1">IFERROR(__xludf.DUMMYFUNCTION("""COMPUTED_VALUE"""),0)</f>
        <v>0</v>
      </c>
      <c r="H1021" s="7">
        <f ca="1">IFERROR(__xludf.DUMMYFUNCTION("""COMPUTED_VALUE"""),500000)</f>
        <v>500000</v>
      </c>
    </row>
    <row r="1022" spans="1:8" ht="13" x14ac:dyDescent="0.15">
      <c r="A1022" s="5" t="str">
        <f ca="1">IFERROR(__xludf.DUMMYFUNCTION("""COMPUTED_VALUE"""),"37649")</f>
        <v>37649</v>
      </c>
      <c r="B1022" s="51">
        <f ca="1">IFERROR(__xludf.DUMMYFUNCTION("""COMPUTED_VALUE"""),44603)</f>
        <v>44603</v>
      </c>
      <c r="C1022" s="22">
        <f ca="1">IFERROR(__xludf.DUMMYFUNCTION("""COMPUTED_VALUE"""),500000)</f>
        <v>500000</v>
      </c>
      <c r="D1022" s="22">
        <f ca="1">IFERROR(__xludf.DUMMYFUNCTION("""COMPUTED_VALUE"""),0)</f>
        <v>0</v>
      </c>
      <c r="E1022" s="22">
        <f ca="1">IFERROR(__xludf.DUMMYFUNCTION("""COMPUTED_VALUE"""),500000)</f>
        <v>500000</v>
      </c>
      <c r="F1022" s="22">
        <f ca="1">IFERROR(__xludf.DUMMYFUNCTION("""COMPUTED_VALUE"""),500000)</f>
        <v>500000</v>
      </c>
      <c r="G1022" s="22">
        <f ca="1">IFERROR(__xludf.DUMMYFUNCTION("""COMPUTED_VALUE"""),0)</f>
        <v>0</v>
      </c>
      <c r="H1022" s="7">
        <f ca="1">IFERROR(__xludf.DUMMYFUNCTION("""COMPUTED_VALUE"""),500000)</f>
        <v>500000</v>
      </c>
    </row>
    <row r="1023" spans="1:8" ht="13" x14ac:dyDescent="0.15">
      <c r="A1023" s="5" t="str">
        <f ca="1">IFERROR(__xludf.DUMMYFUNCTION("""COMPUTED_VALUE"""),"37649")</f>
        <v>37649</v>
      </c>
      <c r="B1023" s="51">
        <f ca="1">IFERROR(__xludf.DUMMYFUNCTION("""COMPUTED_VALUE"""),44604)</f>
        <v>44604</v>
      </c>
      <c r="C1023" s="22">
        <f ca="1">IFERROR(__xludf.DUMMYFUNCTION("""COMPUTED_VALUE"""),500000)</f>
        <v>500000</v>
      </c>
      <c r="D1023" s="22">
        <f ca="1">IFERROR(__xludf.DUMMYFUNCTION("""COMPUTED_VALUE"""),0)</f>
        <v>0</v>
      </c>
      <c r="E1023" s="22">
        <f ca="1">IFERROR(__xludf.DUMMYFUNCTION("""COMPUTED_VALUE"""),500000)</f>
        <v>500000</v>
      </c>
      <c r="F1023" s="22">
        <f ca="1">IFERROR(__xludf.DUMMYFUNCTION("""COMPUTED_VALUE"""),500000)</f>
        <v>500000</v>
      </c>
      <c r="G1023" s="22">
        <f ca="1">IFERROR(__xludf.DUMMYFUNCTION("""COMPUTED_VALUE"""),0)</f>
        <v>0</v>
      </c>
      <c r="H1023" s="7">
        <f ca="1">IFERROR(__xludf.DUMMYFUNCTION("""COMPUTED_VALUE"""),500000)</f>
        <v>500000</v>
      </c>
    </row>
    <row r="1024" spans="1:8" ht="13" x14ac:dyDescent="0.15">
      <c r="A1024" s="5" t="str">
        <f ca="1">IFERROR(__xludf.DUMMYFUNCTION("""COMPUTED_VALUE"""),"37649")</f>
        <v>37649</v>
      </c>
      <c r="B1024" s="51">
        <f ca="1">IFERROR(__xludf.DUMMYFUNCTION("""COMPUTED_VALUE"""),44605)</f>
        <v>44605</v>
      </c>
      <c r="C1024" s="22">
        <f ca="1">IFERROR(__xludf.DUMMYFUNCTION("""COMPUTED_VALUE"""),500000)</f>
        <v>500000</v>
      </c>
      <c r="D1024" s="22">
        <f ca="1">IFERROR(__xludf.DUMMYFUNCTION("""COMPUTED_VALUE"""),0)</f>
        <v>0</v>
      </c>
      <c r="E1024" s="22">
        <f ca="1">IFERROR(__xludf.DUMMYFUNCTION("""COMPUTED_VALUE"""),500000)</f>
        <v>500000</v>
      </c>
      <c r="F1024" s="22">
        <f ca="1">IFERROR(__xludf.DUMMYFUNCTION("""COMPUTED_VALUE"""),500000)</f>
        <v>500000</v>
      </c>
      <c r="G1024" s="22">
        <f ca="1">IFERROR(__xludf.DUMMYFUNCTION("""COMPUTED_VALUE"""),0)</f>
        <v>0</v>
      </c>
      <c r="H1024" s="7">
        <f ca="1">IFERROR(__xludf.DUMMYFUNCTION("""COMPUTED_VALUE"""),500000)</f>
        <v>500000</v>
      </c>
    </row>
    <row r="1025" spans="1:8" ht="13" x14ac:dyDescent="0.15">
      <c r="A1025" s="5" t="str">
        <f ca="1">IFERROR(__xludf.DUMMYFUNCTION("""COMPUTED_VALUE"""),"37649")</f>
        <v>37649</v>
      </c>
      <c r="B1025" s="51">
        <f ca="1">IFERROR(__xludf.DUMMYFUNCTION("""COMPUTED_VALUE"""),44606)</f>
        <v>44606</v>
      </c>
      <c r="C1025" s="22">
        <f ca="1">IFERROR(__xludf.DUMMYFUNCTION("""COMPUTED_VALUE"""),500000)</f>
        <v>500000</v>
      </c>
      <c r="D1025" s="22">
        <f ca="1">IFERROR(__xludf.DUMMYFUNCTION("""COMPUTED_VALUE"""),0)</f>
        <v>0</v>
      </c>
      <c r="E1025" s="22">
        <f ca="1">IFERROR(__xludf.DUMMYFUNCTION("""COMPUTED_VALUE"""),500000)</f>
        <v>500000</v>
      </c>
      <c r="F1025" s="22">
        <f ca="1">IFERROR(__xludf.DUMMYFUNCTION("""COMPUTED_VALUE"""),500000)</f>
        <v>500000</v>
      </c>
      <c r="G1025" s="22">
        <f ca="1">IFERROR(__xludf.DUMMYFUNCTION("""COMPUTED_VALUE"""),0)</f>
        <v>0</v>
      </c>
      <c r="H1025" s="7">
        <f ca="1">IFERROR(__xludf.DUMMYFUNCTION("""COMPUTED_VALUE"""),500000)</f>
        <v>500000</v>
      </c>
    </row>
    <row r="1026" spans="1:8" ht="13" x14ac:dyDescent="0.15">
      <c r="A1026" s="5" t="str">
        <f ca="1">IFERROR(__xludf.DUMMYFUNCTION("""COMPUTED_VALUE"""),"37649")</f>
        <v>37649</v>
      </c>
      <c r="B1026" s="51">
        <f ca="1">IFERROR(__xludf.DUMMYFUNCTION("""COMPUTED_VALUE"""),44607)</f>
        <v>44607</v>
      </c>
      <c r="C1026" s="22">
        <f ca="1">IFERROR(__xludf.DUMMYFUNCTION("""COMPUTED_VALUE"""),500000)</f>
        <v>500000</v>
      </c>
      <c r="D1026" s="22">
        <f ca="1">IFERROR(__xludf.DUMMYFUNCTION("""COMPUTED_VALUE"""),0)</f>
        <v>0</v>
      </c>
      <c r="E1026" s="22">
        <f ca="1">IFERROR(__xludf.DUMMYFUNCTION("""COMPUTED_VALUE"""),500000)</f>
        <v>500000</v>
      </c>
      <c r="F1026" s="22">
        <f ca="1">IFERROR(__xludf.DUMMYFUNCTION("""COMPUTED_VALUE"""),500000)</f>
        <v>500000</v>
      </c>
      <c r="G1026" s="22">
        <f ca="1">IFERROR(__xludf.DUMMYFUNCTION("""COMPUTED_VALUE"""),0)</f>
        <v>0</v>
      </c>
      <c r="H1026" s="7">
        <f ca="1">IFERROR(__xludf.DUMMYFUNCTION("""COMPUTED_VALUE"""),500000)</f>
        <v>500000</v>
      </c>
    </row>
    <row r="1027" spans="1:8" ht="13" x14ac:dyDescent="0.15">
      <c r="A1027" s="5" t="str">
        <f ca="1">IFERROR(__xludf.DUMMYFUNCTION("""COMPUTED_VALUE"""),"37649")</f>
        <v>37649</v>
      </c>
      <c r="B1027" s="51">
        <f ca="1">IFERROR(__xludf.DUMMYFUNCTION("""COMPUTED_VALUE"""),44608)</f>
        <v>44608</v>
      </c>
      <c r="C1027" s="22">
        <f ca="1">IFERROR(__xludf.DUMMYFUNCTION("""COMPUTED_VALUE"""),500000)</f>
        <v>500000</v>
      </c>
      <c r="D1027" s="22">
        <f ca="1">IFERROR(__xludf.DUMMYFUNCTION("""COMPUTED_VALUE"""),0)</f>
        <v>0</v>
      </c>
      <c r="E1027" s="22">
        <f ca="1">IFERROR(__xludf.DUMMYFUNCTION("""COMPUTED_VALUE"""),500000)</f>
        <v>500000</v>
      </c>
      <c r="F1027" s="22">
        <f ca="1">IFERROR(__xludf.DUMMYFUNCTION("""COMPUTED_VALUE"""),500000)</f>
        <v>500000</v>
      </c>
      <c r="G1027" s="22">
        <f ca="1">IFERROR(__xludf.DUMMYFUNCTION("""COMPUTED_VALUE"""),0)</f>
        <v>0</v>
      </c>
      <c r="H1027" s="7">
        <f ca="1">IFERROR(__xludf.DUMMYFUNCTION("""COMPUTED_VALUE"""),500000)</f>
        <v>500000</v>
      </c>
    </row>
    <row r="1028" spans="1:8" ht="13" x14ac:dyDescent="0.15">
      <c r="A1028" s="5" t="str">
        <f ca="1">IFERROR(__xludf.DUMMYFUNCTION("""COMPUTED_VALUE"""),"37649")</f>
        <v>37649</v>
      </c>
      <c r="B1028" s="51">
        <f ca="1">IFERROR(__xludf.DUMMYFUNCTION("""COMPUTED_VALUE"""),44609)</f>
        <v>44609</v>
      </c>
      <c r="C1028" s="22">
        <f ca="1">IFERROR(__xludf.DUMMYFUNCTION("""COMPUTED_VALUE"""),500000)</f>
        <v>500000</v>
      </c>
      <c r="D1028" s="22">
        <f ca="1">IFERROR(__xludf.DUMMYFUNCTION("""COMPUTED_VALUE"""),0)</f>
        <v>0</v>
      </c>
      <c r="E1028" s="22">
        <f ca="1">IFERROR(__xludf.DUMMYFUNCTION("""COMPUTED_VALUE"""),500000)</f>
        <v>500000</v>
      </c>
      <c r="F1028" s="22">
        <f ca="1">IFERROR(__xludf.DUMMYFUNCTION("""COMPUTED_VALUE"""),500000)</f>
        <v>500000</v>
      </c>
      <c r="G1028" s="22">
        <f ca="1">IFERROR(__xludf.DUMMYFUNCTION("""COMPUTED_VALUE"""),0)</f>
        <v>0</v>
      </c>
      <c r="H1028" s="7">
        <f ca="1">IFERROR(__xludf.DUMMYFUNCTION("""COMPUTED_VALUE"""),500000)</f>
        <v>500000</v>
      </c>
    </row>
    <row r="1029" spans="1:8" ht="13" x14ac:dyDescent="0.15">
      <c r="A1029" s="5" t="str">
        <f ca="1">IFERROR(__xludf.DUMMYFUNCTION("""COMPUTED_VALUE"""),"37649")</f>
        <v>37649</v>
      </c>
      <c r="B1029" s="51">
        <f ca="1">IFERROR(__xludf.DUMMYFUNCTION("""COMPUTED_VALUE"""),44610)</f>
        <v>44610</v>
      </c>
      <c r="C1029" s="22">
        <f ca="1">IFERROR(__xludf.DUMMYFUNCTION("""COMPUTED_VALUE"""),500000)</f>
        <v>500000</v>
      </c>
      <c r="D1029" s="22">
        <f ca="1">IFERROR(__xludf.DUMMYFUNCTION("""COMPUTED_VALUE"""),0)</f>
        <v>0</v>
      </c>
      <c r="E1029" s="22">
        <f ca="1">IFERROR(__xludf.DUMMYFUNCTION("""COMPUTED_VALUE"""),500000)</f>
        <v>500000</v>
      </c>
      <c r="F1029" s="22">
        <f ca="1">IFERROR(__xludf.DUMMYFUNCTION("""COMPUTED_VALUE"""),500000)</f>
        <v>500000</v>
      </c>
      <c r="G1029" s="22">
        <f ca="1">IFERROR(__xludf.DUMMYFUNCTION("""COMPUTED_VALUE"""),0)</f>
        <v>0</v>
      </c>
      <c r="H1029" s="7">
        <f ca="1">IFERROR(__xludf.DUMMYFUNCTION("""COMPUTED_VALUE"""),500000)</f>
        <v>500000</v>
      </c>
    </row>
    <row r="1030" spans="1:8" ht="13" x14ac:dyDescent="0.15">
      <c r="A1030" s="5" t="str">
        <f ca="1">IFERROR(__xludf.DUMMYFUNCTION("""COMPUTED_VALUE"""),"37649")</f>
        <v>37649</v>
      </c>
      <c r="B1030" s="51">
        <f ca="1">IFERROR(__xludf.DUMMYFUNCTION("""COMPUTED_VALUE"""),44611)</f>
        <v>44611</v>
      </c>
      <c r="C1030" s="22">
        <f ca="1">IFERROR(__xludf.DUMMYFUNCTION("""COMPUTED_VALUE"""),500000)</f>
        <v>500000</v>
      </c>
      <c r="D1030" s="22">
        <f ca="1">IFERROR(__xludf.DUMMYFUNCTION("""COMPUTED_VALUE"""),0)</f>
        <v>0</v>
      </c>
      <c r="E1030" s="22">
        <f ca="1">IFERROR(__xludf.DUMMYFUNCTION("""COMPUTED_VALUE"""),500000)</f>
        <v>500000</v>
      </c>
      <c r="F1030" s="22">
        <f ca="1">IFERROR(__xludf.DUMMYFUNCTION("""COMPUTED_VALUE"""),500000)</f>
        <v>500000</v>
      </c>
      <c r="G1030" s="22">
        <f ca="1">IFERROR(__xludf.DUMMYFUNCTION("""COMPUTED_VALUE"""),0)</f>
        <v>0</v>
      </c>
      <c r="H1030" s="7">
        <f ca="1">IFERROR(__xludf.DUMMYFUNCTION("""COMPUTED_VALUE"""),500000)</f>
        <v>500000</v>
      </c>
    </row>
    <row r="1031" spans="1:8" ht="13" x14ac:dyDescent="0.15">
      <c r="A1031" s="5" t="str">
        <f ca="1">IFERROR(__xludf.DUMMYFUNCTION("""COMPUTED_VALUE"""),"37649")</f>
        <v>37649</v>
      </c>
      <c r="B1031" s="51">
        <f ca="1">IFERROR(__xludf.DUMMYFUNCTION("""COMPUTED_VALUE"""),44612)</f>
        <v>44612</v>
      </c>
      <c r="C1031" s="22">
        <f ca="1">IFERROR(__xludf.DUMMYFUNCTION("""COMPUTED_VALUE"""),500000)</f>
        <v>500000</v>
      </c>
      <c r="D1031" s="22">
        <f ca="1">IFERROR(__xludf.DUMMYFUNCTION("""COMPUTED_VALUE"""),0)</f>
        <v>0</v>
      </c>
      <c r="E1031" s="22">
        <f ca="1">IFERROR(__xludf.DUMMYFUNCTION("""COMPUTED_VALUE"""),500000)</f>
        <v>500000</v>
      </c>
      <c r="F1031" s="22">
        <f ca="1">IFERROR(__xludf.DUMMYFUNCTION("""COMPUTED_VALUE"""),500000)</f>
        <v>500000</v>
      </c>
      <c r="G1031" s="22">
        <f ca="1">IFERROR(__xludf.DUMMYFUNCTION("""COMPUTED_VALUE"""),0)</f>
        <v>0</v>
      </c>
      <c r="H1031" s="7">
        <f ca="1">IFERROR(__xludf.DUMMYFUNCTION("""COMPUTED_VALUE"""),500000)</f>
        <v>500000</v>
      </c>
    </row>
    <row r="1032" spans="1:8" ht="13" x14ac:dyDescent="0.15">
      <c r="A1032" s="5" t="str">
        <f ca="1">IFERROR(__xludf.DUMMYFUNCTION("""COMPUTED_VALUE"""),"37649")</f>
        <v>37649</v>
      </c>
      <c r="B1032" s="51">
        <f ca="1">IFERROR(__xludf.DUMMYFUNCTION("""COMPUTED_VALUE"""),44613)</f>
        <v>44613</v>
      </c>
      <c r="C1032" s="22">
        <f ca="1">IFERROR(__xludf.DUMMYFUNCTION("""COMPUTED_VALUE"""),341200)</f>
        <v>341200</v>
      </c>
      <c r="D1032" s="22">
        <f ca="1">IFERROR(__xludf.DUMMYFUNCTION("""COMPUTED_VALUE"""),158800)</f>
        <v>158800</v>
      </c>
      <c r="E1032" s="22">
        <f ca="1">IFERROR(__xludf.DUMMYFUNCTION("""COMPUTED_VALUE"""),500000)</f>
        <v>500000</v>
      </c>
      <c r="F1032" s="22">
        <f ca="1">IFERROR(__xludf.DUMMYFUNCTION("""COMPUTED_VALUE"""),341200)</f>
        <v>341200</v>
      </c>
      <c r="G1032" s="22">
        <f ca="1">IFERROR(__xludf.DUMMYFUNCTION("""COMPUTED_VALUE"""),0)</f>
        <v>0</v>
      </c>
      <c r="H1032" s="7">
        <f ca="1">IFERROR(__xludf.DUMMYFUNCTION("""COMPUTED_VALUE"""),500000)</f>
        <v>500000</v>
      </c>
    </row>
    <row r="1033" spans="1:8" ht="13" x14ac:dyDescent="0.15">
      <c r="A1033" s="5" t="str">
        <f ca="1">IFERROR(__xludf.DUMMYFUNCTION("""COMPUTED_VALUE"""),"37649")</f>
        <v>37649</v>
      </c>
      <c r="B1033" s="51">
        <f ca="1">IFERROR(__xludf.DUMMYFUNCTION("""COMPUTED_VALUE"""),44614)</f>
        <v>44614</v>
      </c>
      <c r="C1033" s="22">
        <f ca="1">IFERROR(__xludf.DUMMYFUNCTION("""COMPUTED_VALUE"""),341200)</f>
        <v>341200</v>
      </c>
      <c r="D1033" s="22">
        <f ca="1">IFERROR(__xludf.DUMMYFUNCTION("""COMPUTED_VALUE"""),158800)</f>
        <v>158800</v>
      </c>
      <c r="E1033" s="22">
        <f ca="1">IFERROR(__xludf.DUMMYFUNCTION("""COMPUTED_VALUE"""),500000)</f>
        <v>500000</v>
      </c>
      <c r="F1033" s="22">
        <f ca="1">IFERROR(__xludf.DUMMYFUNCTION("""COMPUTED_VALUE"""),341200)</f>
        <v>341200</v>
      </c>
      <c r="G1033" s="22">
        <f ca="1">IFERROR(__xludf.DUMMYFUNCTION("""COMPUTED_VALUE"""),0)</f>
        <v>0</v>
      </c>
      <c r="H1033" s="7">
        <f ca="1">IFERROR(__xludf.DUMMYFUNCTION("""COMPUTED_VALUE"""),500200)</f>
        <v>500200</v>
      </c>
    </row>
    <row r="1034" spans="1:8" ht="13" x14ac:dyDescent="0.15">
      <c r="A1034" s="5" t="str">
        <f ca="1">IFERROR(__xludf.DUMMYFUNCTION("""COMPUTED_VALUE"""),"37649")</f>
        <v>37649</v>
      </c>
      <c r="B1034" s="51">
        <f ca="1">IFERROR(__xludf.DUMMYFUNCTION("""COMPUTED_VALUE"""),44615)</f>
        <v>44615</v>
      </c>
      <c r="C1034" s="22">
        <f ca="1">IFERROR(__xludf.DUMMYFUNCTION("""COMPUTED_VALUE"""),341200)</f>
        <v>341200</v>
      </c>
      <c r="D1034" s="22">
        <f ca="1">IFERROR(__xludf.DUMMYFUNCTION("""COMPUTED_VALUE"""),158800)</f>
        <v>158800</v>
      </c>
      <c r="E1034" s="22">
        <f ca="1">IFERROR(__xludf.DUMMYFUNCTION("""COMPUTED_VALUE"""),500000)</f>
        <v>500000</v>
      </c>
      <c r="F1034" s="22">
        <f ca="1">IFERROR(__xludf.DUMMYFUNCTION("""COMPUTED_VALUE"""),341200)</f>
        <v>341200</v>
      </c>
      <c r="G1034" s="22">
        <f ca="1">IFERROR(__xludf.DUMMYFUNCTION("""COMPUTED_VALUE"""),0)</f>
        <v>0</v>
      </c>
      <c r="H1034" s="7">
        <f ca="1">IFERROR(__xludf.DUMMYFUNCTION("""COMPUTED_VALUE"""),498400)</f>
        <v>498400</v>
      </c>
    </row>
    <row r="1035" spans="1:8" ht="13" x14ac:dyDescent="0.15">
      <c r="A1035" s="5" t="str">
        <f ca="1">IFERROR(__xludf.DUMMYFUNCTION("""COMPUTED_VALUE"""),"37649")</f>
        <v>37649</v>
      </c>
      <c r="B1035" s="51">
        <f ca="1">IFERROR(__xludf.DUMMYFUNCTION("""COMPUTED_VALUE"""),44616)</f>
        <v>44616</v>
      </c>
      <c r="C1035" s="22">
        <f ca="1">IFERROR(__xludf.DUMMYFUNCTION("""COMPUTED_VALUE"""),341200)</f>
        <v>341200</v>
      </c>
      <c r="D1035" s="22">
        <f ca="1">IFERROR(__xludf.DUMMYFUNCTION("""COMPUTED_VALUE"""),158800)</f>
        <v>158800</v>
      </c>
      <c r="E1035" s="22">
        <f ca="1">IFERROR(__xludf.DUMMYFUNCTION("""COMPUTED_VALUE"""),500000)</f>
        <v>500000</v>
      </c>
      <c r="F1035" s="22">
        <f ca="1">IFERROR(__xludf.DUMMYFUNCTION("""COMPUTED_VALUE"""),341200)</f>
        <v>341200</v>
      </c>
      <c r="G1035" s="22">
        <f ca="1">IFERROR(__xludf.DUMMYFUNCTION("""COMPUTED_VALUE"""),0)</f>
        <v>0</v>
      </c>
      <c r="H1035" s="7">
        <f ca="1">IFERROR(__xludf.DUMMYFUNCTION("""COMPUTED_VALUE"""),493400)</f>
        <v>493400</v>
      </c>
    </row>
    <row r="1036" spans="1:8" ht="13" x14ac:dyDescent="0.15">
      <c r="A1036" s="5" t="str">
        <f ca="1">IFERROR(__xludf.DUMMYFUNCTION("""COMPUTED_VALUE"""),"37649")</f>
        <v>37649</v>
      </c>
      <c r="B1036" s="51">
        <f ca="1">IFERROR(__xludf.DUMMYFUNCTION("""COMPUTED_VALUE"""),44617)</f>
        <v>44617</v>
      </c>
      <c r="C1036" s="22">
        <f ca="1">IFERROR(__xludf.DUMMYFUNCTION("""COMPUTED_VALUE"""),341200)</f>
        <v>341200</v>
      </c>
      <c r="D1036" s="22">
        <f ca="1">IFERROR(__xludf.DUMMYFUNCTION("""COMPUTED_VALUE"""),158800)</f>
        <v>158800</v>
      </c>
      <c r="E1036" s="22">
        <f ca="1">IFERROR(__xludf.DUMMYFUNCTION("""COMPUTED_VALUE"""),500000)</f>
        <v>500000</v>
      </c>
      <c r="F1036" s="22">
        <f ca="1">IFERROR(__xludf.DUMMYFUNCTION("""COMPUTED_VALUE"""),341200)</f>
        <v>341200</v>
      </c>
      <c r="G1036" s="22">
        <f ca="1">IFERROR(__xludf.DUMMYFUNCTION("""COMPUTED_VALUE"""),0)</f>
        <v>0</v>
      </c>
      <c r="H1036" s="7">
        <f ca="1">IFERROR(__xludf.DUMMYFUNCTION("""COMPUTED_VALUE"""),488400)</f>
        <v>488400</v>
      </c>
    </row>
    <row r="1037" spans="1:8" ht="13" x14ac:dyDescent="0.15">
      <c r="A1037" s="5" t="str">
        <f ca="1">IFERROR(__xludf.DUMMYFUNCTION("""COMPUTED_VALUE"""),"37649")</f>
        <v>37649</v>
      </c>
      <c r="B1037" s="51">
        <f ca="1">IFERROR(__xludf.DUMMYFUNCTION("""COMPUTED_VALUE"""),44618)</f>
        <v>44618</v>
      </c>
      <c r="C1037" s="22">
        <f ca="1">IFERROR(__xludf.DUMMYFUNCTION("""COMPUTED_VALUE"""),341200)</f>
        <v>341200</v>
      </c>
      <c r="D1037" s="22">
        <f ca="1">IFERROR(__xludf.DUMMYFUNCTION("""COMPUTED_VALUE"""),158800)</f>
        <v>158800</v>
      </c>
      <c r="E1037" s="22">
        <f ca="1">IFERROR(__xludf.DUMMYFUNCTION("""COMPUTED_VALUE"""),500000)</f>
        <v>500000</v>
      </c>
      <c r="F1037" s="22">
        <f ca="1">IFERROR(__xludf.DUMMYFUNCTION("""COMPUTED_VALUE"""),341200)</f>
        <v>341200</v>
      </c>
      <c r="G1037" s="22">
        <f ca="1">IFERROR(__xludf.DUMMYFUNCTION("""COMPUTED_VALUE"""),0)</f>
        <v>0</v>
      </c>
      <c r="H1037" s="7">
        <f ca="1">IFERROR(__xludf.DUMMYFUNCTION("""COMPUTED_VALUE"""),488400)</f>
        <v>488400</v>
      </c>
    </row>
    <row r="1038" spans="1:8" ht="13" x14ac:dyDescent="0.15">
      <c r="A1038" s="5" t="str">
        <f ca="1">IFERROR(__xludf.DUMMYFUNCTION("""COMPUTED_VALUE"""),"37649")</f>
        <v>37649</v>
      </c>
      <c r="B1038" s="51">
        <f ca="1">IFERROR(__xludf.DUMMYFUNCTION("""COMPUTED_VALUE"""),44619)</f>
        <v>44619</v>
      </c>
      <c r="C1038" s="22">
        <f ca="1">IFERROR(__xludf.DUMMYFUNCTION("""COMPUTED_VALUE"""),341200)</f>
        <v>341200</v>
      </c>
      <c r="D1038" s="22">
        <f ca="1">IFERROR(__xludf.DUMMYFUNCTION("""COMPUTED_VALUE"""),158800)</f>
        <v>158800</v>
      </c>
      <c r="E1038" s="22">
        <f ca="1">IFERROR(__xludf.DUMMYFUNCTION("""COMPUTED_VALUE"""),500000)</f>
        <v>500000</v>
      </c>
      <c r="F1038" s="22">
        <f ca="1">IFERROR(__xludf.DUMMYFUNCTION("""COMPUTED_VALUE"""),341200)</f>
        <v>341200</v>
      </c>
      <c r="G1038" s="22">
        <f ca="1">IFERROR(__xludf.DUMMYFUNCTION("""COMPUTED_VALUE"""),0)</f>
        <v>0</v>
      </c>
      <c r="H1038" s="7">
        <f ca="1">IFERROR(__xludf.DUMMYFUNCTION("""COMPUTED_VALUE"""),488400)</f>
        <v>488400</v>
      </c>
    </row>
    <row r="1039" spans="1:8" ht="13" x14ac:dyDescent="0.15">
      <c r="A1039" s="5" t="str">
        <f ca="1">IFERROR(__xludf.DUMMYFUNCTION("""COMPUTED_VALUE"""),"37649")</f>
        <v>37649</v>
      </c>
      <c r="B1039" s="51">
        <f ca="1">IFERROR(__xludf.DUMMYFUNCTION("""COMPUTED_VALUE"""),44620)</f>
        <v>44620</v>
      </c>
      <c r="C1039" s="22">
        <f ca="1">IFERROR(__xludf.DUMMYFUNCTION("""COMPUTED_VALUE"""),341200)</f>
        <v>341200</v>
      </c>
      <c r="D1039" s="22">
        <f ca="1">IFERROR(__xludf.DUMMYFUNCTION("""COMPUTED_VALUE"""),158800)</f>
        <v>158800</v>
      </c>
      <c r="E1039" s="22">
        <f ca="1">IFERROR(__xludf.DUMMYFUNCTION("""COMPUTED_VALUE"""),500000)</f>
        <v>500000</v>
      </c>
      <c r="F1039" s="22">
        <f ca="1">IFERROR(__xludf.DUMMYFUNCTION("""COMPUTED_VALUE"""),341200)</f>
        <v>341200</v>
      </c>
      <c r="G1039" s="22">
        <f ca="1">IFERROR(__xludf.DUMMYFUNCTION("""COMPUTED_VALUE"""),0)</f>
        <v>0</v>
      </c>
      <c r="H1039" s="7">
        <f ca="1">IFERROR(__xludf.DUMMYFUNCTION("""COMPUTED_VALUE"""),493200)</f>
        <v>493200</v>
      </c>
    </row>
    <row r="1040" spans="1:8" ht="13" x14ac:dyDescent="0.15">
      <c r="A1040" s="5" t="str">
        <f ca="1">IFERROR(__xludf.DUMMYFUNCTION("""COMPUTED_VALUE"""),"37649")</f>
        <v>37649</v>
      </c>
      <c r="B1040" s="51">
        <f ca="1">IFERROR(__xludf.DUMMYFUNCTION("""COMPUTED_VALUE"""),44621)</f>
        <v>44621</v>
      </c>
      <c r="C1040" s="22">
        <f ca="1">IFERROR(__xludf.DUMMYFUNCTION("""COMPUTED_VALUE"""),341200)</f>
        <v>341200</v>
      </c>
      <c r="D1040" s="22">
        <f ca="1">IFERROR(__xludf.DUMMYFUNCTION("""COMPUTED_VALUE"""),158800)</f>
        <v>158800</v>
      </c>
      <c r="E1040" s="22">
        <f ca="1">IFERROR(__xludf.DUMMYFUNCTION("""COMPUTED_VALUE"""),500000)</f>
        <v>500000</v>
      </c>
      <c r="F1040" s="22">
        <f ca="1">IFERROR(__xludf.DUMMYFUNCTION("""COMPUTED_VALUE"""),341200)</f>
        <v>341200</v>
      </c>
      <c r="G1040" s="22">
        <f ca="1">IFERROR(__xludf.DUMMYFUNCTION("""COMPUTED_VALUE"""),0)</f>
        <v>0</v>
      </c>
      <c r="H1040" s="7">
        <f ca="1">IFERROR(__xludf.DUMMYFUNCTION("""COMPUTED_VALUE"""),491600)</f>
        <v>491600</v>
      </c>
    </row>
    <row r="1041" spans="1:8" ht="13" x14ac:dyDescent="0.15">
      <c r="A1041" s="5" t="str">
        <f ca="1">IFERROR(__xludf.DUMMYFUNCTION("""COMPUTED_VALUE"""),"37649")</f>
        <v>37649</v>
      </c>
      <c r="B1041" s="51">
        <f ca="1">IFERROR(__xludf.DUMMYFUNCTION("""COMPUTED_VALUE"""),44622)</f>
        <v>44622</v>
      </c>
      <c r="C1041" s="22">
        <f ca="1">IFERROR(__xludf.DUMMYFUNCTION("""COMPUTED_VALUE"""),341200)</f>
        <v>341200</v>
      </c>
      <c r="D1041" s="22">
        <f ca="1">IFERROR(__xludf.DUMMYFUNCTION("""COMPUTED_VALUE"""),158800)</f>
        <v>158800</v>
      </c>
      <c r="E1041" s="22">
        <f ca="1">IFERROR(__xludf.DUMMYFUNCTION("""COMPUTED_VALUE"""),500000)</f>
        <v>500000</v>
      </c>
      <c r="F1041" s="22">
        <f ca="1">IFERROR(__xludf.DUMMYFUNCTION("""COMPUTED_VALUE"""),341200)</f>
        <v>341200</v>
      </c>
      <c r="G1041" s="22">
        <f ca="1">IFERROR(__xludf.DUMMYFUNCTION("""COMPUTED_VALUE"""),0)</f>
        <v>0</v>
      </c>
      <c r="H1041" s="7">
        <f ca="1">IFERROR(__xludf.DUMMYFUNCTION("""COMPUTED_VALUE"""),489000)</f>
        <v>489000</v>
      </c>
    </row>
    <row r="1042" spans="1:8" ht="13" x14ac:dyDescent="0.15">
      <c r="A1042" s="5" t="str">
        <f ca="1">IFERROR(__xludf.DUMMYFUNCTION("""COMPUTED_VALUE"""),"37649")</f>
        <v>37649</v>
      </c>
      <c r="B1042" s="51">
        <f ca="1">IFERROR(__xludf.DUMMYFUNCTION("""COMPUTED_VALUE"""),44623)</f>
        <v>44623</v>
      </c>
      <c r="C1042" s="22">
        <f ca="1">IFERROR(__xludf.DUMMYFUNCTION("""COMPUTED_VALUE"""),341200)</f>
        <v>341200</v>
      </c>
      <c r="D1042" s="22">
        <f ca="1">IFERROR(__xludf.DUMMYFUNCTION("""COMPUTED_VALUE"""),158800)</f>
        <v>158800</v>
      </c>
      <c r="E1042" s="22">
        <f ca="1">IFERROR(__xludf.DUMMYFUNCTION("""COMPUTED_VALUE"""),500000)</f>
        <v>500000</v>
      </c>
      <c r="F1042" s="22">
        <f ca="1">IFERROR(__xludf.DUMMYFUNCTION("""COMPUTED_VALUE"""),341200)</f>
        <v>341200</v>
      </c>
      <c r="G1042" s="22">
        <f ca="1">IFERROR(__xludf.DUMMYFUNCTION("""COMPUTED_VALUE"""),0)</f>
        <v>0</v>
      </c>
      <c r="H1042" s="7">
        <f ca="1">IFERROR(__xludf.DUMMYFUNCTION("""COMPUTED_VALUE"""),493200)</f>
        <v>493200</v>
      </c>
    </row>
    <row r="1043" spans="1:8" ht="13" x14ac:dyDescent="0.15">
      <c r="A1043" s="5" t="str">
        <f ca="1">IFERROR(__xludf.DUMMYFUNCTION("""COMPUTED_VALUE"""),"37649")</f>
        <v>37649</v>
      </c>
      <c r="B1043" s="51">
        <f ca="1">IFERROR(__xludf.DUMMYFUNCTION("""COMPUTED_VALUE"""),44624)</f>
        <v>44624</v>
      </c>
      <c r="C1043" s="22">
        <f ca="1">IFERROR(__xludf.DUMMYFUNCTION("""COMPUTED_VALUE"""),341200)</f>
        <v>341200</v>
      </c>
      <c r="D1043" s="22">
        <f ca="1">IFERROR(__xludf.DUMMYFUNCTION("""COMPUTED_VALUE"""),158800)</f>
        <v>158800</v>
      </c>
      <c r="E1043" s="22">
        <f ca="1">IFERROR(__xludf.DUMMYFUNCTION("""COMPUTED_VALUE"""),500000)</f>
        <v>500000</v>
      </c>
      <c r="F1043" s="22">
        <f ca="1">IFERROR(__xludf.DUMMYFUNCTION("""COMPUTED_VALUE"""),341200)</f>
        <v>341200</v>
      </c>
      <c r="G1043" s="22">
        <f ca="1">IFERROR(__xludf.DUMMYFUNCTION("""COMPUTED_VALUE"""),0)</f>
        <v>0</v>
      </c>
      <c r="H1043" s="7">
        <f ca="1">IFERROR(__xludf.DUMMYFUNCTION("""COMPUTED_VALUE"""),494200)</f>
        <v>494200</v>
      </c>
    </row>
    <row r="1044" spans="1:8" ht="13" x14ac:dyDescent="0.15">
      <c r="A1044" s="5" t="str">
        <f ca="1">IFERROR(__xludf.DUMMYFUNCTION("""COMPUTED_VALUE"""),"37649")</f>
        <v>37649</v>
      </c>
      <c r="B1044" s="51">
        <f ca="1">IFERROR(__xludf.DUMMYFUNCTION("""COMPUTED_VALUE"""),44625)</f>
        <v>44625</v>
      </c>
      <c r="C1044" s="22">
        <f ca="1">IFERROR(__xludf.DUMMYFUNCTION("""COMPUTED_VALUE"""),341200)</f>
        <v>341200</v>
      </c>
      <c r="D1044" s="22">
        <f ca="1">IFERROR(__xludf.DUMMYFUNCTION("""COMPUTED_VALUE"""),158800)</f>
        <v>158800</v>
      </c>
      <c r="E1044" s="22">
        <f ca="1">IFERROR(__xludf.DUMMYFUNCTION("""COMPUTED_VALUE"""),500000)</f>
        <v>500000</v>
      </c>
      <c r="F1044" s="22">
        <f ca="1">IFERROR(__xludf.DUMMYFUNCTION("""COMPUTED_VALUE"""),341200)</f>
        <v>341200</v>
      </c>
      <c r="G1044" s="22">
        <f ca="1">IFERROR(__xludf.DUMMYFUNCTION("""COMPUTED_VALUE"""),0)</f>
        <v>0</v>
      </c>
      <c r="H1044" s="7">
        <f ca="1">IFERROR(__xludf.DUMMYFUNCTION("""COMPUTED_VALUE"""),494200)</f>
        <v>494200</v>
      </c>
    </row>
    <row r="1045" spans="1:8" ht="13" x14ac:dyDescent="0.15">
      <c r="A1045" s="5" t="str">
        <f ca="1">IFERROR(__xludf.DUMMYFUNCTION("""COMPUTED_VALUE"""),"37649")</f>
        <v>37649</v>
      </c>
      <c r="B1045" s="51">
        <f ca="1">IFERROR(__xludf.DUMMYFUNCTION("""COMPUTED_VALUE"""),44626)</f>
        <v>44626</v>
      </c>
      <c r="C1045" s="22">
        <f ca="1">IFERROR(__xludf.DUMMYFUNCTION("""COMPUTED_VALUE"""),341200)</f>
        <v>341200</v>
      </c>
      <c r="D1045" s="22">
        <f ca="1">IFERROR(__xludf.DUMMYFUNCTION("""COMPUTED_VALUE"""),158800)</f>
        <v>158800</v>
      </c>
      <c r="E1045" s="22">
        <f ca="1">IFERROR(__xludf.DUMMYFUNCTION("""COMPUTED_VALUE"""),500000)</f>
        <v>500000</v>
      </c>
      <c r="F1045" s="22">
        <f ca="1">IFERROR(__xludf.DUMMYFUNCTION("""COMPUTED_VALUE"""),341200)</f>
        <v>341200</v>
      </c>
      <c r="G1045" s="22">
        <f ca="1">IFERROR(__xludf.DUMMYFUNCTION("""COMPUTED_VALUE"""),0)</f>
        <v>0</v>
      </c>
      <c r="H1045" s="7">
        <f ca="1">IFERROR(__xludf.DUMMYFUNCTION("""COMPUTED_VALUE"""),494200)</f>
        <v>494200</v>
      </c>
    </row>
    <row r="1046" spans="1:8" ht="13" x14ac:dyDescent="0.15">
      <c r="A1046" s="5" t="str">
        <f ca="1">IFERROR(__xludf.DUMMYFUNCTION("""COMPUTED_VALUE"""),"37649")</f>
        <v>37649</v>
      </c>
      <c r="B1046" s="51">
        <f ca="1">IFERROR(__xludf.DUMMYFUNCTION("""COMPUTED_VALUE"""),44627)</f>
        <v>44627</v>
      </c>
      <c r="C1046" s="22">
        <f ca="1">IFERROR(__xludf.DUMMYFUNCTION("""COMPUTED_VALUE"""),341200)</f>
        <v>341200</v>
      </c>
      <c r="D1046" s="22">
        <f ca="1">IFERROR(__xludf.DUMMYFUNCTION("""COMPUTED_VALUE"""),158800)</f>
        <v>158800</v>
      </c>
      <c r="E1046" s="22">
        <f ca="1">IFERROR(__xludf.DUMMYFUNCTION("""COMPUTED_VALUE"""),500000)</f>
        <v>500000</v>
      </c>
      <c r="F1046" s="22">
        <f ca="1">IFERROR(__xludf.DUMMYFUNCTION("""COMPUTED_VALUE"""),341200)</f>
        <v>341200</v>
      </c>
      <c r="G1046" s="22">
        <f ca="1">IFERROR(__xludf.DUMMYFUNCTION("""COMPUTED_VALUE"""),0)</f>
        <v>0</v>
      </c>
      <c r="H1046" s="7">
        <f ca="1">IFERROR(__xludf.DUMMYFUNCTION("""COMPUTED_VALUE"""),492400)</f>
        <v>492400</v>
      </c>
    </row>
    <row r="1047" spans="1:8" ht="13" x14ac:dyDescent="0.15">
      <c r="A1047" s="5" t="str">
        <f ca="1">IFERROR(__xludf.DUMMYFUNCTION("""COMPUTED_VALUE"""),"37649")</f>
        <v>37649</v>
      </c>
      <c r="B1047" s="51">
        <f ca="1">IFERROR(__xludf.DUMMYFUNCTION("""COMPUTED_VALUE"""),44628)</f>
        <v>44628</v>
      </c>
      <c r="C1047" s="22">
        <f ca="1">IFERROR(__xludf.DUMMYFUNCTION("""COMPUTED_VALUE"""),341200)</f>
        <v>341200</v>
      </c>
      <c r="D1047" s="22">
        <f ca="1">IFERROR(__xludf.DUMMYFUNCTION("""COMPUTED_VALUE"""),158800)</f>
        <v>158800</v>
      </c>
      <c r="E1047" s="22">
        <f ca="1">IFERROR(__xludf.DUMMYFUNCTION("""COMPUTED_VALUE"""),500000)</f>
        <v>500000</v>
      </c>
      <c r="F1047" s="22">
        <f ca="1">IFERROR(__xludf.DUMMYFUNCTION("""COMPUTED_VALUE"""),341200)</f>
        <v>341200</v>
      </c>
      <c r="G1047" s="22">
        <f ca="1">IFERROR(__xludf.DUMMYFUNCTION("""COMPUTED_VALUE"""),0)</f>
        <v>0</v>
      </c>
      <c r="H1047" s="7">
        <f ca="1">IFERROR(__xludf.DUMMYFUNCTION("""COMPUTED_VALUE"""),488800)</f>
        <v>488800</v>
      </c>
    </row>
    <row r="1048" spans="1:8" ht="13" x14ac:dyDescent="0.15">
      <c r="A1048" s="5" t="str">
        <f ca="1">IFERROR(__xludf.DUMMYFUNCTION("""COMPUTED_VALUE"""),"37649")</f>
        <v>37649</v>
      </c>
      <c r="B1048" s="51">
        <f ca="1">IFERROR(__xludf.DUMMYFUNCTION("""COMPUTED_VALUE"""),44629)</f>
        <v>44629</v>
      </c>
      <c r="C1048" s="22">
        <f ca="1">IFERROR(__xludf.DUMMYFUNCTION("""COMPUTED_VALUE"""),341200)</f>
        <v>341200</v>
      </c>
      <c r="D1048" s="22">
        <f ca="1">IFERROR(__xludf.DUMMYFUNCTION("""COMPUTED_VALUE"""),158800)</f>
        <v>158800</v>
      </c>
      <c r="E1048" s="22">
        <f ca="1">IFERROR(__xludf.DUMMYFUNCTION("""COMPUTED_VALUE"""),500000)</f>
        <v>500000</v>
      </c>
      <c r="F1048" s="22">
        <f ca="1">IFERROR(__xludf.DUMMYFUNCTION("""COMPUTED_VALUE"""),341200)</f>
        <v>341200</v>
      </c>
      <c r="G1048" s="22">
        <f ca="1">IFERROR(__xludf.DUMMYFUNCTION("""COMPUTED_VALUE"""),0)</f>
        <v>0</v>
      </c>
      <c r="H1048" s="7">
        <f ca="1">IFERROR(__xludf.DUMMYFUNCTION("""COMPUTED_VALUE"""),484000)</f>
        <v>484000</v>
      </c>
    </row>
    <row r="1049" spans="1:8" ht="13" x14ac:dyDescent="0.15">
      <c r="A1049" s="5" t="str">
        <f ca="1">IFERROR(__xludf.DUMMYFUNCTION("""COMPUTED_VALUE"""),"37649")</f>
        <v>37649</v>
      </c>
      <c r="B1049" s="51">
        <f ca="1">IFERROR(__xludf.DUMMYFUNCTION("""COMPUTED_VALUE"""),44630)</f>
        <v>44630</v>
      </c>
      <c r="C1049" s="22">
        <f ca="1">IFERROR(__xludf.DUMMYFUNCTION("""COMPUTED_VALUE"""),341200)</f>
        <v>341200</v>
      </c>
      <c r="D1049" s="22">
        <f ca="1">IFERROR(__xludf.DUMMYFUNCTION("""COMPUTED_VALUE"""),158800)</f>
        <v>158800</v>
      </c>
      <c r="E1049" s="22">
        <f ca="1">IFERROR(__xludf.DUMMYFUNCTION("""COMPUTED_VALUE"""),500000)</f>
        <v>500000</v>
      </c>
      <c r="F1049" s="22">
        <f ca="1">IFERROR(__xludf.DUMMYFUNCTION("""COMPUTED_VALUE"""),341200)</f>
        <v>341200</v>
      </c>
      <c r="G1049" s="22">
        <f ca="1">IFERROR(__xludf.DUMMYFUNCTION("""COMPUTED_VALUE"""),0)</f>
        <v>0</v>
      </c>
      <c r="H1049" s="7">
        <f ca="1">IFERROR(__xludf.DUMMYFUNCTION("""COMPUTED_VALUE"""),488600)</f>
        <v>488600</v>
      </c>
    </row>
    <row r="1050" spans="1:8" ht="13" x14ac:dyDescent="0.15">
      <c r="A1050" s="5" t="str">
        <f ca="1">IFERROR(__xludf.DUMMYFUNCTION("""COMPUTED_VALUE"""),"37649")</f>
        <v>37649</v>
      </c>
      <c r="B1050" s="51">
        <f ca="1">IFERROR(__xludf.DUMMYFUNCTION("""COMPUTED_VALUE"""),44631)</f>
        <v>44631</v>
      </c>
      <c r="C1050" s="22">
        <f ca="1">IFERROR(__xludf.DUMMYFUNCTION("""COMPUTED_VALUE"""),341200)</f>
        <v>341200</v>
      </c>
      <c r="D1050" s="22">
        <f ca="1">IFERROR(__xludf.DUMMYFUNCTION("""COMPUTED_VALUE"""),158800)</f>
        <v>158800</v>
      </c>
      <c r="E1050" s="22">
        <f ca="1">IFERROR(__xludf.DUMMYFUNCTION("""COMPUTED_VALUE"""),500000)</f>
        <v>500000</v>
      </c>
      <c r="F1050" s="22">
        <f ca="1">IFERROR(__xludf.DUMMYFUNCTION("""COMPUTED_VALUE"""),341200)</f>
        <v>341200</v>
      </c>
      <c r="G1050" s="22">
        <f ca="1">IFERROR(__xludf.DUMMYFUNCTION("""COMPUTED_VALUE"""),0)</f>
        <v>0</v>
      </c>
      <c r="H1050" s="7">
        <f ca="1">IFERROR(__xludf.DUMMYFUNCTION("""COMPUTED_VALUE"""),483800)</f>
        <v>483800</v>
      </c>
    </row>
    <row r="1051" spans="1:8" ht="13" x14ac:dyDescent="0.15">
      <c r="A1051" s="5" t="str">
        <f ca="1">IFERROR(__xludf.DUMMYFUNCTION("""COMPUTED_VALUE"""),"37649")</f>
        <v>37649</v>
      </c>
      <c r="B1051" s="51">
        <f ca="1">IFERROR(__xludf.DUMMYFUNCTION("""COMPUTED_VALUE"""),44632)</f>
        <v>44632</v>
      </c>
      <c r="C1051" s="22">
        <f ca="1">IFERROR(__xludf.DUMMYFUNCTION("""COMPUTED_VALUE"""),341200)</f>
        <v>341200</v>
      </c>
      <c r="D1051" s="22">
        <f ca="1">IFERROR(__xludf.DUMMYFUNCTION("""COMPUTED_VALUE"""),158800)</f>
        <v>158800</v>
      </c>
      <c r="E1051" s="22">
        <f ca="1">IFERROR(__xludf.DUMMYFUNCTION("""COMPUTED_VALUE"""),500000)</f>
        <v>500000</v>
      </c>
      <c r="F1051" s="22">
        <f ca="1">IFERROR(__xludf.DUMMYFUNCTION("""COMPUTED_VALUE"""),341200)</f>
        <v>341200</v>
      </c>
      <c r="G1051" s="22">
        <f ca="1">IFERROR(__xludf.DUMMYFUNCTION("""COMPUTED_VALUE"""),0)</f>
        <v>0</v>
      </c>
      <c r="H1051" s="7">
        <f ca="1">IFERROR(__xludf.DUMMYFUNCTION("""COMPUTED_VALUE"""),483800)</f>
        <v>483800</v>
      </c>
    </row>
    <row r="1052" spans="1:8" ht="13" x14ac:dyDescent="0.15">
      <c r="A1052" s="5" t="str">
        <f ca="1">IFERROR(__xludf.DUMMYFUNCTION("""COMPUTED_VALUE"""),"37649")</f>
        <v>37649</v>
      </c>
      <c r="B1052" s="51">
        <f ca="1">IFERROR(__xludf.DUMMYFUNCTION("""COMPUTED_VALUE"""),44633)</f>
        <v>44633</v>
      </c>
      <c r="C1052" s="22">
        <f ca="1">IFERROR(__xludf.DUMMYFUNCTION("""COMPUTED_VALUE"""),341200)</f>
        <v>341200</v>
      </c>
      <c r="D1052" s="22">
        <f ca="1">IFERROR(__xludf.DUMMYFUNCTION("""COMPUTED_VALUE"""),158800)</f>
        <v>158800</v>
      </c>
      <c r="E1052" s="22">
        <f ca="1">IFERROR(__xludf.DUMMYFUNCTION("""COMPUTED_VALUE"""),500000)</f>
        <v>500000</v>
      </c>
      <c r="F1052" s="22">
        <f ca="1">IFERROR(__xludf.DUMMYFUNCTION("""COMPUTED_VALUE"""),341200)</f>
        <v>341200</v>
      </c>
      <c r="G1052" s="22">
        <f ca="1">IFERROR(__xludf.DUMMYFUNCTION("""COMPUTED_VALUE"""),0)</f>
        <v>0</v>
      </c>
      <c r="H1052" s="7">
        <f ca="1">IFERROR(__xludf.DUMMYFUNCTION("""COMPUTED_VALUE"""),483800)</f>
        <v>483800</v>
      </c>
    </row>
    <row r="1053" spans="1:8" ht="13" x14ac:dyDescent="0.15">
      <c r="A1053" s="5" t="str">
        <f ca="1">IFERROR(__xludf.DUMMYFUNCTION("""COMPUTED_VALUE"""),"37649")</f>
        <v>37649</v>
      </c>
      <c r="B1053" s="51">
        <f ca="1">IFERROR(__xludf.DUMMYFUNCTION("""COMPUTED_VALUE"""),44634)</f>
        <v>44634</v>
      </c>
      <c r="C1053" s="22">
        <f ca="1">IFERROR(__xludf.DUMMYFUNCTION("""COMPUTED_VALUE"""),341200)</f>
        <v>341200</v>
      </c>
      <c r="D1053" s="22">
        <f ca="1">IFERROR(__xludf.DUMMYFUNCTION("""COMPUTED_VALUE"""),158800)</f>
        <v>158800</v>
      </c>
      <c r="E1053" s="22">
        <f ca="1">IFERROR(__xludf.DUMMYFUNCTION("""COMPUTED_VALUE"""),500000)</f>
        <v>500000</v>
      </c>
      <c r="F1053" s="22">
        <f ca="1">IFERROR(__xludf.DUMMYFUNCTION("""COMPUTED_VALUE"""),341200)</f>
        <v>341200</v>
      </c>
      <c r="G1053" s="22">
        <f ca="1">IFERROR(__xludf.DUMMYFUNCTION("""COMPUTED_VALUE"""),0)</f>
        <v>0</v>
      </c>
      <c r="H1053" s="7">
        <f ca="1">IFERROR(__xludf.DUMMYFUNCTION("""COMPUTED_VALUE"""),475400)</f>
        <v>475400</v>
      </c>
    </row>
    <row r="1054" spans="1:8" ht="13" x14ac:dyDescent="0.15">
      <c r="A1054" s="5" t="str">
        <f ca="1">IFERROR(__xludf.DUMMYFUNCTION("""COMPUTED_VALUE"""),"37649")</f>
        <v>37649</v>
      </c>
      <c r="B1054" s="51">
        <f ca="1">IFERROR(__xludf.DUMMYFUNCTION("""COMPUTED_VALUE"""),44635)</f>
        <v>44635</v>
      </c>
      <c r="C1054" s="22">
        <f ca="1">IFERROR(__xludf.DUMMYFUNCTION("""COMPUTED_VALUE"""),341200)</f>
        <v>341200</v>
      </c>
      <c r="D1054" s="22">
        <f ca="1">IFERROR(__xludf.DUMMYFUNCTION("""COMPUTED_VALUE"""),158800)</f>
        <v>158800</v>
      </c>
      <c r="E1054" s="22">
        <f ca="1">IFERROR(__xludf.DUMMYFUNCTION("""COMPUTED_VALUE"""),500000)</f>
        <v>500000</v>
      </c>
      <c r="F1054" s="22">
        <f ca="1">IFERROR(__xludf.DUMMYFUNCTION("""COMPUTED_VALUE"""),341200)</f>
        <v>341200</v>
      </c>
      <c r="G1054" s="22">
        <f ca="1">IFERROR(__xludf.DUMMYFUNCTION("""COMPUTED_VALUE"""),0)</f>
        <v>0</v>
      </c>
      <c r="H1054" s="7">
        <f ca="1">IFERROR(__xludf.DUMMYFUNCTION("""COMPUTED_VALUE"""),465200)</f>
        <v>465200</v>
      </c>
    </row>
    <row r="1055" spans="1:8" ht="13" x14ac:dyDescent="0.15">
      <c r="A1055" s="5" t="str">
        <f ca="1">IFERROR(__xludf.DUMMYFUNCTION("""COMPUTED_VALUE"""),"37649")</f>
        <v>37649</v>
      </c>
      <c r="B1055" s="51">
        <f ca="1">IFERROR(__xludf.DUMMYFUNCTION("""COMPUTED_VALUE"""),44636)</f>
        <v>44636</v>
      </c>
      <c r="C1055" s="22">
        <f ca="1">IFERROR(__xludf.DUMMYFUNCTION("""COMPUTED_VALUE"""),341200)</f>
        <v>341200</v>
      </c>
      <c r="D1055" s="22">
        <f ca="1">IFERROR(__xludf.DUMMYFUNCTION("""COMPUTED_VALUE"""),158800)</f>
        <v>158800</v>
      </c>
      <c r="E1055" s="22">
        <f ca="1">IFERROR(__xludf.DUMMYFUNCTION("""COMPUTED_VALUE"""),500000)</f>
        <v>500000</v>
      </c>
      <c r="F1055" s="22">
        <f ca="1">IFERROR(__xludf.DUMMYFUNCTION("""COMPUTED_VALUE"""),341200)</f>
        <v>341200</v>
      </c>
      <c r="G1055" s="22">
        <f ca="1">IFERROR(__xludf.DUMMYFUNCTION("""COMPUTED_VALUE"""),0)</f>
        <v>0</v>
      </c>
      <c r="H1055" s="7">
        <f ca="1">IFERROR(__xludf.DUMMYFUNCTION("""COMPUTED_VALUE"""),480000)</f>
        <v>480000</v>
      </c>
    </row>
    <row r="1056" spans="1:8" ht="13" x14ac:dyDescent="0.15">
      <c r="A1056" s="5" t="str">
        <f ca="1">IFERROR(__xludf.DUMMYFUNCTION("""COMPUTED_VALUE"""),"37649")</f>
        <v>37649</v>
      </c>
      <c r="B1056" s="51">
        <f ca="1">IFERROR(__xludf.DUMMYFUNCTION("""COMPUTED_VALUE"""),44637)</f>
        <v>44637</v>
      </c>
      <c r="C1056" s="22">
        <f ca="1">IFERROR(__xludf.DUMMYFUNCTION("""COMPUTED_VALUE"""),341200)</f>
        <v>341200</v>
      </c>
      <c r="D1056" s="22">
        <f ca="1">IFERROR(__xludf.DUMMYFUNCTION("""COMPUTED_VALUE"""),158800)</f>
        <v>158800</v>
      </c>
      <c r="E1056" s="22">
        <f ca="1">IFERROR(__xludf.DUMMYFUNCTION("""COMPUTED_VALUE"""),500000)</f>
        <v>500000</v>
      </c>
      <c r="F1056" s="22">
        <f ca="1">IFERROR(__xludf.DUMMYFUNCTION("""COMPUTED_VALUE"""),341200)</f>
        <v>341200</v>
      </c>
      <c r="G1056" s="22">
        <f ca="1">IFERROR(__xludf.DUMMYFUNCTION("""COMPUTED_VALUE"""),0)</f>
        <v>0</v>
      </c>
      <c r="H1056" s="7">
        <f ca="1">IFERROR(__xludf.DUMMYFUNCTION("""COMPUTED_VALUE"""),491600)</f>
        <v>491600</v>
      </c>
    </row>
    <row r="1057" spans="1:8" ht="13" x14ac:dyDescent="0.15">
      <c r="A1057" s="5" t="str">
        <f ca="1">IFERROR(__xludf.DUMMYFUNCTION("""COMPUTED_VALUE"""),"37649")</f>
        <v>37649</v>
      </c>
      <c r="B1057" s="51">
        <f ca="1">IFERROR(__xludf.DUMMYFUNCTION("""COMPUTED_VALUE"""),44638)</f>
        <v>44638</v>
      </c>
      <c r="C1057" s="22">
        <f ca="1">IFERROR(__xludf.DUMMYFUNCTION("""COMPUTED_VALUE"""),490000)</f>
        <v>490000</v>
      </c>
      <c r="D1057" s="22">
        <f ca="1">IFERROR(__xludf.DUMMYFUNCTION("""COMPUTED_VALUE"""),0)</f>
        <v>0</v>
      </c>
      <c r="E1057" s="22">
        <f ca="1">IFERROR(__xludf.DUMMYFUNCTION("""COMPUTED_VALUE"""),490000)</f>
        <v>490000</v>
      </c>
      <c r="F1057" s="22">
        <f ca="1">IFERROR(__xludf.DUMMYFUNCTION("""COMPUTED_VALUE"""),490000)</f>
        <v>490000</v>
      </c>
      <c r="G1057" s="22">
        <f ca="1">IFERROR(__xludf.DUMMYFUNCTION("""COMPUTED_VALUE"""),0)</f>
        <v>0</v>
      </c>
      <c r="H1057" s="7">
        <f ca="1">IFERROR(__xludf.DUMMYFUNCTION("""COMPUTED_VALUE"""),490000)</f>
        <v>490000</v>
      </c>
    </row>
    <row r="1058" spans="1:8" ht="13" x14ac:dyDescent="0.15">
      <c r="A1058" s="5" t="str">
        <f ca="1">IFERROR(__xludf.DUMMYFUNCTION("""COMPUTED_VALUE"""),"37649")</f>
        <v>37649</v>
      </c>
      <c r="B1058" s="51">
        <f ca="1">IFERROR(__xludf.DUMMYFUNCTION("""COMPUTED_VALUE"""),44639)</f>
        <v>44639</v>
      </c>
      <c r="C1058" s="22">
        <f ca="1">IFERROR(__xludf.DUMMYFUNCTION("""COMPUTED_VALUE"""),490000)</f>
        <v>490000</v>
      </c>
      <c r="D1058" s="22">
        <f ca="1">IFERROR(__xludf.DUMMYFUNCTION("""COMPUTED_VALUE"""),0)</f>
        <v>0</v>
      </c>
      <c r="E1058" s="22">
        <f ca="1">IFERROR(__xludf.DUMMYFUNCTION("""COMPUTED_VALUE"""),490000)</f>
        <v>490000</v>
      </c>
      <c r="F1058" s="22">
        <f ca="1">IFERROR(__xludf.DUMMYFUNCTION("""COMPUTED_VALUE"""),490000)</f>
        <v>490000</v>
      </c>
      <c r="G1058" s="22">
        <f ca="1">IFERROR(__xludf.DUMMYFUNCTION("""COMPUTED_VALUE"""),0)</f>
        <v>0</v>
      </c>
      <c r="H1058" s="7">
        <f ca="1">IFERROR(__xludf.DUMMYFUNCTION("""COMPUTED_VALUE"""),490000)</f>
        <v>490000</v>
      </c>
    </row>
    <row r="1059" spans="1:8" ht="13" x14ac:dyDescent="0.15">
      <c r="A1059" s="5" t="str">
        <f ca="1">IFERROR(__xludf.DUMMYFUNCTION("""COMPUTED_VALUE"""),"37649")</f>
        <v>37649</v>
      </c>
      <c r="B1059" s="51">
        <f ca="1">IFERROR(__xludf.DUMMYFUNCTION("""COMPUTED_VALUE"""),44640)</f>
        <v>44640</v>
      </c>
      <c r="C1059" s="22">
        <f ca="1">IFERROR(__xludf.DUMMYFUNCTION("""COMPUTED_VALUE"""),490000)</f>
        <v>490000</v>
      </c>
      <c r="D1059" s="22">
        <f ca="1">IFERROR(__xludf.DUMMYFUNCTION("""COMPUTED_VALUE"""),0)</f>
        <v>0</v>
      </c>
      <c r="E1059" s="22">
        <f ca="1">IFERROR(__xludf.DUMMYFUNCTION("""COMPUTED_VALUE"""),490000)</f>
        <v>490000</v>
      </c>
      <c r="F1059" s="22">
        <f ca="1">IFERROR(__xludf.DUMMYFUNCTION("""COMPUTED_VALUE"""),490000)</f>
        <v>490000</v>
      </c>
      <c r="G1059" s="22">
        <f ca="1">IFERROR(__xludf.DUMMYFUNCTION("""COMPUTED_VALUE"""),0)</f>
        <v>0</v>
      </c>
      <c r="H1059" s="7">
        <f ca="1">IFERROR(__xludf.DUMMYFUNCTION("""COMPUTED_VALUE"""),490000)</f>
        <v>490000</v>
      </c>
    </row>
    <row r="1060" spans="1:8" ht="13" x14ac:dyDescent="0.15">
      <c r="A1060" s="5" t="str">
        <f ca="1">IFERROR(__xludf.DUMMYFUNCTION("""COMPUTED_VALUE"""),"37649")</f>
        <v>37649</v>
      </c>
      <c r="B1060" s="51">
        <f ca="1">IFERROR(__xludf.DUMMYFUNCTION("""COMPUTED_VALUE"""),44641)</f>
        <v>44641</v>
      </c>
      <c r="C1060" s="22">
        <f ca="1">IFERROR(__xludf.DUMMYFUNCTION("""COMPUTED_VALUE"""),490000)</f>
        <v>490000</v>
      </c>
      <c r="D1060" s="22">
        <f ca="1">IFERROR(__xludf.DUMMYFUNCTION("""COMPUTED_VALUE"""),-5200)</f>
        <v>-5200</v>
      </c>
      <c r="E1060" s="22">
        <f ca="1">IFERROR(__xludf.DUMMYFUNCTION("""COMPUTED_VALUE"""),484800)</f>
        <v>484800</v>
      </c>
      <c r="F1060" s="22">
        <f ca="1">IFERROR(__xludf.DUMMYFUNCTION("""COMPUTED_VALUE"""),490000)</f>
        <v>490000</v>
      </c>
      <c r="G1060" s="22">
        <f ca="1">IFERROR(__xludf.DUMMYFUNCTION("""COMPUTED_VALUE"""),0)</f>
        <v>0</v>
      </c>
      <c r="H1060" s="7">
        <f ca="1">IFERROR(__xludf.DUMMYFUNCTION("""COMPUTED_VALUE"""),490000)</f>
        <v>490000</v>
      </c>
    </row>
    <row r="1061" spans="1:8" ht="13" x14ac:dyDescent="0.15">
      <c r="A1061" s="5" t="str">
        <f ca="1">IFERROR(__xludf.DUMMYFUNCTION("""COMPUTED_VALUE"""),"37649")</f>
        <v>37649</v>
      </c>
      <c r="B1061" s="51">
        <f ca="1">IFERROR(__xludf.DUMMYFUNCTION("""COMPUTED_VALUE"""),44642)</f>
        <v>44642</v>
      </c>
      <c r="C1061" s="22">
        <f ca="1">IFERROR(__xludf.DUMMYFUNCTION("""COMPUTED_VALUE"""),490000)</f>
        <v>490000</v>
      </c>
      <c r="D1061" s="22">
        <f ca="1">IFERROR(__xludf.DUMMYFUNCTION("""COMPUTED_VALUE"""),400)</f>
        <v>400</v>
      </c>
      <c r="E1061" s="22">
        <f ca="1">IFERROR(__xludf.DUMMYFUNCTION("""COMPUTED_VALUE"""),490400)</f>
        <v>490400</v>
      </c>
      <c r="F1061" s="22">
        <f ca="1">IFERROR(__xludf.DUMMYFUNCTION("""COMPUTED_VALUE"""),490000)</f>
        <v>490000</v>
      </c>
      <c r="G1061" s="22">
        <f ca="1">IFERROR(__xludf.DUMMYFUNCTION("""COMPUTED_VALUE"""),0)</f>
        <v>0</v>
      </c>
      <c r="H1061" s="7">
        <f ca="1">IFERROR(__xludf.DUMMYFUNCTION("""COMPUTED_VALUE"""),490000)</f>
        <v>490000</v>
      </c>
    </row>
    <row r="1062" spans="1:8" ht="13" x14ac:dyDescent="0.15">
      <c r="A1062" s="5" t="str">
        <f ca="1">IFERROR(__xludf.DUMMYFUNCTION("""COMPUTED_VALUE"""),"37922")</f>
        <v>37922</v>
      </c>
      <c r="B1062" s="51">
        <f ca="1">IFERROR(__xludf.DUMMYFUNCTION("""COMPUTED_VALUE"""),44597)</f>
        <v>44597</v>
      </c>
      <c r="C1062" s="22">
        <f ca="1">IFERROR(__xludf.DUMMYFUNCTION("""COMPUTED_VALUE"""),500000)</f>
        <v>500000</v>
      </c>
      <c r="D1062" s="22">
        <f ca="1">IFERROR(__xludf.DUMMYFUNCTION("""COMPUTED_VALUE"""),0)</f>
        <v>0</v>
      </c>
      <c r="E1062" s="22">
        <f ca="1">IFERROR(__xludf.DUMMYFUNCTION("""COMPUTED_VALUE"""),500000)</f>
        <v>500000</v>
      </c>
      <c r="F1062" s="22">
        <f ca="1">IFERROR(__xludf.DUMMYFUNCTION("""COMPUTED_VALUE"""),500000)</f>
        <v>500000</v>
      </c>
      <c r="G1062" s="22">
        <f ca="1">IFERROR(__xludf.DUMMYFUNCTION("""COMPUTED_VALUE"""),0)</f>
        <v>0</v>
      </c>
      <c r="H1062" s="7">
        <f ca="1">IFERROR(__xludf.DUMMYFUNCTION("""COMPUTED_VALUE"""),500000)</f>
        <v>500000</v>
      </c>
    </row>
    <row r="1063" spans="1:8" ht="13" x14ac:dyDescent="0.15">
      <c r="A1063" s="5" t="str">
        <f ca="1">IFERROR(__xludf.DUMMYFUNCTION("""COMPUTED_VALUE"""),"37922")</f>
        <v>37922</v>
      </c>
      <c r="B1063" s="51">
        <f ca="1">IFERROR(__xludf.DUMMYFUNCTION("""COMPUTED_VALUE"""),44598)</f>
        <v>44598</v>
      </c>
      <c r="C1063" s="22">
        <f ca="1">IFERROR(__xludf.DUMMYFUNCTION("""COMPUTED_VALUE"""),500000)</f>
        <v>500000</v>
      </c>
      <c r="D1063" s="22">
        <f ca="1">IFERROR(__xludf.DUMMYFUNCTION("""COMPUTED_VALUE"""),0)</f>
        <v>0</v>
      </c>
      <c r="E1063" s="22">
        <f ca="1">IFERROR(__xludf.DUMMYFUNCTION("""COMPUTED_VALUE"""),500000)</f>
        <v>500000</v>
      </c>
      <c r="F1063" s="22">
        <f ca="1">IFERROR(__xludf.DUMMYFUNCTION("""COMPUTED_VALUE"""),500000)</f>
        <v>500000</v>
      </c>
      <c r="G1063" s="22">
        <f ca="1">IFERROR(__xludf.DUMMYFUNCTION("""COMPUTED_VALUE"""),0)</f>
        <v>0</v>
      </c>
      <c r="H1063" s="7">
        <f ca="1">IFERROR(__xludf.DUMMYFUNCTION("""COMPUTED_VALUE"""),500000)</f>
        <v>500000</v>
      </c>
    </row>
    <row r="1064" spans="1:8" ht="13" x14ac:dyDescent="0.15">
      <c r="A1064" s="5" t="str">
        <f ca="1">IFERROR(__xludf.DUMMYFUNCTION("""COMPUTED_VALUE"""),"37922")</f>
        <v>37922</v>
      </c>
      <c r="B1064" s="51">
        <f ca="1">IFERROR(__xludf.DUMMYFUNCTION("""COMPUTED_VALUE"""),44599)</f>
        <v>44599</v>
      </c>
      <c r="C1064" s="22">
        <f ca="1">IFERROR(__xludf.DUMMYFUNCTION("""COMPUTED_VALUE"""),500000)</f>
        <v>500000</v>
      </c>
      <c r="D1064" s="22">
        <f ca="1">IFERROR(__xludf.DUMMYFUNCTION("""COMPUTED_VALUE"""),0)</f>
        <v>0</v>
      </c>
      <c r="E1064" s="22">
        <f ca="1">IFERROR(__xludf.DUMMYFUNCTION("""COMPUTED_VALUE"""),500000)</f>
        <v>500000</v>
      </c>
      <c r="F1064" s="22">
        <f ca="1">IFERROR(__xludf.DUMMYFUNCTION("""COMPUTED_VALUE"""),500000)</f>
        <v>500000</v>
      </c>
      <c r="G1064" s="22">
        <f ca="1">IFERROR(__xludf.DUMMYFUNCTION("""COMPUTED_VALUE"""),0)</f>
        <v>0</v>
      </c>
      <c r="H1064" s="7">
        <f ca="1">IFERROR(__xludf.DUMMYFUNCTION("""COMPUTED_VALUE"""),500000)</f>
        <v>500000</v>
      </c>
    </row>
    <row r="1065" spans="1:8" ht="13" x14ac:dyDescent="0.15">
      <c r="A1065" s="5" t="str">
        <f ca="1">IFERROR(__xludf.DUMMYFUNCTION("""COMPUTED_VALUE"""),"37922")</f>
        <v>37922</v>
      </c>
      <c r="B1065" s="51">
        <f ca="1">IFERROR(__xludf.DUMMYFUNCTION("""COMPUTED_VALUE"""),44600)</f>
        <v>44600</v>
      </c>
      <c r="C1065" s="22">
        <f ca="1">IFERROR(__xludf.DUMMYFUNCTION("""COMPUTED_VALUE"""),500000)</f>
        <v>500000</v>
      </c>
      <c r="D1065" s="22">
        <f ca="1">IFERROR(__xludf.DUMMYFUNCTION("""COMPUTED_VALUE"""),0)</f>
        <v>0</v>
      </c>
      <c r="E1065" s="22">
        <f ca="1">IFERROR(__xludf.DUMMYFUNCTION("""COMPUTED_VALUE"""),500000)</f>
        <v>500000</v>
      </c>
      <c r="F1065" s="22">
        <f ca="1">IFERROR(__xludf.DUMMYFUNCTION("""COMPUTED_VALUE"""),500000)</f>
        <v>500000</v>
      </c>
      <c r="G1065" s="22">
        <f ca="1">IFERROR(__xludf.DUMMYFUNCTION("""COMPUTED_VALUE"""),0)</f>
        <v>0</v>
      </c>
      <c r="H1065" s="7">
        <f ca="1">IFERROR(__xludf.DUMMYFUNCTION("""COMPUTED_VALUE"""),500000)</f>
        <v>500000</v>
      </c>
    </row>
    <row r="1066" spans="1:8" ht="13" x14ac:dyDescent="0.15">
      <c r="A1066" s="5" t="str">
        <f ca="1">IFERROR(__xludf.DUMMYFUNCTION("""COMPUTED_VALUE"""),"37922")</f>
        <v>37922</v>
      </c>
      <c r="B1066" s="51">
        <f ca="1">IFERROR(__xludf.DUMMYFUNCTION("""COMPUTED_VALUE"""),44601)</f>
        <v>44601</v>
      </c>
      <c r="C1066" s="22">
        <f ca="1">IFERROR(__xludf.DUMMYFUNCTION("""COMPUTED_VALUE"""),500000)</f>
        <v>500000</v>
      </c>
      <c r="D1066" s="22">
        <f ca="1">IFERROR(__xludf.DUMMYFUNCTION("""COMPUTED_VALUE"""),0)</f>
        <v>0</v>
      </c>
      <c r="E1066" s="22">
        <f ca="1">IFERROR(__xludf.DUMMYFUNCTION("""COMPUTED_VALUE"""),500000)</f>
        <v>500000</v>
      </c>
      <c r="F1066" s="22">
        <f ca="1">IFERROR(__xludf.DUMMYFUNCTION("""COMPUTED_VALUE"""),500000)</f>
        <v>500000</v>
      </c>
      <c r="G1066" s="22">
        <f ca="1">IFERROR(__xludf.DUMMYFUNCTION("""COMPUTED_VALUE"""),0)</f>
        <v>0</v>
      </c>
      <c r="H1066" s="7">
        <f ca="1">IFERROR(__xludf.DUMMYFUNCTION("""COMPUTED_VALUE"""),500000)</f>
        <v>500000</v>
      </c>
    </row>
    <row r="1067" spans="1:8" ht="13" x14ac:dyDescent="0.15">
      <c r="A1067" s="5" t="str">
        <f ca="1">IFERROR(__xludf.DUMMYFUNCTION("""COMPUTED_VALUE"""),"37922")</f>
        <v>37922</v>
      </c>
      <c r="B1067" s="51">
        <f ca="1">IFERROR(__xludf.DUMMYFUNCTION("""COMPUTED_VALUE"""),44602)</f>
        <v>44602</v>
      </c>
      <c r="C1067" s="22">
        <f ca="1">IFERROR(__xludf.DUMMYFUNCTION("""COMPUTED_VALUE"""),500000)</f>
        <v>500000</v>
      </c>
      <c r="D1067" s="22">
        <f ca="1">IFERROR(__xludf.DUMMYFUNCTION("""COMPUTED_VALUE"""),0)</f>
        <v>0</v>
      </c>
      <c r="E1067" s="22">
        <f ca="1">IFERROR(__xludf.DUMMYFUNCTION("""COMPUTED_VALUE"""),500000)</f>
        <v>500000</v>
      </c>
      <c r="F1067" s="22">
        <f ca="1">IFERROR(__xludf.DUMMYFUNCTION("""COMPUTED_VALUE"""),500000)</f>
        <v>500000</v>
      </c>
      <c r="G1067" s="22">
        <f ca="1">IFERROR(__xludf.DUMMYFUNCTION("""COMPUTED_VALUE"""),0)</f>
        <v>0</v>
      </c>
      <c r="H1067" s="7">
        <f ca="1">IFERROR(__xludf.DUMMYFUNCTION("""COMPUTED_VALUE"""),500000)</f>
        <v>500000</v>
      </c>
    </row>
    <row r="1068" spans="1:8" ht="13" x14ac:dyDescent="0.15">
      <c r="A1068" s="5" t="str">
        <f ca="1">IFERROR(__xludf.DUMMYFUNCTION("""COMPUTED_VALUE"""),"37922")</f>
        <v>37922</v>
      </c>
      <c r="B1068" s="51">
        <f ca="1">IFERROR(__xludf.DUMMYFUNCTION("""COMPUTED_VALUE"""),44603)</f>
        <v>44603</v>
      </c>
      <c r="C1068" s="22">
        <f ca="1">IFERROR(__xludf.DUMMYFUNCTION("""COMPUTED_VALUE"""),500000)</f>
        <v>500000</v>
      </c>
      <c r="D1068" s="22">
        <f ca="1">IFERROR(__xludf.DUMMYFUNCTION("""COMPUTED_VALUE"""),0)</f>
        <v>0</v>
      </c>
      <c r="E1068" s="22">
        <f ca="1">IFERROR(__xludf.DUMMYFUNCTION("""COMPUTED_VALUE"""),500000)</f>
        <v>500000</v>
      </c>
      <c r="F1068" s="22">
        <f ca="1">IFERROR(__xludf.DUMMYFUNCTION("""COMPUTED_VALUE"""),500000)</f>
        <v>500000</v>
      </c>
      <c r="G1068" s="22">
        <f ca="1">IFERROR(__xludf.DUMMYFUNCTION("""COMPUTED_VALUE"""),0)</f>
        <v>0</v>
      </c>
      <c r="H1068" s="7">
        <f ca="1">IFERROR(__xludf.DUMMYFUNCTION("""COMPUTED_VALUE"""),500000)</f>
        <v>500000</v>
      </c>
    </row>
    <row r="1069" spans="1:8" ht="13" x14ac:dyDescent="0.15">
      <c r="A1069" s="5" t="str">
        <f ca="1">IFERROR(__xludf.DUMMYFUNCTION("""COMPUTED_VALUE"""),"37922")</f>
        <v>37922</v>
      </c>
      <c r="B1069" s="51">
        <f ca="1">IFERROR(__xludf.DUMMYFUNCTION("""COMPUTED_VALUE"""),44604)</f>
        <v>44604</v>
      </c>
      <c r="C1069" s="22">
        <f ca="1">IFERROR(__xludf.DUMMYFUNCTION("""COMPUTED_VALUE"""),500000)</f>
        <v>500000</v>
      </c>
      <c r="D1069" s="22">
        <f ca="1">IFERROR(__xludf.DUMMYFUNCTION("""COMPUTED_VALUE"""),0)</f>
        <v>0</v>
      </c>
      <c r="E1069" s="22">
        <f ca="1">IFERROR(__xludf.DUMMYFUNCTION("""COMPUTED_VALUE"""),500000)</f>
        <v>500000</v>
      </c>
      <c r="F1069" s="22">
        <f ca="1">IFERROR(__xludf.DUMMYFUNCTION("""COMPUTED_VALUE"""),500000)</f>
        <v>500000</v>
      </c>
      <c r="G1069" s="22">
        <f ca="1">IFERROR(__xludf.DUMMYFUNCTION("""COMPUTED_VALUE"""),0)</f>
        <v>0</v>
      </c>
      <c r="H1069" s="7">
        <f ca="1">IFERROR(__xludf.DUMMYFUNCTION("""COMPUTED_VALUE"""),500000)</f>
        <v>500000</v>
      </c>
    </row>
    <row r="1070" spans="1:8" ht="13" x14ac:dyDescent="0.15">
      <c r="A1070" s="5" t="str">
        <f ca="1">IFERROR(__xludf.DUMMYFUNCTION("""COMPUTED_VALUE"""),"37922")</f>
        <v>37922</v>
      </c>
      <c r="B1070" s="51">
        <f ca="1">IFERROR(__xludf.DUMMYFUNCTION("""COMPUTED_VALUE"""),44605)</f>
        <v>44605</v>
      </c>
      <c r="C1070" s="22">
        <f ca="1">IFERROR(__xludf.DUMMYFUNCTION("""COMPUTED_VALUE"""),500000)</f>
        <v>500000</v>
      </c>
      <c r="D1070" s="22">
        <f ca="1">IFERROR(__xludf.DUMMYFUNCTION("""COMPUTED_VALUE"""),0)</f>
        <v>0</v>
      </c>
      <c r="E1070" s="22">
        <f ca="1">IFERROR(__xludf.DUMMYFUNCTION("""COMPUTED_VALUE"""),500000)</f>
        <v>500000</v>
      </c>
      <c r="F1070" s="22">
        <f ca="1">IFERROR(__xludf.DUMMYFUNCTION("""COMPUTED_VALUE"""),500000)</f>
        <v>500000</v>
      </c>
      <c r="G1070" s="22">
        <f ca="1">IFERROR(__xludf.DUMMYFUNCTION("""COMPUTED_VALUE"""),0)</f>
        <v>0</v>
      </c>
      <c r="H1070" s="7">
        <f ca="1">IFERROR(__xludf.DUMMYFUNCTION("""COMPUTED_VALUE"""),500000)</f>
        <v>500000</v>
      </c>
    </row>
    <row r="1071" spans="1:8" ht="13" x14ac:dyDescent="0.15">
      <c r="A1071" s="5" t="str">
        <f ca="1">IFERROR(__xludf.DUMMYFUNCTION("""COMPUTED_VALUE"""),"37922")</f>
        <v>37922</v>
      </c>
      <c r="B1071" s="51">
        <f ca="1">IFERROR(__xludf.DUMMYFUNCTION("""COMPUTED_VALUE"""),44606)</f>
        <v>44606</v>
      </c>
      <c r="C1071" s="22">
        <f ca="1">IFERROR(__xludf.DUMMYFUNCTION("""COMPUTED_VALUE"""),500000)</f>
        <v>500000</v>
      </c>
      <c r="D1071" s="22">
        <f ca="1">IFERROR(__xludf.DUMMYFUNCTION("""COMPUTED_VALUE"""),0)</f>
        <v>0</v>
      </c>
      <c r="E1071" s="22">
        <f ca="1">IFERROR(__xludf.DUMMYFUNCTION("""COMPUTED_VALUE"""),500000)</f>
        <v>500000</v>
      </c>
      <c r="F1071" s="22">
        <f ca="1">IFERROR(__xludf.DUMMYFUNCTION("""COMPUTED_VALUE"""),500000)</f>
        <v>500000</v>
      </c>
      <c r="G1071" s="22">
        <f ca="1">IFERROR(__xludf.DUMMYFUNCTION("""COMPUTED_VALUE"""),0)</f>
        <v>0</v>
      </c>
      <c r="H1071" s="7">
        <f ca="1">IFERROR(__xludf.DUMMYFUNCTION("""COMPUTED_VALUE"""),500000)</f>
        <v>500000</v>
      </c>
    </row>
    <row r="1072" spans="1:8" ht="13" x14ac:dyDescent="0.15">
      <c r="A1072" s="5" t="str">
        <f ca="1">IFERROR(__xludf.DUMMYFUNCTION("""COMPUTED_VALUE"""),"37922")</f>
        <v>37922</v>
      </c>
      <c r="B1072" s="51">
        <f ca="1">IFERROR(__xludf.DUMMYFUNCTION("""COMPUTED_VALUE"""),44607)</f>
        <v>44607</v>
      </c>
      <c r="C1072" s="22">
        <f ca="1">IFERROR(__xludf.DUMMYFUNCTION("""COMPUTED_VALUE"""),500000)</f>
        <v>500000</v>
      </c>
      <c r="D1072" s="22">
        <f ca="1">IFERROR(__xludf.DUMMYFUNCTION("""COMPUTED_VALUE"""),0)</f>
        <v>0</v>
      </c>
      <c r="E1072" s="22">
        <f ca="1">IFERROR(__xludf.DUMMYFUNCTION("""COMPUTED_VALUE"""),500000)</f>
        <v>500000</v>
      </c>
      <c r="F1072" s="22">
        <f ca="1">IFERROR(__xludf.DUMMYFUNCTION("""COMPUTED_VALUE"""),500000)</f>
        <v>500000</v>
      </c>
      <c r="G1072" s="22">
        <f ca="1">IFERROR(__xludf.DUMMYFUNCTION("""COMPUTED_VALUE"""),0)</f>
        <v>0</v>
      </c>
      <c r="H1072" s="7">
        <f ca="1">IFERROR(__xludf.DUMMYFUNCTION("""COMPUTED_VALUE"""),500000)</f>
        <v>500000</v>
      </c>
    </row>
    <row r="1073" spans="1:8" ht="13" x14ac:dyDescent="0.15">
      <c r="A1073" s="5" t="str">
        <f ca="1">IFERROR(__xludf.DUMMYFUNCTION("""COMPUTED_VALUE"""),"37922")</f>
        <v>37922</v>
      </c>
      <c r="B1073" s="51">
        <f ca="1">IFERROR(__xludf.DUMMYFUNCTION("""COMPUTED_VALUE"""),44608)</f>
        <v>44608</v>
      </c>
      <c r="C1073" s="22">
        <f ca="1">IFERROR(__xludf.DUMMYFUNCTION("""COMPUTED_VALUE"""),500000)</f>
        <v>500000</v>
      </c>
      <c r="D1073" s="22">
        <f ca="1">IFERROR(__xludf.DUMMYFUNCTION("""COMPUTED_VALUE"""),0)</f>
        <v>0</v>
      </c>
      <c r="E1073" s="22">
        <f ca="1">IFERROR(__xludf.DUMMYFUNCTION("""COMPUTED_VALUE"""),500000)</f>
        <v>500000</v>
      </c>
      <c r="F1073" s="22">
        <f ca="1">IFERROR(__xludf.DUMMYFUNCTION("""COMPUTED_VALUE"""),500000)</f>
        <v>500000</v>
      </c>
      <c r="G1073" s="22">
        <f ca="1">IFERROR(__xludf.DUMMYFUNCTION("""COMPUTED_VALUE"""),0)</f>
        <v>0</v>
      </c>
      <c r="H1073" s="7">
        <f ca="1">IFERROR(__xludf.DUMMYFUNCTION("""COMPUTED_VALUE"""),500000)</f>
        <v>500000</v>
      </c>
    </row>
    <row r="1074" spans="1:8" ht="13" x14ac:dyDescent="0.15">
      <c r="A1074" s="5" t="str">
        <f ca="1">IFERROR(__xludf.DUMMYFUNCTION("""COMPUTED_VALUE"""),"37922")</f>
        <v>37922</v>
      </c>
      <c r="B1074" s="51">
        <f ca="1">IFERROR(__xludf.DUMMYFUNCTION("""COMPUTED_VALUE"""),44609)</f>
        <v>44609</v>
      </c>
      <c r="C1074" s="22">
        <f ca="1">IFERROR(__xludf.DUMMYFUNCTION("""COMPUTED_VALUE"""),500000)</f>
        <v>500000</v>
      </c>
      <c r="D1074" s="22">
        <f ca="1">IFERROR(__xludf.DUMMYFUNCTION("""COMPUTED_VALUE"""),0)</f>
        <v>0</v>
      </c>
      <c r="E1074" s="22">
        <f ca="1">IFERROR(__xludf.DUMMYFUNCTION("""COMPUTED_VALUE"""),500000)</f>
        <v>500000</v>
      </c>
      <c r="F1074" s="22">
        <f ca="1">IFERROR(__xludf.DUMMYFUNCTION("""COMPUTED_VALUE"""),500000)</f>
        <v>500000</v>
      </c>
      <c r="G1074" s="22">
        <f ca="1">IFERROR(__xludf.DUMMYFUNCTION("""COMPUTED_VALUE"""),0)</f>
        <v>0</v>
      </c>
      <c r="H1074" s="7">
        <f ca="1">IFERROR(__xludf.DUMMYFUNCTION("""COMPUTED_VALUE"""),500000)</f>
        <v>500000</v>
      </c>
    </row>
    <row r="1075" spans="1:8" ht="13" x14ac:dyDescent="0.15">
      <c r="A1075" s="5" t="str">
        <f ca="1">IFERROR(__xludf.DUMMYFUNCTION("""COMPUTED_VALUE"""),"37922")</f>
        <v>37922</v>
      </c>
      <c r="B1075" s="51">
        <f ca="1">IFERROR(__xludf.DUMMYFUNCTION("""COMPUTED_VALUE"""),44610)</f>
        <v>44610</v>
      </c>
      <c r="C1075" s="22">
        <f ca="1">IFERROR(__xludf.DUMMYFUNCTION("""COMPUTED_VALUE"""),500000)</f>
        <v>500000</v>
      </c>
      <c r="D1075" s="22">
        <f ca="1">IFERROR(__xludf.DUMMYFUNCTION("""COMPUTED_VALUE"""),0)</f>
        <v>0</v>
      </c>
      <c r="E1075" s="22">
        <f ca="1">IFERROR(__xludf.DUMMYFUNCTION("""COMPUTED_VALUE"""),500000)</f>
        <v>500000</v>
      </c>
      <c r="F1075" s="22">
        <f ca="1">IFERROR(__xludf.DUMMYFUNCTION("""COMPUTED_VALUE"""),500000)</f>
        <v>500000</v>
      </c>
      <c r="G1075" s="22">
        <f ca="1">IFERROR(__xludf.DUMMYFUNCTION("""COMPUTED_VALUE"""),0)</f>
        <v>0</v>
      </c>
      <c r="H1075" s="7">
        <f ca="1">IFERROR(__xludf.DUMMYFUNCTION("""COMPUTED_VALUE"""),500000)</f>
        <v>500000</v>
      </c>
    </row>
    <row r="1076" spans="1:8" ht="13" x14ac:dyDescent="0.15">
      <c r="A1076" s="5" t="str">
        <f ca="1">IFERROR(__xludf.DUMMYFUNCTION("""COMPUTED_VALUE"""),"37922")</f>
        <v>37922</v>
      </c>
      <c r="B1076" s="51">
        <f ca="1">IFERROR(__xludf.DUMMYFUNCTION("""COMPUTED_VALUE"""),44611)</f>
        <v>44611</v>
      </c>
      <c r="C1076" s="22">
        <f ca="1">IFERROR(__xludf.DUMMYFUNCTION("""COMPUTED_VALUE"""),500000)</f>
        <v>500000</v>
      </c>
      <c r="D1076" s="22">
        <f ca="1">IFERROR(__xludf.DUMMYFUNCTION("""COMPUTED_VALUE"""),0)</f>
        <v>0</v>
      </c>
      <c r="E1076" s="22">
        <f ca="1">IFERROR(__xludf.DUMMYFUNCTION("""COMPUTED_VALUE"""),500000)</f>
        <v>500000</v>
      </c>
      <c r="F1076" s="22">
        <f ca="1">IFERROR(__xludf.DUMMYFUNCTION("""COMPUTED_VALUE"""),500000)</f>
        <v>500000</v>
      </c>
      <c r="G1076" s="22">
        <f ca="1">IFERROR(__xludf.DUMMYFUNCTION("""COMPUTED_VALUE"""),0)</f>
        <v>0</v>
      </c>
      <c r="H1076" s="7">
        <f ca="1">IFERROR(__xludf.DUMMYFUNCTION("""COMPUTED_VALUE"""),500000)</f>
        <v>500000</v>
      </c>
    </row>
    <row r="1077" spans="1:8" ht="13" x14ac:dyDescent="0.15">
      <c r="A1077" s="5" t="str">
        <f ca="1">IFERROR(__xludf.DUMMYFUNCTION("""COMPUTED_VALUE"""),"37922")</f>
        <v>37922</v>
      </c>
      <c r="B1077" s="51">
        <f ca="1">IFERROR(__xludf.DUMMYFUNCTION("""COMPUTED_VALUE"""),44612)</f>
        <v>44612</v>
      </c>
      <c r="C1077" s="22">
        <f ca="1">IFERROR(__xludf.DUMMYFUNCTION("""COMPUTED_VALUE"""),500000)</f>
        <v>500000</v>
      </c>
      <c r="D1077" s="22">
        <f ca="1">IFERROR(__xludf.DUMMYFUNCTION("""COMPUTED_VALUE"""),0)</f>
        <v>0</v>
      </c>
      <c r="E1077" s="22">
        <f ca="1">IFERROR(__xludf.DUMMYFUNCTION("""COMPUTED_VALUE"""),500000)</f>
        <v>500000</v>
      </c>
      <c r="F1077" s="22">
        <f ca="1">IFERROR(__xludf.DUMMYFUNCTION("""COMPUTED_VALUE"""),500000)</f>
        <v>500000</v>
      </c>
      <c r="G1077" s="22">
        <f ca="1">IFERROR(__xludf.DUMMYFUNCTION("""COMPUTED_VALUE"""),0)</f>
        <v>0</v>
      </c>
      <c r="H1077" s="7">
        <f ca="1">IFERROR(__xludf.DUMMYFUNCTION("""COMPUTED_VALUE"""),500000)</f>
        <v>500000</v>
      </c>
    </row>
    <row r="1078" spans="1:8" ht="13" x14ac:dyDescent="0.15">
      <c r="A1078" s="5" t="str">
        <f ca="1">IFERROR(__xludf.DUMMYFUNCTION("""COMPUTED_VALUE"""),"37922")</f>
        <v>37922</v>
      </c>
      <c r="B1078" s="51">
        <f ca="1">IFERROR(__xludf.DUMMYFUNCTION("""COMPUTED_VALUE"""),44613)</f>
        <v>44613</v>
      </c>
      <c r="C1078" s="22">
        <f ca="1">IFERROR(__xludf.DUMMYFUNCTION("""COMPUTED_VALUE"""),500000)</f>
        <v>500000</v>
      </c>
      <c r="D1078" s="22">
        <f ca="1">IFERROR(__xludf.DUMMYFUNCTION("""COMPUTED_VALUE"""),0)</f>
        <v>0</v>
      </c>
      <c r="E1078" s="22">
        <f ca="1">IFERROR(__xludf.DUMMYFUNCTION("""COMPUTED_VALUE"""),500000)</f>
        <v>500000</v>
      </c>
      <c r="F1078" s="22">
        <f ca="1">IFERROR(__xludf.DUMMYFUNCTION("""COMPUTED_VALUE"""),500000)</f>
        <v>500000</v>
      </c>
      <c r="G1078" s="22">
        <f ca="1">IFERROR(__xludf.DUMMYFUNCTION("""COMPUTED_VALUE"""),0)</f>
        <v>0</v>
      </c>
      <c r="H1078" s="7">
        <f ca="1">IFERROR(__xludf.DUMMYFUNCTION("""COMPUTED_VALUE"""),500000)</f>
        <v>500000</v>
      </c>
    </row>
    <row r="1079" spans="1:8" ht="13" x14ac:dyDescent="0.15">
      <c r="A1079" s="5" t="str">
        <f ca="1">IFERROR(__xludf.DUMMYFUNCTION("""COMPUTED_VALUE"""),"37922")</f>
        <v>37922</v>
      </c>
      <c r="B1079" s="51">
        <f ca="1">IFERROR(__xludf.DUMMYFUNCTION("""COMPUTED_VALUE"""),44614)</f>
        <v>44614</v>
      </c>
      <c r="C1079" s="22">
        <f ca="1">IFERROR(__xludf.DUMMYFUNCTION("""COMPUTED_VALUE"""),500000)</f>
        <v>500000</v>
      </c>
      <c r="D1079" s="22">
        <f ca="1">IFERROR(__xludf.DUMMYFUNCTION("""COMPUTED_VALUE"""),0)</f>
        <v>0</v>
      </c>
      <c r="E1079" s="22">
        <f ca="1">IFERROR(__xludf.DUMMYFUNCTION("""COMPUTED_VALUE"""),500000)</f>
        <v>500000</v>
      </c>
      <c r="F1079" s="22">
        <f ca="1">IFERROR(__xludf.DUMMYFUNCTION("""COMPUTED_VALUE"""),500000)</f>
        <v>500000</v>
      </c>
      <c r="G1079" s="22">
        <f ca="1">IFERROR(__xludf.DUMMYFUNCTION("""COMPUTED_VALUE"""),0)</f>
        <v>0</v>
      </c>
      <c r="H1079" s="7">
        <f ca="1">IFERROR(__xludf.DUMMYFUNCTION("""COMPUTED_VALUE"""),500000)</f>
        <v>500000</v>
      </c>
    </row>
    <row r="1080" spans="1:8" ht="13" x14ac:dyDescent="0.15">
      <c r="A1080" s="5" t="str">
        <f ca="1">IFERROR(__xludf.DUMMYFUNCTION("""COMPUTED_VALUE"""),"37922")</f>
        <v>37922</v>
      </c>
      <c r="B1080" s="51">
        <f ca="1">IFERROR(__xludf.DUMMYFUNCTION("""COMPUTED_VALUE"""),44615)</f>
        <v>44615</v>
      </c>
      <c r="C1080" s="22">
        <f ca="1">IFERROR(__xludf.DUMMYFUNCTION("""COMPUTED_VALUE"""),500000)</f>
        <v>500000</v>
      </c>
      <c r="D1080" s="22">
        <f ca="1">IFERROR(__xludf.DUMMYFUNCTION("""COMPUTED_VALUE"""),0)</f>
        <v>0</v>
      </c>
      <c r="E1080" s="22">
        <f ca="1">IFERROR(__xludf.DUMMYFUNCTION("""COMPUTED_VALUE"""),500000)</f>
        <v>500000</v>
      </c>
      <c r="F1080" s="22">
        <f ca="1">IFERROR(__xludf.DUMMYFUNCTION("""COMPUTED_VALUE"""),500000)</f>
        <v>500000</v>
      </c>
      <c r="G1080" s="22">
        <f ca="1">IFERROR(__xludf.DUMMYFUNCTION("""COMPUTED_VALUE"""),0)</f>
        <v>0</v>
      </c>
      <c r="H1080" s="7">
        <f ca="1">IFERROR(__xludf.DUMMYFUNCTION("""COMPUTED_VALUE"""),500000)</f>
        <v>500000</v>
      </c>
    </row>
    <row r="1081" spans="1:8" ht="13" x14ac:dyDescent="0.15">
      <c r="A1081" s="5" t="str">
        <f ca="1">IFERROR(__xludf.DUMMYFUNCTION("""COMPUTED_VALUE"""),"37922")</f>
        <v>37922</v>
      </c>
      <c r="B1081" s="51">
        <f ca="1">IFERROR(__xludf.DUMMYFUNCTION("""COMPUTED_VALUE"""),44616)</f>
        <v>44616</v>
      </c>
      <c r="C1081" s="22">
        <f ca="1">IFERROR(__xludf.DUMMYFUNCTION("""COMPUTED_VALUE"""),500000)</f>
        <v>500000</v>
      </c>
      <c r="D1081" s="22">
        <f ca="1">IFERROR(__xludf.DUMMYFUNCTION("""COMPUTED_VALUE"""),0)</f>
        <v>0</v>
      </c>
      <c r="E1081" s="22">
        <f ca="1">IFERROR(__xludf.DUMMYFUNCTION("""COMPUTED_VALUE"""),500000)</f>
        <v>500000</v>
      </c>
      <c r="F1081" s="22">
        <f ca="1">IFERROR(__xludf.DUMMYFUNCTION("""COMPUTED_VALUE"""),500000)</f>
        <v>500000</v>
      </c>
      <c r="G1081" s="22">
        <f ca="1">IFERROR(__xludf.DUMMYFUNCTION("""COMPUTED_VALUE"""),0)</f>
        <v>0</v>
      </c>
      <c r="H1081" s="7">
        <f ca="1">IFERROR(__xludf.DUMMYFUNCTION("""COMPUTED_VALUE"""),500000)</f>
        <v>500000</v>
      </c>
    </row>
    <row r="1082" spans="1:8" ht="13" x14ac:dyDescent="0.15">
      <c r="A1082" s="5" t="str">
        <f ca="1">IFERROR(__xludf.DUMMYFUNCTION("""COMPUTED_VALUE"""),"37922")</f>
        <v>37922</v>
      </c>
      <c r="B1082" s="51">
        <f ca="1">IFERROR(__xludf.DUMMYFUNCTION("""COMPUTED_VALUE"""),44617)</f>
        <v>44617</v>
      </c>
      <c r="C1082" s="22">
        <f ca="1">IFERROR(__xludf.DUMMYFUNCTION("""COMPUTED_VALUE"""),500000)</f>
        <v>500000</v>
      </c>
      <c r="D1082" s="22">
        <f ca="1">IFERROR(__xludf.DUMMYFUNCTION("""COMPUTED_VALUE"""),0)</f>
        <v>0</v>
      </c>
      <c r="E1082" s="22">
        <f ca="1">IFERROR(__xludf.DUMMYFUNCTION("""COMPUTED_VALUE"""),500000)</f>
        <v>500000</v>
      </c>
      <c r="F1082" s="22">
        <f ca="1">IFERROR(__xludf.DUMMYFUNCTION("""COMPUTED_VALUE"""),500000)</f>
        <v>500000</v>
      </c>
      <c r="G1082" s="22">
        <f ca="1">IFERROR(__xludf.DUMMYFUNCTION("""COMPUTED_VALUE"""),0)</f>
        <v>0</v>
      </c>
      <c r="H1082" s="7">
        <f ca="1">IFERROR(__xludf.DUMMYFUNCTION("""COMPUTED_VALUE"""),500000)</f>
        <v>500000</v>
      </c>
    </row>
    <row r="1083" spans="1:8" ht="13" x14ac:dyDescent="0.15">
      <c r="A1083" s="5" t="str">
        <f ca="1">IFERROR(__xludf.DUMMYFUNCTION("""COMPUTED_VALUE"""),"37922")</f>
        <v>37922</v>
      </c>
      <c r="B1083" s="51">
        <f ca="1">IFERROR(__xludf.DUMMYFUNCTION("""COMPUTED_VALUE"""),44618)</f>
        <v>44618</v>
      </c>
      <c r="C1083" s="22">
        <f ca="1">IFERROR(__xludf.DUMMYFUNCTION("""COMPUTED_VALUE"""),500000)</f>
        <v>500000</v>
      </c>
      <c r="D1083" s="22">
        <f ca="1">IFERROR(__xludf.DUMMYFUNCTION("""COMPUTED_VALUE"""),0)</f>
        <v>0</v>
      </c>
      <c r="E1083" s="22">
        <f ca="1">IFERROR(__xludf.DUMMYFUNCTION("""COMPUTED_VALUE"""),500000)</f>
        <v>500000</v>
      </c>
      <c r="F1083" s="22">
        <f ca="1">IFERROR(__xludf.DUMMYFUNCTION("""COMPUTED_VALUE"""),500000)</f>
        <v>500000</v>
      </c>
      <c r="G1083" s="22">
        <f ca="1">IFERROR(__xludf.DUMMYFUNCTION("""COMPUTED_VALUE"""),0)</f>
        <v>0</v>
      </c>
      <c r="H1083" s="7">
        <f ca="1">IFERROR(__xludf.DUMMYFUNCTION("""COMPUTED_VALUE"""),500000)</f>
        <v>500000</v>
      </c>
    </row>
    <row r="1084" spans="1:8" ht="13" x14ac:dyDescent="0.15">
      <c r="A1084" s="5" t="str">
        <f ca="1">IFERROR(__xludf.DUMMYFUNCTION("""COMPUTED_VALUE"""),"37922")</f>
        <v>37922</v>
      </c>
      <c r="B1084" s="51">
        <f ca="1">IFERROR(__xludf.DUMMYFUNCTION("""COMPUTED_VALUE"""),44619)</f>
        <v>44619</v>
      </c>
      <c r="C1084" s="22">
        <f ca="1">IFERROR(__xludf.DUMMYFUNCTION("""COMPUTED_VALUE"""),500000)</f>
        <v>500000</v>
      </c>
      <c r="D1084" s="22">
        <f ca="1">IFERROR(__xludf.DUMMYFUNCTION("""COMPUTED_VALUE"""),0)</f>
        <v>0</v>
      </c>
      <c r="E1084" s="22">
        <f ca="1">IFERROR(__xludf.DUMMYFUNCTION("""COMPUTED_VALUE"""),500000)</f>
        <v>500000</v>
      </c>
      <c r="F1084" s="22">
        <f ca="1">IFERROR(__xludf.DUMMYFUNCTION("""COMPUTED_VALUE"""),500000)</f>
        <v>500000</v>
      </c>
      <c r="G1084" s="22">
        <f ca="1">IFERROR(__xludf.DUMMYFUNCTION("""COMPUTED_VALUE"""),0)</f>
        <v>0</v>
      </c>
      <c r="H1084" s="7">
        <f ca="1">IFERROR(__xludf.DUMMYFUNCTION("""COMPUTED_VALUE"""),500000)</f>
        <v>500000</v>
      </c>
    </row>
    <row r="1085" spans="1:8" ht="13" x14ac:dyDescent="0.15">
      <c r="A1085" s="5" t="str">
        <f ca="1">IFERROR(__xludf.DUMMYFUNCTION("""COMPUTED_VALUE"""),"37922")</f>
        <v>37922</v>
      </c>
      <c r="B1085" s="51">
        <f ca="1">IFERROR(__xludf.DUMMYFUNCTION("""COMPUTED_VALUE"""),44620)</f>
        <v>44620</v>
      </c>
      <c r="C1085" s="22">
        <f ca="1">IFERROR(__xludf.DUMMYFUNCTION("""COMPUTED_VALUE"""),500000)</f>
        <v>500000</v>
      </c>
      <c r="D1085" s="22">
        <f ca="1">IFERROR(__xludf.DUMMYFUNCTION("""COMPUTED_VALUE"""),0)</f>
        <v>0</v>
      </c>
      <c r="E1085" s="22">
        <f ca="1">IFERROR(__xludf.DUMMYFUNCTION("""COMPUTED_VALUE"""),500000)</f>
        <v>500000</v>
      </c>
      <c r="F1085" s="22">
        <f ca="1">IFERROR(__xludf.DUMMYFUNCTION("""COMPUTED_VALUE"""),500000)</f>
        <v>500000</v>
      </c>
      <c r="G1085" s="22">
        <f ca="1">IFERROR(__xludf.DUMMYFUNCTION("""COMPUTED_VALUE"""),0)</f>
        <v>0</v>
      </c>
      <c r="H1085" s="7">
        <f ca="1">IFERROR(__xludf.DUMMYFUNCTION("""COMPUTED_VALUE"""),500000)</f>
        <v>500000</v>
      </c>
    </row>
    <row r="1086" spans="1:8" ht="13" x14ac:dyDescent="0.15">
      <c r="A1086" s="5" t="str">
        <f ca="1">IFERROR(__xludf.DUMMYFUNCTION("""COMPUTED_VALUE"""),"37922")</f>
        <v>37922</v>
      </c>
      <c r="B1086" s="51">
        <f ca="1">IFERROR(__xludf.DUMMYFUNCTION("""COMPUTED_VALUE"""),44621)</f>
        <v>44621</v>
      </c>
      <c r="C1086" s="22">
        <f ca="1">IFERROR(__xludf.DUMMYFUNCTION("""COMPUTED_VALUE"""),500000)</f>
        <v>500000</v>
      </c>
      <c r="D1086" s="22">
        <f ca="1">IFERROR(__xludf.DUMMYFUNCTION("""COMPUTED_VALUE"""),0)</f>
        <v>0</v>
      </c>
      <c r="E1086" s="22">
        <f ca="1">IFERROR(__xludf.DUMMYFUNCTION("""COMPUTED_VALUE"""),500000)</f>
        <v>500000</v>
      </c>
      <c r="F1086" s="22">
        <f ca="1">IFERROR(__xludf.DUMMYFUNCTION("""COMPUTED_VALUE"""),500000)</f>
        <v>500000</v>
      </c>
      <c r="G1086" s="22">
        <f ca="1">IFERROR(__xludf.DUMMYFUNCTION("""COMPUTED_VALUE"""),0)</f>
        <v>0</v>
      </c>
      <c r="H1086" s="7">
        <f ca="1">IFERROR(__xludf.DUMMYFUNCTION("""COMPUTED_VALUE"""),500000)</f>
        <v>500000</v>
      </c>
    </row>
    <row r="1087" spans="1:8" ht="13" x14ac:dyDescent="0.15">
      <c r="A1087" s="5" t="str">
        <f ca="1">IFERROR(__xludf.DUMMYFUNCTION("""COMPUTED_VALUE"""),"37922")</f>
        <v>37922</v>
      </c>
      <c r="B1087" s="51">
        <f ca="1">IFERROR(__xludf.DUMMYFUNCTION("""COMPUTED_VALUE"""),44622)</f>
        <v>44622</v>
      </c>
      <c r="C1087" s="22">
        <f ca="1">IFERROR(__xludf.DUMMYFUNCTION("""COMPUTED_VALUE"""),500000)</f>
        <v>500000</v>
      </c>
      <c r="D1087" s="22">
        <f ca="1">IFERROR(__xludf.DUMMYFUNCTION("""COMPUTED_VALUE"""),0)</f>
        <v>0</v>
      </c>
      <c r="E1087" s="22">
        <f ca="1">IFERROR(__xludf.DUMMYFUNCTION("""COMPUTED_VALUE"""),500000)</f>
        <v>500000</v>
      </c>
      <c r="F1087" s="22">
        <f ca="1">IFERROR(__xludf.DUMMYFUNCTION("""COMPUTED_VALUE"""),500000)</f>
        <v>500000</v>
      </c>
      <c r="G1087" s="22">
        <f ca="1">IFERROR(__xludf.DUMMYFUNCTION("""COMPUTED_VALUE"""),0)</f>
        <v>0</v>
      </c>
      <c r="H1087" s="7">
        <f ca="1">IFERROR(__xludf.DUMMYFUNCTION("""COMPUTED_VALUE"""),500000)</f>
        <v>500000</v>
      </c>
    </row>
    <row r="1088" spans="1:8" ht="13" x14ac:dyDescent="0.15">
      <c r="A1088" s="5" t="str">
        <f ca="1">IFERROR(__xludf.DUMMYFUNCTION("""COMPUTED_VALUE"""),"37922")</f>
        <v>37922</v>
      </c>
      <c r="B1088" s="51">
        <f ca="1">IFERROR(__xludf.DUMMYFUNCTION("""COMPUTED_VALUE"""),44623)</f>
        <v>44623</v>
      </c>
      <c r="C1088" s="22">
        <f ca="1">IFERROR(__xludf.DUMMYFUNCTION("""COMPUTED_VALUE"""),500000)</f>
        <v>500000</v>
      </c>
      <c r="D1088" s="22">
        <f ca="1">IFERROR(__xludf.DUMMYFUNCTION("""COMPUTED_VALUE"""),0)</f>
        <v>0</v>
      </c>
      <c r="E1088" s="22">
        <f ca="1">IFERROR(__xludf.DUMMYFUNCTION("""COMPUTED_VALUE"""),500000)</f>
        <v>500000</v>
      </c>
      <c r="F1088" s="22">
        <f ca="1">IFERROR(__xludf.DUMMYFUNCTION("""COMPUTED_VALUE"""),500000)</f>
        <v>500000</v>
      </c>
      <c r="G1088" s="22">
        <f ca="1">IFERROR(__xludf.DUMMYFUNCTION("""COMPUTED_VALUE"""),0)</f>
        <v>0</v>
      </c>
      <c r="H1088" s="7">
        <f ca="1">IFERROR(__xludf.DUMMYFUNCTION("""COMPUTED_VALUE"""),500000)</f>
        <v>500000</v>
      </c>
    </row>
    <row r="1089" spans="1:8" ht="13" x14ac:dyDescent="0.15">
      <c r="A1089" s="5" t="str">
        <f ca="1">IFERROR(__xludf.DUMMYFUNCTION("""COMPUTED_VALUE"""),"37922")</f>
        <v>37922</v>
      </c>
      <c r="B1089" s="51">
        <f ca="1">IFERROR(__xludf.DUMMYFUNCTION("""COMPUTED_VALUE"""),44624)</f>
        <v>44624</v>
      </c>
      <c r="C1089" s="22">
        <f ca="1">IFERROR(__xludf.DUMMYFUNCTION("""COMPUTED_VALUE"""),500000)</f>
        <v>500000</v>
      </c>
      <c r="D1089" s="22">
        <f ca="1">IFERROR(__xludf.DUMMYFUNCTION("""COMPUTED_VALUE"""),0)</f>
        <v>0</v>
      </c>
      <c r="E1089" s="22">
        <f ca="1">IFERROR(__xludf.DUMMYFUNCTION("""COMPUTED_VALUE"""),500000)</f>
        <v>500000</v>
      </c>
      <c r="F1089" s="22">
        <f ca="1">IFERROR(__xludf.DUMMYFUNCTION("""COMPUTED_VALUE"""),500000)</f>
        <v>500000</v>
      </c>
      <c r="G1089" s="22">
        <f ca="1">IFERROR(__xludf.DUMMYFUNCTION("""COMPUTED_VALUE"""),0)</f>
        <v>0</v>
      </c>
      <c r="H1089" s="7">
        <f ca="1">IFERROR(__xludf.DUMMYFUNCTION("""COMPUTED_VALUE"""),500000)</f>
        <v>500000</v>
      </c>
    </row>
    <row r="1090" spans="1:8" ht="13" x14ac:dyDescent="0.15">
      <c r="A1090" s="5" t="str">
        <f ca="1">IFERROR(__xludf.DUMMYFUNCTION("""COMPUTED_VALUE"""),"37922")</f>
        <v>37922</v>
      </c>
      <c r="B1090" s="51">
        <f ca="1">IFERROR(__xludf.DUMMYFUNCTION("""COMPUTED_VALUE"""),44625)</f>
        <v>44625</v>
      </c>
      <c r="C1090" s="22">
        <f ca="1">IFERROR(__xludf.DUMMYFUNCTION("""COMPUTED_VALUE"""),500000)</f>
        <v>500000</v>
      </c>
      <c r="D1090" s="22">
        <f ca="1">IFERROR(__xludf.DUMMYFUNCTION("""COMPUTED_VALUE"""),0)</f>
        <v>0</v>
      </c>
      <c r="E1090" s="22">
        <f ca="1">IFERROR(__xludf.DUMMYFUNCTION("""COMPUTED_VALUE"""),500000)</f>
        <v>500000</v>
      </c>
      <c r="F1090" s="22">
        <f ca="1">IFERROR(__xludf.DUMMYFUNCTION("""COMPUTED_VALUE"""),500000)</f>
        <v>500000</v>
      </c>
      <c r="G1090" s="22">
        <f ca="1">IFERROR(__xludf.DUMMYFUNCTION("""COMPUTED_VALUE"""),0)</f>
        <v>0</v>
      </c>
      <c r="H1090" s="7">
        <f ca="1">IFERROR(__xludf.DUMMYFUNCTION("""COMPUTED_VALUE"""),500000)</f>
        <v>500000</v>
      </c>
    </row>
    <row r="1091" spans="1:8" ht="13" x14ac:dyDescent="0.15">
      <c r="A1091" s="5" t="str">
        <f ca="1">IFERROR(__xludf.DUMMYFUNCTION("""COMPUTED_VALUE"""),"37922")</f>
        <v>37922</v>
      </c>
      <c r="B1091" s="51">
        <f ca="1">IFERROR(__xludf.DUMMYFUNCTION("""COMPUTED_VALUE"""),44626)</f>
        <v>44626</v>
      </c>
      <c r="C1091" s="22">
        <f ca="1">IFERROR(__xludf.DUMMYFUNCTION("""COMPUTED_VALUE"""),500000)</f>
        <v>500000</v>
      </c>
      <c r="D1091" s="22">
        <f ca="1">IFERROR(__xludf.DUMMYFUNCTION("""COMPUTED_VALUE"""),0)</f>
        <v>0</v>
      </c>
      <c r="E1091" s="22">
        <f ca="1">IFERROR(__xludf.DUMMYFUNCTION("""COMPUTED_VALUE"""),500000)</f>
        <v>500000</v>
      </c>
      <c r="F1091" s="22">
        <f ca="1">IFERROR(__xludf.DUMMYFUNCTION("""COMPUTED_VALUE"""),500000)</f>
        <v>500000</v>
      </c>
      <c r="G1091" s="22">
        <f ca="1">IFERROR(__xludf.DUMMYFUNCTION("""COMPUTED_VALUE"""),0)</f>
        <v>0</v>
      </c>
      <c r="H1091" s="7">
        <f ca="1">IFERROR(__xludf.DUMMYFUNCTION("""COMPUTED_VALUE"""),500000)</f>
        <v>500000</v>
      </c>
    </row>
    <row r="1092" spans="1:8" ht="13" x14ac:dyDescent="0.15">
      <c r="A1092" s="5" t="str">
        <f ca="1">IFERROR(__xludf.DUMMYFUNCTION("""COMPUTED_VALUE"""),"37922")</f>
        <v>37922</v>
      </c>
      <c r="B1092" s="51">
        <f ca="1">IFERROR(__xludf.DUMMYFUNCTION("""COMPUTED_VALUE"""),44627)</f>
        <v>44627</v>
      </c>
      <c r="C1092" s="22">
        <f ca="1">IFERROR(__xludf.DUMMYFUNCTION("""COMPUTED_VALUE"""),500000)</f>
        <v>500000</v>
      </c>
      <c r="D1092" s="22">
        <f ca="1">IFERROR(__xludf.DUMMYFUNCTION("""COMPUTED_VALUE"""),0)</f>
        <v>0</v>
      </c>
      <c r="E1092" s="22">
        <f ca="1">IFERROR(__xludf.DUMMYFUNCTION("""COMPUTED_VALUE"""),500000)</f>
        <v>500000</v>
      </c>
      <c r="F1092" s="22">
        <f ca="1">IFERROR(__xludf.DUMMYFUNCTION("""COMPUTED_VALUE"""),500000)</f>
        <v>500000</v>
      </c>
      <c r="G1092" s="22">
        <f ca="1">IFERROR(__xludf.DUMMYFUNCTION("""COMPUTED_VALUE"""),0)</f>
        <v>0</v>
      </c>
      <c r="H1092" s="7">
        <f ca="1">IFERROR(__xludf.DUMMYFUNCTION("""COMPUTED_VALUE"""),500000)</f>
        <v>500000</v>
      </c>
    </row>
    <row r="1093" spans="1:8" ht="13" x14ac:dyDescent="0.15">
      <c r="A1093" s="5" t="str">
        <f ca="1">IFERROR(__xludf.DUMMYFUNCTION("""COMPUTED_VALUE"""),"37922")</f>
        <v>37922</v>
      </c>
      <c r="B1093" s="51">
        <f ca="1">IFERROR(__xludf.DUMMYFUNCTION("""COMPUTED_VALUE"""),44628)</f>
        <v>44628</v>
      </c>
      <c r="C1093" s="22">
        <f ca="1">IFERROR(__xludf.DUMMYFUNCTION("""COMPUTED_VALUE"""),500000)</f>
        <v>500000</v>
      </c>
      <c r="D1093" s="22">
        <f ca="1">IFERROR(__xludf.DUMMYFUNCTION("""COMPUTED_VALUE"""),0)</f>
        <v>0</v>
      </c>
      <c r="E1093" s="22">
        <f ca="1">IFERROR(__xludf.DUMMYFUNCTION("""COMPUTED_VALUE"""),500000)</f>
        <v>500000</v>
      </c>
      <c r="F1093" s="22">
        <f ca="1">IFERROR(__xludf.DUMMYFUNCTION("""COMPUTED_VALUE"""),500000)</f>
        <v>500000</v>
      </c>
      <c r="G1093" s="22">
        <f ca="1">IFERROR(__xludf.DUMMYFUNCTION("""COMPUTED_VALUE"""),0)</f>
        <v>0</v>
      </c>
      <c r="H1093" s="7">
        <f ca="1">IFERROR(__xludf.DUMMYFUNCTION("""COMPUTED_VALUE"""),500000)</f>
        <v>500000</v>
      </c>
    </row>
    <row r="1094" spans="1:8" ht="13" x14ac:dyDescent="0.15">
      <c r="A1094" s="5" t="str">
        <f ca="1">IFERROR(__xludf.DUMMYFUNCTION("""COMPUTED_VALUE"""),"37922")</f>
        <v>37922</v>
      </c>
      <c r="B1094" s="51">
        <f ca="1">IFERROR(__xludf.DUMMYFUNCTION("""COMPUTED_VALUE"""),44629)</f>
        <v>44629</v>
      </c>
      <c r="C1094" s="22">
        <f ca="1">IFERROR(__xludf.DUMMYFUNCTION("""COMPUTED_VALUE"""),500000)</f>
        <v>500000</v>
      </c>
      <c r="D1094" s="22">
        <f ca="1">IFERROR(__xludf.DUMMYFUNCTION("""COMPUTED_VALUE"""),0)</f>
        <v>0</v>
      </c>
      <c r="E1094" s="22">
        <f ca="1">IFERROR(__xludf.DUMMYFUNCTION("""COMPUTED_VALUE"""),500000)</f>
        <v>500000</v>
      </c>
      <c r="F1094" s="22">
        <f ca="1">IFERROR(__xludf.DUMMYFUNCTION("""COMPUTED_VALUE"""),500000)</f>
        <v>500000</v>
      </c>
      <c r="G1094" s="22">
        <f ca="1">IFERROR(__xludf.DUMMYFUNCTION("""COMPUTED_VALUE"""),0)</f>
        <v>0</v>
      </c>
      <c r="H1094" s="7">
        <f ca="1">IFERROR(__xludf.DUMMYFUNCTION("""COMPUTED_VALUE"""),500000)</f>
        <v>500000</v>
      </c>
    </row>
    <row r="1095" spans="1:8" ht="13" x14ac:dyDescent="0.15">
      <c r="A1095" s="5" t="str">
        <f ca="1">IFERROR(__xludf.DUMMYFUNCTION("""COMPUTED_VALUE"""),"37922")</f>
        <v>37922</v>
      </c>
      <c r="B1095" s="51">
        <f ca="1">IFERROR(__xludf.DUMMYFUNCTION("""COMPUTED_VALUE"""),44630)</f>
        <v>44630</v>
      </c>
      <c r="C1095" s="22">
        <f ca="1">IFERROR(__xludf.DUMMYFUNCTION("""COMPUTED_VALUE"""),500000)</f>
        <v>500000</v>
      </c>
      <c r="D1095" s="22">
        <f ca="1">IFERROR(__xludf.DUMMYFUNCTION("""COMPUTED_VALUE"""),0)</f>
        <v>0</v>
      </c>
      <c r="E1095" s="22">
        <f ca="1">IFERROR(__xludf.DUMMYFUNCTION("""COMPUTED_VALUE"""),500000)</f>
        <v>500000</v>
      </c>
      <c r="F1095" s="22">
        <f ca="1">IFERROR(__xludf.DUMMYFUNCTION("""COMPUTED_VALUE"""),500000)</f>
        <v>500000</v>
      </c>
      <c r="G1095" s="22">
        <f ca="1">IFERROR(__xludf.DUMMYFUNCTION("""COMPUTED_VALUE"""),0)</f>
        <v>0</v>
      </c>
      <c r="H1095" s="7">
        <f ca="1">IFERROR(__xludf.DUMMYFUNCTION("""COMPUTED_VALUE"""),500000)</f>
        <v>500000</v>
      </c>
    </row>
    <row r="1096" spans="1:8" ht="13" x14ac:dyDescent="0.15">
      <c r="A1096" s="5" t="str">
        <f ca="1">IFERROR(__xludf.DUMMYFUNCTION("""COMPUTED_VALUE"""),"37922")</f>
        <v>37922</v>
      </c>
      <c r="B1096" s="51">
        <f ca="1">IFERROR(__xludf.DUMMYFUNCTION("""COMPUTED_VALUE"""),44631)</f>
        <v>44631</v>
      </c>
      <c r="C1096" s="22">
        <f ca="1">IFERROR(__xludf.DUMMYFUNCTION("""COMPUTED_VALUE"""),500000)</f>
        <v>500000</v>
      </c>
      <c r="D1096" s="22">
        <f ca="1">IFERROR(__xludf.DUMMYFUNCTION("""COMPUTED_VALUE"""),0)</f>
        <v>0</v>
      </c>
      <c r="E1096" s="22">
        <f ca="1">IFERROR(__xludf.DUMMYFUNCTION("""COMPUTED_VALUE"""),500000)</f>
        <v>500000</v>
      </c>
      <c r="F1096" s="22">
        <f ca="1">IFERROR(__xludf.DUMMYFUNCTION("""COMPUTED_VALUE"""),500000)</f>
        <v>500000</v>
      </c>
      <c r="G1096" s="22">
        <f ca="1">IFERROR(__xludf.DUMMYFUNCTION("""COMPUTED_VALUE"""),0)</f>
        <v>0</v>
      </c>
      <c r="H1096" s="7">
        <f ca="1">IFERROR(__xludf.DUMMYFUNCTION("""COMPUTED_VALUE"""),500000)</f>
        <v>500000</v>
      </c>
    </row>
    <row r="1097" spans="1:8" ht="13" x14ac:dyDescent="0.15">
      <c r="A1097" s="5" t="str">
        <f ca="1">IFERROR(__xludf.DUMMYFUNCTION("""COMPUTED_VALUE"""),"37922")</f>
        <v>37922</v>
      </c>
      <c r="B1097" s="51">
        <f ca="1">IFERROR(__xludf.DUMMYFUNCTION("""COMPUTED_VALUE"""),44632)</f>
        <v>44632</v>
      </c>
      <c r="C1097" s="22">
        <f ca="1">IFERROR(__xludf.DUMMYFUNCTION("""COMPUTED_VALUE"""),500000)</f>
        <v>500000</v>
      </c>
      <c r="D1097" s="22">
        <f ca="1">IFERROR(__xludf.DUMMYFUNCTION("""COMPUTED_VALUE"""),0)</f>
        <v>0</v>
      </c>
      <c r="E1097" s="22">
        <f ca="1">IFERROR(__xludf.DUMMYFUNCTION("""COMPUTED_VALUE"""),500000)</f>
        <v>500000</v>
      </c>
      <c r="F1097" s="22">
        <f ca="1">IFERROR(__xludf.DUMMYFUNCTION("""COMPUTED_VALUE"""),500000)</f>
        <v>500000</v>
      </c>
      <c r="G1097" s="22">
        <f ca="1">IFERROR(__xludf.DUMMYFUNCTION("""COMPUTED_VALUE"""),0)</f>
        <v>0</v>
      </c>
      <c r="H1097" s="7">
        <f ca="1">IFERROR(__xludf.DUMMYFUNCTION("""COMPUTED_VALUE"""),500000)</f>
        <v>500000</v>
      </c>
    </row>
    <row r="1098" spans="1:8" ht="13" x14ac:dyDescent="0.15">
      <c r="A1098" s="5" t="str">
        <f ca="1">IFERROR(__xludf.DUMMYFUNCTION("""COMPUTED_VALUE"""),"37922")</f>
        <v>37922</v>
      </c>
      <c r="B1098" s="51">
        <f ca="1">IFERROR(__xludf.DUMMYFUNCTION("""COMPUTED_VALUE"""),44633)</f>
        <v>44633</v>
      </c>
      <c r="C1098" s="22">
        <f ca="1">IFERROR(__xludf.DUMMYFUNCTION("""COMPUTED_VALUE"""),500000)</f>
        <v>500000</v>
      </c>
      <c r="D1098" s="22">
        <f ca="1">IFERROR(__xludf.DUMMYFUNCTION("""COMPUTED_VALUE"""),0)</f>
        <v>0</v>
      </c>
      <c r="E1098" s="22">
        <f ca="1">IFERROR(__xludf.DUMMYFUNCTION("""COMPUTED_VALUE"""),500000)</f>
        <v>500000</v>
      </c>
      <c r="F1098" s="22">
        <f ca="1">IFERROR(__xludf.DUMMYFUNCTION("""COMPUTED_VALUE"""),500000)</f>
        <v>500000</v>
      </c>
      <c r="G1098" s="22">
        <f ca="1">IFERROR(__xludf.DUMMYFUNCTION("""COMPUTED_VALUE"""),0)</f>
        <v>0</v>
      </c>
      <c r="H1098" s="7">
        <f ca="1">IFERROR(__xludf.DUMMYFUNCTION("""COMPUTED_VALUE"""),500000)</f>
        <v>500000</v>
      </c>
    </row>
    <row r="1099" spans="1:8" ht="13" x14ac:dyDescent="0.15">
      <c r="A1099" s="5" t="str">
        <f ca="1">IFERROR(__xludf.DUMMYFUNCTION("""COMPUTED_VALUE"""),"37922")</f>
        <v>37922</v>
      </c>
      <c r="B1099" s="51">
        <f ca="1">IFERROR(__xludf.DUMMYFUNCTION("""COMPUTED_VALUE"""),44634)</f>
        <v>44634</v>
      </c>
      <c r="C1099" s="22">
        <f ca="1">IFERROR(__xludf.DUMMYFUNCTION("""COMPUTED_VALUE"""),500000)</f>
        <v>500000</v>
      </c>
      <c r="D1099" s="22">
        <f ca="1">IFERROR(__xludf.DUMMYFUNCTION("""COMPUTED_VALUE"""),0)</f>
        <v>0</v>
      </c>
      <c r="E1099" s="22">
        <f ca="1">IFERROR(__xludf.DUMMYFUNCTION("""COMPUTED_VALUE"""),500000)</f>
        <v>500000</v>
      </c>
      <c r="F1099" s="22">
        <f ca="1">IFERROR(__xludf.DUMMYFUNCTION("""COMPUTED_VALUE"""),500000)</f>
        <v>500000</v>
      </c>
      <c r="G1099" s="22">
        <f ca="1">IFERROR(__xludf.DUMMYFUNCTION("""COMPUTED_VALUE"""),0)</f>
        <v>0</v>
      </c>
      <c r="H1099" s="7">
        <f ca="1">IFERROR(__xludf.DUMMYFUNCTION("""COMPUTED_VALUE"""),500000)</f>
        <v>500000</v>
      </c>
    </row>
    <row r="1100" spans="1:8" ht="13" x14ac:dyDescent="0.15">
      <c r="A1100" s="5" t="str">
        <f ca="1">IFERROR(__xludf.DUMMYFUNCTION("""COMPUTED_VALUE"""),"37922")</f>
        <v>37922</v>
      </c>
      <c r="B1100" s="51">
        <f ca="1">IFERROR(__xludf.DUMMYFUNCTION("""COMPUTED_VALUE"""),44635)</f>
        <v>44635</v>
      </c>
      <c r="C1100" s="22">
        <f ca="1">IFERROR(__xludf.DUMMYFUNCTION("""COMPUTED_VALUE"""),500000)</f>
        <v>500000</v>
      </c>
      <c r="D1100" s="22">
        <f ca="1">IFERROR(__xludf.DUMMYFUNCTION("""COMPUTED_VALUE"""),0)</f>
        <v>0</v>
      </c>
      <c r="E1100" s="22">
        <f ca="1">IFERROR(__xludf.DUMMYFUNCTION("""COMPUTED_VALUE"""),500000)</f>
        <v>500000</v>
      </c>
      <c r="F1100" s="22">
        <f ca="1">IFERROR(__xludf.DUMMYFUNCTION("""COMPUTED_VALUE"""),500000)</f>
        <v>500000</v>
      </c>
      <c r="G1100" s="22">
        <f ca="1">IFERROR(__xludf.DUMMYFUNCTION("""COMPUTED_VALUE"""),0)</f>
        <v>0</v>
      </c>
      <c r="H1100" s="7">
        <f ca="1">IFERROR(__xludf.DUMMYFUNCTION("""COMPUTED_VALUE"""),500000)</f>
        <v>500000</v>
      </c>
    </row>
    <row r="1101" spans="1:8" ht="13" x14ac:dyDescent="0.15">
      <c r="A1101" s="5" t="str">
        <f ca="1">IFERROR(__xludf.DUMMYFUNCTION("""COMPUTED_VALUE"""),"37922")</f>
        <v>37922</v>
      </c>
      <c r="B1101" s="51">
        <f ca="1">IFERROR(__xludf.DUMMYFUNCTION("""COMPUTED_VALUE"""),44636)</f>
        <v>44636</v>
      </c>
      <c r="C1101" s="22">
        <f ca="1">IFERROR(__xludf.DUMMYFUNCTION("""COMPUTED_VALUE"""),499702)</f>
        <v>499702</v>
      </c>
      <c r="D1101" s="22">
        <f ca="1">IFERROR(__xludf.DUMMYFUNCTION("""COMPUTED_VALUE"""),298)</f>
        <v>298</v>
      </c>
      <c r="E1101" s="22">
        <f ca="1">IFERROR(__xludf.DUMMYFUNCTION("""COMPUTED_VALUE"""),500000)</f>
        <v>500000</v>
      </c>
      <c r="F1101" s="22">
        <f ca="1">IFERROR(__xludf.DUMMYFUNCTION("""COMPUTED_VALUE"""),499702)</f>
        <v>499702</v>
      </c>
      <c r="G1101" s="22">
        <f ca="1">IFERROR(__xludf.DUMMYFUNCTION("""COMPUTED_VALUE"""),0)</f>
        <v>0</v>
      </c>
      <c r="H1101" s="7">
        <f ca="1">IFERROR(__xludf.DUMMYFUNCTION("""COMPUTED_VALUE"""),500069)</f>
        <v>500069</v>
      </c>
    </row>
    <row r="1102" spans="1:8" ht="13" x14ac:dyDescent="0.15">
      <c r="A1102" s="5" t="str">
        <f ca="1">IFERROR(__xludf.DUMMYFUNCTION("""COMPUTED_VALUE"""),"37922")</f>
        <v>37922</v>
      </c>
      <c r="B1102" s="51">
        <f ca="1">IFERROR(__xludf.DUMMYFUNCTION("""COMPUTED_VALUE"""),44637)</f>
        <v>44637</v>
      </c>
      <c r="C1102" s="22">
        <f ca="1">IFERROR(__xludf.DUMMYFUNCTION("""COMPUTED_VALUE"""),499702)</f>
        <v>499702</v>
      </c>
      <c r="D1102" s="22">
        <f ca="1">IFERROR(__xludf.DUMMYFUNCTION("""COMPUTED_VALUE"""),298)</f>
        <v>298</v>
      </c>
      <c r="E1102" s="22">
        <f ca="1">IFERROR(__xludf.DUMMYFUNCTION("""COMPUTED_VALUE"""),500000)</f>
        <v>500000</v>
      </c>
      <c r="F1102" s="22">
        <f ca="1">IFERROR(__xludf.DUMMYFUNCTION("""COMPUTED_VALUE"""),499702)</f>
        <v>499702</v>
      </c>
      <c r="G1102" s="22">
        <f ca="1">IFERROR(__xludf.DUMMYFUNCTION("""COMPUTED_VALUE"""),0)</f>
        <v>0</v>
      </c>
      <c r="H1102" s="7">
        <f ca="1">IFERROR(__xludf.DUMMYFUNCTION("""COMPUTED_VALUE"""),500092)</f>
        <v>500092</v>
      </c>
    </row>
    <row r="1103" spans="1:8" ht="13" x14ac:dyDescent="0.15">
      <c r="A1103" s="5" t="str">
        <f ca="1">IFERROR(__xludf.DUMMYFUNCTION("""COMPUTED_VALUE"""),"37922")</f>
        <v>37922</v>
      </c>
      <c r="B1103" s="51">
        <f ca="1">IFERROR(__xludf.DUMMYFUNCTION("""COMPUTED_VALUE"""),44638)</f>
        <v>44638</v>
      </c>
      <c r="C1103" s="22">
        <f ca="1">IFERROR(__xludf.DUMMYFUNCTION("""COMPUTED_VALUE"""),499702)</f>
        <v>499702</v>
      </c>
      <c r="D1103" s="22">
        <f ca="1">IFERROR(__xludf.DUMMYFUNCTION("""COMPUTED_VALUE"""),298)</f>
        <v>298</v>
      </c>
      <c r="E1103" s="22">
        <f ca="1">IFERROR(__xludf.DUMMYFUNCTION("""COMPUTED_VALUE"""),500000)</f>
        <v>500000</v>
      </c>
      <c r="F1103" s="22">
        <f ca="1">IFERROR(__xludf.DUMMYFUNCTION("""COMPUTED_VALUE"""),499702)</f>
        <v>499702</v>
      </c>
      <c r="G1103" s="22">
        <f ca="1">IFERROR(__xludf.DUMMYFUNCTION("""COMPUTED_VALUE"""),0)</f>
        <v>0</v>
      </c>
      <c r="H1103" s="7">
        <f ca="1">IFERROR(__xludf.DUMMYFUNCTION("""COMPUTED_VALUE"""),500083)</f>
        <v>500083</v>
      </c>
    </row>
    <row r="1104" spans="1:8" ht="13" x14ac:dyDescent="0.15">
      <c r="A1104" s="5" t="str">
        <f ca="1">IFERROR(__xludf.DUMMYFUNCTION("""COMPUTED_VALUE"""),"37922")</f>
        <v>37922</v>
      </c>
      <c r="B1104" s="51">
        <f ca="1">IFERROR(__xludf.DUMMYFUNCTION("""COMPUTED_VALUE"""),44639)</f>
        <v>44639</v>
      </c>
      <c r="C1104" s="22">
        <f ca="1">IFERROR(__xludf.DUMMYFUNCTION("""COMPUTED_VALUE"""),499702)</f>
        <v>499702</v>
      </c>
      <c r="D1104" s="22">
        <f ca="1">IFERROR(__xludf.DUMMYFUNCTION("""COMPUTED_VALUE"""),298)</f>
        <v>298</v>
      </c>
      <c r="E1104" s="22">
        <f ca="1">IFERROR(__xludf.DUMMYFUNCTION("""COMPUTED_VALUE"""),500000)</f>
        <v>500000</v>
      </c>
      <c r="F1104" s="22">
        <f ca="1">IFERROR(__xludf.DUMMYFUNCTION("""COMPUTED_VALUE"""),499702)</f>
        <v>499702</v>
      </c>
      <c r="G1104" s="22">
        <f ca="1">IFERROR(__xludf.DUMMYFUNCTION("""COMPUTED_VALUE"""),0)</f>
        <v>0</v>
      </c>
      <c r="H1104" s="7">
        <f ca="1">IFERROR(__xludf.DUMMYFUNCTION("""COMPUTED_VALUE"""),500083)</f>
        <v>500083</v>
      </c>
    </row>
    <row r="1105" spans="1:8" ht="13" x14ac:dyDescent="0.15">
      <c r="A1105" s="5" t="str">
        <f ca="1">IFERROR(__xludf.DUMMYFUNCTION("""COMPUTED_VALUE"""),"37922")</f>
        <v>37922</v>
      </c>
      <c r="B1105" s="51">
        <f ca="1">IFERROR(__xludf.DUMMYFUNCTION("""COMPUTED_VALUE"""),44640)</f>
        <v>44640</v>
      </c>
      <c r="C1105" s="22">
        <f ca="1">IFERROR(__xludf.DUMMYFUNCTION("""COMPUTED_VALUE"""),499702)</f>
        <v>499702</v>
      </c>
      <c r="D1105" s="22">
        <f ca="1">IFERROR(__xludf.DUMMYFUNCTION("""COMPUTED_VALUE"""),298)</f>
        <v>298</v>
      </c>
      <c r="E1105" s="22">
        <f ca="1">IFERROR(__xludf.DUMMYFUNCTION("""COMPUTED_VALUE"""),500000)</f>
        <v>500000</v>
      </c>
      <c r="F1105" s="22">
        <f ca="1">IFERROR(__xludf.DUMMYFUNCTION("""COMPUTED_VALUE"""),499702)</f>
        <v>499702</v>
      </c>
      <c r="G1105" s="22">
        <f ca="1">IFERROR(__xludf.DUMMYFUNCTION("""COMPUTED_VALUE"""),0)</f>
        <v>0</v>
      </c>
      <c r="H1105" s="7">
        <f ca="1">IFERROR(__xludf.DUMMYFUNCTION("""COMPUTED_VALUE"""),500083)</f>
        <v>500083</v>
      </c>
    </row>
    <row r="1106" spans="1:8" ht="13" x14ac:dyDescent="0.15">
      <c r="A1106" s="5" t="str">
        <f ca="1">IFERROR(__xludf.DUMMYFUNCTION("""COMPUTED_VALUE"""),"37922")</f>
        <v>37922</v>
      </c>
      <c r="B1106" s="51">
        <f ca="1">IFERROR(__xludf.DUMMYFUNCTION("""COMPUTED_VALUE"""),44641)</f>
        <v>44641</v>
      </c>
      <c r="C1106" s="22">
        <f ca="1">IFERROR(__xludf.DUMMYFUNCTION("""COMPUTED_VALUE"""),499702)</f>
        <v>499702</v>
      </c>
      <c r="D1106" s="22">
        <f ca="1">IFERROR(__xludf.DUMMYFUNCTION("""COMPUTED_VALUE"""),298)</f>
        <v>298</v>
      </c>
      <c r="E1106" s="22">
        <f ca="1">IFERROR(__xludf.DUMMYFUNCTION("""COMPUTED_VALUE"""),500000)</f>
        <v>500000</v>
      </c>
      <c r="F1106" s="22">
        <f ca="1">IFERROR(__xludf.DUMMYFUNCTION("""COMPUTED_VALUE"""),499702)</f>
        <v>499702</v>
      </c>
      <c r="G1106" s="22">
        <f ca="1">IFERROR(__xludf.DUMMYFUNCTION("""COMPUTED_VALUE"""),0)</f>
        <v>0</v>
      </c>
      <c r="H1106" s="7">
        <f ca="1">IFERROR(__xludf.DUMMYFUNCTION("""COMPUTED_VALUE"""),500074.4)</f>
        <v>500074.4</v>
      </c>
    </row>
    <row r="1107" spans="1:8" ht="13" x14ac:dyDescent="0.15">
      <c r="A1107" s="5" t="str">
        <f ca="1">IFERROR(__xludf.DUMMYFUNCTION("""COMPUTED_VALUE"""),"37922")</f>
        <v>37922</v>
      </c>
      <c r="B1107" s="51">
        <f ca="1">IFERROR(__xludf.DUMMYFUNCTION("""COMPUTED_VALUE"""),44642)</f>
        <v>44642</v>
      </c>
      <c r="C1107" s="22">
        <f ca="1">IFERROR(__xludf.DUMMYFUNCTION("""COMPUTED_VALUE"""),499702)</f>
        <v>499702</v>
      </c>
      <c r="D1107" s="22">
        <f ca="1">IFERROR(__xludf.DUMMYFUNCTION("""COMPUTED_VALUE"""),298)</f>
        <v>298</v>
      </c>
      <c r="E1107" s="22">
        <f ca="1">IFERROR(__xludf.DUMMYFUNCTION("""COMPUTED_VALUE"""),500000)</f>
        <v>500000</v>
      </c>
      <c r="F1107" s="22">
        <f ca="1">IFERROR(__xludf.DUMMYFUNCTION("""COMPUTED_VALUE"""),499702)</f>
        <v>499702</v>
      </c>
      <c r="G1107" s="22">
        <f ca="1">IFERROR(__xludf.DUMMYFUNCTION("""COMPUTED_VALUE"""),0)</f>
        <v>0</v>
      </c>
      <c r="H1107" s="7">
        <f ca="1">IFERROR(__xludf.DUMMYFUNCTION("""COMPUTED_VALUE"""),500090)</f>
        <v>500090</v>
      </c>
    </row>
    <row r="1108" spans="1:8" ht="13" x14ac:dyDescent="0.15">
      <c r="A1108" s="5" t="str">
        <f ca="1">IFERROR(__xludf.DUMMYFUNCTION("""COMPUTED_VALUE"""),"37934")</f>
        <v>37934</v>
      </c>
      <c r="B1108" s="51">
        <f ca="1">IFERROR(__xludf.DUMMYFUNCTION("""COMPUTED_VALUE"""),44597)</f>
        <v>44597</v>
      </c>
      <c r="C1108" s="22">
        <f ca="1">IFERROR(__xludf.DUMMYFUNCTION("""COMPUTED_VALUE"""),500000)</f>
        <v>500000</v>
      </c>
      <c r="D1108" s="22">
        <f ca="1">IFERROR(__xludf.DUMMYFUNCTION("""COMPUTED_VALUE"""),0)</f>
        <v>0</v>
      </c>
      <c r="E1108" s="22">
        <f ca="1">IFERROR(__xludf.DUMMYFUNCTION("""COMPUTED_VALUE"""),500000)</f>
        <v>500000</v>
      </c>
      <c r="F1108" s="22">
        <f ca="1">IFERROR(__xludf.DUMMYFUNCTION("""COMPUTED_VALUE"""),500000)</f>
        <v>500000</v>
      </c>
      <c r="G1108" s="22">
        <f ca="1">IFERROR(__xludf.DUMMYFUNCTION("""COMPUTED_VALUE"""),0)</f>
        <v>0</v>
      </c>
      <c r="H1108" s="7">
        <f ca="1">IFERROR(__xludf.DUMMYFUNCTION("""COMPUTED_VALUE"""),500000)</f>
        <v>500000</v>
      </c>
    </row>
    <row r="1109" spans="1:8" ht="13" x14ac:dyDescent="0.15">
      <c r="A1109" s="5" t="str">
        <f ca="1">IFERROR(__xludf.DUMMYFUNCTION("""COMPUTED_VALUE"""),"37934")</f>
        <v>37934</v>
      </c>
      <c r="B1109" s="51">
        <f ca="1">IFERROR(__xludf.DUMMYFUNCTION("""COMPUTED_VALUE"""),44598)</f>
        <v>44598</v>
      </c>
      <c r="C1109" s="22">
        <f ca="1">IFERROR(__xludf.DUMMYFUNCTION("""COMPUTED_VALUE"""),500000)</f>
        <v>500000</v>
      </c>
      <c r="D1109" s="22">
        <f ca="1">IFERROR(__xludf.DUMMYFUNCTION("""COMPUTED_VALUE"""),0)</f>
        <v>0</v>
      </c>
      <c r="E1109" s="22">
        <f ca="1">IFERROR(__xludf.DUMMYFUNCTION("""COMPUTED_VALUE"""),500000)</f>
        <v>500000</v>
      </c>
      <c r="F1109" s="22">
        <f ca="1">IFERROR(__xludf.DUMMYFUNCTION("""COMPUTED_VALUE"""),500000)</f>
        <v>500000</v>
      </c>
      <c r="G1109" s="22">
        <f ca="1">IFERROR(__xludf.DUMMYFUNCTION("""COMPUTED_VALUE"""),0)</f>
        <v>0</v>
      </c>
      <c r="H1109" s="7">
        <f ca="1">IFERROR(__xludf.DUMMYFUNCTION("""COMPUTED_VALUE"""),500000)</f>
        <v>500000</v>
      </c>
    </row>
    <row r="1110" spans="1:8" ht="13" x14ac:dyDescent="0.15">
      <c r="A1110" s="5" t="str">
        <f ca="1">IFERROR(__xludf.DUMMYFUNCTION("""COMPUTED_VALUE"""),"37934")</f>
        <v>37934</v>
      </c>
      <c r="B1110" s="51">
        <f ca="1">IFERROR(__xludf.DUMMYFUNCTION("""COMPUTED_VALUE"""),44599)</f>
        <v>44599</v>
      </c>
      <c r="C1110" s="22">
        <f ca="1">IFERROR(__xludf.DUMMYFUNCTION("""COMPUTED_VALUE"""),500000)</f>
        <v>500000</v>
      </c>
      <c r="D1110" s="22">
        <f ca="1">IFERROR(__xludf.DUMMYFUNCTION("""COMPUTED_VALUE"""),0)</f>
        <v>0</v>
      </c>
      <c r="E1110" s="22">
        <f ca="1">IFERROR(__xludf.DUMMYFUNCTION("""COMPUTED_VALUE"""),500000)</f>
        <v>500000</v>
      </c>
      <c r="F1110" s="22">
        <f ca="1">IFERROR(__xludf.DUMMYFUNCTION("""COMPUTED_VALUE"""),500000)</f>
        <v>500000</v>
      </c>
      <c r="G1110" s="22">
        <f ca="1">IFERROR(__xludf.DUMMYFUNCTION("""COMPUTED_VALUE"""),0)</f>
        <v>0</v>
      </c>
      <c r="H1110" s="7">
        <f ca="1">IFERROR(__xludf.DUMMYFUNCTION("""COMPUTED_VALUE"""),500000)</f>
        <v>500000</v>
      </c>
    </row>
    <row r="1111" spans="1:8" ht="13" x14ac:dyDescent="0.15">
      <c r="A1111" s="5" t="str">
        <f ca="1">IFERROR(__xludf.DUMMYFUNCTION("""COMPUTED_VALUE"""),"37934")</f>
        <v>37934</v>
      </c>
      <c r="B1111" s="51">
        <f ca="1">IFERROR(__xludf.DUMMYFUNCTION("""COMPUTED_VALUE"""),44600)</f>
        <v>44600</v>
      </c>
      <c r="C1111" s="22">
        <f ca="1">IFERROR(__xludf.DUMMYFUNCTION("""COMPUTED_VALUE"""),500000)</f>
        <v>500000</v>
      </c>
      <c r="D1111" s="22">
        <f ca="1">IFERROR(__xludf.DUMMYFUNCTION("""COMPUTED_VALUE"""),0)</f>
        <v>0</v>
      </c>
      <c r="E1111" s="22">
        <f ca="1">IFERROR(__xludf.DUMMYFUNCTION("""COMPUTED_VALUE"""),500000)</f>
        <v>500000</v>
      </c>
      <c r="F1111" s="22">
        <f ca="1">IFERROR(__xludf.DUMMYFUNCTION("""COMPUTED_VALUE"""),500000)</f>
        <v>500000</v>
      </c>
      <c r="G1111" s="22">
        <f ca="1">IFERROR(__xludf.DUMMYFUNCTION("""COMPUTED_VALUE"""),0)</f>
        <v>0</v>
      </c>
      <c r="H1111" s="7">
        <f ca="1">IFERROR(__xludf.DUMMYFUNCTION("""COMPUTED_VALUE"""),500000)</f>
        <v>500000</v>
      </c>
    </row>
    <row r="1112" spans="1:8" ht="13" x14ac:dyDescent="0.15">
      <c r="A1112" s="5" t="str">
        <f ca="1">IFERROR(__xludf.DUMMYFUNCTION("""COMPUTED_VALUE"""),"37934")</f>
        <v>37934</v>
      </c>
      <c r="B1112" s="51">
        <f ca="1">IFERROR(__xludf.DUMMYFUNCTION("""COMPUTED_VALUE"""),44601)</f>
        <v>44601</v>
      </c>
      <c r="C1112" s="22">
        <f ca="1">IFERROR(__xludf.DUMMYFUNCTION("""COMPUTED_VALUE"""),500000)</f>
        <v>500000</v>
      </c>
      <c r="D1112" s="22">
        <f ca="1">IFERROR(__xludf.DUMMYFUNCTION("""COMPUTED_VALUE"""),0)</f>
        <v>0</v>
      </c>
      <c r="E1112" s="22">
        <f ca="1">IFERROR(__xludf.DUMMYFUNCTION("""COMPUTED_VALUE"""),500000)</f>
        <v>500000</v>
      </c>
      <c r="F1112" s="22">
        <f ca="1">IFERROR(__xludf.DUMMYFUNCTION("""COMPUTED_VALUE"""),500000)</f>
        <v>500000</v>
      </c>
      <c r="G1112" s="22">
        <f ca="1">IFERROR(__xludf.DUMMYFUNCTION("""COMPUTED_VALUE"""),0)</f>
        <v>0</v>
      </c>
      <c r="H1112" s="7">
        <f ca="1">IFERROR(__xludf.DUMMYFUNCTION("""COMPUTED_VALUE"""),500000)</f>
        <v>500000</v>
      </c>
    </row>
    <row r="1113" spans="1:8" ht="13" x14ac:dyDescent="0.15">
      <c r="A1113" s="5" t="str">
        <f ca="1">IFERROR(__xludf.DUMMYFUNCTION("""COMPUTED_VALUE"""),"37934")</f>
        <v>37934</v>
      </c>
      <c r="B1113" s="51">
        <f ca="1">IFERROR(__xludf.DUMMYFUNCTION("""COMPUTED_VALUE"""),44602)</f>
        <v>44602</v>
      </c>
      <c r="C1113" s="22">
        <f ca="1">IFERROR(__xludf.DUMMYFUNCTION("""COMPUTED_VALUE"""),500000)</f>
        <v>500000</v>
      </c>
      <c r="D1113" s="22">
        <f ca="1">IFERROR(__xludf.DUMMYFUNCTION("""COMPUTED_VALUE"""),0)</f>
        <v>0</v>
      </c>
      <c r="E1113" s="22">
        <f ca="1">IFERROR(__xludf.DUMMYFUNCTION("""COMPUTED_VALUE"""),500000)</f>
        <v>500000</v>
      </c>
      <c r="F1113" s="22">
        <f ca="1">IFERROR(__xludf.DUMMYFUNCTION("""COMPUTED_VALUE"""),500000)</f>
        <v>500000</v>
      </c>
      <c r="G1113" s="22">
        <f ca="1">IFERROR(__xludf.DUMMYFUNCTION("""COMPUTED_VALUE"""),0)</f>
        <v>0</v>
      </c>
      <c r="H1113" s="7">
        <f ca="1">IFERROR(__xludf.DUMMYFUNCTION("""COMPUTED_VALUE"""),500000)</f>
        <v>500000</v>
      </c>
    </row>
    <row r="1114" spans="1:8" ht="13" x14ac:dyDescent="0.15">
      <c r="A1114" s="5" t="str">
        <f ca="1">IFERROR(__xludf.DUMMYFUNCTION("""COMPUTED_VALUE"""),"37934")</f>
        <v>37934</v>
      </c>
      <c r="B1114" s="51">
        <f ca="1">IFERROR(__xludf.DUMMYFUNCTION("""COMPUTED_VALUE"""),44603)</f>
        <v>44603</v>
      </c>
      <c r="C1114" s="22">
        <f ca="1">IFERROR(__xludf.DUMMYFUNCTION("""COMPUTED_VALUE"""),500000)</f>
        <v>500000</v>
      </c>
      <c r="D1114" s="22">
        <f ca="1">IFERROR(__xludf.DUMMYFUNCTION("""COMPUTED_VALUE"""),0)</f>
        <v>0</v>
      </c>
      <c r="E1114" s="22">
        <f ca="1">IFERROR(__xludf.DUMMYFUNCTION("""COMPUTED_VALUE"""),500000)</f>
        <v>500000</v>
      </c>
      <c r="F1114" s="22">
        <f ca="1">IFERROR(__xludf.DUMMYFUNCTION("""COMPUTED_VALUE"""),500000)</f>
        <v>500000</v>
      </c>
      <c r="G1114" s="22">
        <f ca="1">IFERROR(__xludf.DUMMYFUNCTION("""COMPUTED_VALUE"""),0)</f>
        <v>0</v>
      </c>
      <c r="H1114" s="7">
        <f ca="1">IFERROR(__xludf.DUMMYFUNCTION("""COMPUTED_VALUE"""),500000)</f>
        <v>500000</v>
      </c>
    </row>
    <row r="1115" spans="1:8" ht="13" x14ac:dyDescent="0.15">
      <c r="A1115" s="5" t="str">
        <f ca="1">IFERROR(__xludf.DUMMYFUNCTION("""COMPUTED_VALUE"""),"37934")</f>
        <v>37934</v>
      </c>
      <c r="B1115" s="51">
        <f ca="1">IFERROR(__xludf.DUMMYFUNCTION("""COMPUTED_VALUE"""),44604)</f>
        <v>44604</v>
      </c>
      <c r="C1115" s="22">
        <f ca="1">IFERROR(__xludf.DUMMYFUNCTION("""COMPUTED_VALUE"""),500000)</f>
        <v>500000</v>
      </c>
      <c r="D1115" s="22">
        <f ca="1">IFERROR(__xludf.DUMMYFUNCTION("""COMPUTED_VALUE"""),0)</f>
        <v>0</v>
      </c>
      <c r="E1115" s="22">
        <f ca="1">IFERROR(__xludf.DUMMYFUNCTION("""COMPUTED_VALUE"""),500000)</f>
        <v>500000</v>
      </c>
      <c r="F1115" s="22">
        <f ca="1">IFERROR(__xludf.DUMMYFUNCTION("""COMPUTED_VALUE"""),500000)</f>
        <v>500000</v>
      </c>
      <c r="G1115" s="22">
        <f ca="1">IFERROR(__xludf.DUMMYFUNCTION("""COMPUTED_VALUE"""),0)</f>
        <v>0</v>
      </c>
      <c r="H1115" s="7">
        <f ca="1">IFERROR(__xludf.DUMMYFUNCTION("""COMPUTED_VALUE"""),500000)</f>
        <v>500000</v>
      </c>
    </row>
    <row r="1116" spans="1:8" ht="13" x14ac:dyDescent="0.15">
      <c r="A1116" s="5" t="str">
        <f ca="1">IFERROR(__xludf.DUMMYFUNCTION("""COMPUTED_VALUE"""),"37934")</f>
        <v>37934</v>
      </c>
      <c r="B1116" s="51">
        <f ca="1">IFERROR(__xludf.DUMMYFUNCTION("""COMPUTED_VALUE"""),44605)</f>
        <v>44605</v>
      </c>
      <c r="C1116" s="22">
        <f ca="1">IFERROR(__xludf.DUMMYFUNCTION("""COMPUTED_VALUE"""),500000)</f>
        <v>500000</v>
      </c>
      <c r="D1116" s="22">
        <f ca="1">IFERROR(__xludf.DUMMYFUNCTION("""COMPUTED_VALUE"""),0)</f>
        <v>0</v>
      </c>
      <c r="E1116" s="22">
        <f ca="1">IFERROR(__xludf.DUMMYFUNCTION("""COMPUTED_VALUE"""),500000)</f>
        <v>500000</v>
      </c>
      <c r="F1116" s="22">
        <f ca="1">IFERROR(__xludf.DUMMYFUNCTION("""COMPUTED_VALUE"""),500000)</f>
        <v>500000</v>
      </c>
      <c r="G1116" s="22">
        <f ca="1">IFERROR(__xludf.DUMMYFUNCTION("""COMPUTED_VALUE"""),0)</f>
        <v>0</v>
      </c>
      <c r="H1116" s="7">
        <f ca="1">IFERROR(__xludf.DUMMYFUNCTION("""COMPUTED_VALUE"""),500000)</f>
        <v>500000</v>
      </c>
    </row>
    <row r="1117" spans="1:8" ht="13" x14ac:dyDescent="0.15">
      <c r="A1117" s="5" t="str">
        <f ca="1">IFERROR(__xludf.DUMMYFUNCTION("""COMPUTED_VALUE"""),"37934")</f>
        <v>37934</v>
      </c>
      <c r="B1117" s="51">
        <f ca="1">IFERROR(__xludf.DUMMYFUNCTION("""COMPUTED_VALUE"""),44606)</f>
        <v>44606</v>
      </c>
      <c r="C1117" s="22">
        <f ca="1">IFERROR(__xludf.DUMMYFUNCTION("""COMPUTED_VALUE"""),500000)</f>
        <v>500000</v>
      </c>
      <c r="D1117" s="22">
        <f ca="1">IFERROR(__xludf.DUMMYFUNCTION("""COMPUTED_VALUE"""),0)</f>
        <v>0</v>
      </c>
      <c r="E1117" s="22">
        <f ca="1">IFERROR(__xludf.DUMMYFUNCTION("""COMPUTED_VALUE"""),500000)</f>
        <v>500000</v>
      </c>
      <c r="F1117" s="22">
        <f ca="1">IFERROR(__xludf.DUMMYFUNCTION("""COMPUTED_VALUE"""),500000)</f>
        <v>500000</v>
      </c>
      <c r="G1117" s="22">
        <f ca="1">IFERROR(__xludf.DUMMYFUNCTION("""COMPUTED_VALUE"""),0)</f>
        <v>0</v>
      </c>
      <c r="H1117" s="7">
        <f ca="1">IFERROR(__xludf.DUMMYFUNCTION("""COMPUTED_VALUE"""),500000)</f>
        <v>500000</v>
      </c>
    </row>
    <row r="1118" spans="1:8" ht="13" x14ac:dyDescent="0.15">
      <c r="A1118" s="5" t="str">
        <f ca="1">IFERROR(__xludf.DUMMYFUNCTION("""COMPUTED_VALUE"""),"37934")</f>
        <v>37934</v>
      </c>
      <c r="B1118" s="51">
        <f ca="1">IFERROR(__xludf.DUMMYFUNCTION("""COMPUTED_VALUE"""),44607)</f>
        <v>44607</v>
      </c>
      <c r="C1118" s="22">
        <f ca="1">IFERROR(__xludf.DUMMYFUNCTION("""COMPUTED_VALUE"""),500000)</f>
        <v>500000</v>
      </c>
      <c r="D1118" s="22">
        <f ca="1">IFERROR(__xludf.DUMMYFUNCTION("""COMPUTED_VALUE"""),0)</f>
        <v>0</v>
      </c>
      <c r="E1118" s="22">
        <f ca="1">IFERROR(__xludf.DUMMYFUNCTION("""COMPUTED_VALUE"""),500000)</f>
        <v>500000</v>
      </c>
      <c r="F1118" s="22">
        <f ca="1">IFERROR(__xludf.DUMMYFUNCTION("""COMPUTED_VALUE"""),500000)</f>
        <v>500000</v>
      </c>
      <c r="G1118" s="22">
        <f ca="1">IFERROR(__xludf.DUMMYFUNCTION("""COMPUTED_VALUE"""),0)</f>
        <v>0</v>
      </c>
      <c r="H1118" s="7">
        <f ca="1">IFERROR(__xludf.DUMMYFUNCTION("""COMPUTED_VALUE"""),500000)</f>
        <v>500000</v>
      </c>
    </row>
    <row r="1119" spans="1:8" ht="13" x14ac:dyDescent="0.15">
      <c r="A1119" s="5" t="str">
        <f ca="1">IFERROR(__xludf.DUMMYFUNCTION("""COMPUTED_VALUE"""),"37934")</f>
        <v>37934</v>
      </c>
      <c r="B1119" s="51">
        <f ca="1">IFERROR(__xludf.DUMMYFUNCTION("""COMPUTED_VALUE"""),44608)</f>
        <v>44608</v>
      </c>
      <c r="C1119" s="22">
        <f ca="1">IFERROR(__xludf.DUMMYFUNCTION("""COMPUTED_VALUE"""),500000)</f>
        <v>500000</v>
      </c>
      <c r="D1119" s="22">
        <f ca="1">IFERROR(__xludf.DUMMYFUNCTION("""COMPUTED_VALUE"""),0)</f>
        <v>0</v>
      </c>
      <c r="E1119" s="22">
        <f ca="1">IFERROR(__xludf.DUMMYFUNCTION("""COMPUTED_VALUE"""),500000)</f>
        <v>500000</v>
      </c>
      <c r="F1119" s="22">
        <f ca="1">IFERROR(__xludf.DUMMYFUNCTION("""COMPUTED_VALUE"""),500000)</f>
        <v>500000</v>
      </c>
      <c r="G1119" s="22">
        <f ca="1">IFERROR(__xludf.DUMMYFUNCTION("""COMPUTED_VALUE"""),0)</f>
        <v>0</v>
      </c>
      <c r="H1119" s="7">
        <f ca="1">IFERROR(__xludf.DUMMYFUNCTION("""COMPUTED_VALUE"""),500000)</f>
        <v>500000</v>
      </c>
    </row>
    <row r="1120" spans="1:8" ht="13" x14ac:dyDescent="0.15">
      <c r="A1120" s="5" t="str">
        <f ca="1">IFERROR(__xludf.DUMMYFUNCTION("""COMPUTED_VALUE"""),"37934")</f>
        <v>37934</v>
      </c>
      <c r="B1120" s="51">
        <f ca="1">IFERROR(__xludf.DUMMYFUNCTION("""COMPUTED_VALUE"""),44609)</f>
        <v>44609</v>
      </c>
      <c r="C1120" s="22">
        <f ca="1">IFERROR(__xludf.DUMMYFUNCTION("""COMPUTED_VALUE"""),500000)</f>
        <v>500000</v>
      </c>
      <c r="D1120" s="22">
        <f ca="1">IFERROR(__xludf.DUMMYFUNCTION("""COMPUTED_VALUE"""),0)</f>
        <v>0</v>
      </c>
      <c r="E1120" s="22">
        <f ca="1">IFERROR(__xludf.DUMMYFUNCTION("""COMPUTED_VALUE"""),500000)</f>
        <v>500000</v>
      </c>
      <c r="F1120" s="22">
        <f ca="1">IFERROR(__xludf.DUMMYFUNCTION("""COMPUTED_VALUE"""),500000)</f>
        <v>500000</v>
      </c>
      <c r="G1120" s="22">
        <f ca="1">IFERROR(__xludf.DUMMYFUNCTION("""COMPUTED_VALUE"""),0)</f>
        <v>0</v>
      </c>
      <c r="H1120" s="7">
        <f ca="1">IFERROR(__xludf.DUMMYFUNCTION("""COMPUTED_VALUE"""),500000)</f>
        <v>500000</v>
      </c>
    </row>
    <row r="1121" spans="1:8" ht="13" x14ac:dyDescent="0.15">
      <c r="A1121" s="5" t="str">
        <f ca="1">IFERROR(__xludf.DUMMYFUNCTION("""COMPUTED_VALUE"""),"37934")</f>
        <v>37934</v>
      </c>
      <c r="B1121" s="51">
        <f ca="1">IFERROR(__xludf.DUMMYFUNCTION("""COMPUTED_VALUE"""),44610)</f>
        <v>44610</v>
      </c>
      <c r="C1121" s="22">
        <f ca="1">IFERROR(__xludf.DUMMYFUNCTION("""COMPUTED_VALUE"""),500000)</f>
        <v>500000</v>
      </c>
      <c r="D1121" s="22">
        <f ca="1">IFERROR(__xludf.DUMMYFUNCTION("""COMPUTED_VALUE"""),0)</f>
        <v>0</v>
      </c>
      <c r="E1121" s="22">
        <f ca="1">IFERROR(__xludf.DUMMYFUNCTION("""COMPUTED_VALUE"""),500000)</f>
        <v>500000</v>
      </c>
      <c r="F1121" s="22">
        <f ca="1">IFERROR(__xludf.DUMMYFUNCTION("""COMPUTED_VALUE"""),500000)</f>
        <v>500000</v>
      </c>
      <c r="G1121" s="22">
        <f ca="1">IFERROR(__xludf.DUMMYFUNCTION("""COMPUTED_VALUE"""),0)</f>
        <v>0</v>
      </c>
      <c r="H1121" s="7">
        <f ca="1">IFERROR(__xludf.DUMMYFUNCTION("""COMPUTED_VALUE"""),500000)</f>
        <v>500000</v>
      </c>
    </row>
    <row r="1122" spans="1:8" ht="13" x14ac:dyDescent="0.15">
      <c r="A1122" s="5" t="str">
        <f ca="1">IFERROR(__xludf.DUMMYFUNCTION("""COMPUTED_VALUE"""),"37934")</f>
        <v>37934</v>
      </c>
      <c r="B1122" s="51">
        <f ca="1">IFERROR(__xludf.DUMMYFUNCTION("""COMPUTED_VALUE"""),44611)</f>
        <v>44611</v>
      </c>
      <c r="C1122" s="22">
        <f ca="1">IFERROR(__xludf.DUMMYFUNCTION("""COMPUTED_VALUE"""),500000)</f>
        <v>500000</v>
      </c>
      <c r="D1122" s="22">
        <f ca="1">IFERROR(__xludf.DUMMYFUNCTION("""COMPUTED_VALUE"""),0)</f>
        <v>0</v>
      </c>
      <c r="E1122" s="22">
        <f ca="1">IFERROR(__xludf.DUMMYFUNCTION("""COMPUTED_VALUE"""),500000)</f>
        <v>500000</v>
      </c>
      <c r="F1122" s="22">
        <f ca="1">IFERROR(__xludf.DUMMYFUNCTION("""COMPUTED_VALUE"""),500000)</f>
        <v>500000</v>
      </c>
      <c r="G1122" s="22">
        <f ca="1">IFERROR(__xludf.DUMMYFUNCTION("""COMPUTED_VALUE"""),0)</f>
        <v>0</v>
      </c>
      <c r="H1122" s="7">
        <f ca="1">IFERROR(__xludf.DUMMYFUNCTION("""COMPUTED_VALUE"""),500000)</f>
        <v>500000</v>
      </c>
    </row>
    <row r="1123" spans="1:8" ht="13" x14ac:dyDescent="0.15">
      <c r="A1123" s="5" t="str">
        <f ca="1">IFERROR(__xludf.DUMMYFUNCTION("""COMPUTED_VALUE"""),"37934")</f>
        <v>37934</v>
      </c>
      <c r="B1123" s="51">
        <f ca="1">IFERROR(__xludf.DUMMYFUNCTION("""COMPUTED_VALUE"""),44612)</f>
        <v>44612</v>
      </c>
      <c r="C1123" s="22">
        <f ca="1">IFERROR(__xludf.DUMMYFUNCTION("""COMPUTED_VALUE"""),500000)</f>
        <v>500000</v>
      </c>
      <c r="D1123" s="22">
        <f ca="1">IFERROR(__xludf.DUMMYFUNCTION("""COMPUTED_VALUE"""),0)</f>
        <v>0</v>
      </c>
      <c r="E1123" s="22">
        <f ca="1">IFERROR(__xludf.DUMMYFUNCTION("""COMPUTED_VALUE"""),500000)</f>
        <v>500000</v>
      </c>
      <c r="F1123" s="22">
        <f ca="1">IFERROR(__xludf.DUMMYFUNCTION("""COMPUTED_VALUE"""),500000)</f>
        <v>500000</v>
      </c>
      <c r="G1123" s="22">
        <f ca="1">IFERROR(__xludf.DUMMYFUNCTION("""COMPUTED_VALUE"""),0)</f>
        <v>0</v>
      </c>
      <c r="H1123" s="7">
        <f ca="1">IFERROR(__xludf.DUMMYFUNCTION("""COMPUTED_VALUE"""),500000)</f>
        <v>500000</v>
      </c>
    </row>
    <row r="1124" spans="1:8" ht="13" x14ac:dyDescent="0.15">
      <c r="A1124" s="5" t="str">
        <f ca="1">IFERROR(__xludf.DUMMYFUNCTION("""COMPUTED_VALUE"""),"37934")</f>
        <v>37934</v>
      </c>
      <c r="B1124" s="51">
        <f ca="1">IFERROR(__xludf.DUMMYFUNCTION("""COMPUTED_VALUE"""),44613)</f>
        <v>44613</v>
      </c>
      <c r="C1124" s="22">
        <f ca="1">IFERROR(__xludf.DUMMYFUNCTION("""COMPUTED_VALUE"""),1000000)</f>
        <v>1000000</v>
      </c>
      <c r="D1124" s="22">
        <f ca="1">IFERROR(__xludf.DUMMYFUNCTION("""COMPUTED_VALUE"""),0)</f>
        <v>0</v>
      </c>
      <c r="E1124" s="22">
        <f ca="1">IFERROR(__xludf.DUMMYFUNCTION("""COMPUTED_VALUE"""),1000000)</f>
        <v>1000000</v>
      </c>
      <c r="F1124" s="22">
        <f ca="1">IFERROR(__xludf.DUMMYFUNCTION("""COMPUTED_VALUE"""),1000000)</f>
        <v>1000000</v>
      </c>
      <c r="G1124" s="22">
        <f ca="1">IFERROR(__xludf.DUMMYFUNCTION("""COMPUTED_VALUE"""),0)</f>
        <v>0</v>
      </c>
      <c r="H1124" s="7">
        <f ca="1">IFERROR(__xludf.DUMMYFUNCTION("""COMPUTED_VALUE"""),1000000)</f>
        <v>1000000</v>
      </c>
    </row>
    <row r="1125" spans="1:8" ht="13" x14ac:dyDescent="0.15">
      <c r="A1125" s="5" t="str">
        <f ca="1">IFERROR(__xludf.DUMMYFUNCTION("""COMPUTED_VALUE"""),"37934")</f>
        <v>37934</v>
      </c>
      <c r="B1125" s="51">
        <f ca="1">IFERROR(__xludf.DUMMYFUNCTION("""COMPUTED_VALUE"""),44614)</f>
        <v>44614</v>
      </c>
      <c r="C1125" s="22">
        <f ca="1">IFERROR(__xludf.DUMMYFUNCTION("""COMPUTED_VALUE"""),483990.809)</f>
        <v>483990.80900000001</v>
      </c>
      <c r="D1125" s="22">
        <f ca="1">IFERROR(__xludf.DUMMYFUNCTION("""COMPUTED_VALUE"""),16009.191)</f>
        <v>16009.191000000001</v>
      </c>
      <c r="E1125" s="22">
        <f ca="1">IFERROR(__xludf.DUMMYFUNCTION("""COMPUTED_VALUE"""),500000)</f>
        <v>500000</v>
      </c>
      <c r="F1125" s="22">
        <f ca="1">IFERROR(__xludf.DUMMYFUNCTION("""COMPUTED_VALUE"""),483990.809)</f>
        <v>483990.80900000001</v>
      </c>
      <c r="G1125" s="22">
        <f ca="1">IFERROR(__xludf.DUMMYFUNCTION("""COMPUTED_VALUE"""),0)</f>
        <v>0</v>
      </c>
      <c r="H1125" s="7">
        <f ca="1">IFERROR(__xludf.DUMMYFUNCTION("""COMPUTED_VALUE"""),500000)</f>
        <v>500000</v>
      </c>
    </row>
    <row r="1126" spans="1:8" ht="13" x14ac:dyDescent="0.15">
      <c r="A1126" s="5" t="str">
        <f ca="1">IFERROR(__xludf.DUMMYFUNCTION("""COMPUTED_VALUE"""),"37934")</f>
        <v>37934</v>
      </c>
      <c r="B1126" s="51">
        <f ca="1">IFERROR(__xludf.DUMMYFUNCTION("""COMPUTED_VALUE"""),44615)</f>
        <v>44615</v>
      </c>
      <c r="C1126" s="22">
        <f ca="1">IFERROR(__xludf.DUMMYFUNCTION("""COMPUTED_VALUE"""),483990.809)</f>
        <v>483990.80900000001</v>
      </c>
      <c r="D1126" s="22">
        <f ca="1">IFERROR(__xludf.DUMMYFUNCTION("""COMPUTED_VALUE"""),16009.191)</f>
        <v>16009.191000000001</v>
      </c>
      <c r="E1126" s="22">
        <f ca="1">IFERROR(__xludf.DUMMYFUNCTION("""COMPUTED_VALUE"""),500000)</f>
        <v>500000</v>
      </c>
      <c r="F1126" s="22">
        <f ca="1">IFERROR(__xludf.DUMMYFUNCTION("""COMPUTED_VALUE"""),483990.809)</f>
        <v>483990.80900000001</v>
      </c>
      <c r="G1126" s="22">
        <f ca="1">IFERROR(__xludf.DUMMYFUNCTION("""COMPUTED_VALUE"""),0)</f>
        <v>0</v>
      </c>
      <c r="H1126" s="7">
        <f ca="1">IFERROR(__xludf.DUMMYFUNCTION("""COMPUTED_VALUE"""),499320.7128)</f>
        <v>499320.71279999998</v>
      </c>
    </row>
    <row r="1127" spans="1:8" ht="13" x14ac:dyDescent="0.15">
      <c r="A1127" s="5" t="str">
        <f ca="1">IFERROR(__xludf.DUMMYFUNCTION("""COMPUTED_VALUE"""),"37934")</f>
        <v>37934</v>
      </c>
      <c r="B1127" s="51">
        <f ca="1">IFERROR(__xludf.DUMMYFUNCTION("""COMPUTED_VALUE"""),44616)</f>
        <v>44616</v>
      </c>
      <c r="C1127" s="22">
        <f ca="1">IFERROR(__xludf.DUMMYFUNCTION("""COMPUTED_VALUE"""),483990.809)</f>
        <v>483990.80900000001</v>
      </c>
      <c r="D1127" s="22">
        <f ca="1">IFERROR(__xludf.DUMMYFUNCTION("""COMPUTED_VALUE"""),16009.191)</f>
        <v>16009.191000000001</v>
      </c>
      <c r="E1127" s="22">
        <f ca="1">IFERROR(__xludf.DUMMYFUNCTION("""COMPUTED_VALUE"""),500000)</f>
        <v>500000</v>
      </c>
      <c r="F1127" s="22">
        <f ca="1">IFERROR(__xludf.DUMMYFUNCTION("""COMPUTED_VALUE"""),483990.809)</f>
        <v>483990.80900000001</v>
      </c>
      <c r="G1127" s="22">
        <f ca="1">IFERROR(__xludf.DUMMYFUNCTION("""COMPUTED_VALUE"""),0)</f>
        <v>0</v>
      </c>
      <c r="H1127" s="7">
        <f ca="1">IFERROR(__xludf.DUMMYFUNCTION("""COMPUTED_VALUE"""),500121.6205)</f>
        <v>500121.62050000002</v>
      </c>
    </row>
    <row r="1128" spans="1:8" ht="13" x14ac:dyDescent="0.15">
      <c r="A1128" s="5" t="str">
        <f ca="1">IFERROR(__xludf.DUMMYFUNCTION("""COMPUTED_VALUE"""),"37934")</f>
        <v>37934</v>
      </c>
      <c r="B1128" s="51">
        <f ca="1">IFERROR(__xludf.DUMMYFUNCTION("""COMPUTED_VALUE"""),44617)</f>
        <v>44617</v>
      </c>
      <c r="C1128" s="22">
        <f ca="1">IFERROR(__xludf.DUMMYFUNCTION("""COMPUTED_VALUE"""),483990.809)</f>
        <v>483990.80900000001</v>
      </c>
      <c r="D1128" s="22">
        <f ca="1">IFERROR(__xludf.DUMMYFUNCTION("""COMPUTED_VALUE"""),16009.191)</f>
        <v>16009.191000000001</v>
      </c>
      <c r="E1128" s="22">
        <f ca="1">IFERROR(__xludf.DUMMYFUNCTION("""COMPUTED_VALUE"""),500000)</f>
        <v>500000</v>
      </c>
      <c r="F1128" s="22">
        <f ca="1">IFERROR(__xludf.DUMMYFUNCTION("""COMPUTED_VALUE"""),483990.809)</f>
        <v>483990.80900000001</v>
      </c>
      <c r="G1128" s="22">
        <f ca="1">IFERROR(__xludf.DUMMYFUNCTION("""COMPUTED_VALUE"""),0)</f>
        <v>0</v>
      </c>
      <c r="H1128" s="7">
        <f ca="1">IFERROR(__xludf.DUMMYFUNCTION("""COMPUTED_VALUE"""),500653.92393)</f>
        <v>500653.92392999999</v>
      </c>
    </row>
    <row r="1129" spans="1:8" ht="13" x14ac:dyDescent="0.15">
      <c r="A1129" s="5" t="str">
        <f ca="1">IFERROR(__xludf.DUMMYFUNCTION("""COMPUTED_VALUE"""),"37934")</f>
        <v>37934</v>
      </c>
      <c r="B1129" s="51">
        <f ca="1">IFERROR(__xludf.DUMMYFUNCTION("""COMPUTED_VALUE"""),44618)</f>
        <v>44618</v>
      </c>
      <c r="C1129" s="22">
        <f ca="1">IFERROR(__xludf.DUMMYFUNCTION("""COMPUTED_VALUE"""),483990.809)</f>
        <v>483990.80900000001</v>
      </c>
      <c r="D1129" s="22">
        <f ca="1">IFERROR(__xludf.DUMMYFUNCTION("""COMPUTED_VALUE"""),16009.191)</f>
        <v>16009.191000000001</v>
      </c>
      <c r="E1129" s="22">
        <f ca="1">IFERROR(__xludf.DUMMYFUNCTION("""COMPUTED_VALUE"""),500000)</f>
        <v>500000</v>
      </c>
      <c r="F1129" s="22">
        <f ca="1">IFERROR(__xludf.DUMMYFUNCTION("""COMPUTED_VALUE"""),483990.809)</f>
        <v>483990.80900000001</v>
      </c>
      <c r="G1129" s="22">
        <f ca="1">IFERROR(__xludf.DUMMYFUNCTION("""COMPUTED_VALUE"""),0)</f>
        <v>0</v>
      </c>
      <c r="H1129" s="7">
        <f ca="1">IFERROR(__xludf.DUMMYFUNCTION("""COMPUTED_VALUE"""),500654.24403)</f>
        <v>500654.24403</v>
      </c>
    </row>
    <row r="1130" spans="1:8" ht="13" x14ac:dyDescent="0.15">
      <c r="A1130" s="5" t="str">
        <f ca="1">IFERROR(__xludf.DUMMYFUNCTION("""COMPUTED_VALUE"""),"37934")</f>
        <v>37934</v>
      </c>
      <c r="B1130" s="51">
        <f ca="1">IFERROR(__xludf.DUMMYFUNCTION("""COMPUTED_VALUE"""),44619)</f>
        <v>44619</v>
      </c>
      <c r="C1130" s="22">
        <f ca="1">IFERROR(__xludf.DUMMYFUNCTION("""COMPUTED_VALUE"""),483990.809)</f>
        <v>483990.80900000001</v>
      </c>
      <c r="D1130" s="22">
        <f ca="1">IFERROR(__xludf.DUMMYFUNCTION("""COMPUTED_VALUE"""),16009.191)</f>
        <v>16009.191000000001</v>
      </c>
      <c r="E1130" s="22">
        <f ca="1">IFERROR(__xludf.DUMMYFUNCTION("""COMPUTED_VALUE"""),500000)</f>
        <v>500000</v>
      </c>
      <c r="F1130" s="22">
        <f ca="1">IFERROR(__xludf.DUMMYFUNCTION("""COMPUTED_VALUE"""),483990.809)</f>
        <v>483990.80900000001</v>
      </c>
      <c r="G1130" s="22">
        <f ca="1">IFERROR(__xludf.DUMMYFUNCTION("""COMPUTED_VALUE"""),0)</f>
        <v>0</v>
      </c>
      <c r="H1130" s="7">
        <f ca="1">IFERROR(__xludf.DUMMYFUNCTION("""COMPUTED_VALUE"""),500653.5078)</f>
        <v>500653.50780000002</v>
      </c>
    </row>
    <row r="1131" spans="1:8" ht="13" x14ac:dyDescent="0.15">
      <c r="A1131" s="5" t="str">
        <f ca="1">IFERROR(__xludf.DUMMYFUNCTION("""COMPUTED_VALUE"""),"37934")</f>
        <v>37934</v>
      </c>
      <c r="B1131" s="51">
        <f ca="1">IFERROR(__xludf.DUMMYFUNCTION("""COMPUTED_VALUE"""),44620)</f>
        <v>44620</v>
      </c>
      <c r="C1131" s="22">
        <f ca="1">IFERROR(__xludf.DUMMYFUNCTION("""COMPUTED_VALUE"""),271710.809)</f>
        <v>271710.80900000001</v>
      </c>
      <c r="D1131" s="22">
        <f ca="1">IFERROR(__xludf.DUMMYFUNCTION("""COMPUTED_VALUE"""),230172.8005)</f>
        <v>230172.80050000001</v>
      </c>
      <c r="E1131" s="22">
        <f ca="1">IFERROR(__xludf.DUMMYFUNCTION("""COMPUTED_VALUE"""),501883.6095)</f>
        <v>501883.60950000002</v>
      </c>
      <c r="F1131" s="22">
        <f ca="1">IFERROR(__xludf.DUMMYFUNCTION("""COMPUTED_VALUE"""),271710.809)</f>
        <v>271710.80900000001</v>
      </c>
      <c r="G1131" s="22">
        <f ca="1">IFERROR(__xludf.DUMMYFUNCTION("""COMPUTED_VALUE"""),0)</f>
        <v>0</v>
      </c>
      <c r="H1131" s="7">
        <f ca="1">IFERROR(__xludf.DUMMYFUNCTION("""COMPUTED_VALUE"""),501883.6095)</f>
        <v>501883.60950000002</v>
      </c>
    </row>
    <row r="1132" spans="1:8" ht="13" x14ac:dyDescent="0.15">
      <c r="A1132" s="5" t="str">
        <f ca="1">IFERROR(__xludf.DUMMYFUNCTION("""COMPUTED_VALUE"""),"37934")</f>
        <v>37934</v>
      </c>
      <c r="B1132" s="51">
        <f ca="1">IFERROR(__xludf.DUMMYFUNCTION("""COMPUTED_VALUE"""),44621)</f>
        <v>44621</v>
      </c>
      <c r="C1132" s="22">
        <f ca="1">IFERROR(__xludf.DUMMYFUNCTION("""COMPUTED_VALUE"""),271710.809)</f>
        <v>271710.80900000001</v>
      </c>
      <c r="D1132" s="22">
        <f ca="1">IFERROR(__xludf.DUMMYFUNCTION("""COMPUTED_VALUE"""),236387.4032)</f>
        <v>236387.4032</v>
      </c>
      <c r="E1132" s="22">
        <f ca="1">IFERROR(__xludf.DUMMYFUNCTION("""COMPUTED_VALUE"""),508098.2122)</f>
        <v>508098.21220000001</v>
      </c>
      <c r="F1132" s="22">
        <f ca="1">IFERROR(__xludf.DUMMYFUNCTION("""COMPUTED_VALUE"""),271710.809)</f>
        <v>271710.80900000001</v>
      </c>
      <c r="G1132" s="22">
        <f ca="1">IFERROR(__xludf.DUMMYFUNCTION("""COMPUTED_VALUE"""),0)</f>
        <v>0</v>
      </c>
      <c r="H1132" s="7">
        <f ca="1">IFERROR(__xludf.DUMMYFUNCTION("""COMPUTED_VALUE"""),507738.2122)</f>
        <v>507738.21220000001</v>
      </c>
    </row>
    <row r="1133" spans="1:8" ht="13" x14ac:dyDescent="0.15">
      <c r="A1133" s="5" t="str">
        <f ca="1">IFERROR(__xludf.DUMMYFUNCTION("""COMPUTED_VALUE"""),"37934")</f>
        <v>37934</v>
      </c>
      <c r="B1133" s="51">
        <f ca="1">IFERROR(__xludf.DUMMYFUNCTION("""COMPUTED_VALUE"""),44622)</f>
        <v>44622</v>
      </c>
      <c r="C1133" s="22">
        <f ca="1">IFERROR(__xludf.DUMMYFUNCTION("""COMPUTED_VALUE"""),271710.809)</f>
        <v>271710.80900000001</v>
      </c>
      <c r="D1133" s="22">
        <f ca="1">IFERROR(__xludf.DUMMYFUNCTION("""COMPUTED_VALUE"""),231177.1082)</f>
        <v>231177.10819999999</v>
      </c>
      <c r="E1133" s="22">
        <f ca="1">IFERROR(__xludf.DUMMYFUNCTION("""COMPUTED_VALUE"""),502887.9172)</f>
        <v>502887.91720000003</v>
      </c>
      <c r="F1133" s="22">
        <f ca="1">IFERROR(__xludf.DUMMYFUNCTION("""COMPUTED_VALUE"""),271710.809)</f>
        <v>271710.80900000001</v>
      </c>
      <c r="G1133" s="22">
        <f ca="1">IFERROR(__xludf.DUMMYFUNCTION("""COMPUTED_VALUE"""),0)</f>
        <v>0</v>
      </c>
      <c r="H1133" s="7">
        <f ca="1">IFERROR(__xludf.DUMMYFUNCTION("""COMPUTED_VALUE"""),502617.9172)</f>
        <v>502617.91720000003</v>
      </c>
    </row>
    <row r="1134" spans="1:8" ht="13" x14ac:dyDescent="0.15">
      <c r="A1134" s="5" t="str">
        <f ca="1">IFERROR(__xludf.DUMMYFUNCTION("""COMPUTED_VALUE"""),"37934")</f>
        <v>37934</v>
      </c>
      <c r="B1134" s="51">
        <f ca="1">IFERROR(__xludf.DUMMYFUNCTION("""COMPUTED_VALUE"""),44623)</f>
        <v>44623</v>
      </c>
      <c r="C1134" s="22">
        <f ca="1">IFERROR(__xludf.DUMMYFUNCTION("""COMPUTED_VALUE"""),271710.809)</f>
        <v>271710.80900000001</v>
      </c>
      <c r="D1134" s="22">
        <f ca="1">IFERROR(__xludf.DUMMYFUNCTION("""COMPUTED_VALUE"""),229490.2873)</f>
        <v>229490.2873</v>
      </c>
      <c r="E1134" s="22">
        <f ca="1">IFERROR(__xludf.DUMMYFUNCTION("""COMPUTED_VALUE"""),501201.0963)</f>
        <v>501201.09629999998</v>
      </c>
      <c r="F1134" s="22">
        <f ca="1">IFERROR(__xludf.DUMMYFUNCTION("""COMPUTED_VALUE"""),271710.809)</f>
        <v>271710.80900000001</v>
      </c>
      <c r="G1134" s="22">
        <f ca="1">IFERROR(__xludf.DUMMYFUNCTION("""COMPUTED_VALUE"""),0)</f>
        <v>0</v>
      </c>
      <c r="H1134" s="7">
        <f ca="1">IFERROR(__xludf.DUMMYFUNCTION("""COMPUTED_VALUE"""),501381.0963)</f>
        <v>501381.09629999998</v>
      </c>
    </row>
    <row r="1135" spans="1:8" ht="13" x14ac:dyDescent="0.15">
      <c r="A1135" s="5" t="str">
        <f ca="1">IFERROR(__xludf.DUMMYFUNCTION("""COMPUTED_VALUE"""),"37934")</f>
        <v>37934</v>
      </c>
      <c r="B1135" s="51">
        <f ca="1">IFERROR(__xludf.DUMMYFUNCTION("""COMPUTED_VALUE"""),44624)</f>
        <v>44624</v>
      </c>
      <c r="C1135" s="22">
        <f ca="1">IFERROR(__xludf.DUMMYFUNCTION("""COMPUTED_VALUE"""),271710.809)</f>
        <v>271710.80900000001</v>
      </c>
      <c r="D1135" s="22">
        <f ca="1">IFERROR(__xludf.DUMMYFUNCTION("""COMPUTED_VALUE"""),213108.56)</f>
        <v>213108.56</v>
      </c>
      <c r="E1135" s="22">
        <f ca="1">IFERROR(__xludf.DUMMYFUNCTION("""COMPUTED_VALUE"""),484819.369)</f>
        <v>484819.36900000001</v>
      </c>
      <c r="F1135" s="22">
        <f ca="1">IFERROR(__xludf.DUMMYFUNCTION("""COMPUTED_VALUE"""),271710.809)</f>
        <v>271710.80900000001</v>
      </c>
      <c r="G1135" s="22">
        <f ca="1">IFERROR(__xludf.DUMMYFUNCTION("""COMPUTED_VALUE"""),0)</f>
        <v>0</v>
      </c>
      <c r="H1135" s="7">
        <f ca="1">IFERROR(__xludf.DUMMYFUNCTION("""COMPUTED_VALUE"""),480139.369)</f>
        <v>480139.36900000001</v>
      </c>
    </row>
    <row r="1136" spans="1:8" ht="13" x14ac:dyDescent="0.15">
      <c r="A1136" s="5" t="str">
        <f ca="1">IFERROR(__xludf.DUMMYFUNCTION("""COMPUTED_VALUE"""),"37934")</f>
        <v>37934</v>
      </c>
      <c r="B1136" s="51">
        <f ca="1">IFERROR(__xludf.DUMMYFUNCTION("""COMPUTED_VALUE"""),44625)</f>
        <v>44625</v>
      </c>
      <c r="C1136" s="22">
        <f ca="1">IFERROR(__xludf.DUMMYFUNCTION("""COMPUTED_VALUE"""),271710.809)</f>
        <v>271710.80900000001</v>
      </c>
      <c r="D1136" s="22">
        <f ca="1">IFERROR(__xludf.DUMMYFUNCTION("""COMPUTED_VALUE"""),213108.56)</f>
        <v>213108.56</v>
      </c>
      <c r="E1136" s="22">
        <f ca="1">IFERROR(__xludf.DUMMYFUNCTION("""COMPUTED_VALUE"""),484819.369)</f>
        <v>484819.36900000001</v>
      </c>
      <c r="F1136" s="22">
        <f ca="1">IFERROR(__xludf.DUMMYFUNCTION("""COMPUTED_VALUE"""),271710.809)</f>
        <v>271710.80900000001</v>
      </c>
      <c r="G1136" s="22">
        <f ca="1">IFERROR(__xludf.DUMMYFUNCTION("""COMPUTED_VALUE"""),0)</f>
        <v>0</v>
      </c>
      <c r="H1136" s="7">
        <f ca="1">IFERROR(__xludf.DUMMYFUNCTION("""COMPUTED_VALUE"""),480139.369)</f>
        <v>480139.36900000001</v>
      </c>
    </row>
    <row r="1137" spans="1:8" ht="13" x14ac:dyDescent="0.15">
      <c r="A1137" s="5" t="str">
        <f ca="1">IFERROR(__xludf.DUMMYFUNCTION("""COMPUTED_VALUE"""),"37934")</f>
        <v>37934</v>
      </c>
      <c r="B1137" s="51">
        <f ca="1">IFERROR(__xludf.DUMMYFUNCTION("""COMPUTED_VALUE"""),44626)</f>
        <v>44626</v>
      </c>
      <c r="C1137" s="22">
        <f ca="1">IFERROR(__xludf.DUMMYFUNCTION("""COMPUTED_VALUE"""),271710.809)</f>
        <v>271710.80900000001</v>
      </c>
      <c r="D1137" s="22">
        <f ca="1">IFERROR(__xludf.DUMMYFUNCTION("""COMPUTED_VALUE"""),213110.71)</f>
        <v>213110.71</v>
      </c>
      <c r="E1137" s="22">
        <f ca="1">IFERROR(__xludf.DUMMYFUNCTION("""COMPUTED_VALUE"""),484821.519)</f>
        <v>484821.51899999997</v>
      </c>
      <c r="F1137" s="22">
        <f ca="1">IFERROR(__xludf.DUMMYFUNCTION("""COMPUTED_VALUE"""),271710.809)</f>
        <v>271710.80900000001</v>
      </c>
      <c r="G1137" s="22">
        <f ca="1">IFERROR(__xludf.DUMMYFUNCTION("""COMPUTED_VALUE"""),0)</f>
        <v>0</v>
      </c>
      <c r="H1137" s="7">
        <f ca="1">IFERROR(__xludf.DUMMYFUNCTION("""COMPUTED_VALUE"""),480141.519)</f>
        <v>480141.51899999997</v>
      </c>
    </row>
    <row r="1138" spans="1:8" ht="13" x14ac:dyDescent="0.15">
      <c r="A1138" s="5" t="str">
        <f ca="1">IFERROR(__xludf.DUMMYFUNCTION("""COMPUTED_VALUE"""),"37934")</f>
        <v>37934</v>
      </c>
      <c r="B1138" s="51">
        <f ca="1">IFERROR(__xludf.DUMMYFUNCTION("""COMPUTED_VALUE"""),44627)</f>
        <v>44627</v>
      </c>
      <c r="C1138" s="22">
        <f ca="1">IFERROR(__xludf.DUMMYFUNCTION("""COMPUTED_VALUE"""),271710.809)</f>
        <v>271710.80900000001</v>
      </c>
      <c r="D1138" s="22">
        <f ca="1">IFERROR(__xludf.DUMMYFUNCTION("""COMPUTED_VALUE"""),202372.8902)</f>
        <v>202372.89019999999</v>
      </c>
      <c r="E1138" s="22">
        <f ca="1">IFERROR(__xludf.DUMMYFUNCTION("""COMPUTED_VALUE"""),474083.6992)</f>
        <v>474083.69919999997</v>
      </c>
      <c r="F1138" s="22">
        <f ca="1">IFERROR(__xludf.DUMMYFUNCTION("""COMPUTED_VALUE"""),271710.809)</f>
        <v>271710.80900000001</v>
      </c>
      <c r="G1138" s="22">
        <f ca="1">IFERROR(__xludf.DUMMYFUNCTION("""COMPUTED_VALUE"""),0)</f>
        <v>0</v>
      </c>
      <c r="H1138" s="7">
        <f ca="1">IFERROR(__xludf.DUMMYFUNCTION("""COMPUTED_VALUE"""),466703.6992)</f>
        <v>466703.69919999997</v>
      </c>
    </row>
    <row r="1139" spans="1:8" ht="13" x14ac:dyDescent="0.15">
      <c r="A1139" s="5" t="str">
        <f ca="1">IFERROR(__xludf.DUMMYFUNCTION("""COMPUTED_VALUE"""),"37934")</f>
        <v>37934</v>
      </c>
      <c r="B1139" s="51">
        <f ca="1">IFERROR(__xludf.DUMMYFUNCTION("""COMPUTED_VALUE"""),44628)</f>
        <v>44628</v>
      </c>
      <c r="C1139" s="22">
        <f ca="1">IFERROR(__xludf.DUMMYFUNCTION("""COMPUTED_VALUE"""),271710.809)</f>
        <v>271710.80900000001</v>
      </c>
      <c r="D1139" s="22">
        <f ca="1">IFERROR(__xludf.DUMMYFUNCTION("""COMPUTED_VALUE"""),194630.0874)</f>
        <v>194630.08739999999</v>
      </c>
      <c r="E1139" s="22">
        <f ca="1">IFERROR(__xludf.DUMMYFUNCTION("""COMPUTED_VALUE"""),466340.8964)</f>
        <v>466340.89640000003</v>
      </c>
      <c r="F1139" s="22">
        <f ca="1">IFERROR(__xludf.DUMMYFUNCTION("""COMPUTED_VALUE"""),271710.809)</f>
        <v>271710.80900000001</v>
      </c>
      <c r="G1139" s="22">
        <f ca="1">IFERROR(__xludf.DUMMYFUNCTION("""COMPUTED_VALUE"""),0)</f>
        <v>0</v>
      </c>
      <c r="H1139" s="7">
        <f ca="1">IFERROR(__xludf.DUMMYFUNCTION("""COMPUTED_VALUE"""),459770.8964)</f>
        <v>459770.89640000003</v>
      </c>
    </row>
    <row r="1140" spans="1:8" ht="13" x14ac:dyDescent="0.15">
      <c r="A1140" s="5" t="str">
        <f ca="1">IFERROR(__xludf.DUMMYFUNCTION("""COMPUTED_VALUE"""),"37934")</f>
        <v>37934</v>
      </c>
      <c r="B1140" s="51">
        <f ca="1">IFERROR(__xludf.DUMMYFUNCTION("""COMPUTED_VALUE"""),44629)</f>
        <v>44629</v>
      </c>
      <c r="C1140" s="22">
        <f ca="1">IFERROR(__xludf.DUMMYFUNCTION("""COMPUTED_VALUE"""),271710.809)</f>
        <v>271710.80900000001</v>
      </c>
      <c r="D1140" s="22">
        <f ca="1">IFERROR(__xludf.DUMMYFUNCTION("""COMPUTED_VALUE"""),197115.3969)</f>
        <v>197115.39689999999</v>
      </c>
      <c r="E1140" s="22">
        <f ca="1">IFERROR(__xludf.DUMMYFUNCTION("""COMPUTED_VALUE"""),468826.2059)</f>
        <v>468826.2059</v>
      </c>
      <c r="F1140" s="22">
        <f ca="1">IFERROR(__xludf.DUMMYFUNCTION("""COMPUTED_VALUE"""),271710.809)</f>
        <v>271710.80900000001</v>
      </c>
      <c r="G1140" s="22">
        <f ca="1">IFERROR(__xludf.DUMMYFUNCTION("""COMPUTED_VALUE"""),0)</f>
        <v>0</v>
      </c>
      <c r="H1140" s="7">
        <f ca="1">IFERROR(__xludf.DUMMYFUNCTION("""COMPUTED_VALUE"""),461671.2059)</f>
        <v>461671.2059</v>
      </c>
    </row>
    <row r="1141" spans="1:8" ht="13" x14ac:dyDescent="0.15">
      <c r="A1141" s="5" t="str">
        <f ca="1">IFERROR(__xludf.DUMMYFUNCTION("""COMPUTED_VALUE"""),"37934")</f>
        <v>37934</v>
      </c>
      <c r="B1141" s="51">
        <f ca="1">IFERROR(__xludf.DUMMYFUNCTION("""COMPUTED_VALUE"""),44630)</f>
        <v>44630</v>
      </c>
      <c r="C1141" s="22">
        <f ca="1">IFERROR(__xludf.DUMMYFUNCTION("""COMPUTED_VALUE"""),271710.809)</f>
        <v>271710.80900000001</v>
      </c>
      <c r="D1141" s="22">
        <f ca="1">IFERROR(__xludf.DUMMYFUNCTION("""COMPUTED_VALUE"""),201822.3059)</f>
        <v>201822.30590000001</v>
      </c>
      <c r="E1141" s="22">
        <f ca="1">IFERROR(__xludf.DUMMYFUNCTION("""COMPUTED_VALUE"""),473533.1149)</f>
        <v>473533.11489999999</v>
      </c>
      <c r="F1141" s="22">
        <f ca="1">IFERROR(__xludf.DUMMYFUNCTION("""COMPUTED_VALUE"""),271710.809)</f>
        <v>271710.80900000001</v>
      </c>
      <c r="G1141" s="22">
        <f ca="1">IFERROR(__xludf.DUMMYFUNCTION("""COMPUTED_VALUE"""),0)</f>
        <v>0</v>
      </c>
      <c r="H1141" s="7">
        <f ca="1">IFERROR(__xludf.DUMMYFUNCTION("""COMPUTED_VALUE"""),466243.1149)</f>
        <v>466243.11489999999</v>
      </c>
    </row>
    <row r="1142" spans="1:8" ht="13" x14ac:dyDescent="0.15">
      <c r="A1142" s="5" t="str">
        <f ca="1">IFERROR(__xludf.DUMMYFUNCTION("""COMPUTED_VALUE"""),"37934")</f>
        <v>37934</v>
      </c>
      <c r="B1142" s="51">
        <f ca="1">IFERROR(__xludf.DUMMYFUNCTION("""COMPUTED_VALUE"""),44631)</f>
        <v>44631</v>
      </c>
      <c r="C1142" s="22">
        <f ca="1">IFERROR(__xludf.DUMMYFUNCTION("""COMPUTED_VALUE"""),271710.809)</f>
        <v>271710.80900000001</v>
      </c>
      <c r="D1142" s="22">
        <f ca="1">IFERROR(__xludf.DUMMYFUNCTION("""COMPUTED_VALUE"""),190268.445)</f>
        <v>190268.44500000001</v>
      </c>
      <c r="E1142" s="22">
        <f ca="1">IFERROR(__xludf.DUMMYFUNCTION("""COMPUTED_VALUE"""),461979.254)</f>
        <v>461979.25400000002</v>
      </c>
      <c r="F1142" s="22">
        <f ca="1">IFERROR(__xludf.DUMMYFUNCTION("""COMPUTED_VALUE"""),271710.809)</f>
        <v>271710.80900000001</v>
      </c>
      <c r="G1142" s="22">
        <f ca="1">IFERROR(__xludf.DUMMYFUNCTION("""COMPUTED_VALUE"""),0)</f>
        <v>0</v>
      </c>
      <c r="H1142" s="7">
        <f ca="1">IFERROR(__xludf.DUMMYFUNCTION("""COMPUTED_VALUE"""),449919.254)</f>
        <v>449919.25400000002</v>
      </c>
    </row>
    <row r="1143" spans="1:8" ht="13" x14ac:dyDescent="0.15">
      <c r="A1143" s="5" t="str">
        <f ca="1">IFERROR(__xludf.DUMMYFUNCTION("""COMPUTED_VALUE"""),"37934")</f>
        <v>37934</v>
      </c>
      <c r="B1143" s="51">
        <f ca="1">IFERROR(__xludf.DUMMYFUNCTION("""COMPUTED_VALUE"""),44632)</f>
        <v>44632</v>
      </c>
      <c r="C1143" s="22">
        <f ca="1">IFERROR(__xludf.DUMMYFUNCTION("""COMPUTED_VALUE"""),271710.809)</f>
        <v>271710.80900000001</v>
      </c>
      <c r="D1143" s="22">
        <f ca="1">IFERROR(__xludf.DUMMYFUNCTION("""COMPUTED_VALUE"""),190268.445)</f>
        <v>190268.44500000001</v>
      </c>
      <c r="E1143" s="22">
        <f ca="1">IFERROR(__xludf.DUMMYFUNCTION("""COMPUTED_VALUE"""),461979.254)</f>
        <v>461979.25400000002</v>
      </c>
      <c r="F1143" s="22">
        <f ca="1">IFERROR(__xludf.DUMMYFUNCTION("""COMPUTED_VALUE"""),271710.809)</f>
        <v>271710.80900000001</v>
      </c>
      <c r="G1143" s="22">
        <f ca="1">IFERROR(__xludf.DUMMYFUNCTION("""COMPUTED_VALUE"""),0)</f>
        <v>0</v>
      </c>
      <c r="H1143" s="7">
        <f ca="1">IFERROR(__xludf.DUMMYFUNCTION("""COMPUTED_VALUE"""),449919.254)</f>
        <v>449919.25400000002</v>
      </c>
    </row>
    <row r="1144" spans="1:8" ht="13" x14ac:dyDescent="0.15">
      <c r="A1144" s="5" t="str">
        <f ca="1">IFERROR(__xludf.DUMMYFUNCTION("""COMPUTED_VALUE"""),"37934")</f>
        <v>37934</v>
      </c>
      <c r="B1144" s="51">
        <f ca="1">IFERROR(__xludf.DUMMYFUNCTION("""COMPUTED_VALUE"""),44633)</f>
        <v>44633</v>
      </c>
      <c r="C1144" s="22">
        <f ca="1">IFERROR(__xludf.DUMMYFUNCTION("""COMPUTED_VALUE"""),271710.809)</f>
        <v>271710.80900000001</v>
      </c>
      <c r="D1144" s="22">
        <f ca="1">IFERROR(__xludf.DUMMYFUNCTION("""COMPUTED_VALUE"""),190267.2993)</f>
        <v>190267.29930000001</v>
      </c>
      <c r="E1144" s="22">
        <f ca="1">IFERROR(__xludf.DUMMYFUNCTION("""COMPUTED_VALUE"""),461978.1083)</f>
        <v>461978.10830000002</v>
      </c>
      <c r="F1144" s="22">
        <f ca="1">IFERROR(__xludf.DUMMYFUNCTION("""COMPUTED_VALUE"""),271710.809)</f>
        <v>271710.80900000001</v>
      </c>
      <c r="G1144" s="22">
        <f ca="1">IFERROR(__xludf.DUMMYFUNCTION("""COMPUTED_VALUE"""),0)</f>
        <v>0</v>
      </c>
      <c r="H1144" s="7">
        <f ca="1">IFERROR(__xludf.DUMMYFUNCTION("""COMPUTED_VALUE"""),449918.1083)</f>
        <v>449918.10830000002</v>
      </c>
    </row>
    <row r="1145" spans="1:8" ht="13" x14ac:dyDescent="0.15">
      <c r="A1145" s="5" t="str">
        <f ca="1">IFERROR(__xludf.DUMMYFUNCTION("""COMPUTED_VALUE"""),"37934")</f>
        <v>37934</v>
      </c>
      <c r="B1145" s="51">
        <f ca="1">IFERROR(__xludf.DUMMYFUNCTION("""COMPUTED_VALUE"""),44634)</f>
        <v>44634</v>
      </c>
      <c r="C1145" s="22">
        <f ca="1">IFERROR(__xludf.DUMMYFUNCTION("""COMPUTED_VALUE"""),151715.200058)</f>
        <v>151715.20005799999</v>
      </c>
      <c r="D1145" s="22">
        <f ca="1">IFERROR(__xludf.DUMMYFUNCTION("""COMPUTED_VALUE"""),272172.799442)</f>
        <v>272172.79944199999</v>
      </c>
      <c r="E1145" s="22">
        <f ca="1">IFERROR(__xludf.DUMMYFUNCTION("""COMPUTED_VALUE"""),423887.9995)</f>
        <v>423887.99949999998</v>
      </c>
      <c r="F1145" s="22">
        <f ca="1">IFERROR(__xludf.DUMMYFUNCTION("""COMPUTED_VALUE"""),151715.200058)</f>
        <v>151715.20005799999</v>
      </c>
      <c r="G1145" s="22">
        <f ca="1">IFERROR(__xludf.DUMMYFUNCTION("""COMPUTED_VALUE"""),0)</f>
        <v>0</v>
      </c>
      <c r="H1145" s="7">
        <f ca="1">IFERROR(__xludf.DUMMYFUNCTION("""COMPUTED_VALUE"""),423894.437008)</f>
        <v>423894.43700799998</v>
      </c>
    </row>
    <row r="1146" spans="1:8" ht="13" x14ac:dyDescent="0.15">
      <c r="A1146" s="5" t="str">
        <f ca="1">IFERROR(__xludf.DUMMYFUNCTION("""COMPUTED_VALUE"""),"37934")</f>
        <v>37934</v>
      </c>
      <c r="B1146" s="51">
        <f ca="1">IFERROR(__xludf.DUMMYFUNCTION("""COMPUTED_VALUE"""),44635)</f>
        <v>44635</v>
      </c>
      <c r="C1146" s="22">
        <f ca="1">IFERROR(__xludf.DUMMYFUNCTION("""COMPUTED_VALUE"""),151708.76255)</f>
        <v>151708.76255000001</v>
      </c>
      <c r="D1146" s="22">
        <f ca="1">IFERROR(__xludf.DUMMYFUNCTION("""COMPUTED_VALUE"""),260763.24445)</f>
        <v>260763.24445</v>
      </c>
      <c r="E1146" s="22">
        <f ca="1">IFERROR(__xludf.DUMMYFUNCTION("""COMPUTED_VALUE"""),412472.007)</f>
        <v>412472.00699999998</v>
      </c>
      <c r="F1146" s="22">
        <f ca="1">IFERROR(__xludf.DUMMYFUNCTION("""COMPUTED_VALUE"""),151708.76255)</f>
        <v>151708.76255000001</v>
      </c>
      <c r="G1146" s="22">
        <f ca="1">IFERROR(__xludf.DUMMYFUNCTION("""COMPUTED_VALUE"""),0)</f>
        <v>0</v>
      </c>
      <c r="H1146" s="7">
        <f ca="1">IFERROR(__xludf.DUMMYFUNCTION("""COMPUTED_VALUE"""),417997.01926)</f>
        <v>417997.01925999997</v>
      </c>
    </row>
    <row r="1147" spans="1:8" ht="13" x14ac:dyDescent="0.15">
      <c r="A1147" s="5" t="str">
        <f ca="1">IFERROR(__xludf.DUMMYFUNCTION("""COMPUTED_VALUE"""),"37934")</f>
        <v>37934</v>
      </c>
      <c r="B1147" s="51">
        <f ca="1">IFERROR(__xludf.DUMMYFUNCTION("""COMPUTED_VALUE"""),44636)</f>
        <v>44636</v>
      </c>
      <c r="C1147" s="22">
        <f ca="1">IFERROR(__xludf.DUMMYFUNCTION("""COMPUTED_VALUE"""),151708.76255)</f>
        <v>151708.76255000001</v>
      </c>
      <c r="D1147" s="22">
        <f ca="1">IFERROR(__xludf.DUMMYFUNCTION("""COMPUTED_VALUE"""),304886.46915)</f>
        <v>304886.46915000002</v>
      </c>
      <c r="E1147" s="22">
        <f ca="1">IFERROR(__xludf.DUMMYFUNCTION("""COMPUTED_VALUE"""),456595.2317)</f>
        <v>456595.2317</v>
      </c>
      <c r="F1147" s="22">
        <f ca="1">IFERROR(__xludf.DUMMYFUNCTION("""COMPUTED_VALUE"""),151708.76255)</f>
        <v>151708.76255000001</v>
      </c>
      <c r="G1147" s="22">
        <f ca="1">IFERROR(__xludf.DUMMYFUNCTION("""COMPUTED_VALUE"""),0)</f>
        <v>0</v>
      </c>
      <c r="H1147" s="7">
        <f ca="1">IFERROR(__xludf.DUMMYFUNCTION("""COMPUTED_VALUE"""),468014.39978)</f>
        <v>468014.39977999998</v>
      </c>
    </row>
    <row r="1148" spans="1:8" ht="13" x14ac:dyDescent="0.15">
      <c r="A1148" s="5" t="str">
        <f ca="1">IFERROR(__xludf.DUMMYFUNCTION("""COMPUTED_VALUE"""),"37934")</f>
        <v>37934</v>
      </c>
      <c r="B1148" s="51">
        <f ca="1">IFERROR(__xludf.DUMMYFUNCTION("""COMPUTED_VALUE"""),44637)</f>
        <v>44637</v>
      </c>
      <c r="C1148" s="22">
        <f ca="1">IFERROR(__xludf.DUMMYFUNCTION("""COMPUTED_VALUE"""),151708.76255)</f>
        <v>151708.76255000001</v>
      </c>
      <c r="D1148" s="22">
        <f ca="1">IFERROR(__xludf.DUMMYFUNCTION("""COMPUTED_VALUE"""),329931.85135)</f>
        <v>329931.85135000001</v>
      </c>
      <c r="E1148" s="22">
        <f ca="1">IFERROR(__xludf.DUMMYFUNCTION("""COMPUTED_VALUE"""),481640.6139)</f>
        <v>481640.6139</v>
      </c>
      <c r="F1148" s="22">
        <f ca="1">IFERROR(__xludf.DUMMYFUNCTION("""COMPUTED_VALUE"""),151708.76255)</f>
        <v>151708.76255000001</v>
      </c>
      <c r="G1148" s="22">
        <f ca="1">IFERROR(__xludf.DUMMYFUNCTION("""COMPUTED_VALUE"""),0)</f>
        <v>0</v>
      </c>
      <c r="H1148" s="7">
        <f ca="1">IFERROR(__xludf.DUMMYFUNCTION("""COMPUTED_VALUE"""),497903.63985)</f>
        <v>497903.63984999998</v>
      </c>
    </row>
    <row r="1149" spans="1:8" ht="13" x14ac:dyDescent="0.15">
      <c r="A1149" s="5" t="str">
        <f ca="1">IFERROR(__xludf.DUMMYFUNCTION("""COMPUTED_VALUE"""),"37934")</f>
        <v>37934</v>
      </c>
      <c r="B1149" s="51">
        <f ca="1">IFERROR(__xludf.DUMMYFUNCTION("""COMPUTED_VALUE"""),44638)</f>
        <v>44638</v>
      </c>
      <c r="C1149" s="22">
        <f ca="1">IFERROR(__xludf.DUMMYFUNCTION("""COMPUTED_VALUE"""),151708.76255)</f>
        <v>151708.76255000001</v>
      </c>
      <c r="D1149" s="22">
        <f ca="1">IFERROR(__xludf.DUMMYFUNCTION("""COMPUTED_VALUE"""),319013.49775)</f>
        <v>319013.49774999998</v>
      </c>
      <c r="E1149" s="22">
        <f ca="1">IFERROR(__xludf.DUMMYFUNCTION("""COMPUTED_VALUE"""),470722.260299999)</f>
        <v>470722.26029999898</v>
      </c>
      <c r="F1149" s="22">
        <f ca="1">IFERROR(__xludf.DUMMYFUNCTION("""COMPUTED_VALUE"""),151708.76255)</f>
        <v>151708.76255000001</v>
      </c>
      <c r="G1149" s="22">
        <f ca="1">IFERROR(__xludf.DUMMYFUNCTION("""COMPUTED_VALUE"""),0)</f>
        <v>0</v>
      </c>
      <c r="H1149" s="7">
        <f ca="1">IFERROR(__xludf.DUMMYFUNCTION("""COMPUTED_VALUE"""),492412.84346)</f>
        <v>492412.84346</v>
      </c>
    </row>
    <row r="1150" spans="1:8" ht="13" x14ac:dyDescent="0.15">
      <c r="A1150" s="5" t="str">
        <f ca="1">IFERROR(__xludf.DUMMYFUNCTION("""COMPUTED_VALUE"""),"37934")</f>
        <v>37934</v>
      </c>
      <c r="B1150" s="51">
        <f ca="1">IFERROR(__xludf.DUMMYFUNCTION("""COMPUTED_VALUE"""),44639)</f>
        <v>44639</v>
      </c>
      <c r="C1150" s="22">
        <f ca="1">IFERROR(__xludf.DUMMYFUNCTION("""COMPUTED_VALUE"""),151708.76255)</f>
        <v>151708.76255000001</v>
      </c>
      <c r="D1150" s="22">
        <f ca="1">IFERROR(__xludf.DUMMYFUNCTION("""COMPUTED_VALUE"""),319013.49775)</f>
        <v>319013.49774999998</v>
      </c>
      <c r="E1150" s="22">
        <f ca="1">IFERROR(__xludf.DUMMYFUNCTION("""COMPUTED_VALUE"""),470722.260299999)</f>
        <v>470722.26029999898</v>
      </c>
      <c r="F1150" s="22">
        <f ca="1">IFERROR(__xludf.DUMMYFUNCTION("""COMPUTED_VALUE"""),151708.76255)</f>
        <v>151708.76255000001</v>
      </c>
      <c r="G1150" s="22">
        <f ca="1">IFERROR(__xludf.DUMMYFUNCTION("""COMPUTED_VALUE"""),0)</f>
        <v>0</v>
      </c>
      <c r="H1150" s="7">
        <f ca="1">IFERROR(__xludf.DUMMYFUNCTION("""COMPUTED_VALUE"""),492412.84346)</f>
        <v>492412.84346</v>
      </c>
    </row>
    <row r="1151" spans="1:8" ht="13" x14ac:dyDescent="0.15">
      <c r="A1151" s="5" t="str">
        <f ca="1">IFERROR(__xludf.DUMMYFUNCTION("""COMPUTED_VALUE"""),"37934")</f>
        <v>37934</v>
      </c>
      <c r="B1151" s="51">
        <f ca="1">IFERROR(__xludf.DUMMYFUNCTION("""COMPUTED_VALUE"""),44640)</f>
        <v>44640</v>
      </c>
      <c r="C1151" s="22">
        <f ca="1">IFERROR(__xludf.DUMMYFUNCTION("""COMPUTED_VALUE"""),151708.76255)</f>
        <v>151708.76255000001</v>
      </c>
      <c r="D1151" s="22">
        <f ca="1">IFERROR(__xludf.DUMMYFUNCTION("""COMPUTED_VALUE"""),319010.13208)</f>
        <v>319010.13208000001</v>
      </c>
      <c r="E1151" s="22">
        <f ca="1">IFERROR(__xludf.DUMMYFUNCTION("""COMPUTED_VALUE"""),470718.89463)</f>
        <v>470718.89463</v>
      </c>
      <c r="F1151" s="22">
        <f ca="1">IFERROR(__xludf.DUMMYFUNCTION("""COMPUTED_VALUE"""),151708.76255)</f>
        <v>151708.76255000001</v>
      </c>
      <c r="G1151" s="22">
        <f ca="1">IFERROR(__xludf.DUMMYFUNCTION("""COMPUTED_VALUE"""),0)</f>
        <v>0</v>
      </c>
      <c r="H1151" s="7">
        <f ca="1">IFERROR(__xludf.DUMMYFUNCTION("""COMPUTED_VALUE"""),492378.603991)</f>
        <v>492378.60399099998</v>
      </c>
    </row>
    <row r="1152" spans="1:8" ht="13" x14ac:dyDescent="0.15">
      <c r="A1152" s="5" t="str">
        <f ca="1">IFERROR(__xludf.DUMMYFUNCTION("""COMPUTED_VALUE"""),"37934")</f>
        <v>37934</v>
      </c>
      <c r="B1152" s="51">
        <f ca="1">IFERROR(__xludf.DUMMYFUNCTION("""COMPUTED_VALUE"""),44641)</f>
        <v>44641</v>
      </c>
      <c r="C1152" s="22">
        <f ca="1">IFERROR(__xludf.DUMMYFUNCTION("""COMPUTED_VALUE"""),151708.76255)</f>
        <v>151708.76255000001</v>
      </c>
      <c r="D1152" s="22">
        <f ca="1">IFERROR(__xludf.DUMMYFUNCTION("""COMPUTED_VALUE"""),321519.95775)</f>
        <v>321519.95775</v>
      </c>
      <c r="E1152" s="22">
        <f ca="1">IFERROR(__xludf.DUMMYFUNCTION("""COMPUTED_VALUE"""),473228.7203)</f>
        <v>473228.72029999999</v>
      </c>
      <c r="F1152" s="22">
        <f ca="1">IFERROR(__xludf.DUMMYFUNCTION("""COMPUTED_VALUE"""),151708.76255)</f>
        <v>151708.76255000001</v>
      </c>
      <c r="G1152" s="22">
        <f ca="1">IFERROR(__xludf.DUMMYFUNCTION("""COMPUTED_VALUE"""),0)</f>
        <v>0</v>
      </c>
      <c r="H1152" s="7">
        <f ca="1">IFERROR(__xludf.DUMMYFUNCTION("""COMPUTED_VALUE"""),497396.504289999)</f>
        <v>497396.50428999902</v>
      </c>
    </row>
    <row r="1153" spans="1:8" ht="13" x14ac:dyDescent="0.15">
      <c r="A1153" s="5" t="str">
        <f ca="1">IFERROR(__xludf.DUMMYFUNCTION("""COMPUTED_VALUE"""),"37934")</f>
        <v>37934</v>
      </c>
      <c r="B1153" s="51">
        <f ca="1">IFERROR(__xludf.DUMMYFUNCTION("""COMPUTED_VALUE"""),44642)</f>
        <v>44642</v>
      </c>
      <c r="C1153" s="22">
        <f ca="1">IFERROR(__xludf.DUMMYFUNCTION("""COMPUTED_VALUE"""),151708.76255)</f>
        <v>151708.76255000001</v>
      </c>
      <c r="D1153" s="22">
        <f ca="1">IFERROR(__xludf.DUMMYFUNCTION("""COMPUTED_VALUE"""),338397.63725)</f>
        <v>338397.63725000003</v>
      </c>
      <c r="E1153" s="22">
        <f ca="1">IFERROR(__xludf.DUMMYFUNCTION("""COMPUTED_VALUE"""),490106.3998)</f>
        <v>490106.39980000001</v>
      </c>
      <c r="F1153" s="22">
        <f ca="1">IFERROR(__xludf.DUMMYFUNCTION("""COMPUTED_VALUE"""),151708.76255)</f>
        <v>151708.76255000001</v>
      </c>
      <c r="G1153" s="22">
        <f ca="1">IFERROR(__xludf.DUMMYFUNCTION("""COMPUTED_VALUE"""),0)</f>
        <v>0</v>
      </c>
      <c r="H1153" s="7">
        <f ca="1">IFERROR(__xludf.DUMMYFUNCTION("""COMPUTED_VALUE"""),525700.98857)</f>
        <v>525700.98857000005</v>
      </c>
    </row>
    <row r="1154" spans="1:8" ht="13" x14ac:dyDescent="0.15">
      <c r="A1154" s="5" t="str">
        <f ca="1">IFERROR(__xludf.DUMMYFUNCTION("""COMPUTED_VALUE"""),"38063")</f>
        <v>38063</v>
      </c>
      <c r="B1154" s="51">
        <f ca="1">IFERROR(__xludf.DUMMYFUNCTION("""COMPUTED_VALUE"""),44597)</f>
        <v>44597</v>
      </c>
      <c r="C1154" s="22">
        <f ca="1">IFERROR(__xludf.DUMMYFUNCTION("""COMPUTED_VALUE"""),500000)</f>
        <v>500000</v>
      </c>
      <c r="D1154" s="22">
        <f ca="1">IFERROR(__xludf.DUMMYFUNCTION("""COMPUTED_VALUE"""),0)</f>
        <v>0</v>
      </c>
      <c r="E1154" s="22">
        <f ca="1">IFERROR(__xludf.DUMMYFUNCTION("""COMPUTED_VALUE"""),500000)</f>
        <v>500000</v>
      </c>
      <c r="F1154" s="22">
        <f ca="1">IFERROR(__xludf.DUMMYFUNCTION("""COMPUTED_VALUE"""),500000)</f>
        <v>500000</v>
      </c>
      <c r="G1154" s="22">
        <f ca="1">IFERROR(__xludf.DUMMYFUNCTION("""COMPUTED_VALUE"""),0)</f>
        <v>0</v>
      </c>
      <c r="H1154" s="7">
        <f ca="1">IFERROR(__xludf.DUMMYFUNCTION("""COMPUTED_VALUE"""),500000)</f>
        <v>500000</v>
      </c>
    </row>
    <row r="1155" spans="1:8" ht="13" x14ac:dyDescent="0.15">
      <c r="A1155" s="5" t="str">
        <f ca="1">IFERROR(__xludf.DUMMYFUNCTION("""COMPUTED_VALUE"""),"38063")</f>
        <v>38063</v>
      </c>
      <c r="B1155" s="51">
        <f ca="1">IFERROR(__xludf.DUMMYFUNCTION("""COMPUTED_VALUE"""),44598)</f>
        <v>44598</v>
      </c>
      <c r="C1155" s="22">
        <f ca="1">IFERROR(__xludf.DUMMYFUNCTION("""COMPUTED_VALUE"""),500000)</f>
        <v>500000</v>
      </c>
      <c r="D1155" s="22">
        <f ca="1">IFERROR(__xludf.DUMMYFUNCTION("""COMPUTED_VALUE"""),0)</f>
        <v>0</v>
      </c>
      <c r="E1155" s="22">
        <f ca="1">IFERROR(__xludf.DUMMYFUNCTION("""COMPUTED_VALUE"""),500000)</f>
        <v>500000</v>
      </c>
      <c r="F1155" s="22">
        <f ca="1">IFERROR(__xludf.DUMMYFUNCTION("""COMPUTED_VALUE"""),500000)</f>
        <v>500000</v>
      </c>
      <c r="G1155" s="22">
        <f ca="1">IFERROR(__xludf.DUMMYFUNCTION("""COMPUTED_VALUE"""),0)</f>
        <v>0</v>
      </c>
      <c r="H1155" s="7">
        <f ca="1">IFERROR(__xludf.DUMMYFUNCTION("""COMPUTED_VALUE"""),500000)</f>
        <v>500000</v>
      </c>
    </row>
    <row r="1156" spans="1:8" ht="13" x14ac:dyDescent="0.15">
      <c r="A1156" s="5" t="str">
        <f ca="1">IFERROR(__xludf.DUMMYFUNCTION("""COMPUTED_VALUE"""),"38063")</f>
        <v>38063</v>
      </c>
      <c r="B1156" s="51">
        <f ca="1">IFERROR(__xludf.DUMMYFUNCTION("""COMPUTED_VALUE"""),44599)</f>
        <v>44599</v>
      </c>
      <c r="C1156" s="22">
        <f ca="1">IFERROR(__xludf.DUMMYFUNCTION("""COMPUTED_VALUE"""),500000)</f>
        <v>500000</v>
      </c>
      <c r="D1156" s="22">
        <f ca="1">IFERROR(__xludf.DUMMYFUNCTION("""COMPUTED_VALUE"""),0)</f>
        <v>0</v>
      </c>
      <c r="E1156" s="22">
        <f ca="1">IFERROR(__xludf.DUMMYFUNCTION("""COMPUTED_VALUE"""),500000)</f>
        <v>500000</v>
      </c>
      <c r="F1156" s="22">
        <f ca="1">IFERROR(__xludf.DUMMYFUNCTION("""COMPUTED_VALUE"""),500000)</f>
        <v>500000</v>
      </c>
      <c r="G1156" s="22">
        <f ca="1">IFERROR(__xludf.DUMMYFUNCTION("""COMPUTED_VALUE"""),0)</f>
        <v>0</v>
      </c>
      <c r="H1156" s="7">
        <f ca="1">IFERROR(__xludf.DUMMYFUNCTION("""COMPUTED_VALUE"""),500000)</f>
        <v>500000</v>
      </c>
    </row>
    <row r="1157" spans="1:8" ht="13" x14ac:dyDescent="0.15">
      <c r="A1157" s="5" t="str">
        <f ca="1">IFERROR(__xludf.DUMMYFUNCTION("""COMPUTED_VALUE"""),"38063")</f>
        <v>38063</v>
      </c>
      <c r="B1157" s="51">
        <f ca="1">IFERROR(__xludf.DUMMYFUNCTION("""COMPUTED_VALUE"""),44600)</f>
        <v>44600</v>
      </c>
      <c r="C1157" s="22">
        <f ca="1">IFERROR(__xludf.DUMMYFUNCTION("""COMPUTED_VALUE"""),500000)</f>
        <v>500000</v>
      </c>
      <c r="D1157" s="22">
        <f ca="1">IFERROR(__xludf.DUMMYFUNCTION("""COMPUTED_VALUE"""),0)</f>
        <v>0</v>
      </c>
      <c r="E1157" s="22">
        <f ca="1">IFERROR(__xludf.DUMMYFUNCTION("""COMPUTED_VALUE"""),500000)</f>
        <v>500000</v>
      </c>
      <c r="F1157" s="22">
        <f ca="1">IFERROR(__xludf.DUMMYFUNCTION("""COMPUTED_VALUE"""),500000)</f>
        <v>500000</v>
      </c>
      <c r="G1157" s="22">
        <f ca="1">IFERROR(__xludf.DUMMYFUNCTION("""COMPUTED_VALUE"""),0)</f>
        <v>0</v>
      </c>
      <c r="H1157" s="7">
        <f ca="1">IFERROR(__xludf.DUMMYFUNCTION("""COMPUTED_VALUE"""),500000)</f>
        <v>500000</v>
      </c>
    </row>
    <row r="1158" spans="1:8" ht="13" x14ac:dyDescent="0.15">
      <c r="A1158" s="5" t="str">
        <f ca="1">IFERROR(__xludf.DUMMYFUNCTION("""COMPUTED_VALUE"""),"38063")</f>
        <v>38063</v>
      </c>
      <c r="B1158" s="51">
        <f ca="1">IFERROR(__xludf.DUMMYFUNCTION("""COMPUTED_VALUE"""),44601)</f>
        <v>44601</v>
      </c>
      <c r="C1158" s="22">
        <f ca="1">IFERROR(__xludf.DUMMYFUNCTION("""COMPUTED_VALUE"""),500000)</f>
        <v>500000</v>
      </c>
      <c r="D1158" s="22">
        <f ca="1">IFERROR(__xludf.DUMMYFUNCTION("""COMPUTED_VALUE"""),0)</f>
        <v>0</v>
      </c>
      <c r="E1158" s="22">
        <f ca="1">IFERROR(__xludf.DUMMYFUNCTION("""COMPUTED_VALUE"""),500000)</f>
        <v>500000</v>
      </c>
      <c r="F1158" s="22">
        <f ca="1">IFERROR(__xludf.DUMMYFUNCTION("""COMPUTED_VALUE"""),500000)</f>
        <v>500000</v>
      </c>
      <c r="G1158" s="22">
        <f ca="1">IFERROR(__xludf.DUMMYFUNCTION("""COMPUTED_VALUE"""),0)</f>
        <v>0</v>
      </c>
      <c r="H1158" s="7">
        <f ca="1">IFERROR(__xludf.DUMMYFUNCTION("""COMPUTED_VALUE"""),500000)</f>
        <v>500000</v>
      </c>
    </row>
    <row r="1159" spans="1:8" ht="13" x14ac:dyDescent="0.15">
      <c r="A1159" s="5" t="str">
        <f ca="1">IFERROR(__xludf.DUMMYFUNCTION("""COMPUTED_VALUE"""),"38063")</f>
        <v>38063</v>
      </c>
      <c r="B1159" s="51">
        <f ca="1">IFERROR(__xludf.DUMMYFUNCTION("""COMPUTED_VALUE"""),44602)</f>
        <v>44602</v>
      </c>
      <c r="C1159" s="22">
        <f ca="1">IFERROR(__xludf.DUMMYFUNCTION("""COMPUTED_VALUE"""),500000)</f>
        <v>500000</v>
      </c>
      <c r="D1159" s="22">
        <f ca="1">IFERROR(__xludf.DUMMYFUNCTION("""COMPUTED_VALUE"""),0)</f>
        <v>0</v>
      </c>
      <c r="E1159" s="22">
        <f ca="1">IFERROR(__xludf.DUMMYFUNCTION("""COMPUTED_VALUE"""),500000)</f>
        <v>500000</v>
      </c>
      <c r="F1159" s="22">
        <f ca="1">IFERROR(__xludf.DUMMYFUNCTION("""COMPUTED_VALUE"""),500000)</f>
        <v>500000</v>
      </c>
      <c r="G1159" s="22">
        <f ca="1">IFERROR(__xludf.DUMMYFUNCTION("""COMPUTED_VALUE"""),0)</f>
        <v>0</v>
      </c>
      <c r="H1159" s="7">
        <f ca="1">IFERROR(__xludf.DUMMYFUNCTION("""COMPUTED_VALUE"""),500000)</f>
        <v>500000</v>
      </c>
    </row>
    <row r="1160" spans="1:8" ht="13" x14ac:dyDescent="0.15">
      <c r="A1160" s="5" t="str">
        <f ca="1">IFERROR(__xludf.DUMMYFUNCTION("""COMPUTED_VALUE"""),"38063")</f>
        <v>38063</v>
      </c>
      <c r="B1160" s="51">
        <f ca="1">IFERROR(__xludf.DUMMYFUNCTION("""COMPUTED_VALUE"""),44603)</f>
        <v>44603</v>
      </c>
      <c r="C1160" s="22">
        <f ca="1">IFERROR(__xludf.DUMMYFUNCTION("""COMPUTED_VALUE"""),500000)</f>
        <v>500000</v>
      </c>
      <c r="D1160" s="22">
        <f ca="1">IFERROR(__xludf.DUMMYFUNCTION("""COMPUTED_VALUE"""),0)</f>
        <v>0</v>
      </c>
      <c r="E1160" s="22">
        <f ca="1">IFERROR(__xludf.DUMMYFUNCTION("""COMPUTED_VALUE"""),500000)</f>
        <v>500000</v>
      </c>
      <c r="F1160" s="22">
        <f ca="1">IFERROR(__xludf.DUMMYFUNCTION("""COMPUTED_VALUE"""),500000)</f>
        <v>500000</v>
      </c>
      <c r="G1160" s="22">
        <f ca="1">IFERROR(__xludf.DUMMYFUNCTION("""COMPUTED_VALUE"""),0)</f>
        <v>0</v>
      </c>
      <c r="H1160" s="7">
        <f ca="1">IFERROR(__xludf.DUMMYFUNCTION("""COMPUTED_VALUE"""),500000)</f>
        <v>500000</v>
      </c>
    </row>
    <row r="1161" spans="1:8" ht="13" x14ac:dyDescent="0.15">
      <c r="A1161" s="5" t="str">
        <f ca="1">IFERROR(__xludf.DUMMYFUNCTION("""COMPUTED_VALUE"""),"38063")</f>
        <v>38063</v>
      </c>
      <c r="B1161" s="51">
        <f ca="1">IFERROR(__xludf.DUMMYFUNCTION("""COMPUTED_VALUE"""),44604)</f>
        <v>44604</v>
      </c>
      <c r="C1161" s="22">
        <f ca="1">IFERROR(__xludf.DUMMYFUNCTION("""COMPUTED_VALUE"""),500000)</f>
        <v>500000</v>
      </c>
      <c r="D1161" s="22">
        <f ca="1">IFERROR(__xludf.DUMMYFUNCTION("""COMPUTED_VALUE"""),0)</f>
        <v>0</v>
      </c>
      <c r="E1161" s="22">
        <f ca="1">IFERROR(__xludf.DUMMYFUNCTION("""COMPUTED_VALUE"""),500000)</f>
        <v>500000</v>
      </c>
      <c r="F1161" s="22">
        <f ca="1">IFERROR(__xludf.DUMMYFUNCTION("""COMPUTED_VALUE"""),500000)</f>
        <v>500000</v>
      </c>
      <c r="G1161" s="22">
        <f ca="1">IFERROR(__xludf.DUMMYFUNCTION("""COMPUTED_VALUE"""),0)</f>
        <v>0</v>
      </c>
      <c r="H1161" s="7">
        <f ca="1">IFERROR(__xludf.DUMMYFUNCTION("""COMPUTED_VALUE"""),500000)</f>
        <v>500000</v>
      </c>
    </row>
    <row r="1162" spans="1:8" ht="13" x14ac:dyDescent="0.15">
      <c r="A1162" s="5" t="str">
        <f ca="1">IFERROR(__xludf.DUMMYFUNCTION("""COMPUTED_VALUE"""),"38063")</f>
        <v>38063</v>
      </c>
      <c r="B1162" s="51">
        <f ca="1">IFERROR(__xludf.DUMMYFUNCTION("""COMPUTED_VALUE"""),44605)</f>
        <v>44605</v>
      </c>
      <c r="C1162" s="22">
        <f ca="1">IFERROR(__xludf.DUMMYFUNCTION("""COMPUTED_VALUE"""),500000)</f>
        <v>500000</v>
      </c>
      <c r="D1162" s="22">
        <f ca="1">IFERROR(__xludf.DUMMYFUNCTION("""COMPUTED_VALUE"""),0)</f>
        <v>0</v>
      </c>
      <c r="E1162" s="22">
        <f ca="1">IFERROR(__xludf.DUMMYFUNCTION("""COMPUTED_VALUE"""),500000)</f>
        <v>500000</v>
      </c>
      <c r="F1162" s="22">
        <f ca="1">IFERROR(__xludf.DUMMYFUNCTION("""COMPUTED_VALUE"""),500000)</f>
        <v>500000</v>
      </c>
      <c r="G1162" s="22">
        <f ca="1">IFERROR(__xludf.DUMMYFUNCTION("""COMPUTED_VALUE"""),0)</f>
        <v>0</v>
      </c>
      <c r="H1162" s="7">
        <f ca="1">IFERROR(__xludf.DUMMYFUNCTION("""COMPUTED_VALUE"""),500000)</f>
        <v>500000</v>
      </c>
    </row>
    <row r="1163" spans="1:8" ht="13" x14ac:dyDescent="0.15">
      <c r="A1163" s="5" t="str">
        <f ca="1">IFERROR(__xludf.DUMMYFUNCTION("""COMPUTED_VALUE"""),"38063")</f>
        <v>38063</v>
      </c>
      <c r="B1163" s="51">
        <f ca="1">IFERROR(__xludf.DUMMYFUNCTION("""COMPUTED_VALUE"""),44606)</f>
        <v>44606</v>
      </c>
      <c r="C1163" s="22">
        <f ca="1">IFERROR(__xludf.DUMMYFUNCTION("""COMPUTED_VALUE"""),500000)</f>
        <v>500000</v>
      </c>
      <c r="D1163" s="22">
        <f ca="1">IFERROR(__xludf.DUMMYFUNCTION("""COMPUTED_VALUE"""),0)</f>
        <v>0</v>
      </c>
      <c r="E1163" s="22">
        <f ca="1">IFERROR(__xludf.DUMMYFUNCTION("""COMPUTED_VALUE"""),500000)</f>
        <v>500000</v>
      </c>
      <c r="F1163" s="22">
        <f ca="1">IFERROR(__xludf.DUMMYFUNCTION("""COMPUTED_VALUE"""),500000)</f>
        <v>500000</v>
      </c>
      <c r="G1163" s="22">
        <f ca="1">IFERROR(__xludf.DUMMYFUNCTION("""COMPUTED_VALUE"""),0)</f>
        <v>0</v>
      </c>
      <c r="H1163" s="7">
        <f ca="1">IFERROR(__xludf.DUMMYFUNCTION("""COMPUTED_VALUE"""),500000)</f>
        <v>500000</v>
      </c>
    </row>
    <row r="1164" spans="1:8" ht="13" x14ac:dyDescent="0.15">
      <c r="A1164" s="5" t="str">
        <f ca="1">IFERROR(__xludf.DUMMYFUNCTION("""COMPUTED_VALUE"""),"38063")</f>
        <v>38063</v>
      </c>
      <c r="B1164" s="51">
        <f ca="1">IFERROR(__xludf.DUMMYFUNCTION("""COMPUTED_VALUE"""),44607)</f>
        <v>44607</v>
      </c>
      <c r="C1164" s="22">
        <f ca="1">IFERROR(__xludf.DUMMYFUNCTION("""COMPUTED_VALUE"""),500000)</f>
        <v>500000</v>
      </c>
      <c r="D1164" s="22">
        <f ca="1">IFERROR(__xludf.DUMMYFUNCTION("""COMPUTED_VALUE"""),0)</f>
        <v>0</v>
      </c>
      <c r="E1164" s="22">
        <f ca="1">IFERROR(__xludf.DUMMYFUNCTION("""COMPUTED_VALUE"""),500000)</f>
        <v>500000</v>
      </c>
      <c r="F1164" s="22">
        <f ca="1">IFERROR(__xludf.DUMMYFUNCTION("""COMPUTED_VALUE"""),500000)</f>
        <v>500000</v>
      </c>
      <c r="G1164" s="22">
        <f ca="1">IFERROR(__xludf.DUMMYFUNCTION("""COMPUTED_VALUE"""),0)</f>
        <v>0</v>
      </c>
      <c r="H1164" s="7">
        <f ca="1">IFERROR(__xludf.DUMMYFUNCTION("""COMPUTED_VALUE"""),500000)</f>
        <v>500000</v>
      </c>
    </row>
    <row r="1165" spans="1:8" ht="13" x14ac:dyDescent="0.15">
      <c r="A1165" s="5" t="str">
        <f ca="1">IFERROR(__xludf.DUMMYFUNCTION("""COMPUTED_VALUE"""),"38063")</f>
        <v>38063</v>
      </c>
      <c r="B1165" s="51">
        <f ca="1">IFERROR(__xludf.DUMMYFUNCTION("""COMPUTED_VALUE"""),44608)</f>
        <v>44608</v>
      </c>
      <c r="C1165" s="22">
        <f ca="1">IFERROR(__xludf.DUMMYFUNCTION("""COMPUTED_VALUE"""),500000)</f>
        <v>500000</v>
      </c>
      <c r="D1165" s="22">
        <f ca="1">IFERROR(__xludf.DUMMYFUNCTION("""COMPUTED_VALUE"""),0)</f>
        <v>0</v>
      </c>
      <c r="E1165" s="22">
        <f ca="1">IFERROR(__xludf.DUMMYFUNCTION("""COMPUTED_VALUE"""),500000)</f>
        <v>500000</v>
      </c>
      <c r="F1165" s="22">
        <f ca="1">IFERROR(__xludf.DUMMYFUNCTION("""COMPUTED_VALUE"""),500000)</f>
        <v>500000</v>
      </c>
      <c r="G1165" s="22">
        <f ca="1">IFERROR(__xludf.DUMMYFUNCTION("""COMPUTED_VALUE"""),0)</f>
        <v>0</v>
      </c>
      <c r="H1165" s="7">
        <f ca="1">IFERROR(__xludf.DUMMYFUNCTION("""COMPUTED_VALUE"""),500000)</f>
        <v>500000</v>
      </c>
    </row>
    <row r="1166" spans="1:8" ht="13" x14ac:dyDescent="0.15">
      <c r="A1166" s="5" t="str">
        <f ca="1">IFERROR(__xludf.DUMMYFUNCTION("""COMPUTED_VALUE"""),"38063")</f>
        <v>38063</v>
      </c>
      <c r="B1166" s="51">
        <f ca="1">IFERROR(__xludf.DUMMYFUNCTION("""COMPUTED_VALUE"""),44609)</f>
        <v>44609</v>
      </c>
      <c r="C1166" s="22">
        <f ca="1">IFERROR(__xludf.DUMMYFUNCTION("""COMPUTED_VALUE"""),500000)</f>
        <v>500000</v>
      </c>
      <c r="D1166" s="22">
        <f ca="1">IFERROR(__xludf.DUMMYFUNCTION("""COMPUTED_VALUE"""),0)</f>
        <v>0</v>
      </c>
      <c r="E1166" s="22">
        <f ca="1">IFERROR(__xludf.DUMMYFUNCTION("""COMPUTED_VALUE"""),500000)</f>
        <v>500000</v>
      </c>
      <c r="F1166" s="22">
        <f ca="1">IFERROR(__xludf.DUMMYFUNCTION("""COMPUTED_VALUE"""),500000)</f>
        <v>500000</v>
      </c>
      <c r="G1166" s="22">
        <f ca="1">IFERROR(__xludf.DUMMYFUNCTION("""COMPUTED_VALUE"""),0)</f>
        <v>0</v>
      </c>
      <c r="H1166" s="7">
        <f ca="1">IFERROR(__xludf.DUMMYFUNCTION("""COMPUTED_VALUE"""),500000)</f>
        <v>500000</v>
      </c>
    </row>
    <row r="1167" spans="1:8" ht="13" x14ac:dyDescent="0.15">
      <c r="A1167" s="5" t="str">
        <f ca="1">IFERROR(__xludf.DUMMYFUNCTION("""COMPUTED_VALUE"""),"38063")</f>
        <v>38063</v>
      </c>
      <c r="B1167" s="51">
        <f ca="1">IFERROR(__xludf.DUMMYFUNCTION("""COMPUTED_VALUE"""),44610)</f>
        <v>44610</v>
      </c>
      <c r="C1167" s="22">
        <f ca="1">IFERROR(__xludf.DUMMYFUNCTION("""COMPUTED_VALUE"""),500000)</f>
        <v>500000</v>
      </c>
      <c r="D1167" s="22">
        <f ca="1">IFERROR(__xludf.DUMMYFUNCTION("""COMPUTED_VALUE"""),0)</f>
        <v>0</v>
      </c>
      <c r="E1167" s="22">
        <f ca="1">IFERROR(__xludf.DUMMYFUNCTION("""COMPUTED_VALUE"""),500000)</f>
        <v>500000</v>
      </c>
      <c r="F1167" s="22">
        <f ca="1">IFERROR(__xludf.DUMMYFUNCTION("""COMPUTED_VALUE"""),500000)</f>
        <v>500000</v>
      </c>
      <c r="G1167" s="22">
        <f ca="1">IFERROR(__xludf.DUMMYFUNCTION("""COMPUTED_VALUE"""),0)</f>
        <v>0</v>
      </c>
      <c r="H1167" s="7">
        <f ca="1">IFERROR(__xludf.DUMMYFUNCTION("""COMPUTED_VALUE"""),500000)</f>
        <v>500000</v>
      </c>
    </row>
    <row r="1168" spans="1:8" ht="13" x14ac:dyDescent="0.15">
      <c r="A1168" s="5" t="str">
        <f ca="1">IFERROR(__xludf.DUMMYFUNCTION("""COMPUTED_VALUE"""),"38063")</f>
        <v>38063</v>
      </c>
      <c r="B1168" s="51">
        <f ca="1">IFERROR(__xludf.DUMMYFUNCTION("""COMPUTED_VALUE"""),44611)</f>
        <v>44611</v>
      </c>
      <c r="C1168" s="22">
        <f ca="1">IFERROR(__xludf.DUMMYFUNCTION("""COMPUTED_VALUE"""),500000)</f>
        <v>500000</v>
      </c>
      <c r="D1168" s="22">
        <f ca="1">IFERROR(__xludf.DUMMYFUNCTION("""COMPUTED_VALUE"""),0)</f>
        <v>0</v>
      </c>
      <c r="E1168" s="22">
        <f ca="1">IFERROR(__xludf.DUMMYFUNCTION("""COMPUTED_VALUE"""),500000)</f>
        <v>500000</v>
      </c>
      <c r="F1168" s="22">
        <f ca="1">IFERROR(__xludf.DUMMYFUNCTION("""COMPUTED_VALUE"""),500000)</f>
        <v>500000</v>
      </c>
      <c r="G1168" s="22">
        <f ca="1">IFERROR(__xludf.DUMMYFUNCTION("""COMPUTED_VALUE"""),0)</f>
        <v>0</v>
      </c>
      <c r="H1168" s="7">
        <f ca="1">IFERROR(__xludf.DUMMYFUNCTION("""COMPUTED_VALUE"""),500000)</f>
        <v>500000</v>
      </c>
    </row>
    <row r="1169" spans="1:8" ht="13" x14ac:dyDescent="0.15">
      <c r="A1169" s="5" t="str">
        <f ca="1">IFERROR(__xludf.DUMMYFUNCTION("""COMPUTED_VALUE"""),"38063")</f>
        <v>38063</v>
      </c>
      <c r="B1169" s="51">
        <f ca="1">IFERROR(__xludf.DUMMYFUNCTION("""COMPUTED_VALUE"""),44612)</f>
        <v>44612</v>
      </c>
      <c r="C1169" s="22">
        <f ca="1">IFERROR(__xludf.DUMMYFUNCTION("""COMPUTED_VALUE"""),500000)</f>
        <v>500000</v>
      </c>
      <c r="D1169" s="22">
        <f ca="1">IFERROR(__xludf.DUMMYFUNCTION("""COMPUTED_VALUE"""),0)</f>
        <v>0</v>
      </c>
      <c r="E1169" s="22">
        <f ca="1">IFERROR(__xludf.DUMMYFUNCTION("""COMPUTED_VALUE"""),500000)</f>
        <v>500000</v>
      </c>
      <c r="F1169" s="22">
        <f ca="1">IFERROR(__xludf.DUMMYFUNCTION("""COMPUTED_VALUE"""),500000)</f>
        <v>500000</v>
      </c>
      <c r="G1169" s="22">
        <f ca="1">IFERROR(__xludf.DUMMYFUNCTION("""COMPUTED_VALUE"""),0)</f>
        <v>0</v>
      </c>
      <c r="H1169" s="7">
        <f ca="1">IFERROR(__xludf.DUMMYFUNCTION("""COMPUTED_VALUE"""),500000)</f>
        <v>500000</v>
      </c>
    </row>
    <row r="1170" spans="1:8" ht="13" x14ac:dyDescent="0.15">
      <c r="A1170" s="5" t="str">
        <f ca="1">IFERROR(__xludf.DUMMYFUNCTION("""COMPUTED_VALUE"""),"38063")</f>
        <v>38063</v>
      </c>
      <c r="B1170" s="51">
        <f ca="1">IFERROR(__xludf.DUMMYFUNCTION("""COMPUTED_VALUE"""),44613)</f>
        <v>44613</v>
      </c>
      <c r="C1170" s="22">
        <f ca="1">IFERROR(__xludf.DUMMYFUNCTION("""COMPUTED_VALUE"""),500000)</f>
        <v>500000</v>
      </c>
      <c r="D1170" s="22">
        <f ca="1">IFERROR(__xludf.DUMMYFUNCTION("""COMPUTED_VALUE"""),0)</f>
        <v>0</v>
      </c>
      <c r="E1170" s="22">
        <f ca="1">IFERROR(__xludf.DUMMYFUNCTION("""COMPUTED_VALUE"""),500000)</f>
        <v>500000</v>
      </c>
      <c r="F1170" s="22">
        <f ca="1">IFERROR(__xludf.DUMMYFUNCTION("""COMPUTED_VALUE"""),500000)</f>
        <v>500000</v>
      </c>
      <c r="G1170" s="22">
        <f ca="1">IFERROR(__xludf.DUMMYFUNCTION("""COMPUTED_VALUE"""),0)</f>
        <v>0</v>
      </c>
      <c r="H1170" s="7">
        <f ca="1">IFERROR(__xludf.DUMMYFUNCTION("""COMPUTED_VALUE"""),500000)</f>
        <v>500000</v>
      </c>
    </row>
    <row r="1171" spans="1:8" ht="13" x14ac:dyDescent="0.15">
      <c r="A1171" s="5" t="str">
        <f ca="1">IFERROR(__xludf.DUMMYFUNCTION("""COMPUTED_VALUE"""),"38063")</f>
        <v>38063</v>
      </c>
      <c r="B1171" s="51">
        <f ca="1">IFERROR(__xludf.DUMMYFUNCTION("""COMPUTED_VALUE"""),44614)</f>
        <v>44614</v>
      </c>
      <c r="C1171" s="22">
        <f ca="1">IFERROR(__xludf.DUMMYFUNCTION("""COMPUTED_VALUE"""),500000)</f>
        <v>500000</v>
      </c>
      <c r="D1171" s="22">
        <f ca="1">IFERROR(__xludf.DUMMYFUNCTION("""COMPUTED_VALUE"""),0)</f>
        <v>0</v>
      </c>
      <c r="E1171" s="22">
        <f ca="1">IFERROR(__xludf.DUMMYFUNCTION("""COMPUTED_VALUE"""),500000)</f>
        <v>500000</v>
      </c>
      <c r="F1171" s="22">
        <f ca="1">IFERROR(__xludf.DUMMYFUNCTION("""COMPUTED_VALUE"""),500000)</f>
        <v>500000</v>
      </c>
      <c r="G1171" s="22">
        <f ca="1">IFERROR(__xludf.DUMMYFUNCTION("""COMPUTED_VALUE"""),0)</f>
        <v>0</v>
      </c>
      <c r="H1171" s="7">
        <f ca="1">IFERROR(__xludf.DUMMYFUNCTION("""COMPUTED_VALUE"""),500000)</f>
        <v>500000</v>
      </c>
    </row>
    <row r="1172" spans="1:8" ht="13" x14ac:dyDescent="0.15">
      <c r="A1172" s="5" t="str">
        <f ca="1">IFERROR(__xludf.DUMMYFUNCTION("""COMPUTED_VALUE"""),"38063")</f>
        <v>38063</v>
      </c>
      <c r="B1172" s="51">
        <f ca="1">IFERROR(__xludf.DUMMYFUNCTION("""COMPUTED_VALUE"""),44615)</f>
        <v>44615</v>
      </c>
      <c r="C1172" s="22">
        <f ca="1">IFERROR(__xludf.DUMMYFUNCTION("""COMPUTED_VALUE"""),500000)</f>
        <v>500000</v>
      </c>
      <c r="D1172" s="22">
        <f ca="1">IFERROR(__xludf.DUMMYFUNCTION("""COMPUTED_VALUE"""),0)</f>
        <v>0</v>
      </c>
      <c r="E1172" s="22">
        <f ca="1">IFERROR(__xludf.DUMMYFUNCTION("""COMPUTED_VALUE"""),500000)</f>
        <v>500000</v>
      </c>
      <c r="F1172" s="22">
        <f ca="1">IFERROR(__xludf.DUMMYFUNCTION("""COMPUTED_VALUE"""),500000)</f>
        <v>500000</v>
      </c>
      <c r="G1172" s="22">
        <f ca="1">IFERROR(__xludf.DUMMYFUNCTION("""COMPUTED_VALUE"""),0)</f>
        <v>0</v>
      </c>
      <c r="H1172" s="7">
        <f ca="1">IFERROR(__xludf.DUMMYFUNCTION("""COMPUTED_VALUE"""),500000)</f>
        <v>500000</v>
      </c>
    </row>
    <row r="1173" spans="1:8" ht="13" x14ac:dyDescent="0.15">
      <c r="A1173" s="5" t="str">
        <f ca="1">IFERROR(__xludf.DUMMYFUNCTION("""COMPUTED_VALUE"""),"38063")</f>
        <v>38063</v>
      </c>
      <c r="B1173" s="51">
        <f ca="1">IFERROR(__xludf.DUMMYFUNCTION("""COMPUTED_VALUE"""),44616)</f>
        <v>44616</v>
      </c>
      <c r="C1173" s="22">
        <f ca="1">IFERROR(__xludf.DUMMYFUNCTION("""COMPUTED_VALUE"""),500000)</f>
        <v>500000</v>
      </c>
      <c r="D1173" s="22">
        <f ca="1">IFERROR(__xludf.DUMMYFUNCTION("""COMPUTED_VALUE"""),0)</f>
        <v>0</v>
      </c>
      <c r="E1173" s="22">
        <f ca="1">IFERROR(__xludf.DUMMYFUNCTION("""COMPUTED_VALUE"""),500000)</f>
        <v>500000</v>
      </c>
      <c r="F1173" s="22">
        <f ca="1">IFERROR(__xludf.DUMMYFUNCTION("""COMPUTED_VALUE"""),500000)</f>
        <v>500000</v>
      </c>
      <c r="G1173" s="22">
        <f ca="1">IFERROR(__xludf.DUMMYFUNCTION("""COMPUTED_VALUE"""),0)</f>
        <v>0</v>
      </c>
      <c r="H1173" s="7">
        <f ca="1">IFERROR(__xludf.DUMMYFUNCTION("""COMPUTED_VALUE"""),500000)</f>
        <v>500000</v>
      </c>
    </row>
    <row r="1174" spans="1:8" ht="13" x14ac:dyDescent="0.15">
      <c r="A1174" s="5" t="str">
        <f ca="1">IFERROR(__xludf.DUMMYFUNCTION("""COMPUTED_VALUE"""),"38063")</f>
        <v>38063</v>
      </c>
      <c r="B1174" s="51">
        <f ca="1">IFERROR(__xludf.DUMMYFUNCTION("""COMPUTED_VALUE"""),44617)</f>
        <v>44617</v>
      </c>
      <c r="C1174" s="22">
        <f ca="1">IFERROR(__xludf.DUMMYFUNCTION("""COMPUTED_VALUE"""),500000)</f>
        <v>500000</v>
      </c>
      <c r="D1174" s="22">
        <f ca="1">IFERROR(__xludf.DUMMYFUNCTION("""COMPUTED_VALUE"""),0)</f>
        <v>0</v>
      </c>
      <c r="E1174" s="22">
        <f ca="1">IFERROR(__xludf.DUMMYFUNCTION("""COMPUTED_VALUE"""),500000)</f>
        <v>500000</v>
      </c>
      <c r="F1174" s="22">
        <f ca="1">IFERROR(__xludf.DUMMYFUNCTION("""COMPUTED_VALUE"""),500000)</f>
        <v>500000</v>
      </c>
      <c r="G1174" s="22">
        <f ca="1">IFERROR(__xludf.DUMMYFUNCTION("""COMPUTED_VALUE"""),0)</f>
        <v>0</v>
      </c>
      <c r="H1174" s="7">
        <f ca="1">IFERROR(__xludf.DUMMYFUNCTION("""COMPUTED_VALUE"""),500000)</f>
        <v>500000</v>
      </c>
    </row>
    <row r="1175" spans="1:8" ht="13" x14ac:dyDescent="0.15">
      <c r="A1175" s="5" t="str">
        <f ca="1">IFERROR(__xludf.DUMMYFUNCTION("""COMPUTED_VALUE"""),"38063")</f>
        <v>38063</v>
      </c>
      <c r="B1175" s="51">
        <f ca="1">IFERROR(__xludf.DUMMYFUNCTION("""COMPUTED_VALUE"""),44618)</f>
        <v>44618</v>
      </c>
      <c r="C1175" s="22">
        <f ca="1">IFERROR(__xludf.DUMMYFUNCTION("""COMPUTED_VALUE"""),500000)</f>
        <v>500000</v>
      </c>
      <c r="D1175" s="22">
        <f ca="1">IFERROR(__xludf.DUMMYFUNCTION("""COMPUTED_VALUE"""),0)</f>
        <v>0</v>
      </c>
      <c r="E1175" s="22">
        <f ca="1">IFERROR(__xludf.DUMMYFUNCTION("""COMPUTED_VALUE"""),500000)</f>
        <v>500000</v>
      </c>
      <c r="F1175" s="22">
        <f ca="1">IFERROR(__xludf.DUMMYFUNCTION("""COMPUTED_VALUE"""),500000)</f>
        <v>500000</v>
      </c>
      <c r="G1175" s="22">
        <f ca="1">IFERROR(__xludf.DUMMYFUNCTION("""COMPUTED_VALUE"""),0)</f>
        <v>0</v>
      </c>
      <c r="H1175" s="7">
        <f ca="1">IFERROR(__xludf.DUMMYFUNCTION("""COMPUTED_VALUE"""),500000)</f>
        <v>500000</v>
      </c>
    </row>
    <row r="1176" spans="1:8" ht="13" x14ac:dyDescent="0.15">
      <c r="A1176" s="5" t="str">
        <f ca="1">IFERROR(__xludf.DUMMYFUNCTION("""COMPUTED_VALUE"""),"38063")</f>
        <v>38063</v>
      </c>
      <c r="B1176" s="51">
        <f ca="1">IFERROR(__xludf.DUMMYFUNCTION("""COMPUTED_VALUE"""),44619)</f>
        <v>44619</v>
      </c>
      <c r="C1176" s="22">
        <f ca="1">IFERROR(__xludf.DUMMYFUNCTION("""COMPUTED_VALUE"""),500000)</f>
        <v>500000</v>
      </c>
      <c r="D1176" s="22">
        <f ca="1">IFERROR(__xludf.DUMMYFUNCTION("""COMPUTED_VALUE"""),0)</f>
        <v>0</v>
      </c>
      <c r="E1176" s="22">
        <f ca="1">IFERROR(__xludf.DUMMYFUNCTION("""COMPUTED_VALUE"""),500000)</f>
        <v>500000</v>
      </c>
      <c r="F1176" s="22">
        <f ca="1">IFERROR(__xludf.DUMMYFUNCTION("""COMPUTED_VALUE"""),500000)</f>
        <v>500000</v>
      </c>
      <c r="G1176" s="22">
        <f ca="1">IFERROR(__xludf.DUMMYFUNCTION("""COMPUTED_VALUE"""),0)</f>
        <v>0</v>
      </c>
      <c r="H1176" s="7">
        <f ca="1">IFERROR(__xludf.DUMMYFUNCTION("""COMPUTED_VALUE"""),500000)</f>
        <v>500000</v>
      </c>
    </row>
    <row r="1177" spans="1:8" ht="13" x14ac:dyDescent="0.15">
      <c r="A1177" s="5" t="str">
        <f ca="1">IFERROR(__xludf.DUMMYFUNCTION("""COMPUTED_VALUE"""),"38063")</f>
        <v>38063</v>
      </c>
      <c r="B1177" s="51">
        <f ca="1">IFERROR(__xludf.DUMMYFUNCTION("""COMPUTED_VALUE"""),44620)</f>
        <v>44620</v>
      </c>
      <c r="C1177" s="22">
        <f ca="1">IFERROR(__xludf.DUMMYFUNCTION("""COMPUTED_VALUE"""),500000)</f>
        <v>500000</v>
      </c>
      <c r="D1177" s="22">
        <f ca="1">IFERROR(__xludf.DUMMYFUNCTION("""COMPUTED_VALUE"""),0)</f>
        <v>0</v>
      </c>
      <c r="E1177" s="22">
        <f ca="1">IFERROR(__xludf.DUMMYFUNCTION("""COMPUTED_VALUE"""),500000)</f>
        <v>500000</v>
      </c>
      <c r="F1177" s="22">
        <f ca="1">IFERROR(__xludf.DUMMYFUNCTION("""COMPUTED_VALUE"""),500000)</f>
        <v>500000</v>
      </c>
      <c r="G1177" s="22">
        <f ca="1">IFERROR(__xludf.DUMMYFUNCTION("""COMPUTED_VALUE"""),0)</f>
        <v>0</v>
      </c>
      <c r="H1177" s="7">
        <f ca="1">IFERROR(__xludf.DUMMYFUNCTION("""COMPUTED_VALUE"""),500000)</f>
        <v>500000</v>
      </c>
    </row>
    <row r="1178" spans="1:8" ht="13" x14ac:dyDescent="0.15">
      <c r="A1178" s="5" t="str">
        <f ca="1">IFERROR(__xludf.DUMMYFUNCTION("""COMPUTED_VALUE"""),"38063")</f>
        <v>38063</v>
      </c>
      <c r="B1178" s="51">
        <f ca="1">IFERROR(__xludf.DUMMYFUNCTION("""COMPUTED_VALUE"""),44621)</f>
        <v>44621</v>
      </c>
      <c r="C1178" s="22">
        <f ca="1">IFERROR(__xludf.DUMMYFUNCTION("""COMPUTED_VALUE"""),500000)</f>
        <v>500000</v>
      </c>
      <c r="D1178" s="22">
        <f ca="1">IFERROR(__xludf.DUMMYFUNCTION("""COMPUTED_VALUE"""),0)</f>
        <v>0</v>
      </c>
      <c r="E1178" s="22">
        <f ca="1">IFERROR(__xludf.DUMMYFUNCTION("""COMPUTED_VALUE"""),500000)</f>
        <v>500000</v>
      </c>
      <c r="F1178" s="22">
        <f ca="1">IFERROR(__xludf.DUMMYFUNCTION("""COMPUTED_VALUE"""),500000)</f>
        <v>500000</v>
      </c>
      <c r="G1178" s="22">
        <f ca="1">IFERROR(__xludf.DUMMYFUNCTION("""COMPUTED_VALUE"""),0)</f>
        <v>0</v>
      </c>
      <c r="H1178" s="7">
        <f ca="1">IFERROR(__xludf.DUMMYFUNCTION("""COMPUTED_VALUE"""),500000)</f>
        <v>500000</v>
      </c>
    </row>
    <row r="1179" spans="1:8" ht="13" x14ac:dyDescent="0.15">
      <c r="A1179" s="5" t="str">
        <f ca="1">IFERROR(__xludf.DUMMYFUNCTION("""COMPUTED_VALUE"""),"38063")</f>
        <v>38063</v>
      </c>
      <c r="B1179" s="51">
        <f ca="1">IFERROR(__xludf.DUMMYFUNCTION("""COMPUTED_VALUE"""),44622)</f>
        <v>44622</v>
      </c>
      <c r="C1179" s="22">
        <f ca="1">IFERROR(__xludf.DUMMYFUNCTION("""COMPUTED_VALUE"""),500000)</f>
        <v>500000</v>
      </c>
      <c r="D1179" s="22">
        <f ca="1">IFERROR(__xludf.DUMMYFUNCTION("""COMPUTED_VALUE"""),0)</f>
        <v>0</v>
      </c>
      <c r="E1179" s="22">
        <f ca="1">IFERROR(__xludf.DUMMYFUNCTION("""COMPUTED_VALUE"""),500000)</f>
        <v>500000</v>
      </c>
      <c r="F1179" s="22">
        <f ca="1">IFERROR(__xludf.DUMMYFUNCTION("""COMPUTED_VALUE"""),500000)</f>
        <v>500000</v>
      </c>
      <c r="G1179" s="22">
        <f ca="1">IFERROR(__xludf.DUMMYFUNCTION("""COMPUTED_VALUE"""),0)</f>
        <v>0</v>
      </c>
      <c r="H1179" s="7">
        <f ca="1">IFERROR(__xludf.DUMMYFUNCTION("""COMPUTED_VALUE"""),500000)</f>
        <v>500000</v>
      </c>
    </row>
    <row r="1180" spans="1:8" ht="13" x14ac:dyDescent="0.15">
      <c r="A1180" s="5" t="str">
        <f ca="1">IFERROR(__xludf.DUMMYFUNCTION("""COMPUTED_VALUE"""),"38063")</f>
        <v>38063</v>
      </c>
      <c r="B1180" s="51">
        <f ca="1">IFERROR(__xludf.DUMMYFUNCTION("""COMPUTED_VALUE"""),44623)</f>
        <v>44623</v>
      </c>
      <c r="C1180" s="22">
        <f ca="1">IFERROR(__xludf.DUMMYFUNCTION("""COMPUTED_VALUE"""),500000)</f>
        <v>500000</v>
      </c>
      <c r="D1180" s="22">
        <f ca="1">IFERROR(__xludf.DUMMYFUNCTION("""COMPUTED_VALUE"""),0)</f>
        <v>0</v>
      </c>
      <c r="E1180" s="22">
        <f ca="1">IFERROR(__xludf.DUMMYFUNCTION("""COMPUTED_VALUE"""),500000)</f>
        <v>500000</v>
      </c>
      <c r="F1180" s="22">
        <f ca="1">IFERROR(__xludf.DUMMYFUNCTION("""COMPUTED_VALUE"""),500000)</f>
        <v>500000</v>
      </c>
      <c r="G1180" s="22">
        <f ca="1">IFERROR(__xludf.DUMMYFUNCTION("""COMPUTED_VALUE"""),0)</f>
        <v>0</v>
      </c>
      <c r="H1180" s="7">
        <f ca="1">IFERROR(__xludf.DUMMYFUNCTION("""COMPUTED_VALUE"""),500000)</f>
        <v>500000</v>
      </c>
    </row>
    <row r="1181" spans="1:8" ht="13" x14ac:dyDescent="0.15">
      <c r="A1181" s="5" t="str">
        <f ca="1">IFERROR(__xludf.DUMMYFUNCTION("""COMPUTED_VALUE"""),"38063")</f>
        <v>38063</v>
      </c>
      <c r="B1181" s="51">
        <f ca="1">IFERROR(__xludf.DUMMYFUNCTION("""COMPUTED_VALUE"""),44624)</f>
        <v>44624</v>
      </c>
      <c r="C1181" s="22">
        <f ca="1">IFERROR(__xludf.DUMMYFUNCTION("""COMPUTED_VALUE"""),500000)</f>
        <v>500000</v>
      </c>
      <c r="D1181" s="22">
        <f ca="1">IFERROR(__xludf.DUMMYFUNCTION("""COMPUTED_VALUE"""),0)</f>
        <v>0</v>
      </c>
      <c r="E1181" s="22">
        <f ca="1">IFERROR(__xludf.DUMMYFUNCTION("""COMPUTED_VALUE"""),500000)</f>
        <v>500000</v>
      </c>
      <c r="F1181" s="22">
        <f ca="1">IFERROR(__xludf.DUMMYFUNCTION("""COMPUTED_VALUE"""),500000)</f>
        <v>500000</v>
      </c>
      <c r="G1181" s="22">
        <f ca="1">IFERROR(__xludf.DUMMYFUNCTION("""COMPUTED_VALUE"""),0)</f>
        <v>0</v>
      </c>
      <c r="H1181" s="7">
        <f ca="1">IFERROR(__xludf.DUMMYFUNCTION("""COMPUTED_VALUE"""),500000)</f>
        <v>500000</v>
      </c>
    </row>
    <row r="1182" spans="1:8" ht="13" x14ac:dyDescent="0.15">
      <c r="A1182" s="5" t="str">
        <f ca="1">IFERROR(__xludf.DUMMYFUNCTION("""COMPUTED_VALUE"""),"38063")</f>
        <v>38063</v>
      </c>
      <c r="B1182" s="51">
        <f ca="1">IFERROR(__xludf.DUMMYFUNCTION("""COMPUTED_VALUE"""),44625)</f>
        <v>44625</v>
      </c>
      <c r="C1182" s="22">
        <f ca="1">IFERROR(__xludf.DUMMYFUNCTION("""COMPUTED_VALUE"""),500000)</f>
        <v>500000</v>
      </c>
      <c r="D1182" s="22">
        <f ca="1">IFERROR(__xludf.DUMMYFUNCTION("""COMPUTED_VALUE"""),0)</f>
        <v>0</v>
      </c>
      <c r="E1182" s="22">
        <f ca="1">IFERROR(__xludf.DUMMYFUNCTION("""COMPUTED_VALUE"""),500000)</f>
        <v>500000</v>
      </c>
      <c r="F1182" s="22">
        <f ca="1">IFERROR(__xludf.DUMMYFUNCTION("""COMPUTED_VALUE"""),500000)</f>
        <v>500000</v>
      </c>
      <c r="G1182" s="22">
        <f ca="1">IFERROR(__xludf.DUMMYFUNCTION("""COMPUTED_VALUE"""),0)</f>
        <v>0</v>
      </c>
      <c r="H1182" s="7">
        <f ca="1">IFERROR(__xludf.DUMMYFUNCTION("""COMPUTED_VALUE"""),500000)</f>
        <v>500000</v>
      </c>
    </row>
    <row r="1183" spans="1:8" ht="13" x14ac:dyDescent="0.15">
      <c r="A1183" s="5" t="str">
        <f ca="1">IFERROR(__xludf.DUMMYFUNCTION("""COMPUTED_VALUE"""),"38063")</f>
        <v>38063</v>
      </c>
      <c r="B1183" s="51">
        <f ca="1">IFERROR(__xludf.DUMMYFUNCTION("""COMPUTED_VALUE"""),44626)</f>
        <v>44626</v>
      </c>
      <c r="C1183" s="22">
        <f ca="1">IFERROR(__xludf.DUMMYFUNCTION("""COMPUTED_VALUE"""),500000)</f>
        <v>500000</v>
      </c>
      <c r="D1183" s="22">
        <f ca="1">IFERROR(__xludf.DUMMYFUNCTION("""COMPUTED_VALUE"""),0)</f>
        <v>0</v>
      </c>
      <c r="E1183" s="22">
        <f ca="1">IFERROR(__xludf.DUMMYFUNCTION("""COMPUTED_VALUE"""),500000)</f>
        <v>500000</v>
      </c>
      <c r="F1183" s="22">
        <f ca="1">IFERROR(__xludf.DUMMYFUNCTION("""COMPUTED_VALUE"""),500000)</f>
        <v>500000</v>
      </c>
      <c r="G1183" s="22">
        <f ca="1">IFERROR(__xludf.DUMMYFUNCTION("""COMPUTED_VALUE"""),0)</f>
        <v>0</v>
      </c>
      <c r="H1183" s="7">
        <f ca="1">IFERROR(__xludf.DUMMYFUNCTION("""COMPUTED_VALUE"""),500000)</f>
        <v>500000</v>
      </c>
    </row>
    <row r="1184" spans="1:8" ht="13" x14ac:dyDescent="0.15">
      <c r="A1184" s="5" t="str">
        <f ca="1">IFERROR(__xludf.DUMMYFUNCTION("""COMPUTED_VALUE"""),"38063")</f>
        <v>38063</v>
      </c>
      <c r="B1184" s="51">
        <f ca="1">IFERROR(__xludf.DUMMYFUNCTION("""COMPUTED_VALUE"""),44627)</f>
        <v>44627</v>
      </c>
      <c r="C1184" s="22">
        <f ca="1">IFERROR(__xludf.DUMMYFUNCTION("""COMPUTED_VALUE"""),500000)</f>
        <v>500000</v>
      </c>
      <c r="D1184" s="22">
        <f ca="1">IFERROR(__xludf.DUMMYFUNCTION("""COMPUTED_VALUE"""),0)</f>
        <v>0</v>
      </c>
      <c r="E1184" s="22">
        <f ca="1">IFERROR(__xludf.DUMMYFUNCTION("""COMPUTED_VALUE"""),500000)</f>
        <v>500000</v>
      </c>
      <c r="F1184" s="22">
        <f ca="1">IFERROR(__xludf.DUMMYFUNCTION("""COMPUTED_VALUE"""),500000)</f>
        <v>500000</v>
      </c>
      <c r="G1184" s="22">
        <f ca="1">IFERROR(__xludf.DUMMYFUNCTION("""COMPUTED_VALUE"""),0)</f>
        <v>0</v>
      </c>
      <c r="H1184" s="7">
        <f ca="1">IFERROR(__xludf.DUMMYFUNCTION("""COMPUTED_VALUE"""),500000)</f>
        <v>500000</v>
      </c>
    </row>
    <row r="1185" spans="1:8" ht="13" x14ac:dyDescent="0.15">
      <c r="A1185" s="5" t="str">
        <f ca="1">IFERROR(__xludf.DUMMYFUNCTION("""COMPUTED_VALUE"""),"38063")</f>
        <v>38063</v>
      </c>
      <c r="B1185" s="51">
        <f ca="1">IFERROR(__xludf.DUMMYFUNCTION("""COMPUTED_VALUE"""),44628)</f>
        <v>44628</v>
      </c>
      <c r="C1185" s="22">
        <f ca="1">IFERROR(__xludf.DUMMYFUNCTION("""COMPUTED_VALUE"""),500000)</f>
        <v>500000</v>
      </c>
      <c r="D1185" s="22">
        <f ca="1">IFERROR(__xludf.DUMMYFUNCTION("""COMPUTED_VALUE"""),0)</f>
        <v>0</v>
      </c>
      <c r="E1185" s="22">
        <f ca="1">IFERROR(__xludf.DUMMYFUNCTION("""COMPUTED_VALUE"""),500000)</f>
        <v>500000</v>
      </c>
      <c r="F1185" s="22">
        <f ca="1">IFERROR(__xludf.DUMMYFUNCTION("""COMPUTED_VALUE"""),500000)</f>
        <v>500000</v>
      </c>
      <c r="G1185" s="22">
        <f ca="1">IFERROR(__xludf.DUMMYFUNCTION("""COMPUTED_VALUE"""),0)</f>
        <v>0</v>
      </c>
      <c r="H1185" s="7">
        <f ca="1">IFERROR(__xludf.DUMMYFUNCTION("""COMPUTED_VALUE"""),500000)</f>
        <v>500000</v>
      </c>
    </row>
    <row r="1186" spans="1:8" ht="13" x14ac:dyDescent="0.15">
      <c r="A1186" s="5" t="str">
        <f ca="1">IFERROR(__xludf.DUMMYFUNCTION("""COMPUTED_VALUE"""),"38063")</f>
        <v>38063</v>
      </c>
      <c r="B1186" s="51">
        <f ca="1">IFERROR(__xludf.DUMMYFUNCTION("""COMPUTED_VALUE"""),44629)</f>
        <v>44629</v>
      </c>
      <c r="C1186" s="22">
        <f ca="1">IFERROR(__xludf.DUMMYFUNCTION("""COMPUTED_VALUE"""),500000)</f>
        <v>500000</v>
      </c>
      <c r="D1186" s="22">
        <f ca="1">IFERROR(__xludf.DUMMYFUNCTION("""COMPUTED_VALUE"""),0)</f>
        <v>0</v>
      </c>
      <c r="E1186" s="22">
        <f ca="1">IFERROR(__xludf.DUMMYFUNCTION("""COMPUTED_VALUE"""),500000)</f>
        <v>500000</v>
      </c>
      <c r="F1186" s="22">
        <f ca="1">IFERROR(__xludf.DUMMYFUNCTION("""COMPUTED_VALUE"""),500000)</f>
        <v>500000</v>
      </c>
      <c r="G1186" s="22">
        <f ca="1">IFERROR(__xludf.DUMMYFUNCTION("""COMPUTED_VALUE"""),0)</f>
        <v>0</v>
      </c>
      <c r="H1186" s="7">
        <f ca="1">IFERROR(__xludf.DUMMYFUNCTION("""COMPUTED_VALUE"""),500000)</f>
        <v>500000</v>
      </c>
    </row>
    <row r="1187" spans="1:8" ht="13" x14ac:dyDescent="0.15">
      <c r="A1187" s="5" t="str">
        <f ca="1">IFERROR(__xludf.DUMMYFUNCTION("""COMPUTED_VALUE"""),"38063")</f>
        <v>38063</v>
      </c>
      <c r="B1187" s="51">
        <f ca="1">IFERROR(__xludf.DUMMYFUNCTION("""COMPUTED_VALUE"""),44630)</f>
        <v>44630</v>
      </c>
      <c r="C1187" s="22">
        <f ca="1">IFERROR(__xludf.DUMMYFUNCTION("""COMPUTED_VALUE"""),500000)</f>
        <v>500000</v>
      </c>
      <c r="D1187" s="22">
        <f ca="1">IFERROR(__xludf.DUMMYFUNCTION("""COMPUTED_VALUE"""),0)</f>
        <v>0</v>
      </c>
      <c r="E1187" s="22">
        <f ca="1">IFERROR(__xludf.DUMMYFUNCTION("""COMPUTED_VALUE"""),500000)</f>
        <v>500000</v>
      </c>
      <c r="F1187" s="22">
        <f ca="1">IFERROR(__xludf.DUMMYFUNCTION("""COMPUTED_VALUE"""),500000)</f>
        <v>500000</v>
      </c>
      <c r="G1187" s="22">
        <f ca="1">IFERROR(__xludf.DUMMYFUNCTION("""COMPUTED_VALUE"""),0)</f>
        <v>0</v>
      </c>
      <c r="H1187" s="7">
        <f ca="1">IFERROR(__xludf.DUMMYFUNCTION("""COMPUTED_VALUE"""),500000)</f>
        <v>500000</v>
      </c>
    </row>
    <row r="1188" spans="1:8" ht="13" x14ac:dyDescent="0.15">
      <c r="A1188" s="5" t="str">
        <f ca="1">IFERROR(__xludf.DUMMYFUNCTION("""COMPUTED_VALUE"""),"38063")</f>
        <v>38063</v>
      </c>
      <c r="B1188" s="51">
        <f ca="1">IFERROR(__xludf.DUMMYFUNCTION("""COMPUTED_VALUE"""),44631)</f>
        <v>44631</v>
      </c>
      <c r="C1188" s="22">
        <f ca="1">IFERROR(__xludf.DUMMYFUNCTION("""COMPUTED_VALUE"""),500000)</f>
        <v>500000</v>
      </c>
      <c r="D1188" s="22">
        <f ca="1">IFERROR(__xludf.DUMMYFUNCTION("""COMPUTED_VALUE"""),0)</f>
        <v>0</v>
      </c>
      <c r="E1188" s="22">
        <f ca="1">IFERROR(__xludf.DUMMYFUNCTION("""COMPUTED_VALUE"""),500000)</f>
        <v>500000</v>
      </c>
      <c r="F1188" s="22">
        <f ca="1">IFERROR(__xludf.DUMMYFUNCTION("""COMPUTED_VALUE"""),500000)</f>
        <v>500000</v>
      </c>
      <c r="G1188" s="22">
        <f ca="1">IFERROR(__xludf.DUMMYFUNCTION("""COMPUTED_VALUE"""),0)</f>
        <v>0</v>
      </c>
      <c r="H1188" s="7">
        <f ca="1">IFERROR(__xludf.DUMMYFUNCTION("""COMPUTED_VALUE"""),500000)</f>
        <v>500000</v>
      </c>
    </row>
    <row r="1189" spans="1:8" ht="13" x14ac:dyDescent="0.15">
      <c r="A1189" s="5" t="str">
        <f ca="1">IFERROR(__xludf.DUMMYFUNCTION("""COMPUTED_VALUE"""),"38063")</f>
        <v>38063</v>
      </c>
      <c r="B1189" s="51">
        <f ca="1">IFERROR(__xludf.DUMMYFUNCTION("""COMPUTED_VALUE"""),44632)</f>
        <v>44632</v>
      </c>
      <c r="C1189" s="22">
        <f ca="1">IFERROR(__xludf.DUMMYFUNCTION("""COMPUTED_VALUE"""),500000)</f>
        <v>500000</v>
      </c>
      <c r="D1189" s="22">
        <f ca="1">IFERROR(__xludf.DUMMYFUNCTION("""COMPUTED_VALUE"""),0)</f>
        <v>0</v>
      </c>
      <c r="E1189" s="22">
        <f ca="1">IFERROR(__xludf.DUMMYFUNCTION("""COMPUTED_VALUE"""),500000)</f>
        <v>500000</v>
      </c>
      <c r="F1189" s="22">
        <f ca="1">IFERROR(__xludf.DUMMYFUNCTION("""COMPUTED_VALUE"""),500000)</f>
        <v>500000</v>
      </c>
      <c r="G1189" s="22">
        <f ca="1">IFERROR(__xludf.DUMMYFUNCTION("""COMPUTED_VALUE"""),0)</f>
        <v>0</v>
      </c>
      <c r="H1189" s="7">
        <f ca="1">IFERROR(__xludf.DUMMYFUNCTION("""COMPUTED_VALUE"""),500000)</f>
        <v>500000</v>
      </c>
    </row>
    <row r="1190" spans="1:8" ht="13" x14ac:dyDescent="0.15">
      <c r="A1190" s="5" t="str">
        <f ca="1">IFERROR(__xludf.DUMMYFUNCTION("""COMPUTED_VALUE"""),"38063")</f>
        <v>38063</v>
      </c>
      <c r="B1190" s="51">
        <f ca="1">IFERROR(__xludf.DUMMYFUNCTION("""COMPUTED_VALUE"""),44633)</f>
        <v>44633</v>
      </c>
      <c r="C1190" s="22">
        <f ca="1">IFERROR(__xludf.DUMMYFUNCTION("""COMPUTED_VALUE"""),500000)</f>
        <v>500000</v>
      </c>
      <c r="D1190" s="22">
        <f ca="1">IFERROR(__xludf.DUMMYFUNCTION("""COMPUTED_VALUE"""),0)</f>
        <v>0</v>
      </c>
      <c r="E1190" s="22">
        <f ca="1">IFERROR(__xludf.DUMMYFUNCTION("""COMPUTED_VALUE"""),500000)</f>
        <v>500000</v>
      </c>
      <c r="F1190" s="22">
        <f ca="1">IFERROR(__xludf.DUMMYFUNCTION("""COMPUTED_VALUE"""),500000)</f>
        <v>500000</v>
      </c>
      <c r="G1190" s="22">
        <f ca="1">IFERROR(__xludf.DUMMYFUNCTION("""COMPUTED_VALUE"""),0)</f>
        <v>0</v>
      </c>
      <c r="H1190" s="7">
        <f ca="1">IFERROR(__xludf.DUMMYFUNCTION("""COMPUTED_VALUE"""),500000)</f>
        <v>500000</v>
      </c>
    </row>
    <row r="1191" spans="1:8" ht="13" x14ac:dyDescent="0.15">
      <c r="A1191" s="5" t="str">
        <f ca="1">IFERROR(__xludf.DUMMYFUNCTION("""COMPUTED_VALUE"""),"38063")</f>
        <v>38063</v>
      </c>
      <c r="B1191" s="51">
        <f ca="1">IFERROR(__xludf.DUMMYFUNCTION("""COMPUTED_VALUE"""),44634)</f>
        <v>44634</v>
      </c>
      <c r="C1191" s="22">
        <f ca="1">IFERROR(__xludf.DUMMYFUNCTION("""COMPUTED_VALUE"""),500000)</f>
        <v>500000</v>
      </c>
      <c r="D1191" s="22">
        <f ca="1">IFERROR(__xludf.DUMMYFUNCTION("""COMPUTED_VALUE"""),0)</f>
        <v>0</v>
      </c>
      <c r="E1191" s="22">
        <f ca="1">IFERROR(__xludf.DUMMYFUNCTION("""COMPUTED_VALUE"""),500000)</f>
        <v>500000</v>
      </c>
      <c r="F1191" s="22">
        <f ca="1">IFERROR(__xludf.DUMMYFUNCTION("""COMPUTED_VALUE"""),500000)</f>
        <v>500000</v>
      </c>
      <c r="G1191" s="22">
        <f ca="1">IFERROR(__xludf.DUMMYFUNCTION("""COMPUTED_VALUE"""),0)</f>
        <v>0</v>
      </c>
      <c r="H1191" s="7">
        <f ca="1">IFERROR(__xludf.DUMMYFUNCTION("""COMPUTED_VALUE"""),500000)</f>
        <v>500000</v>
      </c>
    </row>
    <row r="1192" spans="1:8" ht="13" x14ac:dyDescent="0.15">
      <c r="A1192" s="5" t="str">
        <f ca="1">IFERROR(__xludf.DUMMYFUNCTION("""COMPUTED_VALUE"""),"38063")</f>
        <v>38063</v>
      </c>
      <c r="B1192" s="51">
        <f ca="1">IFERROR(__xludf.DUMMYFUNCTION("""COMPUTED_VALUE"""),44635)</f>
        <v>44635</v>
      </c>
      <c r="C1192" s="22">
        <f ca="1">IFERROR(__xludf.DUMMYFUNCTION("""COMPUTED_VALUE"""),500000)</f>
        <v>500000</v>
      </c>
      <c r="D1192" s="22">
        <f ca="1">IFERROR(__xludf.DUMMYFUNCTION("""COMPUTED_VALUE"""),0)</f>
        <v>0</v>
      </c>
      <c r="E1192" s="22">
        <f ca="1">IFERROR(__xludf.DUMMYFUNCTION("""COMPUTED_VALUE"""),500000)</f>
        <v>500000</v>
      </c>
      <c r="F1192" s="22">
        <f ca="1">IFERROR(__xludf.DUMMYFUNCTION("""COMPUTED_VALUE"""),500000)</f>
        <v>500000</v>
      </c>
      <c r="G1192" s="22">
        <f ca="1">IFERROR(__xludf.DUMMYFUNCTION("""COMPUTED_VALUE"""),0)</f>
        <v>0</v>
      </c>
      <c r="H1192" s="7">
        <f ca="1">IFERROR(__xludf.DUMMYFUNCTION("""COMPUTED_VALUE"""),500000)</f>
        <v>500000</v>
      </c>
    </row>
    <row r="1193" spans="1:8" ht="13" x14ac:dyDescent="0.15">
      <c r="A1193" s="5" t="str">
        <f ca="1">IFERROR(__xludf.DUMMYFUNCTION("""COMPUTED_VALUE"""),"38063")</f>
        <v>38063</v>
      </c>
      <c r="B1193" s="51">
        <f ca="1">IFERROR(__xludf.DUMMYFUNCTION("""COMPUTED_VALUE"""),44636)</f>
        <v>44636</v>
      </c>
      <c r="C1193" s="22">
        <f ca="1">IFERROR(__xludf.DUMMYFUNCTION("""COMPUTED_VALUE"""),500000)</f>
        <v>500000</v>
      </c>
      <c r="D1193" s="22">
        <f ca="1">IFERROR(__xludf.DUMMYFUNCTION("""COMPUTED_VALUE"""),0)</f>
        <v>0</v>
      </c>
      <c r="E1193" s="22">
        <f ca="1">IFERROR(__xludf.DUMMYFUNCTION("""COMPUTED_VALUE"""),500000)</f>
        <v>500000</v>
      </c>
      <c r="F1193" s="22">
        <f ca="1">IFERROR(__xludf.DUMMYFUNCTION("""COMPUTED_VALUE"""),500000)</f>
        <v>500000</v>
      </c>
      <c r="G1193" s="22">
        <f ca="1">IFERROR(__xludf.DUMMYFUNCTION("""COMPUTED_VALUE"""),0)</f>
        <v>0</v>
      </c>
      <c r="H1193" s="7">
        <f ca="1">IFERROR(__xludf.DUMMYFUNCTION("""COMPUTED_VALUE"""),500000)</f>
        <v>500000</v>
      </c>
    </row>
    <row r="1194" spans="1:8" ht="13" x14ac:dyDescent="0.15">
      <c r="A1194" s="5" t="str">
        <f ca="1">IFERROR(__xludf.DUMMYFUNCTION("""COMPUTED_VALUE"""),"38063")</f>
        <v>38063</v>
      </c>
      <c r="B1194" s="51">
        <f ca="1">IFERROR(__xludf.DUMMYFUNCTION("""COMPUTED_VALUE"""),44637)</f>
        <v>44637</v>
      </c>
      <c r="C1194" s="22">
        <f ca="1">IFERROR(__xludf.DUMMYFUNCTION("""COMPUTED_VALUE"""),500000)</f>
        <v>500000</v>
      </c>
      <c r="D1194" s="22">
        <f ca="1">IFERROR(__xludf.DUMMYFUNCTION("""COMPUTED_VALUE"""),0)</f>
        <v>0</v>
      </c>
      <c r="E1194" s="22">
        <f ca="1">IFERROR(__xludf.DUMMYFUNCTION("""COMPUTED_VALUE"""),500000)</f>
        <v>500000</v>
      </c>
      <c r="F1194" s="22">
        <f ca="1">IFERROR(__xludf.DUMMYFUNCTION("""COMPUTED_VALUE"""),500000)</f>
        <v>500000</v>
      </c>
      <c r="G1194" s="22">
        <f ca="1">IFERROR(__xludf.DUMMYFUNCTION("""COMPUTED_VALUE"""),0)</f>
        <v>0</v>
      </c>
      <c r="H1194" s="7">
        <f ca="1">IFERROR(__xludf.DUMMYFUNCTION("""COMPUTED_VALUE"""),500000)</f>
        <v>500000</v>
      </c>
    </row>
    <row r="1195" spans="1:8" ht="13" x14ac:dyDescent="0.15">
      <c r="A1195" s="5" t="str">
        <f ca="1">IFERROR(__xludf.DUMMYFUNCTION("""COMPUTED_VALUE"""),"38063")</f>
        <v>38063</v>
      </c>
      <c r="B1195" s="51">
        <f ca="1">IFERROR(__xludf.DUMMYFUNCTION("""COMPUTED_VALUE"""),44638)</f>
        <v>44638</v>
      </c>
      <c r="C1195" s="22">
        <f ca="1">IFERROR(__xludf.DUMMYFUNCTION("""COMPUTED_VALUE"""),500000)</f>
        <v>500000</v>
      </c>
      <c r="D1195" s="22">
        <f ca="1">IFERROR(__xludf.DUMMYFUNCTION("""COMPUTED_VALUE"""),0)</f>
        <v>0</v>
      </c>
      <c r="E1195" s="22">
        <f ca="1">IFERROR(__xludf.DUMMYFUNCTION("""COMPUTED_VALUE"""),500000)</f>
        <v>500000</v>
      </c>
      <c r="F1195" s="22">
        <f ca="1">IFERROR(__xludf.DUMMYFUNCTION("""COMPUTED_VALUE"""),500000)</f>
        <v>500000</v>
      </c>
      <c r="G1195" s="22">
        <f ca="1">IFERROR(__xludf.DUMMYFUNCTION("""COMPUTED_VALUE"""),0)</f>
        <v>0</v>
      </c>
      <c r="H1195" s="7">
        <f ca="1">IFERROR(__xludf.DUMMYFUNCTION("""COMPUTED_VALUE"""),500000)</f>
        <v>500000</v>
      </c>
    </row>
    <row r="1196" spans="1:8" ht="13" x14ac:dyDescent="0.15">
      <c r="A1196" s="5" t="str">
        <f ca="1">IFERROR(__xludf.DUMMYFUNCTION("""COMPUTED_VALUE"""),"38063")</f>
        <v>38063</v>
      </c>
      <c r="B1196" s="51">
        <f ca="1">IFERROR(__xludf.DUMMYFUNCTION("""COMPUTED_VALUE"""),44639)</f>
        <v>44639</v>
      </c>
      <c r="C1196" s="22">
        <f ca="1">IFERROR(__xludf.DUMMYFUNCTION("""COMPUTED_VALUE"""),500000)</f>
        <v>500000</v>
      </c>
      <c r="D1196" s="22">
        <f ca="1">IFERROR(__xludf.DUMMYFUNCTION("""COMPUTED_VALUE"""),0)</f>
        <v>0</v>
      </c>
      <c r="E1196" s="22">
        <f ca="1">IFERROR(__xludf.DUMMYFUNCTION("""COMPUTED_VALUE"""),500000)</f>
        <v>500000</v>
      </c>
      <c r="F1196" s="22">
        <f ca="1">IFERROR(__xludf.DUMMYFUNCTION("""COMPUTED_VALUE"""),500000)</f>
        <v>500000</v>
      </c>
      <c r="G1196" s="22">
        <f ca="1">IFERROR(__xludf.DUMMYFUNCTION("""COMPUTED_VALUE"""),0)</f>
        <v>0</v>
      </c>
      <c r="H1196" s="7">
        <f ca="1">IFERROR(__xludf.DUMMYFUNCTION("""COMPUTED_VALUE"""),500000)</f>
        <v>500000</v>
      </c>
    </row>
    <row r="1197" spans="1:8" ht="13" x14ac:dyDescent="0.15">
      <c r="A1197" s="5" t="str">
        <f ca="1">IFERROR(__xludf.DUMMYFUNCTION("""COMPUTED_VALUE"""),"38063")</f>
        <v>38063</v>
      </c>
      <c r="B1197" s="51">
        <f ca="1">IFERROR(__xludf.DUMMYFUNCTION("""COMPUTED_VALUE"""),44640)</f>
        <v>44640</v>
      </c>
      <c r="C1197" s="22">
        <f ca="1">IFERROR(__xludf.DUMMYFUNCTION("""COMPUTED_VALUE"""),500000)</f>
        <v>500000</v>
      </c>
      <c r="D1197" s="22">
        <f ca="1">IFERROR(__xludf.DUMMYFUNCTION("""COMPUTED_VALUE"""),0)</f>
        <v>0</v>
      </c>
      <c r="E1197" s="22">
        <f ca="1">IFERROR(__xludf.DUMMYFUNCTION("""COMPUTED_VALUE"""),500000)</f>
        <v>500000</v>
      </c>
      <c r="F1197" s="22">
        <f ca="1">IFERROR(__xludf.DUMMYFUNCTION("""COMPUTED_VALUE"""),500000)</f>
        <v>500000</v>
      </c>
      <c r="G1197" s="22">
        <f ca="1">IFERROR(__xludf.DUMMYFUNCTION("""COMPUTED_VALUE"""),0)</f>
        <v>0</v>
      </c>
      <c r="H1197" s="7">
        <f ca="1">IFERROR(__xludf.DUMMYFUNCTION("""COMPUTED_VALUE"""),500000)</f>
        <v>500000</v>
      </c>
    </row>
    <row r="1198" spans="1:8" ht="13" x14ac:dyDescent="0.15">
      <c r="A1198" s="5" t="str">
        <f ca="1">IFERROR(__xludf.DUMMYFUNCTION("""COMPUTED_VALUE"""),"38063")</f>
        <v>38063</v>
      </c>
      <c r="B1198" s="51">
        <f ca="1">IFERROR(__xludf.DUMMYFUNCTION("""COMPUTED_VALUE"""),44641)</f>
        <v>44641</v>
      </c>
      <c r="C1198" s="22">
        <f ca="1">IFERROR(__xludf.DUMMYFUNCTION("""COMPUTED_VALUE"""),500000)</f>
        <v>500000</v>
      </c>
      <c r="D1198" s="22">
        <f ca="1">IFERROR(__xludf.DUMMYFUNCTION("""COMPUTED_VALUE"""),0)</f>
        <v>0</v>
      </c>
      <c r="E1198" s="22">
        <f ca="1">IFERROR(__xludf.DUMMYFUNCTION("""COMPUTED_VALUE"""),500000)</f>
        <v>500000</v>
      </c>
      <c r="F1198" s="22">
        <f ca="1">IFERROR(__xludf.DUMMYFUNCTION("""COMPUTED_VALUE"""),500000)</f>
        <v>500000</v>
      </c>
      <c r="G1198" s="22">
        <f ca="1">IFERROR(__xludf.DUMMYFUNCTION("""COMPUTED_VALUE"""),0)</f>
        <v>0</v>
      </c>
      <c r="H1198" s="7">
        <f ca="1">IFERROR(__xludf.DUMMYFUNCTION("""COMPUTED_VALUE"""),500000)</f>
        <v>500000</v>
      </c>
    </row>
    <row r="1199" spans="1:8" ht="13" x14ac:dyDescent="0.15">
      <c r="A1199" s="5" t="str">
        <f ca="1">IFERROR(__xludf.DUMMYFUNCTION("""COMPUTED_VALUE"""),"38063")</f>
        <v>38063</v>
      </c>
      <c r="B1199" s="51">
        <f ca="1">IFERROR(__xludf.DUMMYFUNCTION("""COMPUTED_VALUE"""),44642)</f>
        <v>44642</v>
      </c>
      <c r="C1199" s="22">
        <f ca="1">IFERROR(__xludf.DUMMYFUNCTION("""COMPUTED_VALUE"""),500000)</f>
        <v>500000</v>
      </c>
      <c r="D1199" s="22">
        <f ca="1">IFERROR(__xludf.DUMMYFUNCTION("""COMPUTED_VALUE"""),0)</f>
        <v>0</v>
      </c>
      <c r="E1199" s="22">
        <f ca="1">IFERROR(__xludf.DUMMYFUNCTION("""COMPUTED_VALUE"""),500000)</f>
        <v>500000</v>
      </c>
      <c r="F1199" s="22">
        <f ca="1">IFERROR(__xludf.DUMMYFUNCTION("""COMPUTED_VALUE"""),500000)</f>
        <v>500000</v>
      </c>
      <c r="G1199" s="22">
        <f ca="1">IFERROR(__xludf.DUMMYFUNCTION("""COMPUTED_VALUE"""),0)</f>
        <v>0</v>
      </c>
      <c r="H1199" s="7">
        <f ca="1">IFERROR(__xludf.DUMMYFUNCTION("""COMPUTED_VALUE"""),500000)</f>
        <v>500000</v>
      </c>
    </row>
    <row r="1200" spans="1:8" ht="13" x14ac:dyDescent="0.15">
      <c r="A1200" s="5" t="str">
        <f ca="1">IFERROR(__xludf.DUMMYFUNCTION("""COMPUTED_VALUE"""),"38093")</f>
        <v>38093</v>
      </c>
      <c r="B1200" s="51">
        <f ca="1">IFERROR(__xludf.DUMMYFUNCTION("""COMPUTED_VALUE"""),44597)</f>
        <v>44597</v>
      </c>
      <c r="C1200" s="22">
        <f ca="1">IFERROR(__xludf.DUMMYFUNCTION("""COMPUTED_VALUE"""),500000)</f>
        <v>500000</v>
      </c>
      <c r="D1200" s="22">
        <f ca="1">IFERROR(__xludf.DUMMYFUNCTION("""COMPUTED_VALUE"""),0)</f>
        <v>0</v>
      </c>
      <c r="E1200" s="22">
        <f ca="1">IFERROR(__xludf.DUMMYFUNCTION("""COMPUTED_VALUE"""),500000)</f>
        <v>500000</v>
      </c>
      <c r="F1200" s="22">
        <f ca="1">IFERROR(__xludf.DUMMYFUNCTION("""COMPUTED_VALUE"""),500000)</f>
        <v>500000</v>
      </c>
      <c r="G1200" s="22">
        <f ca="1">IFERROR(__xludf.DUMMYFUNCTION("""COMPUTED_VALUE"""),0)</f>
        <v>0</v>
      </c>
      <c r="H1200" s="7">
        <f ca="1">IFERROR(__xludf.DUMMYFUNCTION("""COMPUTED_VALUE"""),500000)</f>
        <v>500000</v>
      </c>
    </row>
    <row r="1201" spans="1:8" ht="13" x14ac:dyDescent="0.15">
      <c r="A1201" s="5" t="str">
        <f ca="1">IFERROR(__xludf.DUMMYFUNCTION("""COMPUTED_VALUE"""),"38093")</f>
        <v>38093</v>
      </c>
      <c r="B1201" s="51">
        <f ca="1">IFERROR(__xludf.DUMMYFUNCTION("""COMPUTED_VALUE"""),44598)</f>
        <v>44598</v>
      </c>
      <c r="C1201" s="22">
        <f ca="1">IFERROR(__xludf.DUMMYFUNCTION("""COMPUTED_VALUE"""),500000)</f>
        <v>500000</v>
      </c>
      <c r="D1201" s="22">
        <f ca="1">IFERROR(__xludf.DUMMYFUNCTION("""COMPUTED_VALUE"""),0)</f>
        <v>0</v>
      </c>
      <c r="E1201" s="22">
        <f ca="1">IFERROR(__xludf.DUMMYFUNCTION("""COMPUTED_VALUE"""),500000)</f>
        <v>500000</v>
      </c>
      <c r="F1201" s="22">
        <f ca="1">IFERROR(__xludf.DUMMYFUNCTION("""COMPUTED_VALUE"""),500000)</f>
        <v>500000</v>
      </c>
      <c r="G1201" s="22">
        <f ca="1">IFERROR(__xludf.DUMMYFUNCTION("""COMPUTED_VALUE"""),0)</f>
        <v>0</v>
      </c>
      <c r="H1201" s="7">
        <f ca="1">IFERROR(__xludf.DUMMYFUNCTION("""COMPUTED_VALUE"""),500000)</f>
        <v>500000</v>
      </c>
    </row>
    <row r="1202" spans="1:8" ht="13" x14ac:dyDescent="0.15">
      <c r="A1202" s="5" t="str">
        <f ca="1">IFERROR(__xludf.DUMMYFUNCTION("""COMPUTED_VALUE"""),"38093")</f>
        <v>38093</v>
      </c>
      <c r="B1202" s="51">
        <f ca="1">IFERROR(__xludf.DUMMYFUNCTION("""COMPUTED_VALUE"""),44599)</f>
        <v>44599</v>
      </c>
      <c r="C1202" s="22">
        <f ca="1">IFERROR(__xludf.DUMMYFUNCTION("""COMPUTED_VALUE"""),500000)</f>
        <v>500000</v>
      </c>
      <c r="D1202" s="22">
        <f ca="1">IFERROR(__xludf.DUMMYFUNCTION("""COMPUTED_VALUE"""),0)</f>
        <v>0</v>
      </c>
      <c r="E1202" s="22">
        <f ca="1">IFERROR(__xludf.DUMMYFUNCTION("""COMPUTED_VALUE"""),500000)</f>
        <v>500000</v>
      </c>
      <c r="F1202" s="22">
        <f ca="1">IFERROR(__xludf.DUMMYFUNCTION("""COMPUTED_VALUE"""),500000)</f>
        <v>500000</v>
      </c>
      <c r="G1202" s="22">
        <f ca="1">IFERROR(__xludf.DUMMYFUNCTION("""COMPUTED_VALUE"""),0)</f>
        <v>0</v>
      </c>
      <c r="H1202" s="7">
        <f ca="1">IFERROR(__xludf.DUMMYFUNCTION("""COMPUTED_VALUE"""),500000)</f>
        <v>500000</v>
      </c>
    </row>
    <row r="1203" spans="1:8" ht="13" x14ac:dyDescent="0.15">
      <c r="A1203" s="5" t="str">
        <f ca="1">IFERROR(__xludf.DUMMYFUNCTION("""COMPUTED_VALUE"""),"38093")</f>
        <v>38093</v>
      </c>
      <c r="B1203" s="51">
        <f ca="1">IFERROR(__xludf.DUMMYFUNCTION("""COMPUTED_VALUE"""),44600)</f>
        <v>44600</v>
      </c>
      <c r="C1203" s="22">
        <f ca="1">IFERROR(__xludf.DUMMYFUNCTION("""COMPUTED_VALUE"""),500000)</f>
        <v>500000</v>
      </c>
      <c r="D1203" s="22">
        <f ca="1">IFERROR(__xludf.DUMMYFUNCTION("""COMPUTED_VALUE"""),0)</f>
        <v>0</v>
      </c>
      <c r="E1203" s="22">
        <f ca="1">IFERROR(__xludf.DUMMYFUNCTION("""COMPUTED_VALUE"""),500000)</f>
        <v>500000</v>
      </c>
      <c r="F1203" s="22">
        <f ca="1">IFERROR(__xludf.DUMMYFUNCTION("""COMPUTED_VALUE"""),500000)</f>
        <v>500000</v>
      </c>
      <c r="G1203" s="22">
        <f ca="1">IFERROR(__xludf.DUMMYFUNCTION("""COMPUTED_VALUE"""),0)</f>
        <v>0</v>
      </c>
      <c r="H1203" s="7">
        <f ca="1">IFERROR(__xludf.DUMMYFUNCTION("""COMPUTED_VALUE"""),500000)</f>
        <v>500000</v>
      </c>
    </row>
    <row r="1204" spans="1:8" ht="13" x14ac:dyDescent="0.15">
      <c r="A1204" s="5" t="str">
        <f ca="1">IFERROR(__xludf.DUMMYFUNCTION("""COMPUTED_VALUE"""),"38093")</f>
        <v>38093</v>
      </c>
      <c r="B1204" s="51">
        <f ca="1">IFERROR(__xludf.DUMMYFUNCTION("""COMPUTED_VALUE"""),44601)</f>
        <v>44601</v>
      </c>
      <c r="C1204" s="22">
        <f ca="1">IFERROR(__xludf.DUMMYFUNCTION("""COMPUTED_VALUE"""),500000)</f>
        <v>500000</v>
      </c>
      <c r="D1204" s="22">
        <f ca="1">IFERROR(__xludf.DUMMYFUNCTION("""COMPUTED_VALUE"""),0)</f>
        <v>0</v>
      </c>
      <c r="E1204" s="22">
        <f ca="1">IFERROR(__xludf.DUMMYFUNCTION("""COMPUTED_VALUE"""),500000)</f>
        <v>500000</v>
      </c>
      <c r="F1204" s="22">
        <f ca="1">IFERROR(__xludf.DUMMYFUNCTION("""COMPUTED_VALUE"""),500000)</f>
        <v>500000</v>
      </c>
      <c r="G1204" s="22">
        <f ca="1">IFERROR(__xludf.DUMMYFUNCTION("""COMPUTED_VALUE"""),0)</f>
        <v>0</v>
      </c>
      <c r="H1204" s="7">
        <f ca="1">IFERROR(__xludf.DUMMYFUNCTION("""COMPUTED_VALUE"""),500000)</f>
        <v>500000</v>
      </c>
    </row>
    <row r="1205" spans="1:8" ht="13" x14ac:dyDescent="0.15">
      <c r="A1205" s="5" t="str">
        <f ca="1">IFERROR(__xludf.DUMMYFUNCTION("""COMPUTED_VALUE"""),"38093")</f>
        <v>38093</v>
      </c>
      <c r="B1205" s="51">
        <f ca="1">IFERROR(__xludf.DUMMYFUNCTION("""COMPUTED_VALUE"""),44602)</f>
        <v>44602</v>
      </c>
      <c r="C1205" s="22">
        <f ca="1">IFERROR(__xludf.DUMMYFUNCTION("""COMPUTED_VALUE"""),500000)</f>
        <v>500000</v>
      </c>
      <c r="D1205" s="22">
        <f ca="1">IFERROR(__xludf.DUMMYFUNCTION("""COMPUTED_VALUE"""),0)</f>
        <v>0</v>
      </c>
      <c r="E1205" s="22">
        <f ca="1">IFERROR(__xludf.DUMMYFUNCTION("""COMPUTED_VALUE"""),500000)</f>
        <v>500000</v>
      </c>
      <c r="F1205" s="22">
        <f ca="1">IFERROR(__xludf.DUMMYFUNCTION("""COMPUTED_VALUE"""),500000)</f>
        <v>500000</v>
      </c>
      <c r="G1205" s="22">
        <f ca="1">IFERROR(__xludf.DUMMYFUNCTION("""COMPUTED_VALUE"""),0)</f>
        <v>0</v>
      </c>
      <c r="H1205" s="7">
        <f ca="1">IFERROR(__xludf.DUMMYFUNCTION("""COMPUTED_VALUE"""),500000)</f>
        <v>500000</v>
      </c>
    </row>
    <row r="1206" spans="1:8" ht="13" x14ac:dyDescent="0.15">
      <c r="A1206" s="5" t="str">
        <f ca="1">IFERROR(__xludf.DUMMYFUNCTION("""COMPUTED_VALUE"""),"38093")</f>
        <v>38093</v>
      </c>
      <c r="B1206" s="51">
        <f ca="1">IFERROR(__xludf.DUMMYFUNCTION("""COMPUTED_VALUE"""),44603)</f>
        <v>44603</v>
      </c>
      <c r="C1206" s="22">
        <f ca="1">IFERROR(__xludf.DUMMYFUNCTION("""COMPUTED_VALUE"""),500000)</f>
        <v>500000</v>
      </c>
      <c r="D1206" s="22">
        <f ca="1">IFERROR(__xludf.DUMMYFUNCTION("""COMPUTED_VALUE"""),0)</f>
        <v>0</v>
      </c>
      <c r="E1206" s="22">
        <f ca="1">IFERROR(__xludf.DUMMYFUNCTION("""COMPUTED_VALUE"""),500000)</f>
        <v>500000</v>
      </c>
      <c r="F1206" s="22">
        <f ca="1">IFERROR(__xludf.DUMMYFUNCTION("""COMPUTED_VALUE"""),500000)</f>
        <v>500000</v>
      </c>
      <c r="G1206" s="22">
        <f ca="1">IFERROR(__xludf.DUMMYFUNCTION("""COMPUTED_VALUE"""),0)</f>
        <v>0</v>
      </c>
      <c r="H1206" s="7">
        <f ca="1">IFERROR(__xludf.DUMMYFUNCTION("""COMPUTED_VALUE"""),500000)</f>
        <v>500000</v>
      </c>
    </row>
    <row r="1207" spans="1:8" ht="13" x14ac:dyDescent="0.15">
      <c r="A1207" s="5" t="str">
        <f ca="1">IFERROR(__xludf.DUMMYFUNCTION("""COMPUTED_VALUE"""),"38093")</f>
        <v>38093</v>
      </c>
      <c r="B1207" s="51">
        <f ca="1">IFERROR(__xludf.DUMMYFUNCTION("""COMPUTED_VALUE"""),44604)</f>
        <v>44604</v>
      </c>
      <c r="C1207" s="22">
        <f ca="1">IFERROR(__xludf.DUMMYFUNCTION("""COMPUTED_VALUE"""),500000)</f>
        <v>500000</v>
      </c>
      <c r="D1207" s="22">
        <f ca="1">IFERROR(__xludf.DUMMYFUNCTION("""COMPUTED_VALUE"""),0)</f>
        <v>0</v>
      </c>
      <c r="E1207" s="22">
        <f ca="1">IFERROR(__xludf.DUMMYFUNCTION("""COMPUTED_VALUE"""),500000)</f>
        <v>500000</v>
      </c>
      <c r="F1207" s="22">
        <f ca="1">IFERROR(__xludf.DUMMYFUNCTION("""COMPUTED_VALUE"""),500000)</f>
        <v>500000</v>
      </c>
      <c r="G1207" s="22">
        <f ca="1">IFERROR(__xludf.DUMMYFUNCTION("""COMPUTED_VALUE"""),0)</f>
        <v>0</v>
      </c>
      <c r="H1207" s="7">
        <f ca="1">IFERROR(__xludf.DUMMYFUNCTION("""COMPUTED_VALUE"""),500000)</f>
        <v>500000</v>
      </c>
    </row>
    <row r="1208" spans="1:8" ht="13" x14ac:dyDescent="0.15">
      <c r="A1208" s="5" t="str">
        <f ca="1">IFERROR(__xludf.DUMMYFUNCTION("""COMPUTED_VALUE"""),"38093")</f>
        <v>38093</v>
      </c>
      <c r="B1208" s="51">
        <f ca="1">IFERROR(__xludf.DUMMYFUNCTION("""COMPUTED_VALUE"""),44605)</f>
        <v>44605</v>
      </c>
      <c r="C1208" s="22">
        <f ca="1">IFERROR(__xludf.DUMMYFUNCTION("""COMPUTED_VALUE"""),500000)</f>
        <v>500000</v>
      </c>
      <c r="D1208" s="22">
        <f ca="1">IFERROR(__xludf.DUMMYFUNCTION("""COMPUTED_VALUE"""),0)</f>
        <v>0</v>
      </c>
      <c r="E1208" s="22">
        <f ca="1">IFERROR(__xludf.DUMMYFUNCTION("""COMPUTED_VALUE"""),500000)</f>
        <v>500000</v>
      </c>
      <c r="F1208" s="22">
        <f ca="1">IFERROR(__xludf.DUMMYFUNCTION("""COMPUTED_VALUE"""),500000)</f>
        <v>500000</v>
      </c>
      <c r="G1208" s="22">
        <f ca="1">IFERROR(__xludf.DUMMYFUNCTION("""COMPUTED_VALUE"""),0)</f>
        <v>0</v>
      </c>
      <c r="H1208" s="7">
        <f ca="1">IFERROR(__xludf.DUMMYFUNCTION("""COMPUTED_VALUE"""),500000)</f>
        <v>500000</v>
      </c>
    </row>
    <row r="1209" spans="1:8" ht="13" x14ac:dyDescent="0.15">
      <c r="A1209" s="5" t="str">
        <f ca="1">IFERROR(__xludf.DUMMYFUNCTION("""COMPUTED_VALUE"""),"38093")</f>
        <v>38093</v>
      </c>
      <c r="B1209" s="51">
        <f ca="1">IFERROR(__xludf.DUMMYFUNCTION("""COMPUTED_VALUE"""),44606)</f>
        <v>44606</v>
      </c>
      <c r="C1209" s="22">
        <f ca="1">IFERROR(__xludf.DUMMYFUNCTION("""COMPUTED_VALUE"""),500000)</f>
        <v>500000</v>
      </c>
      <c r="D1209" s="22">
        <f ca="1">IFERROR(__xludf.DUMMYFUNCTION("""COMPUTED_VALUE"""),0)</f>
        <v>0</v>
      </c>
      <c r="E1209" s="22">
        <f ca="1">IFERROR(__xludf.DUMMYFUNCTION("""COMPUTED_VALUE"""),500000)</f>
        <v>500000</v>
      </c>
      <c r="F1209" s="22">
        <f ca="1">IFERROR(__xludf.DUMMYFUNCTION("""COMPUTED_VALUE"""),500000)</f>
        <v>500000</v>
      </c>
      <c r="G1209" s="22">
        <f ca="1">IFERROR(__xludf.DUMMYFUNCTION("""COMPUTED_VALUE"""),0)</f>
        <v>0</v>
      </c>
      <c r="H1209" s="7">
        <f ca="1">IFERROR(__xludf.DUMMYFUNCTION("""COMPUTED_VALUE"""),500000)</f>
        <v>500000</v>
      </c>
    </row>
    <row r="1210" spans="1:8" ht="13" x14ac:dyDescent="0.15">
      <c r="A1210" s="5" t="str">
        <f ca="1">IFERROR(__xludf.DUMMYFUNCTION("""COMPUTED_VALUE"""),"38093")</f>
        <v>38093</v>
      </c>
      <c r="B1210" s="51">
        <f ca="1">IFERROR(__xludf.DUMMYFUNCTION("""COMPUTED_VALUE"""),44607)</f>
        <v>44607</v>
      </c>
      <c r="C1210" s="22">
        <f ca="1">IFERROR(__xludf.DUMMYFUNCTION("""COMPUTED_VALUE"""),500000)</f>
        <v>500000</v>
      </c>
      <c r="D1210" s="22">
        <f ca="1">IFERROR(__xludf.DUMMYFUNCTION("""COMPUTED_VALUE"""),0)</f>
        <v>0</v>
      </c>
      <c r="E1210" s="22">
        <f ca="1">IFERROR(__xludf.DUMMYFUNCTION("""COMPUTED_VALUE"""),500000)</f>
        <v>500000</v>
      </c>
      <c r="F1210" s="22">
        <f ca="1">IFERROR(__xludf.DUMMYFUNCTION("""COMPUTED_VALUE"""),500000)</f>
        <v>500000</v>
      </c>
      <c r="G1210" s="22">
        <f ca="1">IFERROR(__xludf.DUMMYFUNCTION("""COMPUTED_VALUE"""),0)</f>
        <v>0</v>
      </c>
      <c r="H1210" s="7">
        <f ca="1">IFERROR(__xludf.DUMMYFUNCTION("""COMPUTED_VALUE"""),500000)</f>
        <v>500000</v>
      </c>
    </row>
    <row r="1211" spans="1:8" ht="13" x14ac:dyDescent="0.15">
      <c r="A1211" s="5" t="str">
        <f ca="1">IFERROR(__xludf.DUMMYFUNCTION("""COMPUTED_VALUE"""),"38093")</f>
        <v>38093</v>
      </c>
      <c r="B1211" s="51">
        <f ca="1">IFERROR(__xludf.DUMMYFUNCTION("""COMPUTED_VALUE"""),44608)</f>
        <v>44608</v>
      </c>
      <c r="C1211" s="22">
        <f ca="1">IFERROR(__xludf.DUMMYFUNCTION("""COMPUTED_VALUE"""),500000)</f>
        <v>500000</v>
      </c>
      <c r="D1211" s="22">
        <f ca="1">IFERROR(__xludf.DUMMYFUNCTION("""COMPUTED_VALUE"""),0)</f>
        <v>0</v>
      </c>
      <c r="E1211" s="22">
        <f ca="1">IFERROR(__xludf.DUMMYFUNCTION("""COMPUTED_VALUE"""),500000)</f>
        <v>500000</v>
      </c>
      <c r="F1211" s="22">
        <f ca="1">IFERROR(__xludf.DUMMYFUNCTION("""COMPUTED_VALUE"""),500000)</f>
        <v>500000</v>
      </c>
      <c r="G1211" s="22">
        <f ca="1">IFERROR(__xludf.DUMMYFUNCTION("""COMPUTED_VALUE"""),0)</f>
        <v>0</v>
      </c>
      <c r="H1211" s="7">
        <f ca="1">IFERROR(__xludf.DUMMYFUNCTION("""COMPUTED_VALUE"""),500000)</f>
        <v>500000</v>
      </c>
    </row>
    <row r="1212" spans="1:8" ht="13" x14ac:dyDescent="0.15">
      <c r="A1212" s="5" t="str">
        <f ca="1">IFERROR(__xludf.DUMMYFUNCTION("""COMPUTED_VALUE"""),"38093")</f>
        <v>38093</v>
      </c>
      <c r="B1212" s="51">
        <f ca="1">IFERROR(__xludf.DUMMYFUNCTION("""COMPUTED_VALUE"""),44609)</f>
        <v>44609</v>
      </c>
      <c r="C1212" s="22">
        <f ca="1">IFERROR(__xludf.DUMMYFUNCTION("""COMPUTED_VALUE"""),500000)</f>
        <v>500000</v>
      </c>
      <c r="D1212" s="22">
        <f ca="1">IFERROR(__xludf.DUMMYFUNCTION("""COMPUTED_VALUE"""),0)</f>
        <v>0</v>
      </c>
      <c r="E1212" s="22">
        <f ca="1">IFERROR(__xludf.DUMMYFUNCTION("""COMPUTED_VALUE"""),500000)</f>
        <v>500000</v>
      </c>
      <c r="F1212" s="22">
        <f ca="1">IFERROR(__xludf.DUMMYFUNCTION("""COMPUTED_VALUE"""),500000)</f>
        <v>500000</v>
      </c>
      <c r="G1212" s="22">
        <f ca="1">IFERROR(__xludf.DUMMYFUNCTION("""COMPUTED_VALUE"""),0)</f>
        <v>0</v>
      </c>
      <c r="H1212" s="7">
        <f ca="1">IFERROR(__xludf.DUMMYFUNCTION("""COMPUTED_VALUE"""),500000)</f>
        <v>500000</v>
      </c>
    </row>
    <row r="1213" spans="1:8" ht="13" x14ac:dyDescent="0.15">
      <c r="A1213" s="5" t="str">
        <f ca="1">IFERROR(__xludf.DUMMYFUNCTION("""COMPUTED_VALUE"""),"38093")</f>
        <v>38093</v>
      </c>
      <c r="B1213" s="51">
        <f ca="1">IFERROR(__xludf.DUMMYFUNCTION("""COMPUTED_VALUE"""),44610)</f>
        <v>44610</v>
      </c>
      <c r="C1213" s="22">
        <f ca="1">IFERROR(__xludf.DUMMYFUNCTION("""COMPUTED_VALUE"""),500000)</f>
        <v>500000</v>
      </c>
      <c r="D1213" s="22">
        <f ca="1">IFERROR(__xludf.DUMMYFUNCTION("""COMPUTED_VALUE"""),0)</f>
        <v>0</v>
      </c>
      <c r="E1213" s="22">
        <f ca="1">IFERROR(__xludf.DUMMYFUNCTION("""COMPUTED_VALUE"""),500000)</f>
        <v>500000</v>
      </c>
      <c r="F1213" s="22">
        <f ca="1">IFERROR(__xludf.DUMMYFUNCTION("""COMPUTED_VALUE"""),500000)</f>
        <v>500000</v>
      </c>
      <c r="G1213" s="22">
        <f ca="1">IFERROR(__xludf.DUMMYFUNCTION("""COMPUTED_VALUE"""),0)</f>
        <v>0</v>
      </c>
      <c r="H1213" s="7">
        <f ca="1">IFERROR(__xludf.DUMMYFUNCTION("""COMPUTED_VALUE"""),500000)</f>
        <v>500000</v>
      </c>
    </row>
    <row r="1214" spans="1:8" ht="13" x14ac:dyDescent="0.15">
      <c r="A1214" s="5" t="str">
        <f ca="1">IFERROR(__xludf.DUMMYFUNCTION("""COMPUTED_VALUE"""),"38093")</f>
        <v>38093</v>
      </c>
      <c r="B1214" s="51">
        <f ca="1">IFERROR(__xludf.DUMMYFUNCTION("""COMPUTED_VALUE"""),44611)</f>
        <v>44611</v>
      </c>
      <c r="C1214" s="22">
        <f ca="1">IFERROR(__xludf.DUMMYFUNCTION("""COMPUTED_VALUE"""),500000)</f>
        <v>500000</v>
      </c>
      <c r="D1214" s="22">
        <f ca="1">IFERROR(__xludf.DUMMYFUNCTION("""COMPUTED_VALUE"""),0)</f>
        <v>0</v>
      </c>
      <c r="E1214" s="22">
        <f ca="1">IFERROR(__xludf.DUMMYFUNCTION("""COMPUTED_VALUE"""),500000)</f>
        <v>500000</v>
      </c>
      <c r="F1214" s="22">
        <f ca="1">IFERROR(__xludf.DUMMYFUNCTION("""COMPUTED_VALUE"""),500000)</f>
        <v>500000</v>
      </c>
      <c r="G1214" s="22">
        <f ca="1">IFERROR(__xludf.DUMMYFUNCTION("""COMPUTED_VALUE"""),0)</f>
        <v>0</v>
      </c>
      <c r="H1214" s="7">
        <f ca="1">IFERROR(__xludf.DUMMYFUNCTION("""COMPUTED_VALUE"""),500000)</f>
        <v>500000</v>
      </c>
    </row>
    <row r="1215" spans="1:8" ht="13" x14ac:dyDescent="0.15">
      <c r="A1215" s="5" t="str">
        <f ca="1">IFERROR(__xludf.DUMMYFUNCTION("""COMPUTED_VALUE"""),"38093")</f>
        <v>38093</v>
      </c>
      <c r="B1215" s="51">
        <f ca="1">IFERROR(__xludf.DUMMYFUNCTION("""COMPUTED_VALUE"""),44612)</f>
        <v>44612</v>
      </c>
      <c r="C1215" s="22">
        <f ca="1">IFERROR(__xludf.DUMMYFUNCTION("""COMPUTED_VALUE"""),500000)</f>
        <v>500000</v>
      </c>
      <c r="D1215" s="22">
        <f ca="1">IFERROR(__xludf.DUMMYFUNCTION("""COMPUTED_VALUE"""),0)</f>
        <v>0</v>
      </c>
      <c r="E1215" s="22">
        <f ca="1">IFERROR(__xludf.DUMMYFUNCTION("""COMPUTED_VALUE"""),500000)</f>
        <v>500000</v>
      </c>
      <c r="F1215" s="22">
        <f ca="1">IFERROR(__xludf.DUMMYFUNCTION("""COMPUTED_VALUE"""),500000)</f>
        <v>500000</v>
      </c>
      <c r="G1215" s="22">
        <f ca="1">IFERROR(__xludf.DUMMYFUNCTION("""COMPUTED_VALUE"""),0)</f>
        <v>0</v>
      </c>
      <c r="H1215" s="7">
        <f ca="1">IFERROR(__xludf.DUMMYFUNCTION("""COMPUTED_VALUE"""),500000)</f>
        <v>500000</v>
      </c>
    </row>
    <row r="1216" spans="1:8" ht="13" x14ac:dyDescent="0.15">
      <c r="A1216" s="5" t="str">
        <f ca="1">IFERROR(__xludf.DUMMYFUNCTION("""COMPUTED_VALUE"""),"38093")</f>
        <v>38093</v>
      </c>
      <c r="B1216" s="51">
        <f ca="1">IFERROR(__xludf.DUMMYFUNCTION("""COMPUTED_VALUE"""),44613)</f>
        <v>44613</v>
      </c>
      <c r="C1216" s="22">
        <f ca="1">IFERROR(__xludf.DUMMYFUNCTION("""COMPUTED_VALUE"""),500000)</f>
        <v>500000</v>
      </c>
      <c r="D1216" s="22">
        <f ca="1">IFERROR(__xludf.DUMMYFUNCTION("""COMPUTED_VALUE"""),0)</f>
        <v>0</v>
      </c>
      <c r="E1216" s="22">
        <f ca="1">IFERROR(__xludf.DUMMYFUNCTION("""COMPUTED_VALUE"""),500000)</f>
        <v>500000</v>
      </c>
      <c r="F1216" s="22">
        <f ca="1">IFERROR(__xludf.DUMMYFUNCTION("""COMPUTED_VALUE"""),500000)</f>
        <v>500000</v>
      </c>
      <c r="G1216" s="22">
        <f ca="1">IFERROR(__xludf.DUMMYFUNCTION("""COMPUTED_VALUE"""),0)</f>
        <v>0</v>
      </c>
      <c r="H1216" s="7">
        <f ca="1">IFERROR(__xludf.DUMMYFUNCTION("""COMPUTED_VALUE"""),500000)</f>
        <v>500000</v>
      </c>
    </row>
    <row r="1217" spans="1:8" ht="13" x14ac:dyDescent="0.15">
      <c r="A1217" s="5" t="str">
        <f ca="1">IFERROR(__xludf.DUMMYFUNCTION("""COMPUTED_VALUE"""),"38093")</f>
        <v>38093</v>
      </c>
      <c r="B1217" s="51">
        <f ca="1">IFERROR(__xludf.DUMMYFUNCTION("""COMPUTED_VALUE"""),44614)</f>
        <v>44614</v>
      </c>
      <c r="C1217" s="22">
        <f ca="1">IFERROR(__xludf.DUMMYFUNCTION("""COMPUTED_VALUE"""),500000)</f>
        <v>500000</v>
      </c>
      <c r="D1217" s="22">
        <f ca="1">IFERROR(__xludf.DUMMYFUNCTION("""COMPUTED_VALUE"""),0)</f>
        <v>0</v>
      </c>
      <c r="E1217" s="22">
        <f ca="1">IFERROR(__xludf.DUMMYFUNCTION("""COMPUTED_VALUE"""),500000)</f>
        <v>500000</v>
      </c>
      <c r="F1217" s="22">
        <f ca="1">IFERROR(__xludf.DUMMYFUNCTION("""COMPUTED_VALUE"""),500000)</f>
        <v>500000</v>
      </c>
      <c r="G1217" s="22">
        <f ca="1">IFERROR(__xludf.DUMMYFUNCTION("""COMPUTED_VALUE"""),0)</f>
        <v>0</v>
      </c>
      <c r="H1217" s="7">
        <f ca="1">IFERROR(__xludf.DUMMYFUNCTION("""COMPUTED_VALUE"""),500000)</f>
        <v>500000</v>
      </c>
    </row>
    <row r="1218" spans="1:8" ht="13" x14ac:dyDescent="0.15">
      <c r="A1218" s="5" t="str">
        <f ca="1">IFERROR(__xludf.DUMMYFUNCTION("""COMPUTED_VALUE"""),"38093")</f>
        <v>38093</v>
      </c>
      <c r="B1218" s="51">
        <f ca="1">IFERROR(__xludf.DUMMYFUNCTION("""COMPUTED_VALUE"""),44615)</f>
        <v>44615</v>
      </c>
      <c r="C1218" s="22">
        <f ca="1">IFERROR(__xludf.DUMMYFUNCTION("""COMPUTED_VALUE"""),500000)</f>
        <v>500000</v>
      </c>
      <c r="D1218" s="22">
        <f ca="1">IFERROR(__xludf.DUMMYFUNCTION("""COMPUTED_VALUE"""),0)</f>
        <v>0</v>
      </c>
      <c r="E1218" s="22">
        <f ca="1">IFERROR(__xludf.DUMMYFUNCTION("""COMPUTED_VALUE"""),500000)</f>
        <v>500000</v>
      </c>
      <c r="F1218" s="22">
        <f ca="1">IFERROR(__xludf.DUMMYFUNCTION("""COMPUTED_VALUE"""),500000)</f>
        <v>500000</v>
      </c>
      <c r="G1218" s="22">
        <f ca="1">IFERROR(__xludf.DUMMYFUNCTION("""COMPUTED_VALUE"""),0)</f>
        <v>0</v>
      </c>
      <c r="H1218" s="7">
        <f ca="1">IFERROR(__xludf.DUMMYFUNCTION("""COMPUTED_VALUE"""),500000)</f>
        <v>500000</v>
      </c>
    </row>
    <row r="1219" spans="1:8" ht="13" x14ac:dyDescent="0.15">
      <c r="A1219" s="5" t="str">
        <f ca="1">IFERROR(__xludf.DUMMYFUNCTION("""COMPUTED_VALUE"""),"38093")</f>
        <v>38093</v>
      </c>
      <c r="B1219" s="51">
        <f ca="1">IFERROR(__xludf.DUMMYFUNCTION("""COMPUTED_VALUE"""),44616)</f>
        <v>44616</v>
      </c>
      <c r="C1219" s="22">
        <f ca="1">IFERROR(__xludf.DUMMYFUNCTION("""COMPUTED_VALUE"""),500000)</f>
        <v>500000</v>
      </c>
      <c r="D1219" s="22">
        <f ca="1">IFERROR(__xludf.DUMMYFUNCTION("""COMPUTED_VALUE"""),0)</f>
        <v>0</v>
      </c>
      <c r="E1219" s="22">
        <f ca="1">IFERROR(__xludf.DUMMYFUNCTION("""COMPUTED_VALUE"""),500000)</f>
        <v>500000</v>
      </c>
      <c r="F1219" s="22">
        <f ca="1">IFERROR(__xludf.DUMMYFUNCTION("""COMPUTED_VALUE"""),500000)</f>
        <v>500000</v>
      </c>
      <c r="G1219" s="22">
        <f ca="1">IFERROR(__xludf.DUMMYFUNCTION("""COMPUTED_VALUE"""),0)</f>
        <v>0</v>
      </c>
      <c r="H1219" s="7">
        <f ca="1">IFERROR(__xludf.DUMMYFUNCTION("""COMPUTED_VALUE"""),500000)</f>
        <v>500000</v>
      </c>
    </row>
    <row r="1220" spans="1:8" ht="13" x14ac:dyDescent="0.15">
      <c r="A1220" s="5" t="str">
        <f ca="1">IFERROR(__xludf.DUMMYFUNCTION("""COMPUTED_VALUE"""),"38093")</f>
        <v>38093</v>
      </c>
      <c r="B1220" s="51">
        <f ca="1">IFERROR(__xludf.DUMMYFUNCTION("""COMPUTED_VALUE"""),44617)</f>
        <v>44617</v>
      </c>
      <c r="C1220" s="22">
        <f ca="1">IFERROR(__xludf.DUMMYFUNCTION("""COMPUTED_VALUE"""),500000)</f>
        <v>500000</v>
      </c>
      <c r="D1220" s="22">
        <f ca="1">IFERROR(__xludf.DUMMYFUNCTION("""COMPUTED_VALUE"""),0)</f>
        <v>0</v>
      </c>
      <c r="E1220" s="22">
        <f ca="1">IFERROR(__xludf.DUMMYFUNCTION("""COMPUTED_VALUE"""),500000)</f>
        <v>500000</v>
      </c>
      <c r="F1220" s="22">
        <f ca="1">IFERROR(__xludf.DUMMYFUNCTION("""COMPUTED_VALUE"""),500000)</f>
        <v>500000</v>
      </c>
      <c r="G1220" s="22">
        <f ca="1">IFERROR(__xludf.DUMMYFUNCTION("""COMPUTED_VALUE"""),0)</f>
        <v>0</v>
      </c>
      <c r="H1220" s="7">
        <f ca="1">IFERROR(__xludf.DUMMYFUNCTION("""COMPUTED_VALUE"""),500000)</f>
        <v>500000</v>
      </c>
    </row>
    <row r="1221" spans="1:8" ht="13" x14ac:dyDescent="0.15">
      <c r="A1221" s="5" t="str">
        <f ca="1">IFERROR(__xludf.DUMMYFUNCTION("""COMPUTED_VALUE"""),"38093")</f>
        <v>38093</v>
      </c>
      <c r="B1221" s="51">
        <f ca="1">IFERROR(__xludf.DUMMYFUNCTION("""COMPUTED_VALUE"""),44618)</f>
        <v>44618</v>
      </c>
      <c r="C1221" s="22">
        <f ca="1">IFERROR(__xludf.DUMMYFUNCTION("""COMPUTED_VALUE"""),500000)</f>
        <v>500000</v>
      </c>
      <c r="D1221" s="22">
        <f ca="1">IFERROR(__xludf.DUMMYFUNCTION("""COMPUTED_VALUE"""),0)</f>
        <v>0</v>
      </c>
      <c r="E1221" s="22">
        <f ca="1">IFERROR(__xludf.DUMMYFUNCTION("""COMPUTED_VALUE"""),500000)</f>
        <v>500000</v>
      </c>
      <c r="F1221" s="22">
        <f ca="1">IFERROR(__xludf.DUMMYFUNCTION("""COMPUTED_VALUE"""),500000)</f>
        <v>500000</v>
      </c>
      <c r="G1221" s="22">
        <f ca="1">IFERROR(__xludf.DUMMYFUNCTION("""COMPUTED_VALUE"""),0)</f>
        <v>0</v>
      </c>
      <c r="H1221" s="7">
        <f ca="1">IFERROR(__xludf.DUMMYFUNCTION("""COMPUTED_VALUE"""),500000)</f>
        <v>500000</v>
      </c>
    </row>
    <row r="1222" spans="1:8" ht="13" x14ac:dyDescent="0.15">
      <c r="A1222" s="5" t="str">
        <f ca="1">IFERROR(__xludf.DUMMYFUNCTION("""COMPUTED_VALUE"""),"38093")</f>
        <v>38093</v>
      </c>
      <c r="B1222" s="51">
        <f ca="1">IFERROR(__xludf.DUMMYFUNCTION("""COMPUTED_VALUE"""),44619)</f>
        <v>44619</v>
      </c>
      <c r="C1222" s="22">
        <f ca="1">IFERROR(__xludf.DUMMYFUNCTION("""COMPUTED_VALUE"""),500000)</f>
        <v>500000</v>
      </c>
      <c r="D1222" s="22">
        <f ca="1">IFERROR(__xludf.DUMMYFUNCTION("""COMPUTED_VALUE"""),0)</f>
        <v>0</v>
      </c>
      <c r="E1222" s="22">
        <f ca="1">IFERROR(__xludf.DUMMYFUNCTION("""COMPUTED_VALUE"""),500000)</f>
        <v>500000</v>
      </c>
      <c r="F1222" s="22">
        <f ca="1">IFERROR(__xludf.DUMMYFUNCTION("""COMPUTED_VALUE"""),500000)</f>
        <v>500000</v>
      </c>
      <c r="G1222" s="22">
        <f ca="1">IFERROR(__xludf.DUMMYFUNCTION("""COMPUTED_VALUE"""),0)</f>
        <v>0</v>
      </c>
      <c r="H1222" s="7">
        <f ca="1">IFERROR(__xludf.DUMMYFUNCTION("""COMPUTED_VALUE"""),500000)</f>
        <v>500000</v>
      </c>
    </row>
    <row r="1223" spans="1:8" ht="13" x14ac:dyDescent="0.15">
      <c r="A1223" s="5" t="str">
        <f ca="1">IFERROR(__xludf.DUMMYFUNCTION("""COMPUTED_VALUE"""),"38093")</f>
        <v>38093</v>
      </c>
      <c r="B1223" s="51">
        <f ca="1">IFERROR(__xludf.DUMMYFUNCTION("""COMPUTED_VALUE"""),44620)</f>
        <v>44620</v>
      </c>
      <c r="C1223" s="22">
        <f ca="1">IFERROR(__xludf.DUMMYFUNCTION("""COMPUTED_VALUE"""),500000)</f>
        <v>500000</v>
      </c>
      <c r="D1223" s="22">
        <f ca="1">IFERROR(__xludf.DUMMYFUNCTION("""COMPUTED_VALUE"""),0)</f>
        <v>0</v>
      </c>
      <c r="E1223" s="22">
        <f ca="1">IFERROR(__xludf.DUMMYFUNCTION("""COMPUTED_VALUE"""),500000)</f>
        <v>500000</v>
      </c>
      <c r="F1223" s="22">
        <f ca="1">IFERROR(__xludf.DUMMYFUNCTION("""COMPUTED_VALUE"""),500000)</f>
        <v>500000</v>
      </c>
      <c r="G1223" s="22">
        <f ca="1">IFERROR(__xludf.DUMMYFUNCTION("""COMPUTED_VALUE"""),0)</f>
        <v>0</v>
      </c>
      <c r="H1223" s="7">
        <f ca="1">IFERROR(__xludf.DUMMYFUNCTION("""COMPUTED_VALUE"""),500000)</f>
        <v>500000</v>
      </c>
    </row>
    <row r="1224" spans="1:8" ht="13" x14ac:dyDescent="0.15">
      <c r="A1224" s="5" t="str">
        <f ca="1">IFERROR(__xludf.DUMMYFUNCTION("""COMPUTED_VALUE"""),"38093")</f>
        <v>38093</v>
      </c>
      <c r="B1224" s="51">
        <f ca="1">IFERROR(__xludf.DUMMYFUNCTION("""COMPUTED_VALUE"""),44621)</f>
        <v>44621</v>
      </c>
      <c r="C1224" s="22">
        <f ca="1">IFERROR(__xludf.DUMMYFUNCTION("""COMPUTED_VALUE"""),500000)</f>
        <v>500000</v>
      </c>
      <c r="D1224" s="22">
        <f ca="1">IFERROR(__xludf.DUMMYFUNCTION("""COMPUTED_VALUE"""),0)</f>
        <v>0</v>
      </c>
      <c r="E1224" s="22">
        <f ca="1">IFERROR(__xludf.DUMMYFUNCTION("""COMPUTED_VALUE"""),500000)</f>
        <v>500000</v>
      </c>
      <c r="F1224" s="22">
        <f ca="1">IFERROR(__xludf.DUMMYFUNCTION("""COMPUTED_VALUE"""),500000)</f>
        <v>500000</v>
      </c>
      <c r="G1224" s="22">
        <f ca="1">IFERROR(__xludf.DUMMYFUNCTION("""COMPUTED_VALUE"""),0)</f>
        <v>0</v>
      </c>
      <c r="H1224" s="7">
        <f ca="1">IFERROR(__xludf.DUMMYFUNCTION("""COMPUTED_VALUE"""),500000)</f>
        <v>500000</v>
      </c>
    </row>
    <row r="1225" spans="1:8" ht="13" x14ac:dyDescent="0.15">
      <c r="A1225" s="5" t="str">
        <f ca="1">IFERROR(__xludf.DUMMYFUNCTION("""COMPUTED_VALUE"""),"38093")</f>
        <v>38093</v>
      </c>
      <c r="B1225" s="51">
        <f ca="1">IFERROR(__xludf.DUMMYFUNCTION("""COMPUTED_VALUE"""),44622)</f>
        <v>44622</v>
      </c>
      <c r="C1225" s="22">
        <f ca="1">IFERROR(__xludf.DUMMYFUNCTION("""COMPUTED_VALUE"""),500000)</f>
        <v>500000</v>
      </c>
      <c r="D1225" s="22">
        <f ca="1">IFERROR(__xludf.DUMMYFUNCTION("""COMPUTED_VALUE"""),0)</f>
        <v>0</v>
      </c>
      <c r="E1225" s="22">
        <f ca="1">IFERROR(__xludf.DUMMYFUNCTION("""COMPUTED_VALUE"""),500000)</f>
        <v>500000</v>
      </c>
      <c r="F1225" s="22">
        <f ca="1">IFERROR(__xludf.DUMMYFUNCTION("""COMPUTED_VALUE"""),500000)</f>
        <v>500000</v>
      </c>
      <c r="G1225" s="22">
        <f ca="1">IFERROR(__xludf.DUMMYFUNCTION("""COMPUTED_VALUE"""),0)</f>
        <v>0</v>
      </c>
      <c r="H1225" s="7">
        <f ca="1">IFERROR(__xludf.DUMMYFUNCTION("""COMPUTED_VALUE"""),500000)</f>
        <v>500000</v>
      </c>
    </row>
    <row r="1226" spans="1:8" ht="13" x14ac:dyDescent="0.15">
      <c r="A1226" s="5" t="str">
        <f ca="1">IFERROR(__xludf.DUMMYFUNCTION("""COMPUTED_VALUE"""),"38093")</f>
        <v>38093</v>
      </c>
      <c r="B1226" s="51">
        <f ca="1">IFERROR(__xludf.DUMMYFUNCTION("""COMPUTED_VALUE"""),44623)</f>
        <v>44623</v>
      </c>
      <c r="C1226" s="22">
        <f ca="1">IFERROR(__xludf.DUMMYFUNCTION("""COMPUTED_VALUE"""),500000)</f>
        <v>500000</v>
      </c>
      <c r="D1226" s="22">
        <f ca="1">IFERROR(__xludf.DUMMYFUNCTION("""COMPUTED_VALUE"""),0)</f>
        <v>0</v>
      </c>
      <c r="E1226" s="22">
        <f ca="1">IFERROR(__xludf.DUMMYFUNCTION("""COMPUTED_VALUE"""),500000)</f>
        <v>500000</v>
      </c>
      <c r="F1226" s="22">
        <f ca="1">IFERROR(__xludf.DUMMYFUNCTION("""COMPUTED_VALUE"""),500000)</f>
        <v>500000</v>
      </c>
      <c r="G1226" s="22">
        <f ca="1">IFERROR(__xludf.DUMMYFUNCTION("""COMPUTED_VALUE"""),0)</f>
        <v>0</v>
      </c>
      <c r="H1226" s="7">
        <f ca="1">IFERROR(__xludf.DUMMYFUNCTION("""COMPUTED_VALUE"""),500000)</f>
        <v>500000</v>
      </c>
    </row>
    <row r="1227" spans="1:8" ht="13" x14ac:dyDescent="0.15">
      <c r="A1227" s="5" t="str">
        <f ca="1">IFERROR(__xludf.DUMMYFUNCTION("""COMPUTED_VALUE"""),"38093")</f>
        <v>38093</v>
      </c>
      <c r="B1227" s="51">
        <f ca="1">IFERROR(__xludf.DUMMYFUNCTION("""COMPUTED_VALUE"""),44624)</f>
        <v>44624</v>
      </c>
      <c r="C1227" s="22">
        <f ca="1">IFERROR(__xludf.DUMMYFUNCTION("""COMPUTED_VALUE"""),500000)</f>
        <v>500000</v>
      </c>
      <c r="D1227" s="22">
        <f ca="1">IFERROR(__xludf.DUMMYFUNCTION("""COMPUTED_VALUE"""),0)</f>
        <v>0</v>
      </c>
      <c r="E1227" s="22">
        <f ca="1">IFERROR(__xludf.DUMMYFUNCTION("""COMPUTED_VALUE"""),500000)</f>
        <v>500000</v>
      </c>
      <c r="F1227" s="22">
        <f ca="1">IFERROR(__xludf.DUMMYFUNCTION("""COMPUTED_VALUE"""),500000)</f>
        <v>500000</v>
      </c>
      <c r="G1227" s="22">
        <f ca="1">IFERROR(__xludf.DUMMYFUNCTION("""COMPUTED_VALUE"""),0)</f>
        <v>0</v>
      </c>
      <c r="H1227" s="7">
        <f ca="1">IFERROR(__xludf.DUMMYFUNCTION("""COMPUTED_VALUE"""),500000)</f>
        <v>500000</v>
      </c>
    </row>
    <row r="1228" spans="1:8" ht="13" x14ac:dyDescent="0.15">
      <c r="A1228" s="5" t="str">
        <f ca="1">IFERROR(__xludf.DUMMYFUNCTION("""COMPUTED_VALUE"""),"38093")</f>
        <v>38093</v>
      </c>
      <c r="B1228" s="51">
        <f ca="1">IFERROR(__xludf.DUMMYFUNCTION("""COMPUTED_VALUE"""),44625)</f>
        <v>44625</v>
      </c>
      <c r="C1228" s="22">
        <f ca="1">IFERROR(__xludf.DUMMYFUNCTION("""COMPUTED_VALUE"""),500000)</f>
        <v>500000</v>
      </c>
      <c r="D1228" s="22">
        <f ca="1">IFERROR(__xludf.DUMMYFUNCTION("""COMPUTED_VALUE"""),0)</f>
        <v>0</v>
      </c>
      <c r="E1228" s="22">
        <f ca="1">IFERROR(__xludf.DUMMYFUNCTION("""COMPUTED_VALUE"""),500000)</f>
        <v>500000</v>
      </c>
      <c r="F1228" s="22">
        <f ca="1">IFERROR(__xludf.DUMMYFUNCTION("""COMPUTED_VALUE"""),500000)</f>
        <v>500000</v>
      </c>
      <c r="G1228" s="22">
        <f ca="1">IFERROR(__xludf.DUMMYFUNCTION("""COMPUTED_VALUE"""),0)</f>
        <v>0</v>
      </c>
      <c r="H1228" s="7">
        <f ca="1">IFERROR(__xludf.DUMMYFUNCTION("""COMPUTED_VALUE"""),500000)</f>
        <v>500000</v>
      </c>
    </row>
    <row r="1229" spans="1:8" ht="13" x14ac:dyDescent="0.15">
      <c r="A1229" s="5" t="str">
        <f ca="1">IFERROR(__xludf.DUMMYFUNCTION("""COMPUTED_VALUE"""),"38093")</f>
        <v>38093</v>
      </c>
      <c r="B1229" s="51">
        <f ca="1">IFERROR(__xludf.DUMMYFUNCTION("""COMPUTED_VALUE"""),44626)</f>
        <v>44626</v>
      </c>
      <c r="C1229" s="22">
        <f ca="1">IFERROR(__xludf.DUMMYFUNCTION("""COMPUTED_VALUE"""),500000)</f>
        <v>500000</v>
      </c>
      <c r="D1229" s="22">
        <f ca="1">IFERROR(__xludf.DUMMYFUNCTION("""COMPUTED_VALUE"""),0)</f>
        <v>0</v>
      </c>
      <c r="E1229" s="22">
        <f ca="1">IFERROR(__xludf.DUMMYFUNCTION("""COMPUTED_VALUE"""),500000)</f>
        <v>500000</v>
      </c>
      <c r="F1229" s="22">
        <f ca="1">IFERROR(__xludf.DUMMYFUNCTION("""COMPUTED_VALUE"""),500000)</f>
        <v>500000</v>
      </c>
      <c r="G1229" s="22">
        <f ca="1">IFERROR(__xludf.DUMMYFUNCTION("""COMPUTED_VALUE"""),0)</f>
        <v>0</v>
      </c>
      <c r="H1229" s="7">
        <f ca="1">IFERROR(__xludf.DUMMYFUNCTION("""COMPUTED_VALUE"""),500000)</f>
        <v>500000</v>
      </c>
    </row>
    <row r="1230" spans="1:8" ht="13" x14ac:dyDescent="0.15">
      <c r="A1230" s="5" t="str">
        <f ca="1">IFERROR(__xludf.DUMMYFUNCTION("""COMPUTED_VALUE"""),"38093")</f>
        <v>38093</v>
      </c>
      <c r="B1230" s="51">
        <f ca="1">IFERROR(__xludf.DUMMYFUNCTION("""COMPUTED_VALUE"""),44627)</f>
        <v>44627</v>
      </c>
      <c r="C1230" s="22">
        <f ca="1">IFERROR(__xludf.DUMMYFUNCTION("""COMPUTED_VALUE"""),500000)</f>
        <v>500000</v>
      </c>
      <c r="D1230" s="22">
        <f ca="1">IFERROR(__xludf.DUMMYFUNCTION("""COMPUTED_VALUE"""),0)</f>
        <v>0</v>
      </c>
      <c r="E1230" s="22">
        <f ca="1">IFERROR(__xludf.DUMMYFUNCTION("""COMPUTED_VALUE"""),500000)</f>
        <v>500000</v>
      </c>
      <c r="F1230" s="22">
        <f ca="1">IFERROR(__xludf.DUMMYFUNCTION("""COMPUTED_VALUE"""),500000)</f>
        <v>500000</v>
      </c>
      <c r="G1230" s="22">
        <f ca="1">IFERROR(__xludf.DUMMYFUNCTION("""COMPUTED_VALUE"""),0)</f>
        <v>0</v>
      </c>
      <c r="H1230" s="7">
        <f ca="1">IFERROR(__xludf.DUMMYFUNCTION("""COMPUTED_VALUE"""),500000)</f>
        <v>500000</v>
      </c>
    </row>
    <row r="1231" spans="1:8" ht="13" x14ac:dyDescent="0.15">
      <c r="A1231" s="5" t="str">
        <f ca="1">IFERROR(__xludf.DUMMYFUNCTION("""COMPUTED_VALUE"""),"38093")</f>
        <v>38093</v>
      </c>
      <c r="B1231" s="51">
        <f ca="1">IFERROR(__xludf.DUMMYFUNCTION("""COMPUTED_VALUE"""),44628)</f>
        <v>44628</v>
      </c>
      <c r="C1231" s="22">
        <f ca="1">IFERROR(__xludf.DUMMYFUNCTION("""COMPUTED_VALUE"""),500000)</f>
        <v>500000</v>
      </c>
      <c r="D1231" s="22">
        <f ca="1">IFERROR(__xludf.DUMMYFUNCTION("""COMPUTED_VALUE"""),0)</f>
        <v>0</v>
      </c>
      <c r="E1231" s="22">
        <f ca="1">IFERROR(__xludf.DUMMYFUNCTION("""COMPUTED_VALUE"""),500000)</f>
        <v>500000</v>
      </c>
      <c r="F1231" s="22">
        <f ca="1">IFERROR(__xludf.DUMMYFUNCTION("""COMPUTED_VALUE"""),500000)</f>
        <v>500000</v>
      </c>
      <c r="G1231" s="22">
        <f ca="1">IFERROR(__xludf.DUMMYFUNCTION("""COMPUTED_VALUE"""),0)</f>
        <v>0</v>
      </c>
      <c r="H1231" s="7">
        <f ca="1">IFERROR(__xludf.DUMMYFUNCTION("""COMPUTED_VALUE"""),500000)</f>
        <v>500000</v>
      </c>
    </row>
    <row r="1232" spans="1:8" ht="13" x14ac:dyDescent="0.15">
      <c r="A1232" s="5" t="str">
        <f ca="1">IFERROR(__xludf.DUMMYFUNCTION("""COMPUTED_VALUE"""),"38093")</f>
        <v>38093</v>
      </c>
      <c r="B1232" s="51">
        <f ca="1">IFERROR(__xludf.DUMMYFUNCTION("""COMPUTED_VALUE"""),44629)</f>
        <v>44629</v>
      </c>
      <c r="C1232" s="22">
        <f ca="1">IFERROR(__xludf.DUMMYFUNCTION("""COMPUTED_VALUE"""),500000)</f>
        <v>500000</v>
      </c>
      <c r="D1232" s="22">
        <f ca="1">IFERROR(__xludf.DUMMYFUNCTION("""COMPUTED_VALUE"""),0)</f>
        <v>0</v>
      </c>
      <c r="E1232" s="22">
        <f ca="1">IFERROR(__xludf.DUMMYFUNCTION("""COMPUTED_VALUE"""),500000)</f>
        <v>500000</v>
      </c>
      <c r="F1232" s="22">
        <f ca="1">IFERROR(__xludf.DUMMYFUNCTION("""COMPUTED_VALUE"""),500000)</f>
        <v>500000</v>
      </c>
      <c r="G1232" s="22">
        <f ca="1">IFERROR(__xludf.DUMMYFUNCTION("""COMPUTED_VALUE"""),0)</f>
        <v>0</v>
      </c>
      <c r="H1232" s="7">
        <f ca="1">IFERROR(__xludf.DUMMYFUNCTION("""COMPUTED_VALUE"""),500000)</f>
        <v>500000</v>
      </c>
    </row>
    <row r="1233" spans="1:8" ht="13" x14ac:dyDescent="0.15">
      <c r="A1233" s="5" t="str">
        <f ca="1">IFERROR(__xludf.DUMMYFUNCTION("""COMPUTED_VALUE"""),"38093")</f>
        <v>38093</v>
      </c>
      <c r="B1233" s="51">
        <f ca="1">IFERROR(__xludf.DUMMYFUNCTION("""COMPUTED_VALUE"""),44630)</f>
        <v>44630</v>
      </c>
      <c r="C1233" s="22">
        <f ca="1">IFERROR(__xludf.DUMMYFUNCTION("""COMPUTED_VALUE"""),500000)</f>
        <v>500000</v>
      </c>
      <c r="D1233" s="22">
        <f ca="1">IFERROR(__xludf.DUMMYFUNCTION("""COMPUTED_VALUE"""),0)</f>
        <v>0</v>
      </c>
      <c r="E1233" s="22">
        <f ca="1">IFERROR(__xludf.DUMMYFUNCTION("""COMPUTED_VALUE"""),500000)</f>
        <v>500000</v>
      </c>
      <c r="F1233" s="22">
        <f ca="1">IFERROR(__xludf.DUMMYFUNCTION("""COMPUTED_VALUE"""),500000)</f>
        <v>500000</v>
      </c>
      <c r="G1233" s="22">
        <f ca="1">IFERROR(__xludf.DUMMYFUNCTION("""COMPUTED_VALUE"""),0)</f>
        <v>0</v>
      </c>
      <c r="H1233" s="7">
        <f ca="1">IFERROR(__xludf.DUMMYFUNCTION("""COMPUTED_VALUE"""),500000)</f>
        <v>500000</v>
      </c>
    </row>
    <row r="1234" spans="1:8" ht="13" x14ac:dyDescent="0.15">
      <c r="A1234" s="5" t="str">
        <f ca="1">IFERROR(__xludf.DUMMYFUNCTION("""COMPUTED_VALUE"""),"38093")</f>
        <v>38093</v>
      </c>
      <c r="B1234" s="51">
        <f ca="1">IFERROR(__xludf.DUMMYFUNCTION("""COMPUTED_VALUE"""),44631)</f>
        <v>44631</v>
      </c>
      <c r="C1234" s="22">
        <f ca="1">IFERROR(__xludf.DUMMYFUNCTION("""COMPUTED_VALUE"""),500000)</f>
        <v>500000</v>
      </c>
      <c r="D1234" s="22">
        <f ca="1">IFERROR(__xludf.DUMMYFUNCTION("""COMPUTED_VALUE"""),0)</f>
        <v>0</v>
      </c>
      <c r="E1234" s="22">
        <f ca="1">IFERROR(__xludf.DUMMYFUNCTION("""COMPUTED_VALUE"""),500000)</f>
        <v>500000</v>
      </c>
      <c r="F1234" s="22">
        <f ca="1">IFERROR(__xludf.DUMMYFUNCTION("""COMPUTED_VALUE"""),500000)</f>
        <v>500000</v>
      </c>
      <c r="G1234" s="22">
        <f ca="1">IFERROR(__xludf.DUMMYFUNCTION("""COMPUTED_VALUE"""),0)</f>
        <v>0</v>
      </c>
      <c r="H1234" s="7">
        <f ca="1">IFERROR(__xludf.DUMMYFUNCTION("""COMPUTED_VALUE"""),500000)</f>
        <v>500000</v>
      </c>
    </row>
    <row r="1235" spans="1:8" ht="13" x14ac:dyDescent="0.15">
      <c r="A1235" s="5" t="str">
        <f ca="1">IFERROR(__xludf.DUMMYFUNCTION("""COMPUTED_VALUE"""),"38093")</f>
        <v>38093</v>
      </c>
      <c r="B1235" s="51">
        <f ca="1">IFERROR(__xludf.DUMMYFUNCTION("""COMPUTED_VALUE"""),44632)</f>
        <v>44632</v>
      </c>
      <c r="C1235" s="22">
        <f ca="1">IFERROR(__xludf.DUMMYFUNCTION("""COMPUTED_VALUE"""),500000)</f>
        <v>500000</v>
      </c>
      <c r="D1235" s="22">
        <f ca="1">IFERROR(__xludf.DUMMYFUNCTION("""COMPUTED_VALUE"""),0)</f>
        <v>0</v>
      </c>
      <c r="E1235" s="22">
        <f ca="1">IFERROR(__xludf.DUMMYFUNCTION("""COMPUTED_VALUE"""),500000)</f>
        <v>500000</v>
      </c>
      <c r="F1235" s="22">
        <f ca="1">IFERROR(__xludf.DUMMYFUNCTION("""COMPUTED_VALUE"""),500000)</f>
        <v>500000</v>
      </c>
      <c r="G1235" s="22">
        <f ca="1">IFERROR(__xludf.DUMMYFUNCTION("""COMPUTED_VALUE"""),0)</f>
        <v>0</v>
      </c>
      <c r="H1235" s="7">
        <f ca="1">IFERROR(__xludf.DUMMYFUNCTION("""COMPUTED_VALUE"""),500000)</f>
        <v>500000</v>
      </c>
    </row>
    <row r="1236" spans="1:8" ht="13" x14ac:dyDescent="0.15">
      <c r="A1236" s="5" t="str">
        <f ca="1">IFERROR(__xludf.DUMMYFUNCTION("""COMPUTED_VALUE"""),"38093")</f>
        <v>38093</v>
      </c>
      <c r="B1236" s="51">
        <f ca="1">IFERROR(__xludf.DUMMYFUNCTION("""COMPUTED_VALUE"""),44633)</f>
        <v>44633</v>
      </c>
      <c r="C1236" s="22">
        <f ca="1">IFERROR(__xludf.DUMMYFUNCTION("""COMPUTED_VALUE"""),500000)</f>
        <v>500000</v>
      </c>
      <c r="D1236" s="22">
        <f ca="1">IFERROR(__xludf.DUMMYFUNCTION("""COMPUTED_VALUE"""),0)</f>
        <v>0</v>
      </c>
      <c r="E1236" s="22">
        <f ca="1">IFERROR(__xludf.DUMMYFUNCTION("""COMPUTED_VALUE"""),500000)</f>
        <v>500000</v>
      </c>
      <c r="F1236" s="22">
        <f ca="1">IFERROR(__xludf.DUMMYFUNCTION("""COMPUTED_VALUE"""),500000)</f>
        <v>500000</v>
      </c>
      <c r="G1236" s="22">
        <f ca="1">IFERROR(__xludf.DUMMYFUNCTION("""COMPUTED_VALUE"""),0)</f>
        <v>0</v>
      </c>
      <c r="H1236" s="7">
        <f ca="1">IFERROR(__xludf.DUMMYFUNCTION("""COMPUTED_VALUE"""),500000)</f>
        <v>500000</v>
      </c>
    </row>
    <row r="1237" spans="1:8" ht="13" x14ac:dyDescent="0.15">
      <c r="A1237" s="5" t="str">
        <f ca="1">IFERROR(__xludf.DUMMYFUNCTION("""COMPUTED_VALUE"""),"38093")</f>
        <v>38093</v>
      </c>
      <c r="B1237" s="51">
        <f ca="1">IFERROR(__xludf.DUMMYFUNCTION("""COMPUTED_VALUE"""),44634)</f>
        <v>44634</v>
      </c>
      <c r="C1237" s="22">
        <f ca="1">IFERROR(__xludf.DUMMYFUNCTION("""COMPUTED_VALUE"""),500000)</f>
        <v>500000</v>
      </c>
      <c r="D1237" s="22">
        <f ca="1">IFERROR(__xludf.DUMMYFUNCTION("""COMPUTED_VALUE"""),0)</f>
        <v>0</v>
      </c>
      <c r="E1237" s="22">
        <f ca="1">IFERROR(__xludf.DUMMYFUNCTION("""COMPUTED_VALUE"""),500000)</f>
        <v>500000</v>
      </c>
      <c r="F1237" s="22">
        <f ca="1">IFERROR(__xludf.DUMMYFUNCTION("""COMPUTED_VALUE"""),500000)</f>
        <v>500000</v>
      </c>
      <c r="G1237" s="22">
        <f ca="1">IFERROR(__xludf.DUMMYFUNCTION("""COMPUTED_VALUE"""),0)</f>
        <v>0</v>
      </c>
      <c r="H1237" s="7">
        <f ca="1">IFERROR(__xludf.DUMMYFUNCTION("""COMPUTED_VALUE"""),500000)</f>
        <v>500000</v>
      </c>
    </row>
    <row r="1238" spans="1:8" ht="13" x14ac:dyDescent="0.15">
      <c r="A1238" s="5" t="str">
        <f ca="1">IFERROR(__xludf.DUMMYFUNCTION("""COMPUTED_VALUE"""),"38093")</f>
        <v>38093</v>
      </c>
      <c r="B1238" s="51">
        <f ca="1">IFERROR(__xludf.DUMMYFUNCTION("""COMPUTED_VALUE"""),44635)</f>
        <v>44635</v>
      </c>
      <c r="C1238" s="22">
        <f ca="1">IFERROR(__xludf.DUMMYFUNCTION("""COMPUTED_VALUE"""),500000)</f>
        <v>500000</v>
      </c>
      <c r="D1238" s="22">
        <f ca="1">IFERROR(__xludf.DUMMYFUNCTION("""COMPUTED_VALUE"""),0)</f>
        <v>0</v>
      </c>
      <c r="E1238" s="22">
        <f ca="1">IFERROR(__xludf.DUMMYFUNCTION("""COMPUTED_VALUE"""),500000)</f>
        <v>500000</v>
      </c>
      <c r="F1238" s="22">
        <f ca="1">IFERROR(__xludf.DUMMYFUNCTION("""COMPUTED_VALUE"""),500000)</f>
        <v>500000</v>
      </c>
      <c r="G1238" s="22">
        <f ca="1">IFERROR(__xludf.DUMMYFUNCTION("""COMPUTED_VALUE"""),0)</f>
        <v>0</v>
      </c>
      <c r="H1238" s="7">
        <f ca="1">IFERROR(__xludf.DUMMYFUNCTION("""COMPUTED_VALUE"""),500000)</f>
        <v>500000</v>
      </c>
    </row>
    <row r="1239" spans="1:8" ht="13" x14ac:dyDescent="0.15">
      <c r="A1239" s="5" t="str">
        <f ca="1">IFERROR(__xludf.DUMMYFUNCTION("""COMPUTED_VALUE"""),"38093")</f>
        <v>38093</v>
      </c>
      <c r="B1239" s="51">
        <f ca="1">IFERROR(__xludf.DUMMYFUNCTION("""COMPUTED_VALUE"""),44636)</f>
        <v>44636</v>
      </c>
      <c r="C1239" s="22">
        <f ca="1">IFERROR(__xludf.DUMMYFUNCTION("""COMPUTED_VALUE"""),500000)</f>
        <v>500000</v>
      </c>
      <c r="D1239" s="22">
        <f ca="1">IFERROR(__xludf.DUMMYFUNCTION("""COMPUTED_VALUE"""),0)</f>
        <v>0</v>
      </c>
      <c r="E1239" s="22">
        <f ca="1">IFERROR(__xludf.DUMMYFUNCTION("""COMPUTED_VALUE"""),500000)</f>
        <v>500000</v>
      </c>
      <c r="F1239" s="22">
        <f ca="1">IFERROR(__xludf.DUMMYFUNCTION("""COMPUTED_VALUE"""),500000)</f>
        <v>500000</v>
      </c>
      <c r="G1239" s="22">
        <f ca="1">IFERROR(__xludf.DUMMYFUNCTION("""COMPUTED_VALUE"""),0)</f>
        <v>0</v>
      </c>
      <c r="H1239" s="7">
        <f ca="1">IFERROR(__xludf.DUMMYFUNCTION("""COMPUTED_VALUE"""),500000)</f>
        <v>500000</v>
      </c>
    </row>
    <row r="1240" spans="1:8" ht="13" x14ac:dyDescent="0.15">
      <c r="A1240" s="5" t="str">
        <f ca="1">IFERROR(__xludf.DUMMYFUNCTION("""COMPUTED_VALUE"""),"38093")</f>
        <v>38093</v>
      </c>
      <c r="B1240" s="51">
        <f ca="1">IFERROR(__xludf.DUMMYFUNCTION("""COMPUTED_VALUE"""),44637)</f>
        <v>44637</v>
      </c>
      <c r="C1240" s="22">
        <f ca="1">IFERROR(__xludf.DUMMYFUNCTION("""COMPUTED_VALUE"""),500000)</f>
        <v>500000</v>
      </c>
      <c r="D1240" s="22">
        <f ca="1">IFERROR(__xludf.DUMMYFUNCTION("""COMPUTED_VALUE"""),0)</f>
        <v>0</v>
      </c>
      <c r="E1240" s="22">
        <f ca="1">IFERROR(__xludf.DUMMYFUNCTION("""COMPUTED_VALUE"""),500000)</f>
        <v>500000</v>
      </c>
      <c r="F1240" s="22">
        <f ca="1">IFERROR(__xludf.DUMMYFUNCTION("""COMPUTED_VALUE"""),500000)</f>
        <v>500000</v>
      </c>
      <c r="G1240" s="22">
        <f ca="1">IFERROR(__xludf.DUMMYFUNCTION("""COMPUTED_VALUE"""),0)</f>
        <v>0</v>
      </c>
      <c r="H1240" s="7">
        <f ca="1">IFERROR(__xludf.DUMMYFUNCTION("""COMPUTED_VALUE"""),500000)</f>
        <v>500000</v>
      </c>
    </row>
    <row r="1241" spans="1:8" ht="13" x14ac:dyDescent="0.15">
      <c r="A1241" s="5" t="str">
        <f ca="1">IFERROR(__xludf.DUMMYFUNCTION("""COMPUTED_VALUE"""),"38093")</f>
        <v>38093</v>
      </c>
      <c r="B1241" s="51">
        <f ca="1">IFERROR(__xludf.DUMMYFUNCTION("""COMPUTED_VALUE"""),44638)</f>
        <v>44638</v>
      </c>
      <c r="C1241" s="22">
        <f ca="1">IFERROR(__xludf.DUMMYFUNCTION("""COMPUTED_VALUE"""),500000)</f>
        <v>500000</v>
      </c>
      <c r="D1241" s="22">
        <f ca="1">IFERROR(__xludf.DUMMYFUNCTION("""COMPUTED_VALUE"""),0)</f>
        <v>0</v>
      </c>
      <c r="E1241" s="22">
        <f ca="1">IFERROR(__xludf.DUMMYFUNCTION("""COMPUTED_VALUE"""),500000)</f>
        <v>500000</v>
      </c>
      <c r="F1241" s="22">
        <f ca="1">IFERROR(__xludf.DUMMYFUNCTION("""COMPUTED_VALUE"""),500000)</f>
        <v>500000</v>
      </c>
      <c r="G1241" s="22">
        <f ca="1">IFERROR(__xludf.DUMMYFUNCTION("""COMPUTED_VALUE"""),0)</f>
        <v>0</v>
      </c>
      <c r="H1241" s="7">
        <f ca="1">IFERROR(__xludf.DUMMYFUNCTION("""COMPUTED_VALUE"""),500000)</f>
        <v>500000</v>
      </c>
    </row>
    <row r="1242" spans="1:8" ht="13" x14ac:dyDescent="0.15">
      <c r="A1242" s="5" t="str">
        <f ca="1">IFERROR(__xludf.DUMMYFUNCTION("""COMPUTED_VALUE"""),"38093")</f>
        <v>38093</v>
      </c>
      <c r="B1242" s="51">
        <f ca="1">IFERROR(__xludf.DUMMYFUNCTION("""COMPUTED_VALUE"""),44639)</f>
        <v>44639</v>
      </c>
      <c r="C1242" s="22">
        <f ca="1">IFERROR(__xludf.DUMMYFUNCTION("""COMPUTED_VALUE"""),500000)</f>
        <v>500000</v>
      </c>
      <c r="D1242" s="22">
        <f ca="1">IFERROR(__xludf.DUMMYFUNCTION("""COMPUTED_VALUE"""),0)</f>
        <v>0</v>
      </c>
      <c r="E1242" s="22">
        <f ca="1">IFERROR(__xludf.DUMMYFUNCTION("""COMPUTED_VALUE"""),500000)</f>
        <v>500000</v>
      </c>
      <c r="F1242" s="22">
        <f ca="1">IFERROR(__xludf.DUMMYFUNCTION("""COMPUTED_VALUE"""),500000)</f>
        <v>500000</v>
      </c>
      <c r="G1242" s="22">
        <f ca="1">IFERROR(__xludf.DUMMYFUNCTION("""COMPUTED_VALUE"""),0)</f>
        <v>0</v>
      </c>
      <c r="H1242" s="7">
        <f ca="1">IFERROR(__xludf.DUMMYFUNCTION("""COMPUTED_VALUE"""),500000)</f>
        <v>500000</v>
      </c>
    </row>
    <row r="1243" spans="1:8" ht="13" x14ac:dyDescent="0.15">
      <c r="A1243" s="5" t="str">
        <f ca="1">IFERROR(__xludf.DUMMYFUNCTION("""COMPUTED_VALUE"""),"38093")</f>
        <v>38093</v>
      </c>
      <c r="B1243" s="51">
        <f ca="1">IFERROR(__xludf.DUMMYFUNCTION("""COMPUTED_VALUE"""),44640)</f>
        <v>44640</v>
      </c>
      <c r="C1243" s="22">
        <f ca="1">IFERROR(__xludf.DUMMYFUNCTION("""COMPUTED_VALUE"""),500000)</f>
        <v>500000</v>
      </c>
      <c r="D1243" s="22">
        <f ca="1">IFERROR(__xludf.DUMMYFUNCTION("""COMPUTED_VALUE"""),0)</f>
        <v>0</v>
      </c>
      <c r="E1243" s="22">
        <f ca="1">IFERROR(__xludf.DUMMYFUNCTION("""COMPUTED_VALUE"""),500000)</f>
        <v>500000</v>
      </c>
      <c r="F1243" s="22">
        <f ca="1">IFERROR(__xludf.DUMMYFUNCTION("""COMPUTED_VALUE"""),500000)</f>
        <v>500000</v>
      </c>
      <c r="G1243" s="22">
        <f ca="1">IFERROR(__xludf.DUMMYFUNCTION("""COMPUTED_VALUE"""),0)</f>
        <v>0</v>
      </c>
      <c r="H1243" s="7">
        <f ca="1">IFERROR(__xludf.DUMMYFUNCTION("""COMPUTED_VALUE"""),500000)</f>
        <v>500000</v>
      </c>
    </row>
    <row r="1244" spans="1:8" ht="13" x14ac:dyDescent="0.15">
      <c r="A1244" s="5" t="str">
        <f ca="1">IFERROR(__xludf.DUMMYFUNCTION("""COMPUTED_VALUE"""),"38093")</f>
        <v>38093</v>
      </c>
      <c r="B1244" s="51">
        <f ca="1">IFERROR(__xludf.DUMMYFUNCTION("""COMPUTED_VALUE"""),44641)</f>
        <v>44641</v>
      </c>
      <c r="C1244" s="22">
        <f ca="1">IFERROR(__xludf.DUMMYFUNCTION("""COMPUTED_VALUE"""),500000)</f>
        <v>500000</v>
      </c>
      <c r="D1244" s="22">
        <f ca="1">IFERROR(__xludf.DUMMYFUNCTION("""COMPUTED_VALUE"""),0)</f>
        <v>0</v>
      </c>
      <c r="E1244" s="22">
        <f ca="1">IFERROR(__xludf.DUMMYFUNCTION("""COMPUTED_VALUE"""),500000)</f>
        <v>500000</v>
      </c>
      <c r="F1244" s="22">
        <f ca="1">IFERROR(__xludf.DUMMYFUNCTION("""COMPUTED_VALUE"""),500000)</f>
        <v>500000</v>
      </c>
      <c r="G1244" s="22">
        <f ca="1">IFERROR(__xludf.DUMMYFUNCTION("""COMPUTED_VALUE"""),0)</f>
        <v>0</v>
      </c>
      <c r="H1244" s="7">
        <f ca="1">IFERROR(__xludf.DUMMYFUNCTION("""COMPUTED_VALUE"""),500000)</f>
        <v>500000</v>
      </c>
    </row>
    <row r="1245" spans="1:8" ht="13" x14ac:dyDescent="0.15">
      <c r="A1245" s="5" t="str">
        <f ca="1">IFERROR(__xludf.DUMMYFUNCTION("""COMPUTED_VALUE"""),"38093")</f>
        <v>38093</v>
      </c>
      <c r="B1245" s="51">
        <f ca="1">IFERROR(__xludf.DUMMYFUNCTION("""COMPUTED_VALUE"""),44642)</f>
        <v>44642</v>
      </c>
      <c r="C1245" s="22">
        <f ca="1">IFERROR(__xludf.DUMMYFUNCTION("""COMPUTED_VALUE"""),500000)</f>
        <v>500000</v>
      </c>
      <c r="D1245" s="22">
        <f ca="1">IFERROR(__xludf.DUMMYFUNCTION("""COMPUTED_VALUE"""),0)</f>
        <v>0</v>
      </c>
      <c r="E1245" s="22">
        <f ca="1">IFERROR(__xludf.DUMMYFUNCTION("""COMPUTED_VALUE"""),500000)</f>
        <v>500000</v>
      </c>
      <c r="F1245" s="22">
        <f ca="1">IFERROR(__xludf.DUMMYFUNCTION("""COMPUTED_VALUE"""),500000)</f>
        <v>500000</v>
      </c>
      <c r="G1245" s="22">
        <f ca="1">IFERROR(__xludf.DUMMYFUNCTION("""COMPUTED_VALUE"""),0)</f>
        <v>0</v>
      </c>
      <c r="H1245" s="7">
        <f ca="1">IFERROR(__xludf.DUMMYFUNCTION("""COMPUTED_VALUE"""),500000)</f>
        <v>500000</v>
      </c>
    </row>
    <row r="1246" spans="1:8" ht="13" x14ac:dyDescent="0.15">
      <c r="A1246" s="5" t="str">
        <f ca="1">IFERROR(__xludf.DUMMYFUNCTION("""COMPUTED_VALUE"""),"38105")</f>
        <v>38105</v>
      </c>
      <c r="B1246" s="51">
        <f ca="1">IFERROR(__xludf.DUMMYFUNCTION("""COMPUTED_VALUE"""),44597)</f>
        <v>44597</v>
      </c>
      <c r="C1246" s="22">
        <f ca="1">IFERROR(__xludf.DUMMYFUNCTION("""COMPUTED_VALUE"""),500000)</f>
        <v>500000</v>
      </c>
      <c r="D1246" s="22">
        <f ca="1">IFERROR(__xludf.DUMMYFUNCTION("""COMPUTED_VALUE"""),0)</f>
        <v>0</v>
      </c>
      <c r="E1246" s="22">
        <f ca="1">IFERROR(__xludf.DUMMYFUNCTION("""COMPUTED_VALUE"""),500000)</f>
        <v>500000</v>
      </c>
      <c r="F1246" s="22">
        <f ca="1">IFERROR(__xludf.DUMMYFUNCTION("""COMPUTED_VALUE"""),500000)</f>
        <v>500000</v>
      </c>
      <c r="G1246" s="22">
        <f ca="1">IFERROR(__xludf.DUMMYFUNCTION("""COMPUTED_VALUE"""),0)</f>
        <v>0</v>
      </c>
      <c r="H1246" s="7">
        <f ca="1">IFERROR(__xludf.DUMMYFUNCTION("""COMPUTED_VALUE"""),500000)</f>
        <v>500000</v>
      </c>
    </row>
    <row r="1247" spans="1:8" ht="13" x14ac:dyDescent="0.15">
      <c r="A1247" s="5" t="str">
        <f ca="1">IFERROR(__xludf.DUMMYFUNCTION("""COMPUTED_VALUE"""),"38105")</f>
        <v>38105</v>
      </c>
      <c r="B1247" s="51">
        <f ca="1">IFERROR(__xludf.DUMMYFUNCTION("""COMPUTED_VALUE"""),44598)</f>
        <v>44598</v>
      </c>
      <c r="C1247" s="22">
        <f ca="1">IFERROR(__xludf.DUMMYFUNCTION("""COMPUTED_VALUE"""),500000)</f>
        <v>500000</v>
      </c>
      <c r="D1247" s="22">
        <f ca="1">IFERROR(__xludf.DUMMYFUNCTION("""COMPUTED_VALUE"""),0)</f>
        <v>0</v>
      </c>
      <c r="E1247" s="22">
        <f ca="1">IFERROR(__xludf.DUMMYFUNCTION("""COMPUTED_VALUE"""),500000)</f>
        <v>500000</v>
      </c>
      <c r="F1247" s="22">
        <f ca="1">IFERROR(__xludf.DUMMYFUNCTION("""COMPUTED_VALUE"""),500000)</f>
        <v>500000</v>
      </c>
      <c r="G1247" s="22">
        <f ca="1">IFERROR(__xludf.DUMMYFUNCTION("""COMPUTED_VALUE"""),0)</f>
        <v>0</v>
      </c>
      <c r="H1247" s="7">
        <f ca="1">IFERROR(__xludf.DUMMYFUNCTION("""COMPUTED_VALUE"""),500000)</f>
        <v>500000</v>
      </c>
    </row>
    <row r="1248" spans="1:8" ht="13" x14ac:dyDescent="0.15">
      <c r="A1248" s="5" t="str">
        <f ca="1">IFERROR(__xludf.DUMMYFUNCTION("""COMPUTED_VALUE"""),"38105")</f>
        <v>38105</v>
      </c>
      <c r="B1248" s="51">
        <f ca="1">IFERROR(__xludf.DUMMYFUNCTION("""COMPUTED_VALUE"""),44599)</f>
        <v>44599</v>
      </c>
      <c r="C1248" s="22">
        <f ca="1">IFERROR(__xludf.DUMMYFUNCTION("""COMPUTED_VALUE"""),500000)</f>
        <v>500000</v>
      </c>
      <c r="D1248" s="22">
        <f ca="1">IFERROR(__xludf.DUMMYFUNCTION("""COMPUTED_VALUE"""),0)</f>
        <v>0</v>
      </c>
      <c r="E1248" s="22">
        <f ca="1">IFERROR(__xludf.DUMMYFUNCTION("""COMPUTED_VALUE"""),500000)</f>
        <v>500000</v>
      </c>
      <c r="F1248" s="22">
        <f ca="1">IFERROR(__xludf.DUMMYFUNCTION("""COMPUTED_VALUE"""),500000)</f>
        <v>500000</v>
      </c>
      <c r="G1248" s="22">
        <f ca="1">IFERROR(__xludf.DUMMYFUNCTION("""COMPUTED_VALUE"""),0)</f>
        <v>0</v>
      </c>
      <c r="H1248" s="7">
        <f ca="1">IFERROR(__xludf.DUMMYFUNCTION("""COMPUTED_VALUE"""),500000)</f>
        <v>500000</v>
      </c>
    </row>
    <row r="1249" spans="1:8" ht="13" x14ac:dyDescent="0.15">
      <c r="A1249" s="5" t="str">
        <f ca="1">IFERROR(__xludf.DUMMYFUNCTION("""COMPUTED_VALUE"""),"38105")</f>
        <v>38105</v>
      </c>
      <c r="B1249" s="51">
        <f ca="1">IFERROR(__xludf.DUMMYFUNCTION("""COMPUTED_VALUE"""),44600)</f>
        <v>44600</v>
      </c>
      <c r="C1249" s="22">
        <f ca="1">IFERROR(__xludf.DUMMYFUNCTION("""COMPUTED_VALUE"""),500000)</f>
        <v>500000</v>
      </c>
      <c r="D1249" s="22">
        <f ca="1">IFERROR(__xludf.DUMMYFUNCTION("""COMPUTED_VALUE"""),0)</f>
        <v>0</v>
      </c>
      <c r="E1249" s="22">
        <f ca="1">IFERROR(__xludf.DUMMYFUNCTION("""COMPUTED_VALUE"""),500000)</f>
        <v>500000</v>
      </c>
      <c r="F1249" s="22">
        <f ca="1">IFERROR(__xludf.DUMMYFUNCTION("""COMPUTED_VALUE"""),500000)</f>
        <v>500000</v>
      </c>
      <c r="G1249" s="22">
        <f ca="1">IFERROR(__xludf.DUMMYFUNCTION("""COMPUTED_VALUE"""),0)</f>
        <v>0</v>
      </c>
      <c r="H1249" s="7">
        <f ca="1">IFERROR(__xludf.DUMMYFUNCTION("""COMPUTED_VALUE"""),500000)</f>
        <v>500000</v>
      </c>
    </row>
    <row r="1250" spans="1:8" ht="13" x14ac:dyDescent="0.15">
      <c r="A1250" s="5" t="str">
        <f ca="1">IFERROR(__xludf.DUMMYFUNCTION("""COMPUTED_VALUE"""),"38105")</f>
        <v>38105</v>
      </c>
      <c r="B1250" s="51">
        <f ca="1">IFERROR(__xludf.DUMMYFUNCTION("""COMPUTED_VALUE"""),44601)</f>
        <v>44601</v>
      </c>
      <c r="C1250" s="22">
        <f ca="1">IFERROR(__xludf.DUMMYFUNCTION("""COMPUTED_VALUE"""),500000)</f>
        <v>500000</v>
      </c>
      <c r="D1250" s="22">
        <f ca="1">IFERROR(__xludf.DUMMYFUNCTION("""COMPUTED_VALUE"""),0)</f>
        <v>0</v>
      </c>
      <c r="E1250" s="22">
        <f ca="1">IFERROR(__xludf.DUMMYFUNCTION("""COMPUTED_VALUE"""),500000)</f>
        <v>500000</v>
      </c>
      <c r="F1250" s="22">
        <f ca="1">IFERROR(__xludf.DUMMYFUNCTION("""COMPUTED_VALUE"""),500000)</f>
        <v>500000</v>
      </c>
      <c r="G1250" s="22">
        <f ca="1">IFERROR(__xludf.DUMMYFUNCTION("""COMPUTED_VALUE"""),0)</f>
        <v>0</v>
      </c>
      <c r="H1250" s="7">
        <f ca="1">IFERROR(__xludf.DUMMYFUNCTION("""COMPUTED_VALUE"""),500000)</f>
        <v>500000</v>
      </c>
    </row>
    <row r="1251" spans="1:8" ht="13" x14ac:dyDescent="0.15">
      <c r="A1251" s="5" t="str">
        <f ca="1">IFERROR(__xludf.DUMMYFUNCTION("""COMPUTED_VALUE"""),"38105")</f>
        <v>38105</v>
      </c>
      <c r="B1251" s="51">
        <f ca="1">IFERROR(__xludf.DUMMYFUNCTION("""COMPUTED_VALUE"""),44602)</f>
        <v>44602</v>
      </c>
      <c r="C1251" s="22">
        <f ca="1">IFERROR(__xludf.DUMMYFUNCTION("""COMPUTED_VALUE"""),500000)</f>
        <v>500000</v>
      </c>
      <c r="D1251" s="22">
        <f ca="1">IFERROR(__xludf.DUMMYFUNCTION("""COMPUTED_VALUE"""),0)</f>
        <v>0</v>
      </c>
      <c r="E1251" s="22">
        <f ca="1">IFERROR(__xludf.DUMMYFUNCTION("""COMPUTED_VALUE"""),500000)</f>
        <v>500000</v>
      </c>
      <c r="F1251" s="22">
        <f ca="1">IFERROR(__xludf.DUMMYFUNCTION("""COMPUTED_VALUE"""),500000)</f>
        <v>500000</v>
      </c>
      <c r="G1251" s="22">
        <f ca="1">IFERROR(__xludf.DUMMYFUNCTION("""COMPUTED_VALUE"""),0)</f>
        <v>0</v>
      </c>
      <c r="H1251" s="7">
        <f ca="1">IFERROR(__xludf.DUMMYFUNCTION("""COMPUTED_VALUE"""),500000)</f>
        <v>500000</v>
      </c>
    </row>
    <row r="1252" spans="1:8" ht="13" x14ac:dyDescent="0.15">
      <c r="A1252" s="5" t="str">
        <f ca="1">IFERROR(__xludf.DUMMYFUNCTION("""COMPUTED_VALUE"""),"38105")</f>
        <v>38105</v>
      </c>
      <c r="B1252" s="51">
        <f ca="1">IFERROR(__xludf.DUMMYFUNCTION("""COMPUTED_VALUE"""),44603)</f>
        <v>44603</v>
      </c>
      <c r="C1252" s="22">
        <f ca="1">IFERROR(__xludf.DUMMYFUNCTION("""COMPUTED_VALUE"""),500000)</f>
        <v>500000</v>
      </c>
      <c r="D1252" s="22">
        <f ca="1">IFERROR(__xludf.DUMMYFUNCTION("""COMPUTED_VALUE"""),0)</f>
        <v>0</v>
      </c>
      <c r="E1252" s="22">
        <f ca="1">IFERROR(__xludf.DUMMYFUNCTION("""COMPUTED_VALUE"""),500000)</f>
        <v>500000</v>
      </c>
      <c r="F1252" s="22">
        <f ca="1">IFERROR(__xludf.DUMMYFUNCTION("""COMPUTED_VALUE"""),500000)</f>
        <v>500000</v>
      </c>
      <c r="G1252" s="22">
        <f ca="1">IFERROR(__xludf.DUMMYFUNCTION("""COMPUTED_VALUE"""),0)</f>
        <v>0</v>
      </c>
      <c r="H1252" s="7">
        <f ca="1">IFERROR(__xludf.DUMMYFUNCTION("""COMPUTED_VALUE"""),500000)</f>
        <v>500000</v>
      </c>
    </row>
    <row r="1253" spans="1:8" ht="13" x14ac:dyDescent="0.15">
      <c r="A1253" s="5" t="str">
        <f ca="1">IFERROR(__xludf.DUMMYFUNCTION("""COMPUTED_VALUE"""),"38105")</f>
        <v>38105</v>
      </c>
      <c r="B1253" s="51">
        <f ca="1">IFERROR(__xludf.DUMMYFUNCTION("""COMPUTED_VALUE"""),44604)</f>
        <v>44604</v>
      </c>
      <c r="C1253" s="22">
        <f ca="1">IFERROR(__xludf.DUMMYFUNCTION("""COMPUTED_VALUE"""),500000)</f>
        <v>500000</v>
      </c>
      <c r="D1253" s="22">
        <f ca="1">IFERROR(__xludf.DUMMYFUNCTION("""COMPUTED_VALUE"""),0)</f>
        <v>0</v>
      </c>
      <c r="E1253" s="22">
        <f ca="1">IFERROR(__xludf.DUMMYFUNCTION("""COMPUTED_VALUE"""),500000)</f>
        <v>500000</v>
      </c>
      <c r="F1253" s="22">
        <f ca="1">IFERROR(__xludf.DUMMYFUNCTION("""COMPUTED_VALUE"""),500000)</f>
        <v>500000</v>
      </c>
      <c r="G1253" s="22">
        <f ca="1">IFERROR(__xludf.DUMMYFUNCTION("""COMPUTED_VALUE"""),0)</f>
        <v>0</v>
      </c>
      <c r="H1253" s="7">
        <f ca="1">IFERROR(__xludf.DUMMYFUNCTION("""COMPUTED_VALUE"""),500000)</f>
        <v>500000</v>
      </c>
    </row>
    <row r="1254" spans="1:8" ht="13" x14ac:dyDescent="0.15">
      <c r="A1254" s="5" t="str">
        <f ca="1">IFERROR(__xludf.DUMMYFUNCTION("""COMPUTED_VALUE"""),"38105")</f>
        <v>38105</v>
      </c>
      <c r="B1254" s="51">
        <f ca="1">IFERROR(__xludf.DUMMYFUNCTION("""COMPUTED_VALUE"""),44605)</f>
        <v>44605</v>
      </c>
      <c r="C1254" s="22">
        <f ca="1">IFERROR(__xludf.DUMMYFUNCTION("""COMPUTED_VALUE"""),500000)</f>
        <v>500000</v>
      </c>
      <c r="D1254" s="22">
        <f ca="1">IFERROR(__xludf.DUMMYFUNCTION("""COMPUTED_VALUE"""),0)</f>
        <v>0</v>
      </c>
      <c r="E1254" s="22">
        <f ca="1">IFERROR(__xludf.DUMMYFUNCTION("""COMPUTED_VALUE"""),500000)</f>
        <v>500000</v>
      </c>
      <c r="F1254" s="22">
        <f ca="1">IFERROR(__xludf.DUMMYFUNCTION("""COMPUTED_VALUE"""),500000)</f>
        <v>500000</v>
      </c>
      <c r="G1254" s="22">
        <f ca="1">IFERROR(__xludf.DUMMYFUNCTION("""COMPUTED_VALUE"""),0)</f>
        <v>0</v>
      </c>
      <c r="H1254" s="7">
        <f ca="1">IFERROR(__xludf.DUMMYFUNCTION("""COMPUTED_VALUE"""),500000)</f>
        <v>500000</v>
      </c>
    </row>
    <row r="1255" spans="1:8" ht="13" x14ac:dyDescent="0.15">
      <c r="A1255" s="5" t="str">
        <f ca="1">IFERROR(__xludf.DUMMYFUNCTION("""COMPUTED_VALUE"""),"38105")</f>
        <v>38105</v>
      </c>
      <c r="B1255" s="51">
        <f ca="1">IFERROR(__xludf.DUMMYFUNCTION("""COMPUTED_VALUE"""),44606)</f>
        <v>44606</v>
      </c>
      <c r="C1255" s="22">
        <f ca="1">IFERROR(__xludf.DUMMYFUNCTION("""COMPUTED_VALUE"""),500000)</f>
        <v>500000</v>
      </c>
      <c r="D1255" s="22">
        <f ca="1">IFERROR(__xludf.DUMMYFUNCTION("""COMPUTED_VALUE"""),0)</f>
        <v>0</v>
      </c>
      <c r="E1255" s="22">
        <f ca="1">IFERROR(__xludf.DUMMYFUNCTION("""COMPUTED_VALUE"""),500000)</f>
        <v>500000</v>
      </c>
      <c r="F1255" s="22">
        <f ca="1">IFERROR(__xludf.DUMMYFUNCTION("""COMPUTED_VALUE"""),500000)</f>
        <v>500000</v>
      </c>
      <c r="G1255" s="22">
        <f ca="1">IFERROR(__xludf.DUMMYFUNCTION("""COMPUTED_VALUE"""),0)</f>
        <v>0</v>
      </c>
      <c r="H1255" s="7">
        <f ca="1">IFERROR(__xludf.DUMMYFUNCTION("""COMPUTED_VALUE"""),500000)</f>
        <v>500000</v>
      </c>
    </row>
    <row r="1256" spans="1:8" ht="13" x14ac:dyDescent="0.15">
      <c r="A1256" s="5" t="str">
        <f ca="1">IFERROR(__xludf.DUMMYFUNCTION("""COMPUTED_VALUE"""),"38105")</f>
        <v>38105</v>
      </c>
      <c r="B1256" s="51">
        <f ca="1">IFERROR(__xludf.DUMMYFUNCTION("""COMPUTED_VALUE"""),44607)</f>
        <v>44607</v>
      </c>
      <c r="C1256" s="22">
        <f ca="1">IFERROR(__xludf.DUMMYFUNCTION("""COMPUTED_VALUE"""),500000)</f>
        <v>500000</v>
      </c>
      <c r="D1256" s="22">
        <f ca="1">IFERROR(__xludf.DUMMYFUNCTION("""COMPUTED_VALUE"""),0)</f>
        <v>0</v>
      </c>
      <c r="E1256" s="22">
        <f ca="1">IFERROR(__xludf.DUMMYFUNCTION("""COMPUTED_VALUE"""),500000)</f>
        <v>500000</v>
      </c>
      <c r="F1256" s="22">
        <f ca="1">IFERROR(__xludf.DUMMYFUNCTION("""COMPUTED_VALUE"""),500000)</f>
        <v>500000</v>
      </c>
      <c r="G1256" s="22">
        <f ca="1">IFERROR(__xludf.DUMMYFUNCTION("""COMPUTED_VALUE"""),0)</f>
        <v>0</v>
      </c>
      <c r="H1256" s="7">
        <f ca="1">IFERROR(__xludf.DUMMYFUNCTION("""COMPUTED_VALUE"""),500000)</f>
        <v>500000</v>
      </c>
    </row>
    <row r="1257" spans="1:8" ht="13" x14ac:dyDescent="0.15">
      <c r="A1257" s="5" t="str">
        <f ca="1">IFERROR(__xludf.DUMMYFUNCTION("""COMPUTED_VALUE"""),"38105")</f>
        <v>38105</v>
      </c>
      <c r="B1257" s="51">
        <f ca="1">IFERROR(__xludf.DUMMYFUNCTION("""COMPUTED_VALUE"""),44608)</f>
        <v>44608</v>
      </c>
      <c r="C1257" s="22">
        <f ca="1">IFERROR(__xludf.DUMMYFUNCTION("""COMPUTED_VALUE"""),500000)</f>
        <v>500000</v>
      </c>
      <c r="D1257" s="22">
        <f ca="1">IFERROR(__xludf.DUMMYFUNCTION("""COMPUTED_VALUE"""),0)</f>
        <v>0</v>
      </c>
      <c r="E1257" s="22">
        <f ca="1">IFERROR(__xludf.DUMMYFUNCTION("""COMPUTED_VALUE"""),500000)</f>
        <v>500000</v>
      </c>
      <c r="F1257" s="22">
        <f ca="1">IFERROR(__xludf.DUMMYFUNCTION("""COMPUTED_VALUE"""),500000)</f>
        <v>500000</v>
      </c>
      <c r="G1257" s="22">
        <f ca="1">IFERROR(__xludf.DUMMYFUNCTION("""COMPUTED_VALUE"""),0)</f>
        <v>0</v>
      </c>
      <c r="H1257" s="7">
        <f ca="1">IFERROR(__xludf.DUMMYFUNCTION("""COMPUTED_VALUE"""),500000)</f>
        <v>500000</v>
      </c>
    </row>
    <row r="1258" spans="1:8" ht="13" x14ac:dyDescent="0.15">
      <c r="A1258" s="5" t="str">
        <f ca="1">IFERROR(__xludf.DUMMYFUNCTION("""COMPUTED_VALUE"""),"38105")</f>
        <v>38105</v>
      </c>
      <c r="B1258" s="51">
        <f ca="1">IFERROR(__xludf.DUMMYFUNCTION("""COMPUTED_VALUE"""),44609)</f>
        <v>44609</v>
      </c>
      <c r="C1258" s="22">
        <f ca="1">IFERROR(__xludf.DUMMYFUNCTION("""COMPUTED_VALUE"""),500000)</f>
        <v>500000</v>
      </c>
      <c r="D1258" s="22">
        <f ca="1">IFERROR(__xludf.DUMMYFUNCTION("""COMPUTED_VALUE"""),0)</f>
        <v>0</v>
      </c>
      <c r="E1258" s="22">
        <f ca="1">IFERROR(__xludf.DUMMYFUNCTION("""COMPUTED_VALUE"""),500000)</f>
        <v>500000</v>
      </c>
      <c r="F1258" s="22">
        <f ca="1">IFERROR(__xludf.DUMMYFUNCTION("""COMPUTED_VALUE"""),500000)</f>
        <v>500000</v>
      </c>
      <c r="G1258" s="22">
        <f ca="1">IFERROR(__xludf.DUMMYFUNCTION("""COMPUTED_VALUE"""),0)</f>
        <v>0</v>
      </c>
      <c r="H1258" s="7">
        <f ca="1">IFERROR(__xludf.DUMMYFUNCTION("""COMPUTED_VALUE"""),500000)</f>
        <v>500000</v>
      </c>
    </row>
    <row r="1259" spans="1:8" ht="13" x14ac:dyDescent="0.15">
      <c r="A1259" s="5" t="str">
        <f ca="1">IFERROR(__xludf.DUMMYFUNCTION("""COMPUTED_VALUE"""),"38105")</f>
        <v>38105</v>
      </c>
      <c r="B1259" s="51">
        <f ca="1">IFERROR(__xludf.DUMMYFUNCTION("""COMPUTED_VALUE"""),44610)</f>
        <v>44610</v>
      </c>
      <c r="C1259" s="22">
        <f ca="1">IFERROR(__xludf.DUMMYFUNCTION("""COMPUTED_VALUE"""),500000)</f>
        <v>500000</v>
      </c>
      <c r="D1259" s="22">
        <f ca="1">IFERROR(__xludf.DUMMYFUNCTION("""COMPUTED_VALUE"""),0)</f>
        <v>0</v>
      </c>
      <c r="E1259" s="22">
        <f ca="1">IFERROR(__xludf.DUMMYFUNCTION("""COMPUTED_VALUE"""),500000)</f>
        <v>500000</v>
      </c>
      <c r="F1259" s="22">
        <f ca="1">IFERROR(__xludf.DUMMYFUNCTION("""COMPUTED_VALUE"""),500000)</f>
        <v>500000</v>
      </c>
      <c r="G1259" s="22">
        <f ca="1">IFERROR(__xludf.DUMMYFUNCTION("""COMPUTED_VALUE"""),0)</f>
        <v>0</v>
      </c>
      <c r="H1259" s="7">
        <f ca="1">IFERROR(__xludf.DUMMYFUNCTION("""COMPUTED_VALUE"""),500000)</f>
        <v>500000</v>
      </c>
    </row>
    <row r="1260" spans="1:8" ht="13" x14ac:dyDescent="0.15">
      <c r="A1260" s="5" t="str">
        <f ca="1">IFERROR(__xludf.DUMMYFUNCTION("""COMPUTED_VALUE"""),"38105")</f>
        <v>38105</v>
      </c>
      <c r="B1260" s="51">
        <f ca="1">IFERROR(__xludf.DUMMYFUNCTION("""COMPUTED_VALUE"""),44611)</f>
        <v>44611</v>
      </c>
      <c r="C1260" s="22">
        <f ca="1">IFERROR(__xludf.DUMMYFUNCTION("""COMPUTED_VALUE"""),500000)</f>
        <v>500000</v>
      </c>
      <c r="D1260" s="22">
        <f ca="1">IFERROR(__xludf.DUMMYFUNCTION("""COMPUTED_VALUE"""),0)</f>
        <v>0</v>
      </c>
      <c r="E1260" s="22">
        <f ca="1">IFERROR(__xludf.DUMMYFUNCTION("""COMPUTED_VALUE"""),500000)</f>
        <v>500000</v>
      </c>
      <c r="F1260" s="22">
        <f ca="1">IFERROR(__xludf.DUMMYFUNCTION("""COMPUTED_VALUE"""),500000)</f>
        <v>500000</v>
      </c>
      <c r="G1260" s="22">
        <f ca="1">IFERROR(__xludf.DUMMYFUNCTION("""COMPUTED_VALUE"""),0)</f>
        <v>0</v>
      </c>
      <c r="H1260" s="7">
        <f ca="1">IFERROR(__xludf.DUMMYFUNCTION("""COMPUTED_VALUE"""),500000)</f>
        <v>500000</v>
      </c>
    </row>
    <row r="1261" spans="1:8" ht="13" x14ac:dyDescent="0.15">
      <c r="A1261" s="5" t="str">
        <f ca="1">IFERROR(__xludf.DUMMYFUNCTION("""COMPUTED_VALUE"""),"38105")</f>
        <v>38105</v>
      </c>
      <c r="B1261" s="51">
        <f ca="1">IFERROR(__xludf.DUMMYFUNCTION("""COMPUTED_VALUE"""),44612)</f>
        <v>44612</v>
      </c>
      <c r="C1261" s="22">
        <f ca="1">IFERROR(__xludf.DUMMYFUNCTION("""COMPUTED_VALUE"""),500000)</f>
        <v>500000</v>
      </c>
      <c r="D1261" s="22">
        <f ca="1">IFERROR(__xludf.DUMMYFUNCTION("""COMPUTED_VALUE"""),0)</f>
        <v>0</v>
      </c>
      <c r="E1261" s="22">
        <f ca="1">IFERROR(__xludf.DUMMYFUNCTION("""COMPUTED_VALUE"""),500000)</f>
        <v>500000</v>
      </c>
      <c r="F1261" s="22">
        <f ca="1">IFERROR(__xludf.DUMMYFUNCTION("""COMPUTED_VALUE"""),500000)</f>
        <v>500000</v>
      </c>
      <c r="G1261" s="22">
        <f ca="1">IFERROR(__xludf.DUMMYFUNCTION("""COMPUTED_VALUE"""),0)</f>
        <v>0</v>
      </c>
      <c r="H1261" s="7">
        <f ca="1">IFERROR(__xludf.DUMMYFUNCTION("""COMPUTED_VALUE"""),500000)</f>
        <v>500000</v>
      </c>
    </row>
    <row r="1262" spans="1:8" ht="13" x14ac:dyDescent="0.15">
      <c r="A1262" s="5" t="str">
        <f ca="1">IFERROR(__xludf.DUMMYFUNCTION("""COMPUTED_VALUE"""),"38105")</f>
        <v>38105</v>
      </c>
      <c r="B1262" s="51">
        <f ca="1">IFERROR(__xludf.DUMMYFUNCTION("""COMPUTED_VALUE"""),44613)</f>
        <v>44613</v>
      </c>
      <c r="C1262" s="22">
        <f ca="1">IFERROR(__xludf.DUMMYFUNCTION("""COMPUTED_VALUE"""),500000)</f>
        <v>500000</v>
      </c>
      <c r="D1262" s="22">
        <f ca="1">IFERROR(__xludf.DUMMYFUNCTION("""COMPUTED_VALUE"""),0)</f>
        <v>0</v>
      </c>
      <c r="E1262" s="22">
        <f ca="1">IFERROR(__xludf.DUMMYFUNCTION("""COMPUTED_VALUE"""),500000)</f>
        <v>500000</v>
      </c>
      <c r="F1262" s="22">
        <f ca="1">IFERROR(__xludf.DUMMYFUNCTION("""COMPUTED_VALUE"""),500000)</f>
        <v>500000</v>
      </c>
      <c r="G1262" s="22">
        <f ca="1">IFERROR(__xludf.DUMMYFUNCTION("""COMPUTED_VALUE"""),0)</f>
        <v>0</v>
      </c>
      <c r="H1262" s="7">
        <f ca="1">IFERROR(__xludf.DUMMYFUNCTION("""COMPUTED_VALUE"""),500000)</f>
        <v>500000</v>
      </c>
    </row>
    <row r="1263" spans="1:8" ht="13" x14ac:dyDescent="0.15">
      <c r="A1263" s="5" t="str">
        <f ca="1">IFERROR(__xludf.DUMMYFUNCTION("""COMPUTED_VALUE"""),"38105")</f>
        <v>38105</v>
      </c>
      <c r="B1263" s="51">
        <f ca="1">IFERROR(__xludf.DUMMYFUNCTION("""COMPUTED_VALUE"""),44614)</f>
        <v>44614</v>
      </c>
      <c r="C1263" s="22">
        <f ca="1">IFERROR(__xludf.DUMMYFUNCTION("""COMPUTED_VALUE"""),500000)</f>
        <v>500000</v>
      </c>
      <c r="D1263" s="22">
        <f ca="1">IFERROR(__xludf.DUMMYFUNCTION("""COMPUTED_VALUE"""),0)</f>
        <v>0</v>
      </c>
      <c r="E1263" s="22">
        <f ca="1">IFERROR(__xludf.DUMMYFUNCTION("""COMPUTED_VALUE"""),500000)</f>
        <v>500000</v>
      </c>
      <c r="F1263" s="22">
        <f ca="1">IFERROR(__xludf.DUMMYFUNCTION("""COMPUTED_VALUE"""),500000)</f>
        <v>500000</v>
      </c>
      <c r="G1263" s="22">
        <f ca="1">IFERROR(__xludf.DUMMYFUNCTION("""COMPUTED_VALUE"""),0)</f>
        <v>0</v>
      </c>
      <c r="H1263" s="7">
        <f ca="1">IFERROR(__xludf.DUMMYFUNCTION("""COMPUTED_VALUE"""),500000)</f>
        <v>500000</v>
      </c>
    </row>
    <row r="1264" spans="1:8" ht="13" x14ac:dyDescent="0.15">
      <c r="A1264" s="5" t="str">
        <f ca="1">IFERROR(__xludf.DUMMYFUNCTION("""COMPUTED_VALUE"""),"38105")</f>
        <v>38105</v>
      </c>
      <c r="B1264" s="51">
        <f ca="1">IFERROR(__xludf.DUMMYFUNCTION("""COMPUTED_VALUE"""),44615)</f>
        <v>44615</v>
      </c>
      <c r="C1264" s="22">
        <f ca="1">IFERROR(__xludf.DUMMYFUNCTION("""COMPUTED_VALUE"""),500000)</f>
        <v>500000</v>
      </c>
      <c r="D1264" s="22">
        <f ca="1">IFERROR(__xludf.DUMMYFUNCTION("""COMPUTED_VALUE"""),0)</f>
        <v>0</v>
      </c>
      <c r="E1264" s="22">
        <f ca="1">IFERROR(__xludf.DUMMYFUNCTION("""COMPUTED_VALUE"""),500000)</f>
        <v>500000</v>
      </c>
      <c r="F1264" s="22">
        <f ca="1">IFERROR(__xludf.DUMMYFUNCTION("""COMPUTED_VALUE"""),500000)</f>
        <v>500000</v>
      </c>
      <c r="G1264" s="22">
        <f ca="1">IFERROR(__xludf.DUMMYFUNCTION("""COMPUTED_VALUE"""),0)</f>
        <v>0</v>
      </c>
      <c r="H1264" s="7">
        <f ca="1">IFERROR(__xludf.DUMMYFUNCTION("""COMPUTED_VALUE"""),500000)</f>
        <v>500000</v>
      </c>
    </row>
    <row r="1265" spans="1:8" ht="13" x14ac:dyDescent="0.15">
      <c r="A1265" s="5" t="str">
        <f ca="1">IFERROR(__xludf.DUMMYFUNCTION("""COMPUTED_VALUE"""),"38105")</f>
        <v>38105</v>
      </c>
      <c r="B1265" s="51">
        <f ca="1">IFERROR(__xludf.DUMMYFUNCTION("""COMPUTED_VALUE"""),44616)</f>
        <v>44616</v>
      </c>
      <c r="C1265" s="22">
        <f ca="1">IFERROR(__xludf.DUMMYFUNCTION("""COMPUTED_VALUE"""),500000)</f>
        <v>500000</v>
      </c>
      <c r="D1265" s="22">
        <f ca="1">IFERROR(__xludf.DUMMYFUNCTION("""COMPUTED_VALUE"""),0)</f>
        <v>0</v>
      </c>
      <c r="E1265" s="22">
        <f ca="1">IFERROR(__xludf.DUMMYFUNCTION("""COMPUTED_VALUE"""),500000)</f>
        <v>500000</v>
      </c>
      <c r="F1265" s="22">
        <f ca="1">IFERROR(__xludf.DUMMYFUNCTION("""COMPUTED_VALUE"""),500000)</f>
        <v>500000</v>
      </c>
      <c r="G1265" s="22">
        <f ca="1">IFERROR(__xludf.DUMMYFUNCTION("""COMPUTED_VALUE"""),0)</f>
        <v>0</v>
      </c>
      <c r="H1265" s="7">
        <f ca="1">IFERROR(__xludf.DUMMYFUNCTION("""COMPUTED_VALUE"""),500000)</f>
        <v>500000</v>
      </c>
    </row>
    <row r="1266" spans="1:8" ht="13" x14ac:dyDescent="0.15">
      <c r="A1266" s="5" t="str">
        <f ca="1">IFERROR(__xludf.DUMMYFUNCTION("""COMPUTED_VALUE"""),"38105")</f>
        <v>38105</v>
      </c>
      <c r="B1266" s="51">
        <f ca="1">IFERROR(__xludf.DUMMYFUNCTION("""COMPUTED_VALUE"""),44617)</f>
        <v>44617</v>
      </c>
      <c r="C1266" s="22">
        <f ca="1">IFERROR(__xludf.DUMMYFUNCTION("""COMPUTED_VALUE"""),500000)</f>
        <v>500000</v>
      </c>
      <c r="D1266" s="22">
        <f ca="1">IFERROR(__xludf.DUMMYFUNCTION("""COMPUTED_VALUE"""),0)</f>
        <v>0</v>
      </c>
      <c r="E1266" s="22">
        <f ca="1">IFERROR(__xludf.DUMMYFUNCTION("""COMPUTED_VALUE"""),500000)</f>
        <v>500000</v>
      </c>
      <c r="F1266" s="22">
        <f ca="1">IFERROR(__xludf.DUMMYFUNCTION("""COMPUTED_VALUE"""),500000)</f>
        <v>500000</v>
      </c>
      <c r="G1266" s="22">
        <f ca="1">IFERROR(__xludf.DUMMYFUNCTION("""COMPUTED_VALUE"""),0)</f>
        <v>0</v>
      </c>
      <c r="H1266" s="7">
        <f ca="1">IFERROR(__xludf.DUMMYFUNCTION("""COMPUTED_VALUE"""),500000)</f>
        <v>500000</v>
      </c>
    </row>
    <row r="1267" spans="1:8" ht="13" x14ac:dyDescent="0.15">
      <c r="A1267" s="5" t="str">
        <f ca="1">IFERROR(__xludf.DUMMYFUNCTION("""COMPUTED_VALUE"""),"38105")</f>
        <v>38105</v>
      </c>
      <c r="B1267" s="51">
        <f ca="1">IFERROR(__xludf.DUMMYFUNCTION("""COMPUTED_VALUE"""),44618)</f>
        <v>44618</v>
      </c>
      <c r="C1267" s="22">
        <f ca="1">IFERROR(__xludf.DUMMYFUNCTION("""COMPUTED_VALUE"""),500000)</f>
        <v>500000</v>
      </c>
      <c r="D1267" s="22">
        <f ca="1">IFERROR(__xludf.DUMMYFUNCTION("""COMPUTED_VALUE"""),0)</f>
        <v>0</v>
      </c>
      <c r="E1267" s="22">
        <f ca="1">IFERROR(__xludf.DUMMYFUNCTION("""COMPUTED_VALUE"""),500000)</f>
        <v>500000</v>
      </c>
      <c r="F1267" s="22">
        <f ca="1">IFERROR(__xludf.DUMMYFUNCTION("""COMPUTED_VALUE"""),500000)</f>
        <v>500000</v>
      </c>
      <c r="G1267" s="22">
        <f ca="1">IFERROR(__xludf.DUMMYFUNCTION("""COMPUTED_VALUE"""),0)</f>
        <v>0</v>
      </c>
      <c r="H1267" s="7">
        <f ca="1">IFERROR(__xludf.DUMMYFUNCTION("""COMPUTED_VALUE"""),500000)</f>
        <v>500000</v>
      </c>
    </row>
    <row r="1268" spans="1:8" ht="13" x14ac:dyDescent="0.15">
      <c r="A1268" s="5" t="str">
        <f ca="1">IFERROR(__xludf.DUMMYFUNCTION("""COMPUTED_VALUE"""),"38105")</f>
        <v>38105</v>
      </c>
      <c r="B1268" s="51">
        <f ca="1">IFERROR(__xludf.DUMMYFUNCTION("""COMPUTED_VALUE"""),44619)</f>
        <v>44619</v>
      </c>
      <c r="C1268" s="22">
        <f ca="1">IFERROR(__xludf.DUMMYFUNCTION("""COMPUTED_VALUE"""),500000)</f>
        <v>500000</v>
      </c>
      <c r="D1268" s="22">
        <f ca="1">IFERROR(__xludf.DUMMYFUNCTION("""COMPUTED_VALUE"""),0)</f>
        <v>0</v>
      </c>
      <c r="E1268" s="22">
        <f ca="1">IFERROR(__xludf.DUMMYFUNCTION("""COMPUTED_VALUE"""),500000)</f>
        <v>500000</v>
      </c>
      <c r="F1268" s="22">
        <f ca="1">IFERROR(__xludf.DUMMYFUNCTION("""COMPUTED_VALUE"""),500000)</f>
        <v>500000</v>
      </c>
      <c r="G1268" s="22">
        <f ca="1">IFERROR(__xludf.DUMMYFUNCTION("""COMPUTED_VALUE"""),0)</f>
        <v>0</v>
      </c>
      <c r="H1268" s="7">
        <f ca="1">IFERROR(__xludf.DUMMYFUNCTION("""COMPUTED_VALUE"""),500000)</f>
        <v>500000</v>
      </c>
    </row>
    <row r="1269" spans="1:8" ht="13" x14ac:dyDescent="0.15">
      <c r="A1269" s="5" t="str">
        <f ca="1">IFERROR(__xludf.DUMMYFUNCTION("""COMPUTED_VALUE"""),"38105")</f>
        <v>38105</v>
      </c>
      <c r="B1269" s="51">
        <f ca="1">IFERROR(__xludf.DUMMYFUNCTION("""COMPUTED_VALUE"""),44620)</f>
        <v>44620</v>
      </c>
      <c r="C1269" s="22">
        <f ca="1">IFERROR(__xludf.DUMMYFUNCTION("""COMPUTED_VALUE"""),500000)</f>
        <v>500000</v>
      </c>
      <c r="D1269" s="22">
        <f ca="1">IFERROR(__xludf.DUMMYFUNCTION("""COMPUTED_VALUE"""),0)</f>
        <v>0</v>
      </c>
      <c r="E1269" s="22">
        <f ca="1">IFERROR(__xludf.DUMMYFUNCTION("""COMPUTED_VALUE"""),500000)</f>
        <v>500000</v>
      </c>
      <c r="F1269" s="22">
        <f ca="1">IFERROR(__xludf.DUMMYFUNCTION("""COMPUTED_VALUE"""),500000)</f>
        <v>500000</v>
      </c>
      <c r="G1269" s="22">
        <f ca="1">IFERROR(__xludf.DUMMYFUNCTION("""COMPUTED_VALUE"""),0)</f>
        <v>0</v>
      </c>
      <c r="H1269" s="7">
        <f ca="1">IFERROR(__xludf.DUMMYFUNCTION("""COMPUTED_VALUE"""),500000)</f>
        <v>500000</v>
      </c>
    </row>
    <row r="1270" spans="1:8" ht="13" x14ac:dyDescent="0.15">
      <c r="A1270" s="5" t="str">
        <f ca="1">IFERROR(__xludf.DUMMYFUNCTION("""COMPUTED_VALUE"""),"38105")</f>
        <v>38105</v>
      </c>
      <c r="B1270" s="51">
        <f ca="1">IFERROR(__xludf.DUMMYFUNCTION("""COMPUTED_VALUE"""),44621)</f>
        <v>44621</v>
      </c>
      <c r="C1270" s="22">
        <f ca="1">IFERROR(__xludf.DUMMYFUNCTION("""COMPUTED_VALUE"""),500000)</f>
        <v>500000</v>
      </c>
      <c r="D1270" s="22">
        <f ca="1">IFERROR(__xludf.DUMMYFUNCTION("""COMPUTED_VALUE"""),0)</f>
        <v>0</v>
      </c>
      <c r="E1270" s="22">
        <f ca="1">IFERROR(__xludf.DUMMYFUNCTION("""COMPUTED_VALUE"""),500000)</f>
        <v>500000</v>
      </c>
      <c r="F1270" s="22">
        <f ca="1">IFERROR(__xludf.DUMMYFUNCTION("""COMPUTED_VALUE"""),500000)</f>
        <v>500000</v>
      </c>
      <c r="G1270" s="22">
        <f ca="1">IFERROR(__xludf.DUMMYFUNCTION("""COMPUTED_VALUE"""),0)</f>
        <v>0</v>
      </c>
      <c r="H1270" s="7">
        <f ca="1">IFERROR(__xludf.DUMMYFUNCTION("""COMPUTED_VALUE"""),500000)</f>
        <v>500000</v>
      </c>
    </row>
    <row r="1271" spans="1:8" ht="13" x14ac:dyDescent="0.15">
      <c r="A1271" s="5" t="str">
        <f ca="1">IFERROR(__xludf.DUMMYFUNCTION("""COMPUTED_VALUE"""),"38105")</f>
        <v>38105</v>
      </c>
      <c r="B1271" s="51">
        <f ca="1">IFERROR(__xludf.DUMMYFUNCTION("""COMPUTED_VALUE"""),44622)</f>
        <v>44622</v>
      </c>
      <c r="C1271" s="22">
        <f ca="1">IFERROR(__xludf.DUMMYFUNCTION("""COMPUTED_VALUE"""),500000)</f>
        <v>500000</v>
      </c>
      <c r="D1271" s="22">
        <f ca="1">IFERROR(__xludf.DUMMYFUNCTION("""COMPUTED_VALUE"""),0)</f>
        <v>0</v>
      </c>
      <c r="E1271" s="22">
        <f ca="1">IFERROR(__xludf.DUMMYFUNCTION("""COMPUTED_VALUE"""),500000)</f>
        <v>500000</v>
      </c>
      <c r="F1271" s="22">
        <f ca="1">IFERROR(__xludf.DUMMYFUNCTION("""COMPUTED_VALUE"""),500000)</f>
        <v>500000</v>
      </c>
      <c r="G1271" s="22">
        <f ca="1">IFERROR(__xludf.DUMMYFUNCTION("""COMPUTED_VALUE"""),0)</f>
        <v>0</v>
      </c>
      <c r="H1271" s="7">
        <f ca="1">IFERROR(__xludf.DUMMYFUNCTION("""COMPUTED_VALUE"""),500000)</f>
        <v>500000</v>
      </c>
    </row>
    <row r="1272" spans="1:8" ht="13" x14ac:dyDescent="0.15">
      <c r="A1272" s="5" t="str">
        <f ca="1">IFERROR(__xludf.DUMMYFUNCTION("""COMPUTED_VALUE"""),"38105")</f>
        <v>38105</v>
      </c>
      <c r="B1272" s="51">
        <f ca="1">IFERROR(__xludf.DUMMYFUNCTION("""COMPUTED_VALUE"""),44623)</f>
        <v>44623</v>
      </c>
      <c r="C1272" s="22">
        <f ca="1">IFERROR(__xludf.DUMMYFUNCTION("""COMPUTED_VALUE"""),500000)</f>
        <v>500000</v>
      </c>
      <c r="D1272" s="22">
        <f ca="1">IFERROR(__xludf.DUMMYFUNCTION("""COMPUTED_VALUE"""),0)</f>
        <v>0</v>
      </c>
      <c r="E1272" s="22">
        <f ca="1">IFERROR(__xludf.DUMMYFUNCTION("""COMPUTED_VALUE"""),500000)</f>
        <v>500000</v>
      </c>
      <c r="F1272" s="22">
        <f ca="1">IFERROR(__xludf.DUMMYFUNCTION("""COMPUTED_VALUE"""),500000)</f>
        <v>500000</v>
      </c>
      <c r="G1272" s="22">
        <f ca="1">IFERROR(__xludf.DUMMYFUNCTION("""COMPUTED_VALUE"""),0)</f>
        <v>0</v>
      </c>
      <c r="H1272" s="7">
        <f ca="1">IFERROR(__xludf.DUMMYFUNCTION("""COMPUTED_VALUE"""),500000)</f>
        <v>500000</v>
      </c>
    </row>
    <row r="1273" spans="1:8" ht="13" x14ac:dyDescent="0.15">
      <c r="A1273" s="5" t="str">
        <f ca="1">IFERROR(__xludf.DUMMYFUNCTION("""COMPUTED_VALUE"""),"38105")</f>
        <v>38105</v>
      </c>
      <c r="B1273" s="51">
        <f ca="1">IFERROR(__xludf.DUMMYFUNCTION("""COMPUTED_VALUE"""),44624)</f>
        <v>44624</v>
      </c>
      <c r="C1273" s="22">
        <f ca="1">IFERROR(__xludf.DUMMYFUNCTION("""COMPUTED_VALUE"""),500000)</f>
        <v>500000</v>
      </c>
      <c r="D1273" s="22">
        <f ca="1">IFERROR(__xludf.DUMMYFUNCTION("""COMPUTED_VALUE"""),0)</f>
        <v>0</v>
      </c>
      <c r="E1273" s="22">
        <f ca="1">IFERROR(__xludf.DUMMYFUNCTION("""COMPUTED_VALUE"""),500000)</f>
        <v>500000</v>
      </c>
      <c r="F1273" s="22">
        <f ca="1">IFERROR(__xludf.DUMMYFUNCTION("""COMPUTED_VALUE"""),500000)</f>
        <v>500000</v>
      </c>
      <c r="G1273" s="22">
        <f ca="1">IFERROR(__xludf.DUMMYFUNCTION("""COMPUTED_VALUE"""),0)</f>
        <v>0</v>
      </c>
      <c r="H1273" s="7">
        <f ca="1">IFERROR(__xludf.DUMMYFUNCTION("""COMPUTED_VALUE"""),500000)</f>
        <v>500000</v>
      </c>
    </row>
    <row r="1274" spans="1:8" ht="13" x14ac:dyDescent="0.15">
      <c r="A1274" s="5" t="str">
        <f ca="1">IFERROR(__xludf.DUMMYFUNCTION("""COMPUTED_VALUE"""),"38105")</f>
        <v>38105</v>
      </c>
      <c r="B1274" s="51">
        <f ca="1">IFERROR(__xludf.DUMMYFUNCTION("""COMPUTED_VALUE"""),44625)</f>
        <v>44625</v>
      </c>
      <c r="C1274" s="22">
        <f ca="1">IFERROR(__xludf.DUMMYFUNCTION("""COMPUTED_VALUE"""),500000)</f>
        <v>500000</v>
      </c>
      <c r="D1274" s="22">
        <f ca="1">IFERROR(__xludf.DUMMYFUNCTION("""COMPUTED_VALUE"""),0)</f>
        <v>0</v>
      </c>
      <c r="E1274" s="22">
        <f ca="1">IFERROR(__xludf.DUMMYFUNCTION("""COMPUTED_VALUE"""),500000)</f>
        <v>500000</v>
      </c>
      <c r="F1274" s="22">
        <f ca="1">IFERROR(__xludf.DUMMYFUNCTION("""COMPUTED_VALUE"""),500000)</f>
        <v>500000</v>
      </c>
      <c r="G1274" s="22">
        <f ca="1">IFERROR(__xludf.DUMMYFUNCTION("""COMPUTED_VALUE"""),0)</f>
        <v>0</v>
      </c>
      <c r="H1274" s="7">
        <f ca="1">IFERROR(__xludf.DUMMYFUNCTION("""COMPUTED_VALUE"""),500000)</f>
        <v>500000</v>
      </c>
    </row>
    <row r="1275" spans="1:8" ht="13" x14ac:dyDescent="0.15">
      <c r="A1275" s="5" t="str">
        <f ca="1">IFERROR(__xludf.DUMMYFUNCTION("""COMPUTED_VALUE"""),"38105")</f>
        <v>38105</v>
      </c>
      <c r="B1275" s="51">
        <f ca="1">IFERROR(__xludf.DUMMYFUNCTION("""COMPUTED_VALUE"""),44626)</f>
        <v>44626</v>
      </c>
      <c r="C1275" s="22">
        <f ca="1">IFERROR(__xludf.DUMMYFUNCTION("""COMPUTED_VALUE"""),500000)</f>
        <v>500000</v>
      </c>
      <c r="D1275" s="22">
        <f ca="1">IFERROR(__xludf.DUMMYFUNCTION("""COMPUTED_VALUE"""),0)</f>
        <v>0</v>
      </c>
      <c r="E1275" s="22">
        <f ca="1">IFERROR(__xludf.DUMMYFUNCTION("""COMPUTED_VALUE"""),500000)</f>
        <v>500000</v>
      </c>
      <c r="F1275" s="22">
        <f ca="1">IFERROR(__xludf.DUMMYFUNCTION("""COMPUTED_VALUE"""),500000)</f>
        <v>500000</v>
      </c>
      <c r="G1275" s="22">
        <f ca="1">IFERROR(__xludf.DUMMYFUNCTION("""COMPUTED_VALUE"""),0)</f>
        <v>0</v>
      </c>
      <c r="H1275" s="7">
        <f ca="1">IFERROR(__xludf.DUMMYFUNCTION("""COMPUTED_VALUE"""),500000)</f>
        <v>500000</v>
      </c>
    </row>
    <row r="1276" spans="1:8" ht="13" x14ac:dyDescent="0.15">
      <c r="A1276" s="5" t="str">
        <f ca="1">IFERROR(__xludf.DUMMYFUNCTION("""COMPUTED_VALUE"""),"38105")</f>
        <v>38105</v>
      </c>
      <c r="B1276" s="51">
        <f ca="1">IFERROR(__xludf.DUMMYFUNCTION("""COMPUTED_VALUE"""),44627)</f>
        <v>44627</v>
      </c>
      <c r="C1276" s="22">
        <f ca="1">IFERROR(__xludf.DUMMYFUNCTION("""COMPUTED_VALUE"""),500000)</f>
        <v>500000</v>
      </c>
      <c r="D1276" s="22">
        <f ca="1">IFERROR(__xludf.DUMMYFUNCTION("""COMPUTED_VALUE"""),0)</f>
        <v>0</v>
      </c>
      <c r="E1276" s="22">
        <f ca="1">IFERROR(__xludf.DUMMYFUNCTION("""COMPUTED_VALUE"""),500000)</f>
        <v>500000</v>
      </c>
      <c r="F1276" s="22">
        <f ca="1">IFERROR(__xludf.DUMMYFUNCTION("""COMPUTED_VALUE"""),500000)</f>
        <v>500000</v>
      </c>
      <c r="G1276" s="22">
        <f ca="1">IFERROR(__xludf.DUMMYFUNCTION("""COMPUTED_VALUE"""),0)</f>
        <v>0</v>
      </c>
      <c r="H1276" s="7">
        <f ca="1">IFERROR(__xludf.DUMMYFUNCTION("""COMPUTED_VALUE"""),500000)</f>
        <v>500000</v>
      </c>
    </row>
    <row r="1277" spans="1:8" ht="13" x14ac:dyDescent="0.15">
      <c r="A1277" s="5" t="str">
        <f ca="1">IFERROR(__xludf.DUMMYFUNCTION("""COMPUTED_VALUE"""),"38105")</f>
        <v>38105</v>
      </c>
      <c r="B1277" s="51">
        <f ca="1">IFERROR(__xludf.DUMMYFUNCTION("""COMPUTED_VALUE"""),44628)</f>
        <v>44628</v>
      </c>
      <c r="C1277" s="22">
        <f ca="1">IFERROR(__xludf.DUMMYFUNCTION("""COMPUTED_VALUE"""),500000)</f>
        <v>500000</v>
      </c>
      <c r="D1277" s="22">
        <f ca="1">IFERROR(__xludf.DUMMYFUNCTION("""COMPUTED_VALUE"""),0)</f>
        <v>0</v>
      </c>
      <c r="E1277" s="22">
        <f ca="1">IFERROR(__xludf.DUMMYFUNCTION("""COMPUTED_VALUE"""),500000)</f>
        <v>500000</v>
      </c>
      <c r="F1277" s="22">
        <f ca="1">IFERROR(__xludf.DUMMYFUNCTION("""COMPUTED_VALUE"""),500000)</f>
        <v>500000</v>
      </c>
      <c r="G1277" s="22">
        <f ca="1">IFERROR(__xludf.DUMMYFUNCTION("""COMPUTED_VALUE"""),0)</f>
        <v>0</v>
      </c>
      <c r="H1277" s="7">
        <f ca="1">IFERROR(__xludf.DUMMYFUNCTION("""COMPUTED_VALUE"""),500000)</f>
        <v>500000</v>
      </c>
    </row>
    <row r="1278" spans="1:8" ht="13" x14ac:dyDescent="0.15">
      <c r="A1278" s="5" t="str">
        <f ca="1">IFERROR(__xludf.DUMMYFUNCTION("""COMPUTED_VALUE"""),"38105")</f>
        <v>38105</v>
      </c>
      <c r="B1278" s="51">
        <f ca="1">IFERROR(__xludf.DUMMYFUNCTION("""COMPUTED_VALUE"""),44629)</f>
        <v>44629</v>
      </c>
      <c r="C1278" s="22">
        <f ca="1">IFERROR(__xludf.DUMMYFUNCTION("""COMPUTED_VALUE"""),500000)</f>
        <v>500000</v>
      </c>
      <c r="D1278" s="22">
        <f ca="1">IFERROR(__xludf.DUMMYFUNCTION("""COMPUTED_VALUE"""),0)</f>
        <v>0</v>
      </c>
      <c r="E1278" s="22">
        <f ca="1">IFERROR(__xludf.DUMMYFUNCTION("""COMPUTED_VALUE"""),500000)</f>
        <v>500000</v>
      </c>
      <c r="F1278" s="22">
        <f ca="1">IFERROR(__xludf.DUMMYFUNCTION("""COMPUTED_VALUE"""),500000)</f>
        <v>500000</v>
      </c>
      <c r="G1278" s="22">
        <f ca="1">IFERROR(__xludf.DUMMYFUNCTION("""COMPUTED_VALUE"""),0)</f>
        <v>0</v>
      </c>
      <c r="H1278" s="7">
        <f ca="1">IFERROR(__xludf.DUMMYFUNCTION("""COMPUTED_VALUE"""),500000)</f>
        <v>500000</v>
      </c>
    </row>
    <row r="1279" spans="1:8" ht="13" x14ac:dyDescent="0.15">
      <c r="A1279" s="5" t="str">
        <f ca="1">IFERROR(__xludf.DUMMYFUNCTION("""COMPUTED_VALUE"""),"38105")</f>
        <v>38105</v>
      </c>
      <c r="B1279" s="51">
        <f ca="1">IFERROR(__xludf.DUMMYFUNCTION("""COMPUTED_VALUE"""),44630)</f>
        <v>44630</v>
      </c>
      <c r="C1279" s="22">
        <f ca="1">IFERROR(__xludf.DUMMYFUNCTION("""COMPUTED_VALUE"""),500000)</f>
        <v>500000</v>
      </c>
      <c r="D1279" s="22">
        <f ca="1">IFERROR(__xludf.DUMMYFUNCTION("""COMPUTED_VALUE"""),0)</f>
        <v>0</v>
      </c>
      <c r="E1279" s="22">
        <f ca="1">IFERROR(__xludf.DUMMYFUNCTION("""COMPUTED_VALUE"""),500000)</f>
        <v>500000</v>
      </c>
      <c r="F1279" s="22">
        <f ca="1">IFERROR(__xludf.DUMMYFUNCTION("""COMPUTED_VALUE"""),500000)</f>
        <v>500000</v>
      </c>
      <c r="G1279" s="22">
        <f ca="1">IFERROR(__xludf.DUMMYFUNCTION("""COMPUTED_VALUE"""),0)</f>
        <v>0</v>
      </c>
      <c r="H1279" s="7">
        <f ca="1">IFERROR(__xludf.DUMMYFUNCTION("""COMPUTED_VALUE"""),500000)</f>
        <v>500000</v>
      </c>
    </row>
    <row r="1280" spans="1:8" ht="13" x14ac:dyDescent="0.15">
      <c r="A1280" s="5" t="str">
        <f ca="1">IFERROR(__xludf.DUMMYFUNCTION("""COMPUTED_VALUE"""),"38105")</f>
        <v>38105</v>
      </c>
      <c r="B1280" s="51">
        <f ca="1">IFERROR(__xludf.DUMMYFUNCTION("""COMPUTED_VALUE"""),44631)</f>
        <v>44631</v>
      </c>
      <c r="C1280" s="22">
        <f ca="1">IFERROR(__xludf.DUMMYFUNCTION("""COMPUTED_VALUE"""),500000)</f>
        <v>500000</v>
      </c>
      <c r="D1280" s="22">
        <f ca="1">IFERROR(__xludf.DUMMYFUNCTION("""COMPUTED_VALUE"""),0)</f>
        <v>0</v>
      </c>
      <c r="E1280" s="22">
        <f ca="1">IFERROR(__xludf.DUMMYFUNCTION("""COMPUTED_VALUE"""),500000)</f>
        <v>500000</v>
      </c>
      <c r="F1280" s="22">
        <f ca="1">IFERROR(__xludf.DUMMYFUNCTION("""COMPUTED_VALUE"""),500000)</f>
        <v>500000</v>
      </c>
      <c r="G1280" s="22">
        <f ca="1">IFERROR(__xludf.DUMMYFUNCTION("""COMPUTED_VALUE"""),0)</f>
        <v>0</v>
      </c>
      <c r="H1280" s="7">
        <f ca="1">IFERROR(__xludf.DUMMYFUNCTION("""COMPUTED_VALUE"""),500000)</f>
        <v>500000</v>
      </c>
    </row>
    <row r="1281" spans="1:8" ht="13" x14ac:dyDescent="0.15">
      <c r="A1281" s="5" t="str">
        <f ca="1">IFERROR(__xludf.DUMMYFUNCTION("""COMPUTED_VALUE"""),"38105")</f>
        <v>38105</v>
      </c>
      <c r="B1281" s="51">
        <f ca="1">IFERROR(__xludf.DUMMYFUNCTION("""COMPUTED_VALUE"""),44632)</f>
        <v>44632</v>
      </c>
      <c r="C1281" s="22">
        <f ca="1">IFERROR(__xludf.DUMMYFUNCTION("""COMPUTED_VALUE"""),500000)</f>
        <v>500000</v>
      </c>
      <c r="D1281" s="22">
        <f ca="1">IFERROR(__xludf.DUMMYFUNCTION("""COMPUTED_VALUE"""),0)</f>
        <v>0</v>
      </c>
      <c r="E1281" s="22">
        <f ca="1">IFERROR(__xludf.DUMMYFUNCTION("""COMPUTED_VALUE"""),500000)</f>
        <v>500000</v>
      </c>
      <c r="F1281" s="22">
        <f ca="1">IFERROR(__xludf.DUMMYFUNCTION("""COMPUTED_VALUE"""),500000)</f>
        <v>500000</v>
      </c>
      <c r="G1281" s="22">
        <f ca="1">IFERROR(__xludf.DUMMYFUNCTION("""COMPUTED_VALUE"""),0)</f>
        <v>0</v>
      </c>
      <c r="H1281" s="7">
        <f ca="1">IFERROR(__xludf.DUMMYFUNCTION("""COMPUTED_VALUE"""),500000)</f>
        <v>500000</v>
      </c>
    </row>
    <row r="1282" spans="1:8" ht="13" x14ac:dyDescent="0.15">
      <c r="A1282" s="5" t="str">
        <f ca="1">IFERROR(__xludf.DUMMYFUNCTION("""COMPUTED_VALUE"""),"38105")</f>
        <v>38105</v>
      </c>
      <c r="B1282" s="51">
        <f ca="1">IFERROR(__xludf.DUMMYFUNCTION("""COMPUTED_VALUE"""),44633)</f>
        <v>44633</v>
      </c>
      <c r="C1282" s="22">
        <f ca="1">IFERROR(__xludf.DUMMYFUNCTION("""COMPUTED_VALUE"""),500000)</f>
        <v>500000</v>
      </c>
      <c r="D1282" s="22">
        <f ca="1">IFERROR(__xludf.DUMMYFUNCTION("""COMPUTED_VALUE"""),0)</f>
        <v>0</v>
      </c>
      <c r="E1282" s="22">
        <f ca="1">IFERROR(__xludf.DUMMYFUNCTION("""COMPUTED_VALUE"""),500000)</f>
        <v>500000</v>
      </c>
      <c r="F1282" s="22">
        <f ca="1">IFERROR(__xludf.DUMMYFUNCTION("""COMPUTED_VALUE"""),500000)</f>
        <v>500000</v>
      </c>
      <c r="G1282" s="22">
        <f ca="1">IFERROR(__xludf.DUMMYFUNCTION("""COMPUTED_VALUE"""),0)</f>
        <v>0</v>
      </c>
      <c r="H1282" s="7">
        <f ca="1">IFERROR(__xludf.DUMMYFUNCTION("""COMPUTED_VALUE"""),500000)</f>
        <v>500000</v>
      </c>
    </row>
    <row r="1283" spans="1:8" ht="13" x14ac:dyDescent="0.15">
      <c r="A1283" s="5" t="str">
        <f ca="1">IFERROR(__xludf.DUMMYFUNCTION("""COMPUTED_VALUE"""),"38105")</f>
        <v>38105</v>
      </c>
      <c r="B1283" s="51">
        <f ca="1">IFERROR(__xludf.DUMMYFUNCTION("""COMPUTED_VALUE"""),44634)</f>
        <v>44634</v>
      </c>
      <c r="C1283" s="22">
        <f ca="1">IFERROR(__xludf.DUMMYFUNCTION("""COMPUTED_VALUE"""),500000)</f>
        <v>500000</v>
      </c>
      <c r="D1283" s="22">
        <f ca="1">IFERROR(__xludf.DUMMYFUNCTION("""COMPUTED_VALUE"""),0)</f>
        <v>0</v>
      </c>
      <c r="E1283" s="22">
        <f ca="1">IFERROR(__xludf.DUMMYFUNCTION("""COMPUTED_VALUE"""),500000)</f>
        <v>500000</v>
      </c>
      <c r="F1283" s="22">
        <f ca="1">IFERROR(__xludf.DUMMYFUNCTION("""COMPUTED_VALUE"""),500000)</f>
        <v>500000</v>
      </c>
      <c r="G1283" s="22">
        <f ca="1">IFERROR(__xludf.DUMMYFUNCTION("""COMPUTED_VALUE"""),0)</f>
        <v>0</v>
      </c>
      <c r="H1283" s="7">
        <f ca="1">IFERROR(__xludf.DUMMYFUNCTION("""COMPUTED_VALUE"""),500000)</f>
        <v>500000</v>
      </c>
    </row>
    <row r="1284" spans="1:8" ht="13" x14ac:dyDescent="0.15">
      <c r="A1284" s="5" t="str">
        <f ca="1">IFERROR(__xludf.DUMMYFUNCTION("""COMPUTED_VALUE"""),"38105")</f>
        <v>38105</v>
      </c>
      <c r="B1284" s="51">
        <f ca="1">IFERROR(__xludf.DUMMYFUNCTION("""COMPUTED_VALUE"""),44635)</f>
        <v>44635</v>
      </c>
      <c r="C1284" s="22">
        <f ca="1">IFERROR(__xludf.DUMMYFUNCTION("""COMPUTED_VALUE"""),500000)</f>
        <v>500000</v>
      </c>
      <c r="D1284" s="22">
        <f ca="1">IFERROR(__xludf.DUMMYFUNCTION("""COMPUTED_VALUE"""),0)</f>
        <v>0</v>
      </c>
      <c r="E1284" s="22">
        <f ca="1">IFERROR(__xludf.DUMMYFUNCTION("""COMPUTED_VALUE"""),500000)</f>
        <v>500000</v>
      </c>
      <c r="F1284" s="22">
        <f ca="1">IFERROR(__xludf.DUMMYFUNCTION("""COMPUTED_VALUE"""),500000)</f>
        <v>500000</v>
      </c>
      <c r="G1284" s="22">
        <f ca="1">IFERROR(__xludf.DUMMYFUNCTION("""COMPUTED_VALUE"""),0)</f>
        <v>0</v>
      </c>
      <c r="H1284" s="7">
        <f ca="1">IFERROR(__xludf.DUMMYFUNCTION("""COMPUTED_VALUE"""),500000)</f>
        <v>500000</v>
      </c>
    </row>
    <row r="1285" spans="1:8" ht="13" x14ac:dyDescent="0.15">
      <c r="A1285" s="5" t="str">
        <f ca="1">IFERROR(__xludf.DUMMYFUNCTION("""COMPUTED_VALUE"""),"38105")</f>
        <v>38105</v>
      </c>
      <c r="B1285" s="51">
        <f ca="1">IFERROR(__xludf.DUMMYFUNCTION("""COMPUTED_VALUE"""),44636)</f>
        <v>44636</v>
      </c>
      <c r="C1285" s="22">
        <f ca="1">IFERROR(__xludf.DUMMYFUNCTION("""COMPUTED_VALUE"""),500000)</f>
        <v>500000</v>
      </c>
      <c r="D1285" s="22">
        <f ca="1">IFERROR(__xludf.DUMMYFUNCTION("""COMPUTED_VALUE"""),0)</f>
        <v>0</v>
      </c>
      <c r="E1285" s="22">
        <f ca="1">IFERROR(__xludf.DUMMYFUNCTION("""COMPUTED_VALUE"""),500000)</f>
        <v>500000</v>
      </c>
      <c r="F1285" s="22">
        <f ca="1">IFERROR(__xludf.DUMMYFUNCTION("""COMPUTED_VALUE"""),500000)</f>
        <v>500000</v>
      </c>
      <c r="G1285" s="22">
        <f ca="1">IFERROR(__xludf.DUMMYFUNCTION("""COMPUTED_VALUE"""),0)</f>
        <v>0</v>
      </c>
      <c r="H1285" s="7">
        <f ca="1">IFERROR(__xludf.DUMMYFUNCTION("""COMPUTED_VALUE"""),500000)</f>
        <v>500000</v>
      </c>
    </row>
    <row r="1286" spans="1:8" ht="13" x14ac:dyDescent="0.15">
      <c r="A1286" s="5" t="str">
        <f ca="1">IFERROR(__xludf.DUMMYFUNCTION("""COMPUTED_VALUE"""),"38105")</f>
        <v>38105</v>
      </c>
      <c r="B1286" s="51">
        <f ca="1">IFERROR(__xludf.DUMMYFUNCTION("""COMPUTED_VALUE"""),44637)</f>
        <v>44637</v>
      </c>
      <c r="C1286" s="22">
        <f ca="1">IFERROR(__xludf.DUMMYFUNCTION("""COMPUTED_VALUE"""),500000)</f>
        <v>500000</v>
      </c>
      <c r="D1286" s="22">
        <f ca="1">IFERROR(__xludf.DUMMYFUNCTION("""COMPUTED_VALUE"""),0)</f>
        <v>0</v>
      </c>
      <c r="E1286" s="22">
        <f ca="1">IFERROR(__xludf.DUMMYFUNCTION("""COMPUTED_VALUE"""),500000)</f>
        <v>500000</v>
      </c>
      <c r="F1286" s="22">
        <f ca="1">IFERROR(__xludf.DUMMYFUNCTION("""COMPUTED_VALUE"""),500000)</f>
        <v>500000</v>
      </c>
      <c r="G1286" s="22">
        <f ca="1">IFERROR(__xludf.DUMMYFUNCTION("""COMPUTED_VALUE"""),0)</f>
        <v>0</v>
      </c>
      <c r="H1286" s="7">
        <f ca="1">IFERROR(__xludf.DUMMYFUNCTION("""COMPUTED_VALUE"""),500000)</f>
        <v>500000</v>
      </c>
    </row>
    <row r="1287" spans="1:8" ht="13" x14ac:dyDescent="0.15">
      <c r="A1287" s="5" t="str">
        <f ca="1">IFERROR(__xludf.DUMMYFUNCTION("""COMPUTED_VALUE"""),"38105")</f>
        <v>38105</v>
      </c>
      <c r="B1287" s="51">
        <f ca="1">IFERROR(__xludf.DUMMYFUNCTION("""COMPUTED_VALUE"""),44638)</f>
        <v>44638</v>
      </c>
      <c r="C1287" s="22">
        <f ca="1">IFERROR(__xludf.DUMMYFUNCTION("""COMPUTED_VALUE"""),500000)</f>
        <v>500000</v>
      </c>
      <c r="D1287" s="22">
        <f ca="1">IFERROR(__xludf.DUMMYFUNCTION("""COMPUTED_VALUE"""),0)</f>
        <v>0</v>
      </c>
      <c r="E1287" s="22">
        <f ca="1">IFERROR(__xludf.DUMMYFUNCTION("""COMPUTED_VALUE"""),500000)</f>
        <v>500000</v>
      </c>
      <c r="F1287" s="22">
        <f ca="1">IFERROR(__xludf.DUMMYFUNCTION("""COMPUTED_VALUE"""),500000)</f>
        <v>500000</v>
      </c>
      <c r="G1287" s="22">
        <f ca="1">IFERROR(__xludf.DUMMYFUNCTION("""COMPUTED_VALUE"""),0)</f>
        <v>0</v>
      </c>
      <c r="H1287" s="7">
        <f ca="1">IFERROR(__xludf.DUMMYFUNCTION("""COMPUTED_VALUE"""),500000)</f>
        <v>500000</v>
      </c>
    </row>
    <row r="1288" spans="1:8" ht="13" x14ac:dyDescent="0.15">
      <c r="A1288" s="5" t="str">
        <f ca="1">IFERROR(__xludf.DUMMYFUNCTION("""COMPUTED_VALUE"""),"38105")</f>
        <v>38105</v>
      </c>
      <c r="B1288" s="51">
        <f ca="1">IFERROR(__xludf.DUMMYFUNCTION("""COMPUTED_VALUE"""),44639)</f>
        <v>44639</v>
      </c>
      <c r="C1288" s="22">
        <f ca="1">IFERROR(__xludf.DUMMYFUNCTION("""COMPUTED_VALUE"""),500000)</f>
        <v>500000</v>
      </c>
      <c r="D1288" s="22">
        <f ca="1">IFERROR(__xludf.DUMMYFUNCTION("""COMPUTED_VALUE"""),0)</f>
        <v>0</v>
      </c>
      <c r="E1288" s="22">
        <f ca="1">IFERROR(__xludf.DUMMYFUNCTION("""COMPUTED_VALUE"""),500000)</f>
        <v>500000</v>
      </c>
      <c r="F1288" s="22">
        <f ca="1">IFERROR(__xludf.DUMMYFUNCTION("""COMPUTED_VALUE"""),500000)</f>
        <v>500000</v>
      </c>
      <c r="G1288" s="22">
        <f ca="1">IFERROR(__xludf.DUMMYFUNCTION("""COMPUTED_VALUE"""),0)</f>
        <v>0</v>
      </c>
      <c r="H1288" s="7">
        <f ca="1">IFERROR(__xludf.DUMMYFUNCTION("""COMPUTED_VALUE"""),500000)</f>
        <v>500000</v>
      </c>
    </row>
    <row r="1289" spans="1:8" ht="13" x14ac:dyDescent="0.15">
      <c r="A1289" s="5" t="str">
        <f ca="1">IFERROR(__xludf.DUMMYFUNCTION("""COMPUTED_VALUE"""),"38105")</f>
        <v>38105</v>
      </c>
      <c r="B1289" s="51">
        <f ca="1">IFERROR(__xludf.DUMMYFUNCTION("""COMPUTED_VALUE"""),44640)</f>
        <v>44640</v>
      </c>
      <c r="C1289" s="22">
        <f ca="1">IFERROR(__xludf.DUMMYFUNCTION("""COMPUTED_VALUE"""),500000)</f>
        <v>500000</v>
      </c>
      <c r="D1289" s="22">
        <f ca="1">IFERROR(__xludf.DUMMYFUNCTION("""COMPUTED_VALUE"""),0)</f>
        <v>0</v>
      </c>
      <c r="E1289" s="22">
        <f ca="1">IFERROR(__xludf.DUMMYFUNCTION("""COMPUTED_VALUE"""),500000)</f>
        <v>500000</v>
      </c>
      <c r="F1289" s="22">
        <f ca="1">IFERROR(__xludf.DUMMYFUNCTION("""COMPUTED_VALUE"""),500000)</f>
        <v>500000</v>
      </c>
      <c r="G1289" s="22">
        <f ca="1">IFERROR(__xludf.DUMMYFUNCTION("""COMPUTED_VALUE"""),0)</f>
        <v>0</v>
      </c>
      <c r="H1289" s="7">
        <f ca="1">IFERROR(__xludf.DUMMYFUNCTION("""COMPUTED_VALUE"""),500000)</f>
        <v>500000</v>
      </c>
    </row>
    <row r="1290" spans="1:8" ht="13" x14ac:dyDescent="0.15">
      <c r="A1290" s="5" t="str">
        <f ca="1">IFERROR(__xludf.DUMMYFUNCTION("""COMPUTED_VALUE"""),"38105")</f>
        <v>38105</v>
      </c>
      <c r="B1290" s="51">
        <f ca="1">IFERROR(__xludf.DUMMYFUNCTION("""COMPUTED_VALUE"""),44641)</f>
        <v>44641</v>
      </c>
      <c r="C1290" s="22">
        <f ca="1">IFERROR(__xludf.DUMMYFUNCTION("""COMPUTED_VALUE"""),500000)</f>
        <v>500000</v>
      </c>
      <c r="D1290" s="22">
        <f ca="1">IFERROR(__xludf.DUMMYFUNCTION("""COMPUTED_VALUE"""),0)</f>
        <v>0</v>
      </c>
      <c r="E1290" s="22">
        <f ca="1">IFERROR(__xludf.DUMMYFUNCTION("""COMPUTED_VALUE"""),500000)</f>
        <v>500000</v>
      </c>
      <c r="F1290" s="22">
        <f ca="1">IFERROR(__xludf.DUMMYFUNCTION("""COMPUTED_VALUE"""),500000)</f>
        <v>500000</v>
      </c>
      <c r="G1290" s="22">
        <f ca="1">IFERROR(__xludf.DUMMYFUNCTION("""COMPUTED_VALUE"""),0)</f>
        <v>0</v>
      </c>
      <c r="H1290" s="7">
        <f ca="1">IFERROR(__xludf.DUMMYFUNCTION("""COMPUTED_VALUE"""),500000)</f>
        <v>500000</v>
      </c>
    </row>
    <row r="1291" spans="1:8" ht="13" x14ac:dyDescent="0.15">
      <c r="A1291" s="5" t="str">
        <f ca="1">IFERROR(__xludf.DUMMYFUNCTION("""COMPUTED_VALUE"""),"38105")</f>
        <v>38105</v>
      </c>
      <c r="B1291" s="51">
        <f ca="1">IFERROR(__xludf.DUMMYFUNCTION("""COMPUTED_VALUE"""),44642)</f>
        <v>44642</v>
      </c>
      <c r="C1291" s="22">
        <f ca="1">IFERROR(__xludf.DUMMYFUNCTION("""COMPUTED_VALUE"""),500000)</f>
        <v>500000</v>
      </c>
      <c r="D1291" s="22">
        <f ca="1">IFERROR(__xludf.DUMMYFUNCTION("""COMPUTED_VALUE"""),0)</f>
        <v>0</v>
      </c>
      <c r="E1291" s="22">
        <f ca="1">IFERROR(__xludf.DUMMYFUNCTION("""COMPUTED_VALUE"""),500000)</f>
        <v>500000</v>
      </c>
      <c r="F1291" s="22">
        <f ca="1">IFERROR(__xludf.DUMMYFUNCTION("""COMPUTED_VALUE"""),500000)</f>
        <v>500000</v>
      </c>
      <c r="G1291" s="22">
        <f ca="1">IFERROR(__xludf.DUMMYFUNCTION("""COMPUTED_VALUE"""),0)</f>
        <v>0</v>
      </c>
      <c r="H1291" s="7">
        <f ca="1">IFERROR(__xludf.DUMMYFUNCTION("""COMPUTED_VALUE"""),500000)</f>
        <v>500000</v>
      </c>
    </row>
    <row r="1292" spans="1:8" ht="13" x14ac:dyDescent="0.15">
      <c r="A1292" s="5" t="str">
        <f ca="1">IFERROR(__xludf.DUMMYFUNCTION("""COMPUTED_VALUE"""),"38109")</f>
        <v>38109</v>
      </c>
      <c r="B1292" s="51">
        <f ca="1">IFERROR(__xludf.DUMMYFUNCTION("""COMPUTED_VALUE"""),44597)</f>
        <v>44597</v>
      </c>
      <c r="C1292" s="22">
        <f ca="1">IFERROR(__xludf.DUMMYFUNCTION("""COMPUTED_VALUE"""),500000)</f>
        <v>500000</v>
      </c>
      <c r="D1292" s="22">
        <f ca="1">IFERROR(__xludf.DUMMYFUNCTION("""COMPUTED_VALUE"""),0)</f>
        <v>0</v>
      </c>
      <c r="E1292" s="22">
        <f ca="1">IFERROR(__xludf.DUMMYFUNCTION("""COMPUTED_VALUE"""),500000)</f>
        <v>500000</v>
      </c>
      <c r="F1292" s="22">
        <f ca="1">IFERROR(__xludf.DUMMYFUNCTION("""COMPUTED_VALUE"""),500000)</f>
        <v>500000</v>
      </c>
      <c r="G1292" s="22">
        <f ca="1">IFERROR(__xludf.DUMMYFUNCTION("""COMPUTED_VALUE"""),0)</f>
        <v>0</v>
      </c>
      <c r="H1292" s="7">
        <f ca="1">IFERROR(__xludf.DUMMYFUNCTION("""COMPUTED_VALUE"""),500000)</f>
        <v>500000</v>
      </c>
    </row>
    <row r="1293" spans="1:8" ht="13" x14ac:dyDescent="0.15">
      <c r="A1293" s="5" t="str">
        <f ca="1">IFERROR(__xludf.DUMMYFUNCTION("""COMPUTED_VALUE"""),"38109")</f>
        <v>38109</v>
      </c>
      <c r="B1293" s="51">
        <f ca="1">IFERROR(__xludf.DUMMYFUNCTION("""COMPUTED_VALUE"""),44598)</f>
        <v>44598</v>
      </c>
      <c r="C1293" s="22">
        <f ca="1">IFERROR(__xludf.DUMMYFUNCTION("""COMPUTED_VALUE"""),500000)</f>
        <v>500000</v>
      </c>
      <c r="D1293" s="22">
        <f ca="1">IFERROR(__xludf.DUMMYFUNCTION("""COMPUTED_VALUE"""),0)</f>
        <v>0</v>
      </c>
      <c r="E1293" s="22">
        <f ca="1">IFERROR(__xludf.DUMMYFUNCTION("""COMPUTED_VALUE"""),500000)</f>
        <v>500000</v>
      </c>
      <c r="F1293" s="22">
        <f ca="1">IFERROR(__xludf.DUMMYFUNCTION("""COMPUTED_VALUE"""),500000)</f>
        <v>500000</v>
      </c>
      <c r="G1293" s="22">
        <f ca="1">IFERROR(__xludf.DUMMYFUNCTION("""COMPUTED_VALUE"""),0)</f>
        <v>0</v>
      </c>
      <c r="H1293" s="7">
        <f ca="1">IFERROR(__xludf.DUMMYFUNCTION("""COMPUTED_VALUE"""),500000)</f>
        <v>500000</v>
      </c>
    </row>
    <row r="1294" spans="1:8" ht="13" x14ac:dyDescent="0.15">
      <c r="A1294" s="5" t="str">
        <f ca="1">IFERROR(__xludf.DUMMYFUNCTION("""COMPUTED_VALUE"""),"38109")</f>
        <v>38109</v>
      </c>
      <c r="B1294" s="51">
        <f ca="1">IFERROR(__xludf.DUMMYFUNCTION("""COMPUTED_VALUE"""),44599)</f>
        <v>44599</v>
      </c>
      <c r="C1294" s="22">
        <f ca="1">IFERROR(__xludf.DUMMYFUNCTION("""COMPUTED_VALUE"""),500000)</f>
        <v>500000</v>
      </c>
      <c r="D1294" s="22">
        <f ca="1">IFERROR(__xludf.DUMMYFUNCTION("""COMPUTED_VALUE"""),0)</f>
        <v>0</v>
      </c>
      <c r="E1294" s="22">
        <f ca="1">IFERROR(__xludf.DUMMYFUNCTION("""COMPUTED_VALUE"""),500000)</f>
        <v>500000</v>
      </c>
      <c r="F1294" s="22">
        <f ca="1">IFERROR(__xludf.DUMMYFUNCTION("""COMPUTED_VALUE"""),500000)</f>
        <v>500000</v>
      </c>
      <c r="G1294" s="22">
        <f ca="1">IFERROR(__xludf.DUMMYFUNCTION("""COMPUTED_VALUE"""),0)</f>
        <v>0</v>
      </c>
      <c r="H1294" s="7">
        <f ca="1">IFERROR(__xludf.DUMMYFUNCTION("""COMPUTED_VALUE"""),500000)</f>
        <v>500000</v>
      </c>
    </row>
    <row r="1295" spans="1:8" ht="13" x14ac:dyDescent="0.15">
      <c r="A1295" s="5" t="str">
        <f ca="1">IFERROR(__xludf.DUMMYFUNCTION("""COMPUTED_VALUE"""),"38109")</f>
        <v>38109</v>
      </c>
      <c r="B1295" s="51">
        <f ca="1">IFERROR(__xludf.DUMMYFUNCTION("""COMPUTED_VALUE"""),44600)</f>
        <v>44600</v>
      </c>
      <c r="C1295" s="22">
        <f ca="1">IFERROR(__xludf.DUMMYFUNCTION("""COMPUTED_VALUE"""),500000)</f>
        <v>500000</v>
      </c>
      <c r="D1295" s="22">
        <f ca="1">IFERROR(__xludf.DUMMYFUNCTION("""COMPUTED_VALUE"""),0)</f>
        <v>0</v>
      </c>
      <c r="E1295" s="22">
        <f ca="1">IFERROR(__xludf.DUMMYFUNCTION("""COMPUTED_VALUE"""),500000)</f>
        <v>500000</v>
      </c>
      <c r="F1295" s="22">
        <f ca="1">IFERROR(__xludf.DUMMYFUNCTION("""COMPUTED_VALUE"""),500000)</f>
        <v>500000</v>
      </c>
      <c r="G1295" s="22">
        <f ca="1">IFERROR(__xludf.DUMMYFUNCTION("""COMPUTED_VALUE"""),0)</f>
        <v>0</v>
      </c>
      <c r="H1295" s="7">
        <f ca="1">IFERROR(__xludf.DUMMYFUNCTION("""COMPUTED_VALUE"""),500000)</f>
        <v>500000</v>
      </c>
    </row>
    <row r="1296" spans="1:8" ht="13" x14ac:dyDescent="0.15">
      <c r="A1296" s="5" t="str">
        <f ca="1">IFERROR(__xludf.DUMMYFUNCTION("""COMPUTED_VALUE"""),"38109")</f>
        <v>38109</v>
      </c>
      <c r="B1296" s="51">
        <f ca="1">IFERROR(__xludf.DUMMYFUNCTION("""COMPUTED_VALUE"""),44601)</f>
        <v>44601</v>
      </c>
      <c r="C1296" s="22">
        <f ca="1">IFERROR(__xludf.DUMMYFUNCTION("""COMPUTED_VALUE"""),500000)</f>
        <v>500000</v>
      </c>
      <c r="D1296" s="22">
        <f ca="1">IFERROR(__xludf.DUMMYFUNCTION("""COMPUTED_VALUE"""),0)</f>
        <v>0</v>
      </c>
      <c r="E1296" s="22">
        <f ca="1">IFERROR(__xludf.DUMMYFUNCTION("""COMPUTED_VALUE"""),500000)</f>
        <v>500000</v>
      </c>
      <c r="F1296" s="22">
        <f ca="1">IFERROR(__xludf.DUMMYFUNCTION("""COMPUTED_VALUE"""),500000)</f>
        <v>500000</v>
      </c>
      <c r="G1296" s="22">
        <f ca="1">IFERROR(__xludf.DUMMYFUNCTION("""COMPUTED_VALUE"""),0)</f>
        <v>0</v>
      </c>
      <c r="H1296" s="7">
        <f ca="1">IFERROR(__xludf.DUMMYFUNCTION("""COMPUTED_VALUE"""),500000)</f>
        <v>500000</v>
      </c>
    </row>
    <row r="1297" spans="1:8" ht="13" x14ac:dyDescent="0.15">
      <c r="A1297" s="5" t="str">
        <f ca="1">IFERROR(__xludf.DUMMYFUNCTION("""COMPUTED_VALUE"""),"38109")</f>
        <v>38109</v>
      </c>
      <c r="B1297" s="51">
        <f ca="1">IFERROR(__xludf.DUMMYFUNCTION("""COMPUTED_VALUE"""),44602)</f>
        <v>44602</v>
      </c>
      <c r="C1297" s="22">
        <f ca="1">IFERROR(__xludf.DUMMYFUNCTION("""COMPUTED_VALUE"""),500000)</f>
        <v>500000</v>
      </c>
      <c r="D1297" s="22">
        <f ca="1">IFERROR(__xludf.DUMMYFUNCTION("""COMPUTED_VALUE"""),0)</f>
        <v>0</v>
      </c>
      <c r="E1297" s="22">
        <f ca="1">IFERROR(__xludf.DUMMYFUNCTION("""COMPUTED_VALUE"""),500000)</f>
        <v>500000</v>
      </c>
      <c r="F1297" s="22">
        <f ca="1">IFERROR(__xludf.DUMMYFUNCTION("""COMPUTED_VALUE"""),500000)</f>
        <v>500000</v>
      </c>
      <c r="G1297" s="22">
        <f ca="1">IFERROR(__xludf.DUMMYFUNCTION("""COMPUTED_VALUE"""),0)</f>
        <v>0</v>
      </c>
      <c r="H1297" s="7">
        <f ca="1">IFERROR(__xludf.DUMMYFUNCTION("""COMPUTED_VALUE"""),500000)</f>
        <v>500000</v>
      </c>
    </row>
    <row r="1298" spans="1:8" ht="13" x14ac:dyDescent="0.15">
      <c r="A1298" s="5" t="str">
        <f ca="1">IFERROR(__xludf.DUMMYFUNCTION("""COMPUTED_VALUE"""),"38109")</f>
        <v>38109</v>
      </c>
      <c r="B1298" s="51">
        <f ca="1">IFERROR(__xludf.DUMMYFUNCTION("""COMPUTED_VALUE"""),44603)</f>
        <v>44603</v>
      </c>
      <c r="C1298" s="22">
        <f ca="1">IFERROR(__xludf.DUMMYFUNCTION("""COMPUTED_VALUE"""),500000)</f>
        <v>500000</v>
      </c>
      <c r="D1298" s="22">
        <f ca="1">IFERROR(__xludf.DUMMYFUNCTION("""COMPUTED_VALUE"""),0)</f>
        <v>0</v>
      </c>
      <c r="E1298" s="22">
        <f ca="1">IFERROR(__xludf.DUMMYFUNCTION("""COMPUTED_VALUE"""),500000)</f>
        <v>500000</v>
      </c>
      <c r="F1298" s="22">
        <f ca="1">IFERROR(__xludf.DUMMYFUNCTION("""COMPUTED_VALUE"""),500000)</f>
        <v>500000</v>
      </c>
      <c r="G1298" s="22">
        <f ca="1">IFERROR(__xludf.DUMMYFUNCTION("""COMPUTED_VALUE"""),0)</f>
        <v>0</v>
      </c>
      <c r="H1298" s="7">
        <f ca="1">IFERROR(__xludf.DUMMYFUNCTION("""COMPUTED_VALUE"""),500000)</f>
        <v>500000</v>
      </c>
    </row>
    <row r="1299" spans="1:8" ht="13" x14ac:dyDescent="0.15">
      <c r="A1299" s="5" t="str">
        <f ca="1">IFERROR(__xludf.DUMMYFUNCTION("""COMPUTED_VALUE"""),"38109")</f>
        <v>38109</v>
      </c>
      <c r="B1299" s="51">
        <f ca="1">IFERROR(__xludf.DUMMYFUNCTION("""COMPUTED_VALUE"""),44604)</f>
        <v>44604</v>
      </c>
      <c r="C1299" s="22">
        <f ca="1">IFERROR(__xludf.DUMMYFUNCTION("""COMPUTED_VALUE"""),500000)</f>
        <v>500000</v>
      </c>
      <c r="D1299" s="22">
        <f ca="1">IFERROR(__xludf.DUMMYFUNCTION("""COMPUTED_VALUE"""),0)</f>
        <v>0</v>
      </c>
      <c r="E1299" s="22">
        <f ca="1">IFERROR(__xludf.DUMMYFUNCTION("""COMPUTED_VALUE"""),500000)</f>
        <v>500000</v>
      </c>
      <c r="F1299" s="22">
        <f ca="1">IFERROR(__xludf.DUMMYFUNCTION("""COMPUTED_VALUE"""),500000)</f>
        <v>500000</v>
      </c>
      <c r="G1299" s="22">
        <f ca="1">IFERROR(__xludf.DUMMYFUNCTION("""COMPUTED_VALUE"""),0)</f>
        <v>0</v>
      </c>
      <c r="H1299" s="7">
        <f ca="1">IFERROR(__xludf.DUMMYFUNCTION("""COMPUTED_VALUE"""),500000)</f>
        <v>500000</v>
      </c>
    </row>
    <row r="1300" spans="1:8" ht="13" x14ac:dyDescent="0.15">
      <c r="A1300" s="5" t="str">
        <f ca="1">IFERROR(__xludf.DUMMYFUNCTION("""COMPUTED_VALUE"""),"38109")</f>
        <v>38109</v>
      </c>
      <c r="B1300" s="51">
        <f ca="1">IFERROR(__xludf.DUMMYFUNCTION("""COMPUTED_VALUE"""),44605)</f>
        <v>44605</v>
      </c>
      <c r="C1300" s="22">
        <f ca="1">IFERROR(__xludf.DUMMYFUNCTION("""COMPUTED_VALUE"""),500000)</f>
        <v>500000</v>
      </c>
      <c r="D1300" s="22">
        <f ca="1">IFERROR(__xludf.DUMMYFUNCTION("""COMPUTED_VALUE"""),0)</f>
        <v>0</v>
      </c>
      <c r="E1300" s="22">
        <f ca="1">IFERROR(__xludf.DUMMYFUNCTION("""COMPUTED_VALUE"""),500000)</f>
        <v>500000</v>
      </c>
      <c r="F1300" s="22">
        <f ca="1">IFERROR(__xludf.DUMMYFUNCTION("""COMPUTED_VALUE"""),500000)</f>
        <v>500000</v>
      </c>
      <c r="G1300" s="22">
        <f ca="1">IFERROR(__xludf.DUMMYFUNCTION("""COMPUTED_VALUE"""),0)</f>
        <v>0</v>
      </c>
      <c r="H1300" s="7">
        <f ca="1">IFERROR(__xludf.DUMMYFUNCTION("""COMPUTED_VALUE"""),500000)</f>
        <v>500000</v>
      </c>
    </row>
    <row r="1301" spans="1:8" ht="13" x14ac:dyDescent="0.15">
      <c r="A1301" s="5" t="str">
        <f ca="1">IFERROR(__xludf.DUMMYFUNCTION("""COMPUTED_VALUE"""),"38109")</f>
        <v>38109</v>
      </c>
      <c r="B1301" s="51">
        <f ca="1">IFERROR(__xludf.DUMMYFUNCTION("""COMPUTED_VALUE"""),44606)</f>
        <v>44606</v>
      </c>
      <c r="C1301" s="22">
        <f ca="1">IFERROR(__xludf.DUMMYFUNCTION("""COMPUTED_VALUE"""),500000)</f>
        <v>500000</v>
      </c>
      <c r="D1301" s="22">
        <f ca="1">IFERROR(__xludf.DUMMYFUNCTION("""COMPUTED_VALUE"""),0)</f>
        <v>0</v>
      </c>
      <c r="E1301" s="22">
        <f ca="1">IFERROR(__xludf.DUMMYFUNCTION("""COMPUTED_VALUE"""),500000)</f>
        <v>500000</v>
      </c>
      <c r="F1301" s="22">
        <f ca="1">IFERROR(__xludf.DUMMYFUNCTION("""COMPUTED_VALUE"""),500000)</f>
        <v>500000</v>
      </c>
      <c r="G1301" s="22">
        <f ca="1">IFERROR(__xludf.DUMMYFUNCTION("""COMPUTED_VALUE"""),0)</f>
        <v>0</v>
      </c>
      <c r="H1301" s="7">
        <f ca="1">IFERROR(__xludf.DUMMYFUNCTION("""COMPUTED_VALUE"""),500000)</f>
        <v>500000</v>
      </c>
    </row>
    <row r="1302" spans="1:8" ht="13" x14ac:dyDescent="0.15">
      <c r="A1302" s="5" t="str">
        <f ca="1">IFERROR(__xludf.DUMMYFUNCTION("""COMPUTED_VALUE"""),"38109")</f>
        <v>38109</v>
      </c>
      <c r="B1302" s="51">
        <f ca="1">IFERROR(__xludf.DUMMYFUNCTION("""COMPUTED_VALUE"""),44607)</f>
        <v>44607</v>
      </c>
      <c r="C1302" s="22">
        <f ca="1">IFERROR(__xludf.DUMMYFUNCTION("""COMPUTED_VALUE"""),500000)</f>
        <v>500000</v>
      </c>
      <c r="D1302" s="22">
        <f ca="1">IFERROR(__xludf.DUMMYFUNCTION("""COMPUTED_VALUE"""),0)</f>
        <v>0</v>
      </c>
      <c r="E1302" s="22">
        <f ca="1">IFERROR(__xludf.DUMMYFUNCTION("""COMPUTED_VALUE"""),500000)</f>
        <v>500000</v>
      </c>
      <c r="F1302" s="22">
        <f ca="1">IFERROR(__xludf.DUMMYFUNCTION("""COMPUTED_VALUE"""),500000)</f>
        <v>500000</v>
      </c>
      <c r="G1302" s="22">
        <f ca="1">IFERROR(__xludf.DUMMYFUNCTION("""COMPUTED_VALUE"""),0)</f>
        <v>0</v>
      </c>
      <c r="H1302" s="7">
        <f ca="1">IFERROR(__xludf.DUMMYFUNCTION("""COMPUTED_VALUE"""),500000)</f>
        <v>500000</v>
      </c>
    </row>
    <row r="1303" spans="1:8" ht="13" x14ac:dyDescent="0.15">
      <c r="A1303" s="5" t="str">
        <f ca="1">IFERROR(__xludf.DUMMYFUNCTION("""COMPUTED_VALUE"""),"38109")</f>
        <v>38109</v>
      </c>
      <c r="B1303" s="51">
        <f ca="1">IFERROR(__xludf.DUMMYFUNCTION("""COMPUTED_VALUE"""),44608)</f>
        <v>44608</v>
      </c>
      <c r="C1303" s="22">
        <f ca="1">IFERROR(__xludf.DUMMYFUNCTION("""COMPUTED_VALUE"""),500000)</f>
        <v>500000</v>
      </c>
      <c r="D1303" s="22">
        <f ca="1">IFERROR(__xludf.DUMMYFUNCTION("""COMPUTED_VALUE"""),0)</f>
        <v>0</v>
      </c>
      <c r="E1303" s="22">
        <f ca="1">IFERROR(__xludf.DUMMYFUNCTION("""COMPUTED_VALUE"""),500000)</f>
        <v>500000</v>
      </c>
      <c r="F1303" s="22">
        <f ca="1">IFERROR(__xludf.DUMMYFUNCTION("""COMPUTED_VALUE"""),500000)</f>
        <v>500000</v>
      </c>
      <c r="G1303" s="22">
        <f ca="1">IFERROR(__xludf.DUMMYFUNCTION("""COMPUTED_VALUE"""),0)</f>
        <v>0</v>
      </c>
      <c r="H1303" s="7">
        <f ca="1">IFERROR(__xludf.DUMMYFUNCTION("""COMPUTED_VALUE"""),500000)</f>
        <v>500000</v>
      </c>
    </row>
    <row r="1304" spans="1:8" ht="13" x14ac:dyDescent="0.15">
      <c r="A1304" s="5" t="str">
        <f ca="1">IFERROR(__xludf.DUMMYFUNCTION("""COMPUTED_VALUE"""),"38109")</f>
        <v>38109</v>
      </c>
      <c r="B1304" s="51">
        <f ca="1">IFERROR(__xludf.DUMMYFUNCTION("""COMPUTED_VALUE"""),44609)</f>
        <v>44609</v>
      </c>
      <c r="C1304" s="22">
        <f ca="1">IFERROR(__xludf.DUMMYFUNCTION("""COMPUTED_VALUE"""),500000)</f>
        <v>500000</v>
      </c>
      <c r="D1304" s="22">
        <f ca="1">IFERROR(__xludf.DUMMYFUNCTION("""COMPUTED_VALUE"""),0)</f>
        <v>0</v>
      </c>
      <c r="E1304" s="22">
        <f ca="1">IFERROR(__xludf.DUMMYFUNCTION("""COMPUTED_VALUE"""),500000)</f>
        <v>500000</v>
      </c>
      <c r="F1304" s="22">
        <f ca="1">IFERROR(__xludf.DUMMYFUNCTION("""COMPUTED_VALUE"""),500000)</f>
        <v>500000</v>
      </c>
      <c r="G1304" s="22">
        <f ca="1">IFERROR(__xludf.DUMMYFUNCTION("""COMPUTED_VALUE"""),0)</f>
        <v>0</v>
      </c>
      <c r="H1304" s="7">
        <f ca="1">IFERROR(__xludf.DUMMYFUNCTION("""COMPUTED_VALUE"""),500000)</f>
        <v>500000</v>
      </c>
    </row>
    <row r="1305" spans="1:8" ht="13" x14ac:dyDescent="0.15">
      <c r="A1305" s="5" t="str">
        <f ca="1">IFERROR(__xludf.DUMMYFUNCTION("""COMPUTED_VALUE"""),"38109")</f>
        <v>38109</v>
      </c>
      <c r="B1305" s="51">
        <f ca="1">IFERROR(__xludf.DUMMYFUNCTION("""COMPUTED_VALUE"""),44610)</f>
        <v>44610</v>
      </c>
      <c r="C1305" s="22">
        <f ca="1">IFERROR(__xludf.DUMMYFUNCTION("""COMPUTED_VALUE"""),500000)</f>
        <v>500000</v>
      </c>
      <c r="D1305" s="22">
        <f ca="1">IFERROR(__xludf.DUMMYFUNCTION("""COMPUTED_VALUE"""),0)</f>
        <v>0</v>
      </c>
      <c r="E1305" s="22">
        <f ca="1">IFERROR(__xludf.DUMMYFUNCTION("""COMPUTED_VALUE"""),500000)</f>
        <v>500000</v>
      </c>
      <c r="F1305" s="22">
        <f ca="1">IFERROR(__xludf.DUMMYFUNCTION("""COMPUTED_VALUE"""),500000)</f>
        <v>500000</v>
      </c>
      <c r="G1305" s="22">
        <f ca="1">IFERROR(__xludf.DUMMYFUNCTION("""COMPUTED_VALUE"""),0)</f>
        <v>0</v>
      </c>
      <c r="H1305" s="7">
        <f ca="1">IFERROR(__xludf.DUMMYFUNCTION("""COMPUTED_VALUE"""),500000)</f>
        <v>500000</v>
      </c>
    </row>
    <row r="1306" spans="1:8" ht="13" x14ac:dyDescent="0.15">
      <c r="A1306" s="5" t="str">
        <f ca="1">IFERROR(__xludf.DUMMYFUNCTION("""COMPUTED_VALUE"""),"38109")</f>
        <v>38109</v>
      </c>
      <c r="B1306" s="51">
        <f ca="1">IFERROR(__xludf.DUMMYFUNCTION("""COMPUTED_VALUE"""),44611)</f>
        <v>44611</v>
      </c>
      <c r="C1306" s="22">
        <f ca="1">IFERROR(__xludf.DUMMYFUNCTION("""COMPUTED_VALUE"""),500000)</f>
        <v>500000</v>
      </c>
      <c r="D1306" s="22">
        <f ca="1">IFERROR(__xludf.DUMMYFUNCTION("""COMPUTED_VALUE"""),0)</f>
        <v>0</v>
      </c>
      <c r="E1306" s="22">
        <f ca="1">IFERROR(__xludf.DUMMYFUNCTION("""COMPUTED_VALUE"""),500000)</f>
        <v>500000</v>
      </c>
      <c r="F1306" s="22">
        <f ca="1">IFERROR(__xludf.DUMMYFUNCTION("""COMPUTED_VALUE"""),500000)</f>
        <v>500000</v>
      </c>
      <c r="G1306" s="22">
        <f ca="1">IFERROR(__xludf.DUMMYFUNCTION("""COMPUTED_VALUE"""),0)</f>
        <v>0</v>
      </c>
      <c r="H1306" s="7">
        <f ca="1">IFERROR(__xludf.DUMMYFUNCTION("""COMPUTED_VALUE"""),500000)</f>
        <v>500000</v>
      </c>
    </row>
    <row r="1307" spans="1:8" ht="13" x14ac:dyDescent="0.15">
      <c r="A1307" s="5" t="str">
        <f ca="1">IFERROR(__xludf.DUMMYFUNCTION("""COMPUTED_VALUE"""),"38109")</f>
        <v>38109</v>
      </c>
      <c r="B1307" s="51">
        <f ca="1">IFERROR(__xludf.DUMMYFUNCTION("""COMPUTED_VALUE"""),44612)</f>
        <v>44612</v>
      </c>
      <c r="C1307" s="22">
        <f ca="1">IFERROR(__xludf.DUMMYFUNCTION("""COMPUTED_VALUE"""),500000)</f>
        <v>500000</v>
      </c>
      <c r="D1307" s="22">
        <f ca="1">IFERROR(__xludf.DUMMYFUNCTION("""COMPUTED_VALUE"""),0)</f>
        <v>0</v>
      </c>
      <c r="E1307" s="22">
        <f ca="1">IFERROR(__xludf.DUMMYFUNCTION("""COMPUTED_VALUE"""),500000)</f>
        <v>500000</v>
      </c>
      <c r="F1307" s="22">
        <f ca="1">IFERROR(__xludf.DUMMYFUNCTION("""COMPUTED_VALUE"""),500000)</f>
        <v>500000</v>
      </c>
      <c r="G1307" s="22">
        <f ca="1">IFERROR(__xludf.DUMMYFUNCTION("""COMPUTED_VALUE"""),0)</f>
        <v>0</v>
      </c>
      <c r="H1307" s="7">
        <f ca="1">IFERROR(__xludf.DUMMYFUNCTION("""COMPUTED_VALUE"""),500000)</f>
        <v>500000</v>
      </c>
    </row>
    <row r="1308" spans="1:8" ht="13" x14ac:dyDescent="0.15">
      <c r="A1308" s="5" t="str">
        <f ca="1">IFERROR(__xludf.DUMMYFUNCTION("""COMPUTED_VALUE"""),"38109")</f>
        <v>38109</v>
      </c>
      <c r="B1308" s="51">
        <f ca="1">IFERROR(__xludf.DUMMYFUNCTION("""COMPUTED_VALUE"""),44613)</f>
        <v>44613</v>
      </c>
      <c r="C1308" s="22">
        <f ca="1">IFERROR(__xludf.DUMMYFUNCTION("""COMPUTED_VALUE"""),500000)</f>
        <v>500000</v>
      </c>
      <c r="D1308" s="22">
        <f ca="1">IFERROR(__xludf.DUMMYFUNCTION("""COMPUTED_VALUE"""),0)</f>
        <v>0</v>
      </c>
      <c r="E1308" s="22">
        <f ca="1">IFERROR(__xludf.DUMMYFUNCTION("""COMPUTED_VALUE"""),500000)</f>
        <v>500000</v>
      </c>
      <c r="F1308" s="22">
        <f ca="1">IFERROR(__xludf.DUMMYFUNCTION("""COMPUTED_VALUE"""),500000)</f>
        <v>500000</v>
      </c>
      <c r="G1308" s="22">
        <f ca="1">IFERROR(__xludf.DUMMYFUNCTION("""COMPUTED_VALUE"""),0)</f>
        <v>0</v>
      </c>
      <c r="H1308" s="7">
        <f ca="1">IFERROR(__xludf.DUMMYFUNCTION("""COMPUTED_VALUE"""),500000)</f>
        <v>500000</v>
      </c>
    </row>
    <row r="1309" spans="1:8" ht="13" x14ac:dyDescent="0.15">
      <c r="A1309" s="5" t="str">
        <f ca="1">IFERROR(__xludf.DUMMYFUNCTION("""COMPUTED_VALUE"""),"38109")</f>
        <v>38109</v>
      </c>
      <c r="B1309" s="51">
        <f ca="1">IFERROR(__xludf.DUMMYFUNCTION("""COMPUTED_VALUE"""),44614)</f>
        <v>44614</v>
      </c>
      <c r="C1309" s="22">
        <f ca="1">IFERROR(__xludf.DUMMYFUNCTION("""COMPUTED_VALUE"""),500000)</f>
        <v>500000</v>
      </c>
      <c r="D1309" s="22">
        <f ca="1">IFERROR(__xludf.DUMMYFUNCTION("""COMPUTED_VALUE"""),0)</f>
        <v>0</v>
      </c>
      <c r="E1309" s="22">
        <f ca="1">IFERROR(__xludf.DUMMYFUNCTION("""COMPUTED_VALUE"""),500000)</f>
        <v>500000</v>
      </c>
      <c r="F1309" s="22">
        <f ca="1">IFERROR(__xludf.DUMMYFUNCTION("""COMPUTED_VALUE"""),500000)</f>
        <v>500000</v>
      </c>
      <c r="G1309" s="22">
        <f ca="1">IFERROR(__xludf.DUMMYFUNCTION("""COMPUTED_VALUE"""),0)</f>
        <v>0</v>
      </c>
      <c r="H1309" s="7">
        <f ca="1">IFERROR(__xludf.DUMMYFUNCTION("""COMPUTED_VALUE"""),500000)</f>
        <v>500000</v>
      </c>
    </row>
    <row r="1310" spans="1:8" ht="13" x14ac:dyDescent="0.15">
      <c r="A1310" s="5" t="str">
        <f ca="1">IFERROR(__xludf.DUMMYFUNCTION("""COMPUTED_VALUE"""),"38109")</f>
        <v>38109</v>
      </c>
      <c r="B1310" s="51">
        <f ca="1">IFERROR(__xludf.DUMMYFUNCTION("""COMPUTED_VALUE"""),44615)</f>
        <v>44615</v>
      </c>
      <c r="C1310" s="22">
        <f ca="1">IFERROR(__xludf.DUMMYFUNCTION("""COMPUTED_VALUE"""),500000)</f>
        <v>500000</v>
      </c>
      <c r="D1310" s="22">
        <f ca="1">IFERROR(__xludf.DUMMYFUNCTION("""COMPUTED_VALUE"""),0)</f>
        <v>0</v>
      </c>
      <c r="E1310" s="22">
        <f ca="1">IFERROR(__xludf.DUMMYFUNCTION("""COMPUTED_VALUE"""),500000)</f>
        <v>500000</v>
      </c>
      <c r="F1310" s="22">
        <f ca="1">IFERROR(__xludf.DUMMYFUNCTION("""COMPUTED_VALUE"""),500000)</f>
        <v>500000</v>
      </c>
      <c r="G1310" s="22">
        <f ca="1">IFERROR(__xludf.DUMMYFUNCTION("""COMPUTED_VALUE"""),0)</f>
        <v>0</v>
      </c>
      <c r="H1310" s="7">
        <f ca="1">IFERROR(__xludf.DUMMYFUNCTION("""COMPUTED_VALUE"""),500000)</f>
        <v>500000</v>
      </c>
    </row>
    <row r="1311" spans="1:8" ht="13" x14ac:dyDescent="0.15">
      <c r="A1311" s="5" t="str">
        <f ca="1">IFERROR(__xludf.DUMMYFUNCTION("""COMPUTED_VALUE"""),"38109")</f>
        <v>38109</v>
      </c>
      <c r="B1311" s="51">
        <f ca="1">IFERROR(__xludf.DUMMYFUNCTION("""COMPUTED_VALUE"""),44616)</f>
        <v>44616</v>
      </c>
      <c r="C1311" s="22">
        <f ca="1">IFERROR(__xludf.DUMMYFUNCTION("""COMPUTED_VALUE"""),500000)</f>
        <v>500000</v>
      </c>
      <c r="D1311" s="22">
        <f ca="1">IFERROR(__xludf.DUMMYFUNCTION("""COMPUTED_VALUE"""),0)</f>
        <v>0</v>
      </c>
      <c r="E1311" s="22">
        <f ca="1">IFERROR(__xludf.DUMMYFUNCTION("""COMPUTED_VALUE"""),500000)</f>
        <v>500000</v>
      </c>
      <c r="F1311" s="22">
        <f ca="1">IFERROR(__xludf.DUMMYFUNCTION("""COMPUTED_VALUE"""),500000)</f>
        <v>500000</v>
      </c>
      <c r="G1311" s="22">
        <f ca="1">IFERROR(__xludf.DUMMYFUNCTION("""COMPUTED_VALUE"""),0)</f>
        <v>0</v>
      </c>
      <c r="H1311" s="7">
        <f ca="1">IFERROR(__xludf.DUMMYFUNCTION("""COMPUTED_VALUE"""),500000)</f>
        <v>500000</v>
      </c>
    </row>
    <row r="1312" spans="1:8" ht="13" x14ac:dyDescent="0.15">
      <c r="A1312" s="5" t="str">
        <f ca="1">IFERROR(__xludf.DUMMYFUNCTION("""COMPUTED_VALUE"""),"38109")</f>
        <v>38109</v>
      </c>
      <c r="B1312" s="51">
        <f ca="1">IFERROR(__xludf.DUMMYFUNCTION("""COMPUTED_VALUE"""),44617)</f>
        <v>44617</v>
      </c>
      <c r="C1312" s="22">
        <f ca="1">IFERROR(__xludf.DUMMYFUNCTION("""COMPUTED_VALUE"""),500000)</f>
        <v>500000</v>
      </c>
      <c r="D1312" s="22">
        <f ca="1">IFERROR(__xludf.DUMMYFUNCTION("""COMPUTED_VALUE"""),0)</f>
        <v>0</v>
      </c>
      <c r="E1312" s="22">
        <f ca="1">IFERROR(__xludf.DUMMYFUNCTION("""COMPUTED_VALUE"""),500000)</f>
        <v>500000</v>
      </c>
      <c r="F1312" s="22">
        <f ca="1">IFERROR(__xludf.DUMMYFUNCTION("""COMPUTED_VALUE"""),500000)</f>
        <v>500000</v>
      </c>
      <c r="G1312" s="22">
        <f ca="1">IFERROR(__xludf.DUMMYFUNCTION("""COMPUTED_VALUE"""),0)</f>
        <v>0</v>
      </c>
      <c r="H1312" s="7">
        <f ca="1">IFERROR(__xludf.DUMMYFUNCTION("""COMPUTED_VALUE"""),500000)</f>
        <v>500000</v>
      </c>
    </row>
    <row r="1313" spans="1:8" ht="13" x14ac:dyDescent="0.15">
      <c r="A1313" s="5" t="str">
        <f ca="1">IFERROR(__xludf.DUMMYFUNCTION("""COMPUTED_VALUE"""),"38109")</f>
        <v>38109</v>
      </c>
      <c r="B1313" s="51">
        <f ca="1">IFERROR(__xludf.DUMMYFUNCTION("""COMPUTED_VALUE"""),44618)</f>
        <v>44618</v>
      </c>
      <c r="C1313" s="22">
        <f ca="1">IFERROR(__xludf.DUMMYFUNCTION("""COMPUTED_VALUE"""),500000)</f>
        <v>500000</v>
      </c>
      <c r="D1313" s="22">
        <f ca="1">IFERROR(__xludf.DUMMYFUNCTION("""COMPUTED_VALUE"""),0)</f>
        <v>0</v>
      </c>
      <c r="E1313" s="22">
        <f ca="1">IFERROR(__xludf.DUMMYFUNCTION("""COMPUTED_VALUE"""),500000)</f>
        <v>500000</v>
      </c>
      <c r="F1313" s="22">
        <f ca="1">IFERROR(__xludf.DUMMYFUNCTION("""COMPUTED_VALUE"""),500000)</f>
        <v>500000</v>
      </c>
      <c r="G1313" s="22">
        <f ca="1">IFERROR(__xludf.DUMMYFUNCTION("""COMPUTED_VALUE"""),0)</f>
        <v>0</v>
      </c>
      <c r="H1313" s="7">
        <f ca="1">IFERROR(__xludf.DUMMYFUNCTION("""COMPUTED_VALUE"""),500000)</f>
        <v>500000</v>
      </c>
    </row>
    <row r="1314" spans="1:8" ht="13" x14ac:dyDescent="0.15">
      <c r="A1314" s="5" t="str">
        <f ca="1">IFERROR(__xludf.DUMMYFUNCTION("""COMPUTED_VALUE"""),"38109")</f>
        <v>38109</v>
      </c>
      <c r="B1314" s="51">
        <f ca="1">IFERROR(__xludf.DUMMYFUNCTION("""COMPUTED_VALUE"""),44619)</f>
        <v>44619</v>
      </c>
      <c r="C1314" s="22">
        <f ca="1">IFERROR(__xludf.DUMMYFUNCTION("""COMPUTED_VALUE"""),500000)</f>
        <v>500000</v>
      </c>
      <c r="D1314" s="22">
        <f ca="1">IFERROR(__xludf.DUMMYFUNCTION("""COMPUTED_VALUE"""),0)</f>
        <v>0</v>
      </c>
      <c r="E1314" s="22">
        <f ca="1">IFERROR(__xludf.DUMMYFUNCTION("""COMPUTED_VALUE"""),500000)</f>
        <v>500000</v>
      </c>
      <c r="F1314" s="22">
        <f ca="1">IFERROR(__xludf.DUMMYFUNCTION("""COMPUTED_VALUE"""),500000)</f>
        <v>500000</v>
      </c>
      <c r="G1314" s="22">
        <f ca="1">IFERROR(__xludf.DUMMYFUNCTION("""COMPUTED_VALUE"""),0)</f>
        <v>0</v>
      </c>
      <c r="H1314" s="7">
        <f ca="1">IFERROR(__xludf.DUMMYFUNCTION("""COMPUTED_VALUE"""),500000)</f>
        <v>500000</v>
      </c>
    </row>
    <row r="1315" spans="1:8" ht="13" x14ac:dyDescent="0.15">
      <c r="A1315" s="5" t="str">
        <f ca="1">IFERROR(__xludf.DUMMYFUNCTION("""COMPUTED_VALUE"""),"38109")</f>
        <v>38109</v>
      </c>
      <c r="B1315" s="51">
        <f ca="1">IFERROR(__xludf.DUMMYFUNCTION("""COMPUTED_VALUE"""),44620)</f>
        <v>44620</v>
      </c>
      <c r="C1315" s="22">
        <f ca="1">IFERROR(__xludf.DUMMYFUNCTION("""COMPUTED_VALUE"""),500000)</f>
        <v>500000</v>
      </c>
      <c r="D1315" s="22">
        <f ca="1">IFERROR(__xludf.DUMMYFUNCTION("""COMPUTED_VALUE"""),0)</f>
        <v>0</v>
      </c>
      <c r="E1315" s="22">
        <f ca="1">IFERROR(__xludf.DUMMYFUNCTION("""COMPUTED_VALUE"""),500000)</f>
        <v>500000</v>
      </c>
      <c r="F1315" s="22">
        <f ca="1">IFERROR(__xludf.DUMMYFUNCTION("""COMPUTED_VALUE"""),500000)</f>
        <v>500000</v>
      </c>
      <c r="G1315" s="22">
        <f ca="1">IFERROR(__xludf.DUMMYFUNCTION("""COMPUTED_VALUE"""),0)</f>
        <v>0</v>
      </c>
      <c r="H1315" s="7">
        <f ca="1">IFERROR(__xludf.DUMMYFUNCTION("""COMPUTED_VALUE"""),500000)</f>
        <v>500000</v>
      </c>
    </row>
    <row r="1316" spans="1:8" ht="13" x14ac:dyDescent="0.15">
      <c r="A1316" s="5" t="str">
        <f ca="1">IFERROR(__xludf.DUMMYFUNCTION("""COMPUTED_VALUE"""),"38109")</f>
        <v>38109</v>
      </c>
      <c r="B1316" s="51">
        <f ca="1">IFERROR(__xludf.DUMMYFUNCTION("""COMPUTED_VALUE"""),44621)</f>
        <v>44621</v>
      </c>
      <c r="C1316" s="22">
        <f ca="1">IFERROR(__xludf.DUMMYFUNCTION("""COMPUTED_VALUE"""),500000)</f>
        <v>500000</v>
      </c>
      <c r="D1316" s="22">
        <f ca="1">IFERROR(__xludf.DUMMYFUNCTION("""COMPUTED_VALUE"""),0)</f>
        <v>0</v>
      </c>
      <c r="E1316" s="22">
        <f ca="1">IFERROR(__xludf.DUMMYFUNCTION("""COMPUTED_VALUE"""),500000)</f>
        <v>500000</v>
      </c>
      <c r="F1316" s="22">
        <f ca="1">IFERROR(__xludf.DUMMYFUNCTION("""COMPUTED_VALUE"""),500000)</f>
        <v>500000</v>
      </c>
      <c r="G1316" s="22">
        <f ca="1">IFERROR(__xludf.DUMMYFUNCTION("""COMPUTED_VALUE"""),0)</f>
        <v>0</v>
      </c>
      <c r="H1316" s="7">
        <f ca="1">IFERROR(__xludf.DUMMYFUNCTION("""COMPUTED_VALUE"""),500000)</f>
        <v>500000</v>
      </c>
    </row>
    <row r="1317" spans="1:8" ht="13" x14ac:dyDescent="0.15">
      <c r="A1317" s="5" t="str">
        <f ca="1">IFERROR(__xludf.DUMMYFUNCTION("""COMPUTED_VALUE"""),"38109")</f>
        <v>38109</v>
      </c>
      <c r="B1317" s="51">
        <f ca="1">IFERROR(__xludf.DUMMYFUNCTION("""COMPUTED_VALUE"""),44622)</f>
        <v>44622</v>
      </c>
      <c r="C1317" s="22">
        <f ca="1">IFERROR(__xludf.DUMMYFUNCTION("""COMPUTED_VALUE"""),500000)</f>
        <v>500000</v>
      </c>
      <c r="D1317" s="22">
        <f ca="1">IFERROR(__xludf.DUMMYFUNCTION("""COMPUTED_VALUE"""),0)</f>
        <v>0</v>
      </c>
      <c r="E1317" s="22">
        <f ca="1">IFERROR(__xludf.DUMMYFUNCTION("""COMPUTED_VALUE"""),500000)</f>
        <v>500000</v>
      </c>
      <c r="F1317" s="22">
        <f ca="1">IFERROR(__xludf.DUMMYFUNCTION("""COMPUTED_VALUE"""),500000)</f>
        <v>500000</v>
      </c>
      <c r="G1317" s="22">
        <f ca="1">IFERROR(__xludf.DUMMYFUNCTION("""COMPUTED_VALUE"""),0)</f>
        <v>0</v>
      </c>
      <c r="H1317" s="7">
        <f ca="1">IFERROR(__xludf.DUMMYFUNCTION("""COMPUTED_VALUE"""),500000)</f>
        <v>500000</v>
      </c>
    </row>
    <row r="1318" spans="1:8" ht="13" x14ac:dyDescent="0.15">
      <c r="A1318" s="5" t="str">
        <f ca="1">IFERROR(__xludf.DUMMYFUNCTION("""COMPUTED_VALUE"""),"38109")</f>
        <v>38109</v>
      </c>
      <c r="B1318" s="51">
        <f ca="1">IFERROR(__xludf.DUMMYFUNCTION("""COMPUTED_VALUE"""),44623)</f>
        <v>44623</v>
      </c>
      <c r="C1318" s="22">
        <f ca="1">IFERROR(__xludf.DUMMYFUNCTION("""COMPUTED_VALUE"""),500000)</f>
        <v>500000</v>
      </c>
      <c r="D1318" s="22">
        <f ca="1">IFERROR(__xludf.DUMMYFUNCTION("""COMPUTED_VALUE"""),0)</f>
        <v>0</v>
      </c>
      <c r="E1318" s="22">
        <f ca="1">IFERROR(__xludf.DUMMYFUNCTION("""COMPUTED_VALUE"""),500000)</f>
        <v>500000</v>
      </c>
      <c r="F1318" s="22">
        <f ca="1">IFERROR(__xludf.DUMMYFUNCTION("""COMPUTED_VALUE"""),500000)</f>
        <v>500000</v>
      </c>
      <c r="G1318" s="22">
        <f ca="1">IFERROR(__xludf.DUMMYFUNCTION("""COMPUTED_VALUE"""),0)</f>
        <v>0</v>
      </c>
      <c r="H1318" s="7">
        <f ca="1">IFERROR(__xludf.DUMMYFUNCTION("""COMPUTED_VALUE"""),500000)</f>
        <v>500000</v>
      </c>
    </row>
    <row r="1319" spans="1:8" ht="13" x14ac:dyDescent="0.15">
      <c r="A1319" s="5" t="str">
        <f ca="1">IFERROR(__xludf.DUMMYFUNCTION("""COMPUTED_VALUE"""),"38109")</f>
        <v>38109</v>
      </c>
      <c r="B1319" s="51">
        <f ca="1">IFERROR(__xludf.DUMMYFUNCTION("""COMPUTED_VALUE"""),44624)</f>
        <v>44624</v>
      </c>
      <c r="C1319" s="22">
        <f ca="1">IFERROR(__xludf.DUMMYFUNCTION("""COMPUTED_VALUE"""),500000)</f>
        <v>500000</v>
      </c>
      <c r="D1319" s="22">
        <f ca="1">IFERROR(__xludf.DUMMYFUNCTION("""COMPUTED_VALUE"""),0)</f>
        <v>0</v>
      </c>
      <c r="E1319" s="22">
        <f ca="1">IFERROR(__xludf.DUMMYFUNCTION("""COMPUTED_VALUE"""),500000)</f>
        <v>500000</v>
      </c>
      <c r="F1319" s="22">
        <f ca="1">IFERROR(__xludf.DUMMYFUNCTION("""COMPUTED_VALUE"""),500000)</f>
        <v>500000</v>
      </c>
      <c r="G1319" s="22">
        <f ca="1">IFERROR(__xludf.DUMMYFUNCTION("""COMPUTED_VALUE"""),0)</f>
        <v>0</v>
      </c>
      <c r="H1319" s="7">
        <f ca="1">IFERROR(__xludf.DUMMYFUNCTION("""COMPUTED_VALUE"""),500000)</f>
        <v>500000</v>
      </c>
    </row>
    <row r="1320" spans="1:8" ht="13" x14ac:dyDescent="0.15">
      <c r="A1320" s="5" t="str">
        <f ca="1">IFERROR(__xludf.DUMMYFUNCTION("""COMPUTED_VALUE"""),"38109")</f>
        <v>38109</v>
      </c>
      <c r="B1320" s="51">
        <f ca="1">IFERROR(__xludf.DUMMYFUNCTION("""COMPUTED_VALUE"""),44625)</f>
        <v>44625</v>
      </c>
      <c r="C1320" s="22">
        <f ca="1">IFERROR(__xludf.DUMMYFUNCTION("""COMPUTED_VALUE"""),500000)</f>
        <v>500000</v>
      </c>
      <c r="D1320" s="22">
        <f ca="1">IFERROR(__xludf.DUMMYFUNCTION("""COMPUTED_VALUE"""),0)</f>
        <v>0</v>
      </c>
      <c r="E1320" s="22">
        <f ca="1">IFERROR(__xludf.DUMMYFUNCTION("""COMPUTED_VALUE"""),500000)</f>
        <v>500000</v>
      </c>
      <c r="F1320" s="22">
        <f ca="1">IFERROR(__xludf.DUMMYFUNCTION("""COMPUTED_VALUE"""),500000)</f>
        <v>500000</v>
      </c>
      <c r="G1320" s="22">
        <f ca="1">IFERROR(__xludf.DUMMYFUNCTION("""COMPUTED_VALUE"""),0)</f>
        <v>0</v>
      </c>
      <c r="H1320" s="7">
        <f ca="1">IFERROR(__xludf.DUMMYFUNCTION("""COMPUTED_VALUE"""),500000)</f>
        <v>500000</v>
      </c>
    </row>
    <row r="1321" spans="1:8" ht="13" x14ac:dyDescent="0.15">
      <c r="A1321" s="5" t="str">
        <f ca="1">IFERROR(__xludf.DUMMYFUNCTION("""COMPUTED_VALUE"""),"38109")</f>
        <v>38109</v>
      </c>
      <c r="B1321" s="51">
        <f ca="1">IFERROR(__xludf.DUMMYFUNCTION("""COMPUTED_VALUE"""),44626)</f>
        <v>44626</v>
      </c>
      <c r="C1321" s="22">
        <f ca="1">IFERROR(__xludf.DUMMYFUNCTION("""COMPUTED_VALUE"""),500000)</f>
        <v>500000</v>
      </c>
      <c r="D1321" s="22">
        <f ca="1">IFERROR(__xludf.DUMMYFUNCTION("""COMPUTED_VALUE"""),0)</f>
        <v>0</v>
      </c>
      <c r="E1321" s="22">
        <f ca="1">IFERROR(__xludf.DUMMYFUNCTION("""COMPUTED_VALUE"""),500000)</f>
        <v>500000</v>
      </c>
      <c r="F1321" s="22">
        <f ca="1">IFERROR(__xludf.DUMMYFUNCTION("""COMPUTED_VALUE"""),500000)</f>
        <v>500000</v>
      </c>
      <c r="G1321" s="22">
        <f ca="1">IFERROR(__xludf.DUMMYFUNCTION("""COMPUTED_VALUE"""),0)</f>
        <v>0</v>
      </c>
      <c r="H1321" s="7">
        <f ca="1">IFERROR(__xludf.DUMMYFUNCTION("""COMPUTED_VALUE"""),500000)</f>
        <v>500000</v>
      </c>
    </row>
    <row r="1322" spans="1:8" ht="13" x14ac:dyDescent="0.15">
      <c r="A1322" s="5" t="str">
        <f ca="1">IFERROR(__xludf.DUMMYFUNCTION("""COMPUTED_VALUE"""),"38109")</f>
        <v>38109</v>
      </c>
      <c r="B1322" s="51">
        <f ca="1">IFERROR(__xludf.DUMMYFUNCTION("""COMPUTED_VALUE"""),44627)</f>
        <v>44627</v>
      </c>
      <c r="C1322" s="22">
        <f ca="1">IFERROR(__xludf.DUMMYFUNCTION("""COMPUTED_VALUE"""),500000)</f>
        <v>500000</v>
      </c>
      <c r="D1322" s="22">
        <f ca="1">IFERROR(__xludf.DUMMYFUNCTION("""COMPUTED_VALUE"""),0)</f>
        <v>0</v>
      </c>
      <c r="E1322" s="22">
        <f ca="1">IFERROR(__xludf.DUMMYFUNCTION("""COMPUTED_VALUE"""),500000)</f>
        <v>500000</v>
      </c>
      <c r="F1322" s="22">
        <f ca="1">IFERROR(__xludf.DUMMYFUNCTION("""COMPUTED_VALUE"""),500000)</f>
        <v>500000</v>
      </c>
      <c r="G1322" s="22">
        <f ca="1">IFERROR(__xludf.DUMMYFUNCTION("""COMPUTED_VALUE"""),0)</f>
        <v>0</v>
      </c>
      <c r="H1322" s="7">
        <f ca="1">IFERROR(__xludf.DUMMYFUNCTION("""COMPUTED_VALUE"""),500000)</f>
        <v>500000</v>
      </c>
    </row>
    <row r="1323" spans="1:8" ht="13" x14ac:dyDescent="0.15">
      <c r="A1323" s="5" t="str">
        <f ca="1">IFERROR(__xludf.DUMMYFUNCTION("""COMPUTED_VALUE"""),"38109")</f>
        <v>38109</v>
      </c>
      <c r="B1323" s="51">
        <f ca="1">IFERROR(__xludf.DUMMYFUNCTION("""COMPUTED_VALUE"""),44628)</f>
        <v>44628</v>
      </c>
      <c r="C1323" s="22">
        <f ca="1">IFERROR(__xludf.DUMMYFUNCTION("""COMPUTED_VALUE"""),500000)</f>
        <v>500000</v>
      </c>
      <c r="D1323" s="22">
        <f ca="1">IFERROR(__xludf.DUMMYFUNCTION("""COMPUTED_VALUE"""),0)</f>
        <v>0</v>
      </c>
      <c r="E1323" s="22">
        <f ca="1">IFERROR(__xludf.DUMMYFUNCTION("""COMPUTED_VALUE"""),500000)</f>
        <v>500000</v>
      </c>
      <c r="F1323" s="22">
        <f ca="1">IFERROR(__xludf.DUMMYFUNCTION("""COMPUTED_VALUE"""),500000)</f>
        <v>500000</v>
      </c>
      <c r="G1323" s="22">
        <f ca="1">IFERROR(__xludf.DUMMYFUNCTION("""COMPUTED_VALUE"""),0)</f>
        <v>0</v>
      </c>
      <c r="H1323" s="7">
        <f ca="1">IFERROR(__xludf.DUMMYFUNCTION("""COMPUTED_VALUE"""),500000)</f>
        <v>500000</v>
      </c>
    </row>
    <row r="1324" spans="1:8" ht="13" x14ac:dyDescent="0.15">
      <c r="A1324" s="5" t="str">
        <f ca="1">IFERROR(__xludf.DUMMYFUNCTION("""COMPUTED_VALUE"""),"38109")</f>
        <v>38109</v>
      </c>
      <c r="B1324" s="51">
        <f ca="1">IFERROR(__xludf.DUMMYFUNCTION("""COMPUTED_VALUE"""),44629)</f>
        <v>44629</v>
      </c>
      <c r="C1324" s="22">
        <f ca="1">IFERROR(__xludf.DUMMYFUNCTION("""COMPUTED_VALUE"""),500000)</f>
        <v>500000</v>
      </c>
      <c r="D1324" s="22">
        <f ca="1">IFERROR(__xludf.DUMMYFUNCTION("""COMPUTED_VALUE"""),0)</f>
        <v>0</v>
      </c>
      <c r="E1324" s="22">
        <f ca="1">IFERROR(__xludf.DUMMYFUNCTION("""COMPUTED_VALUE"""),500000)</f>
        <v>500000</v>
      </c>
      <c r="F1324" s="22">
        <f ca="1">IFERROR(__xludf.DUMMYFUNCTION("""COMPUTED_VALUE"""),500000)</f>
        <v>500000</v>
      </c>
      <c r="G1324" s="22">
        <f ca="1">IFERROR(__xludf.DUMMYFUNCTION("""COMPUTED_VALUE"""),0)</f>
        <v>0</v>
      </c>
      <c r="H1324" s="7">
        <f ca="1">IFERROR(__xludf.DUMMYFUNCTION("""COMPUTED_VALUE"""),500000)</f>
        <v>500000</v>
      </c>
    </row>
    <row r="1325" spans="1:8" ht="13" x14ac:dyDescent="0.15">
      <c r="A1325" s="5" t="str">
        <f ca="1">IFERROR(__xludf.DUMMYFUNCTION("""COMPUTED_VALUE"""),"38109")</f>
        <v>38109</v>
      </c>
      <c r="B1325" s="51">
        <f ca="1">IFERROR(__xludf.DUMMYFUNCTION("""COMPUTED_VALUE"""),44630)</f>
        <v>44630</v>
      </c>
      <c r="C1325" s="22">
        <f ca="1">IFERROR(__xludf.DUMMYFUNCTION("""COMPUTED_VALUE"""),500000)</f>
        <v>500000</v>
      </c>
      <c r="D1325" s="22">
        <f ca="1">IFERROR(__xludf.DUMMYFUNCTION("""COMPUTED_VALUE"""),0)</f>
        <v>0</v>
      </c>
      <c r="E1325" s="22">
        <f ca="1">IFERROR(__xludf.DUMMYFUNCTION("""COMPUTED_VALUE"""),500000)</f>
        <v>500000</v>
      </c>
      <c r="F1325" s="22">
        <f ca="1">IFERROR(__xludf.DUMMYFUNCTION("""COMPUTED_VALUE"""),500000)</f>
        <v>500000</v>
      </c>
      <c r="G1325" s="22">
        <f ca="1">IFERROR(__xludf.DUMMYFUNCTION("""COMPUTED_VALUE"""),0)</f>
        <v>0</v>
      </c>
      <c r="H1325" s="7">
        <f ca="1">IFERROR(__xludf.DUMMYFUNCTION("""COMPUTED_VALUE"""),500000)</f>
        <v>500000</v>
      </c>
    </row>
    <row r="1326" spans="1:8" ht="13" x14ac:dyDescent="0.15">
      <c r="A1326" s="5" t="str">
        <f ca="1">IFERROR(__xludf.DUMMYFUNCTION("""COMPUTED_VALUE"""),"38109")</f>
        <v>38109</v>
      </c>
      <c r="B1326" s="51">
        <f ca="1">IFERROR(__xludf.DUMMYFUNCTION("""COMPUTED_VALUE"""),44631)</f>
        <v>44631</v>
      </c>
      <c r="C1326" s="22">
        <f ca="1">IFERROR(__xludf.DUMMYFUNCTION("""COMPUTED_VALUE"""),500000)</f>
        <v>500000</v>
      </c>
      <c r="D1326" s="22">
        <f ca="1">IFERROR(__xludf.DUMMYFUNCTION("""COMPUTED_VALUE"""),0)</f>
        <v>0</v>
      </c>
      <c r="E1326" s="22">
        <f ca="1">IFERROR(__xludf.DUMMYFUNCTION("""COMPUTED_VALUE"""),500000)</f>
        <v>500000</v>
      </c>
      <c r="F1326" s="22">
        <f ca="1">IFERROR(__xludf.DUMMYFUNCTION("""COMPUTED_VALUE"""),500000)</f>
        <v>500000</v>
      </c>
      <c r="G1326" s="22">
        <f ca="1">IFERROR(__xludf.DUMMYFUNCTION("""COMPUTED_VALUE"""),0)</f>
        <v>0</v>
      </c>
      <c r="H1326" s="7">
        <f ca="1">IFERROR(__xludf.DUMMYFUNCTION("""COMPUTED_VALUE"""),500000)</f>
        <v>500000</v>
      </c>
    </row>
    <row r="1327" spans="1:8" ht="13" x14ac:dyDescent="0.15">
      <c r="A1327" s="5" t="str">
        <f ca="1">IFERROR(__xludf.DUMMYFUNCTION("""COMPUTED_VALUE"""),"38109")</f>
        <v>38109</v>
      </c>
      <c r="B1327" s="51">
        <f ca="1">IFERROR(__xludf.DUMMYFUNCTION("""COMPUTED_VALUE"""),44632)</f>
        <v>44632</v>
      </c>
      <c r="C1327" s="22">
        <f ca="1">IFERROR(__xludf.DUMMYFUNCTION("""COMPUTED_VALUE"""),500000)</f>
        <v>500000</v>
      </c>
      <c r="D1327" s="22">
        <f ca="1">IFERROR(__xludf.DUMMYFUNCTION("""COMPUTED_VALUE"""),0)</f>
        <v>0</v>
      </c>
      <c r="E1327" s="22">
        <f ca="1">IFERROR(__xludf.DUMMYFUNCTION("""COMPUTED_VALUE"""),500000)</f>
        <v>500000</v>
      </c>
      <c r="F1327" s="22">
        <f ca="1">IFERROR(__xludf.DUMMYFUNCTION("""COMPUTED_VALUE"""),500000)</f>
        <v>500000</v>
      </c>
      <c r="G1327" s="22">
        <f ca="1">IFERROR(__xludf.DUMMYFUNCTION("""COMPUTED_VALUE"""),0)</f>
        <v>0</v>
      </c>
      <c r="H1327" s="7">
        <f ca="1">IFERROR(__xludf.DUMMYFUNCTION("""COMPUTED_VALUE"""),500000)</f>
        <v>500000</v>
      </c>
    </row>
    <row r="1328" spans="1:8" ht="13" x14ac:dyDescent="0.15">
      <c r="A1328" s="5" t="str">
        <f ca="1">IFERROR(__xludf.DUMMYFUNCTION("""COMPUTED_VALUE"""),"38109")</f>
        <v>38109</v>
      </c>
      <c r="B1328" s="51">
        <f ca="1">IFERROR(__xludf.DUMMYFUNCTION("""COMPUTED_VALUE"""),44633)</f>
        <v>44633</v>
      </c>
      <c r="C1328" s="22">
        <f ca="1">IFERROR(__xludf.DUMMYFUNCTION("""COMPUTED_VALUE"""),500000)</f>
        <v>500000</v>
      </c>
      <c r="D1328" s="22">
        <f ca="1">IFERROR(__xludf.DUMMYFUNCTION("""COMPUTED_VALUE"""),0)</f>
        <v>0</v>
      </c>
      <c r="E1328" s="22">
        <f ca="1">IFERROR(__xludf.DUMMYFUNCTION("""COMPUTED_VALUE"""),500000)</f>
        <v>500000</v>
      </c>
      <c r="F1328" s="22">
        <f ca="1">IFERROR(__xludf.DUMMYFUNCTION("""COMPUTED_VALUE"""),500000)</f>
        <v>500000</v>
      </c>
      <c r="G1328" s="22">
        <f ca="1">IFERROR(__xludf.DUMMYFUNCTION("""COMPUTED_VALUE"""),0)</f>
        <v>0</v>
      </c>
      <c r="H1328" s="7">
        <f ca="1">IFERROR(__xludf.DUMMYFUNCTION("""COMPUTED_VALUE"""),500000)</f>
        <v>500000</v>
      </c>
    </row>
    <row r="1329" spans="1:8" ht="13" x14ac:dyDescent="0.15">
      <c r="A1329" s="5" t="str">
        <f ca="1">IFERROR(__xludf.DUMMYFUNCTION("""COMPUTED_VALUE"""),"38109")</f>
        <v>38109</v>
      </c>
      <c r="B1329" s="51">
        <f ca="1">IFERROR(__xludf.DUMMYFUNCTION("""COMPUTED_VALUE"""),44634)</f>
        <v>44634</v>
      </c>
      <c r="C1329" s="22">
        <f ca="1">IFERROR(__xludf.DUMMYFUNCTION("""COMPUTED_VALUE"""),500000)</f>
        <v>500000</v>
      </c>
      <c r="D1329" s="22">
        <f ca="1">IFERROR(__xludf.DUMMYFUNCTION("""COMPUTED_VALUE"""),0)</f>
        <v>0</v>
      </c>
      <c r="E1329" s="22">
        <f ca="1">IFERROR(__xludf.DUMMYFUNCTION("""COMPUTED_VALUE"""),500000)</f>
        <v>500000</v>
      </c>
      <c r="F1329" s="22">
        <f ca="1">IFERROR(__xludf.DUMMYFUNCTION("""COMPUTED_VALUE"""),500000)</f>
        <v>500000</v>
      </c>
      <c r="G1329" s="22">
        <f ca="1">IFERROR(__xludf.DUMMYFUNCTION("""COMPUTED_VALUE"""),0)</f>
        <v>0</v>
      </c>
      <c r="H1329" s="7">
        <f ca="1">IFERROR(__xludf.DUMMYFUNCTION("""COMPUTED_VALUE"""),500000)</f>
        <v>500000</v>
      </c>
    </row>
    <row r="1330" spans="1:8" ht="13" x14ac:dyDescent="0.15">
      <c r="A1330" s="5" t="str">
        <f ca="1">IFERROR(__xludf.DUMMYFUNCTION("""COMPUTED_VALUE"""),"38109")</f>
        <v>38109</v>
      </c>
      <c r="B1330" s="51">
        <f ca="1">IFERROR(__xludf.DUMMYFUNCTION("""COMPUTED_VALUE"""),44635)</f>
        <v>44635</v>
      </c>
      <c r="C1330" s="22">
        <f ca="1">IFERROR(__xludf.DUMMYFUNCTION("""COMPUTED_VALUE"""),500000)</f>
        <v>500000</v>
      </c>
      <c r="D1330" s="22">
        <f ca="1">IFERROR(__xludf.DUMMYFUNCTION("""COMPUTED_VALUE"""),0)</f>
        <v>0</v>
      </c>
      <c r="E1330" s="22">
        <f ca="1">IFERROR(__xludf.DUMMYFUNCTION("""COMPUTED_VALUE"""),500000)</f>
        <v>500000</v>
      </c>
      <c r="F1330" s="22">
        <f ca="1">IFERROR(__xludf.DUMMYFUNCTION("""COMPUTED_VALUE"""),500000)</f>
        <v>500000</v>
      </c>
      <c r="G1330" s="22">
        <f ca="1">IFERROR(__xludf.DUMMYFUNCTION("""COMPUTED_VALUE"""),0)</f>
        <v>0</v>
      </c>
      <c r="H1330" s="7">
        <f ca="1">IFERROR(__xludf.DUMMYFUNCTION("""COMPUTED_VALUE"""),500000)</f>
        <v>500000</v>
      </c>
    </row>
    <row r="1331" spans="1:8" ht="13" x14ac:dyDescent="0.15">
      <c r="A1331" s="5" t="str">
        <f ca="1">IFERROR(__xludf.DUMMYFUNCTION("""COMPUTED_VALUE"""),"38109")</f>
        <v>38109</v>
      </c>
      <c r="B1331" s="51">
        <f ca="1">IFERROR(__xludf.DUMMYFUNCTION("""COMPUTED_VALUE"""),44636)</f>
        <v>44636</v>
      </c>
      <c r="C1331" s="22">
        <f ca="1">IFERROR(__xludf.DUMMYFUNCTION("""COMPUTED_VALUE"""),500000)</f>
        <v>500000</v>
      </c>
      <c r="D1331" s="22">
        <f ca="1">IFERROR(__xludf.DUMMYFUNCTION("""COMPUTED_VALUE"""),0)</f>
        <v>0</v>
      </c>
      <c r="E1331" s="22">
        <f ca="1">IFERROR(__xludf.DUMMYFUNCTION("""COMPUTED_VALUE"""),500000)</f>
        <v>500000</v>
      </c>
      <c r="F1331" s="22">
        <f ca="1">IFERROR(__xludf.DUMMYFUNCTION("""COMPUTED_VALUE"""),500000)</f>
        <v>500000</v>
      </c>
      <c r="G1331" s="22">
        <f ca="1">IFERROR(__xludf.DUMMYFUNCTION("""COMPUTED_VALUE"""),0)</f>
        <v>0</v>
      </c>
      <c r="H1331" s="7">
        <f ca="1">IFERROR(__xludf.DUMMYFUNCTION("""COMPUTED_VALUE"""),500000)</f>
        <v>500000</v>
      </c>
    </row>
    <row r="1332" spans="1:8" ht="13" x14ac:dyDescent="0.15">
      <c r="A1332" s="5" t="str">
        <f ca="1">IFERROR(__xludf.DUMMYFUNCTION("""COMPUTED_VALUE"""),"38109")</f>
        <v>38109</v>
      </c>
      <c r="B1332" s="51">
        <f ca="1">IFERROR(__xludf.DUMMYFUNCTION("""COMPUTED_VALUE"""),44637)</f>
        <v>44637</v>
      </c>
      <c r="C1332" s="22">
        <f ca="1">IFERROR(__xludf.DUMMYFUNCTION("""COMPUTED_VALUE"""),500000)</f>
        <v>500000</v>
      </c>
      <c r="D1332" s="22">
        <f ca="1">IFERROR(__xludf.DUMMYFUNCTION("""COMPUTED_VALUE"""),0)</f>
        <v>0</v>
      </c>
      <c r="E1332" s="22">
        <f ca="1">IFERROR(__xludf.DUMMYFUNCTION("""COMPUTED_VALUE"""),500000)</f>
        <v>500000</v>
      </c>
      <c r="F1332" s="22">
        <f ca="1">IFERROR(__xludf.DUMMYFUNCTION("""COMPUTED_VALUE"""),500000)</f>
        <v>500000</v>
      </c>
      <c r="G1332" s="22">
        <f ca="1">IFERROR(__xludf.DUMMYFUNCTION("""COMPUTED_VALUE"""),0)</f>
        <v>0</v>
      </c>
      <c r="H1332" s="7">
        <f ca="1">IFERROR(__xludf.DUMMYFUNCTION("""COMPUTED_VALUE"""),500000)</f>
        <v>500000</v>
      </c>
    </row>
    <row r="1333" spans="1:8" ht="13" x14ac:dyDescent="0.15">
      <c r="A1333" s="5" t="str">
        <f ca="1">IFERROR(__xludf.DUMMYFUNCTION("""COMPUTED_VALUE"""),"38109")</f>
        <v>38109</v>
      </c>
      <c r="B1333" s="51">
        <f ca="1">IFERROR(__xludf.DUMMYFUNCTION("""COMPUTED_VALUE"""),44638)</f>
        <v>44638</v>
      </c>
      <c r="C1333" s="22">
        <f ca="1">IFERROR(__xludf.DUMMYFUNCTION("""COMPUTED_VALUE"""),500000)</f>
        <v>500000</v>
      </c>
      <c r="D1333" s="22">
        <f ca="1">IFERROR(__xludf.DUMMYFUNCTION("""COMPUTED_VALUE"""),0)</f>
        <v>0</v>
      </c>
      <c r="E1333" s="22">
        <f ca="1">IFERROR(__xludf.DUMMYFUNCTION("""COMPUTED_VALUE"""),500000)</f>
        <v>500000</v>
      </c>
      <c r="F1333" s="22">
        <f ca="1">IFERROR(__xludf.DUMMYFUNCTION("""COMPUTED_VALUE"""),500000)</f>
        <v>500000</v>
      </c>
      <c r="G1333" s="22">
        <f ca="1">IFERROR(__xludf.DUMMYFUNCTION("""COMPUTED_VALUE"""),0)</f>
        <v>0</v>
      </c>
      <c r="H1333" s="7">
        <f ca="1">IFERROR(__xludf.DUMMYFUNCTION("""COMPUTED_VALUE"""),500000)</f>
        <v>500000</v>
      </c>
    </row>
    <row r="1334" spans="1:8" ht="13" x14ac:dyDescent="0.15">
      <c r="A1334" s="5" t="str">
        <f ca="1">IFERROR(__xludf.DUMMYFUNCTION("""COMPUTED_VALUE"""),"38109")</f>
        <v>38109</v>
      </c>
      <c r="B1334" s="51">
        <f ca="1">IFERROR(__xludf.DUMMYFUNCTION("""COMPUTED_VALUE"""),44639)</f>
        <v>44639</v>
      </c>
      <c r="C1334" s="22">
        <f ca="1">IFERROR(__xludf.DUMMYFUNCTION("""COMPUTED_VALUE"""),500000)</f>
        <v>500000</v>
      </c>
      <c r="D1334" s="22">
        <f ca="1">IFERROR(__xludf.DUMMYFUNCTION("""COMPUTED_VALUE"""),0)</f>
        <v>0</v>
      </c>
      <c r="E1334" s="22">
        <f ca="1">IFERROR(__xludf.DUMMYFUNCTION("""COMPUTED_VALUE"""),500000)</f>
        <v>500000</v>
      </c>
      <c r="F1334" s="22">
        <f ca="1">IFERROR(__xludf.DUMMYFUNCTION("""COMPUTED_VALUE"""),500000)</f>
        <v>500000</v>
      </c>
      <c r="G1334" s="22">
        <f ca="1">IFERROR(__xludf.DUMMYFUNCTION("""COMPUTED_VALUE"""),0)</f>
        <v>0</v>
      </c>
      <c r="H1334" s="7">
        <f ca="1">IFERROR(__xludf.DUMMYFUNCTION("""COMPUTED_VALUE"""),500000)</f>
        <v>500000</v>
      </c>
    </row>
    <row r="1335" spans="1:8" ht="13" x14ac:dyDescent="0.15">
      <c r="A1335" s="5" t="str">
        <f ca="1">IFERROR(__xludf.DUMMYFUNCTION("""COMPUTED_VALUE"""),"38109")</f>
        <v>38109</v>
      </c>
      <c r="B1335" s="51">
        <f ca="1">IFERROR(__xludf.DUMMYFUNCTION("""COMPUTED_VALUE"""),44640)</f>
        <v>44640</v>
      </c>
      <c r="C1335" s="22">
        <f ca="1">IFERROR(__xludf.DUMMYFUNCTION("""COMPUTED_VALUE"""),500000)</f>
        <v>500000</v>
      </c>
      <c r="D1335" s="22">
        <f ca="1">IFERROR(__xludf.DUMMYFUNCTION("""COMPUTED_VALUE"""),0)</f>
        <v>0</v>
      </c>
      <c r="E1335" s="22">
        <f ca="1">IFERROR(__xludf.DUMMYFUNCTION("""COMPUTED_VALUE"""),500000)</f>
        <v>500000</v>
      </c>
      <c r="F1335" s="22">
        <f ca="1">IFERROR(__xludf.DUMMYFUNCTION("""COMPUTED_VALUE"""),500000)</f>
        <v>500000</v>
      </c>
      <c r="G1335" s="22">
        <f ca="1">IFERROR(__xludf.DUMMYFUNCTION("""COMPUTED_VALUE"""),0)</f>
        <v>0</v>
      </c>
      <c r="H1335" s="7">
        <f ca="1">IFERROR(__xludf.DUMMYFUNCTION("""COMPUTED_VALUE"""),500000)</f>
        <v>500000</v>
      </c>
    </row>
    <row r="1336" spans="1:8" ht="13" x14ac:dyDescent="0.15">
      <c r="A1336" s="5" t="str">
        <f ca="1">IFERROR(__xludf.DUMMYFUNCTION("""COMPUTED_VALUE"""),"38109")</f>
        <v>38109</v>
      </c>
      <c r="B1336" s="51">
        <f ca="1">IFERROR(__xludf.DUMMYFUNCTION("""COMPUTED_VALUE"""),44641)</f>
        <v>44641</v>
      </c>
      <c r="C1336" s="22">
        <f ca="1">IFERROR(__xludf.DUMMYFUNCTION("""COMPUTED_VALUE"""),500000)</f>
        <v>500000</v>
      </c>
      <c r="D1336" s="22">
        <f ca="1">IFERROR(__xludf.DUMMYFUNCTION("""COMPUTED_VALUE"""),0)</f>
        <v>0</v>
      </c>
      <c r="E1336" s="22">
        <f ca="1">IFERROR(__xludf.DUMMYFUNCTION("""COMPUTED_VALUE"""),500000)</f>
        <v>500000</v>
      </c>
      <c r="F1336" s="22">
        <f ca="1">IFERROR(__xludf.DUMMYFUNCTION("""COMPUTED_VALUE"""),500000)</f>
        <v>500000</v>
      </c>
      <c r="G1336" s="22">
        <f ca="1">IFERROR(__xludf.DUMMYFUNCTION("""COMPUTED_VALUE"""),0)</f>
        <v>0</v>
      </c>
      <c r="H1336" s="7">
        <f ca="1">IFERROR(__xludf.DUMMYFUNCTION("""COMPUTED_VALUE"""),500000)</f>
        <v>500000</v>
      </c>
    </row>
    <row r="1337" spans="1:8" ht="13" x14ac:dyDescent="0.15">
      <c r="A1337" s="5" t="str">
        <f ca="1">IFERROR(__xludf.DUMMYFUNCTION("""COMPUTED_VALUE"""),"38109")</f>
        <v>38109</v>
      </c>
      <c r="B1337" s="51">
        <f ca="1">IFERROR(__xludf.DUMMYFUNCTION("""COMPUTED_VALUE"""),44642)</f>
        <v>44642</v>
      </c>
      <c r="C1337" s="22">
        <f ca="1">IFERROR(__xludf.DUMMYFUNCTION("""COMPUTED_VALUE"""),500000)</f>
        <v>500000</v>
      </c>
      <c r="D1337" s="22">
        <f ca="1">IFERROR(__xludf.DUMMYFUNCTION("""COMPUTED_VALUE"""),0)</f>
        <v>0</v>
      </c>
      <c r="E1337" s="22">
        <f ca="1">IFERROR(__xludf.DUMMYFUNCTION("""COMPUTED_VALUE"""),500000)</f>
        <v>500000</v>
      </c>
      <c r="F1337" s="22">
        <f ca="1">IFERROR(__xludf.DUMMYFUNCTION("""COMPUTED_VALUE"""),500000)</f>
        <v>500000</v>
      </c>
      <c r="G1337" s="22">
        <f ca="1">IFERROR(__xludf.DUMMYFUNCTION("""COMPUTED_VALUE"""),0)</f>
        <v>0</v>
      </c>
      <c r="H1337" s="7">
        <f ca="1">IFERROR(__xludf.DUMMYFUNCTION("""COMPUTED_VALUE"""),500000)</f>
        <v>500000</v>
      </c>
    </row>
    <row r="1338" spans="1:8" ht="13" x14ac:dyDescent="0.15">
      <c r="A1338" s="5" t="str">
        <f ca="1">IFERROR(__xludf.DUMMYFUNCTION("""COMPUTED_VALUE"""),"38209")</f>
        <v>38209</v>
      </c>
      <c r="B1338" s="51">
        <f ca="1">IFERROR(__xludf.DUMMYFUNCTION("""COMPUTED_VALUE"""),44597)</f>
        <v>44597</v>
      </c>
      <c r="C1338" s="22">
        <f ca="1">IFERROR(__xludf.DUMMYFUNCTION("""COMPUTED_VALUE"""),500000)</f>
        <v>500000</v>
      </c>
      <c r="D1338" s="22">
        <f ca="1">IFERROR(__xludf.DUMMYFUNCTION("""COMPUTED_VALUE"""),0)</f>
        <v>0</v>
      </c>
      <c r="E1338" s="22">
        <f ca="1">IFERROR(__xludf.DUMMYFUNCTION("""COMPUTED_VALUE"""),500000)</f>
        <v>500000</v>
      </c>
      <c r="F1338" s="22">
        <f ca="1">IFERROR(__xludf.DUMMYFUNCTION("""COMPUTED_VALUE"""),500000)</f>
        <v>500000</v>
      </c>
      <c r="G1338" s="22">
        <f ca="1">IFERROR(__xludf.DUMMYFUNCTION("""COMPUTED_VALUE"""),0)</f>
        <v>0</v>
      </c>
      <c r="H1338" s="7">
        <f ca="1">IFERROR(__xludf.DUMMYFUNCTION("""COMPUTED_VALUE"""),500000)</f>
        <v>500000</v>
      </c>
    </row>
    <row r="1339" spans="1:8" ht="13" x14ac:dyDescent="0.15">
      <c r="A1339" s="5" t="str">
        <f ca="1">IFERROR(__xludf.DUMMYFUNCTION("""COMPUTED_VALUE"""),"38209")</f>
        <v>38209</v>
      </c>
      <c r="B1339" s="51">
        <f ca="1">IFERROR(__xludf.DUMMYFUNCTION("""COMPUTED_VALUE"""),44598)</f>
        <v>44598</v>
      </c>
      <c r="C1339" s="22">
        <f ca="1">IFERROR(__xludf.DUMMYFUNCTION("""COMPUTED_VALUE"""),500000)</f>
        <v>500000</v>
      </c>
      <c r="D1339" s="22">
        <f ca="1">IFERROR(__xludf.DUMMYFUNCTION("""COMPUTED_VALUE"""),0)</f>
        <v>0</v>
      </c>
      <c r="E1339" s="22">
        <f ca="1">IFERROR(__xludf.DUMMYFUNCTION("""COMPUTED_VALUE"""),500000)</f>
        <v>500000</v>
      </c>
      <c r="F1339" s="22">
        <f ca="1">IFERROR(__xludf.DUMMYFUNCTION("""COMPUTED_VALUE"""),500000)</f>
        <v>500000</v>
      </c>
      <c r="G1339" s="22">
        <f ca="1">IFERROR(__xludf.DUMMYFUNCTION("""COMPUTED_VALUE"""),0)</f>
        <v>0</v>
      </c>
      <c r="H1339" s="7">
        <f ca="1">IFERROR(__xludf.DUMMYFUNCTION("""COMPUTED_VALUE"""),500000)</f>
        <v>500000</v>
      </c>
    </row>
    <row r="1340" spans="1:8" ht="13" x14ac:dyDescent="0.15">
      <c r="A1340" s="5" t="str">
        <f ca="1">IFERROR(__xludf.DUMMYFUNCTION("""COMPUTED_VALUE"""),"38209")</f>
        <v>38209</v>
      </c>
      <c r="B1340" s="51">
        <f ca="1">IFERROR(__xludf.DUMMYFUNCTION("""COMPUTED_VALUE"""),44599)</f>
        <v>44599</v>
      </c>
      <c r="C1340" s="22">
        <f ca="1">IFERROR(__xludf.DUMMYFUNCTION("""COMPUTED_VALUE"""),500000)</f>
        <v>500000</v>
      </c>
      <c r="D1340" s="22">
        <f ca="1">IFERROR(__xludf.DUMMYFUNCTION("""COMPUTED_VALUE"""),0)</f>
        <v>0</v>
      </c>
      <c r="E1340" s="22">
        <f ca="1">IFERROR(__xludf.DUMMYFUNCTION("""COMPUTED_VALUE"""),500000)</f>
        <v>500000</v>
      </c>
      <c r="F1340" s="22">
        <f ca="1">IFERROR(__xludf.DUMMYFUNCTION("""COMPUTED_VALUE"""),500000)</f>
        <v>500000</v>
      </c>
      <c r="G1340" s="22">
        <f ca="1">IFERROR(__xludf.DUMMYFUNCTION("""COMPUTED_VALUE"""),0)</f>
        <v>0</v>
      </c>
      <c r="H1340" s="7">
        <f ca="1">IFERROR(__xludf.DUMMYFUNCTION("""COMPUTED_VALUE"""),500000)</f>
        <v>500000</v>
      </c>
    </row>
    <row r="1341" spans="1:8" ht="13" x14ac:dyDescent="0.15">
      <c r="A1341" s="5" t="str">
        <f ca="1">IFERROR(__xludf.DUMMYFUNCTION("""COMPUTED_VALUE"""),"38209")</f>
        <v>38209</v>
      </c>
      <c r="B1341" s="51">
        <f ca="1">IFERROR(__xludf.DUMMYFUNCTION("""COMPUTED_VALUE"""),44600)</f>
        <v>44600</v>
      </c>
      <c r="C1341" s="22">
        <f ca="1">IFERROR(__xludf.DUMMYFUNCTION("""COMPUTED_VALUE"""),500000)</f>
        <v>500000</v>
      </c>
      <c r="D1341" s="22">
        <f ca="1">IFERROR(__xludf.DUMMYFUNCTION("""COMPUTED_VALUE"""),0)</f>
        <v>0</v>
      </c>
      <c r="E1341" s="22">
        <f ca="1">IFERROR(__xludf.DUMMYFUNCTION("""COMPUTED_VALUE"""),500000)</f>
        <v>500000</v>
      </c>
      <c r="F1341" s="22">
        <f ca="1">IFERROR(__xludf.DUMMYFUNCTION("""COMPUTED_VALUE"""),500000)</f>
        <v>500000</v>
      </c>
      <c r="G1341" s="22">
        <f ca="1">IFERROR(__xludf.DUMMYFUNCTION("""COMPUTED_VALUE"""),0)</f>
        <v>0</v>
      </c>
      <c r="H1341" s="7">
        <f ca="1">IFERROR(__xludf.DUMMYFUNCTION("""COMPUTED_VALUE"""),500000)</f>
        <v>500000</v>
      </c>
    </row>
    <row r="1342" spans="1:8" ht="13" x14ac:dyDescent="0.15">
      <c r="A1342" s="5" t="str">
        <f ca="1">IFERROR(__xludf.DUMMYFUNCTION("""COMPUTED_VALUE"""),"38209")</f>
        <v>38209</v>
      </c>
      <c r="B1342" s="51">
        <f ca="1">IFERROR(__xludf.DUMMYFUNCTION("""COMPUTED_VALUE"""),44601)</f>
        <v>44601</v>
      </c>
      <c r="C1342" s="22">
        <f ca="1">IFERROR(__xludf.DUMMYFUNCTION("""COMPUTED_VALUE"""),500000)</f>
        <v>500000</v>
      </c>
      <c r="D1342" s="22">
        <f ca="1">IFERROR(__xludf.DUMMYFUNCTION("""COMPUTED_VALUE"""),0)</f>
        <v>0</v>
      </c>
      <c r="E1342" s="22">
        <f ca="1">IFERROR(__xludf.DUMMYFUNCTION("""COMPUTED_VALUE"""),500000)</f>
        <v>500000</v>
      </c>
      <c r="F1342" s="22">
        <f ca="1">IFERROR(__xludf.DUMMYFUNCTION("""COMPUTED_VALUE"""),500000)</f>
        <v>500000</v>
      </c>
      <c r="G1342" s="22">
        <f ca="1">IFERROR(__xludf.DUMMYFUNCTION("""COMPUTED_VALUE"""),0)</f>
        <v>0</v>
      </c>
      <c r="H1342" s="7">
        <f ca="1">IFERROR(__xludf.DUMMYFUNCTION("""COMPUTED_VALUE"""),500000)</f>
        <v>500000</v>
      </c>
    </row>
    <row r="1343" spans="1:8" ht="13" x14ac:dyDescent="0.15">
      <c r="A1343" s="5" t="str">
        <f ca="1">IFERROR(__xludf.DUMMYFUNCTION("""COMPUTED_VALUE"""),"38209")</f>
        <v>38209</v>
      </c>
      <c r="B1343" s="51">
        <f ca="1">IFERROR(__xludf.DUMMYFUNCTION("""COMPUTED_VALUE"""),44602)</f>
        <v>44602</v>
      </c>
      <c r="C1343" s="22">
        <f ca="1">IFERROR(__xludf.DUMMYFUNCTION("""COMPUTED_VALUE"""),500000)</f>
        <v>500000</v>
      </c>
      <c r="D1343" s="22">
        <f ca="1">IFERROR(__xludf.DUMMYFUNCTION("""COMPUTED_VALUE"""),0)</f>
        <v>0</v>
      </c>
      <c r="E1343" s="22">
        <f ca="1">IFERROR(__xludf.DUMMYFUNCTION("""COMPUTED_VALUE"""),500000)</f>
        <v>500000</v>
      </c>
      <c r="F1343" s="22">
        <f ca="1">IFERROR(__xludf.DUMMYFUNCTION("""COMPUTED_VALUE"""),500000)</f>
        <v>500000</v>
      </c>
      <c r="G1343" s="22">
        <f ca="1">IFERROR(__xludf.DUMMYFUNCTION("""COMPUTED_VALUE"""),0)</f>
        <v>0</v>
      </c>
      <c r="H1343" s="7">
        <f ca="1">IFERROR(__xludf.DUMMYFUNCTION("""COMPUTED_VALUE"""),500000)</f>
        <v>500000</v>
      </c>
    </row>
    <row r="1344" spans="1:8" ht="13" x14ac:dyDescent="0.15">
      <c r="A1344" s="5" t="str">
        <f ca="1">IFERROR(__xludf.DUMMYFUNCTION("""COMPUTED_VALUE"""),"38209")</f>
        <v>38209</v>
      </c>
      <c r="B1344" s="51">
        <f ca="1">IFERROR(__xludf.DUMMYFUNCTION("""COMPUTED_VALUE"""),44603)</f>
        <v>44603</v>
      </c>
      <c r="C1344" s="22">
        <f ca="1">IFERROR(__xludf.DUMMYFUNCTION("""COMPUTED_VALUE"""),500000)</f>
        <v>500000</v>
      </c>
      <c r="D1344" s="22">
        <f ca="1">IFERROR(__xludf.DUMMYFUNCTION("""COMPUTED_VALUE"""),0)</f>
        <v>0</v>
      </c>
      <c r="E1344" s="22">
        <f ca="1">IFERROR(__xludf.DUMMYFUNCTION("""COMPUTED_VALUE"""),500000)</f>
        <v>500000</v>
      </c>
      <c r="F1344" s="22">
        <f ca="1">IFERROR(__xludf.DUMMYFUNCTION("""COMPUTED_VALUE"""),500000)</f>
        <v>500000</v>
      </c>
      <c r="G1344" s="22">
        <f ca="1">IFERROR(__xludf.DUMMYFUNCTION("""COMPUTED_VALUE"""),0)</f>
        <v>0</v>
      </c>
      <c r="H1344" s="7">
        <f ca="1">IFERROR(__xludf.DUMMYFUNCTION("""COMPUTED_VALUE"""),500000)</f>
        <v>500000</v>
      </c>
    </row>
    <row r="1345" spans="1:8" ht="13" x14ac:dyDescent="0.15">
      <c r="A1345" s="5" t="str">
        <f ca="1">IFERROR(__xludf.DUMMYFUNCTION("""COMPUTED_VALUE"""),"38209")</f>
        <v>38209</v>
      </c>
      <c r="B1345" s="51">
        <f ca="1">IFERROR(__xludf.DUMMYFUNCTION("""COMPUTED_VALUE"""),44604)</f>
        <v>44604</v>
      </c>
      <c r="C1345" s="22">
        <f ca="1">IFERROR(__xludf.DUMMYFUNCTION("""COMPUTED_VALUE"""),500000)</f>
        <v>500000</v>
      </c>
      <c r="D1345" s="22">
        <f ca="1">IFERROR(__xludf.DUMMYFUNCTION("""COMPUTED_VALUE"""),0)</f>
        <v>0</v>
      </c>
      <c r="E1345" s="22">
        <f ca="1">IFERROR(__xludf.DUMMYFUNCTION("""COMPUTED_VALUE"""),500000)</f>
        <v>500000</v>
      </c>
      <c r="F1345" s="22">
        <f ca="1">IFERROR(__xludf.DUMMYFUNCTION("""COMPUTED_VALUE"""),500000)</f>
        <v>500000</v>
      </c>
      <c r="G1345" s="22">
        <f ca="1">IFERROR(__xludf.DUMMYFUNCTION("""COMPUTED_VALUE"""),0)</f>
        <v>0</v>
      </c>
      <c r="H1345" s="7">
        <f ca="1">IFERROR(__xludf.DUMMYFUNCTION("""COMPUTED_VALUE"""),500000)</f>
        <v>500000</v>
      </c>
    </row>
    <row r="1346" spans="1:8" ht="13" x14ac:dyDescent="0.15">
      <c r="A1346" s="5" t="str">
        <f ca="1">IFERROR(__xludf.DUMMYFUNCTION("""COMPUTED_VALUE"""),"38209")</f>
        <v>38209</v>
      </c>
      <c r="B1346" s="51">
        <f ca="1">IFERROR(__xludf.DUMMYFUNCTION("""COMPUTED_VALUE"""),44605)</f>
        <v>44605</v>
      </c>
      <c r="C1346" s="22">
        <f ca="1">IFERROR(__xludf.DUMMYFUNCTION("""COMPUTED_VALUE"""),500000)</f>
        <v>500000</v>
      </c>
      <c r="D1346" s="22">
        <f ca="1">IFERROR(__xludf.DUMMYFUNCTION("""COMPUTED_VALUE"""),0)</f>
        <v>0</v>
      </c>
      <c r="E1346" s="22">
        <f ca="1">IFERROR(__xludf.DUMMYFUNCTION("""COMPUTED_VALUE"""),500000)</f>
        <v>500000</v>
      </c>
      <c r="F1346" s="22">
        <f ca="1">IFERROR(__xludf.DUMMYFUNCTION("""COMPUTED_VALUE"""),500000)</f>
        <v>500000</v>
      </c>
      <c r="G1346" s="22">
        <f ca="1">IFERROR(__xludf.DUMMYFUNCTION("""COMPUTED_VALUE"""),0)</f>
        <v>0</v>
      </c>
      <c r="H1346" s="7">
        <f ca="1">IFERROR(__xludf.DUMMYFUNCTION("""COMPUTED_VALUE"""),500000)</f>
        <v>500000</v>
      </c>
    </row>
    <row r="1347" spans="1:8" ht="13" x14ac:dyDescent="0.15">
      <c r="A1347" s="5" t="str">
        <f ca="1">IFERROR(__xludf.DUMMYFUNCTION("""COMPUTED_VALUE"""),"38209")</f>
        <v>38209</v>
      </c>
      <c r="B1347" s="51">
        <f ca="1">IFERROR(__xludf.DUMMYFUNCTION("""COMPUTED_VALUE"""),44606)</f>
        <v>44606</v>
      </c>
      <c r="C1347" s="22">
        <f ca="1">IFERROR(__xludf.DUMMYFUNCTION("""COMPUTED_VALUE"""),500000)</f>
        <v>500000</v>
      </c>
      <c r="D1347" s="22">
        <f ca="1">IFERROR(__xludf.DUMMYFUNCTION("""COMPUTED_VALUE"""),0)</f>
        <v>0</v>
      </c>
      <c r="E1347" s="22">
        <f ca="1">IFERROR(__xludf.DUMMYFUNCTION("""COMPUTED_VALUE"""),500000)</f>
        <v>500000</v>
      </c>
      <c r="F1347" s="22">
        <f ca="1">IFERROR(__xludf.DUMMYFUNCTION("""COMPUTED_VALUE"""),500000)</f>
        <v>500000</v>
      </c>
      <c r="G1347" s="22">
        <f ca="1">IFERROR(__xludf.DUMMYFUNCTION("""COMPUTED_VALUE"""),0)</f>
        <v>0</v>
      </c>
      <c r="H1347" s="7">
        <f ca="1">IFERROR(__xludf.DUMMYFUNCTION("""COMPUTED_VALUE"""),500000)</f>
        <v>500000</v>
      </c>
    </row>
    <row r="1348" spans="1:8" ht="13" x14ac:dyDescent="0.15">
      <c r="A1348" s="5" t="str">
        <f ca="1">IFERROR(__xludf.DUMMYFUNCTION("""COMPUTED_VALUE"""),"38209")</f>
        <v>38209</v>
      </c>
      <c r="B1348" s="51">
        <f ca="1">IFERROR(__xludf.DUMMYFUNCTION("""COMPUTED_VALUE"""),44607)</f>
        <v>44607</v>
      </c>
      <c r="C1348" s="22">
        <f ca="1">IFERROR(__xludf.DUMMYFUNCTION("""COMPUTED_VALUE"""),500000)</f>
        <v>500000</v>
      </c>
      <c r="D1348" s="22">
        <f ca="1">IFERROR(__xludf.DUMMYFUNCTION("""COMPUTED_VALUE"""),0)</f>
        <v>0</v>
      </c>
      <c r="E1348" s="22">
        <f ca="1">IFERROR(__xludf.DUMMYFUNCTION("""COMPUTED_VALUE"""),500000)</f>
        <v>500000</v>
      </c>
      <c r="F1348" s="22">
        <f ca="1">IFERROR(__xludf.DUMMYFUNCTION("""COMPUTED_VALUE"""),500000)</f>
        <v>500000</v>
      </c>
      <c r="G1348" s="22">
        <f ca="1">IFERROR(__xludf.DUMMYFUNCTION("""COMPUTED_VALUE"""),0)</f>
        <v>0</v>
      </c>
      <c r="H1348" s="7">
        <f ca="1">IFERROR(__xludf.DUMMYFUNCTION("""COMPUTED_VALUE"""),500000)</f>
        <v>500000</v>
      </c>
    </row>
    <row r="1349" spans="1:8" ht="13" x14ac:dyDescent="0.15">
      <c r="A1349" s="5" t="str">
        <f ca="1">IFERROR(__xludf.DUMMYFUNCTION("""COMPUTED_VALUE"""),"38209")</f>
        <v>38209</v>
      </c>
      <c r="B1349" s="51">
        <f ca="1">IFERROR(__xludf.DUMMYFUNCTION("""COMPUTED_VALUE"""),44608)</f>
        <v>44608</v>
      </c>
      <c r="C1349" s="22">
        <f ca="1">IFERROR(__xludf.DUMMYFUNCTION("""COMPUTED_VALUE"""),500000)</f>
        <v>500000</v>
      </c>
      <c r="D1349" s="22">
        <f ca="1">IFERROR(__xludf.DUMMYFUNCTION("""COMPUTED_VALUE"""),0)</f>
        <v>0</v>
      </c>
      <c r="E1349" s="22">
        <f ca="1">IFERROR(__xludf.DUMMYFUNCTION("""COMPUTED_VALUE"""),500000)</f>
        <v>500000</v>
      </c>
      <c r="F1349" s="22">
        <f ca="1">IFERROR(__xludf.DUMMYFUNCTION("""COMPUTED_VALUE"""),500000)</f>
        <v>500000</v>
      </c>
      <c r="G1349" s="22">
        <f ca="1">IFERROR(__xludf.DUMMYFUNCTION("""COMPUTED_VALUE"""),0)</f>
        <v>0</v>
      </c>
      <c r="H1349" s="7">
        <f ca="1">IFERROR(__xludf.DUMMYFUNCTION("""COMPUTED_VALUE"""),500000)</f>
        <v>500000</v>
      </c>
    </row>
    <row r="1350" spans="1:8" ht="13" x14ac:dyDescent="0.15">
      <c r="A1350" s="5" t="str">
        <f ca="1">IFERROR(__xludf.DUMMYFUNCTION("""COMPUTED_VALUE"""),"38209")</f>
        <v>38209</v>
      </c>
      <c r="B1350" s="51">
        <f ca="1">IFERROR(__xludf.DUMMYFUNCTION("""COMPUTED_VALUE"""),44609)</f>
        <v>44609</v>
      </c>
      <c r="C1350" s="22">
        <f ca="1">IFERROR(__xludf.DUMMYFUNCTION("""COMPUTED_VALUE"""),500000)</f>
        <v>500000</v>
      </c>
      <c r="D1350" s="22">
        <f ca="1">IFERROR(__xludf.DUMMYFUNCTION("""COMPUTED_VALUE"""),0)</f>
        <v>0</v>
      </c>
      <c r="E1350" s="22">
        <f ca="1">IFERROR(__xludf.DUMMYFUNCTION("""COMPUTED_VALUE"""),500000)</f>
        <v>500000</v>
      </c>
      <c r="F1350" s="22">
        <f ca="1">IFERROR(__xludf.DUMMYFUNCTION("""COMPUTED_VALUE"""),500000)</f>
        <v>500000</v>
      </c>
      <c r="G1350" s="22">
        <f ca="1">IFERROR(__xludf.DUMMYFUNCTION("""COMPUTED_VALUE"""),0)</f>
        <v>0</v>
      </c>
      <c r="H1350" s="7">
        <f ca="1">IFERROR(__xludf.DUMMYFUNCTION("""COMPUTED_VALUE"""),500000)</f>
        <v>500000</v>
      </c>
    </row>
    <row r="1351" spans="1:8" ht="13" x14ac:dyDescent="0.15">
      <c r="A1351" s="5" t="str">
        <f ca="1">IFERROR(__xludf.DUMMYFUNCTION("""COMPUTED_VALUE"""),"38209")</f>
        <v>38209</v>
      </c>
      <c r="B1351" s="51">
        <f ca="1">IFERROR(__xludf.DUMMYFUNCTION("""COMPUTED_VALUE"""),44610)</f>
        <v>44610</v>
      </c>
      <c r="C1351" s="22">
        <f ca="1">IFERROR(__xludf.DUMMYFUNCTION("""COMPUTED_VALUE"""),500000)</f>
        <v>500000</v>
      </c>
      <c r="D1351" s="22">
        <f ca="1">IFERROR(__xludf.DUMMYFUNCTION("""COMPUTED_VALUE"""),0)</f>
        <v>0</v>
      </c>
      <c r="E1351" s="22">
        <f ca="1">IFERROR(__xludf.DUMMYFUNCTION("""COMPUTED_VALUE"""),500000)</f>
        <v>500000</v>
      </c>
      <c r="F1351" s="22">
        <f ca="1">IFERROR(__xludf.DUMMYFUNCTION("""COMPUTED_VALUE"""),500000)</f>
        <v>500000</v>
      </c>
      <c r="G1351" s="22">
        <f ca="1">IFERROR(__xludf.DUMMYFUNCTION("""COMPUTED_VALUE"""),0)</f>
        <v>0</v>
      </c>
      <c r="H1351" s="7">
        <f ca="1">IFERROR(__xludf.DUMMYFUNCTION("""COMPUTED_VALUE"""),500000)</f>
        <v>500000</v>
      </c>
    </row>
    <row r="1352" spans="1:8" ht="13" x14ac:dyDescent="0.15">
      <c r="A1352" s="5" t="str">
        <f ca="1">IFERROR(__xludf.DUMMYFUNCTION("""COMPUTED_VALUE"""),"38209")</f>
        <v>38209</v>
      </c>
      <c r="B1352" s="51">
        <f ca="1">IFERROR(__xludf.DUMMYFUNCTION("""COMPUTED_VALUE"""),44611)</f>
        <v>44611</v>
      </c>
      <c r="C1352" s="22">
        <f ca="1">IFERROR(__xludf.DUMMYFUNCTION("""COMPUTED_VALUE"""),500000)</f>
        <v>500000</v>
      </c>
      <c r="D1352" s="22">
        <f ca="1">IFERROR(__xludf.DUMMYFUNCTION("""COMPUTED_VALUE"""),0)</f>
        <v>0</v>
      </c>
      <c r="E1352" s="22">
        <f ca="1">IFERROR(__xludf.DUMMYFUNCTION("""COMPUTED_VALUE"""),500000)</f>
        <v>500000</v>
      </c>
      <c r="F1352" s="22">
        <f ca="1">IFERROR(__xludf.DUMMYFUNCTION("""COMPUTED_VALUE"""),500000)</f>
        <v>500000</v>
      </c>
      <c r="G1352" s="22">
        <f ca="1">IFERROR(__xludf.DUMMYFUNCTION("""COMPUTED_VALUE"""),0)</f>
        <v>0</v>
      </c>
      <c r="H1352" s="7">
        <f ca="1">IFERROR(__xludf.DUMMYFUNCTION("""COMPUTED_VALUE"""),500000)</f>
        <v>500000</v>
      </c>
    </row>
    <row r="1353" spans="1:8" ht="13" x14ac:dyDescent="0.15">
      <c r="A1353" s="5" t="str">
        <f ca="1">IFERROR(__xludf.DUMMYFUNCTION("""COMPUTED_VALUE"""),"38209")</f>
        <v>38209</v>
      </c>
      <c r="B1353" s="51">
        <f ca="1">IFERROR(__xludf.DUMMYFUNCTION("""COMPUTED_VALUE"""),44612)</f>
        <v>44612</v>
      </c>
      <c r="C1353" s="22">
        <f ca="1">IFERROR(__xludf.DUMMYFUNCTION("""COMPUTED_VALUE"""),500000)</f>
        <v>500000</v>
      </c>
      <c r="D1353" s="22">
        <f ca="1">IFERROR(__xludf.DUMMYFUNCTION("""COMPUTED_VALUE"""),0)</f>
        <v>0</v>
      </c>
      <c r="E1353" s="22">
        <f ca="1">IFERROR(__xludf.DUMMYFUNCTION("""COMPUTED_VALUE"""),500000)</f>
        <v>500000</v>
      </c>
      <c r="F1353" s="22">
        <f ca="1">IFERROR(__xludf.DUMMYFUNCTION("""COMPUTED_VALUE"""),500000)</f>
        <v>500000</v>
      </c>
      <c r="G1353" s="22">
        <f ca="1">IFERROR(__xludf.DUMMYFUNCTION("""COMPUTED_VALUE"""),0)</f>
        <v>0</v>
      </c>
      <c r="H1353" s="7">
        <f ca="1">IFERROR(__xludf.DUMMYFUNCTION("""COMPUTED_VALUE"""),500000)</f>
        <v>500000</v>
      </c>
    </row>
    <row r="1354" spans="1:8" ht="13" x14ac:dyDescent="0.15">
      <c r="A1354" s="5" t="str">
        <f ca="1">IFERROR(__xludf.DUMMYFUNCTION("""COMPUTED_VALUE"""),"38209")</f>
        <v>38209</v>
      </c>
      <c r="B1354" s="51">
        <f ca="1">IFERROR(__xludf.DUMMYFUNCTION("""COMPUTED_VALUE"""),44613)</f>
        <v>44613</v>
      </c>
      <c r="C1354" s="22">
        <f ca="1">IFERROR(__xludf.DUMMYFUNCTION("""COMPUTED_VALUE"""),500000)</f>
        <v>500000</v>
      </c>
      <c r="D1354" s="22">
        <f ca="1">IFERROR(__xludf.DUMMYFUNCTION("""COMPUTED_VALUE"""),0)</f>
        <v>0</v>
      </c>
      <c r="E1354" s="22">
        <f ca="1">IFERROR(__xludf.DUMMYFUNCTION("""COMPUTED_VALUE"""),500000)</f>
        <v>500000</v>
      </c>
      <c r="F1354" s="22">
        <f ca="1">IFERROR(__xludf.DUMMYFUNCTION("""COMPUTED_VALUE"""),500000)</f>
        <v>500000</v>
      </c>
      <c r="G1354" s="22">
        <f ca="1">IFERROR(__xludf.DUMMYFUNCTION("""COMPUTED_VALUE"""),0)</f>
        <v>0</v>
      </c>
      <c r="H1354" s="7">
        <f ca="1">IFERROR(__xludf.DUMMYFUNCTION("""COMPUTED_VALUE"""),500000)</f>
        <v>500000</v>
      </c>
    </row>
    <row r="1355" spans="1:8" ht="13" x14ac:dyDescent="0.15">
      <c r="A1355" s="5" t="str">
        <f ca="1">IFERROR(__xludf.DUMMYFUNCTION("""COMPUTED_VALUE"""),"38209")</f>
        <v>38209</v>
      </c>
      <c r="B1355" s="51">
        <f ca="1">IFERROR(__xludf.DUMMYFUNCTION("""COMPUTED_VALUE"""),44614)</f>
        <v>44614</v>
      </c>
      <c r="C1355" s="22">
        <f ca="1">IFERROR(__xludf.DUMMYFUNCTION("""COMPUTED_VALUE"""),500000)</f>
        <v>500000</v>
      </c>
      <c r="D1355" s="22">
        <f ca="1">IFERROR(__xludf.DUMMYFUNCTION("""COMPUTED_VALUE"""),0)</f>
        <v>0</v>
      </c>
      <c r="E1355" s="22">
        <f ca="1">IFERROR(__xludf.DUMMYFUNCTION("""COMPUTED_VALUE"""),500000)</f>
        <v>500000</v>
      </c>
      <c r="F1355" s="22">
        <f ca="1">IFERROR(__xludf.DUMMYFUNCTION("""COMPUTED_VALUE"""),500000)</f>
        <v>500000</v>
      </c>
      <c r="G1355" s="22">
        <f ca="1">IFERROR(__xludf.DUMMYFUNCTION("""COMPUTED_VALUE"""),0)</f>
        <v>0</v>
      </c>
      <c r="H1355" s="7">
        <f ca="1">IFERROR(__xludf.DUMMYFUNCTION("""COMPUTED_VALUE"""),500000)</f>
        <v>500000</v>
      </c>
    </row>
    <row r="1356" spans="1:8" ht="13" x14ac:dyDescent="0.15">
      <c r="A1356" s="5" t="str">
        <f ca="1">IFERROR(__xludf.DUMMYFUNCTION("""COMPUTED_VALUE"""),"38209")</f>
        <v>38209</v>
      </c>
      <c r="B1356" s="51">
        <f ca="1">IFERROR(__xludf.DUMMYFUNCTION("""COMPUTED_VALUE"""),44615)</f>
        <v>44615</v>
      </c>
      <c r="C1356" s="22">
        <f ca="1">IFERROR(__xludf.DUMMYFUNCTION("""COMPUTED_VALUE"""),500000)</f>
        <v>500000</v>
      </c>
      <c r="D1356" s="22">
        <f ca="1">IFERROR(__xludf.DUMMYFUNCTION("""COMPUTED_VALUE"""),0)</f>
        <v>0</v>
      </c>
      <c r="E1356" s="22">
        <f ca="1">IFERROR(__xludf.DUMMYFUNCTION("""COMPUTED_VALUE"""),500000)</f>
        <v>500000</v>
      </c>
      <c r="F1356" s="22">
        <f ca="1">IFERROR(__xludf.DUMMYFUNCTION("""COMPUTED_VALUE"""),500000)</f>
        <v>500000</v>
      </c>
      <c r="G1356" s="22">
        <f ca="1">IFERROR(__xludf.DUMMYFUNCTION("""COMPUTED_VALUE"""),0)</f>
        <v>0</v>
      </c>
      <c r="H1356" s="7">
        <f ca="1">IFERROR(__xludf.DUMMYFUNCTION("""COMPUTED_VALUE"""),500000)</f>
        <v>500000</v>
      </c>
    </row>
    <row r="1357" spans="1:8" ht="13" x14ac:dyDescent="0.15">
      <c r="A1357" s="5" t="str">
        <f ca="1">IFERROR(__xludf.DUMMYFUNCTION("""COMPUTED_VALUE"""),"38209")</f>
        <v>38209</v>
      </c>
      <c r="B1357" s="51">
        <f ca="1">IFERROR(__xludf.DUMMYFUNCTION("""COMPUTED_VALUE"""),44616)</f>
        <v>44616</v>
      </c>
      <c r="C1357" s="22">
        <f ca="1">IFERROR(__xludf.DUMMYFUNCTION("""COMPUTED_VALUE"""),500000)</f>
        <v>500000</v>
      </c>
      <c r="D1357" s="22">
        <f ca="1">IFERROR(__xludf.DUMMYFUNCTION("""COMPUTED_VALUE"""),0)</f>
        <v>0</v>
      </c>
      <c r="E1357" s="22">
        <f ca="1">IFERROR(__xludf.DUMMYFUNCTION("""COMPUTED_VALUE"""),500000)</f>
        <v>500000</v>
      </c>
      <c r="F1357" s="22">
        <f ca="1">IFERROR(__xludf.DUMMYFUNCTION("""COMPUTED_VALUE"""),500000)</f>
        <v>500000</v>
      </c>
      <c r="G1357" s="22">
        <f ca="1">IFERROR(__xludf.DUMMYFUNCTION("""COMPUTED_VALUE"""),0)</f>
        <v>0</v>
      </c>
      <c r="H1357" s="7">
        <f ca="1">IFERROR(__xludf.DUMMYFUNCTION("""COMPUTED_VALUE"""),500000)</f>
        <v>500000</v>
      </c>
    </row>
    <row r="1358" spans="1:8" ht="13" x14ac:dyDescent="0.15">
      <c r="A1358" s="5" t="str">
        <f ca="1">IFERROR(__xludf.DUMMYFUNCTION("""COMPUTED_VALUE"""),"38209")</f>
        <v>38209</v>
      </c>
      <c r="B1358" s="51">
        <f ca="1">IFERROR(__xludf.DUMMYFUNCTION("""COMPUTED_VALUE"""),44617)</f>
        <v>44617</v>
      </c>
      <c r="C1358" s="22">
        <f ca="1">IFERROR(__xludf.DUMMYFUNCTION("""COMPUTED_VALUE"""),500000)</f>
        <v>500000</v>
      </c>
      <c r="D1358" s="22">
        <f ca="1">IFERROR(__xludf.DUMMYFUNCTION("""COMPUTED_VALUE"""),0)</f>
        <v>0</v>
      </c>
      <c r="E1358" s="22">
        <f ca="1">IFERROR(__xludf.DUMMYFUNCTION("""COMPUTED_VALUE"""),500000)</f>
        <v>500000</v>
      </c>
      <c r="F1358" s="22">
        <f ca="1">IFERROR(__xludf.DUMMYFUNCTION("""COMPUTED_VALUE"""),500000)</f>
        <v>500000</v>
      </c>
      <c r="G1358" s="22">
        <f ca="1">IFERROR(__xludf.DUMMYFUNCTION("""COMPUTED_VALUE"""),0)</f>
        <v>0</v>
      </c>
      <c r="H1358" s="7">
        <f ca="1">IFERROR(__xludf.DUMMYFUNCTION("""COMPUTED_VALUE"""),500000)</f>
        <v>500000</v>
      </c>
    </row>
    <row r="1359" spans="1:8" ht="13" x14ac:dyDescent="0.15">
      <c r="A1359" s="5" t="str">
        <f ca="1">IFERROR(__xludf.DUMMYFUNCTION("""COMPUTED_VALUE"""),"38209")</f>
        <v>38209</v>
      </c>
      <c r="B1359" s="51">
        <f ca="1">IFERROR(__xludf.DUMMYFUNCTION("""COMPUTED_VALUE"""),44618)</f>
        <v>44618</v>
      </c>
      <c r="C1359" s="22">
        <f ca="1">IFERROR(__xludf.DUMMYFUNCTION("""COMPUTED_VALUE"""),500000)</f>
        <v>500000</v>
      </c>
      <c r="D1359" s="22">
        <f ca="1">IFERROR(__xludf.DUMMYFUNCTION("""COMPUTED_VALUE"""),0)</f>
        <v>0</v>
      </c>
      <c r="E1359" s="22">
        <f ca="1">IFERROR(__xludf.DUMMYFUNCTION("""COMPUTED_VALUE"""),500000)</f>
        <v>500000</v>
      </c>
      <c r="F1359" s="22">
        <f ca="1">IFERROR(__xludf.DUMMYFUNCTION("""COMPUTED_VALUE"""),500000)</f>
        <v>500000</v>
      </c>
      <c r="G1359" s="22">
        <f ca="1">IFERROR(__xludf.DUMMYFUNCTION("""COMPUTED_VALUE"""),0)</f>
        <v>0</v>
      </c>
      <c r="H1359" s="7">
        <f ca="1">IFERROR(__xludf.DUMMYFUNCTION("""COMPUTED_VALUE"""),500000)</f>
        <v>500000</v>
      </c>
    </row>
    <row r="1360" spans="1:8" ht="13" x14ac:dyDescent="0.15">
      <c r="A1360" s="5" t="str">
        <f ca="1">IFERROR(__xludf.DUMMYFUNCTION("""COMPUTED_VALUE"""),"38209")</f>
        <v>38209</v>
      </c>
      <c r="B1360" s="51">
        <f ca="1">IFERROR(__xludf.DUMMYFUNCTION("""COMPUTED_VALUE"""),44619)</f>
        <v>44619</v>
      </c>
      <c r="C1360" s="22">
        <f ca="1">IFERROR(__xludf.DUMMYFUNCTION("""COMPUTED_VALUE"""),500000)</f>
        <v>500000</v>
      </c>
      <c r="D1360" s="22">
        <f ca="1">IFERROR(__xludf.DUMMYFUNCTION("""COMPUTED_VALUE"""),0)</f>
        <v>0</v>
      </c>
      <c r="E1360" s="22">
        <f ca="1">IFERROR(__xludf.DUMMYFUNCTION("""COMPUTED_VALUE"""),500000)</f>
        <v>500000</v>
      </c>
      <c r="F1360" s="22">
        <f ca="1">IFERROR(__xludf.DUMMYFUNCTION("""COMPUTED_VALUE"""),500000)</f>
        <v>500000</v>
      </c>
      <c r="G1360" s="22">
        <f ca="1">IFERROR(__xludf.DUMMYFUNCTION("""COMPUTED_VALUE"""),0)</f>
        <v>0</v>
      </c>
      <c r="H1360" s="7">
        <f ca="1">IFERROR(__xludf.DUMMYFUNCTION("""COMPUTED_VALUE"""),500000)</f>
        <v>500000</v>
      </c>
    </row>
    <row r="1361" spans="1:8" ht="13" x14ac:dyDescent="0.15">
      <c r="A1361" s="5" t="str">
        <f ca="1">IFERROR(__xludf.DUMMYFUNCTION("""COMPUTED_VALUE"""),"38209")</f>
        <v>38209</v>
      </c>
      <c r="B1361" s="51">
        <f ca="1">IFERROR(__xludf.DUMMYFUNCTION("""COMPUTED_VALUE"""),44620)</f>
        <v>44620</v>
      </c>
      <c r="C1361" s="22">
        <f ca="1">IFERROR(__xludf.DUMMYFUNCTION("""COMPUTED_VALUE"""),500000)</f>
        <v>500000</v>
      </c>
      <c r="D1361" s="22">
        <f ca="1">IFERROR(__xludf.DUMMYFUNCTION("""COMPUTED_VALUE"""),0)</f>
        <v>0</v>
      </c>
      <c r="E1361" s="22">
        <f ca="1">IFERROR(__xludf.DUMMYFUNCTION("""COMPUTED_VALUE"""),500000)</f>
        <v>500000</v>
      </c>
      <c r="F1361" s="22">
        <f ca="1">IFERROR(__xludf.DUMMYFUNCTION("""COMPUTED_VALUE"""),500000)</f>
        <v>500000</v>
      </c>
      <c r="G1361" s="22">
        <f ca="1">IFERROR(__xludf.DUMMYFUNCTION("""COMPUTED_VALUE"""),0)</f>
        <v>0</v>
      </c>
      <c r="H1361" s="7">
        <f ca="1">IFERROR(__xludf.DUMMYFUNCTION("""COMPUTED_VALUE"""),500000)</f>
        <v>500000</v>
      </c>
    </row>
    <row r="1362" spans="1:8" ht="13" x14ac:dyDescent="0.15">
      <c r="A1362" s="5" t="str">
        <f ca="1">IFERROR(__xludf.DUMMYFUNCTION("""COMPUTED_VALUE"""),"38209")</f>
        <v>38209</v>
      </c>
      <c r="B1362" s="51">
        <f ca="1">IFERROR(__xludf.DUMMYFUNCTION("""COMPUTED_VALUE"""),44621)</f>
        <v>44621</v>
      </c>
      <c r="C1362" s="22">
        <f ca="1">IFERROR(__xludf.DUMMYFUNCTION("""COMPUTED_VALUE"""),500000)</f>
        <v>500000</v>
      </c>
      <c r="D1362" s="22">
        <f ca="1">IFERROR(__xludf.DUMMYFUNCTION("""COMPUTED_VALUE"""),0)</f>
        <v>0</v>
      </c>
      <c r="E1362" s="22">
        <f ca="1">IFERROR(__xludf.DUMMYFUNCTION("""COMPUTED_VALUE"""),500000)</f>
        <v>500000</v>
      </c>
      <c r="F1362" s="22">
        <f ca="1">IFERROR(__xludf.DUMMYFUNCTION("""COMPUTED_VALUE"""),500000)</f>
        <v>500000</v>
      </c>
      <c r="G1362" s="22">
        <f ca="1">IFERROR(__xludf.DUMMYFUNCTION("""COMPUTED_VALUE"""),0)</f>
        <v>0</v>
      </c>
      <c r="H1362" s="7">
        <f ca="1">IFERROR(__xludf.DUMMYFUNCTION("""COMPUTED_VALUE"""),500000)</f>
        <v>500000</v>
      </c>
    </row>
    <row r="1363" spans="1:8" ht="13" x14ac:dyDescent="0.15">
      <c r="A1363" s="5" t="str">
        <f ca="1">IFERROR(__xludf.DUMMYFUNCTION("""COMPUTED_VALUE"""),"38209")</f>
        <v>38209</v>
      </c>
      <c r="B1363" s="51">
        <f ca="1">IFERROR(__xludf.DUMMYFUNCTION("""COMPUTED_VALUE"""),44622)</f>
        <v>44622</v>
      </c>
      <c r="C1363" s="22">
        <f ca="1">IFERROR(__xludf.DUMMYFUNCTION("""COMPUTED_VALUE"""),500000)</f>
        <v>500000</v>
      </c>
      <c r="D1363" s="22">
        <f ca="1">IFERROR(__xludf.DUMMYFUNCTION("""COMPUTED_VALUE"""),0)</f>
        <v>0</v>
      </c>
      <c r="E1363" s="22">
        <f ca="1">IFERROR(__xludf.DUMMYFUNCTION("""COMPUTED_VALUE"""),500000)</f>
        <v>500000</v>
      </c>
      <c r="F1363" s="22">
        <f ca="1">IFERROR(__xludf.DUMMYFUNCTION("""COMPUTED_VALUE"""),500000)</f>
        <v>500000</v>
      </c>
      <c r="G1363" s="22">
        <f ca="1">IFERROR(__xludf.DUMMYFUNCTION("""COMPUTED_VALUE"""),0)</f>
        <v>0</v>
      </c>
      <c r="H1363" s="7">
        <f ca="1">IFERROR(__xludf.DUMMYFUNCTION("""COMPUTED_VALUE"""),500000)</f>
        <v>500000</v>
      </c>
    </row>
    <row r="1364" spans="1:8" ht="13" x14ac:dyDescent="0.15">
      <c r="A1364" s="5" t="str">
        <f ca="1">IFERROR(__xludf.DUMMYFUNCTION("""COMPUTED_VALUE"""),"38209")</f>
        <v>38209</v>
      </c>
      <c r="B1364" s="51">
        <f ca="1">IFERROR(__xludf.DUMMYFUNCTION("""COMPUTED_VALUE"""),44623)</f>
        <v>44623</v>
      </c>
      <c r="C1364" s="22">
        <f ca="1">IFERROR(__xludf.DUMMYFUNCTION("""COMPUTED_VALUE"""),500000)</f>
        <v>500000</v>
      </c>
      <c r="D1364" s="22">
        <f ca="1">IFERROR(__xludf.DUMMYFUNCTION("""COMPUTED_VALUE"""),0)</f>
        <v>0</v>
      </c>
      <c r="E1364" s="22">
        <f ca="1">IFERROR(__xludf.DUMMYFUNCTION("""COMPUTED_VALUE"""),500000)</f>
        <v>500000</v>
      </c>
      <c r="F1364" s="22">
        <f ca="1">IFERROR(__xludf.DUMMYFUNCTION("""COMPUTED_VALUE"""),500000)</f>
        <v>500000</v>
      </c>
      <c r="G1364" s="22">
        <f ca="1">IFERROR(__xludf.DUMMYFUNCTION("""COMPUTED_VALUE"""),0)</f>
        <v>0</v>
      </c>
      <c r="H1364" s="7">
        <f ca="1">IFERROR(__xludf.DUMMYFUNCTION("""COMPUTED_VALUE"""),500000)</f>
        <v>500000</v>
      </c>
    </row>
    <row r="1365" spans="1:8" ht="13" x14ac:dyDescent="0.15">
      <c r="A1365" s="5" t="str">
        <f ca="1">IFERROR(__xludf.DUMMYFUNCTION("""COMPUTED_VALUE"""),"38209")</f>
        <v>38209</v>
      </c>
      <c r="B1365" s="51">
        <f ca="1">IFERROR(__xludf.DUMMYFUNCTION("""COMPUTED_VALUE"""),44624)</f>
        <v>44624</v>
      </c>
      <c r="C1365" s="22">
        <f ca="1">IFERROR(__xludf.DUMMYFUNCTION("""COMPUTED_VALUE"""),450910)</f>
        <v>450910</v>
      </c>
      <c r="D1365" s="22">
        <f ca="1">IFERROR(__xludf.DUMMYFUNCTION("""COMPUTED_VALUE"""),49090)</f>
        <v>49090</v>
      </c>
      <c r="E1365" s="22">
        <f ca="1">IFERROR(__xludf.DUMMYFUNCTION("""COMPUTED_VALUE"""),500000)</f>
        <v>500000</v>
      </c>
      <c r="F1365" s="22">
        <f ca="1">IFERROR(__xludf.DUMMYFUNCTION("""COMPUTED_VALUE"""),450910)</f>
        <v>450910</v>
      </c>
      <c r="G1365" s="22">
        <f ca="1">IFERROR(__xludf.DUMMYFUNCTION("""COMPUTED_VALUE"""),0)</f>
        <v>0</v>
      </c>
      <c r="H1365" s="7">
        <f ca="1">IFERROR(__xludf.DUMMYFUNCTION("""COMPUTED_VALUE"""),500000)</f>
        <v>500000</v>
      </c>
    </row>
    <row r="1366" spans="1:8" ht="13" x14ac:dyDescent="0.15">
      <c r="A1366" s="5" t="str">
        <f ca="1">IFERROR(__xludf.DUMMYFUNCTION("""COMPUTED_VALUE"""),"38209")</f>
        <v>38209</v>
      </c>
      <c r="B1366" s="51">
        <f ca="1">IFERROR(__xludf.DUMMYFUNCTION("""COMPUTED_VALUE"""),44625)</f>
        <v>44625</v>
      </c>
      <c r="C1366" s="22">
        <f ca="1">IFERROR(__xludf.DUMMYFUNCTION("""COMPUTED_VALUE"""),450910)</f>
        <v>450910</v>
      </c>
      <c r="D1366" s="22">
        <f ca="1">IFERROR(__xludf.DUMMYFUNCTION("""COMPUTED_VALUE"""),49090)</f>
        <v>49090</v>
      </c>
      <c r="E1366" s="22">
        <f ca="1">IFERROR(__xludf.DUMMYFUNCTION("""COMPUTED_VALUE"""),500000)</f>
        <v>500000</v>
      </c>
      <c r="F1366" s="22">
        <f ca="1">IFERROR(__xludf.DUMMYFUNCTION("""COMPUTED_VALUE"""),450910)</f>
        <v>450910</v>
      </c>
      <c r="G1366" s="22">
        <f ca="1">IFERROR(__xludf.DUMMYFUNCTION("""COMPUTED_VALUE"""),0)</f>
        <v>0</v>
      </c>
      <c r="H1366" s="7">
        <f ca="1">IFERROR(__xludf.DUMMYFUNCTION("""COMPUTED_VALUE"""),500000)</f>
        <v>500000</v>
      </c>
    </row>
    <row r="1367" spans="1:8" ht="13" x14ac:dyDescent="0.15">
      <c r="A1367" s="5" t="str">
        <f ca="1">IFERROR(__xludf.DUMMYFUNCTION("""COMPUTED_VALUE"""),"38209")</f>
        <v>38209</v>
      </c>
      <c r="B1367" s="51">
        <f ca="1">IFERROR(__xludf.DUMMYFUNCTION("""COMPUTED_VALUE"""),44626)</f>
        <v>44626</v>
      </c>
      <c r="C1367" s="22">
        <f ca="1">IFERROR(__xludf.DUMMYFUNCTION("""COMPUTED_VALUE"""),450910)</f>
        <v>450910</v>
      </c>
      <c r="D1367" s="22">
        <f ca="1">IFERROR(__xludf.DUMMYFUNCTION("""COMPUTED_VALUE"""),49090)</f>
        <v>49090</v>
      </c>
      <c r="E1367" s="22">
        <f ca="1">IFERROR(__xludf.DUMMYFUNCTION("""COMPUTED_VALUE"""),500000)</f>
        <v>500000</v>
      </c>
      <c r="F1367" s="22">
        <f ca="1">IFERROR(__xludf.DUMMYFUNCTION("""COMPUTED_VALUE"""),450910)</f>
        <v>450910</v>
      </c>
      <c r="G1367" s="22">
        <f ca="1">IFERROR(__xludf.DUMMYFUNCTION("""COMPUTED_VALUE"""),0)</f>
        <v>0</v>
      </c>
      <c r="H1367" s="7">
        <f ca="1">IFERROR(__xludf.DUMMYFUNCTION("""COMPUTED_VALUE"""),500000)</f>
        <v>500000</v>
      </c>
    </row>
    <row r="1368" spans="1:8" ht="13" x14ac:dyDescent="0.15">
      <c r="A1368" s="5" t="str">
        <f ca="1">IFERROR(__xludf.DUMMYFUNCTION("""COMPUTED_VALUE"""),"38209")</f>
        <v>38209</v>
      </c>
      <c r="B1368" s="51">
        <f ca="1">IFERROR(__xludf.DUMMYFUNCTION("""COMPUTED_VALUE"""),44627)</f>
        <v>44627</v>
      </c>
      <c r="C1368" s="22">
        <f ca="1">IFERROR(__xludf.DUMMYFUNCTION("""COMPUTED_VALUE"""),427630)</f>
        <v>427630</v>
      </c>
      <c r="D1368" s="22">
        <f ca="1">IFERROR(__xludf.DUMMYFUNCTION("""COMPUTED_VALUE"""),71250)</f>
        <v>71250</v>
      </c>
      <c r="E1368" s="22">
        <f ca="1">IFERROR(__xludf.DUMMYFUNCTION("""COMPUTED_VALUE"""),498880)</f>
        <v>498880</v>
      </c>
      <c r="F1368" s="22">
        <f ca="1">IFERROR(__xludf.DUMMYFUNCTION("""COMPUTED_VALUE"""),427630)</f>
        <v>427630</v>
      </c>
      <c r="G1368" s="22">
        <f ca="1">IFERROR(__xludf.DUMMYFUNCTION("""COMPUTED_VALUE"""),0)</f>
        <v>0</v>
      </c>
      <c r="H1368" s="7">
        <f ca="1">IFERROR(__xludf.DUMMYFUNCTION("""COMPUTED_VALUE"""),498880)</f>
        <v>498880</v>
      </c>
    </row>
    <row r="1369" spans="1:8" ht="13" x14ac:dyDescent="0.15">
      <c r="A1369" s="5" t="str">
        <f ca="1">IFERROR(__xludf.DUMMYFUNCTION("""COMPUTED_VALUE"""),"38209")</f>
        <v>38209</v>
      </c>
      <c r="B1369" s="51">
        <f ca="1">IFERROR(__xludf.DUMMYFUNCTION("""COMPUTED_VALUE"""),44628)</f>
        <v>44628</v>
      </c>
      <c r="C1369" s="22">
        <f ca="1">IFERROR(__xludf.DUMMYFUNCTION("""COMPUTED_VALUE"""),427630)</f>
        <v>427630</v>
      </c>
      <c r="D1369" s="22">
        <f ca="1">IFERROR(__xludf.DUMMYFUNCTION("""COMPUTED_VALUE"""),70070)</f>
        <v>70070</v>
      </c>
      <c r="E1369" s="22">
        <f ca="1">IFERROR(__xludf.DUMMYFUNCTION("""COMPUTED_VALUE"""),497700)</f>
        <v>497700</v>
      </c>
      <c r="F1369" s="22">
        <f ca="1">IFERROR(__xludf.DUMMYFUNCTION("""COMPUTED_VALUE"""),427630)</f>
        <v>427630</v>
      </c>
      <c r="G1369" s="22">
        <f ca="1">IFERROR(__xludf.DUMMYFUNCTION("""COMPUTED_VALUE"""),0)</f>
        <v>0</v>
      </c>
      <c r="H1369" s="7">
        <f ca="1">IFERROR(__xludf.DUMMYFUNCTION("""COMPUTED_VALUE"""),496960)</f>
        <v>496960</v>
      </c>
    </row>
    <row r="1370" spans="1:8" ht="13" x14ac:dyDescent="0.15">
      <c r="A1370" s="5" t="str">
        <f ca="1">IFERROR(__xludf.DUMMYFUNCTION("""COMPUTED_VALUE"""),"38209")</f>
        <v>38209</v>
      </c>
      <c r="B1370" s="51">
        <f ca="1">IFERROR(__xludf.DUMMYFUNCTION("""COMPUTED_VALUE"""),44629)</f>
        <v>44629</v>
      </c>
      <c r="C1370" s="22">
        <f ca="1">IFERROR(__xludf.DUMMYFUNCTION("""COMPUTED_VALUE"""),343325)</f>
        <v>343325</v>
      </c>
      <c r="D1370" s="22">
        <f ca="1">IFERROR(__xludf.DUMMYFUNCTION("""COMPUTED_VALUE"""),154170)</f>
        <v>154170</v>
      </c>
      <c r="E1370" s="22">
        <f ca="1">IFERROR(__xludf.DUMMYFUNCTION("""COMPUTED_VALUE"""),497495)</f>
        <v>497495</v>
      </c>
      <c r="F1370" s="22">
        <f ca="1">IFERROR(__xludf.DUMMYFUNCTION("""COMPUTED_VALUE"""),343325)</f>
        <v>343325</v>
      </c>
      <c r="G1370" s="22">
        <f ca="1">IFERROR(__xludf.DUMMYFUNCTION("""COMPUTED_VALUE"""),0)</f>
        <v>0</v>
      </c>
      <c r="H1370" s="7">
        <f ca="1">IFERROR(__xludf.DUMMYFUNCTION("""COMPUTED_VALUE"""),497495)</f>
        <v>497495</v>
      </c>
    </row>
    <row r="1371" spans="1:8" ht="13" x14ac:dyDescent="0.15">
      <c r="A1371" s="5" t="str">
        <f ca="1">IFERROR(__xludf.DUMMYFUNCTION("""COMPUTED_VALUE"""),"38209")</f>
        <v>38209</v>
      </c>
      <c r="B1371" s="51">
        <f ca="1">IFERROR(__xludf.DUMMYFUNCTION("""COMPUTED_VALUE"""),44630)</f>
        <v>44630</v>
      </c>
      <c r="C1371" s="22">
        <f ca="1">IFERROR(__xludf.DUMMYFUNCTION("""COMPUTED_VALUE"""),284205)</f>
        <v>284205</v>
      </c>
      <c r="D1371" s="22">
        <f ca="1">IFERROR(__xludf.DUMMYFUNCTION("""COMPUTED_VALUE"""),215230)</f>
        <v>215230</v>
      </c>
      <c r="E1371" s="22">
        <f ca="1">IFERROR(__xludf.DUMMYFUNCTION("""COMPUTED_VALUE"""),499435)</f>
        <v>499435</v>
      </c>
      <c r="F1371" s="22">
        <f ca="1">IFERROR(__xludf.DUMMYFUNCTION("""COMPUTED_VALUE"""),284205)</f>
        <v>284205</v>
      </c>
      <c r="G1371" s="22">
        <f ca="1">IFERROR(__xludf.DUMMYFUNCTION("""COMPUTED_VALUE"""),0)</f>
        <v>0</v>
      </c>
      <c r="H1371" s="7">
        <f ca="1">IFERROR(__xludf.DUMMYFUNCTION("""COMPUTED_VALUE"""),499435)</f>
        <v>499435</v>
      </c>
    </row>
    <row r="1372" spans="1:8" ht="13" x14ac:dyDescent="0.15">
      <c r="A1372" s="5" t="str">
        <f ca="1">IFERROR(__xludf.DUMMYFUNCTION("""COMPUTED_VALUE"""),"38209")</f>
        <v>38209</v>
      </c>
      <c r="B1372" s="51">
        <f ca="1">IFERROR(__xludf.DUMMYFUNCTION("""COMPUTED_VALUE"""),44631)</f>
        <v>44631</v>
      </c>
      <c r="C1372" s="22">
        <f ca="1">IFERROR(__xludf.DUMMYFUNCTION("""COMPUTED_VALUE"""),284205)</f>
        <v>284205</v>
      </c>
      <c r="D1372" s="22">
        <f ca="1">IFERROR(__xludf.DUMMYFUNCTION("""COMPUTED_VALUE"""),205660)</f>
        <v>205660</v>
      </c>
      <c r="E1372" s="22">
        <f ca="1">IFERROR(__xludf.DUMMYFUNCTION("""COMPUTED_VALUE"""),489865)</f>
        <v>489865</v>
      </c>
      <c r="F1372" s="22">
        <f ca="1">IFERROR(__xludf.DUMMYFUNCTION("""COMPUTED_VALUE"""),284205)</f>
        <v>284205</v>
      </c>
      <c r="G1372" s="22">
        <f ca="1">IFERROR(__xludf.DUMMYFUNCTION("""COMPUTED_VALUE"""),0)</f>
        <v>0</v>
      </c>
      <c r="H1372" s="7">
        <f ca="1">IFERROR(__xludf.DUMMYFUNCTION("""COMPUTED_VALUE"""),489865)</f>
        <v>489865</v>
      </c>
    </row>
    <row r="1373" spans="1:8" ht="13" x14ac:dyDescent="0.15">
      <c r="A1373" s="5" t="str">
        <f ca="1">IFERROR(__xludf.DUMMYFUNCTION("""COMPUTED_VALUE"""),"38209")</f>
        <v>38209</v>
      </c>
      <c r="B1373" s="51">
        <f ca="1">IFERROR(__xludf.DUMMYFUNCTION("""COMPUTED_VALUE"""),44632)</f>
        <v>44632</v>
      </c>
      <c r="C1373" s="22">
        <f ca="1">IFERROR(__xludf.DUMMYFUNCTION("""COMPUTED_VALUE"""),284205)</f>
        <v>284205</v>
      </c>
      <c r="D1373" s="22">
        <f ca="1">IFERROR(__xludf.DUMMYFUNCTION("""COMPUTED_VALUE"""),205660)</f>
        <v>205660</v>
      </c>
      <c r="E1373" s="22">
        <f ca="1">IFERROR(__xludf.DUMMYFUNCTION("""COMPUTED_VALUE"""),489865)</f>
        <v>489865</v>
      </c>
      <c r="F1373" s="22">
        <f ca="1">IFERROR(__xludf.DUMMYFUNCTION("""COMPUTED_VALUE"""),284205)</f>
        <v>284205</v>
      </c>
      <c r="G1373" s="22">
        <f ca="1">IFERROR(__xludf.DUMMYFUNCTION("""COMPUTED_VALUE"""),0)</f>
        <v>0</v>
      </c>
      <c r="H1373" s="7">
        <f ca="1">IFERROR(__xludf.DUMMYFUNCTION("""COMPUTED_VALUE"""),489865)</f>
        <v>489865</v>
      </c>
    </row>
    <row r="1374" spans="1:8" ht="13" x14ac:dyDescent="0.15">
      <c r="A1374" s="5" t="str">
        <f ca="1">IFERROR(__xludf.DUMMYFUNCTION("""COMPUTED_VALUE"""),"38209")</f>
        <v>38209</v>
      </c>
      <c r="B1374" s="51">
        <f ca="1">IFERROR(__xludf.DUMMYFUNCTION("""COMPUTED_VALUE"""),44633)</f>
        <v>44633</v>
      </c>
      <c r="C1374" s="22">
        <f ca="1">IFERROR(__xludf.DUMMYFUNCTION("""COMPUTED_VALUE"""),284205)</f>
        <v>284205</v>
      </c>
      <c r="D1374" s="22">
        <f ca="1">IFERROR(__xludf.DUMMYFUNCTION("""COMPUTED_VALUE"""),205660)</f>
        <v>205660</v>
      </c>
      <c r="E1374" s="22">
        <f ca="1">IFERROR(__xludf.DUMMYFUNCTION("""COMPUTED_VALUE"""),489865)</f>
        <v>489865</v>
      </c>
      <c r="F1374" s="22">
        <f ca="1">IFERROR(__xludf.DUMMYFUNCTION("""COMPUTED_VALUE"""),284205)</f>
        <v>284205</v>
      </c>
      <c r="G1374" s="22">
        <f ca="1">IFERROR(__xludf.DUMMYFUNCTION("""COMPUTED_VALUE"""),0)</f>
        <v>0</v>
      </c>
      <c r="H1374" s="7">
        <f ca="1">IFERROR(__xludf.DUMMYFUNCTION("""COMPUTED_VALUE"""),489865)</f>
        <v>489865</v>
      </c>
    </row>
    <row r="1375" spans="1:8" ht="13" x14ac:dyDescent="0.15">
      <c r="A1375" s="5" t="str">
        <f ca="1">IFERROR(__xludf.DUMMYFUNCTION("""COMPUTED_VALUE"""),"38209")</f>
        <v>38209</v>
      </c>
      <c r="B1375" s="51">
        <f ca="1">IFERROR(__xludf.DUMMYFUNCTION("""COMPUTED_VALUE"""),44634)</f>
        <v>44634</v>
      </c>
      <c r="C1375" s="22">
        <f ca="1">IFERROR(__xludf.DUMMYFUNCTION("""COMPUTED_VALUE"""),429065)</f>
        <v>429065</v>
      </c>
      <c r="D1375" s="22">
        <f ca="1">IFERROR(__xludf.DUMMYFUNCTION("""COMPUTED_VALUE"""),38120)</f>
        <v>38120</v>
      </c>
      <c r="E1375" s="22">
        <f ca="1">IFERROR(__xludf.DUMMYFUNCTION("""COMPUTED_VALUE"""),467185)</f>
        <v>467185</v>
      </c>
      <c r="F1375" s="22">
        <f ca="1">IFERROR(__xludf.DUMMYFUNCTION("""COMPUTED_VALUE"""),404985)</f>
        <v>404985</v>
      </c>
      <c r="G1375" s="22">
        <f ca="1">IFERROR(__xludf.DUMMYFUNCTION("""COMPUTED_VALUE"""),0)</f>
        <v>0</v>
      </c>
      <c r="H1375" s="7">
        <f ca="1">IFERROR(__xludf.DUMMYFUNCTION("""COMPUTED_VALUE"""),467185)</f>
        <v>467185</v>
      </c>
    </row>
    <row r="1376" spans="1:8" ht="13" x14ac:dyDescent="0.15">
      <c r="A1376" s="5" t="str">
        <f ca="1">IFERROR(__xludf.DUMMYFUNCTION("""COMPUTED_VALUE"""),"38209")</f>
        <v>38209</v>
      </c>
      <c r="B1376" s="51">
        <f ca="1">IFERROR(__xludf.DUMMYFUNCTION("""COMPUTED_VALUE"""),44635)</f>
        <v>44635</v>
      </c>
      <c r="C1376" s="22">
        <f ca="1">IFERROR(__xludf.DUMMYFUNCTION("""COMPUTED_VALUE"""),-71684.4563999999)</f>
        <v>-71684.456399999894</v>
      </c>
      <c r="D1376" s="22">
        <f ca="1">IFERROR(__xludf.DUMMYFUNCTION("""COMPUTED_VALUE"""),536269.456399999)</f>
        <v>536269.45639999898</v>
      </c>
      <c r="E1376" s="22">
        <f ca="1">IFERROR(__xludf.DUMMYFUNCTION("""COMPUTED_VALUE"""),464584.999999999)</f>
        <v>464584.99999999901</v>
      </c>
      <c r="F1376" s="22">
        <f ca="1">IFERROR(__xludf.DUMMYFUNCTION("""COMPUTED_VALUE"""),-95764.4563999999)</f>
        <v>-95764.456399999894</v>
      </c>
      <c r="G1376" s="22">
        <f ca="1">IFERROR(__xludf.DUMMYFUNCTION("""COMPUTED_VALUE"""),95764.4563999999)</f>
        <v>95764.456399999894</v>
      </c>
      <c r="H1376" s="7">
        <f ca="1">IFERROR(__xludf.DUMMYFUNCTION("""COMPUTED_VALUE"""),464584.999999999)</f>
        <v>464584.99999999901</v>
      </c>
    </row>
    <row r="1377" spans="1:8" ht="13" x14ac:dyDescent="0.15">
      <c r="A1377" s="5" t="str">
        <f ca="1">IFERROR(__xludf.DUMMYFUNCTION("""COMPUTED_VALUE"""),"38209")</f>
        <v>38209</v>
      </c>
      <c r="B1377" s="51">
        <f ca="1">IFERROR(__xludf.DUMMYFUNCTION("""COMPUTED_VALUE"""),44636)</f>
        <v>44636</v>
      </c>
      <c r="C1377" s="22">
        <f ca="1">IFERROR(__xludf.DUMMYFUNCTION("""COMPUTED_VALUE"""),-111884.456399999)</f>
        <v>-111884.45639999901</v>
      </c>
      <c r="D1377" s="22">
        <f ca="1">IFERROR(__xludf.DUMMYFUNCTION("""COMPUTED_VALUE"""),613700.825895)</f>
        <v>613700.82589500002</v>
      </c>
      <c r="E1377" s="22">
        <f ca="1">IFERROR(__xludf.DUMMYFUNCTION("""COMPUTED_VALUE"""),501816.369495)</f>
        <v>501816.36949499999</v>
      </c>
      <c r="F1377" s="22">
        <f ca="1">IFERROR(__xludf.DUMMYFUNCTION("""COMPUTED_VALUE"""),-135964.456399999)</f>
        <v>-135964.45639999901</v>
      </c>
      <c r="G1377" s="22">
        <f ca="1">IFERROR(__xludf.DUMMYFUNCTION("""COMPUTED_VALUE"""),135964.456399999)</f>
        <v>135964.45639999901</v>
      </c>
      <c r="H1377" s="7">
        <f ca="1">IFERROR(__xludf.DUMMYFUNCTION("""COMPUTED_VALUE"""),501816.369495)</f>
        <v>501816.36949499999</v>
      </c>
    </row>
    <row r="1378" spans="1:8" ht="13" x14ac:dyDescent="0.15">
      <c r="A1378" s="5" t="str">
        <f ca="1">IFERROR(__xludf.DUMMYFUNCTION("""COMPUTED_VALUE"""),"38209")</f>
        <v>38209</v>
      </c>
      <c r="B1378" s="51">
        <f ca="1">IFERROR(__xludf.DUMMYFUNCTION("""COMPUTED_VALUE"""),44637)</f>
        <v>44637</v>
      </c>
      <c r="C1378" s="22">
        <f ca="1">IFERROR(__xludf.DUMMYFUNCTION("""COMPUTED_VALUE"""),-9884.45639999996)</f>
        <v>-9884.4563999999591</v>
      </c>
      <c r="D1378" s="22">
        <f ca="1">IFERROR(__xludf.DUMMYFUNCTION("""COMPUTED_VALUE"""),538731.437595)</f>
        <v>538731.43759500002</v>
      </c>
      <c r="E1378" s="22">
        <f ca="1">IFERROR(__xludf.DUMMYFUNCTION("""COMPUTED_VALUE"""),528846.981195)</f>
        <v>528846.981195</v>
      </c>
      <c r="F1378" s="22">
        <f ca="1">IFERROR(__xludf.DUMMYFUNCTION("""COMPUTED_VALUE"""),-33964.4563999999)</f>
        <v>-33964.456399999901</v>
      </c>
      <c r="G1378" s="22">
        <f ca="1">IFERROR(__xludf.DUMMYFUNCTION("""COMPUTED_VALUE"""),33964.4563999999)</f>
        <v>33964.456399999901</v>
      </c>
      <c r="H1378" s="7">
        <f ca="1">IFERROR(__xludf.DUMMYFUNCTION("""COMPUTED_VALUE"""),528846.981195)</f>
        <v>528846.981195</v>
      </c>
    </row>
    <row r="1379" spans="1:8" ht="13" x14ac:dyDescent="0.15">
      <c r="A1379" s="5" t="str">
        <f ca="1">IFERROR(__xludf.DUMMYFUNCTION("""COMPUTED_VALUE"""),"38209")</f>
        <v>38209</v>
      </c>
      <c r="B1379" s="51">
        <f ca="1">IFERROR(__xludf.DUMMYFUNCTION("""COMPUTED_VALUE"""),44638)</f>
        <v>44638</v>
      </c>
      <c r="C1379" s="22">
        <f ca="1">IFERROR(__xludf.DUMMYFUNCTION("""COMPUTED_VALUE"""),414857.312149)</f>
        <v>414857.312149</v>
      </c>
      <c r="D1379" s="22">
        <f ca="1">IFERROR(__xludf.DUMMYFUNCTION("""COMPUTED_VALUE"""),112270)</f>
        <v>112270</v>
      </c>
      <c r="E1379" s="22">
        <f ca="1">IFERROR(__xludf.DUMMYFUNCTION("""COMPUTED_VALUE"""),527127.312149)</f>
        <v>527127.312149</v>
      </c>
      <c r="F1379" s="22">
        <f ca="1">IFERROR(__xludf.DUMMYFUNCTION("""COMPUTED_VALUE"""),390777.312149)</f>
        <v>390777.312149</v>
      </c>
      <c r="G1379" s="22">
        <f ca="1">IFERROR(__xludf.DUMMYFUNCTION("""COMPUTED_VALUE"""),0)</f>
        <v>0</v>
      </c>
      <c r="H1379" s="7">
        <f ca="1">IFERROR(__xludf.DUMMYFUNCTION("""COMPUTED_VALUE"""),527127.312149)</f>
        <v>527127.312149</v>
      </c>
    </row>
    <row r="1380" spans="1:8" ht="13" x14ac:dyDescent="0.15">
      <c r="A1380" s="5" t="str">
        <f ca="1">IFERROR(__xludf.DUMMYFUNCTION("""COMPUTED_VALUE"""),"38209")</f>
        <v>38209</v>
      </c>
      <c r="B1380" s="51">
        <f ca="1">IFERROR(__xludf.DUMMYFUNCTION("""COMPUTED_VALUE"""),44639)</f>
        <v>44639</v>
      </c>
      <c r="C1380" s="22">
        <f ca="1">IFERROR(__xludf.DUMMYFUNCTION("""COMPUTED_VALUE"""),414857.312149)</f>
        <v>414857.312149</v>
      </c>
      <c r="D1380" s="22">
        <f ca="1">IFERROR(__xludf.DUMMYFUNCTION("""COMPUTED_VALUE"""),112270)</f>
        <v>112270</v>
      </c>
      <c r="E1380" s="22">
        <f ca="1">IFERROR(__xludf.DUMMYFUNCTION("""COMPUTED_VALUE"""),527127.312149)</f>
        <v>527127.312149</v>
      </c>
      <c r="F1380" s="22">
        <f ca="1">IFERROR(__xludf.DUMMYFUNCTION("""COMPUTED_VALUE"""),390777.312149)</f>
        <v>390777.312149</v>
      </c>
      <c r="G1380" s="22">
        <f ca="1">IFERROR(__xludf.DUMMYFUNCTION("""COMPUTED_VALUE"""),0)</f>
        <v>0</v>
      </c>
      <c r="H1380" s="7">
        <f ca="1">IFERROR(__xludf.DUMMYFUNCTION("""COMPUTED_VALUE"""),527127.312149)</f>
        <v>527127.312149</v>
      </c>
    </row>
    <row r="1381" spans="1:8" ht="13" x14ac:dyDescent="0.15">
      <c r="A1381" s="5" t="str">
        <f ca="1">IFERROR(__xludf.DUMMYFUNCTION("""COMPUTED_VALUE"""),"38209")</f>
        <v>38209</v>
      </c>
      <c r="B1381" s="51">
        <f ca="1">IFERROR(__xludf.DUMMYFUNCTION("""COMPUTED_VALUE"""),44640)</f>
        <v>44640</v>
      </c>
      <c r="C1381" s="22">
        <f ca="1">IFERROR(__xludf.DUMMYFUNCTION("""COMPUTED_VALUE"""),414857.312149)</f>
        <v>414857.312149</v>
      </c>
      <c r="D1381" s="22">
        <f ca="1">IFERROR(__xludf.DUMMYFUNCTION("""COMPUTED_VALUE"""),112223.286409999)</f>
        <v>112223.286409999</v>
      </c>
      <c r="E1381" s="22">
        <f ca="1">IFERROR(__xludf.DUMMYFUNCTION("""COMPUTED_VALUE"""),527080.598559)</f>
        <v>527080.59855899995</v>
      </c>
      <c r="F1381" s="22">
        <f ca="1">IFERROR(__xludf.DUMMYFUNCTION("""COMPUTED_VALUE"""),390777.312149)</f>
        <v>390777.312149</v>
      </c>
      <c r="G1381" s="22">
        <f ca="1">IFERROR(__xludf.DUMMYFUNCTION("""COMPUTED_VALUE"""),0)</f>
        <v>0</v>
      </c>
      <c r="H1381" s="7">
        <f ca="1">IFERROR(__xludf.DUMMYFUNCTION("""COMPUTED_VALUE"""),527127.312149)</f>
        <v>527127.312149</v>
      </c>
    </row>
    <row r="1382" spans="1:8" ht="13" x14ac:dyDescent="0.15">
      <c r="A1382" s="5" t="str">
        <f ca="1">IFERROR(__xludf.DUMMYFUNCTION("""COMPUTED_VALUE"""),"38209")</f>
        <v>38209</v>
      </c>
      <c r="B1382" s="51">
        <f ca="1">IFERROR(__xludf.DUMMYFUNCTION("""COMPUTED_VALUE"""),44641)</f>
        <v>44641</v>
      </c>
      <c r="C1382" s="22">
        <f ca="1">IFERROR(__xludf.DUMMYFUNCTION("""COMPUTED_VALUE"""),414857.312149)</f>
        <v>414857.312149</v>
      </c>
      <c r="D1382" s="22">
        <f ca="1">IFERROR(__xludf.DUMMYFUNCTION("""COMPUTED_VALUE"""),108224.201299999)</f>
        <v>108224.201299999</v>
      </c>
      <c r="E1382" s="22">
        <f ca="1">IFERROR(__xludf.DUMMYFUNCTION("""COMPUTED_VALUE"""),523081.513448999)</f>
        <v>523081.51344899897</v>
      </c>
      <c r="F1382" s="22">
        <f ca="1">IFERROR(__xludf.DUMMYFUNCTION("""COMPUTED_VALUE"""),390777.312149)</f>
        <v>390777.312149</v>
      </c>
      <c r="G1382" s="22">
        <f ca="1">IFERROR(__xludf.DUMMYFUNCTION("""COMPUTED_VALUE"""),0)</f>
        <v>0</v>
      </c>
      <c r="H1382" s="7">
        <f ca="1">IFERROR(__xludf.DUMMYFUNCTION("""COMPUTED_VALUE"""),523897.312149)</f>
        <v>523897.312149</v>
      </c>
    </row>
    <row r="1383" spans="1:8" ht="13" x14ac:dyDescent="0.15">
      <c r="A1383" s="5" t="str">
        <f ca="1">IFERROR(__xludf.DUMMYFUNCTION("""COMPUTED_VALUE"""),"38209")</f>
        <v>38209</v>
      </c>
      <c r="B1383" s="51">
        <f ca="1">IFERROR(__xludf.DUMMYFUNCTION("""COMPUTED_VALUE"""),44642)</f>
        <v>44642</v>
      </c>
      <c r="C1383" s="22">
        <f ca="1">IFERROR(__xludf.DUMMYFUNCTION("""COMPUTED_VALUE"""),414857.312149)</f>
        <v>414857.312149</v>
      </c>
      <c r="D1383" s="22">
        <f ca="1">IFERROR(__xludf.DUMMYFUNCTION("""COMPUTED_VALUE"""),112282.101)</f>
        <v>112282.101</v>
      </c>
      <c r="E1383" s="22">
        <f ca="1">IFERROR(__xludf.DUMMYFUNCTION("""COMPUTED_VALUE"""),527139.413149)</f>
        <v>527139.41314900003</v>
      </c>
      <c r="F1383" s="22">
        <f ca="1">IFERROR(__xludf.DUMMYFUNCTION("""COMPUTED_VALUE"""),390777.312149)</f>
        <v>390777.312149</v>
      </c>
      <c r="G1383" s="22">
        <f ca="1">IFERROR(__xludf.DUMMYFUNCTION("""COMPUTED_VALUE"""),0)</f>
        <v>0</v>
      </c>
      <c r="H1383" s="7">
        <f ca="1">IFERROR(__xludf.DUMMYFUNCTION("""COMPUTED_VALUE"""),527867.312149)</f>
        <v>527867.312149</v>
      </c>
    </row>
    <row r="1384" spans="1:8" ht="13" x14ac:dyDescent="0.15">
      <c r="A1384" s="5" t="str">
        <f ca="1">IFERROR(__xludf.DUMMYFUNCTION("""COMPUTED_VALUE"""),"38302")</f>
        <v>38302</v>
      </c>
      <c r="B1384" s="51">
        <f ca="1">IFERROR(__xludf.DUMMYFUNCTION("""COMPUTED_VALUE"""),44597)</f>
        <v>44597</v>
      </c>
      <c r="C1384" s="22">
        <f ca="1">IFERROR(__xludf.DUMMYFUNCTION("""COMPUTED_VALUE"""),500000)</f>
        <v>500000</v>
      </c>
      <c r="D1384" s="22">
        <f ca="1">IFERROR(__xludf.DUMMYFUNCTION("""COMPUTED_VALUE"""),0)</f>
        <v>0</v>
      </c>
      <c r="E1384" s="22">
        <f ca="1">IFERROR(__xludf.DUMMYFUNCTION("""COMPUTED_VALUE"""),500000)</f>
        <v>500000</v>
      </c>
      <c r="F1384" s="22">
        <f ca="1">IFERROR(__xludf.DUMMYFUNCTION("""COMPUTED_VALUE"""),500000)</f>
        <v>500000</v>
      </c>
      <c r="G1384" s="22">
        <f ca="1">IFERROR(__xludf.DUMMYFUNCTION("""COMPUTED_VALUE"""),0)</f>
        <v>0</v>
      </c>
      <c r="H1384" s="7">
        <f ca="1">IFERROR(__xludf.DUMMYFUNCTION("""COMPUTED_VALUE"""),500000)</f>
        <v>500000</v>
      </c>
    </row>
    <row r="1385" spans="1:8" ht="13" x14ac:dyDescent="0.15">
      <c r="A1385" s="5" t="str">
        <f ca="1">IFERROR(__xludf.DUMMYFUNCTION("""COMPUTED_VALUE"""),"38302")</f>
        <v>38302</v>
      </c>
      <c r="B1385" s="51">
        <f ca="1">IFERROR(__xludf.DUMMYFUNCTION("""COMPUTED_VALUE"""),44598)</f>
        <v>44598</v>
      </c>
      <c r="C1385" s="22">
        <f ca="1">IFERROR(__xludf.DUMMYFUNCTION("""COMPUTED_VALUE"""),500000)</f>
        <v>500000</v>
      </c>
      <c r="D1385" s="22">
        <f ca="1">IFERROR(__xludf.DUMMYFUNCTION("""COMPUTED_VALUE"""),0)</f>
        <v>0</v>
      </c>
      <c r="E1385" s="22">
        <f ca="1">IFERROR(__xludf.DUMMYFUNCTION("""COMPUTED_VALUE"""),500000)</f>
        <v>500000</v>
      </c>
      <c r="F1385" s="22">
        <f ca="1">IFERROR(__xludf.DUMMYFUNCTION("""COMPUTED_VALUE"""),500000)</f>
        <v>500000</v>
      </c>
      <c r="G1385" s="22">
        <f ca="1">IFERROR(__xludf.DUMMYFUNCTION("""COMPUTED_VALUE"""),0)</f>
        <v>0</v>
      </c>
      <c r="H1385" s="7">
        <f ca="1">IFERROR(__xludf.DUMMYFUNCTION("""COMPUTED_VALUE"""),500000)</f>
        <v>500000</v>
      </c>
    </row>
    <row r="1386" spans="1:8" ht="13" x14ac:dyDescent="0.15">
      <c r="A1386" s="5" t="str">
        <f ca="1">IFERROR(__xludf.DUMMYFUNCTION("""COMPUTED_VALUE"""),"38302")</f>
        <v>38302</v>
      </c>
      <c r="B1386" s="51">
        <f ca="1">IFERROR(__xludf.DUMMYFUNCTION("""COMPUTED_VALUE"""),44599)</f>
        <v>44599</v>
      </c>
      <c r="C1386" s="22">
        <f ca="1">IFERROR(__xludf.DUMMYFUNCTION("""COMPUTED_VALUE"""),500000)</f>
        <v>500000</v>
      </c>
      <c r="D1386" s="22">
        <f ca="1">IFERROR(__xludf.DUMMYFUNCTION("""COMPUTED_VALUE"""),0)</f>
        <v>0</v>
      </c>
      <c r="E1386" s="22">
        <f ca="1">IFERROR(__xludf.DUMMYFUNCTION("""COMPUTED_VALUE"""),500000)</f>
        <v>500000</v>
      </c>
      <c r="F1386" s="22">
        <f ca="1">IFERROR(__xludf.DUMMYFUNCTION("""COMPUTED_VALUE"""),500000)</f>
        <v>500000</v>
      </c>
      <c r="G1386" s="22">
        <f ca="1">IFERROR(__xludf.DUMMYFUNCTION("""COMPUTED_VALUE"""),0)</f>
        <v>0</v>
      </c>
      <c r="H1386" s="7">
        <f ca="1">IFERROR(__xludf.DUMMYFUNCTION("""COMPUTED_VALUE"""),500000)</f>
        <v>500000</v>
      </c>
    </row>
    <row r="1387" spans="1:8" ht="13" x14ac:dyDescent="0.15">
      <c r="A1387" s="5" t="str">
        <f ca="1">IFERROR(__xludf.DUMMYFUNCTION("""COMPUTED_VALUE"""),"38302")</f>
        <v>38302</v>
      </c>
      <c r="B1387" s="51">
        <f ca="1">IFERROR(__xludf.DUMMYFUNCTION("""COMPUTED_VALUE"""),44600)</f>
        <v>44600</v>
      </c>
      <c r="C1387" s="22">
        <f ca="1">IFERROR(__xludf.DUMMYFUNCTION("""COMPUTED_VALUE"""),500000)</f>
        <v>500000</v>
      </c>
      <c r="D1387" s="22">
        <f ca="1">IFERROR(__xludf.DUMMYFUNCTION("""COMPUTED_VALUE"""),0)</f>
        <v>0</v>
      </c>
      <c r="E1387" s="22">
        <f ca="1">IFERROR(__xludf.DUMMYFUNCTION("""COMPUTED_VALUE"""),500000)</f>
        <v>500000</v>
      </c>
      <c r="F1387" s="22">
        <f ca="1">IFERROR(__xludf.DUMMYFUNCTION("""COMPUTED_VALUE"""),500000)</f>
        <v>500000</v>
      </c>
      <c r="G1387" s="22">
        <f ca="1">IFERROR(__xludf.DUMMYFUNCTION("""COMPUTED_VALUE"""),0)</f>
        <v>0</v>
      </c>
      <c r="H1387" s="7">
        <f ca="1">IFERROR(__xludf.DUMMYFUNCTION("""COMPUTED_VALUE"""),500000)</f>
        <v>500000</v>
      </c>
    </row>
    <row r="1388" spans="1:8" ht="13" x14ac:dyDescent="0.15">
      <c r="A1388" s="5" t="str">
        <f ca="1">IFERROR(__xludf.DUMMYFUNCTION("""COMPUTED_VALUE"""),"38302")</f>
        <v>38302</v>
      </c>
      <c r="B1388" s="51">
        <f ca="1">IFERROR(__xludf.DUMMYFUNCTION("""COMPUTED_VALUE"""),44601)</f>
        <v>44601</v>
      </c>
      <c r="C1388" s="22">
        <f ca="1">IFERROR(__xludf.DUMMYFUNCTION("""COMPUTED_VALUE"""),500000)</f>
        <v>500000</v>
      </c>
      <c r="D1388" s="22">
        <f ca="1">IFERROR(__xludf.DUMMYFUNCTION("""COMPUTED_VALUE"""),0)</f>
        <v>0</v>
      </c>
      <c r="E1388" s="22">
        <f ca="1">IFERROR(__xludf.DUMMYFUNCTION("""COMPUTED_VALUE"""),500000)</f>
        <v>500000</v>
      </c>
      <c r="F1388" s="22">
        <f ca="1">IFERROR(__xludf.DUMMYFUNCTION("""COMPUTED_VALUE"""),500000)</f>
        <v>500000</v>
      </c>
      <c r="G1388" s="22">
        <f ca="1">IFERROR(__xludf.DUMMYFUNCTION("""COMPUTED_VALUE"""),0)</f>
        <v>0</v>
      </c>
      <c r="H1388" s="7">
        <f ca="1">IFERROR(__xludf.DUMMYFUNCTION("""COMPUTED_VALUE"""),500000)</f>
        <v>500000</v>
      </c>
    </row>
    <row r="1389" spans="1:8" ht="13" x14ac:dyDescent="0.15">
      <c r="A1389" s="5" t="str">
        <f ca="1">IFERROR(__xludf.DUMMYFUNCTION("""COMPUTED_VALUE"""),"38302")</f>
        <v>38302</v>
      </c>
      <c r="B1389" s="51">
        <f ca="1">IFERROR(__xludf.DUMMYFUNCTION("""COMPUTED_VALUE"""),44602)</f>
        <v>44602</v>
      </c>
      <c r="C1389" s="22">
        <f ca="1">IFERROR(__xludf.DUMMYFUNCTION("""COMPUTED_VALUE"""),500000)</f>
        <v>500000</v>
      </c>
      <c r="D1389" s="22">
        <f ca="1">IFERROR(__xludf.DUMMYFUNCTION("""COMPUTED_VALUE"""),0)</f>
        <v>0</v>
      </c>
      <c r="E1389" s="22">
        <f ca="1">IFERROR(__xludf.DUMMYFUNCTION("""COMPUTED_VALUE"""),500000)</f>
        <v>500000</v>
      </c>
      <c r="F1389" s="22">
        <f ca="1">IFERROR(__xludf.DUMMYFUNCTION("""COMPUTED_VALUE"""),500000)</f>
        <v>500000</v>
      </c>
      <c r="G1389" s="22">
        <f ca="1">IFERROR(__xludf.DUMMYFUNCTION("""COMPUTED_VALUE"""),0)</f>
        <v>0</v>
      </c>
      <c r="H1389" s="7">
        <f ca="1">IFERROR(__xludf.DUMMYFUNCTION("""COMPUTED_VALUE"""),500000)</f>
        <v>500000</v>
      </c>
    </row>
    <row r="1390" spans="1:8" ht="13" x14ac:dyDescent="0.15">
      <c r="A1390" s="5" t="str">
        <f ca="1">IFERROR(__xludf.DUMMYFUNCTION("""COMPUTED_VALUE"""),"38302")</f>
        <v>38302</v>
      </c>
      <c r="B1390" s="51">
        <f ca="1">IFERROR(__xludf.DUMMYFUNCTION("""COMPUTED_VALUE"""),44603)</f>
        <v>44603</v>
      </c>
      <c r="C1390" s="22">
        <f ca="1">IFERROR(__xludf.DUMMYFUNCTION("""COMPUTED_VALUE"""),500000)</f>
        <v>500000</v>
      </c>
      <c r="D1390" s="22">
        <f ca="1">IFERROR(__xludf.DUMMYFUNCTION("""COMPUTED_VALUE"""),0)</f>
        <v>0</v>
      </c>
      <c r="E1390" s="22">
        <f ca="1">IFERROR(__xludf.DUMMYFUNCTION("""COMPUTED_VALUE"""),500000)</f>
        <v>500000</v>
      </c>
      <c r="F1390" s="22">
        <f ca="1">IFERROR(__xludf.DUMMYFUNCTION("""COMPUTED_VALUE"""),500000)</f>
        <v>500000</v>
      </c>
      <c r="G1390" s="22">
        <f ca="1">IFERROR(__xludf.DUMMYFUNCTION("""COMPUTED_VALUE"""),0)</f>
        <v>0</v>
      </c>
      <c r="H1390" s="7">
        <f ca="1">IFERROR(__xludf.DUMMYFUNCTION("""COMPUTED_VALUE"""),500000)</f>
        <v>500000</v>
      </c>
    </row>
    <row r="1391" spans="1:8" ht="13" x14ac:dyDescent="0.15">
      <c r="A1391" s="5" t="str">
        <f ca="1">IFERROR(__xludf.DUMMYFUNCTION("""COMPUTED_VALUE"""),"38302")</f>
        <v>38302</v>
      </c>
      <c r="B1391" s="51">
        <f ca="1">IFERROR(__xludf.DUMMYFUNCTION("""COMPUTED_VALUE"""),44604)</f>
        <v>44604</v>
      </c>
      <c r="C1391" s="22">
        <f ca="1">IFERROR(__xludf.DUMMYFUNCTION("""COMPUTED_VALUE"""),500000)</f>
        <v>500000</v>
      </c>
      <c r="D1391" s="22">
        <f ca="1">IFERROR(__xludf.DUMMYFUNCTION("""COMPUTED_VALUE"""),0)</f>
        <v>0</v>
      </c>
      <c r="E1391" s="22">
        <f ca="1">IFERROR(__xludf.DUMMYFUNCTION("""COMPUTED_VALUE"""),500000)</f>
        <v>500000</v>
      </c>
      <c r="F1391" s="22">
        <f ca="1">IFERROR(__xludf.DUMMYFUNCTION("""COMPUTED_VALUE"""),500000)</f>
        <v>500000</v>
      </c>
      <c r="G1391" s="22">
        <f ca="1">IFERROR(__xludf.DUMMYFUNCTION("""COMPUTED_VALUE"""),0)</f>
        <v>0</v>
      </c>
      <c r="H1391" s="7">
        <f ca="1">IFERROR(__xludf.DUMMYFUNCTION("""COMPUTED_VALUE"""),500000)</f>
        <v>500000</v>
      </c>
    </row>
    <row r="1392" spans="1:8" ht="13" x14ac:dyDescent="0.15">
      <c r="A1392" s="5" t="str">
        <f ca="1">IFERROR(__xludf.DUMMYFUNCTION("""COMPUTED_VALUE"""),"38302")</f>
        <v>38302</v>
      </c>
      <c r="B1392" s="51">
        <f ca="1">IFERROR(__xludf.DUMMYFUNCTION("""COMPUTED_VALUE"""),44605)</f>
        <v>44605</v>
      </c>
      <c r="C1392" s="22">
        <f ca="1">IFERROR(__xludf.DUMMYFUNCTION("""COMPUTED_VALUE"""),500000)</f>
        <v>500000</v>
      </c>
      <c r="D1392" s="22">
        <f ca="1">IFERROR(__xludf.DUMMYFUNCTION("""COMPUTED_VALUE"""),0)</f>
        <v>0</v>
      </c>
      <c r="E1392" s="22">
        <f ca="1">IFERROR(__xludf.DUMMYFUNCTION("""COMPUTED_VALUE"""),500000)</f>
        <v>500000</v>
      </c>
      <c r="F1392" s="22">
        <f ca="1">IFERROR(__xludf.DUMMYFUNCTION("""COMPUTED_VALUE"""),500000)</f>
        <v>500000</v>
      </c>
      <c r="G1392" s="22">
        <f ca="1">IFERROR(__xludf.DUMMYFUNCTION("""COMPUTED_VALUE"""),0)</f>
        <v>0</v>
      </c>
      <c r="H1392" s="7">
        <f ca="1">IFERROR(__xludf.DUMMYFUNCTION("""COMPUTED_VALUE"""),500000)</f>
        <v>500000</v>
      </c>
    </row>
    <row r="1393" spans="1:8" ht="13" x14ac:dyDescent="0.15">
      <c r="A1393" s="5" t="str">
        <f ca="1">IFERROR(__xludf.DUMMYFUNCTION("""COMPUTED_VALUE"""),"38302")</f>
        <v>38302</v>
      </c>
      <c r="B1393" s="51">
        <f ca="1">IFERROR(__xludf.DUMMYFUNCTION("""COMPUTED_VALUE"""),44606)</f>
        <v>44606</v>
      </c>
      <c r="C1393" s="22">
        <f ca="1">IFERROR(__xludf.DUMMYFUNCTION("""COMPUTED_VALUE"""),500000)</f>
        <v>500000</v>
      </c>
      <c r="D1393" s="22">
        <f ca="1">IFERROR(__xludf.DUMMYFUNCTION("""COMPUTED_VALUE"""),0)</f>
        <v>0</v>
      </c>
      <c r="E1393" s="22">
        <f ca="1">IFERROR(__xludf.DUMMYFUNCTION("""COMPUTED_VALUE"""),500000)</f>
        <v>500000</v>
      </c>
      <c r="F1393" s="22">
        <f ca="1">IFERROR(__xludf.DUMMYFUNCTION("""COMPUTED_VALUE"""),500000)</f>
        <v>500000</v>
      </c>
      <c r="G1393" s="22">
        <f ca="1">IFERROR(__xludf.DUMMYFUNCTION("""COMPUTED_VALUE"""),0)</f>
        <v>0</v>
      </c>
      <c r="H1393" s="7">
        <f ca="1">IFERROR(__xludf.DUMMYFUNCTION("""COMPUTED_VALUE"""),500000)</f>
        <v>500000</v>
      </c>
    </row>
    <row r="1394" spans="1:8" ht="13" x14ac:dyDescent="0.15">
      <c r="A1394" s="5" t="str">
        <f ca="1">IFERROR(__xludf.DUMMYFUNCTION("""COMPUTED_VALUE"""),"38302")</f>
        <v>38302</v>
      </c>
      <c r="B1394" s="51">
        <f ca="1">IFERROR(__xludf.DUMMYFUNCTION("""COMPUTED_VALUE"""),44607)</f>
        <v>44607</v>
      </c>
      <c r="C1394" s="22">
        <f ca="1">IFERROR(__xludf.DUMMYFUNCTION("""COMPUTED_VALUE"""),500000)</f>
        <v>500000</v>
      </c>
      <c r="D1394" s="22">
        <f ca="1">IFERROR(__xludf.DUMMYFUNCTION("""COMPUTED_VALUE"""),0)</f>
        <v>0</v>
      </c>
      <c r="E1394" s="22">
        <f ca="1">IFERROR(__xludf.DUMMYFUNCTION("""COMPUTED_VALUE"""),500000)</f>
        <v>500000</v>
      </c>
      <c r="F1394" s="22">
        <f ca="1">IFERROR(__xludf.DUMMYFUNCTION("""COMPUTED_VALUE"""),500000)</f>
        <v>500000</v>
      </c>
      <c r="G1394" s="22">
        <f ca="1">IFERROR(__xludf.DUMMYFUNCTION("""COMPUTED_VALUE"""),0)</f>
        <v>0</v>
      </c>
      <c r="H1394" s="7">
        <f ca="1">IFERROR(__xludf.DUMMYFUNCTION("""COMPUTED_VALUE"""),500000)</f>
        <v>500000</v>
      </c>
    </row>
    <row r="1395" spans="1:8" ht="13" x14ac:dyDescent="0.15">
      <c r="A1395" s="5" t="str">
        <f ca="1">IFERROR(__xludf.DUMMYFUNCTION("""COMPUTED_VALUE"""),"38302")</f>
        <v>38302</v>
      </c>
      <c r="B1395" s="51">
        <f ca="1">IFERROR(__xludf.DUMMYFUNCTION("""COMPUTED_VALUE"""),44608)</f>
        <v>44608</v>
      </c>
      <c r="C1395" s="22">
        <f ca="1">IFERROR(__xludf.DUMMYFUNCTION("""COMPUTED_VALUE"""),500000)</f>
        <v>500000</v>
      </c>
      <c r="D1395" s="22">
        <f ca="1">IFERROR(__xludf.DUMMYFUNCTION("""COMPUTED_VALUE"""),0)</f>
        <v>0</v>
      </c>
      <c r="E1395" s="22">
        <f ca="1">IFERROR(__xludf.DUMMYFUNCTION("""COMPUTED_VALUE"""),500000)</f>
        <v>500000</v>
      </c>
      <c r="F1395" s="22">
        <f ca="1">IFERROR(__xludf.DUMMYFUNCTION("""COMPUTED_VALUE"""),500000)</f>
        <v>500000</v>
      </c>
      <c r="G1395" s="22">
        <f ca="1">IFERROR(__xludf.DUMMYFUNCTION("""COMPUTED_VALUE"""),0)</f>
        <v>0</v>
      </c>
      <c r="H1395" s="7">
        <f ca="1">IFERROR(__xludf.DUMMYFUNCTION("""COMPUTED_VALUE"""),500000)</f>
        <v>500000</v>
      </c>
    </row>
    <row r="1396" spans="1:8" ht="13" x14ac:dyDescent="0.15">
      <c r="A1396" s="5" t="str">
        <f ca="1">IFERROR(__xludf.DUMMYFUNCTION("""COMPUTED_VALUE"""),"38302")</f>
        <v>38302</v>
      </c>
      <c r="B1396" s="51">
        <f ca="1">IFERROR(__xludf.DUMMYFUNCTION("""COMPUTED_VALUE"""),44609)</f>
        <v>44609</v>
      </c>
      <c r="C1396" s="22">
        <f ca="1">IFERROR(__xludf.DUMMYFUNCTION("""COMPUTED_VALUE"""),500000)</f>
        <v>500000</v>
      </c>
      <c r="D1396" s="22">
        <f ca="1">IFERROR(__xludf.DUMMYFUNCTION("""COMPUTED_VALUE"""),0)</f>
        <v>0</v>
      </c>
      <c r="E1396" s="22">
        <f ca="1">IFERROR(__xludf.DUMMYFUNCTION("""COMPUTED_VALUE"""),500000)</f>
        <v>500000</v>
      </c>
      <c r="F1396" s="22">
        <f ca="1">IFERROR(__xludf.DUMMYFUNCTION("""COMPUTED_VALUE"""),500000)</f>
        <v>500000</v>
      </c>
      <c r="G1396" s="22">
        <f ca="1">IFERROR(__xludf.DUMMYFUNCTION("""COMPUTED_VALUE"""),0)</f>
        <v>0</v>
      </c>
      <c r="H1396" s="7">
        <f ca="1">IFERROR(__xludf.DUMMYFUNCTION("""COMPUTED_VALUE"""),500000)</f>
        <v>500000</v>
      </c>
    </row>
    <row r="1397" spans="1:8" ht="13" x14ac:dyDescent="0.15">
      <c r="A1397" s="5" t="str">
        <f ca="1">IFERROR(__xludf.DUMMYFUNCTION("""COMPUTED_VALUE"""),"38302")</f>
        <v>38302</v>
      </c>
      <c r="B1397" s="51">
        <f ca="1">IFERROR(__xludf.DUMMYFUNCTION("""COMPUTED_VALUE"""),44610)</f>
        <v>44610</v>
      </c>
      <c r="C1397" s="22">
        <f ca="1">IFERROR(__xludf.DUMMYFUNCTION("""COMPUTED_VALUE"""),500000)</f>
        <v>500000</v>
      </c>
      <c r="D1397" s="22">
        <f ca="1">IFERROR(__xludf.DUMMYFUNCTION("""COMPUTED_VALUE"""),0)</f>
        <v>0</v>
      </c>
      <c r="E1397" s="22">
        <f ca="1">IFERROR(__xludf.DUMMYFUNCTION("""COMPUTED_VALUE"""),500000)</f>
        <v>500000</v>
      </c>
      <c r="F1397" s="22">
        <f ca="1">IFERROR(__xludf.DUMMYFUNCTION("""COMPUTED_VALUE"""),500000)</f>
        <v>500000</v>
      </c>
      <c r="G1397" s="22">
        <f ca="1">IFERROR(__xludf.DUMMYFUNCTION("""COMPUTED_VALUE"""),0)</f>
        <v>0</v>
      </c>
      <c r="H1397" s="7">
        <f ca="1">IFERROR(__xludf.DUMMYFUNCTION("""COMPUTED_VALUE"""),500000)</f>
        <v>500000</v>
      </c>
    </row>
    <row r="1398" spans="1:8" ht="13" x14ac:dyDescent="0.15">
      <c r="A1398" s="5" t="str">
        <f ca="1">IFERROR(__xludf.DUMMYFUNCTION("""COMPUTED_VALUE"""),"38302")</f>
        <v>38302</v>
      </c>
      <c r="B1398" s="51">
        <f ca="1">IFERROR(__xludf.DUMMYFUNCTION("""COMPUTED_VALUE"""),44611)</f>
        <v>44611</v>
      </c>
      <c r="C1398" s="22">
        <f ca="1">IFERROR(__xludf.DUMMYFUNCTION("""COMPUTED_VALUE"""),500000)</f>
        <v>500000</v>
      </c>
      <c r="D1398" s="22">
        <f ca="1">IFERROR(__xludf.DUMMYFUNCTION("""COMPUTED_VALUE"""),0)</f>
        <v>0</v>
      </c>
      <c r="E1398" s="22">
        <f ca="1">IFERROR(__xludf.DUMMYFUNCTION("""COMPUTED_VALUE"""),500000)</f>
        <v>500000</v>
      </c>
      <c r="F1398" s="22">
        <f ca="1">IFERROR(__xludf.DUMMYFUNCTION("""COMPUTED_VALUE"""),500000)</f>
        <v>500000</v>
      </c>
      <c r="G1398" s="22">
        <f ca="1">IFERROR(__xludf.DUMMYFUNCTION("""COMPUTED_VALUE"""),0)</f>
        <v>0</v>
      </c>
      <c r="H1398" s="7">
        <f ca="1">IFERROR(__xludf.DUMMYFUNCTION("""COMPUTED_VALUE"""),500000)</f>
        <v>500000</v>
      </c>
    </row>
    <row r="1399" spans="1:8" ht="13" x14ac:dyDescent="0.15">
      <c r="A1399" s="5" t="str">
        <f ca="1">IFERROR(__xludf.DUMMYFUNCTION("""COMPUTED_VALUE"""),"38302")</f>
        <v>38302</v>
      </c>
      <c r="B1399" s="51">
        <f ca="1">IFERROR(__xludf.DUMMYFUNCTION("""COMPUTED_VALUE"""),44612)</f>
        <v>44612</v>
      </c>
      <c r="C1399" s="22">
        <f ca="1">IFERROR(__xludf.DUMMYFUNCTION("""COMPUTED_VALUE"""),500000)</f>
        <v>500000</v>
      </c>
      <c r="D1399" s="22">
        <f ca="1">IFERROR(__xludf.DUMMYFUNCTION("""COMPUTED_VALUE"""),0)</f>
        <v>0</v>
      </c>
      <c r="E1399" s="22">
        <f ca="1">IFERROR(__xludf.DUMMYFUNCTION("""COMPUTED_VALUE"""),500000)</f>
        <v>500000</v>
      </c>
      <c r="F1399" s="22">
        <f ca="1">IFERROR(__xludf.DUMMYFUNCTION("""COMPUTED_VALUE"""),500000)</f>
        <v>500000</v>
      </c>
      <c r="G1399" s="22">
        <f ca="1">IFERROR(__xludf.DUMMYFUNCTION("""COMPUTED_VALUE"""),0)</f>
        <v>0</v>
      </c>
      <c r="H1399" s="7">
        <f ca="1">IFERROR(__xludf.DUMMYFUNCTION("""COMPUTED_VALUE"""),500000)</f>
        <v>500000</v>
      </c>
    </row>
    <row r="1400" spans="1:8" ht="13" x14ac:dyDescent="0.15">
      <c r="A1400" s="5" t="str">
        <f ca="1">IFERROR(__xludf.DUMMYFUNCTION("""COMPUTED_VALUE"""),"38302")</f>
        <v>38302</v>
      </c>
      <c r="B1400" s="51">
        <f ca="1">IFERROR(__xludf.DUMMYFUNCTION("""COMPUTED_VALUE"""),44613)</f>
        <v>44613</v>
      </c>
      <c r="C1400" s="22">
        <f ca="1">IFERROR(__xludf.DUMMYFUNCTION("""COMPUTED_VALUE"""),500000)</f>
        <v>500000</v>
      </c>
      <c r="D1400" s="22">
        <f ca="1">IFERROR(__xludf.DUMMYFUNCTION("""COMPUTED_VALUE"""),0)</f>
        <v>0</v>
      </c>
      <c r="E1400" s="22">
        <f ca="1">IFERROR(__xludf.DUMMYFUNCTION("""COMPUTED_VALUE"""),500000)</f>
        <v>500000</v>
      </c>
      <c r="F1400" s="22">
        <f ca="1">IFERROR(__xludf.DUMMYFUNCTION("""COMPUTED_VALUE"""),500000)</f>
        <v>500000</v>
      </c>
      <c r="G1400" s="22">
        <f ca="1">IFERROR(__xludf.DUMMYFUNCTION("""COMPUTED_VALUE"""),0)</f>
        <v>0</v>
      </c>
      <c r="H1400" s="7">
        <f ca="1">IFERROR(__xludf.DUMMYFUNCTION("""COMPUTED_VALUE"""),500000)</f>
        <v>500000</v>
      </c>
    </row>
    <row r="1401" spans="1:8" ht="13" x14ac:dyDescent="0.15">
      <c r="A1401" s="5" t="str">
        <f ca="1">IFERROR(__xludf.DUMMYFUNCTION("""COMPUTED_VALUE"""),"38302")</f>
        <v>38302</v>
      </c>
      <c r="B1401" s="51">
        <f ca="1">IFERROR(__xludf.DUMMYFUNCTION("""COMPUTED_VALUE"""),44614)</f>
        <v>44614</v>
      </c>
      <c r="C1401" s="22">
        <f ca="1">IFERROR(__xludf.DUMMYFUNCTION("""COMPUTED_VALUE"""),500000)</f>
        <v>500000</v>
      </c>
      <c r="D1401" s="22">
        <f ca="1">IFERROR(__xludf.DUMMYFUNCTION("""COMPUTED_VALUE"""),0)</f>
        <v>0</v>
      </c>
      <c r="E1401" s="22">
        <f ca="1">IFERROR(__xludf.DUMMYFUNCTION("""COMPUTED_VALUE"""),500000)</f>
        <v>500000</v>
      </c>
      <c r="F1401" s="22">
        <f ca="1">IFERROR(__xludf.DUMMYFUNCTION("""COMPUTED_VALUE"""),500000)</f>
        <v>500000</v>
      </c>
      <c r="G1401" s="22">
        <f ca="1">IFERROR(__xludf.DUMMYFUNCTION("""COMPUTED_VALUE"""),0)</f>
        <v>0</v>
      </c>
      <c r="H1401" s="7">
        <f ca="1">IFERROR(__xludf.DUMMYFUNCTION("""COMPUTED_VALUE"""),500000)</f>
        <v>500000</v>
      </c>
    </row>
    <row r="1402" spans="1:8" ht="13" x14ac:dyDescent="0.15">
      <c r="A1402" s="5" t="str">
        <f ca="1">IFERROR(__xludf.DUMMYFUNCTION("""COMPUTED_VALUE"""),"38302")</f>
        <v>38302</v>
      </c>
      <c r="B1402" s="51">
        <f ca="1">IFERROR(__xludf.DUMMYFUNCTION("""COMPUTED_VALUE"""),44615)</f>
        <v>44615</v>
      </c>
      <c r="C1402" s="22">
        <f ca="1">IFERROR(__xludf.DUMMYFUNCTION("""COMPUTED_VALUE"""),500000)</f>
        <v>500000</v>
      </c>
      <c r="D1402" s="22">
        <f ca="1">IFERROR(__xludf.DUMMYFUNCTION("""COMPUTED_VALUE"""),0)</f>
        <v>0</v>
      </c>
      <c r="E1402" s="22">
        <f ca="1">IFERROR(__xludf.DUMMYFUNCTION("""COMPUTED_VALUE"""),500000)</f>
        <v>500000</v>
      </c>
      <c r="F1402" s="22">
        <f ca="1">IFERROR(__xludf.DUMMYFUNCTION("""COMPUTED_VALUE"""),500000)</f>
        <v>500000</v>
      </c>
      <c r="G1402" s="22">
        <f ca="1">IFERROR(__xludf.DUMMYFUNCTION("""COMPUTED_VALUE"""),0)</f>
        <v>0</v>
      </c>
      <c r="H1402" s="7">
        <f ca="1">IFERROR(__xludf.DUMMYFUNCTION("""COMPUTED_VALUE"""),500000)</f>
        <v>500000</v>
      </c>
    </row>
    <row r="1403" spans="1:8" ht="13" x14ac:dyDescent="0.15">
      <c r="A1403" s="5" t="str">
        <f ca="1">IFERROR(__xludf.DUMMYFUNCTION("""COMPUTED_VALUE"""),"38302")</f>
        <v>38302</v>
      </c>
      <c r="B1403" s="51">
        <f ca="1">IFERROR(__xludf.DUMMYFUNCTION("""COMPUTED_VALUE"""),44616)</f>
        <v>44616</v>
      </c>
      <c r="C1403" s="22">
        <f ca="1">IFERROR(__xludf.DUMMYFUNCTION("""COMPUTED_VALUE"""),500000)</f>
        <v>500000</v>
      </c>
      <c r="D1403" s="22">
        <f ca="1">IFERROR(__xludf.DUMMYFUNCTION("""COMPUTED_VALUE"""),0)</f>
        <v>0</v>
      </c>
      <c r="E1403" s="22">
        <f ca="1">IFERROR(__xludf.DUMMYFUNCTION("""COMPUTED_VALUE"""),500000)</f>
        <v>500000</v>
      </c>
      <c r="F1403" s="22">
        <f ca="1">IFERROR(__xludf.DUMMYFUNCTION("""COMPUTED_VALUE"""),500000)</f>
        <v>500000</v>
      </c>
      <c r="G1403" s="22">
        <f ca="1">IFERROR(__xludf.DUMMYFUNCTION("""COMPUTED_VALUE"""),0)</f>
        <v>0</v>
      </c>
      <c r="H1403" s="7">
        <f ca="1">IFERROR(__xludf.DUMMYFUNCTION("""COMPUTED_VALUE"""),500000)</f>
        <v>500000</v>
      </c>
    </row>
    <row r="1404" spans="1:8" ht="13" x14ac:dyDescent="0.15">
      <c r="A1404" s="5" t="str">
        <f ca="1">IFERROR(__xludf.DUMMYFUNCTION("""COMPUTED_VALUE"""),"38302")</f>
        <v>38302</v>
      </c>
      <c r="B1404" s="51">
        <f ca="1">IFERROR(__xludf.DUMMYFUNCTION("""COMPUTED_VALUE"""),44617)</f>
        <v>44617</v>
      </c>
      <c r="C1404" s="22">
        <f ca="1">IFERROR(__xludf.DUMMYFUNCTION("""COMPUTED_VALUE"""),500000)</f>
        <v>500000</v>
      </c>
      <c r="D1404" s="22">
        <f ca="1">IFERROR(__xludf.DUMMYFUNCTION("""COMPUTED_VALUE"""),0)</f>
        <v>0</v>
      </c>
      <c r="E1404" s="22">
        <f ca="1">IFERROR(__xludf.DUMMYFUNCTION("""COMPUTED_VALUE"""),500000)</f>
        <v>500000</v>
      </c>
      <c r="F1404" s="22">
        <f ca="1">IFERROR(__xludf.DUMMYFUNCTION("""COMPUTED_VALUE"""),500000)</f>
        <v>500000</v>
      </c>
      <c r="G1404" s="22">
        <f ca="1">IFERROR(__xludf.DUMMYFUNCTION("""COMPUTED_VALUE"""),0)</f>
        <v>0</v>
      </c>
      <c r="H1404" s="7">
        <f ca="1">IFERROR(__xludf.DUMMYFUNCTION("""COMPUTED_VALUE"""),500000)</f>
        <v>500000</v>
      </c>
    </row>
    <row r="1405" spans="1:8" ht="13" x14ac:dyDescent="0.15">
      <c r="A1405" s="5" t="str">
        <f ca="1">IFERROR(__xludf.DUMMYFUNCTION("""COMPUTED_VALUE"""),"38302")</f>
        <v>38302</v>
      </c>
      <c r="B1405" s="51">
        <f ca="1">IFERROR(__xludf.DUMMYFUNCTION("""COMPUTED_VALUE"""),44618)</f>
        <v>44618</v>
      </c>
      <c r="C1405" s="22">
        <f ca="1">IFERROR(__xludf.DUMMYFUNCTION("""COMPUTED_VALUE"""),500000)</f>
        <v>500000</v>
      </c>
      <c r="D1405" s="22">
        <f ca="1">IFERROR(__xludf.DUMMYFUNCTION("""COMPUTED_VALUE"""),0)</f>
        <v>0</v>
      </c>
      <c r="E1405" s="22">
        <f ca="1">IFERROR(__xludf.DUMMYFUNCTION("""COMPUTED_VALUE"""),500000)</f>
        <v>500000</v>
      </c>
      <c r="F1405" s="22">
        <f ca="1">IFERROR(__xludf.DUMMYFUNCTION("""COMPUTED_VALUE"""),500000)</f>
        <v>500000</v>
      </c>
      <c r="G1405" s="22">
        <f ca="1">IFERROR(__xludf.DUMMYFUNCTION("""COMPUTED_VALUE"""),0)</f>
        <v>0</v>
      </c>
      <c r="H1405" s="7">
        <f ca="1">IFERROR(__xludf.DUMMYFUNCTION("""COMPUTED_VALUE"""),500000)</f>
        <v>500000</v>
      </c>
    </row>
    <row r="1406" spans="1:8" ht="13" x14ac:dyDescent="0.15">
      <c r="A1406" s="5" t="str">
        <f ca="1">IFERROR(__xludf.DUMMYFUNCTION("""COMPUTED_VALUE"""),"38302")</f>
        <v>38302</v>
      </c>
      <c r="B1406" s="51">
        <f ca="1">IFERROR(__xludf.DUMMYFUNCTION("""COMPUTED_VALUE"""),44619)</f>
        <v>44619</v>
      </c>
      <c r="C1406" s="22">
        <f ca="1">IFERROR(__xludf.DUMMYFUNCTION("""COMPUTED_VALUE"""),500000)</f>
        <v>500000</v>
      </c>
      <c r="D1406" s="22">
        <f ca="1">IFERROR(__xludf.DUMMYFUNCTION("""COMPUTED_VALUE"""),0)</f>
        <v>0</v>
      </c>
      <c r="E1406" s="22">
        <f ca="1">IFERROR(__xludf.DUMMYFUNCTION("""COMPUTED_VALUE"""),500000)</f>
        <v>500000</v>
      </c>
      <c r="F1406" s="22">
        <f ca="1">IFERROR(__xludf.DUMMYFUNCTION("""COMPUTED_VALUE"""),500000)</f>
        <v>500000</v>
      </c>
      <c r="G1406" s="22">
        <f ca="1">IFERROR(__xludf.DUMMYFUNCTION("""COMPUTED_VALUE"""),0)</f>
        <v>0</v>
      </c>
      <c r="H1406" s="7">
        <f ca="1">IFERROR(__xludf.DUMMYFUNCTION("""COMPUTED_VALUE"""),500000)</f>
        <v>500000</v>
      </c>
    </row>
    <row r="1407" spans="1:8" ht="13" x14ac:dyDescent="0.15">
      <c r="A1407" s="5" t="str">
        <f ca="1">IFERROR(__xludf.DUMMYFUNCTION("""COMPUTED_VALUE"""),"38302")</f>
        <v>38302</v>
      </c>
      <c r="B1407" s="51">
        <f ca="1">IFERROR(__xludf.DUMMYFUNCTION("""COMPUTED_VALUE"""),44620)</f>
        <v>44620</v>
      </c>
      <c r="C1407" s="22">
        <f ca="1">IFERROR(__xludf.DUMMYFUNCTION("""COMPUTED_VALUE"""),500000)</f>
        <v>500000</v>
      </c>
      <c r="D1407" s="22">
        <f ca="1">IFERROR(__xludf.DUMMYFUNCTION("""COMPUTED_VALUE"""),0)</f>
        <v>0</v>
      </c>
      <c r="E1407" s="22">
        <f ca="1">IFERROR(__xludf.DUMMYFUNCTION("""COMPUTED_VALUE"""),500000)</f>
        <v>500000</v>
      </c>
      <c r="F1407" s="22">
        <f ca="1">IFERROR(__xludf.DUMMYFUNCTION("""COMPUTED_VALUE"""),500000)</f>
        <v>500000</v>
      </c>
      <c r="G1407" s="22">
        <f ca="1">IFERROR(__xludf.DUMMYFUNCTION("""COMPUTED_VALUE"""),0)</f>
        <v>0</v>
      </c>
      <c r="H1407" s="7">
        <f ca="1">IFERROR(__xludf.DUMMYFUNCTION("""COMPUTED_VALUE"""),500000)</f>
        <v>500000</v>
      </c>
    </row>
    <row r="1408" spans="1:8" ht="13" x14ac:dyDescent="0.15">
      <c r="A1408" s="5" t="str">
        <f ca="1">IFERROR(__xludf.DUMMYFUNCTION("""COMPUTED_VALUE"""),"38302")</f>
        <v>38302</v>
      </c>
      <c r="B1408" s="51">
        <f ca="1">IFERROR(__xludf.DUMMYFUNCTION("""COMPUTED_VALUE"""),44621)</f>
        <v>44621</v>
      </c>
      <c r="C1408" s="22">
        <f ca="1">IFERROR(__xludf.DUMMYFUNCTION("""COMPUTED_VALUE"""),500000)</f>
        <v>500000</v>
      </c>
      <c r="D1408" s="22">
        <f ca="1">IFERROR(__xludf.DUMMYFUNCTION("""COMPUTED_VALUE"""),0)</f>
        <v>0</v>
      </c>
      <c r="E1408" s="22">
        <f ca="1">IFERROR(__xludf.DUMMYFUNCTION("""COMPUTED_VALUE"""),500000)</f>
        <v>500000</v>
      </c>
      <c r="F1408" s="22">
        <f ca="1">IFERROR(__xludf.DUMMYFUNCTION("""COMPUTED_VALUE"""),500000)</f>
        <v>500000</v>
      </c>
      <c r="G1408" s="22">
        <f ca="1">IFERROR(__xludf.DUMMYFUNCTION("""COMPUTED_VALUE"""),0)</f>
        <v>0</v>
      </c>
      <c r="H1408" s="7">
        <f ca="1">IFERROR(__xludf.DUMMYFUNCTION("""COMPUTED_VALUE"""),500000)</f>
        <v>500000</v>
      </c>
    </row>
    <row r="1409" spans="1:8" ht="13" x14ac:dyDescent="0.15">
      <c r="A1409" s="5" t="str">
        <f ca="1">IFERROR(__xludf.DUMMYFUNCTION("""COMPUTED_VALUE"""),"38302")</f>
        <v>38302</v>
      </c>
      <c r="B1409" s="51">
        <f ca="1">IFERROR(__xludf.DUMMYFUNCTION("""COMPUTED_VALUE"""),44622)</f>
        <v>44622</v>
      </c>
      <c r="C1409" s="22">
        <f ca="1">IFERROR(__xludf.DUMMYFUNCTION("""COMPUTED_VALUE"""),500000)</f>
        <v>500000</v>
      </c>
      <c r="D1409" s="22">
        <f ca="1">IFERROR(__xludf.DUMMYFUNCTION("""COMPUTED_VALUE"""),0)</f>
        <v>0</v>
      </c>
      <c r="E1409" s="22">
        <f ca="1">IFERROR(__xludf.DUMMYFUNCTION("""COMPUTED_VALUE"""),500000)</f>
        <v>500000</v>
      </c>
      <c r="F1409" s="22">
        <f ca="1">IFERROR(__xludf.DUMMYFUNCTION("""COMPUTED_VALUE"""),500000)</f>
        <v>500000</v>
      </c>
      <c r="G1409" s="22">
        <f ca="1">IFERROR(__xludf.DUMMYFUNCTION("""COMPUTED_VALUE"""),0)</f>
        <v>0</v>
      </c>
      <c r="H1409" s="7">
        <f ca="1">IFERROR(__xludf.DUMMYFUNCTION("""COMPUTED_VALUE"""),500000)</f>
        <v>500000</v>
      </c>
    </row>
    <row r="1410" spans="1:8" ht="13" x14ac:dyDescent="0.15">
      <c r="A1410" s="5" t="str">
        <f ca="1">IFERROR(__xludf.DUMMYFUNCTION("""COMPUTED_VALUE"""),"38302")</f>
        <v>38302</v>
      </c>
      <c r="B1410" s="51">
        <f ca="1">IFERROR(__xludf.DUMMYFUNCTION("""COMPUTED_VALUE"""),44623)</f>
        <v>44623</v>
      </c>
      <c r="C1410" s="22">
        <f ca="1">IFERROR(__xludf.DUMMYFUNCTION("""COMPUTED_VALUE"""),500000)</f>
        <v>500000</v>
      </c>
      <c r="D1410" s="22">
        <f ca="1">IFERROR(__xludf.DUMMYFUNCTION("""COMPUTED_VALUE"""),0)</f>
        <v>0</v>
      </c>
      <c r="E1410" s="22">
        <f ca="1">IFERROR(__xludf.DUMMYFUNCTION("""COMPUTED_VALUE"""),500000)</f>
        <v>500000</v>
      </c>
      <c r="F1410" s="22">
        <f ca="1">IFERROR(__xludf.DUMMYFUNCTION("""COMPUTED_VALUE"""),500000)</f>
        <v>500000</v>
      </c>
      <c r="G1410" s="22">
        <f ca="1">IFERROR(__xludf.DUMMYFUNCTION("""COMPUTED_VALUE"""),0)</f>
        <v>0</v>
      </c>
      <c r="H1410" s="7">
        <f ca="1">IFERROR(__xludf.DUMMYFUNCTION("""COMPUTED_VALUE"""),500000)</f>
        <v>500000</v>
      </c>
    </row>
    <row r="1411" spans="1:8" ht="13" x14ac:dyDescent="0.15">
      <c r="A1411" s="5" t="str">
        <f ca="1">IFERROR(__xludf.DUMMYFUNCTION("""COMPUTED_VALUE"""),"38302")</f>
        <v>38302</v>
      </c>
      <c r="B1411" s="51">
        <f ca="1">IFERROR(__xludf.DUMMYFUNCTION("""COMPUTED_VALUE"""),44624)</f>
        <v>44624</v>
      </c>
      <c r="C1411" s="22">
        <f ca="1">IFERROR(__xludf.DUMMYFUNCTION("""COMPUTED_VALUE"""),500000)</f>
        <v>500000</v>
      </c>
      <c r="D1411" s="22">
        <f ca="1">IFERROR(__xludf.DUMMYFUNCTION("""COMPUTED_VALUE"""),0)</f>
        <v>0</v>
      </c>
      <c r="E1411" s="22">
        <f ca="1">IFERROR(__xludf.DUMMYFUNCTION("""COMPUTED_VALUE"""),500000)</f>
        <v>500000</v>
      </c>
      <c r="F1411" s="22">
        <f ca="1">IFERROR(__xludf.DUMMYFUNCTION("""COMPUTED_VALUE"""),500000)</f>
        <v>500000</v>
      </c>
      <c r="G1411" s="22">
        <f ca="1">IFERROR(__xludf.DUMMYFUNCTION("""COMPUTED_VALUE"""),0)</f>
        <v>0</v>
      </c>
      <c r="H1411" s="7">
        <f ca="1">IFERROR(__xludf.DUMMYFUNCTION("""COMPUTED_VALUE"""),500000)</f>
        <v>500000</v>
      </c>
    </row>
    <row r="1412" spans="1:8" ht="13" x14ac:dyDescent="0.15">
      <c r="A1412" s="5" t="str">
        <f ca="1">IFERROR(__xludf.DUMMYFUNCTION("""COMPUTED_VALUE"""),"38302")</f>
        <v>38302</v>
      </c>
      <c r="B1412" s="51">
        <f ca="1">IFERROR(__xludf.DUMMYFUNCTION("""COMPUTED_VALUE"""),44625)</f>
        <v>44625</v>
      </c>
      <c r="C1412" s="22">
        <f ca="1">IFERROR(__xludf.DUMMYFUNCTION("""COMPUTED_VALUE"""),500000)</f>
        <v>500000</v>
      </c>
      <c r="D1412" s="22">
        <f ca="1">IFERROR(__xludf.DUMMYFUNCTION("""COMPUTED_VALUE"""),0)</f>
        <v>0</v>
      </c>
      <c r="E1412" s="22">
        <f ca="1">IFERROR(__xludf.DUMMYFUNCTION("""COMPUTED_VALUE"""),500000)</f>
        <v>500000</v>
      </c>
      <c r="F1412" s="22">
        <f ca="1">IFERROR(__xludf.DUMMYFUNCTION("""COMPUTED_VALUE"""),500000)</f>
        <v>500000</v>
      </c>
      <c r="G1412" s="22">
        <f ca="1">IFERROR(__xludf.DUMMYFUNCTION("""COMPUTED_VALUE"""),0)</f>
        <v>0</v>
      </c>
      <c r="H1412" s="7">
        <f ca="1">IFERROR(__xludf.DUMMYFUNCTION("""COMPUTED_VALUE"""),500000)</f>
        <v>500000</v>
      </c>
    </row>
    <row r="1413" spans="1:8" ht="13" x14ac:dyDescent="0.15">
      <c r="A1413" s="5" t="str">
        <f ca="1">IFERROR(__xludf.DUMMYFUNCTION("""COMPUTED_VALUE"""),"38302")</f>
        <v>38302</v>
      </c>
      <c r="B1413" s="51">
        <f ca="1">IFERROR(__xludf.DUMMYFUNCTION("""COMPUTED_VALUE"""),44626)</f>
        <v>44626</v>
      </c>
      <c r="C1413" s="22">
        <f ca="1">IFERROR(__xludf.DUMMYFUNCTION("""COMPUTED_VALUE"""),500000)</f>
        <v>500000</v>
      </c>
      <c r="D1413" s="22">
        <f ca="1">IFERROR(__xludf.DUMMYFUNCTION("""COMPUTED_VALUE"""),0)</f>
        <v>0</v>
      </c>
      <c r="E1413" s="22">
        <f ca="1">IFERROR(__xludf.DUMMYFUNCTION("""COMPUTED_VALUE"""),500000)</f>
        <v>500000</v>
      </c>
      <c r="F1413" s="22">
        <f ca="1">IFERROR(__xludf.DUMMYFUNCTION("""COMPUTED_VALUE"""),500000)</f>
        <v>500000</v>
      </c>
      <c r="G1413" s="22">
        <f ca="1">IFERROR(__xludf.DUMMYFUNCTION("""COMPUTED_VALUE"""),0)</f>
        <v>0</v>
      </c>
      <c r="H1413" s="7">
        <f ca="1">IFERROR(__xludf.DUMMYFUNCTION("""COMPUTED_VALUE"""),500000)</f>
        <v>500000</v>
      </c>
    </row>
    <row r="1414" spans="1:8" ht="13" x14ac:dyDescent="0.15">
      <c r="A1414" s="5" t="str">
        <f ca="1">IFERROR(__xludf.DUMMYFUNCTION("""COMPUTED_VALUE"""),"38302")</f>
        <v>38302</v>
      </c>
      <c r="B1414" s="51">
        <f ca="1">IFERROR(__xludf.DUMMYFUNCTION("""COMPUTED_VALUE"""),44627)</f>
        <v>44627</v>
      </c>
      <c r="C1414" s="22">
        <f ca="1">IFERROR(__xludf.DUMMYFUNCTION("""COMPUTED_VALUE"""),500000)</f>
        <v>500000</v>
      </c>
      <c r="D1414" s="22">
        <f ca="1">IFERROR(__xludf.DUMMYFUNCTION("""COMPUTED_VALUE"""),0)</f>
        <v>0</v>
      </c>
      <c r="E1414" s="22">
        <f ca="1">IFERROR(__xludf.DUMMYFUNCTION("""COMPUTED_VALUE"""),500000)</f>
        <v>500000</v>
      </c>
      <c r="F1414" s="22">
        <f ca="1">IFERROR(__xludf.DUMMYFUNCTION("""COMPUTED_VALUE"""),500000)</f>
        <v>500000</v>
      </c>
      <c r="G1414" s="22">
        <f ca="1">IFERROR(__xludf.DUMMYFUNCTION("""COMPUTED_VALUE"""),0)</f>
        <v>0</v>
      </c>
      <c r="H1414" s="7">
        <f ca="1">IFERROR(__xludf.DUMMYFUNCTION("""COMPUTED_VALUE"""),500000)</f>
        <v>500000</v>
      </c>
    </row>
    <row r="1415" spans="1:8" ht="13" x14ac:dyDescent="0.15">
      <c r="A1415" s="5" t="str">
        <f ca="1">IFERROR(__xludf.DUMMYFUNCTION("""COMPUTED_VALUE"""),"38302")</f>
        <v>38302</v>
      </c>
      <c r="B1415" s="51">
        <f ca="1">IFERROR(__xludf.DUMMYFUNCTION("""COMPUTED_VALUE"""),44628)</f>
        <v>44628</v>
      </c>
      <c r="C1415" s="22">
        <f ca="1">IFERROR(__xludf.DUMMYFUNCTION("""COMPUTED_VALUE"""),500000)</f>
        <v>500000</v>
      </c>
      <c r="D1415" s="22">
        <f ca="1">IFERROR(__xludf.DUMMYFUNCTION("""COMPUTED_VALUE"""),0)</f>
        <v>0</v>
      </c>
      <c r="E1415" s="22">
        <f ca="1">IFERROR(__xludf.DUMMYFUNCTION("""COMPUTED_VALUE"""),500000)</f>
        <v>500000</v>
      </c>
      <c r="F1415" s="22">
        <f ca="1">IFERROR(__xludf.DUMMYFUNCTION("""COMPUTED_VALUE"""),500000)</f>
        <v>500000</v>
      </c>
      <c r="G1415" s="22">
        <f ca="1">IFERROR(__xludf.DUMMYFUNCTION("""COMPUTED_VALUE"""),0)</f>
        <v>0</v>
      </c>
      <c r="H1415" s="7">
        <f ca="1">IFERROR(__xludf.DUMMYFUNCTION("""COMPUTED_VALUE"""),500000)</f>
        <v>500000</v>
      </c>
    </row>
    <row r="1416" spans="1:8" ht="13" x14ac:dyDescent="0.15">
      <c r="A1416" s="5" t="str">
        <f ca="1">IFERROR(__xludf.DUMMYFUNCTION("""COMPUTED_VALUE"""),"38302")</f>
        <v>38302</v>
      </c>
      <c r="B1416" s="51">
        <f ca="1">IFERROR(__xludf.DUMMYFUNCTION("""COMPUTED_VALUE"""),44629)</f>
        <v>44629</v>
      </c>
      <c r="C1416" s="22">
        <f ca="1">IFERROR(__xludf.DUMMYFUNCTION("""COMPUTED_VALUE"""),500000)</f>
        <v>500000</v>
      </c>
      <c r="D1416" s="22">
        <f ca="1">IFERROR(__xludf.DUMMYFUNCTION("""COMPUTED_VALUE"""),0)</f>
        <v>0</v>
      </c>
      <c r="E1416" s="22">
        <f ca="1">IFERROR(__xludf.DUMMYFUNCTION("""COMPUTED_VALUE"""),500000)</f>
        <v>500000</v>
      </c>
      <c r="F1416" s="22">
        <f ca="1">IFERROR(__xludf.DUMMYFUNCTION("""COMPUTED_VALUE"""),500000)</f>
        <v>500000</v>
      </c>
      <c r="G1416" s="22">
        <f ca="1">IFERROR(__xludf.DUMMYFUNCTION("""COMPUTED_VALUE"""),0)</f>
        <v>0</v>
      </c>
      <c r="H1416" s="7">
        <f ca="1">IFERROR(__xludf.DUMMYFUNCTION("""COMPUTED_VALUE"""),500000)</f>
        <v>500000</v>
      </c>
    </row>
    <row r="1417" spans="1:8" ht="13" x14ac:dyDescent="0.15">
      <c r="A1417" s="5" t="str">
        <f ca="1">IFERROR(__xludf.DUMMYFUNCTION("""COMPUTED_VALUE"""),"38302")</f>
        <v>38302</v>
      </c>
      <c r="B1417" s="51">
        <f ca="1">IFERROR(__xludf.DUMMYFUNCTION("""COMPUTED_VALUE"""),44630)</f>
        <v>44630</v>
      </c>
      <c r="C1417" s="22">
        <f ca="1">IFERROR(__xludf.DUMMYFUNCTION("""COMPUTED_VALUE"""),500000)</f>
        <v>500000</v>
      </c>
      <c r="D1417" s="22">
        <f ca="1">IFERROR(__xludf.DUMMYFUNCTION("""COMPUTED_VALUE"""),0)</f>
        <v>0</v>
      </c>
      <c r="E1417" s="22">
        <f ca="1">IFERROR(__xludf.DUMMYFUNCTION("""COMPUTED_VALUE"""),500000)</f>
        <v>500000</v>
      </c>
      <c r="F1417" s="22">
        <f ca="1">IFERROR(__xludf.DUMMYFUNCTION("""COMPUTED_VALUE"""),500000)</f>
        <v>500000</v>
      </c>
      <c r="G1417" s="22">
        <f ca="1">IFERROR(__xludf.DUMMYFUNCTION("""COMPUTED_VALUE"""),0)</f>
        <v>0</v>
      </c>
      <c r="H1417" s="7">
        <f ca="1">IFERROR(__xludf.DUMMYFUNCTION("""COMPUTED_VALUE"""),500000)</f>
        <v>500000</v>
      </c>
    </row>
    <row r="1418" spans="1:8" ht="13" x14ac:dyDescent="0.15">
      <c r="A1418" s="5" t="str">
        <f ca="1">IFERROR(__xludf.DUMMYFUNCTION("""COMPUTED_VALUE"""),"38302")</f>
        <v>38302</v>
      </c>
      <c r="B1418" s="51">
        <f ca="1">IFERROR(__xludf.DUMMYFUNCTION("""COMPUTED_VALUE"""),44631)</f>
        <v>44631</v>
      </c>
      <c r="C1418" s="22">
        <f ca="1">IFERROR(__xludf.DUMMYFUNCTION("""COMPUTED_VALUE"""),500000)</f>
        <v>500000</v>
      </c>
      <c r="D1418" s="22">
        <f ca="1">IFERROR(__xludf.DUMMYFUNCTION("""COMPUTED_VALUE"""),0)</f>
        <v>0</v>
      </c>
      <c r="E1418" s="22">
        <f ca="1">IFERROR(__xludf.DUMMYFUNCTION("""COMPUTED_VALUE"""),500000)</f>
        <v>500000</v>
      </c>
      <c r="F1418" s="22">
        <f ca="1">IFERROR(__xludf.DUMMYFUNCTION("""COMPUTED_VALUE"""),500000)</f>
        <v>500000</v>
      </c>
      <c r="G1418" s="22">
        <f ca="1">IFERROR(__xludf.DUMMYFUNCTION("""COMPUTED_VALUE"""),0)</f>
        <v>0</v>
      </c>
      <c r="H1418" s="7">
        <f ca="1">IFERROR(__xludf.DUMMYFUNCTION("""COMPUTED_VALUE"""),500000)</f>
        <v>500000</v>
      </c>
    </row>
    <row r="1419" spans="1:8" ht="13" x14ac:dyDescent="0.15">
      <c r="A1419" s="5" t="str">
        <f ca="1">IFERROR(__xludf.DUMMYFUNCTION("""COMPUTED_VALUE"""),"38302")</f>
        <v>38302</v>
      </c>
      <c r="B1419" s="51">
        <f ca="1">IFERROR(__xludf.DUMMYFUNCTION("""COMPUTED_VALUE"""),44632)</f>
        <v>44632</v>
      </c>
      <c r="C1419" s="22">
        <f ca="1">IFERROR(__xludf.DUMMYFUNCTION("""COMPUTED_VALUE"""),500000)</f>
        <v>500000</v>
      </c>
      <c r="D1419" s="22">
        <f ca="1">IFERROR(__xludf.DUMMYFUNCTION("""COMPUTED_VALUE"""),0)</f>
        <v>0</v>
      </c>
      <c r="E1419" s="22">
        <f ca="1">IFERROR(__xludf.DUMMYFUNCTION("""COMPUTED_VALUE"""),500000)</f>
        <v>500000</v>
      </c>
      <c r="F1419" s="22">
        <f ca="1">IFERROR(__xludf.DUMMYFUNCTION("""COMPUTED_VALUE"""),500000)</f>
        <v>500000</v>
      </c>
      <c r="G1419" s="22">
        <f ca="1">IFERROR(__xludf.DUMMYFUNCTION("""COMPUTED_VALUE"""),0)</f>
        <v>0</v>
      </c>
      <c r="H1419" s="7">
        <f ca="1">IFERROR(__xludf.DUMMYFUNCTION("""COMPUTED_VALUE"""),500000)</f>
        <v>500000</v>
      </c>
    </row>
    <row r="1420" spans="1:8" ht="13" x14ac:dyDescent="0.15">
      <c r="A1420" s="5" t="str">
        <f ca="1">IFERROR(__xludf.DUMMYFUNCTION("""COMPUTED_VALUE"""),"38302")</f>
        <v>38302</v>
      </c>
      <c r="B1420" s="51">
        <f ca="1">IFERROR(__xludf.DUMMYFUNCTION("""COMPUTED_VALUE"""),44633)</f>
        <v>44633</v>
      </c>
      <c r="C1420" s="22">
        <f ca="1">IFERROR(__xludf.DUMMYFUNCTION("""COMPUTED_VALUE"""),500000)</f>
        <v>500000</v>
      </c>
      <c r="D1420" s="22">
        <f ca="1">IFERROR(__xludf.DUMMYFUNCTION("""COMPUTED_VALUE"""),0)</f>
        <v>0</v>
      </c>
      <c r="E1420" s="22">
        <f ca="1">IFERROR(__xludf.DUMMYFUNCTION("""COMPUTED_VALUE"""),500000)</f>
        <v>500000</v>
      </c>
      <c r="F1420" s="22">
        <f ca="1">IFERROR(__xludf.DUMMYFUNCTION("""COMPUTED_VALUE"""),500000)</f>
        <v>500000</v>
      </c>
      <c r="G1420" s="22">
        <f ca="1">IFERROR(__xludf.DUMMYFUNCTION("""COMPUTED_VALUE"""),0)</f>
        <v>0</v>
      </c>
      <c r="H1420" s="7">
        <f ca="1">IFERROR(__xludf.DUMMYFUNCTION("""COMPUTED_VALUE"""),500000)</f>
        <v>500000</v>
      </c>
    </row>
    <row r="1421" spans="1:8" ht="13" x14ac:dyDescent="0.15">
      <c r="A1421" s="5" t="str">
        <f ca="1">IFERROR(__xludf.DUMMYFUNCTION("""COMPUTED_VALUE"""),"38302")</f>
        <v>38302</v>
      </c>
      <c r="B1421" s="51">
        <f ca="1">IFERROR(__xludf.DUMMYFUNCTION("""COMPUTED_VALUE"""),44634)</f>
        <v>44634</v>
      </c>
      <c r="C1421" s="22">
        <f ca="1">IFERROR(__xludf.DUMMYFUNCTION("""COMPUTED_VALUE"""),500000)</f>
        <v>500000</v>
      </c>
      <c r="D1421" s="22">
        <f ca="1">IFERROR(__xludf.DUMMYFUNCTION("""COMPUTED_VALUE"""),0)</f>
        <v>0</v>
      </c>
      <c r="E1421" s="22">
        <f ca="1">IFERROR(__xludf.DUMMYFUNCTION("""COMPUTED_VALUE"""),500000)</f>
        <v>500000</v>
      </c>
      <c r="F1421" s="22">
        <f ca="1">IFERROR(__xludf.DUMMYFUNCTION("""COMPUTED_VALUE"""),500000)</f>
        <v>500000</v>
      </c>
      <c r="G1421" s="22">
        <f ca="1">IFERROR(__xludf.DUMMYFUNCTION("""COMPUTED_VALUE"""),0)</f>
        <v>0</v>
      </c>
      <c r="H1421" s="7">
        <f ca="1">IFERROR(__xludf.DUMMYFUNCTION("""COMPUTED_VALUE"""),500000)</f>
        <v>500000</v>
      </c>
    </row>
    <row r="1422" spans="1:8" ht="13" x14ac:dyDescent="0.15">
      <c r="A1422" s="5" t="str">
        <f ca="1">IFERROR(__xludf.DUMMYFUNCTION("""COMPUTED_VALUE"""),"38302")</f>
        <v>38302</v>
      </c>
      <c r="B1422" s="51">
        <f ca="1">IFERROR(__xludf.DUMMYFUNCTION("""COMPUTED_VALUE"""),44635)</f>
        <v>44635</v>
      </c>
      <c r="C1422" s="22">
        <f ca="1">IFERROR(__xludf.DUMMYFUNCTION("""COMPUTED_VALUE"""),500000)</f>
        <v>500000</v>
      </c>
      <c r="D1422" s="22">
        <f ca="1">IFERROR(__xludf.DUMMYFUNCTION("""COMPUTED_VALUE"""),0)</f>
        <v>0</v>
      </c>
      <c r="E1422" s="22">
        <f ca="1">IFERROR(__xludf.DUMMYFUNCTION("""COMPUTED_VALUE"""),500000)</f>
        <v>500000</v>
      </c>
      <c r="F1422" s="22">
        <f ca="1">IFERROR(__xludf.DUMMYFUNCTION("""COMPUTED_VALUE"""),500000)</f>
        <v>500000</v>
      </c>
      <c r="G1422" s="22">
        <f ca="1">IFERROR(__xludf.DUMMYFUNCTION("""COMPUTED_VALUE"""),0)</f>
        <v>0</v>
      </c>
      <c r="H1422" s="7">
        <f ca="1">IFERROR(__xludf.DUMMYFUNCTION("""COMPUTED_VALUE"""),500000)</f>
        <v>500000</v>
      </c>
    </row>
    <row r="1423" spans="1:8" ht="13" x14ac:dyDescent="0.15">
      <c r="A1423" s="5" t="str">
        <f ca="1">IFERROR(__xludf.DUMMYFUNCTION("""COMPUTED_VALUE"""),"38302")</f>
        <v>38302</v>
      </c>
      <c r="B1423" s="51">
        <f ca="1">IFERROR(__xludf.DUMMYFUNCTION("""COMPUTED_VALUE"""),44636)</f>
        <v>44636</v>
      </c>
      <c r="C1423" s="22">
        <f ca="1">IFERROR(__xludf.DUMMYFUNCTION("""COMPUTED_VALUE"""),500000)</f>
        <v>500000</v>
      </c>
      <c r="D1423" s="22">
        <f ca="1">IFERROR(__xludf.DUMMYFUNCTION("""COMPUTED_VALUE"""),0)</f>
        <v>0</v>
      </c>
      <c r="E1423" s="22">
        <f ca="1">IFERROR(__xludf.DUMMYFUNCTION("""COMPUTED_VALUE"""),500000)</f>
        <v>500000</v>
      </c>
      <c r="F1423" s="22">
        <f ca="1">IFERROR(__xludf.DUMMYFUNCTION("""COMPUTED_VALUE"""),500000)</f>
        <v>500000</v>
      </c>
      <c r="G1423" s="22">
        <f ca="1">IFERROR(__xludf.DUMMYFUNCTION("""COMPUTED_VALUE"""),0)</f>
        <v>0</v>
      </c>
      <c r="H1423" s="7">
        <f ca="1">IFERROR(__xludf.DUMMYFUNCTION("""COMPUTED_VALUE"""),500000)</f>
        <v>500000</v>
      </c>
    </row>
    <row r="1424" spans="1:8" ht="13" x14ac:dyDescent="0.15">
      <c r="A1424" s="5" t="str">
        <f ca="1">IFERROR(__xludf.DUMMYFUNCTION("""COMPUTED_VALUE"""),"38302")</f>
        <v>38302</v>
      </c>
      <c r="B1424" s="51">
        <f ca="1">IFERROR(__xludf.DUMMYFUNCTION("""COMPUTED_VALUE"""),44637)</f>
        <v>44637</v>
      </c>
      <c r="C1424" s="22">
        <f ca="1">IFERROR(__xludf.DUMMYFUNCTION("""COMPUTED_VALUE"""),500000)</f>
        <v>500000</v>
      </c>
      <c r="D1424" s="22">
        <f ca="1">IFERROR(__xludf.DUMMYFUNCTION("""COMPUTED_VALUE"""),0)</f>
        <v>0</v>
      </c>
      <c r="E1424" s="22">
        <f ca="1">IFERROR(__xludf.DUMMYFUNCTION("""COMPUTED_VALUE"""),500000)</f>
        <v>500000</v>
      </c>
      <c r="F1424" s="22">
        <f ca="1">IFERROR(__xludf.DUMMYFUNCTION("""COMPUTED_VALUE"""),500000)</f>
        <v>500000</v>
      </c>
      <c r="G1424" s="22">
        <f ca="1">IFERROR(__xludf.DUMMYFUNCTION("""COMPUTED_VALUE"""),0)</f>
        <v>0</v>
      </c>
      <c r="H1424" s="7">
        <f ca="1">IFERROR(__xludf.DUMMYFUNCTION("""COMPUTED_VALUE"""),500000)</f>
        <v>500000</v>
      </c>
    </row>
    <row r="1425" spans="1:8" ht="13" x14ac:dyDescent="0.15">
      <c r="A1425" s="5" t="str">
        <f ca="1">IFERROR(__xludf.DUMMYFUNCTION("""COMPUTED_VALUE"""),"38302")</f>
        <v>38302</v>
      </c>
      <c r="B1425" s="51">
        <f ca="1">IFERROR(__xludf.DUMMYFUNCTION("""COMPUTED_VALUE"""),44638)</f>
        <v>44638</v>
      </c>
      <c r="C1425" s="22">
        <f ca="1">IFERROR(__xludf.DUMMYFUNCTION("""COMPUTED_VALUE"""),500000)</f>
        <v>500000</v>
      </c>
      <c r="D1425" s="22">
        <f ca="1">IFERROR(__xludf.DUMMYFUNCTION("""COMPUTED_VALUE"""),0)</f>
        <v>0</v>
      </c>
      <c r="E1425" s="22">
        <f ca="1">IFERROR(__xludf.DUMMYFUNCTION("""COMPUTED_VALUE"""),500000)</f>
        <v>500000</v>
      </c>
      <c r="F1425" s="22">
        <f ca="1">IFERROR(__xludf.DUMMYFUNCTION("""COMPUTED_VALUE"""),500000)</f>
        <v>500000</v>
      </c>
      <c r="G1425" s="22">
        <f ca="1">IFERROR(__xludf.DUMMYFUNCTION("""COMPUTED_VALUE"""),0)</f>
        <v>0</v>
      </c>
      <c r="H1425" s="7">
        <f ca="1">IFERROR(__xludf.DUMMYFUNCTION("""COMPUTED_VALUE"""),500000)</f>
        <v>500000</v>
      </c>
    </row>
    <row r="1426" spans="1:8" ht="13" x14ac:dyDescent="0.15">
      <c r="A1426" s="5" t="str">
        <f ca="1">IFERROR(__xludf.DUMMYFUNCTION("""COMPUTED_VALUE"""),"38302")</f>
        <v>38302</v>
      </c>
      <c r="B1426" s="51">
        <f ca="1">IFERROR(__xludf.DUMMYFUNCTION("""COMPUTED_VALUE"""),44639)</f>
        <v>44639</v>
      </c>
      <c r="C1426" s="22">
        <f ca="1">IFERROR(__xludf.DUMMYFUNCTION("""COMPUTED_VALUE"""),500000)</f>
        <v>500000</v>
      </c>
      <c r="D1426" s="22">
        <f ca="1">IFERROR(__xludf.DUMMYFUNCTION("""COMPUTED_VALUE"""),0)</f>
        <v>0</v>
      </c>
      <c r="E1426" s="22">
        <f ca="1">IFERROR(__xludf.DUMMYFUNCTION("""COMPUTED_VALUE"""),500000)</f>
        <v>500000</v>
      </c>
      <c r="F1426" s="22">
        <f ca="1">IFERROR(__xludf.DUMMYFUNCTION("""COMPUTED_VALUE"""),500000)</f>
        <v>500000</v>
      </c>
      <c r="G1426" s="22">
        <f ca="1">IFERROR(__xludf.DUMMYFUNCTION("""COMPUTED_VALUE"""),0)</f>
        <v>0</v>
      </c>
      <c r="H1426" s="7">
        <f ca="1">IFERROR(__xludf.DUMMYFUNCTION("""COMPUTED_VALUE"""),500000)</f>
        <v>500000</v>
      </c>
    </row>
    <row r="1427" spans="1:8" ht="13" x14ac:dyDescent="0.15">
      <c r="A1427" s="5" t="str">
        <f ca="1">IFERROR(__xludf.DUMMYFUNCTION("""COMPUTED_VALUE"""),"38302")</f>
        <v>38302</v>
      </c>
      <c r="B1427" s="51">
        <f ca="1">IFERROR(__xludf.DUMMYFUNCTION("""COMPUTED_VALUE"""),44640)</f>
        <v>44640</v>
      </c>
      <c r="C1427" s="22">
        <f ca="1">IFERROR(__xludf.DUMMYFUNCTION("""COMPUTED_VALUE"""),500000)</f>
        <v>500000</v>
      </c>
      <c r="D1427" s="22">
        <f ca="1">IFERROR(__xludf.DUMMYFUNCTION("""COMPUTED_VALUE"""),0)</f>
        <v>0</v>
      </c>
      <c r="E1427" s="22">
        <f ca="1">IFERROR(__xludf.DUMMYFUNCTION("""COMPUTED_VALUE"""),500000)</f>
        <v>500000</v>
      </c>
      <c r="F1427" s="22">
        <f ca="1">IFERROR(__xludf.DUMMYFUNCTION("""COMPUTED_VALUE"""),500000)</f>
        <v>500000</v>
      </c>
      <c r="G1427" s="22">
        <f ca="1">IFERROR(__xludf.DUMMYFUNCTION("""COMPUTED_VALUE"""),0)</f>
        <v>0</v>
      </c>
      <c r="H1427" s="7">
        <f ca="1">IFERROR(__xludf.DUMMYFUNCTION("""COMPUTED_VALUE"""),500000)</f>
        <v>500000</v>
      </c>
    </row>
    <row r="1428" spans="1:8" ht="13" x14ac:dyDescent="0.15">
      <c r="A1428" s="5" t="str">
        <f ca="1">IFERROR(__xludf.DUMMYFUNCTION("""COMPUTED_VALUE"""),"38302")</f>
        <v>38302</v>
      </c>
      <c r="B1428" s="51">
        <f ca="1">IFERROR(__xludf.DUMMYFUNCTION("""COMPUTED_VALUE"""),44641)</f>
        <v>44641</v>
      </c>
      <c r="C1428" s="22">
        <f ca="1">IFERROR(__xludf.DUMMYFUNCTION("""COMPUTED_VALUE"""),500000)</f>
        <v>500000</v>
      </c>
      <c r="D1428" s="22">
        <f ca="1">IFERROR(__xludf.DUMMYFUNCTION("""COMPUTED_VALUE"""),0)</f>
        <v>0</v>
      </c>
      <c r="E1428" s="22">
        <f ca="1">IFERROR(__xludf.DUMMYFUNCTION("""COMPUTED_VALUE"""),500000)</f>
        <v>500000</v>
      </c>
      <c r="F1428" s="22">
        <f ca="1">IFERROR(__xludf.DUMMYFUNCTION("""COMPUTED_VALUE"""),500000)</f>
        <v>500000</v>
      </c>
      <c r="G1428" s="22">
        <f ca="1">IFERROR(__xludf.DUMMYFUNCTION("""COMPUTED_VALUE"""),0)</f>
        <v>0</v>
      </c>
      <c r="H1428" s="7">
        <f ca="1">IFERROR(__xludf.DUMMYFUNCTION("""COMPUTED_VALUE"""),500000)</f>
        <v>500000</v>
      </c>
    </row>
    <row r="1429" spans="1:8" ht="13" x14ac:dyDescent="0.15">
      <c r="A1429" s="5" t="str">
        <f ca="1">IFERROR(__xludf.DUMMYFUNCTION("""COMPUTED_VALUE"""),"38302")</f>
        <v>38302</v>
      </c>
      <c r="B1429" s="51">
        <f ca="1">IFERROR(__xludf.DUMMYFUNCTION("""COMPUTED_VALUE"""),44642)</f>
        <v>44642</v>
      </c>
      <c r="C1429" s="22">
        <f ca="1">IFERROR(__xludf.DUMMYFUNCTION("""COMPUTED_VALUE"""),500000)</f>
        <v>500000</v>
      </c>
      <c r="D1429" s="22">
        <f ca="1">IFERROR(__xludf.DUMMYFUNCTION("""COMPUTED_VALUE"""),0)</f>
        <v>0</v>
      </c>
      <c r="E1429" s="22">
        <f ca="1">IFERROR(__xludf.DUMMYFUNCTION("""COMPUTED_VALUE"""),500000)</f>
        <v>500000</v>
      </c>
      <c r="F1429" s="22">
        <f ca="1">IFERROR(__xludf.DUMMYFUNCTION("""COMPUTED_VALUE"""),500000)</f>
        <v>500000</v>
      </c>
      <c r="G1429" s="22">
        <f ca="1">IFERROR(__xludf.DUMMYFUNCTION("""COMPUTED_VALUE"""),0)</f>
        <v>0</v>
      </c>
      <c r="H1429" s="7">
        <f ca="1">IFERROR(__xludf.DUMMYFUNCTION("""COMPUTED_VALUE"""),500000)</f>
        <v>500000</v>
      </c>
    </row>
    <row r="1430" spans="1:8" ht="13" x14ac:dyDescent="0.15">
      <c r="A1430" s="5" t="str">
        <f ca="1">IFERROR(__xludf.DUMMYFUNCTION("""COMPUTED_VALUE"""),"38307")</f>
        <v>38307</v>
      </c>
      <c r="B1430" s="51">
        <f ca="1">IFERROR(__xludf.DUMMYFUNCTION("""COMPUTED_VALUE"""),44597)</f>
        <v>44597</v>
      </c>
      <c r="C1430" s="22">
        <f ca="1">IFERROR(__xludf.DUMMYFUNCTION("""COMPUTED_VALUE"""),500000)</f>
        <v>500000</v>
      </c>
      <c r="D1430" s="22">
        <f ca="1">IFERROR(__xludf.DUMMYFUNCTION("""COMPUTED_VALUE"""),0)</f>
        <v>0</v>
      </c>
      <c r="E1430" s="22">
        <f ca="1">IFERROR(__xludf.DUMMYFUNCTION("""COMPUTED_VALUE"""),500000)</f>
        <v>500000</v>
      </c>
      <c r="F1430" s="22">
        <f ca="1">IFERROR(__xludf.DUMMYFUNCTION("""COMPUTED_VALUE"""),500000)</f>
        <v>500000</v>
      </c>
      <c r="G1430" s="22">
        <f ca="1">IFERROR(__xludf.DUMMYFUNCTION("""COMPUTED_VALUE"""),0)</f>
        <v>0</v>
      </c>
      <c r="H1430" s="7">
        <f ca="1">IFERROR(__xludf.DUMMYFUNCTION("""COMPUTED_VALUE"""),500000)</f>
        <v>500000</v>
      </c>
    </row>
    <row r="1431" spans="1:8" ht="13" x14ac:dyDescent="0.15">
      <c r="A1431" s="5" t="str">
        <f ca="1">IFERROR(__xludf.DUMMYFUNCTION("""COMPUTED_VALUE"""),"38307")</f>
        <v>38307</v>
      </c>
      <c r="B1431" s="51">
        <f ca="1">IFERROR(__xludf.DUMMYFUNCTION("""COMPUTED_VALUE"""),44598)</f>
        <v>44598</v>
      </c>
      <c r="C1431" s="22">
        <f ca="1">IFERROR(__xludf.DUMMYFUNCTION("""COMPUTED_VALUE"""),500000)</f>
        <v>500000</v>
      </c>
      <c r="D1431" s="22">
        <f ca="1">IFERROR(__xludf.DUMMYFUNCTION("""COMPUTED_VALUE"""),0)</f>
        <v>0</v>
      </c>
      <c r="E1431" s="22">
        <f ca="1">IFERROR(__xludf.DUMMYFUNCTION("""COMPUTED_VALUE"""),500000)</f>
        <v>500000</v>
      </c>
      <c r="F1431" s="22">
        <f ca="1">IFERROR(__xludf.DUMMYFUNCTION("""COMPUTED_VALUE"""),500000)</f>
        <v>500000</v>
      </c>
      <c r="G1431" s="22">
        <f ca="1">IFERROR(__xludf.DUMMYFUNCTION("""COMPUTED_VALUE"""),0)</f>
        <v>0</v>
      </c>
      <c r="H1431" s="7">
        <f ca="1">IFERROR(__xludf.DUMMYFUNCTION("""COMPUTED_VALUE"""),500000)</f>
        <v>500000</v>
      </c>
    </row>
    <row r="1432" spans="1:8" ht="13" x14ac:dyDescent="0.15">
      <c r="A1432" s="5" t="str">
        <f ca="1">IFERROR(__xludf.DUMMYFUNCTION("""COMPUTED_VALUE"""),"38307")</f>
        <v>38307</v>
      </c>
      <c r="B1432" s="51">
        <f ca="1">IFERROR(__xludf.DUMMYFUNCTION("""COMPUTED_VALUE"""),44599)</f>
        <v>44599</v>
      </c>
      <c r="C1432" s="22">
        <f ca="1">IFERROR(__xludf.DUMMYFUNCTION("""COMPUTED_VALUE"""),500000)</f>
        <v>500000</v>
      </c>
      <c r="D1432" s="22">
        <f ca="1">IFERROR(__xludf.DUMMYFUNCTION("""COMPUTED_VALUE"""),0)</f>
        <v>0</v>
      </c>
      <c r="E1432" s="22">
        <f ca="1">IFERROR(__xludf.DUMMYFUNCTION("""COMPUTED_VALUE"""),500000)</f>
        <v>500000</v>
      </c>
      <c r="F1432" s="22">
        <f ca="1">IFERROR(__xludf.DUMMYFUNCTION("""COMPUTED_VALUE"""),500000)</f>
        <v>500000</v>
      </c>
      <c r="G1432" s="22">
        <f ca="1">IFERROR(__xludf.DUMMYFUNCTION("""COMPUTED_VALUE"""),0)</f>
        <v>0</v>
      </c>
      <c r="H1432" s="7">
        <f ca="1">IFERROR(__xludf.DUMMYFUNCTION("""COMPUTED_VALUE"""),500000)</f>
        <v>500000</v>
      </c>
    </row>
    <row r="1433" spans="1:8" ht="13" x14ac:dyDescent="0.15">
      <c r="A1433" s="5" t="str">
        <f ca="1">IFERROR(__xludf.DUMMYFUNCTION("""COMPUTED_VALUE"""),"38307")</f>
        <v>38307</v>
      </c>
      <c r="B1433" s="51">
        <f ca="1">IFERROR(__xludf.DUMMYFUNCTION("""COMPUTED_VALUE"""),44600)</f>
        <v>44600</v>
      </c>
      <c r="C1433" s="22">
        <f ca="1">IFERROR(__xludf.DUMMYFUNCTION("""COMPUTED_VALUE"""),500000)</f>
        <v>500000</v>
      </c>
      <c r="D1433" s="22">
        <f ca="1">IFERROR(__xludf.DUMMYFUNCTION("""COMPUTED_VALUE"""),0)</f>
        <v>0</v>
      </c>
      <c r="E1433" s="22">
        <f ca="1">IFERROR(__xludf.DUMMYFUNCTION("""COMPUTED_VALUE"""),500000)</f>
        <v>500000</v>
      </c>
      <c r="F1433" s="22">
        <f ca="1">IFERROR(__xludf.DUMMYFUNCTION("""COMPUTED_VALUE"""),500000)</f>
        <v>500000</v>
      </c>
      <c r="G1433" s="22">
        <f ca="1">IFERROR(__xludf.DUMMYFUNCTION("""COMPUTED_VALUE"""),0)</f>
        <v>0</v>
      </c>
      <c r="H1433" s="7">
        <f ca="1">IFERROR(__xludf.DUMMYFUNCTION("""COMPUTED_VALUE"""),500000)</f>
        <v>500000</v>
      </c>
    </row>
    <row r="1434" spans="1:8" ht="13" x14ac:dyDescent="0.15">
      <c r="A1434" s="5" t="str">
        <f ca="1">IFERROR(__xludf.DUMMYFUNCTION("""COMPUTED_VALUE"""),"38307")</f>
        <v>38307</v>
      </c>
      <c r="B1434" s="51">
        <f ca="1">IFERROR(__xludf.DUMMYFUNCTION("""COMPUTED_VALUE"""),44601)</f>
        <v>44601</v>
      </c>
      <c r="C1434" s="22">
        <f ca="1">IFERROR(__xludf.DUMMYFUNCTION("""COMPUTED_VALUE"""),500000)</f>
        <v>500000</v>
      </c>
      <c r="D1434" s="22">
        <f ca="1">IFERROR(__xludf.DUMMYFUNCTION("""COMPUTED_VALUE"""),0)</f>
        <v>0</v>
      </c>
      <c r="E1434" s="22">
        <f ca="1">IFERROR(__xludf.DUMMYFUNCTION("""COMPUTED_VALUE"""),500000)</f>
        <v>500000</v>
      </c>
      <c r="F1434" s="22">
        <f ca="1">IFERROR(__xludf.DUMMYFUNCTION("""COMPUTED_VALUE"""),500000)</f>
        <v>500000</v>
      </c>
      <c r="G1434" s="22">
        <f ca="1">IFERROR(__xludf.DUMMYFUNCTION("""COMPUTED_VALUE"""),0)</f>
        <v>0</v>
      </c>
      <c r="H1434" s="7">
        <f ca="1">IFERROR(__xludf.DUMMYFUNCTION("""COMPUTED_VALUE"""),500000)</f>
        <v>500000</v>
      </c>
    </row>
    <row r="1435" spans="1:8" ht="13" x14ac:dyDescent="0.15">
      <c r="A1435" s="5" t="str">
        <f ca="1">IFERROR(__xludf.DUMMYFUNCTION("""COMPUTED_VALUE"""),"38307")</f>
        <v>38307</v>
      </c>
      <c r="B1435" s="51">
        <f ca="1">IFERROR(__xludf.DUMMYFUNCTION("""COMPUTED_VALUE"""),44602)</f>
        <v>44602</v>
      </c>
      <c r="C1435" s="22">
        <f ca="1">IFERROR(__xludf.DUMMYFUNCTION("""COMPUTED_VALUE"""),500000)</f>
        <v>500000</v>
      </c>
      <c r="D1435" s="22">
        <f ca="1">IFERROR(__xludf.DUMMYFUNCTION("""COMPUTED_VALUE"""),0)</f>
        <v>0</v>
      </c>
      <c r="E1435" s="22">
        <f ca="1">IFERROR(__xludf.DUMMYFUNCTION("""COMPUTED_VALUE"""),500000)</f>
        <v>500000</v>
      </c>
      <c r="F1435" s="22">
        <f ca="1">IFERROR(__xludf.DUMMYFUNCTION("""COMPUTED_VALUE"""),500000)</f>
        <v>500000</v>
      </c>
      <c r="G1435" s="22">
        <f ca="1">IFERROR(__xludf.DUMMYFUNCTION("""COMPUTED_VALUE"""),0)</f>
        <v>0</v>
      </c>
      <c r="H1435" s="7">
        <f ca="1">IFERROR(__xludf.DUMMYFUNCTION("""COMPUTED_VALUE"""),500000)</f>
        <v>500000</v>
      </c>
    </row>
    <row r="1436" spans="1:8" ht="13" x14ac:dyDescent="0.15">
      <c r="A1436" s="5" t="str">
        <f ca="1">IFERROR(__xludf.DUMMYFUNCTION("""COMPUTED_VALUE"""),"38307")</f>
        <v>38307</v>
      </c>
      <c r="B1436" s="51">
        <f ca="1">IFERROR(__xludf.DUMMYFUNCTION("""COMPUTED_VALUE"""),44603)</f>
        <v>44603</v>
      </c>
      <c r="C1436" s="22">
        <f ca="1">IFERROR(__xludf.DUMMYFUNCTION("""COMPUTED_VALUE"""),500000)</f>
        <v>500000</v>
      </c>
      <c r="D1436" s="22">
        <f ca="1">IFERROR(__xludf.DUMMYFUNCTION("""COMPUTED_VALUE"""),0)</f>
        <v>0</v>
      </c>
      <c r="E1436" s="22">
        <f ca="1">IFERROR(__xludf.DUMMYFUNCTION("""COMPUTED_VALUE"""),500000)</f>
        <v>500000</v>
      </c>
      <c r="F1436" s="22">
        <f ca="1">IFERROR(__xludf.DUMMYFUNCTION("""COMPUTED_VALUE"""),500000)</f>
        <v>500000</v>
      </c>
      <c r="G1436" s="22">
        <f ca="1">IFERROR(__xludf.DUMMYFUNCTION("""COMPUTED_VALUE"""),0)</f>
        <v>0</v>
      </c>
      <c r="H1436" s="7">
        <f ca="1">IFERROR(__xludf.DUMMYFUNCTION("""COMPUTED_VALUE"""),500000)</f>
        <v>500000</v>
      </c>
    </row>
    <row r="1437" spans="1:8" ht="13" x14ac:dyDescent="0.15">
      <c r="A1437" s="5" t="str">
        <f ca="1">IFERROR(__xludf.DUMMYFUNCTION("""COMPUTED_VALUE"""),"38307")</f>
        <v>38307</v>
      </c>
      <c r="B1437" s="51">
        <f ca="1">IFERROR(__xludf.DUMMYFUNCTION("""COMPUTED_VALUE"""),44604)</f>
        <v>44604</v>
      </c>
      <c r="C1437" s="22">
        <f ca="1">IFERROR(__xludf.DUMMYFUNCTION("""COMPUTED_VALUE"""),500000)</f>
        <v>500000</v>
      </c>
      <c r="D1437" s="22">
        <f ca="1">IFERROR(__xludf.DUMMYFUNCTION("""COMPUTED_VALUE"""),0)</f>
        <v>0</v>
      </c>
      <c r="E1437" s="22">
        <f ca="1">IFERROR(__xludf.DUMMYFUNCTION("""COMPUTED_VALUE"""),500000)</f>
        <v>500000</v>
      </c>
      <c r="F1437" s="22">
        <f ca="1">IFERROR(__xludf.DUMMYFUNCTION("""COMPUTED_VALUE"""),500000)</f>
        <v>500000</v>
      </c>
      <c r="G1437" s="22">
        <f ca="1">IFERROR(__xludf.DUMMYFUNCTION("""COMPUTED_VALUE"""),0)</f>
        <v>0</v>
      </c>
      <c r="H1437" s="7">
        <f ca="1">IFERROR(__xludf.DUMMYFUNCTION("""COMPUTED_VALUE"""),500000)</f>
        <v>500000</v>
      </c>
    </row>
    <row r="1438" spans="1:8" ht="13" x14ac:dyDescent="0.15">
      <c r="A1438" s="5" t="str">
        <f ca="1">IFERROR(__xludf.DUMMYFUNCTION("""COMPUTED_VALUE"""),"38307")</f>
        <v>38307</v>
      </c>
      <c r="B1438" s="51">
        <f ca="1">IFERROR(__xludf.DUMMYFUNCTION("""COMPUTED_VALUE"""),44605)</f>
        <v>44605</v>
      </c>
      <c r="C1438" s="22">
        <f ca="1">IFERROR(__xludf.DUMMYFUNCTION("""COMPUTED_VALUE"""),500000)</f>
        <v>500000</v>
      </c>
      <c r="D1438" s="22">
        <f ca="1">IFERROR(__xludf.DUMMYFUNCTION("""COMPUTED_VALUE"""),0)</f>
        <v>0</v>
      </c>
      <c r="E1438" s="22">
        <f ca="1">IFERROR(__xludf.DUMMYFUNCTION("""COMPUTED_VALUE"""),500000)</f>
        <v>500000</v>
      </c>
      <c r="F1438" s="22">
        <f ca="1">IFERROR(__xludf.DUMMYFUNCTION("""COMPUTED_VALUE"""),500000)</f>
        <v>500000</v>
      </c>
      <c r="G1438" s="22">
        <f ca="1">IFERROR(__xludf.DUMMYFUNCTION("""COMPUTED_VALUE"""),0)</f>
        <v>0</v>
      </c>
      <c r="H1438" s="7">
        <f ca="1">IFERROR(__xludf.DUMMYFUNCTION("""COMPUTED_VALUE"""),500000)</f>
        <v>500000</v>
      </c>
    </row>
    <row r="1439" spans="1:8" ht="13" x14ac:dyDescent="0.15">
      <c r="A1439" s="5" t="str">
        <f ca="1">IFERROR(__xludf.DUMMYFUNCTION("""COMPUTED_VALUE"""),"38307")</f>
        <v>38307</v>
      </c>
      <c r="B1439" s="51">
        <f ca="1">IFERROR(__xludf.DUMMYFUNCTION("""COMPUTED_VALUE"""),44606)</f>
        <v>44606</v>
      </c>
      <c r="C1439" s="22">
        <f ca="1">IFERROR(__xludf.DUMMYFUNCTION("""COMPUTED_VALUE"""),500000)</f>
        <v>500000</v>
      </c>
      <c r="D1439" s="22">
        <f ca="1">IFERROR(__xludf.DUMMYFUNCTION("""COMPUTED_VALUE"""),0)</f>
        <v>0</v>
      </c>
      <c r="E1439" s="22">
        <f ca="1">IFERROR(__xludf.DUMMYFUNCTION("""COMPUTED_VALUE"""),500000)</f>
        <v>500000</v>
      </c>
      <c r="F1439" s="22">
        <f ca="1">IFERROR(__xludf.DUMMYFUNCTION("""COMPUTED_VALUE"""),500000)</f>
        <v>500000</v>
      </c>
      <c r="G1439" s="22">
        <f ca="1">IFERROR(__xludf.DUMMYFUNCTION("""COMPUTED_VALUE"""),0)</f>
        <v>0</v>
      </c>
      <c r="H1439" s="7">
        <f ca="1">IFERROR(__xludf.DUMMYFUNCTION("""COMPUTED_VALUE"""),500000)</f>
        <v>500000</v>
      </c>
    </row>
    <row r="1440" spans="1:8" ht="13" x14ac:dyDescent="0.15">
      <c r="A1440" s="5" t="str">
        <f ca="1">IFERROR(__xludf.DUMMYFUNCTION("""COMPUTED_VALUE"""),"38307")</f>
        <v>38307</v>
      </c>
      <c r="B1440" s="51">
        <f ca="1">IFERROR(__xludf.DUMMYFUNCTION("""COMPUTED_VALUE"""),44607)</f>
        <v>44607</v>
      </c>
      <c r="C1440" s="22">
        <f ca="1">IFERROR(__xludf.DUMMYFUNCTION("""COMPUTED_VALUE"""),500000)</f>
        <v>500000</v>
      </c>
      <c r="D1440" s="22">
        <f ca="1">IFERROR(__xludf.DUMMYFUNCTION("""COMPUTED_VALUE"""),0)</f>
        <v>0</v>
      </c>
      <c r="E1440" s="22">
        <f ca="1">IFERROR(__xludf.DUMMYFUNCTION("""COMPUTED_VALUE"""),500000)</f>
        <v>500000</v>
      </c>
      <c r="F1440" s="22">
        <f ca="1">IFERROR(__xludf.DUMMYFUNCTION("""COMPUTED_VALUE"""),500000)</f>
        <v>500000</v>
      </c>
      <c r="G1440" s="22">
        <f ca="1">IFERROR(__xludf.DUMMYFUNCTION("""COMPUTED_VALUE"""),0)</f>
        <v>0</v>
      </c>
      <c r="H1440" s="7">
        <f ca="1">IFERROR(__xludf.DUMMYFUNCTION("""COMPUTED_VALUE"""),500000)</f>
        <v>500000</v>
      </c>
    </row>
    <row r="1441" spans="1:8" ht="13" x14ac:dyDescent="0.15">
      <c r="A1441" s="5" t="str">
        <f ca="1">IFERROR(__xludf.DUMMYFUNCTION("""COMPUTED_VALUE"""),"38307")</f>
        <v>38307</v>
      </c>
      <c r="B1441" s="51">
        <f ca="1">IFERROR(__xludf.DUMMYFUNCTION("""COMPUTED_VALUE"""),44608)</f>
        <v>44608</v>
      </c>
      <c r="C1441" s="22">
        <f ca="1">IFERROR(__xludf.DUMMYFUNCTION("""COMPUTED_VALUE"""),500000)</f>
        <v>500000</v>
      </c>
      <c r="D1441" s="22">
        <f ca="1">IFERROR(__xludf.DUMMYFUNCTION("""COMPUTED_VALUE"""),0)</f>
        <v>0</v>
      </c>
      <c r="E1441" s="22">
        <f ca="1">IFERROR(__xludf.DUMMYFUNCTION("""COMPUTED_VALUE"""),500000)</f>
        <v>500000</v>
      </c>
      <c r="F1441" s="22">
        <f ca="1">IFERROR(__xludf.DUMMYFUNCTION("""COMPUTED_VALUE"""),500000)</f>
        <v>500000</v>
      </c>
      <c r="G1441" s="22">
        <f ca="1">IFERROR(__xludf.DUMMYFUNCTION("""COMPUTED_VALUE"""),0)</f>
        <v>0</v>
      </c>
      <c r="H1441" s="7">
        <f ca="1">IFERROR(__xludf.DUMMYFUNCTION("""COMPUTED_VALUE"""),500000)</f>
        <v>500000</v>
      </c>
    </row>
    <row r="1442" spans="1:8" ht="13" x14ac:dyDescent="0.15">
      <c r="A1442" s="5" t="str">
        <f ca="1">IFERROR(__xludf.DUMMYFUNCTION("""COMPUTED_VALUE"""),"38307")</f>
        <v>38307</v>
      </c>
      <c r="B1442" s="51">
        <f ca="1">IFERROR(__xludf.DUMMYFUNCTION("""COMPUTED_VALUE"""),44609)</f>
        <v>44609</v>
      </c>
      <c r="C1442" s="22">
        <f ca="1">IFERROR(__xludf.DUMMYFUNCTION("""COMPUTED_VALUE"""),500000)</f>
        <v>500000</v>
      </c>
      <c r="D1442" s="22">
        <f ca="1">IFERROR(__xludf.DUMMYFUNCTION("""COMPUTED_VALUE"""),0)</f>
        <v>0</v>
      </c>
      <c r="E1442" s="22">
        <f ca="1">IFERROR(__xludf.DUMMYFUNCTION("""COMPUTED_VALUE"""),500000)</f>
        <v>500000</v>
      </c>
      <c r="F1442" s="22">
        <f ca="1">IFERROR(__xludf.DUMMYFUNCTION("""COMPUTED_VALUE"""),500000)</f>
        <v>500000</v>
      </c>
      <c r="G1442" s="22">
        <f ca="1">IFERROR(__xludf.DUMMYFUNCTION("""COMPUTED_VALUE"""),0)</f>
        <v>0</v>
      </c>
      <c r="H1442" s="7">
        <f ca="1">IFERROR(__xludf.DUMMYFUNCTION("""COMPUTED_VALUE"""),500000)</f>
        <v>500000</v>
      </c>
    </row>
    <row r="1443" spans="1:8" ht="13" x14ac:dyDescent="0.15">
      <c r="A1443" s="5" t="str">
        <f ca="1">IFERROR(__xludf.DUMMYFUNCTION("""COMPUTED_VALUE"""),"38307")</f>
        <v>38307</v>
      </c>
      <c r="B1443" s="51">
        <f ca="1">IFERROR(__xludf.DUMMYFUNCTION("""COMPUTED_VALUE"""),44610)</f>
        <v>44610</v>
      </c>
      <c r="C1443" s="22">
        <f ca="1">IFERROR(__xludf.DUMMYFUNCTION("""COMPUTED_VALUE"""),500000)</f>
        <v>500000</v>
      </c>
      <c r="D1443" s="22">
        <f ca="1">IFERROR(__xludf.DUMMYFUNCTION("""COMPUTED_VALUE"""),0)</f>
        <v>0</v>
      </c>
      <c r="E1443" s="22">
        <f ca="1">IFERROR(__xludf.DUMMYFUNCTION("""COMPUTED_VALUE"""),500000)</f>
        <v>500000</v>
      </c>
      <c r="F1443" s="22">
        <f ca="1">IFERROR(__xludf.DUMMYFUNCTION("""COMPUTED_VALUE"""),500000)</f>
        <v>500000</v>
      </c>
      <c r="G1443" s="22">
        <f ca="1">IFERROR(__xludf.DUMMYFUNCTION("""COMPUTED_VALUE"""),0)</f>
        <v>0</v>
      </c>
      <c r="H1443" s="7">
        <f ca="1">IFERROR(__xludf.DUMMYFUNCTION("""COMPUTED_VALUE"""),500000)</f>
        <v>500000</v>
      </c>
    </row>
    <row r="1444" spans="1:8" ht="13" x14ac:dyDescent="0.15">
      <c r="A1444" s="5" t="str">
        <f ca="1">IFERROR(__xludf.DUMMYFUNCTION("""COMPUTED_VALUE"""),"38307")</f>
        <v>38307</v>
      </c>
      <c r="B1444" s="51">
        <f ca="1">IFERROR(__xludf.DUMMYFUNCTION("""COMPUTED_VALUE"""),44611)</f>
        <v>44611</v>
      </c>
      <c r="C1444" s="22">
        <f ca="1">IFERROR(__xludf.DUMMYFUNCTION("""COMPUTED_VALUE"""),500000)</f>
        <v>500000</v>
      </c>
      <c r="D1444" s="22">
        <f ca="1">IFERROR(__xludf.DUMMYFUNCTION("""COMPUTED_VALUE"""),0)</f>
        <v>0</v>
      </c>
      <c r="E1444" s="22">
        <f ca="1">IFERROR(__xludf.DUMMYFUNCTION("""COMPUTED_VALUE"""),500000)</f>
        <v>500000</v>
      </c>
      <c r="F1444" s="22">
        <f ca="1">IFERROR(__xludf.DUMMYFUNCTION("""COMPUTED_VALUE"""),500000)</f>
        <v>500000</v>
      </c>
      <c r="G1444" s="22">
        <f ca="1">IFERROR(__xludf.DUMMYFUNCTION("""COMPUTED_VALUE"""),0)</f>
        <v>0</v>
      </c>
      <c r="H1444" s="7">
        <f ca="1">IFERROR(__xludf.DUMMYFUNCTION("""COMPUTED_VALUE"""),500000)</f>
        <v>500000</v>
      </c>
    </row>
    <row r="1445" spans="1:8" ht="13" x14ac:dyDescent="0.15">
      <c r="A1445" s="5" t="str">
        <f ca="1">IFERROR(__xludf.DUMMYFUNCTION("""COMPUTED_VALUE"""),"38307")</f>
        <v>38307</v>
      </c>
      <c r="B1445" s="51">
        <f ca="1">IFERROR(__xludf.DUMMYFUNCTION("""COMPUTED_VALUE"""),44612)</f>
        <v>44612</v>
      </c>
      <c r="C1445" s="22">
        <f ca="1">IFERROR(__xludf.DUMMYFUNCTION("""COMPUTED_VALUE"""),500000)</f>
        <v>500000</v>
      </c>
      <c r="D1445" s="22">
        <f ca="1">IFERROR(__xludf.DUMMYFUNCTION("""COMPUTED_VALUE"""),0)</f>
        <v>0</v>
      </c>
      <c r="E1445" s="22">
        <f ca="1">IFERROR(__xludf.DUMMYFUNCTION("""COMPUTED_VALUE"""),500000)</f>
        <v>500000</v>
      </c>
      <c r="F1445" s="22">
        <f ca="1">IFERROR(__xludf.DUMMYFUNCTION("""COMPUTED_VALUE"""),500000)</f>
        <v>500000</v>
      </c>
      <c r="G1445" s="22">
        <f ca="1">IFERROR(__xludf.DUMMYFUNCTION("""COMPUTED_VALUE"""),0)</f>
        <v>0</v>
      </c>
      <c r="H1445" s="7">
        <f ca="1">IFERROR(__xludf.DUMMYFUNCTION("""COMPUTED_VALUE"""),500000)</f>
        <v>500000</v>
      </c>
    </row>
    <row r="1446" spans="1:8" ht="13" x14ac:dyDescent="0.15">
      <c r="A1446" s="5" t="str">
        <f ca="1">IFERROR(__xludf.DUMMYFUNCTION("""COMPUTED_VALUE"""),"38307")</f>
        <v>38307</v>
      </c>
      <c r="B1446" s="51">
        <f ca="1">IFERROR(__xludf.DUMMYFUNCTION("""COMPUTED_VALUE"""),44613)</f>
        <v>44613</v>
      </c>
      <c r="C1446" s="22">
        <f ca="1">IFERROR(__xludf.DUMMYFUNCTION("""COMPUTED_VALUE"""),500000)</f>
        <v>500000</v>
      </c>
      <c r="D1446" s="22">
        <f ca="1">IFERROR(__xludf.DUMMYFUNCTION("""COMPUTED_VALUE"""),0)</f>
        <v>0</v>
      </c>
      <c r="E1446" s="22">
        <f ca="1">IFERROR(__xludf.DUMMYFUNCTION("""COMPUTED_VALUE"""),500000)</f>
        <v>500000</v>
      </c>
      <c r="F1446" s="22">
        <f ca="1">IFERROR(__xludf.DUMMYFUNCTION("""COMPUTED_VALUE"""),500000)</f>
        <v>500000</v>
      </c>
      <c r="G1446" s="22">
        <f ca="1">IFERROR(__xludf.DUMMYFUNCTION("""COMPUTED_VALUE"""),0)</f>
        <v>0</v>
      </c>
      <c r="H1446" s="7">
        <f ca="1">IFERROR(__xludf.DUMMYFUNCTION("""COMPUTED_VALUE"""),500000)</f>
        <v>500000</v>
      </c>
    </row>
    <row r="1447" spans="1:8" ht="13" x14ac:dyDescent="0.15">
      <c r="A1447" s="5" t="str">
        <f ca="1">IFERROR(__xludf.DUMMYFUNCTION("""COMPUTED_VALUE"""),"38307")</f>
        <v>38307</v>
      </c>
      <c r="B1447" s="51">
        <f ca="1">IFERROR(__xludf.DUMMYFUNCTION("""COMPUTED_VALUE"""),44614)</f>
        <v>44614</v>
      </c>
      <c r="C1447" s="22">
        <f ca="1">IFERROR(__xludf.DUMMYFUNCTION("""COMPUTED_VALUE"""),500000)</f>
        <v>500000</v>
      </c>
      <c r="D1447" s="22">
        <f ca="1">IFERROR(__xludf.DUMMYFUNCTION("""COMPUTED_VALUE"""),0)</f>
        <v>0</v>
      </c>
      <c r="E1447" s="22">
        <f ca="1">IFERROR(__xludf.DUMMYFUNCTION("""COMPUTED_VALUE"""),500000)</f>
        <v>500000</v>
      </c>
      <c r="F1447" s="22">
        <f ca="1">IFERROR(__xludf.DUMMYFUNCTION("""COMPUTED_VALUE"""),500000)</f>
        <v>500000</v>
      </c>
      <c r="G1447" s="22">
        <f ca="1">IFERROR(__xludf.DUMMYFUNCTION("""COMPUTED_VALUE"""),0)</f>
        <v>0</v>
      </c>
      <c r="H1447" s="7">
        <f ca="1">IFERROR(__xludf.DUMMYFUNCTION("""COMPUTED_VALUE"""),500000)</f>
        <v>500000</v>
      </c>
    </row>
    <row r="1448" spans="1:8" ht="13" x14ac:dyDescent="0.15">
      <c r="A1448" s="5" t="str">
        <f ca="1">IFERROR(__xludf.DUMMYFUNCTION("""COMPUTED_VALUE"""),"38307")</f>
        <v>38307</v>
      </c>
      <c r="B1448" s="51">
        <f ca="1">IFERROR(__xludf.DUMMYFUNCTION("""COMPUTED_VALUE"""),44615)</f>
        <v>44615</v>
      </c>
      <c r="C1448" s="22">
        <f ca="1">IFERROR(__xludf.DUMMYFUNCTION("""COMPUTED_VALUE"""),500000)</f>
        <v>500000</v>
      </c>
      <c r="D1448" s="22">
        <f ca="1">IFERROR(__xludf.DUMMYFUNCTION("""COMPUTED_VALUE"""),0)</f>
        <v>0</v>
      </c>
      <c r="E1448" s="22">
        <f ca="1">IFERROR(__xludf.DUMMYFUNCTION("""COMPUTED_VALUE"""),500000)</f>
        <v>500000</v>
      </c>
      <c r="F1448" s="22">
        <f ca="1">IFERROR(__xludf.DUMMYFUNCTION("""COMPUTED_VALUE"""),500000)</f>
        <v>500000</v>
      </c>
      <c r="G1448" s="22">
        <f ca="1">IFERROR(__xludf.DUMMYFUNCTION("""COMPUTED_VALUE"""),0)</f>
        <v>0</v>
      </c>
      <c r="H1448" s="7">
        <f ca="1">IFERROR(__xludf.DUMMYFUNCTION("""COMPUTED_VALUE"""),500000)</f>
        <v>500000</v>
      </c>
    </row>
    <row r="1449" spans="1:8" ht="13" x14ac:dyDescent="0.15">
      <c r="A1449" s="5" t="str">
        <f ca="1">IFERROR(__xludf.DUMMYFUNCTION("""COMPUTED_VALUE"""),"38307")</f>
        <v>38307</v>
      </c>
      <c r="B1449" s="51">
        <f ca="1">IFERROR(__xludf.DUMMYFUNCTION("""COMPUTED_VALUE"""),44616)</f>
        <v>44616</v>
      </c>
      <c r="C1449" s="22">
        <f ca="1">IFERROR(__xludf.DUMMYFUNCTION("""COMPUTED_VALUE"""),500000)</f>
        <v>500000</v>
      </c>
      <c r="D1449" s="22">
        <f ca="1">IFERROR(__xludf.DUMMYFUNCTION("""COMPUTED_VALUE"""),0)</f>
        <v>0</v>
      </c>
      <c r="E1449" s="22">
        <f ca="1">IFERROR(__xludf.DUMMYFUNCTION("""COMPUTED_VALUE"""),500000)</f>
        <v>500000</v>
      </c>
      <c r="F1449" s="22">
        <f ca="1">IFERROR(__xludf.DUMMYFUNCTION("""COMPUTED_VALUE"""),500000)</f>
        <v>500000</v>
      </c>
      <c r="G1449" s="22">
        <f ca="1">IFERROR(__xludf.DUMMYFUNCTION("""COMPUTED_VALUE"""),0)</f>
        <v>0</v>
      </c>
      <c r="H1449" s="7">
        <f ca="1">IFERROR(__xludf.DUMMYFUNCTION("""COMPUTED_VALUE"""),500000)</f>
        <v>500000</v>
      </c>
    </row>
    <row r="1450" spans="1:8" ht="13" x14ac:dyDescent="0.15">
      <c r="A1450" s="5" t="str">
        <f ca="1">IFERROR(__xludf.DUMMYFUNCTION("""COMPUTED_VALUE"""),"38307")</f>
        <v>38307</v>
      </c>
      <c r="B1450" s="51">
        <f ca="1">IFERROR(__xludf.DUMMYFUNCTION("""COMPUTED_VALUE"""),44617)</f>
        <v>44617</v>
      </c>
      <c r="C1450" s="22">
        <f ca="1">IFERROR(__xludf.DUMMYFUNCTION("""COMPUTED_VALUE"""),500000)</f>
        <v>500000</v>
      </c>
      <c r="D1450" s="22">
        <f ca="1">IFERROR(__xludf.DUMMYFUNCTION("""COMPUTED_VALUE"""),0)</f>
        <v>0</v>
      </c>
      <c r="E1450" s="22">
        <f ca="1">IFERROR(__xludf.DUMMYFUNCTION("""COMPUTED_VALUE"""),500000)</f>
        <v>500000</v>
      </c>
      <c r="F1450" s="22">
        <f ca="1">IFERROR(__xludf.DUMMYFUNCTION("""COMPUTED_VALUE"""),500000)</f>
        <v>500000</v>
      </c>
      <c r="G1450" s="22">
        <f ca="1">IFERROR(__xludf.DUMMYFUNCTION("""COMPUTED_VALUE"""),0)</f>
        <v>0</v>
      </c>
      <c r="H1450" s="7">
        <f ca="1">IFERROR(__xludf.DUMMYFUNCTION("""COMPUTED_VALUE"""),500000)</f>
        <v>500000</v>
      </c>
    </row>
    <row r="1451" spans="1:8" ht="13" x14ac:dyDescent="0.15">
      <c r="A1451" s="5" t="str">
        <f ca="1">IFERROR(__xludf.DUMMYFUNCTION("""COMPUTED_VALUE"""),"38307")</f>
        <v>38307</v>
      </c>
      <c r="B1451" s="51">
        <f ca="1">IFERROR(__xludf.DUMMYFUNCTION("""COMPUTED_VALUE"""),44618)</f>
        <v>44618</v>
      </c>
      <c r="C1451" s="22">
        <f ca="1">IFERROR(__xludf.DUMMYFUNCTION("""COMPUTED_VALUE"""),500000)</f>
        <v>500000</v>
      </c>
      <c r="D1451" s="22">
        <f ca="1">IFERROR(__xludf.DUMMYFUNCTION("""COMPUTED_VALUE"""),0)</f>
        <v>0</v>
      </c>
      <c r="E1451" s="22">
        <f ca="1">IFERROR(__xludf.DUMMYFUNCTION("""COMPUTED_VALUE"""),500000)</f>
        <v>500000</v>
      </c>
      <c r="F1451" s="22">
        <f ca="1">IFERROR(__xludf.DUMMYFUNCTION("""COMPUTED_VALUE"""),500000)</f>
        <v>500000</v>
      </c>
      <c r="G1451" s="22">
        <f ca="1">IFERROR(__xludf.DUMMYFUNCTION("""COMPUTED_VALUE"""),0)</f>
        <v>0</v>
      </c>
      <c r="H1451" s="7">
        <f ca="1">IFERROR(__xludf.DUMMYFUNCTION("""COMPUTED_VALUE"""),500000)</f>
        <v>500000</v>
      </c>
    </row>
    <row r="1452" spans="1:8" ht="13" x14ac:dyDescent="0.15">
      <c r="A1452" s="5" t="str">
        <f ca="1">IFERROR(__xludf.DUMMYFUNCTION("""COMPUTED_VALUE"""),"38307")</f>
        <v>38307</v>
      </c>
      <c r="B1452" s="51">
        <f ca="1">IFERROR(__xludf.DUMMYFUNCTION("""COMPUTED_VALUE"""),44619)</f>
        <v>44619</v>
      </c>
      <c r="C1452" s="22">
        <f ca="1">IFERROR(__xludf.DUMMYFUNCTION("""COMPUTED_VALUE"""),500000)</f>
        <v>500000</v>
      </c>
      <c r="D1452" s="22">
        <f ca="1">IFERROR(__xludf.DUMMYFUNCTION("""COMPUTED_VALUE"""),0)</f>
        <v>0</v>
      </c>
      <c r="E1452" s="22">
        <f ca="1">IFERROR(__xludf.DUMMYFUNCTION("""COMPUTED_VALUE"""),500000)</f>
        <v>500000</v>
      </c>
      <c r="F1452" s="22">
        <f ca="1">IFERROR(__xludf.DUMMYFUNCTION("""COMPUTED_VALUE"""),500000)</f>
        <v>500000</v>
      </c>
      <c r="G1452" s="22">
        <f ca="1">IFERROR(__xludf.DUMMYFUNCTION("""COMPUTED_VALUE"""),0)</f>
        <v>0</v>
      </c>
      <c r="H1452" s="7">
        <f ca="1">IFERROR(__xludf.DUMMYFUNCTION("""COMPUTED_VALUE"""),500000)</f>
        <v>500000</v>
      </c>
    </row>
    <row r="1453" spans="1:8" ht="13" x14ac:dyDescent="0.15">
      <c r="A1453" s="5" t="str">
        <f ca="1">IFERROR(__xludf.DUMMYFUNCTION("""COMPUTED_VALUE"""),"38307")</f>
        <v>38307</v>
      </c>
      <c r="B1453" s="51">
        <f ca="1">IFERROR(__xludf.DUMMYFUNCTION("""COMPUTED_VALUE"""),44620)</f>
        <v>44620</v>
      </c>
      <c r="C1453" s="22">
        <f ca="1">IFERROR(__xludf.DUMMYFUNCTION("""COMPUTED_VALUE"""),500000)</f>
        <v>500000</v>
      </c>
      <c r="D1453" s="22">
        <f ca="1">IFERROR(__xludf.DUMMYFUNCTION("""COMPUTED_VALUE"""),0)</f>
        <v>0</v>
      </c>
      <c r="E1453" s="22">
        <f ca="1">IFERROR(__xludf.DUMMYFUNCTION("""COMPUTED_VALUE"""),500000)</f>
        <v>500000</v>
      </c>
      <c r="F1453" s="22">
        <f ca="1">IFERROR(__xludf.DUMMYFUNCTION("""COMPUTED_VALUE"""),500000)</f>
        <v>500000</v>
      </c>
      <c r="G1453" s="22">
        <f ca="1">IFERROR(__xludf.DUMMYFUNCTION("""COMPUTED_VALUE"""),0)</f>
        <v>0</v>
      </c>
      <c r="H1453" s="7">
        <f ca="1">IFERROR(__xludf.DUMMYFUNCTION("""COMPUTED_VALUE"""),500000)</f>
        <v>500000</v>
      </c>
    </row>
    <row r="1454" spans="1:8" ht="13" x14ac:dyDescent="0.15">
      <c r="A1454" s="5" t="str">
        <f ca="1">IFERROR(__xludf.DUMMYFUNCTION("""COMPUTED_VALUE"""),"38307")</f>
        <v>38307</v>
      </c>
      <c r="B1454" s="51">
        <f ca="1">IFERROR(__xludf.DUMMYFUNCTION("""COMPUTED_VALUE"""),44621)</f>
        <v>44621</v>
      </c>
      <c r="C1454" s="22">
        <f ca="1">IFERROR(__xludf.DUMMYFUNCTION("""COMPUTED_VALUE"""),500000)</f>
        <v>500000</v>
      </c>
      <c r="D1454" s="22">
        <f ca="1">IFERROR(__xludf.DUMMYFUNCTION("""COMPUTED_VALUE"""),0)</f>
        <v>0</v>
      </c>
      <c r="E1454" s="22">
        <f ca="1">IFERROR(__xludf.DUMMYFUNCTION("""COMPUTED_VALUE"""),500000)</f>
        <v>500000</v>
      </c>
      <c r="F1454" s="22">
        <f ca="1">IFERROR(__xludf.DUMMYFUNCTION("""COMPUTED_VALUE"""),500000)</f>
        <v>500000</v>
      </c>
      <c r="G1454" s="22">
        <f ca="1">IFERROR(__xludf.DUMMYFUNCTION("""COMPUTED_VALUE"""),0)</f>
        <v>0</v>
      </c>
      <c r="H1454" s="7">
        <f ca="1">IFERROR(__xludf.DUMMYFUNCTION("""COMPUTED_VALUE"""),500000)</f>
        <v>500000</v>
      </c>
    </row>
    <row r="1455" spans="1:8" ht="13" x14ac:dyDescent="0.15">
      <c r="A1455" s="5" t="str">
        <f ca="1">IFERROR(__xludf.DUMMYFUNCTION("""COMPUTED_VALUE"""),"38307")</f>
        <v>38307</v>
      </c>
      <c r="B1455" s="51">
        <f ca="1">IFERROR(__xludf.DUMMYFUNCTION("""COMPUTED_VALUE"""),44622)</f>
        <v>44622</v>
      </c>
      <c r="C1455" s="22">
        <f ca="1">IFERROR(__xludf.DUMMYFUNCTION("""COMPUTED_VALUE"""),500000)</f>
        <v>500000</v>
      </c>
      <c r="D1455" s="22">
        <f ca="1">IFERROR(__xludf.DUMMYFUNCTION("""COMPUTED_VALUE"""),0)</f>
        <v>0</v>
      </c>
      <c r="E1455" s="22">
        <f ca="1">IFERROR(__xludf.DUMMYFUNCTION("""COMPUTED_VALUE"""),500000)</f>
        <v>500000</v>
      </c>
      <c r="F1455" s="22">
        <f ca="1">IFERROR(__xludf.DUMMYFUNCTION("""COMPUTED_VALUE"""),500000)</f>
        <v>500000</v>
      </c>
      <c r="G1455" s="22">
        <f ca="1">IFERROR(__xludf.DUMMYFUNCTION("""COMPUTED_VALUE"""),0)</f>
        <v>0</v>
      </c>
      <c r="H1455" s="7">
        <f ca="1">IFERROR(__xludf.DUMMYFUNCTION("""COMPUTED_VALUE"""),500000)</f>
        <v>500000</v>
      </c>
    </row>
    <row r="1456" spans="1:8" ht="13" x14ac:dyDescent="0.15">
      <c r="A1456" s="5" t="str">
        <f ca="1">IFERROR(__xludf.DUMMYFUNCTION("""COMPUTED_VALUE"""),"38307")</f>
        <v>38307</v>
      </c>
      <c r="B1456" s="51">
        <f ca="1">IFERROR(__xludf.DUMMYFUNCTION("""COMPUTED_VALUE"""),44623)</f>
        <v>44623</v>
      </c>
      <c r="C1456" s="22">
        <f ca="1">IFERROR(__xludf.DUMMYFUNCTION("""COMPUTED_VALUE"""),500000)</f>
        <v>500000</v>
      </c>
      <c r="D1456" s="22">
        <f ca="1">IFERROR(__xludf.DUMMYFUNCTION("""COMPUTED_VALUE"""),0)</f>
        <v>0</v>
      </c>
      <c r="E1456" s="22">
        <f ca="1">IFERROR(__xludf.DUMMYFUNCTION("""COMPUTED_VALUE"""),500000)</f>
        <v>500000</v>
      </c>
      <c r="F1456" s="22">
        <f ca="1">IFERROR(__xludf.DUMMYFUNCTION("""COMPUTED_VALUE"""),500000)</f>
        <v>500000</v>
      </c>
      <c r="G1456" s="22">
        <f ca="1">IFERROR(__xludf.DUMMYFUNCTION("""COMPUTED_VALUE"""),0)</f>
        <v>0</v>
      </c>
      <c r="H1456" s="7">
        <f ca="1">IFERROR(__xludf.DUMMYFUNCTION("""COMPUTED_VALUE"""),500000)</f>
        <v>500000</v>
      </c>
    </row>
    <row r="1457" spans="1:8" ht="13" x14ac:dyDescent="0.15">
      <c r="A1457" s="5" t="str">
        <f ca="1">IFERROR(__xludf.DUMMYFUNCTION("""COMPUTED_VALUE"""),"38307")</f>
        <v>38307</v>
      </c>
      <c r="B1457" s="51">
        <f ca="1">IFERROR(__xludf.DUMMYFUNCTION("""COMPUTED_VALUE"""),44624)</f>
        <v>44624</v>
      </c>
      <c r="C1457" s="22">
        <f ca="1">IFERROR(__xludf.DUMMYFUNCTION("""COMPUTED_VALUE"""),500000)</f>
        <v>500000</v>
      </c>
      <c r="D1457" s="22">
        <f ca="1">IFERROR(__xludf.DUMMYFUNCTION("""COMPUTED_VALUE"""),0)</f>
        <v>0</v>
      </c>
      <c r="E1457" s="22">
        <f ca="1">IFERROR(__xludf.DUMMYFUNCTION("""COMPUTED_VALUE"""),500000)</f>
        <v>500000</v>
      </c>
      <c r="F1457" s="22">
        <f ca="1">IFERROR(__xludf.DUMMYFUNCTION("""COMPUTED_VALUE"""),500000)</f>
        <v>500000</v>
      </c>
      <c r="G1457" s="22">
        <f ca="1">IFERROR(__xludf.DUMMYFUNCTION("""COMPUTED_VALUE"""),0)</f>
        <v>0</v>
      </c>
      <c r="H1457" s="7">
        <f ca="1">IFERROR(__xludf.DUMMYFUNCTION("""COMPUTED_VALUE"""),500000)</f>
        <v>500000</v>
      </c>
    </row>
    <row r="1458" spans="1:8" ht="13" x14ac:dyDescent="0.15">
      <c r="A1458" s="5" t="str">
        <f ca="1">IFERROR(__xludf.DUMMYFUNCTION("""COMPUTED_VALUE"""),"38307")</f>
        <v>38307</v>
      </c>
      <c r="B1458" s="51">
        <f ca="1">IFERROR(__xludf.DUMMYFUNCTION("""COMPUTED_VALUE"""),44625)</f>
        <v>44625</v>
      </c>
      <c r="C1458" s="22">
        <f ca="1">IFERROR(__xludf.DUMMYFUNCTION("""COMPUTED_VALUE"""),500000)</f>
        <v>500000</v>
      </c>
      <c r="D1458" s="22">
        <f ca="1">IFERROR(__xludf.DUMMYFUNCTION("""COMPUTED_VALUE"""),0)</f>
        <v>0</v>
      </c>
      <c r="E1458" s="22">
        <f ca="1">IFERROR(__xludf.DUMMYFUNCTION("""COMPUTED_VALUE"""),500000)</f>
        <v>500000</v>
      </c>
      <c r="F1458" s="22">
        <f ca="1">IFERROR(__xludf.DUMMYFUNCTION("""COMPUTED_VALUE"""),500000)</f>
        <v>500000</v>
      </c>
      <c r="G1458" s="22">
        <f ca="1">IFERROR(__xludf.DUMMYFUNCTION("""COMPUTED_VALUE"""),0)</f>
        <v>0</v>
      </c>
      <c r="H1458" s="7">
        <f ca="1">IFERROR(__xludf.DUMMYFUNCTION("""COMPUTED_VALUE"""),500000)</f>
        <v>500000</v>
      </c>
    </row>
    <row r="1459" spans="1:8" ht="13" x14ac:dyDescent="0.15">
      <c r="A1459" s="5" t="str">
        <f ca="1">IFERROR(__xludf.DUMMYFUNCTION("""COMPUTED_VALUE"""),"38307")</f>
        <v>38307</v>
      </c>
      <c r="B1459" s="51">
        <f ca="1">IFERROR(__xludf.DUMMYFUNCTION("""COMPUTED_VALUE"""),44626)</f>
        <v>44626</v>
      </c>
      <c r="C1459" s="22">
        <f ca="1">IFERROR(__xludf.DUMMYFUNCTION("""COMPUTED_VALUE"""),500000)</f>
        <v>500000</v>
      </c>
      <c r="D1459" s="22">
        <f ca="1">IFERROR(__xludf.DUMMYFUNCTION("""COMPUTED_VALUE"""),0)</f>
        <v>0</v>
      </c>
      <c r="E1459" s="22">
        <f ca="1">IFERROR(__xludf.DUMMYFUNCTION("""COMPUTED_VALUE"""),500000)</f>
        <v>500000</v>
      </c>
      <c r="F1459" s="22">
        <f ca="1">IFERROR(__xludf.DUMMYFUNCTION("""COMPUTED_VALUE"""),500000)</f>
        <v>500000</v>
      </c>
      <c r="G1459" s="22">
        <f ca="1">IFERROR(__xludf.DUMMYFUNCTION("""COMPUTED_VALUE"""),0)</f>
        <v>0</v>
      </c>
      <c r="H1459" s="7">
        <f ca="1">IFERROR(__xludf.DUMMYFUNCTION("""COMPUTED_VALUE"""),500000)</f>
        <v>500000</v>
      </c>
    </row>
    <row r="1460" spans="1:8" ht="13" x14ac:dyDescent="0.15">
      <c r="A1460" s="5" t="str">
        <f ca="1">IFERROR(__xludf.DUMMYFUNCTION("""COMPUTED_VALUE"""),"38307")</f>
        <v>38307</v>
      </c>
      <c r="B1460" s="51">
        <f ca="1">IFERROR(__xludf.DUMMYFUNCTION("""COMPUTED_VALUE"""),44627)</f>
        <v>44627</v>
      </c>
      <c r="C1460" s="22">
        <f ca="1">IFERROR(__xludf.DUMMYFUNCTION("""COMPUTED_VALUE"""),500000)</f>
        <v>500000</v>
      </c>
      <c r="D1460" s="22">
        <f ca="1">IFERROR(__xludf.DUMMYFUNCTION("""COMPUTED_VALUE"""),0)</f>
        <v>0</v>
      </c>
      <c r="E1460" s="22">
        <f ca="1">IFERROR(__xludf.DUMMYFUNCTION("""COMPUTED_VALUE"""),500000)</f>
        <v>500000</v>
      </c>
      <c r="F1460" s="22">
        <f ca="1">IFERROR(__xludf.DUMMYFUNCTION("""COMPUTED_VALUE"""),500000)</f>
        <v>500000</v>
      </c>
      <c r="G1460" s="22">
        <f ca="1">IFERROR(__xludf.DUMMYFUNCTION("""COMPUTED_VALUE"""),0)</f>
        <v>0</v>
      </c>
      <c r="H1460" s="7">
        <f ca="1">IFERROR(__xludf.DUMMYFUNCTION("""COMPUTED_VALUE"""),500000)</f>
        <v>500000</v>
      </c>
    </row>
    <row r="1461" spans="1:8" ht="13" x14ac:dyDescent="0.15">
      <c r="A1461" s="5" t="str">
        <f ca="1">IFERROR(__xludf.DUMMYFUNCTION("""COMPUTED_VALUE"""),"38307")</f>
        <v>38307</v>
      </c>
      <c r="B1461" s="51">
        <f ca="1">IFERROR(__xludf.DUMMYFUNCTION("""COMPUTED_VALUE"""),44628)</f>
        <v>44628</v>
      </c>
      <c r="C1461" s="22">
        <f ca="1">IFERROR(__xludf.DUMMYFUNCTION("""COMPUTED_VALUE"""),500000)</f>
        <v>500000</v>
      </c>
      <c r="D1461" s="22">
        <f ca="1">IFERROR(__xludf.DUMMYFUNCTION("""COMPUTED_VALUE"""),0)</f>
        <v>0</v>
      </c>
      <c r="E1461" s="22">
        <f ca="1">IFERROR(__xludf.DUMMYFUNCTION("""COMPUTED_VALUE"""),500000)</f>
        <v>500000</v>
      </c>
      <c r="F1461" s="22">
        <f ca="1">IFERROR(__xludf.DUMMYFUNCTION("""COMPUTED_VALUE"""),500000)</f>
        <v>500000</v>
      </c>
      <c r="G1461" s="22">
        <f ca="1">IFERROR(__xludf.DUMMYFUNCTION("""COMPUTED_VALUE"""),0)</f>
        <v>0</v>
      </c>
      <c r="H1461" s="7">
        <f ca="1">IFERROR(__xludf.DUMMYFUNCTION("""COMPUTED_VALUE"""),500000)</f>
        <v>500000</v>
      </c>
    </row>
    <row r="1462" spans="1:8" ht="13" x14ac:dyDescent="0.15">
      <c r="A1462" s="5" t="str">
        <f ca="1">IFERROR(__xludf.DUMMYFUNCTION("""COMPUTED_VALUE"""),"38307")</f>
        <v>38307</v>
      </c>
      <c r="B1462" s="51">
        <f ca="1">IFERROR(__xludf.DUMMYFUNCTION("""COMPUTED_VALUE"""),44629)</f>
        <v>44629</v>
      </c>
      <c r="C1462" s="22">
        <f ca="1">IFERROR(__xludf.DUMMYFUNCTION("""COMPUTED_VALUE"""),500000)</f>
        <v>500000</v>
      </c>
      <c r="D1462" s="22">
        <f ca="1">IFERROR(__xludf.DUMMYFUNCTION("""COMPUTED_VALUE"""),0)</f>
        <v>0</v>
      </c>
      <c r="E1462" s="22">
        <f ca="1">IFERROR(__xludf.DUMMYFUNCTION("""COMPUTED_VALUE"""),500000)</f>
        <v>500000</v>
      </c>
      <c r="F1462" s="22">
        <f ca="1">IFERROR(__xludf.DUMMYFUNCTION("""COMPUTED_VALUE"""),500000)</f>
        <v>500000</v>
      </c>
      <c r="G1462" s="22">
        <f ca="1">IFERROR(__xludf.DUMMYFUNCTION("""COMPUTED_VALUE"""),0)</f>
        <v>0</v>
      </c>
      <c r="H1462" s="7">
        <f ca="1">IFERROR(__xludf.DUMMYFUNCTION("""COMPUTED_VALUE"""),500000)</f>
        <v>500000</v>
      </c>
    </row>
    <row r="1463" spans="1:8" ht="13" x14ac:dyDescent="0.15">
      <c r="A1463" s="5" t="str">
        <f ca="1">IFERROR(__xludf.DUMMYFUNCTION("""COMPUTED_VALUE"""),"38307")</f>
        <v>38307</v>
      </c>
      <c r="B1463" s="51">
        <f ca="1">IFERROR(__xludf.DUMMYFUNCTION("""COMPUTED_VALUE"""),44630)</f>
        <v>44630</v>
      </c>
      <c r="C1463" s="22">
        <f ca="1">IFERROR(__xludf.DUMMYFUNCTION("""COMPUTED_VALUE"""),500000)</f>
        <v>500000</v>
      </c>
      <c r="D1463" s="22">
        <f ca="1">IFERROR(__xludf.DUMMYFUNCTION("""COMPUTED_VALUE"""),0)</f>
        <v>0</v>
      </c>
      <c r="E1463" s="22">
        <f ca="1">IFERROR(__xludf.DUMMYFUNCTION("""COMPUTED_VALUE"""),500000)</f>
        <v>500000</v>
      </c>
      <c r="F1463" s="22">
        <f ca="1">IFERROR(__xludf.DUMMYFUNCTION("""COMPUTED_VALUE"""),500000)</f>
        <v>500000</v>
      </c>
      <c r="G1463" s="22">
        <f ca="1">IFERROR(__xludf.DUMMYFUNCTION("""COMPUTED_VALUE"""),0)</f>
        <v>0</v>
      </c>
      <c r="H1463" s="7">
        <f ca="1">IFERROR(__xludf.DUMMYFUNCTION("""COMPUTED_VALUE"""),500000)</f>
        <v>500000</v>
      </c>
    </row>
    <row r="1464" spans="1:8" ht="13" x14ac:dyDescent="0.15">
      <c r="A1464" s="5" t="str">
        <f ca="1">IFERROR(__xludf.DUMMYFUNCTION("""COMPUTED_VALUE"""),"38307")</f>
        <v>38307</v>
      </c>
      <c r="B1464" s="51">
        <f ca="1">IFERROR(__xludf.DUMMYFUNCTION("""COMPUTED_VALUE"""),44631)</f>
        <v>44631</v>
      </c>
      <c r="C1464" s="22">
        <f ca="1">IFERROR(__xludf.DUMMYFUNCTION("""COMPUTED_VALUE"""),500000)</f>
        <v>500000</v>
      </c>
      <c r="D1464" s="22">
        <f ca="1">IFERROR(__xludf.DUMMYFUNCTION("""COMPUTED_VALUE"""),0)</f>
        <v>0</v>
      </c>
      <c r="E1464" s="22">
        <f ca="1">IFERROR(__xludf.DUMMYFUNCTION("""COMPUTED_VALUE"""),500000)</f>
        <v>500000</v>
      </c>
      <c r="F1464" s="22">
        <f ca="1">IFERROR(__xludf.DUMMYFUNCTION("""COMPUTED_VALUE"""),500000)</f>
        <v>500000</v>
      </c>
      <c r="G1464" s="22">
        <f ca="1">IFERROR(__xludf.DUMMYFUNCTION("""COMPUTED_VALUE"""),0)</f>
        <v>0</v>
      </c>
      <c r="H1464" s="7">
        <f ca="1">IFERROR(__xludf.DUMMYFUNCTION("""COMPUTED_VALUE"""),500000)</f>
        <v>500000</v>
      </c>
    </row>
    <row r="1465" spans="1:8" ht="13" x14ac:dyDescent="0.15">
      <c r="A1465" s="5" t="str">
        <f ca="1">IFERROR(__xludf.DUMMYFUNCTION("""COMPUTED_VALUE"""),"38307")</f>
        <v>38307</v>
      </c>
      <c r="B1465" s="51">
        <f ca="1">IFERROR(__xludf.DUMMYFUNCTION("""COMPUTED_VALUE"""),44632)</f>
        <v>44632</v>
      </c>
      <c r="C1465" s="22">
        <f ca="1">IFERROR(__xludf.DUMMYFUNCTION("""COMPUTED_VALUE"""),500000)</f>
        <v>500000</v>
      </c>
      <c r="D1465" s="22">
        <f ca="1">IFERROR(__xludf.DUMMYFUNCTION("""COMPUTED_VALUE"""),0)</f>
        <v>0</v>
      </c>
      <c r="E1465" s="22">
        <f ca="1">IFERROR(__xludf.DUMMYFUNCTION("""COMPUTED_VALUE"""),500000)</f>
        <v>500000</v>
      </c>
      <c r="F1465" s="22">
        <f ca="1">IFERROR(__xludf.DUMMYFUNCTION("""COMPUTED_VALUE"""),500000)</f>
        <v>500000</v>
      </c>
      <c r="G1465" s="22">
        <f ca="1">IFERROR(__xludf.DUMMYFUNCTION("""COMPUTED_VALUE"""),0)</f>
        <v>0</v>
      </c>
      <c r="H1465" s="7">
        <f ca="1">IFERROR(__xludf.DUMMYFUNCTION("""COMPUTED_VALUE"""),500000)</f>
        <v>500000</v>
      </c>
    </row>
    <row r="1466" spans="1:8" ht="13" x14ac:dyDescent="0.15">
      <c r="A1466" s="5" t="str">
        <f ca="1">IFERROR(__xludf.DUMMYFUNCTION("""COMPUTED_VALUE"""),"38307")</f>
        <v>38307</v>
      </c>
      <c r="B1466" s="51">
        <f ca="1">IFERROR(__xludf.DUMMYFUNCTION("""COMPUTED_VALUE"""),44633)</f>
        <v>44633</v>
      </c>
      <c r="C1466" s="22">
        <f ca="1">IFERROR(__xludf.DUMMYFUNCTION("""COMPUTED_VALUE"""),500000)</f>
        <v>500000</v>
      </c>
      <c r="D1466" s="22">
        <f ca="1">IFERROR(__xludf.DUMMYFUNCTION("""COMPUTED_VALUE"""),0)</f>
        <v>0</v>
      </c>
      <c r="E1466" s="22">
        <f ca="1">IFERROR(__xludf.DUMMYFUNCTION("""COMPUTED_VALUE"""),500000)</f>
        <v>500000</v>
      </c>
      <c r="F1466" s="22">
        <f ca="1">IFERROR(__xludf.DUMMYFUNCTION("""COMPUTED_VALUE"""),500000)</f>
        <v>500000</v>
      </c>
      <c r="G1466" s="22">
        <f ca="1">IFERROR(__xludf.DUMMYFUNCTION("""COMPUTED_VALUE"""),0)</f>
        <v>0</v>
      </c>
      <c r="H1466" s="7">
        <f ca="1">IFERROR(__xludf.DUMMYFUNCTION("""COMPUTED_VALUE"""),500000)</f>
        <v>500000</v>
      </c>
    </row>
    <row r="1467" spans="1:8" ht="13" x14ac:dyDescent="0.15">
      <c r="A1467" s="5" t="str">
        <f ca="1">IFERROR(__xludf.DUMMYFUNCTION("""COMPUTED_VALUE"""),"38307")</f>
        <v>38307</v>
      </c>
      <c r="B1467" s="51">
        <f ca="1">IFERROR(__xludf.DUMMYFUNCTION("""COMPUTED_VALUE"""),44634)</f>
        <v>44634</v>
      </c>
      <c r="C1467" s="22">
        <f ca="1">IFERROR(__xludf.DUMMYFUNCTION("""COMPUTED_VALUE"""),-78025.69825)</f>
        <v>-78025.698250000001</v>
      </c>
      <c r="D1467" s="22">
        <f ca="1">IFERROR(__xludf.DUMMYFUNCTION("""COMPUTED_VALUE"""),578025.69825)</f>
        <v>578025.69825000002</v>
      </c>
      <c r="E1467" s="22">
        <f ca="1">IFERROR(__xludf.DUMMYFUNCTION("""COMPUTED_VALUE"""),500000)</f>
        <v>500000</v>
      </c>
      <c r="F1467" s="22">
        <f ca="1">IFERROR(__xludf.DUMMYFUNCTION("""COMPUTED_VALUE"""),-78025.69825)</f>
        <v>-78025.698250000001</v>
      </c>
      <c r="G1467" s="22">
        <f ca="1">IFERROR(__xludf.DUMMYFUNCTION("""COMPUTED_VALUE"""),78025.69825)</f>
        <v>78025.698250000001</v>
      </c>
      <c r="H1467" s="7">
        <f ca="1">IFERROR(__xludf.DUMMYFUNCTION("""COMPUTED_VALUE"""),500000)</f>
        <v>500000</v>
      </c>
    </row>
    <row r="1468" spans="1:8" ht="13" x14ac:dyDescent="0.15">
      <c r="A1468" s="5" t="str">
        <f ca="1">IFERROR(__xludf.DUMMYFUNCTION("""COMPUTED_VALUE"""),"38307")</f>
        <v>38307</v>
      </c>
      <c r="B1468" s="51">
        <f ca="1">IFERROR(__xludf.DUMMYFUNCTION("""COMPUTED_VALUE"""),44635)</f>
        <v>44635</v>
      </c>
      <c r="C1468" s="22">
        <f ca="1">IFERROR(__xludf.DUMMYFUNCTION("""COMPUTED_VALUE"""),-114548.567402)</f>
        <v>-114548.567402</v>
      </c>
      <c r="D1468" s="22">
        <f ca="1">IFERROR(__xludf.DUMMYFUNCTION("""COMPUTED_VALUE"""),618456.601651999)</f>
        <v>618456.60165199905</v>
      </c>
      <c r="E1468" s="22">
        <f ca="1">IFERROR(__xludf.DUMMYFUNCTION("""COMPUTED_VALUE"""),503908.034249999)</f>
        <v>503908.03424999898</v>
      </c>
      <c r="F1468" s="22">
        <f ca="1">IFERROR(__xludf.DUMMYFUNCTION("""COMPUTED_VALUE"""),-114548.567402)</f>
        <v>-114548.567402</v>
      </c>
      <c r="G1468" s="22">
        <f ca="1">IFERROR(__xludf.DUMMYFUNCTION("""COMPUTED_VALUE"""),114548.567402)</f>
        <v>114548.567402</v>
      </c>
      <c r="H1468" s="7">
        <f ca="1">IFERROR(__xludf.DUMMYFUNCTION("""COMPUTED_VALUE"""),503908.034249999)</f>
        <v>503908.03424999898</v>
      </c>
    </row>
    <row r="1469" spans="1:8" ht="13" x14ac:dyDescent="0.15">
      <c r="A1469" s="5" t="str">
        <f ca="1">IFERROR(__xludf.DUMMYFUNCTION("""COMPUTED_VALUE"""),"38307")</f>
        <v>38307</v>
      </c>
      <c r="B1469" s="51">
        <f ca="1">IFERROR(__xludf.DUMMYFUNCTION("""COMPUTED_VALUE"""),44636)</f>
        <v>44636</v>
      </c>
      <c r="C1469" s="22">
        <f ca="1">IFERROR(__xludf.DUMMYFUNCTION("""COMPUTED_VALUE"""),-114548.567402)</f>
        <v>-114548.567402</v>
      </c>
      <c r="D1469" s="22">
        <f ca="1">IFERROR(__xludf.DUMMYFUNCTION("""COMPUTED_VALUE"""),632203.347929999)</f>
        <v>632203.347929999</v>
      </c>
      <c r="E1469" s="22">
        <f ca="1">IFERROR(__xludf.DUMMYFUNCTION("""COMPUTED_VALUE"""),517654.780527999)</f>
        <v>517654.78052799898</v>
      </c>
      <c r="F1469" s="22">
        <f ca="1">IFERROR(__xludf.DUMMYFUNCTION("""COMPUTED_VALUE"""),-114548.567402)</f>
        <v>-114548.567402</v>
      </c>
      <c r="G1469" s="22">
        <f ca="1">IFERROR(__xludf.DUMMYFUNCTION("""COMPUTED_VALUE"""),114548.567402)</f>
        <v>114548.567402</v>
      </c>
      <c r="H1469" s="7">
        <f ca="1">IFERROR(__xludf.DUMMYFUNCTION("""COMPUTED_VALUE"""),517654.780527999)</f>
        <v>517654.78052799898</v>
      </c>
    </row>
    <row r="1470" spans="1:8" ht="13" x14ac:dyDescent="0.15">
      <c r="A1470" s="5" t="str">
        <f ca="1">IFERROR(__xludf.DUMMYFUNCTION("""COMPUTED_VALUE"""),"38307")</f>
        <v>38307</v>
      </c>
      <c r="B1470" s="51">
        <f ca="1">IFERROR(__xludf.DUMMYFUNCTION("""COMPUTED_VALUE"""),44637)</f>
        <v>44637</v>
      </c>
      <c r="C1470" s="22">
        <f ca="1">IFERROR(__xludf.DUMMYFUNCTION("""COMPUTED_VALUE"""),-114548.567402)</f>
        <v>-114548.567402</v>
      </c>
      <c r="D1470" s="22">
        <f ca="1">IFERROR(__xludf.DUMMYFUNCTION("""COMPUTED_VALUE"""),646485.858726)</f>
        <v>646485.85872599995</v>
      </c>
      <c r="E1470" s="22">
        <f ca="1">IFERROR(__xludf.DUMMYFUNCTION("""COMPUTED_VALUE"""),531937.291324)</f>
        <v>531937.29132399999</v>
      </c>
      <c r="F1470" s="22">
        <f ca="1">IFERROR(__xludf.DUMMYFUNCTION("""COMPUTED_VALUE"""),-114548.567402)</f>
        <v>-114548.567402</v>
      </c>
      <c r="G1470" s="22">
        <f ca="1">IFERROR(__xludf.DUMMYFUNCTION("""COMPUTED_VALUE"""),114548.567402)</f>
        <v>114548.567402</v>
      </c>
      <c r="H1470" s="7">
        <f ca="1">IFERROR(__xludf.DUMMYFUNCTION("""COMPUTED_VALUE"""),531937.291324)</f>
        <v>531937.29132399999</v>
      </c>
    </row>
    <row r="1471" spans="1:8" ht="13" x14ac:dyDescent="0.15">
      <c r="A1471" s="5" t="str">
        <f ca="1">IFERROR(__xludf.DUMMYFUNCTION("""COMPUTED_VALUE"""),"38307")</f>
        <v>38307</v>
      </c>
      <c r="B1471" s="51">
        <f ca="1">IFERROR(__xludf.DUMMYFUNCTION("""COMPUTED_VALUE"""),44638)</f>
        <v>44638</v>
      </c>
      <c r="C1471" s="22">
        <f ca="1">IFERROR(__xludf.DUMMYFUNCTION("""COMPUTED_VALUE"""),-114548.567402)</f>
        <v>-114548.567402</v>
      </c>
      <c r="D1471" s="22">
        <f ca="1">IFERROR(__xludf.DUMMYFUNCTION("""COMPUTED_VALUE"""),656207.59491)</f>
        <v>656207.59490999999</v>
      </c>
      <c r="E1471" s="22">
        <f ca="1">IFERROR(__xludf.DUMMYFUNCTION("""COMPUTED_VALUE"""),541659.027507999)</f>
        <v>541659.02750799898</v>
      </c>
      <c r="F1471" s="22">
        <f ca="1">IFERROR(__xludf.DUMMYFUNCTION("""COMPUTED_VALUE"""),-114548.567402)</f>
        <v>-114548.567402</v>
      </c>
      <c r="G1471" s="22">
        <f ca="1">IFERROR(__xludf.DUMMYFUNCTION("""COMPUTED_VALUE"""),114548.567402)</f>
        <v>114548.567402</v>
      </c>
      <c r="H1471" s="7">
        <f ca="1">IFERROR(__xludf.DUMMYFUNCTION("""COMPUTED_VALUE"""),541659.027507999)</f>
        <v>541659.02750799898</v>
      </c>
    </row>
    <row r="1472" spans="1:8" ht="13" x14ac:dyDescent="0.15">
      <c r="A1472" s="5" t="str">
        <f ca="1">IFERROR(__xludf.DUMMYFUNCTION("""COMPUTED_VALUE"""),"38307")</f>
        <v>38307</v>
      </c>
      <c r="B1472" s="51">
        <f ca="1">IFERROR(__xludf.DUMMYFUNCTION("""COMPUTED_VALUE"""),44639)</f>
        <v>44639</v>
      </c>
      <c r="C1472" s="22">
        <f ca="1">IFERROR(__xludf.DUMMYFUNCTION("""COMPUTED_VALUE"""),-114548.567402)</f>
        <v>-114548.567402</v>
      </c>
      <c r="D1472" s="22">
        <f ca="1">IFERROR(__xludf.DUMMYFUNCTION("""COMPUTED_VALUE"""),656207.59491)</f>
        <v>656207.59490999999</v>
      </c>
      <c r="E1472" s="22">
        <f ca="1">IFERROR(__xludf.DUMMYFUNCTION("""COMPUTED_VALUE"""),541659.027507999)</f>
        <v>541659.02750799898</v>
      </c>
      <c r="F1472" s="22">
        <f ca="1">IFERROR(__xludf.DUMMYFUNCTION("""COMPUTED_VALUE"""),-114548.567402)</f>
        <v>-114548.567402</v>
      </c>
      <c r="G1472" s="22">
        <f ca="1">IFERROR(__xludf.DUMMYFUNCTION("""COMPUTED_VALUE"""),114548.567402)</f>
        <v>114548.567402</v>
      </c>
      <c r="H1472" s="7">
        <f ca="1">IFERROR(__xludf.DUMMYFUNCTION("""COMPUTED_VALUE"""),541659.027507999)</f>
        <v>541659.02750799898</v>
      </c>
    </row>
    <row r="1473" spans="1:8" ht="13" x14ac:dyDescent="0.15">
      <c r="A1473" s="5" t="str">
        <f ca="1">IFERROR(__xludf.DUMMYFUNCTION("""COMPUTED_VALUE"""),"38307")</f>
        <v>38307</v>
      </c>
      <c r="B1473" s="51">
        <f ca="1">IFERROR(__xludf.DUMMYFUNCTION("""COMPUTED_VALUE"""),44640)</f>
        <v>44640</v>
      </c>
      <c r="C1473" s="22">
        <f ca="1">IFERROR(__xludf.DUMMYFUNCTION("""COMPUTED_VALUE"""),-114548.567402)</f>
        <v>-114548.567402</v>
      </c>
      <c r="D1473" s="22">
        <f ca="1">IFERROR(__xludf.DUMMYFUNCTION("""COMPUTED_VALUE"""),655967.798729999)</f>
        <v>655967.79872999899</v>
      </c>
      <c r="E1473" s="22">
        <f ca="1">IFERROR(__xludf.DUMMYFUNCTION("""COMPUTED_VALUE"""),541419.231327999)</f>
        <v>541419.23132799903</v>
      </c>
      <c r="F1473" s="22">
        <f ca="1">IFERROR(__xludf.DUMMYFUNCTION("""COMPUTED_VALUE"""),-114548.567402)</f>
        <v>-114548.567402</v>
      </c>
      <c r="G1473" s="22">
        <f ca="1">IFERROR(__xludf.DUMMYFUNCTION("""COMPUTED_VALUE"""),114548.567402)</f>
        <v>114548.567402</v>
      </c>
      <c r="H1473" s="7">
        <f ca="1">IFERROR(__xludf.DUMMYFUNCTION("""COMPUTED_VALUE"""),541419.231327999)</f>
        <v>541419.23132799903</v>
      </c>
    </row>
    <row r="1474" spans="1:8" ht="13" x14ac:dyDescent="0.15">
      <c r="A1474" s="5" t="str">
        <f ca="1">IFERROR(__xludf.DUMMYFUNCTION("""COMPUTED_VALUE"""),"38307")</f>
        <v>38307</v>
      </c>
      <c r="B1474" s="51">
        <f ca="1">IFERROR(__xludf.DUMMYFUNCTION("""COMPUTED_VALUE"""),44641)</f>
        <v>44641</v>
      </c>
      <c r="C1474" s="22">
        <f ca="1">IFERROR(__xludf.DUMMYFUNCTION("""COMPUTED_VALUE"""),-114548.567402)</f>
        <v>-114548.567402</v>
      </c>
      <c r="D1474" s="22">
        <f ca="1">IFERROR(__xludf.DUMMYFUNCTION("""COMPUTED_VALUE"""),645324.43803)</f>
        <v>645324.43802999996</v>
      </c>
      <c r="E1474" s="22">
        <f ca="1">IFERROR(__xludf.DUMMYFUNCTION("""COMPUTED_VALUE"""),530775.870628)</f>
        <v>530775.870628</v>
      </c>
      <c r="F1474" s="22">
        <f ca="1">IFERROR(__xludf.DUMMYFUNCTION("""COMPUTED_VALUE"""),-114548.567402)</f>
        <v>-114548.567402</v>
      </c>
      <c r="G1474" s="22">
        <f ca="1">IFERROR(__xludf.DUMMYFUNCTION("""COMPUTED_VALUE"""),114548.567402)</f>
        <v>114548.567402</v>
      </c>
      <c r="H1474" s="7">
        <f ca="1">IFERROR(__xludf.DUMMYFUNCTION("""COMPUTED_VALUE"""),530775.870628)</f>
        <v>530775.870628</v>
      </c>
    </row>
    <row r="1475" spans="1:8" ht="13" x14ac:dyDescent="0.15">
      <c r="A1475" s="5" t="str">
        <f ca="1">IFERROR(__xludf.DUMMYFUNCTION("""COMPUTED_VALUE"""),"38307")</f>
        <v>38307</v>
      </c>
      <c r="B1475" s="51">
        <f ca="1">IFERROR(__xludf.DUMMYFUNCTION("""COMPUTED_VALUE"""),44642)</f>
        <v>44642</v>
      </c>
      <c r="C1475" s="22">
        <f ca="1">IFERROR(__xludf.DUMMYFUNCTION("""COMPUTED_VALUE"""),-114548.567402)</f>
        <v>-114548.567402</v>
      </c>
      <c r="D1475" s="22">
        <f ca="1">IFERROR(__xludf.DUMMYFUNCTION("""COMPUTED_VALUE"""),647579.43868)</f>
        <v>647579.43868000002</v>
      </c>
      <c r="E1475" s="22">
        <f ca="1">IFERROR(__xludf.DUMMYFUNCTION("""COMPUTED_VALUE"""),533030.871278)</f>
        <v>533030.87127799995</v>
      </c>
      <c r="F1475" s="22">
        <f ca="1">IFERROR(__xludf.DUMMYFUNCTION("""COMPUTED_VALUE"""),-114548.567402)</f>
        <v>-114548.567402</v>
      </c>
      <c r="G1475" s="22">
        <f ca="1">IFERROR(__xludf.DUMMYFUNCTION("""COMPUTED_VALUE"""),114548.567402)</f>
        <v>114548.567402</v>
      </c>
      <c r="H1475" s="7">
        <f ca="1">IFERROR(__xludf.DUMMYFUNCTION("""COMPUTED_VALUE"""),533030.871278)</f>
        <v>533030.87127799995</v>
      </c>
    </row>
    <row r="1476" spans="1:8" ht="13" x14ac:dyDescent="0.15">
      <c r="A1476" s="5" t="str">
        <f ca="1">IFERROR(__xludf.DUMMYFUNCTION("""COMPUTED_VALUE"""),"38369")</f>
        <v>38369</v>
      </c>
      <c r="B1476" s="51">
        <f ca="1">IFERROR(__xludf.DUMMYFUNCTION("""COMPUTED_VALUE"""),44597)</f>
        <v>44597</v>
      </c>
      <c r="C1476" s="22">
        <f ca="1">IFERROR(__xludf.DUMMYFUNCTION("""COMPUTED_VALUE"""),500000)</f>
        <v>500000</v>
      </c>
      <c r="D1476" s="22">
        <f ca="1">IFERROR(__xludf.DUMMYFUNCTION("""COMPUTED_VALUE"""),0)</f>
        <v>0</v>
      </c>
      <c r="E1476" s="22">
        <f ca="1">IFERROR(__xludf.DUMMYFUNCTION("""COMPUTED_VALUE"""),500000)</f>
        <v>500000</v>
      </c>
      <c r="F1476" s="22">
        <f ca="1">IFERROR(__xludf.DUMMYFUNCTION("""COMPUTED_VALUE"""),500000)</f>
        <v>500000</v>
      </c>
      <c r="G1476" s="22">
        <f ca="1">IFERROR(__xludf.DUMMYFUNCTION("""COMPUTED_VALUE"""),0)</f>
        <v>0</v>
      </c>
      <c r="H1476" s="7">
        <f ca="1">IFERROR(__xludf.DUMMYFUNCTION("""COMPUTED_VALUE"""),500000)</f>
        <v>500000</v>
      </c>
    </row>
    <row r="1477" spans="1:8" ht="13" x14ac:dyDescent="0.15">
      <c r="A1477" s="5" t="str">
        <f ca="1">IFERROR(__xludf.DUMMYFUNCTION("""COMPUTED_VALUE"""),"38369")</f>
        <v>38369</v>
      </c>
      <c r="B1477" s="51">
        <f ca="1">IFERROR(__xludf.DUMMYFUNCTION("""COMPUTED_VALUE"""),44598)</f>
        <v>44598</v>
      </c>
      <c r="C1477" s="22">
        <f ca="1">IFERROR(__xludf.DUMMYFUNCTION("""COMPUTED_VALUE"""),500000)</f>
        <v>500000</v>
      </c>
      <c r="D1477" s="22">
        <f ca="1">IFERROR(__xludf.DUMMYFUNCTION("""COMPUTED_VALUE"""),0)</f>
        <v>0</v>
      </c>
      <c r="E1477" s="22">
        <f ca="1">IFERROR(__xludf.DUMMYFUNCTION("""COMPUTED_VALUE"""),500000)</f>
        <v>500000</v>
      </c>
      <c r="F1477" s="22">
        <f ca="1">IFERROR(__xludf.DUMMYFUNCTION("""COMPUTED_VALUE"""),500000)</f>
        <v>500000</v>
      </c>
      <c r="G1477" s="22">
        <f ca="1">IFERROR(__xludf.DUMMYFUNCTION("""COMPUTED_VALUE"""),0)</f>
        <v>0</v>
      </c>
      <c r="H1477" s="7">
        <f ca="1">IFERROR(__xludf.DUMMYFUNCTION("""COMPUTED_VALUE"""),500000)</f>
        <v>500000</v>
      </c>
    </row>
    <row r="1478" spans="1:8" ht="13" x14ac:dyDescent="0.15">
      <c r="A1478" s="5" t="str">
        <f ca="1">IFERROR(__xludf.DUMMYFUNCTION("""COMPUTED_VALUE"""),"38369")</f>
        <v>38369</v>
      </c>
      <c r="B1478" s="51">
        <f ca="1">IFERROR(__xludf.DUMMYFUNCTION("""COMPUTED_VALUE"""),44599)</f>
        <v>44599</v>
      </c>
      <c r="C1478" s="22">
        <f ca="1">IFERROR(__xludf.DUMMYFUNCTION("""COMPUTED_VALUE"""),500000)</f>
        <v>500000</v>
      </c>
      <c r="D1478" s="22">
        <f ca="1">IFERROR(__xludf.DUMMYFUNCTION("""COMPUTED_VALUE"""),0)</f>
        <v>0</v>
      </c>
      <c r="E1478" s="22">
        <f ca="1">IFERROR(__xludf.DUMMYFUNCTION("""COMPUTED_VALUE"""),500000)</f>
        <v>500000</v>
      </c>
      <c r="F1478" s="22">
        <f ca="1">IFERROR(__xludf.DUMMYFUNCTION("""COMPUTED_VALUE"""),500000)</f>
        <v>500000</v>
      </c>
      <c r="G1478" s="22">
        <f ca="1">IFERROR(__xludf.DUMMYFUNCTION("""COMPUTED_VALUE"""),0)</f>
        <v>0</v>
      </c>
      <c r="H1478" s="7">
        <f ca="1">IFERROR(__xludf.DUMMYFUNCTION("""COMPUTED_VALUE"""),500000)</f>
        <v>500000</v>
      </c>
    </row>
    <row r="1479" spans="1:8" ht="13" x14ac:dyDescent="0.15">
      <c r="A1479" s="5" t="str">
        <f ca="1">IFERROR(__xludf.DUMMYFUNCTION("""COMPUTED_VALUE"""),"38369")</f>
        <v>38369</v>
      </c>
      <c r="B1479" s="51">
        <f ca="1">IFERROR(__xludf.DUMMYFUNCTION("""COMPUTED_VALUE"""),44600)</f>
        <v>44600</v>
      </c>
      <c r="C1479" s="22">
        <f ca="1">IFERROR(__xludf.DUMMYFUNCTION("""COMPUTED_VALUE"""),500000)</f>
        <v>500000</v>
      </c>
      <c r="D1479" s="22">
        <f ca="1">IFERROR(__xludf.DUMMYFUNCTION("""COMPUTED_VALUE"""),0)</f>
        <v>0</v>
      </c>
      <c r="E1479" s="22">
        <f ca="1">IFERROR(__xludf.DUMMYFUNCTION("""COMPUTED_VALUE"""),500000)</f>
        <v>500000</v>
      </c>
      <c r="F1479" s="22">
        <f ca="1">IFERROR(__xludf.DUMMYFUNCTION("""COMPUTED_VALUE"""),500000)</f>
        <v>500000</v>
      </c>
      <c r="G1479" s="22">
        <f ca="1">IFERROR(__xludf.DUMMYFUNCTION("""COMPUTED_VALUE"""),0)</f>
        <v>0</v>
      </c>
      <c r="H1479" s="7">
        <f ca="1">IFERROR(__xludf.DUMMYFUNCTION("""COMPUTED_VALUE"""),500000)</f>
        <v>500000</v>
      </c>
    </row>
    <row r="1480" spans="1:8" ht="13" x14ac:dyDescent="0.15">
      <c r="A1480" s="5" t="str">
        <f ca="1">IFERROR(__xludf.DUMMYFUNCTION("""COMPUTED_VALUE"""),"38369")</f>
        <v>38369</v>
      </c>
      <c r="B1480" s="51">
        <f ca="1">IFERROR(__xludf.DUMMYFUNCTION("""COMPUTED_VALUE"""),44601)</f>
        <v>44601</v>
      </c>
      <c r="C1480" s="22">
        <f ca="1">IFERROR(__xludf.DUMMYFUNCTION("""COMPUTED_VALUE"""),500000)</f>
        <v>500000</v>
      </c>
      <c r="D1480" s="22">
        <f ca="1">IFERROR(__xludf.DUMMYFUNCTION("""COMPUTED_VALUE"""),0)</f>
        <v>0</v>
      </c>
      <c r="E1480" s="22">
        <f ca="1">IFERROR(__xludf.DUMMYFUNCTION("""COMPUTED_VALUE"""),500000)</f>
        <v>500000</v>
      </c>
      <c r="F1480" s="22">
        <f ca="1">IFERROR(__xludf.DUMMYFUNCTION("""COMPUTED_VALUE"""),500000)</f>
        <v>500000</v>
      </c>
      <c r="G1480" s="22">
        <f ca="1">IFERROR(__xludf.DUMMYFUNCTION("""COMPUTED_VALUE"""),0)</f>
        <v>0</v>
      </c>
      <c r="H1480" s="7">
        <f ca="1">IFERROR(__xludf.DUMMYFUNCTION("""COMPUTED_VALUE"""),500000)</f>
        <v>500000</v>
      </c>
    </row>
    <row r="1481" spans="1:8" ht="13" x14ac:dyDescent="0.15">
      <c r="A1481" s="5" t="str">
        <f ca="1">IFERROR(__xludf.DUMMYFUNCTION("""COMPUTED_VALUE"""),"38369")</f>
        <v>38369</v>
      </c>
      <c r="B1481" s="51">
        <f ca="1">IFERROR(__xludf.DUMMYFUNCTION("""COMPUTED_VALUE"""),44602)</f>
        <v>44602</v>
      </c>
      <c r="C1481" s="22">
        <f ca="1">IFERROR(__xludf.DUMMYFUNCTION("""COMPUTED_VALUE"""),500000)</f>
        <v>500000</v>
      </c>
      <c r="D1481" s="22">
        <f ca="1">IFERROR(__xludf.DUMMYFUNCTION("""COMPUTED_VALUE"""),0)</f>
        <v>0</v>
      </c>
      <c r="E1481" s="22">
        <f ca="1">IFERROR(__xludf.DUMMYFUNCTION("""COMPUTED_VALUE"""),500000)</f>
        <v>500000</v>
      </c>
      <c r="F1481" s="22">
        <f ca="1">IFERROR(__xludf.DUMMYFUNCTION("""COMPUTED_VALUE"""),500000)</f>
        <v>500000</v>
      </c>
      <c r="G1481" s="22">
        <f ca="1">IFERROR(__xludf.DUMMYFUNCTION("""COMPUTED_VALUE"""),0)</f>
        <v>0</v>
      </c>
      <c r="H1481" s="7">
        <f ca="1">IFERROR(__xludf.DUMMYFUNCTION("""COMPUTED_VALUE"""),500000)</f>
        <v>500000</v>
      </c>
    </row>
    <row r="1482" spans="1:8" ht="13" x14ac:dyDescent="0.15">
      <c r="A1482" s="5" t="str">
        <f ca="1">IFERROR(__xludf.DUMMYFUNCTION("""COMPUTED_VALUE"""),"38369")</f>
        <v>38369</v>
      </c>
      <c r="B1482" s="51">
        <f ca="1">IFERROR(__xludf.DUMMYFUNCTION("""COMPUTED_VALUE"""),44603)</f>
        <v>44603</v>
      </c>
      <c r="C1482" s="22">
        <f ca="1">IFERROR(__xludf.DUMMYFUNCTION("""COMPUTED_VALUE"""),500000)</f>
        <v>500000</v>
      </c>
      <c r="D1482" s="22">
        <f ca="1">IFERROR(__xludf.DUMMYFUNCTION("""COMPUTED_VALUE"""),0)</f>
        <v>0</v>
      </c>
      <c r="E1482" s="22">
        <f ca="1">IFERROR(__xludf.DUMMYFUNCTION("""COMPUTED_VALUE"""),500000)</f>
        <v>500000</v>
      </c>
      <c r="F1482" s="22">
        <f ca="1">IFERROR(__xludf.DUMMYFUNCTION("""COMPUTED_VALUE"""),500000)</f>
        <v>500000</v>
      </c>
      <c r="G1482" s="22">
        <f ca="1">IFERROR(__xludf.DUMMYFUNCTION("""COMPUTED_VALUE"""),0)</f>
        <v>0</v>
      </c>
      <c r="H1482" s="7">
        <f ca="1">IFERROR(__xludf.DUMMYFUNCTION("""COMPUTED_VALUE"""),500000)</f>
        <v>500000</v>
      </c>
    </row>
    <row r="1483" spans="1:8" ht="13" x14ac:dyDescent="0.15">
      <c r="A1483" s="5" t="str">
        <f ca="1">IFERROR(__xludf.DUMMYFUNCTION("""COMPUTED_VALUE"""),"38369")</f>
        <v>38369</v>
      </c>
      <c r="B1483" s="51">
        <f ca="1">IFERROR(__xludf.DUMMYFUNCTION("""COMPUTED_VALUE"""),44604)</f>
        <v>44604</v>
      </c>
      <c r="C1483" s="22">
        <f ca="1">IFERROR(__xludf.DUMMYFUNCTION("""COMPUTED_VALUE"""),500000)</f>
        <v>500000</v>
      </c>
      <c r="D1483" s="22">
        <f ca="1">IFERROR(__xludf.DUMMYFUNCTION("""COMPUTED_VALUE"""),0)</f>
        <v>0</v>
      </c>
      <c r="E1483" s="22">
        <f ca="1">IFERROR(__xludf.DUMMYFUNCTION("""COMPUTED_VALUE"""),500000)</f>
        <v>500000</v>
      </c>
      <c r="F1483" s="22">
        <f ca="1">IFERROR(__xludf.DUMMYFUNCTION("""COMPUTED_VALUE"""),500000)</f>
        <v>500000</v>
      </c>
      <c r="G1483" s="22">
        <f ca="1">IFERROR(__xludf.DUMMYFUNCTION("""COMPUTED_VALUE"""),0)</f>
        <v>0</v>
      </c>
      <c r="H1483" s="7">
        <f ca="1">IFERROR(__xludf.DUMMYFUNCTION("""COMPUTED_VALUE"""),500000)</f>
        <v>500000</v>
      </c>
    </row>
    <row r="1484" spans="1:8" ht="13" x14ac:dyDescent="0.15">
      <c r="A1484" s="5" t="str">
        <f ca="1">IFERROR(__xludf.DUMMYFUNCTION("""COMPUTED_VALUE"""),"38369")</f>
        <v>38369</v>
      </c>
      <c r="B1484" s="51">
        <f ca="1">IFERROR(__xludf.DUMMYFUNCTION("""COMPUTED_VALUE"""),44605)</f>
        <v>44605</v>
      </c>
      <c r="C1484" s="22">
        <f ca="1">IFERROR(__xludf.DUMMYFUNCTION("""COMPUTED_VALUE"""),500000)</f>
        <v>500000</v>
      </c>
      <c r="D1484" s="22">
        <f ca="1">IFERROR(__xludf.DUMMYFUNCTION("""COMPUTED_VALUE"""),0)</f>
        <v>0</v>
      </c>
      <c r="E1484" s="22">
        <f ca="1">IFERROR(__xludf.DUMMYFUNCTION("""COMPUTED_VALUE"""),500000)</f>
        <v>500000</v>
      </c>
      <c r="F1484" s="22">
        <f ca="1">IFERROR(__xludf.DUMMYFUNCTION("""COMPUTED_VALUE"""),500000)</f>
        <v>500000</v>
      </c>
      <c r="G1484" s="22">
        <f ca="1">IFERROR(__xludf.DUMMYFUNCTION("""COMPUTED_VALUE"""),0)</f>
        <v>0</v>
      </c>
      <c r="H1484" s="7">
        <f ca="1">IFERROR(__xludf.DUMMYFUNCTION("""COMPUTED_VALUE"""),500000)</f>
        <v>500000</v>
      </c>
    </row>
    <row r="1485" spans="1:8" ht="13" x14ac:dyDescent="0.15">
      <c r="A1485" s="5" t="str">
        <f ca="1">IFERROR(__xludf.DUMMYFUNCTION("""COMPUTED_VALUE"""),"38369")</f>
        <v>38369</v>
      </c>
      <c r="B1485" s="51">
        <f ca="1">IFERROR(__xludf.DUMMYFUNCTION("""COMPUTED_VALUE"""),44606)</f>
        <v>44606</v>
      </c>
      <c r="C1485" s="22">
        <f ca="1">IFERROR(__xludf.DUMMYFUNCTION("""COMPUTED_VALUE"""),500000)</f>
        <v>500000</v>
      </c>
      <c r="D1485" s="22">
        <f ca="1">IFERROR(__xludf.DUMMYFUNCTION("""COMPUTED_VALUE"""),0)</f>
        <v>0</v>
      </c>
      <c r="E1485" s="22">
        <f ca="1">IFERROR(__xludf.DUMMYFUNCTION("""COMPUTED_VALUE"""),500000)</f>
        <v>500000</v>
      </c>
      <c r="F1485" s="22">
        <f ca="1">IFERROR(__xludf.DUMMYFUNCTION("""COMPUTED_VALUE"""),500000)</f>
        <v>500000</v>
      </c>
      <c r="G1485" s="22">
        <f ca="1">IFERROR(__xludf.DUMMYFUNCTION("""COMPUTED_VALUE"""),0)</f>
        <v>0</v>
      </c>
      <c r="H1485" s="7">
        <f ca="1">IFERROR(__xludf.DUMMYFUNCTION("""COMPUTED_VALUE"""),500000)</f>
        <v>500000</v>
      </c>
    </row>
    <row r="1486" spans="1:8" ht="13" x14ac:dyDescent="0.15">
      <c r="A1486" s="5" t="str">
        <f ca="1">IFERROR(__xludf.DUMMYFUNCTION("""COMPUTED_VALUE"""),"38369")</f>
        <v>38369</v>
      </c>
      <c r="B1486" s="51">
        <f ca="1">IFERROR(__xludf.DUMMYFUNCTION("""COMPUTED_VALUE"""),44607)</f>
        <v>44607</v>
      </c>
      <c r="C1486" s="22">
        <f ca="1">IFERROR(__xludf.DUMMYFUNCTION("""COMPUTED_VALUE"""),500000)</f>
        <v>500000</v>
      </c>
      <c r="D1486" s="22">
        <f ca="1">IFERROR(__xludf.DUMMYFUNCTION("""COMPUTED_VALUE"""),0)</f>
        <v>0</v>
      </c>
      <c r="E1486" s="22">
        <f ca="1">IFERROR(__xludf.DUMMYFUNCTION("""COMPUTED_VALUE"""),500000)</f>
        <v>500000</v>
      </c>
      <c r="F1486" s="22">
        <f ca="1">IFERROR(__xludf.DUMMYFUNCTION("""COMPUTED_VALUE"""),500000)</f>
        <v>500000</v>
      </c>
      <c r="G1486" s="22">
        <f ca="1">IFERROR(__xludf.DUMMYFUNCTION("""COMPUTED_VALUE"""),0)</f>
        <v>0</v>
      </c>
      <c r="H1486" s="7">
        <f ca="1">IFERROR(__xludf.DUMMYFUNCTION("""COMPUTED_VALUE"""),500000)</f>
        <v>500000</v>
      </c>
    </row>
    <row r="1487" spans="1:8" ht="13" x14ac:dyDescent="0.15">
      <c r="A1487" s="5" t="str">
        <f ca="1">IFERROR(__xludf.DUMMYFUNCTION("""COMPUTED_VALUE"""),"38369")</f>
        <v>38369</v>
      </c>
      <c r="B1487" s="51">
        <f ca="1">IFERROR(__xludf.DUMMYFUNCTION("""COMPUTED_VALUE"""),44608)</f>
        <v>44608</v>
      </c>
      <c r="C1487" s="22">
        <f ca="1">IFERROR(__xludf.DUMMYFUNCTION("""COMPUTED_VALUE"""),500000)</f>
        <v>500000</v>
      </c>
      <c r="D1487" s="22">
        <f ca="1">IFERROR(__xludf.DUMMYFUNCTION("""COMPUTED_VALUE"""),0)</f>
        <v>0</v>
      </c>
      <c r="E1487" s="22">
        <f ca="1">IFERROR(__xludf.DUMMYFUNCTION("""COMPUTED_VALUE"""),500000)</f>
        <v>500000</v>
      </c>
      <c r="F1487" s="22">
        <f ca="1">IFERROR(__xludf.DUMMYFUNCTION("""COMPUTED_VALUE"""),500000)</f>
        <v>500000</v>
      </c>
      <c r="G1487" s="22">
        <f ca="1">IFERROR(__xludf.DUMMYFUNCTION("""COMPUTED_VALUE"""),0)</f>
        <v>0</v>
      </c>
      <c r="H1487" s="7">
        <f ca="1">IFERROR(__xludf.DUMMYFUNCTION("""COMPUTED_VALUE"""),500000)</f>
        <v>500000</v>
      </c>
    </row>
    <row r="1488" spans="1:8" ht="13" x14ac:dyDescent="0.15">
      <c r="A1488" s="5" t="str">
        <f ca="1">IFERROR(__xludf.DUMMYFUNCTION("""COMPUTED_VALUE"""),"38369")</f>
        <v>38369</v>
      </c>
      <c r="B1488" s="51">
        <f ca="1">IFERROR(__xludf.DUMMYFUNCTION("""COMPUTED_VALUE"""),44609)</f>
        <v>44609</v>
      </c>
      <c r="C1488" s="22">
        <f ca="1">IFERROR(__xludf.DUMMYFUNCTION("""COMPUTED_VALUE"""),500000)</f>
        <v>500000</v>
      </c>
      <c r="D1488" s="22">
        <f ca="1">IFERROR(__xludf.DUMMYFUNCTION("""COMPUTED_VALUE"""),0)</f>
        <v>0</v>
      </c>
      <c r="E1488" s="22">
        <f ca="1">IFERROR(__xludf.DUMMYFUNCTION("""COMPUTED_VALUE"""),500000)</f>
        <v>500000</v>
      </c>
      <c r="F1488" s="22">
        <f ca="1">IFERROR(__xludf.DUMMYFUNCTION("""COMPUTED_VALUE"""),500000)</f>
        <v>500000</v>
      </c>
      <c r="G1488" s="22">
        <f ca="1">IFERROR(__xludf.DUMMYFUNCTION("""COMPUTED_VALUE"""),0)</f>
        <v>0</v>
      </c>
      <c r="H1488" s="7">
        <f ca="1">IFERROR(__xludf.DUMMYFUNCTION("""COMPUTED_VALUE"""),500000)</f>
        <v>500000</v>
      </c>
    </row>
    <row r="1489" spans="1:8" ht="13" x14ac:dyDescent="0.15">
      <c r="A1489" s="5" t="str">
        <f ca="1">IFERROR(__xludf.DUMMYFUNCTION("""COMPUTED_VALUE"""),"38369")</f>
        <v>38369</v>
      </c>
      <c r="B1489" s="51">
        <f ca="1">IFERROR(__xludf.DUMMYFUNCTION("""COMPUTED_VALUE"""),44610)</f>
        <v>44610</v>
      </c>
      <c r="C1489" s="22">
        <f ca="1">IFERROR(__xludf.DUMMYFUNCTION("""COMPUTED_VALUE"""),500000)</f>
        <v>500000</v>
      </c>
      <c r="D1489" s="22">
        <f ca="1">IFERROR(__xludf.DUMMYFUNCTION("""COMPUTED_VALUE"""),0)</f>
        <v>0</v>
      </c>
      <c r="E1489" s="22">
        <f ca="1">IFERROR(__xludf.DUMMYFUNCTION("""COMPUTED_VALUE"""),500000)</f>
        <v>500000</v>
      </c>
      <c r="F1489" s="22">
        <f ca="1">IFERROR(__xludf.DUMMYFUNCTION("""COMPUTED_VALUE"""),500000)</f>
        <v>500000</v>
      </c>
      <c r="G1489" s="22">
        <f ca="1">IFERROR(__xludf.DUMMYFUNCTION("""COMPUTED_VALUE"""),0)</f>
        <v>0</v>
      </c>
      <c r="H1489" s="7">
        <f ca="1">IFERROR(__xludf.DUMMYFUNCTION("""COMPUTED_VALUE"""),500000)</f>
        <v>500000</v>
      </c>
    </row>
    <row r="1490" spans="1:8" ht="13" x14ac:dyDescent="0.15">
      <c r="A1490" s="5" t="str">
        <f ca="1">IFERROR(__xludf.DUMMYFUNCTION("""COMPUTED_VALUE"""),"38369")</f>
        <v>38369</v>
      </c>
      <c r="B1490" s="51">
        <f ca="1">IFERROR(__xludf.DUMMYFUNCTION("""COMPUTED_VALUE"""),44611)</f>
        <v>44611</v>
      </c>
      <c r="C1490" s="22">
        <f ca="1">IFERROR(__xludf.DUMMYFUNCTION("""COMPUTED_VALUE"""),500000)</f>
        <v>500000</v>
      </c>
      <c r="D1490" s="22">
        <f ca="1">IFERROR(__xludf.DUMMYFUNCTION("""COMPUTED_VALUE"""),0)</f>
        <v>0</v>
      </c>
      <c r="E1490" s="22">
        <f ca="1">IFERROR(__xludf.DUMMYFUNCTION("""COMPUTED_VALUE"""),500000)</f>
        <v>500000</v>
      </c>
      <c r="F1490" s="22">
        <f ca="1">IFERROR(__xludf.DUMMYFUNCTION("""COMPUTED_VALUE"""),500000)</f>
        <v>500000</v>
      </c>
      <c r="G1490" s="22">
        <f ca="1">IFERROR(__xludf.DUMMYFUNCTION("""COMPUTED_VALUE"""),0)</f>
        <v>0</v>
      </c>
      <c r="H1490" s="7">
        <f ca="1">IFERROR(__xludf.DUMMYFUNCTION("""COMPUTED_VALUE"""),500000)</f>
        <v>500000</v>
      </c>
    </row>
    <row r="1491" spans="1:8" ht="13" x14ac:dyDescent="0.15">
      <c r="A1491" s="5" t="str">
        <f ca="1">IFERROR(__xludf.DUMMYFUNCTION("""COMPUTED_VALUE"""),"38369")</f>
        <v>38369</v>
      </c>
      <c r="B1491" s="51">
        <f ca="1">IFERROR(__xludf.DUMMYFUNCTION("""COMPUTED_VALUE"""),44612)</f>
        <v>44612</v>
      </c>
      <c r="C1491" s="22">
        <f ca="1">IFERROR(__xludf.DUMMYFUNCTION("""COMPUTED_VALUE"""),500000)</f>
        <v>500000</v>
      </c>
      <c r="D1491" s="22">
        <f ca="1">IFERROR(__xludf.DUMMYFUNCTION("""COMPUTED_VALUE"""),0)</f>
        <v>0</v>
      </c>
      <c r="E1491" s="22">
        <f ca="1">IFERROR(__xludf.DUMMYFUNCTION("""COMPUTED_VALUE"""),500000)</f>
        <v>500000</v>
      </c>
      <c r="F1491" s="22">
        <f ca="1">IFERROR(__xludf.DUMMYFUNCTION("""COMPUTED_VALUE"""),500000)</f>
        <v>500000</v>
      </c>
      <c r="G1491" s="22">
        <f ca="1">IFERROR(__xludf.DUMMYFUNCTION("""COMPUTED_VALUE"""),0)</f>
        <v>0</v>
      </c>
      <c r="H1491" s="7">
        <f ca="1">IFERROR(__xludf.DUMMYFUNCTION("""COMPUTED_VALUE"""),500000)</f>
        <v>500000</v>
      </c>
    </row>
    <row r="1492" spans="1:8" ht="13" x14ac:dyDescent="0.15">
      <c r="A1492" s="5" t="str">
        <f ca="1">IFERROR(__xludf.DUMMYFUNCTION("""COMPUTED_VALUE"""),"38369")</f>
        <v>38369</v>
      </c>
      <c r="B1492" s="51">
        <f ca="1">IFERROR(__xludf.DUMMYFUNCTION("""COMPUTED_VALUE"""),44613)</f>
        <v>44613</v>
      </c>
      <c r="C1492" s="22">
        <f ca="1">IFERROR(__xludf.DUMMYFUNCTION("""COMPUTED_VALUE"""),500000)</f>
        <v>500000</v>
      </c>
      <c r="D1492" s="22">
        <f ca="1">IFERROR(__xludf.DUMMYFUNCTION("""COMPUTED_VALUE"""),0)</f>
        <v>0</v>
      </c>
      <c r="E1492" s="22">
        <f ca="1">IFERROR(__xludf.DUMMYFUNCTION("""COMPUTED_VALUE"""),500000)</f>
        <v>500000</v>
      </c>
      <c r="F1492" s="22">
        <f ca="1">IFERROR(__xludf.DUMMYFUNCTION("""COMPUTED_VALUE"""),500000)</f>
        <v>500000</v>
      </c>
      <c r="G1492" s="22">
        <f ca="1">IFERROR(__xludf.DUMMYFUNCTION("""COMPUTED_VALUE"""),0)</f>
        <v>0</v>
      </c>
      <c r="H1492" s="7">
        <f ca="1">IFERROR(__xludf.DUMMYFUNCTION("""COMPUTED_VALUE"""),500000)</f>
        <v>500000</v>
      </c>
    </row>
    <row r="1493" spans="1:8" ht="13" x14ac:dyDescent="0.15">
      <c r="A1493" s="5" t="str">
        <f ca="1">IFERROR(__xludf.DUMMYFUNCTION("""COMPUTED_VALUE"""),"38369")</f>
        <v>38369</v>
      </c>
      <c r="B1493" s="51">
        <f ca="1">IFERROR(__xludf.DUMMYFUNCTION("""COMPUTED_VALUE"""),44614)</f>
        <v>44614</v>
      </c>
      <c r="C1493" s="22">
        <f ca="1">IFERROR(__xludf.DUMMYFUNCTION("""COMPUTED_VALUE"""),500000)</f>
        <v>500000</v>
      </c>
      <c r="D1493" s="22">
        <f ca="1">IFERROR(__xludf.DUMMYFUNCTION("""COMPUTED_VALUE"""),0)</f>
        <v>0</v>
      </c>
      <c r="E1493" s="22">
        <f ca="1">IFERROR(__xludf.DUMMYFUNCTION("""COMPUTED_VALUE"""),500000)</f>
        <v>500000</v>
      </c>
      <c r="F1493" s="22">
        <f ca="1">IFERROR(__xludf.DUMMYFUNCTION("""COMPUTED_VALUE"""),500000)</f>
        <v>500000</v>
      </c>
      <c r="G1493" s="22">
        <f ca="1">IFERROR(__xludf.DUMMYFUNCTION("""COMPUTED_VALUE"""),0)</f>
        <v>0</v>
      </c>
      <c r="H1493" s="7">
        <f ca="1">IFERROR(__xludf.DUMMYFUNCTION("""COMPUTED_VALUE"""),500000)</f>
        <v>500000</v>
      </c>
    </row>
    <row r="1494" spans="1:8" ht="13" x14ac:dyDescent="0.15">
      <c r="A1494" s="5" t="str">
        <f ca="1">IFERROR(__xludf.DUMMYFUNCTION("""COMPUTED_VALUE"""),"38369")</f>
        <v>38369</v>
      </c>
      <c r="B1494" s="51">
        <f ca="1">IFERROR(__xludf.DUMMYFUNCTION("""COMPUTED_VALUE"""),44615)</f>
        <v>44615</v>
      </c>
      <c r="C1494" s="22">
        <f ca="1">IFERROR(__xludf.DUMMYFUNCTION("""COMPUTED_VALUE"""),500000)</f>
        <v>500000</v>
      </c>
      <c r="D1494" s="22">
        <f ca="1">IFERROR(__xludf.DUMMYFUNCTION("""COMPUTED_VALUE"""),0)</f>
        <v>0</v>
      </c>
      <c r="E1494" s="22">
        <f ca="1">IFERROR(__xludf.DUMMYFUNCTION("""COMPUTED_VALUE"""),500000)</f>
        <v>500000</v>
      </c>
      <c r="F1494" s="22">
        <f ca="1">IFERROR(__xludf.DUMMYFUNCTION("""COMPUTED_VALUE"""),500000)</f>
        <v>500000</v>
      </c>
      <c r="G1494" s="22">
        <f ca="1">IFERROR(__xludf.DUMMYFUNCTION("""COMPUTED_VALUE"""),0)</f>
        <v>0</v>
      </c>
      <c r="H1494" s="7">
        <f ca="1">IFERROR(__xludf.DUMMYFUNCTION("""COMPUTED_VALUE"""),500000)</f>
        <v>500000</v>
      </c>
    </row>
    <row r="1495" spans="1:8" ht="13" x14ac:dyDescent="0.15">
      <c r="A1495" s="5" t="str">
        <f ca="1">IFERROR(__xludf.DUMMYFUNCTION("""COMPUTED_VALUE"""),"38369")</f>
        <v>38369</v>
      </c>
      <c r="B1495" s="51">
        <f ca="1">IFERROR(__xludf.DUMMYFUNCTION("""COMPUTED_VALUE"""),44616)</f>
        <v>44616</v>
      </c>
      <c r="C1495" s="22">
        <f ca="1">IFERROR(__xludf.DUMMYFUNCTION("""COMPUTED_VALUE"""),500000)</f>
        <v>500000</v>
      </c>
      <c r="D1495" s="22">
        <f ca="1">IFERROR(__xludf.DUMMYFUNCTION("""COMPUTED_VALUE"""),0)</f>
        <v>0</v>
      </c>
      <c r="E1495" s="22">
        <f ca="1">IFERROR(__xludf.DUMMYFUNCTION("""COMPUTED_VALUE"""),500000)</f>
        <v>500000</v>
      </c>
      <c r="F1495" s="22">
        <f ca="1">IFERROR(__xludf.DUMMYFUNCTION("""COMPUTED_VALUE"""),500000)</f>
        <v>500000</v>
      </c>
      <c r="G1495" s="22">
        <f ca="1">IFERROR(__xludf.DUMMYFUNCTION("""COMPUTED_VALUE"""),0)</f>
        <v>0</v>
      </c>
      <c r="H1495" s="7">
        <f ca="1">IFERROR(__xludf.DUMMYFUNCTION("""COMPUTED_VALUE"""),500000)</f>
        <v>500000</v>
      </c>
    </row>
    <row r="1496" spans="1:8" ht="13" x14ac:dyDescent="0.15">
      <c r="A1496" s="5" t="str">
        <f ca="1">IFERROR(__xludf.DUMMYFUNCTION("""COMPUTED_VALUE"""),"38369")</f>
        <v>38369</v>
      </c>
      <c r="B1496" s="51">
        <f ca="1">IFERROR(__xludf.DUMMYFUNCTION("""COMPUTED_VALUE"""),44617)</f>
        <v>44617</v>
      </c>
      <c r="C1496" s="22">
        <f ca="1">IFERROR(__xludf.DUMMYFUNCTION("""COMPUTED_VALUE"""),500000)</f>
        <v>500000</v>
      </c>
      <c r="D1496" s="22">
        <f ca="1">IFERROR(__xludf.DUMMYFUNCTION("""COMPUTED_VALUE"""),0)</f>
        <v>0</v>
      </c>
      <c r="E1496" s="22">
        <f ca="1">IFERROR(__xludf.DUMMYFUNCTION("""COMPUTED_VALUE"""),500000)</f>
        <v>500000</v>
      </c>
      <c r="F1496" s="22">
        <f ca="1">IFERROR(__xludf.DUMMYFUNCTION("""COMPUTED_VALUE"""),500000)</f>
        <v>500000</v>
      </c>
      <c r="G1496" s="22">
        <f ca="1">IFERROR(__xludf.DUMMYFUNCTION("""COMPUTED_VALUE"""),0)</f>
        <v>0</v>
      </c>
      <c r="H1496" s="7">
        <f ca="1">IFERROR(__xludf.DUMMYFUNCTION("""COMPUTED_VALUE"""),500000)</f>
        <v>500000</v>
      </c>
    </row>
    <row r="1497" spans="1:8" ht="13" x14ac:dyDescent="0.15">
      <c r="A1497" s="5" t="str">
        <f ca="1">IFERROR(__xludf.DUMMYFUNCTION("""COMPUTED_VALUE"""),"38369")</f>
        <v>38369</v>
      </c>
      <c r="B1497" s="51">
        <f ca="1">IFERROR(__xludf.DUMMYFUNCTION("""COMPUTED_VALUE"""),44618)</f>
        <v>44618</v>
      </c>
      <c r="C1497" s="22">
        <f ca="1">IFERROR(__xludf.DUMMYFUNCTION("""COMPUTED_VALUE"""),500000)</f>
        <v>500000</v>
      </c>
      <c r="D1497" s="22">
        <f ca="1">IFERROR(__xludf.DUMMYFUNCTION("""COMPUTED_VALUE"""),0)</f>
        <v>0</v>
      </c>
      <c r="E1497" s="22">
        <f ca="1">IFERROR(__xludf.DUMMYFUNCTION("""COMPUTED_VALUE"""),500000)</f>
        <v>500000</v>
      </c>
      <c r="F1497" s="22">
        <f ca="1">IFERROR(__xludf.DUMMYFUNCTION("""COMPUTED_VALUE"""),500000)</f>
        <v>500000</v>
      </c>
      <c r="G1497" s="22">
        <f ca="1">IFERROR(__xludf.DUMMYFUNCTION("""COMPUTED_VALUE"""),0)</f>
        <v>0</v>
      </c>
      <c r="H1497" s="7">
        <f ca="1">IFERROR(__xludf.DUMMYFUNCTION("""COMPUTED_VALUE"""),500000)</f>
        <v>500000</v>
      </c>
    </row>
    <row r="1498" spans="1:8" ht="13" x14ac:dyDescent="0.15">
      <c r="A1498" s="5" t="str">
        <f ca="1">IFERROR(__xludf.DUMMYFUNCTION("""COMPUTED_VALUE"""),"38369")</f>
        <v>38369</v>
      </c>
      <c r="B1498" s="51">
        <f ca="1">IFERROR(__xludf.DUMMYFUNCTION("""COMPUTED_VALUE"""),44619)</f>
        <v>44619</v>
      </c>
      <c r="C1498" s="22">
        <f ca="1">IFERROR(__xludf.DUMMYFUNCTION("""COMPUTED_VALUE"""),500000)</f>
        <v>500000</v>
      </c>
      <c r="D1498" s="22">
        <f ca="1">IFERROR(__xludf.DUMMYFUNCTION("""COMPUTED_VALUE"""),0)</f>
        <v>0</v>
      </c>
      <c r="E1498" s="22">
        <f ca="1">IFERROR(__xludf.DUMMYFUNCTION("""COMPUTED_VALUE"""),500000)</f>
        <v>500000</v>
      </c>
      <c r="F1498" s="22">
        <f ca="1">IFERROR(__xludf.DUMMYFUNCTION("""COMPUTED_VALUE"""),500000)</f>
        <v>500000</v>
      </c>
      <c r="G1498" s="22">
        <f ca="1">IFERROR(__xludf.DUMMYFUNCTION("""COMPUTED_VALUE"""),0)</f>
        <v>0</v>
      </c>
      <c r="H1498" s="7">
        <f ca="1">IFERROR(__xludf.DUMMYFUNCTION("""COMPUTED_VALUE"""),500000)</f>
        <v>500000</v>
      </c>
    </row>
    <row r="1499" spans="1:8" ht="13" x14ac:dyDescent="0.15">
      <c r="A1499" s="5" t="str">
        <f ca="1">IFERROR(__xludf.DUMMYFUNCTION("""COMPUTED_VALUE"""),"38369")</f>
        <v>38369</v>
      </c>
      <c r="B1499" s="51">
        <f ca="1">IFERROR(__xludf.DUMMYFUNCTION("""COMPUTED_VALUE"""),44620)</f>
        <v>44620</v>
      </c>
      <c r="C1499" s="22">
        <f ca="1">IFERROR(__xludf.DUMMYFUNCTION("""COMPUTED_VALUE"""),500000)</f>
        <v>500000</v>
      </c>
      <c r="D1499" s="22">
        <f ca="1">IFERROR(__xludf.DUMMYFUNCTION("""COMPUTED_VALUE"""),0)</f>
        <v>0</v>
      </c>
      <c r="E1499" s="22">
        <f ca="1">IFERROR(__xludf.DUMMYFUNCTION("""COMPUTED_VALUE"""),500000)</f>
        <v>500000</v>
      </c>
      <c r="F1499" s="22">
        <f ca="1">IFERROR(__xludf.DUMMYFUNCTION("""COMPUTED_VALUE"""),500000)</f>
        <v>500000</v>
      </c>
      <c r="G1499" s="22">
        <f ca="1">IFERROR(__xludf.DUMMYFUNCTION("""COMPUTED_VALUE"""),0)</f>
        <v>0</v>
      </c>
      <c r="H1499" s="7">
        <f ca="1">IFERROR(__xludf.DUMMYFUNCTION("""COMPUTED_VALUE"""),500000)</f>
        <v>500000</v>
      </c>
    </row>
    <row r="1500" spans="1:8" ht="13" x14ac:dyDescent="0.15">
      <c r="A1500" s="5" t="str">
        <f ca="1">IFERROR(__xludf.DUMMYFUNCTION("""COMPUTED_VALUE"""),"38369")</f>
        <v>38369</v>
      </c>
      <c r="B1500" s="51">
        <f ca="1">IFERROR(__xludf.DUMMYFUNCTION("""COMPUTED_VALUE"""),44621)</f>
        <v>44621</v>
      </c>
      <c r="C1500" s="22">
        <f ca="1">IFERROR(__xludf.DUMMYFUNCTION("""COMPUTED_VALUE"""),500000)</f>
        <v>500000</v>
      </c>
      <c r="D1500" s="22">
        <f ca="1">IFERROR(__xludf.DUMMYFUNCTION("""COMPUTED_VALUE"""),0)</f>
        <v>0</v>
      </c>
      <c r="E1500" s="22">
        <f ca="1">IFERROR(__xludf.DUMMYFUNCTION("""COMPUTED_VALUE"""),500000)</f>
        <v>500000</v>
      </c>
      <c r="F1500" s="22">
        <f ca="1">IFERROR(__xludf.DUMMYFUNCTION("""COMPUTED_VALUE"""),500000)</f>
        <v>500000</v>
      </c>
      <c r="G1500" s="22">
        <f ca="1">IFERROR(__xludf.DUMMYFUNCTION("""COMPUTED_VALUE"""),0)</f>
        <v>0</v>
      </c>
      <c r="H1500" s="7">
        <f ca="1">IFERROR(__xludf.DUMMYFUNCTION("""COMPUTED_VALUE"""),500000)</f>
        <v>500000</v>
      </c>
    </row>
    <row r="1501" spans="1:8" ht="13" x14ac:dyDescent="0.15">
      <c r="A1501" s="5" t="str">
        <f ca="1">IFERROR(__xludf.DUMMYFUNCTION("""COMPUTED_VALUE"""),"38369")</f>
        <v>38369</v>
      </c>
      <c r="B1501" s="51">
        <f ca="1">IFERROR(__xludf.DUMMYFUNCTION("""COMPUTED_VALUE"""),44622)</f>
        <v>44622</v>
      </c>
      <c r="C1501" s="22">
        <f ca="1">IFERROR(__xludf.DUMMYFUNCTION("""COMPUTED_VALUE"""),500000)</f>
        <v>500000</v>
      </c>
      <c r="D1501" s="22">
        <f ca="1">IFERROR(__xludf.DUMMYFUNCTION("""COMPUTED_VALUE"""),0)</f>
        <v>0</v>
      </c>
      <c r="E1501" s="22">
        <f ca="1">IFERROR(__xludf.DUMMYFUNCTION("""COMPUTED_VALUE"""),500000)</f>
        <v>500000</v>
      </c>
      <c r="F1501" s="22">
        <f ca="1">IFERROR(__xludf.DUMMYFUNCTION("""COMPUTED_VALUE"""),500000)</f>
        <v>500000</v>
      </c>
      <c r="G1501" s="22">
        <f ca="1">IFERROR(__xludf.DUMMYFUNCTION("""COMPUTED_VALUE"""),0)</f>
        <v>0</v>
      </c>
      <c r="H1501" s="7">
        <f ca="1">IFERROR(__xludf.DUMMYFUNCTION("""COMPUTED_VALUE"""),500000)</f>
        <v>500000</v>
      </c>
    </row>
    <row r="1502" spans="1:8" ht="13" x14ac:dyDescent="0.15">
      <c r="A1502" s="5" t="str">
        <f ca="1">IFERROR(__xludf.DUMMYFUNCTION("""COMPUTED_VALUE"""),"38369")</f>
        <v>38369</v>
      </c>
      <c r="B1502" s="51">
        <f ca="1">IFERROR(__xludf.DUMMYFUNCTION("""COMPUTED_VALUE"""),44623)</f>
        <v>44623</v>
      </c>
      <c r="C1502" s="22">
        <f ca="1">IFERROR(__xludf.DUMMYFUNCTION("""COMPUTED_VALUE"""),500000)</f>
        <v>500000</v>
      </c>
      <c r="D1502" s="22">
        <f ca="1">IFERROR(__xludf.DUMMYFUNCTION("""COMPUTED_VALUE"""),0)</f>
        <v>0</v>
      </c>
      <c r="E1502" s="22">
        <f ca="1">IFERROR(__xludf.DUMMYFUNCTION("""COMPUTED_VALUE"""),500000)</f>
        <v>500000</v>
      </c>
      <c r="F1502" s="22">
        <f ca="1">IFERROR(__xludf.DUMMYFUNCTION("""COMPUTED_VALUE"""),500000)</f>
        <v>500000</v>
      </c>
      <c r="G1502" s="22">
        <f ca="1">IFERROR(__xludf.DUMMYFUNCTION("""COMPUTED_VALUE"""),0)</f>
        <v>0</v>
      </c>
      <c r="H1502" s="7">
        <f ca="1">IFERROR(__xludf.DUMMYFUNCTION("""COMPUTED_VALUE"""),500000)</f>
        <v>500000</v>
      </c>
    </row>
    <row r="1503" spans="1:8" ht="13" x14ac:dyDescent="0.15">
      <c r="A1503" s="5" t="str">
        <f ca="1">IFERROR(__xludf.DUMMYFUNCTION("""COMPUTED_VALUE"""),"38369")</f>
        <v>38369</v>
      </c>
      <c r="B1503" s="51">
        <f ca="1">IFERROR(__xludf.DUMMYFUNCTION("""COMPUTED_VALUE"""),44624)</f>
        <v>44624</v>
      </c>
      <c r="C1503" s="22">
        <f ca="1">IFERROR(__xludf.DUMMYFUNCTION("""COMPUTED_VALUE"""),500000)</f>
        <v>500000</v>
      </c>
      <c r="D1503" s="22">
        <f ca="1">IFERROR(__xludf.DUMMYFUNCTION("""COMPUTED_VALUE"""),0)</f>
        <v>0</v>
      </c>
      <c r="E1503" s="22">
        <f ca="1">IFERROR(__xludf.DUMMYFUNCTION("""COMPUTED_VALUE"""),500000)</f>
        <v>500000</v>
      </c>
      <c r="F1503" s="22">
        <f ca="1">IFERROR(__xludf.DUMMYFUNCTION("""COMPUTED_VALUE"""),500000)</f>
        <v>500000</v>
      </c>
      <c r="G1503" s="22">
        <f ca="1">IFERROR(__xludf.DUMMYFUNCTION("""COMPUTED_VALUE"""),0)</f>
        <v>0</v>
      </c>
      <c r="H1503" s="7">
        <f ca="1">IFERROR(__xludf.DUMMYFUNCTION("""COMPUTED_VALUE"""),500000)</f>
        <v>500000</v>
      </c>
    </row>
    <row r="1504" spans="1:8" ht="13" x14ac:dyDescent="0.15">
      <c r="A1504" s="5" t="str">
        <f ca="1">IFERROR(__xludf.DUMMYFUNCTION("""COMPUTED_VALUE"""),"38369")</f>
        <v>38369</v>
      </c>
      <c r="B1504" s="51">
        <f ca="1">IFERROR(__xludf.DUMMYFUNCTION("""COMPUTED_VALUE"""),44625)</f>
        <v>44625</v>
      </c>
      <c r="C1504" s="22">
        <f ca="1">IFERROR(__xludf.DUMMYFUNCTION("""COMPUTED_VALUE"""),500000)</f>
        <v>500000</v>
      </c>
      <c r="D1504" s="22">
        <f ca="1">IFERROR(__xludf.DUMMYFUNCTION("""COMPUTED_VALUE"""),0)</f>
        <v>0</v>
      </c>
      <c r="E1504" s="22">
        <f ca="1">IFERROR(__xludf.DUMMYFUNCTION("""COMPUTED_VALUE"""),500000)</f>
        <v>500000</v>
      </c>
      <c r="F1504" s="22">
        <f ca="1">IFERROR(__xludf.DUMMYFUNCTION("""COMPUTED_VALUE"""),500000)</f>
        <v>500000</v>
      </c>
      <c r="G1504" s="22">
        <f ca="1">IFERROR(__xludf.DUMMYFUNCTION("""COMPUTED_VALUE"""),0)</f>
        <v>0</v>
      </c>
      <c r="H1504" s="7">
        <f ca="1">IFERROR(__xludf.DUMMYFUNCTION("""COMPUTED_VALUE"""),500000)</f>
        <v>500000</v>
      </c>
    </row>
    <row r="1505" spans="1:8" ht="13" x14ac:dyDescent="0.15">
      <c r="A1505" s="5" t="str">
        <f ca="1">IFERROR(__xludf.DUMMYFUNCTION("""COMPUTED_VALUE"""),"38369")</f>
        <v>38369</v>
      </c>
      <c r="B1505" s="51">
        <f ca="1">IFERROR(__xludf.DUMMYFUNCTION("""COMPUTED_VALUE"""),44626)</f>
        <v>44626</v>
      </c>
      <c r="C1505" s="22">
        <f ca="1">IFERROR(__xludf.DUMMYFUNCTION("""COMPUTED_VALUE"""),500000)</f>
        <v>500000</v>
      </c>
      <c r="D1505" s="22">
        <f ca="1">IFERROR(__xludf.DUMMYFUNCTION("""COMPUTED_VALUE"""),0)</f>
        <v>0</v>
      </c>
      <c r="E1505" s="22">
        <f ca="1">IFERROR(__xludf.DUMMYFUNCTION("""COMPUTED_VALUE"""),500000)</f>
        <v>500000</v>
      </c>
      <c r="F1505" s="22">
        <f ca="1">IFERROR(__xludf.DUMMYFUNCTION("""COMPUTED_VALUE"""),500000)</f>
        <v>500000</v>
      </c>
      <c r="G1505" s="22">
        <f ca="1">IFERROR(__xludf.DUMMYFUNCTION("""COMPUTED_VALUE"""),0)</f>
        <v>0</v>
      </c>
      <c r="H1505" s="7">
        <f ca="1">IFERROR(__xludf.DUMMYFUNCTION("""COMPUTED_VALUE"""),500000)</f>
        <v>500000</v>
      </c>
    </row>
    <row r="1506" spans="1:8" ht="13" x14ac:dyDescent="0.15">
      <c r="A1506" s="5" t="str">
        <f ca="1">IFERROR(__xludf.DUMMYFUNCTION("""COMPUTED_VALUE"""),"38369")</f>
        <v>38369</v>
      </c>
      <c r="B1506" s="51">
        <f ca="1">IFERROR(__xludf.DUMMYFUNCTION("""COMPUTED_VALUE"""),44627)</f>
        <v>44627</v>
      </c>
      <c r="C1506" s="22">
        <f ca="1">IFERROR(__xludf.DUMMYFUNCTION("""COMPUTED_VALUE"""),500000)</f>
        <v>500000</v>
      </c>
      <c r="D1506" s="22">
        <f ca="1">IFERROR(__xludf.DUMMYFUNCTION("""COMPUTED_VALUE"""),0)</f>
        <v>0</v>
      </c>
      <c r="E1506" s="22">
        <f ca="1">IFERROR(__xludf.DUMMYFUNCTION("""COMPUTED_VALUE"""),500000)</f>
        <v>500000</v>
      </c>
      <c r="F1506" s="22">
        <f ca="1">IFERROR(__xludf.DUMMYFUNCTION("""COMPUTED_VALUE"""),500000)</f>
        <v>500000</v>
      </c>
      <c r="G1506" s="22">
        <f ca="1">IFERROR(__xludf.DUMMYFUNCTION("""COMPUTED_VALUE"""),0)</f>
        <v>0</v>
      </c>
      <c r="H1506" s="7">
        <f ca="1">IFERROR(__xludf.DUMMYFUNCTION("""COMPUTED_VALUE"""),500000)</f>
        <v>500000</v>
      </c>
    </row>
    <row r="1507" spans="1:8" ht="13" x14ac:dyDescent="0.15">
      <c r="A1507" s="5" t="str">
        <f ca="1">IFERROR(__xludf.DUMMYFUNCTION("""COMPUTED_VALUE"""),"38369")</f>
        <v>38369</v>
      </c>
      <c r="B1507" s="51">
        <f ca="1">IFERROR(__xludf.DUMMYFUNCTION("""COMPUTED_VALUE"""),44628)</f>
        <v>44628</v>
      </c>
      <c r="C1507" s="22">
        <f ca="1">IFERROR(__xludf.DUMMYFUNCTION("""COMPUTED_VALUE"""),500000)</f>
        <v>500000</v>
      </c>
      <c r="D1507" s="22">
        <f ca="1">IFERROR(__xludf.DUMMYFUNCTION("""COMPUTED_VALUE"""),0)</f>
        <v>0</v>
      </c>
      <c r="E1507" s="22">
        <f ca="1">IFERROR(__xludf.DUMMYFUNCTION("""COMPUTED_VALUE"""),500000)</f>
        <v>500000</v>
      </c>
      <c r="F1507" s="22">
        <f ca="1">IFERROR(__xludf.DUMMYFUNCTION("""COMPUTED_VALUE"""),500000)</f>
        <v>500000</v>
      </c>
      <c r="G1507" s="22">
        <f ca="1">IFERROR(__xludf.DUMMYFUNCTION("""COMPUTED_VALUE"""),0)</f>
        <v>0</v>
      </c>
      <c r="H1507" s="7">
        <f ca="1">IFERROR(__xludf.DUMMYFUNCTION("""COMPUTED_VALUE"""),500000)</f>
        <v>500000</v>
      </c>
    </row>
    <row r="1508" spans="1:8" ht="13" x14ac:dyDescent="0.15">
      <c r="A1508" s="5" t="str">
        <f ca="1">IFERROR(__xludf.DUMMYFUNCTION("""COMPUTED_VALUE"""),"38369")</f>
        <v>38369</v>
      </c>
      <c r="B1508" s="51">
        <f ca="1">IFERROR(__xludf.DUMMYFUNCTION("""COMPUTED_VALUE"""),44629)</f>
        <v>44629</v>
      </c>
      <c r="C1508" s="22">
        <f ca="1">IFERROR(__xludf.DUMMYFUNCTION("""COMPUTED_VALUE"""),500000)</f>
        <v>500000</v>
      </c>
      <c r="D1508" s="22">
        <f ca="1">IFERROR(__xludf.DUMMYFUNCTION("""COMPUTED_VALUE"""),0)</f>
        <v>0</v>
      </c>
      <c r="E1508" s="22">
        <f ca="1">IFERROR(__xludf.DUMMYFUNCTION("""COMPUTED_VALUE"""),500000)</f>
        <v>500000</v>
      </c>
      <c r="F1508" s="22">
        <f ca="1">IFERROR(__xludf.DUMMYFUNCTION("""COMPUTED_VALUE"""),500000)</f>
        <v>500000</v>
      </c>
      <c r="G1508" s="22">
        <f ca="1">IFERROR(__xludf.DUMMYFUNCTION("""COMPUTED_VALUE"""),0)</f>
        <v>0</v>
      </c>
      <c r="H1508" s="7">
        <f ca="1">IFERROR(__xludf.DUMMYFUNCTION("""COMPUTED_VALUE"""),500000)</f>
        <v>500000</v>
      </c>
    </row>
    <row r="1509" spans="1:8" ht="13" x14ac:dyDescent="0.15">
      <c r="A1509" s="5" t="str">
        <f ca="1">IFERROR(__xludf.DUMMYFUNCTION("""COMPUTED_VALUE"""),"38369")</f>
        <v>38369</v>
      </c>
      <c r="B1509" s="51">
        <f ca="1">IFERROR(__xludf.DUMMYFUNCTION("""COMPUTED_VALUE"""),44630)</f>
        <v>44630</v>
      </c>
      <c r="C1509" s="22">
        <f ca="1">IFERROR(__xludf.DUMMYFUNCTION("""COMPUTED_VALUE"""),500000)</f>
        <v>500000</v>
      </c>
      <c r="D1509" s="22">
        <f ca="1">IFERROR(__xludf.DUMMYFUNCTION("""COMPUTED_VALUE"""),0)</f>
        <v>0</v>
      </c>
      <c r="E1509" s="22">
        <f ca="1">IFERROR(__xludf.DUMMYFUNCTION("""COMPUTED_VALUE"""),500000)</f>
        <v>500000</v>
      </c>
      <c r="F1509" s="22">
        <f ca="1">IFERROR(__xludf.DUMMYFUNCTION("""COMPUTED_VALUE"""),500000)</f>
        <v>500000</v>
      </c>
      <c r="G1509" s="22">
        <f ca="1">IFERROR(__xludf.DUMMYFUNCTION("""COMPUTED_VALUE"""),0)</f>
        <v>0</v>
      </c>
      <c r="H1509" s="7">
        <f ca="1">IFERROR(__xludf.DUMMYFUNCTION("""COMPUTED_VALUE"""),500000)</f>
        <v>500000</v>
      </c>
    </row>
    <row r="1510" spans="1:8" ht="13" x14ac:dyDescent="0.15">
      <c r="A1510" s="5" t="str">
        <f ca="1">IFERROR(__xludf.DUMMYFUNCTION("""COMPUTED_VALUE"""),"38369")</f>
        <v>38369</v>
      </c>
      <c r="B1510" s="51">
        <f ca="1">IFERROR(__xludf.DUMMYFUNCTION("""COMPUTED_VALUE"""),44631)</f>
        <v>44631</v>
      </c>
      <c r="C1510" s="22">
        <f ca="1">IFERROR(__xludf.DUMMYFUNCTION("""COMPUTED_VALUE"""),500000)</f>
        <v>500000</v>
      </c>
      <c r="D1510" s="22">
        <f ca="1">IFERROR(__xludf.DUMMYFUNCTION("""COMPUTED_VALUE"""),0)</f>
        <v>0</v>
      </c>
      <c r="E1510" s="22">
        <f ca="1">IFERROR(__xludf.DUMMYFUNCTION("""COMPUTED_VALUE"""),500000)</f>
        <v>500000</v>
      </c>
      <c r="F1510" s="22">
        <f ca="1">IFERROR(__xludf.DUMMYFUNCTION("""COMPUTED_VALUE"""),500000)</f>
        <v>500000</v>
      </c>
      <c r="G1510" s="22">
        <f ca="1">IFERROR(__xludf.DUMMYFUNCTION("""COMPUTED_VALUE"""),0)</f>
        <v>0</v>
      </c>
      <c r="H1510" s="7">
        <f ca="1">IFERROR(__xludf.DUMMYFUNCTION("""COMPUTED_VALUE"""),500000)</f>
        <v>500000</v>
      </c>
    </row>
    <row r="1511" spans="1:8" ht="13" x14ac:dyDescent="0.15">
      <c r="A1511" s="5" t="str">
        <f ca="1">IFERROR(__xludf.DUMMYFUNCTION("""COMPUTED_VALUE"""),"38369")</f>
        <v>38369</v>
      </c>
      <c r="B1511" s="51">
        <f ca="1">IFERROR(__xludf.DUMMYFUNCTION("""COMPUTED_VALUE"""),44632)</f>
        <v>44632</v>
      </c>
      <c r="C1511" s="22">
        <f ca="1">IFERROR(__xludf.DUMMYFUNCTION("""COMPUTED_VALUE"""),500000)</f>
        <v>500000</v>
      </c>
      <c r="D1511" s="22">
        <f ca="1">IFERROR(__xludf.DUMMYFUNCTION("""COMPUTED_VALUE"""),0)</f>
        <v>0</v>
      </c>
      <c r="E1511" s="22">
        <f ca="1">IFERROR(__xludf.DUMMYFUNCTION("""COMPUTED_VALUE"""),500000)</f>
        <v>500000</v>
      </c>
      <c r="F1511" s="22">
        <f ca="1">IFERROR(__xludf.DUMMYFUNCTION("""COMPUTED_VALUE"""),500000)</f>
        <v>500000</v>
      </c>
      <c r="G1511" s="22">
        <f ca="1">IFERROR(__xludf.DUMMYFUNCTION("""COMPUTED_VALUE"""),0)</f>
        <v>0</v>
      </c>
      <c r="H1511" s="7">
        <f ca="1">IFERROR(__xludf.DUMMYFUNCTION("""COMPUTED_VALUE"""),500000)</f>
        <v>500000</v>
      </c>
    </row>
    <row r="1512" spans="1:8" ht="13" x14ac:dyDescent="0.15">
      <c r="A1512" s="5" t="str">
        <f ca="1">IFERROR(__xludf.DUMMYFUNCTION("""COMPUTED_VALUE"""),"38369")</f>
        <v>38369</v>
      </c>
      <c r="B1512" s="51">
        <f ca="1">IFERROR(__xludf.DUMMYFUNCTION("""COMPUTED_VALUE"""),44633)</f>
        <v>44633</v>
      </c>
      <c r="C1512" s="22">
        <f ca="1">IFERROR(__xludf.DUMMYFUNCTION("""COMPUTED_VALUE"""),500000)</f>
        <v>500000</v>
      </c>
      <c r="D1512" s="22">
        <f ca="1">IFERROR(__xludf.DUMMYFUNCTION("""COMPUTED_VALUE"""),0)</f>
        <v>0</v>
      </c>
      <c r="E1512" s="22">
        <f ca="1">IFERROR(__xludf.DUMMYFUNCTION("""COMPUTED_VALUE"""),500000)</f>
        <v>500000</v>
      </c>
      <c r="F1512" s="22">
        <f ca="1">IFERROR(__xludf.DUMMYFUNCTION("""COMPUTED_VALUE"""),500000)</f>
        <v>500000</v>
      </c>
      <c r="G1512" s="22">
        <f ca="1">IFERROR(__xludf.DUMMYFUNCTION("""COMPUTED_VALUE"""),0)</f>
        <v>0</v>
      </c>
      <c r="H1512" s="7">
        <f ca="1">IFERROR(__xludf.DUMMYFUNCTION("""COMPUTED_VALUE"""),500000)</f>
        <v>500000</v>
      </c>
    </row>
    <row r="1513" spans="1:8" ht="13" x14ac:dyDescent="0.15">
      <c r="A1513" s="5" t="str">
        <f ca="1">IFERROR(__xludf.DUMMYFUNCTION("""COMPUTED_VALUE"""),"38369")</f>
        <v>38369</v>
      </c>
      <c r="B1513" s="51">
        <f ca="1">IFERROR(__xludf.DUMMYFUNCTION("""COMPUTED_VALUE"""),44634)</f>
        <v>44634</v>
      </c>
      <c r="C1513" s="22">
        <f ca="1">IFERROR(__xludf.DUMMYFUNCTION("""COMPUTED_VALUE"""),500000)</f>
        <v>500000</v>
      </c>
      <c r="D1513" s="22">
        <f ca="1">IFERROR(__xludf.DUMMYFUNCTION("""COMPUTED_VALUE"""),0)</f>
        <v>0</v>
      </c>
      <c r="E1513" s="22">
        <f ca="1">IFERROR(__xludf.DUMMYFUNCTION("""COMPUTED_VALUE"""),500000)</f>
        <v>500000</v>
      </c>
      <c r="F1513" s="22">
        <f ca="1">IFERROR(__xludf.DUMMYFUNCTION("""COMPUTED_VALUE"""),500000)</f>
        <v>500000</v>
      </c>
      <c r="G1513" s="22">
        <f ca="1">IFERROR(__xludf.DUMMYFUNCTION("""COMPUTED_VALUE"""),0)</f>
        <v>0</v>
      </c>
      <c r="H1513" s="7">
        <f ca="1">IFERROR(__xludf.DUMMYFUNCTION("""COMPUTED_VALUE"""),500000)</f>
        <v>500000</v>
      </c>
    </row>
    <row r="1514" spans="1:8" ht="13" x14ac:dyDescent="0.15">
      <c r="A1514" s="5" t="str">
        <f ca="1">IFERROR(__xludf.DUMMYFUNCTION("""COMPUTED_VALUE"""),"38369")</f>
        <v>38369</v>
      </c>
      <c r="B1514" s="51">
        <f ca="1">IFERROR(__xludf.DUMMYFUNCTION("""COMPUTED_VALUE"""),44635)</f>
        <v>44635</v>
      </c>
      <c r="C1514" s="22">
        <f ca="1">IFERROR(__xludf.DUMMYFUNCTION("""COMPUTED_VALUE"""),500000)</f>
        <v>500000</v>
      </c>
      <c r="D1514" s="22">
        <f ca="1">IFERROR(__xludf.DUMMYFUNCTION("""COMPUTED_VALUE"""),0)</f>
        <v>0</v>
      </c>
      <c r="E1514" s="22">
        <f ca="1">IFERROR(__xludf.DUMMYFUNCTION("""COMPUTED_VALUE"""),500000)</f>
        <v>500000</v>
      </c>
      <c r="F1514" s="22">
        <f ca="1">IFERROR(__xludf.DUMMYFUNCTION("""COMPUTED_VALUE"""),500000)</f>
        <v>500000</v>
      </c>
      <c r="G1514" s="22">
        <f ca="1">IFERROR(__xludf.DUMMYFUNCTION("""COMPUTED_VALUE"""),0)</f>
        <v>0</v>
      </c>
      <c r="H1514" s="7">
        <f ca="1">IFERROR(__xludf.DUMMYFUNCTION("""COMPUTED_VALUE"""),500000)</f>
        <v>500000</v>
      </c>
    </row>
    <row r="1515" spans="1:8" ht="13" x14ac:dyDescent="0.15">
      <c r="A1515" s="5" t="str">
        <f ca="1">IFERROR(__xludf.DUMMYFUNCTION("""COMPUTED_VALUE"""),"38369")</f>
        <v>38369</v>
      </c>
      <c r="B1515" s="51">
        <f ca="1">IFERROR(__xludf.DUMMYFUNCTION("""COMPUTED_VALUE"""),44636)</f>
        <v>44636</v>
      </c>
      <c r="C1515" s="22">
        <f ca="1">IFERROR(__xludf.DUMMYFUNCTION("""COMPUTED_VALUE"""),500000)</f>
        <v>500000</v>
      </c>
      <c r="D1515" s="22">
        <f ca="1">IFERROR(__xludf.DUMMYFUNCTION("""COMPUTED_VALUE"""),0)</f>
        <v>0</v>
      </c>
      <c r="E1515" s="22">
        <f ca="1">IFERROR(__xludf.DUMMYFUNCTION("""COMPUTED_VALUE"""),500000)</f>
        <v>500000</v>
      </c>
      <c r="F1515" s="22">
        <f ca="1">IFERROR(__xludf.DUMMYFUNCTION("""COMPUTED_VALUE"""),500000)</f>
        <v>500000</v>
      </c>
      <c r="G1515" s="22">
        <f ca="1">IFERROR(__xludf.DUMMYFUNCTION("""COMPUTED_VALUE"""),0)</f>
        <v>0</v>
      </c>
      <c r="H1515" s="7">
        <f ca="1">IFERROR(__xludf.DUMMYFUNCTION("""COMPUTED_VALUE"""),500000)</f>
        <v>500000</v>
      </c>
    </row>
    <row r="1516" spans="1:8" ht="13" x14ac:dyDescent="0.15">
      <c r="A1516" s="5" t="str">
        <f ca="1">IFERROR(__xludf.DUMMYFUNCTION("""COMPUTED_VALUE"""),"38369")</f>
        <v>38369</v>
      </c>
      <c r="B1516" s="51">
        <f ca="1">IFERROR(__xludf.DUMMYFUNCTION("""COMPUTED_VALUE"""),44637)</f>
        <v>44637</v>
      </c>
      <c r="C1516" s="22">
        <f ca="1">IFERROR(__xludf.DUMMYFUNCTION("""COMPUTED_VALUE"""),500000)</f>
        <v>500000</v>
      </c>
      <c r="D1516" s="22">
        <f ca="1">IFERROR(__xludf.DUMMYFUNCTION("""COMPUTED_VALUE"""),0)</f>
        <v>0</v>
      </c>
      <c r="E1516" s="22">
        <f ca="1">IFERROR(__xludf.DUMMYFUNCTION("""COMPUTED_VALUE"""),500000)</f>
        <v>500000</v>
      </c>
      <c r="F1516" s="22">
        <f ca="1">IFERROR(__xludf.DUMMYFUNCTION("""COMPUTED_VALUE"""),500000)</f>
        <v>500000</v>
      </c>
      <c r="G1516" s="22">
        <f ca="1">IFERROR(__xludf.DUMMYFUNCTION("""COMPUTED_VALUE"""),0)</f>
        <v>0</v>
      </c>
      <c r="H1516" s="7">
        <f ca="1">IFERROR(__xludf.DUMMYFUNCTION("""COMPUTED_VALUE"""),500000)</f>
        <v>500000</v>
      </c>
    </row>
    <row r="1517" spans="1:8" ht="13" x14ac:dyDescent="0.15">
      <c r="A1517" s="5" t="str">
        <f ca="1">IFERROR(__xludf.DUMMYFUNCTION("""COMPUTED_VALUE"""),"38369")</f>
        <v>38369</v>
      </c>
      <c r="B1517" s="51">
        <f ca="1">IFERROR(__xludf.DUMMYFUNCTION("""COMPUTED_VALUE"""),44638)</f>
        <v>44638</v>
      </c>
      <c r="C1517" s="22">
        <f ca="1">IFERROR(__xludf.DUMMYFUNCTION("""COMPUTED_VALUE"""),500000)</f>
        <v>500000</v>
      </c>
      <c r="D1517" s="22">
        <f ca="1">IFERROR(__xludf.DUMMYFUNCTION("""COMPUTED_VALUE"""),0)</f>
        <v>0</v>
      </c>
      <c r="E1517" s="22">
        <f ca="1">IFERROR(__xludf.DUMMYFUNCTION("""COMPUTED_VALUE"""),500000)</f>
        <v>500000</v>
      </c>
      <c r="F1517" s="22">
        <f ca="1">IFERROR(__xludf.DUMMYFUNCTION("""COMPUTED_VALUE"""),500000)</f>
        <v>500000</v>
      </c>
      <c r="G1517" s="22">
        <f ca="1">IFERROR(__xludf.DUMMYFUNCTION("""COMPUTED_VALUE"""),0)</f>
        <v>0</v>
      </c>
      <c r="H1517" s="7">
        <f ca="1">IFERROR(__xludf.DUMMYFUNCTION("""COMPUTED_VALUE"""),500000)</f>
        <v>500000</v>
      </c>
    </row>
    <row r="1518" spans="1:8" ht="13" x14ac:dyDescent="0.15">
      <c r="A1518" s="5" t="str">
        <f ca="1">IFERROR(__xludf.DUMMYFUNCTION("""COMPUTED_VALUE"""),"38369")</f>
        <v>38369</v>
      </c>
      <c r="B1518" s="51">
        <f ca="1">IFERROR(__xludf.DUMMYFUNCTION("""COMPUTED_VALUE"""),44639)</f>
        <v>44639</v>
      </c>
      <c r="C1518" s="22">
        <f ca="1">IFERROR(__xludf.DUMMYFUNCTION("""COMPUTED_VALUE"""),500000)</f>
        <v>500000</v>
      </c>
      <c r="D1518" s="22">
        <f ca="1">IFERROR(__xludf.DUMMYFUNCTION("""COMPUTED_VALUE"""),0)</f>
        <v>0</v>
      </c>
      <c r="E1518" s="22">
        <f ca="1">IFERROR(__xludf.DUMMYFUNCTION("""COMPUTED_VALUE"""),500000)</f>
        <v>500000</v>
      </c>
      <c r="F1518" s="22">
        <f ca="1">IFERROR(__xludf.DUMMYFUNCTION("""COMPUTED_VALUE"""),500000)</f>
        <v>500000</v>
      </c>
      <c r="G1518" s="22">
        <f ca="1">IFERROR(__xludf.DUMMYFUNCTION("""COMPUTED_VALUE"""),0)</f>
        <v>0</v>
      </c>
      <c r="H1518" s="7">
        <f ca="1">IFERROR(__xludf.DUMMYFUNCTION("""COMPUTED_VALUE"""),500000)</f>
        <v>500000</v>
      </c>
    </row>
    <row r="1519" spans="1:8" ht="13" x14ac:dyDescent="0.15">
      <c r="A1519" s="5" t="str">
        <f ca="1">IFERROR(__xludf.DUMMYFUNCTION("""COMPUTED_VALUE"""),"38369")</f>
        <v>38369</v>
      </c>
      <c r="B1519" s="51">
        <f ca="1">IFERROR(__xludf.DUMMYFUNCTION("""COMPUTED_VALUE"""),44640)</f>
        <v>44640</v>
      </c>
      <c r="C1519" s="22">
        <f ca="1">IFERROR(__xludf.DUMMYFUNCTION("""COMPUTED_VALUE"""),500000)</f>
        <v>500000</v>
      </c>
      <c r="D1519" s="22">
        <f ca="1">IFERROR(__xludf.DUMMYFUNCTION("""COMPUTED_VALUE"""),0)</f>
        <v>0</v>
      </c>
      <c r="E1519" s="22">
        <f ca="1">IFERROR(__xludf.DUMMYFUNCTION("""COMPUTED_VALUE"""),500000)</f>
        <v>500000</v>
      </c>
      <c r="F1519" s="22">
        <f ca="1">IFERROR(__xludf.DUMMYFUNCTION("""COMPUTED_VALUE"""),500000)</f>
        <v>500000</v>
      </c>
      <c r="G1519" s="22">
        <f ca="1">IFERROR(__xludf.DUMMYFUNCTION("""COMPUTED_VALUE"""),0)</f>
        <v>0</v>
      </c>
      <c r="H1519" s="7">
        <f ca="1">IFERROR(__xludf.DUMMYFUNCTION("""COMPUTED_VALUE"""),500000)</f>
        <v>500000</v>
      </c>
    </row>
    <row r="1520" spans="1:8" ht="13" x14ac:dyDescent="0.15">
      <c r="A1520" s="5" t="str">
        <f ca="1">IFERROR(__xludf.DUMMYFUNCTION("""COMPUTED_VALUE"""),"38369")</f>
        <v>38369</v>
      </c>
      <c r="B1520" s="51">
        <f ca="1">IFERROR(__xludf.DUMMYFUNCTION("""COMPUTED_VALUE"""),44641)</f>
        <v>44641</v>
      </c>
      <c r="C1520" s="22">
        <f ca="1">IFERROR(__xludf.DUMMYFUNCTION("""COMPUTED_VALUE"""),500000)</f>
        <v>500000</v>
      </c>
      <c r="D1520" s="22">
        <f ca="1">IFERROR(__xludf.DUMMYFUNCTION("""COMPUTED_VALUE"""),0)</f>
        <v>0</v>
      </c>
      <c r="E1520" s="22">
        <f ca="1">IFERROR(__xludf.DUMMYFUNCTION("""COMPUTED_VALUE"""),500000)</f>
        <v>500000</v>
      </c>
      <c r="F1520" s="22">
        <f ca="1">IFERROR(__xludf.DUMMYFUNCTION("""COMPUTED_VALUE"""),500000)</f>
        <v>500000</v>
      </c>
      <c r="G1520" s="22">
        <f ca="1">IFERROR(__xludf.DUMMYFUNCTION("""COMPUTED_VALUE"""),0)</f>
        <v>0</v>
      </c>
      <c r="H1520" s="7">
        <f ca="1">IFERROR(__xludf.DUMMYFUNCTION("""COMPUTED_VALUE"""),500000)</f>
        <v>500000</v>
      </c>
    </row>
    <row r="1521" spans="1:8" ht="13" x14ac:dyDescent="0.15">
      <c r="A1521" s="5" t="str">
        <f ca="1">IFERROR(__xludf.DUMMYFUNCTION("""COMPUTED_VALUE"""),"38369")</f>
        <v>38369</v>
      </c>
      <c r="B1521" s="51">
        <f ca="1">IFERROR(__xludf.DUMMYFUNCTION("""COMPUTED_VALUE"""),44642)</f>
        <v>44642</v>
      </c>
      <c r="C1521" s="22">
        <f ca="1">IFERROR(__xludf.DUMMYFUNCTION("""COMPUTED_VALUE"""),500000)</f>
        <v>500000</v>
      </c>
      <c r="D1521" s="22">
        <f ca="1">IFERROR(__xludf.DUMMYFUNCTION("""COMPUTED_VALUE"""),0)</f>
        <v>0</v>
      </c>
      <c r="E1521" s="22">
        <f ca="1">IFERROR(__xludf.DUMMYFUNCTION("""COMPUTED_VALUE"""),500000)</f>
        <v>500000</v>
      </c>
      <c r="F1521" s="22">
        <f ca="1">IFERROR(__xludf.DUMMYFUNCTION("""COMPUTED_VALUE"""),500000)</f>
        <v>500000</v>
      </c>
      <c r="G1521" s="22">
        <f ca="1">IFERROR(__xludf.DUMMYFUNCTION("""COMPUTED_VALUE"""),0)</f>
        <v>0</v>
      </c>
      <c r="H1521" s="7">
        <f ca="1">IFERROR(__xludf.DUMMYFUNCTION("""COMPUTED_VALUE"""),500000)</f>
        <v>500000</v>
      </c>
    </row>
    <row r="1522" spans="1:8" ht="13" x14ac:dyDescent="0.15">
      <c r="A1522" s="5" t="str">
        <f ca="1">IFERROR(__xludf.DUMMYFUNCTION("""COMPUTED_VALUE"""),"38381")</f>
        <v>38381</v>
      </c>
      <c r="B1522" s="51">
        <f ca="1">IFERROR(__xludf.DUMMYFUNCTION("""COMPUTED_VALUE"""),44597)</f>
        <v>44597</v>
      </c>
      <c r="C1522" s="22">
        <f ca="1">IFERROR(__xludf.DUMMYFUNCTION("""COMPUTED_VALUE"""),500000)</f>
        <v>500000</v>
      </c>
      <c r="D1522" s="22">
        <f ca="1">IFERROR(__xludf.DUMMYFUNCTION("""COMPUTED_VALUE"""),0)</f>
        <v>0</v>
      </c>
      <c r="E1522" s="22">
        <f ca="1">IFERROR(__xludf.DUMMYFUNCTION("""COMPUTED_VALUE"""),500000)</f>
        <v>500000</v>
      </c>
      <c r="F1522" s="22">
        <f ca="1">IFERROR(__xludf.DUMMYFUNCTION("""COMPUTED_VALUE"""),500000)</f>
        <v>500000</v>
      </c>
      <c r="G1522" s="22">
        <f ca="1">IFERROR(__xludf.DUMMYFUNCTION("""COMPUTED_VALUE"""),0)</f>
        <v>0</v>
      </c>
      <c r="H1522" s="7">
        <f ca="1">IFERROR(__xludf.DUMMYFUNCTION("""COMPUTED_VALUE"""),500000)</f>
        <v>500000</v>
      </c>
    </row>
    <row r="1523" spans="1:8" ht="13" x14ac:dyDescent="0.15">
      <c r="A1523" s="5" t="str">
        <f ca="1">IFERROR(__xludf.DUMMYFUNCTION("""COMPUTED_VALUE"""),"38381")</f>
        <v>38381</v>
      </c>
      <c r="B1523" s="51">
        <f ca="1">IFERROR(__xludf.DUMMYFUNCTION("""COMPUTED_VALUE"""),44598)</f>
        <v>44598</v>
      </c>
      <c r="C1523" s="22">
        <f ca="1">IFERROR(__xludf.DUMMYFUNCTION("""COMPUTED_VALUE"""),500000)</f>
        <v>500000</v>
      </c>
      <c r="D1523" s="22">
        <f ca="1">IFERROR(__xludf.DUMMYFUNCTION("""COMPUTED_VALUE"""),0)</f>
        <v>0</v>
      </c>
      <c r="E1523" s="22">
        <f ca="1">IFERROR(__xludf.DUMMYFUNCTION("""COMPUTED_VALUE"""),500000)</f>
        <v>500000</v>
      </c>
      <c r="F1523" s="22">
        <f ca="1">IFERROR(__xludf.DUMMYFUNCTION("""COMPUTED_VALUE"""),500000)</f>
        <v>500000</v>
      </c>
      <c r="G1523" s="22">
        <f ca="1">IFERROR(__xludf.DUMMYFUNCTION("""COMPUTED_VALUE"""),0)</f>
        <v>0</v>
      </c>
      <c r="H1523" s="7">
        <f ca="1">IFERROR(__xludf.DUMMYFUNCTION("""COMPUTED_VALUE"""),500000)</f>
        <v>500000</v>
      </c>
    </row>
    <row r="1524" spans="1:8" ht="13" x14ac:dyDescent="0.15">
      <c r="A1524" s="5" t="str">
        <f ca="1">IFERROR(__xludf.DUMMYFUNCTION("""COMPUTED_VALUE"""),"38381")</f>
        <v>38381</v>
      </c>
      <c r="B1524" s="51">
        <f ca="1">IFERROR(__xludf.DUMMYFUNCTION("""COMPUTED_VALUE"""),44599)</f>
        <v>44599</v>
      </c>
      <c r="C1524" s="22">
        <f ca="1">IFERROR(__xludf.DUMMYFUNCTION("""COMPUTED_VALUE"""),500000)</f>
        <v>500000</v>
      </c>
      <c r="D1524" s="22">
        <f ca="1">IFERROR(__xludf.DUMMYFUNCTION("""COMPUTED_VALUE"""),0)</f>
        <v>0</v>
      </c>
      <c r="E1524" s="22">
        <f ca="1">IFERROR(__xludf.DUMMYFUNCTION("""COMPUTED_VALUE"""),500000)</f>
        <v>500000</v>
      </c>
      <c r="F1524" s="22">
        <f ca="1">IFERROR(__xludf.DUMMYFUNCTION("""COMPUTED_VALUE"""),500000)</f>
        <v>500000</v>
      </c>
      <c r="G1524" s="22">
        <f ca="1">IFERROR(__xludf.DUMMYFUNCTION("""COMPUTED_VALUE"""),0)</f>
        <v>0</v>
      </c>
      <c r="H1524" s="7">
        <f ca="1">IFERROR(__xludf.DUMMYFUNCTION("""COMPUTED_VALUE"""),500000)</f>
        <v>500000</v>
      </c>
    </row>
    <row r="1525" spans="1:8" ht="13" x14ac:dyDescent="0.15">
      <c r="A1525" s="5" t="str">
        <f ca="1">IFERROR(__xludf.DUMMYFUNCTION("""COMPUTED_VALUE"""),"38381")</f>
        <v>38381</v>
      </c>
      <c r="B1525" s="51">
        <f ca="1">IFERROR(__xludf.DUMMYFUNCTION("""COMPUTED_VALUE"""),44600)</f>
        <v>44600</v>
      </c>
      <c r="C1525" s="22">
        <f ca="1">IFERROR(__xludf.DUMMYFUNCTION("""COMPUTED_VALUE"""),500000)</f>
        <v>500000</v>
      </c>
      <c r="D1525" s="22">
        <f ca="1">IFERROR(__xludf.DUMMYFUNCTION("""COMPUTED_VALUE"""),0)</f>
        <v>0</v>
      </c>
      <c r="E1525" s="22">
        <f ca="1">IFERROR(__xludf.DUMMYFUNCTION("""COMPUTED_VALUE"""),500000)</f>
        <v>500000</v>
      </c>
      <c r="F1525" s="22">
        <f ca="1">IFERROR(__xludf.DUMMYFUNCTION("""COMPUTED_VALUE"""),500000)</f>
        <v>500000</v>
      </c>
      <c r="G1525" s="22">
        <f ca="1">IFERROR(__xludf.DUMMYFUNCTION("""COMPUTED_VALUE"""),0)</f>
        <v>0</v>
      </c>
      <c r="H1525" s="7">
        <f ca="1">IFERROR(__xludf.DUMMYFUNCTION("""COMPUTED_VALUE"""),500000)</f>
        <v>500000</v>
      </c>
    </row>
    <row r="1526" spans="1:8" ht="13" x14ac:dyDescent="0.15">
      <c r="A1526" s="5" t="str">
        <f ca="1">IFERROR(__xludf.DUMMYFUNCTION("""COMPUTED_VALUE"""),"38381")</f>
        <v>38381</v>
      </c>
      <c r="B1526" s="51">
        <f ca="1">IFERROR(__xludf.DUMMYFUNCTION("""COMPUTED_VALUE"""),44601)</f>
        <v>44601</v>
      </c>
      <c r="C1526" s="22">
        <f ca="1">IFERROR(__xludf.DUMMYFUNCTION("""COMPUTED_VALUE"""),500000)</f>
        <v>500000</v>
      </c>
      <c r="D1526" s="22">
        <f ca="1">IFERROR(__xludf.DUMMYFUNCTION("""COMPUTED_VALUE"""),0)</f>
        <v>0</v>
      </c>
      <c r="E1526" s="22">
        <f ca="1">IFERROR(__xludf.DUMMYFUNCTION("""COMPUTED_VALUE"""),500000)</f>
        <v>500000</v>
      </c>
      <c r="F1526" s="22">
        <f ca="1">IFERROR(__xludf.DUMMYFUNCTION("""COMPUTED_VALUE"""),500000)</f>
        <v>500000</v>
      </c>
      <c r="G1526" s="22">
        <f ca="1">IFERROR(__xludf.DUMMYFUNCTION("""COMPUTED_VALUE"""),0)</f>
        <v>0</v>
      </c>
      <c r="H1526" s="7">
        <f ca="1">IFERROR(__xludf.DUMMYFUNCTION("""COMPUTED_VALUE"""),500000)</f>
        <v>500000</v>
      </c>
    </row>
    <row r="1527" spans="1:8" ht="13" x14ac:dyDescent="0.15">
      <c r="A1527" s="5" t="str">
        <f ca="1">IFERROR(__xludf.DUMMYFUNCTION("""COMPUTED_VALUE"""),"38381")</f>
        <v>38381</v>
      </c>
      <c r="B1527" s="51">
        <f ca="1">IFERROR(__xludf.DUMMYFUNCTION("""COMPUTED_VALUE"""),44602)</f>
        <v>44602</v>
      </c>
      <c r="C1527" s="22">
        <f ca="1">IFERROR(__xludf.DUMMYFUNCTION("""COMPUTED_VALUE"""),500000)</f>
        <v>500000</v>
      </c>
      <c r="D1527" s="22">
        <f ca="1">IFERROR(__xludf.DUMMYFUNCTION("""COMPUTED_VALUE"""),0)</f>
        <v>0</v>
      </c>
      <c r="E1527" s="22">
        <f ca="1">IFERROR(__xludf.DUMMYFUNCTION("""COMPUTED_VALUE"""),500000)</f>
        <v>500000</v>
      </c>
      <c r="F1527" s="22">
        <f ca="1">IFERROR(__xludf.DUMMYFUNCTION("""COMPUTED_VALUE"""),500000)</f>
        <v>500000</v>
      </c>
      <c r="G1527" s="22">
        <f ca="1">IFERROR(__xludf.DUMMYFUNCTION("""COMPUTED_VALUE"""),0)</f>
        <v>0</v>
      </c>
      <c r="H1527" s="7">
        <f ca="1">IFERROR(__xludf.DUMMYFUNCTION("""COMPUTED_VALUE"""),500000)</f>
        <v>500000</v>
      </c>
    </row>
    <row r="1528" spans="1:8" ht="13" x14ac:dyDescent="0.15">
      <c r="A1528" s="5" t="str">
        <f ca="1">IFERROR(__xludf.DUMMYFUNCTION("""COMPUTED_VALUE"""),"38381")</f>
        <v>38381</v>
      </c>
      <c r="B1528" s="51">
        <f ca="1">IFERROR(__xludf.DUMMYFUNCTION("""COMPUTED_VALUE"""),44603)</f>
        <v>44603</v>
      </c>
      <c r="C1528" s="22">
        <f ca="1">IFERROR(__xludf.DUMMYFUNCTION("""COMPUTED_VALUE"""),500000)</f>
        <v>500000</v>
      </c>
      <c r="D1528" s="22">
        <f ca="1">IFERROR(__xludf.DUMMYFUNCTION("""COMPUTED_VALUE"""),0)</f>
        <v>0</v>
      </c>
      <c r="E1528" s="22">
        <f ca="1">IFERROR(__xludf.DUMMYFUNCTION("""COMPUTED_VALUE"""),500000)</f>
        <v>500000</v>
      </c>
      <c r="F1528" s="22">
        <f ca="1">IFERROR(__xludf.DUMMYFUNCTION("""COMPUTED_VALUE"""),500000)</f>
        <v>500000</v>
      </c>
      <c r="G1528" s="22">
        <f ca="1">IFERROR(__xludf.DUMMYFUNCTION("""COMPUTED_VALUE"""),0)</f>
        <v>0</v>
      </c>
      <c r="H1528" s="7">
        <f ca="1">IFERROR(__xludf.DUMMYFUNCTION("""COMPUTED_VALUE"""),500000)</f>
        <v>500000</v>
      </c>
    </row>
    <row r="1529" spans="1:8" ht="13" x14ac:dyDescent="0.15">
      <c r="A1529" s="5" t="str">
        <f ca="1">IFERROR(__xludf.DUMMYFUNCTION("""COMPUTED_VALUE"""),"38381")</f>
        <v>38381</v>
      </c>
      <c r="B1529" s="51">
        <f ca="1">IFERROR(__xludf.DUMMYFUNCTION("""COMPUTED_VALUE"""),44604)</f>
        <v>44604</v>
      </c>
      <c r="C1529" s="22">
        <f ca="1">IFERROR(__xludf.DUMMYFUNCTION("""COMPUTED_VALUE"""),500000)</f>
        <v>500000</v>
      </c>
      <c r="D1529" s="22">
        <f ca="1">IFERROR(__xludf.DUMMYFUNCTION("""COMPUTED_VALUE"""),0)</f>
        <v>0</v>
      </c>
      <c r="E1529" s="22">
        <f ca="1">IFERROR(__xludf.DUMMYFUNCTION("""COMPUTED_VALUE"""),500000)</f>
        <v>500000</v>
      </c>
      <c r="F1529" s="22">
        <f ca="1">IFERROR(__xludf.DUMMYFUNCTION("""COMPUTED_VALUE"""),500000)</f>
        <v>500000</v>
      </c>
      <c r="G1529" s="22">
        <f ca="1">IFERROR(__xludf.DUMMYFUNCTION("""COMPUTED_VALUE"""),0)</f>
        <v>0</v>
      </c>
      <c r="H1529" s="7">
        <f ca="1">IFERROR(__xludf.DUMMYFUNCTION("""COMPUTED_VALUE"""),500000)</f>
        <v>500000</v>
      </c>
    </row>
    <row r="1530" spans="1:8" ht="13" x14ac:dyDescent="0.15">
      <c r="A1530" s="5" t="str">
        <f ca="1">IFERROR(__xludf.DUMMYFUNCTION("""COMPUTED_VALUE"""),"38381")</f>
        <v>38381</v>
      </c>
      <c r="B1530" s="51">
        <f ca="1">IFERROR(__xludf.DUMMYFUNCTION("""COMPUTED_VALUE"""),44605)</f>
        <v>44605</v>
      </c>
      <c r="C1530" s="22">
        <f ca="1">IFERROR(__xludf.DUMMYFUNCTION("""COMPUTED_VALUE"""),500000)</f>
        <v>500000</v>
      </c>
      <c r="D1530" s="22">
        <f ca="1">IFERROR(__xludf.DUMMYFUNCTION("""COMPUTED_VALUE"""),0)</f>
        <v>0</v>
      </c>
      <c r="E1530" s="22">
        <f ca="1">IFERROR(__xludf.DUMMYFUNCTION("""COMPUTED_VALUE"""),500000)</f>
        <v>500000</v>
      </c>
      <c r="F1530" s="22">
        <f ca="1">IFERROR(__xludf.DUMMYFUNCTION("""COMPUTED_VALUE"""),500000)</f>
        <v>500000</v>
      </c>
      <c r="G1530" s="22">
        <f ca="1">IFERROR(__xludf.DUMMYFUNCTION("""COMPUTED_VALUE"""),0)</f>
        <v>0</v>
      </c>
      <c r="H1530" s="7">
        <f ca="1">IFERROR(__xludf.DUMMYFUNCTION("""COMPUTED_VALUE"""),500000)</f>
        <v>500000</v>
      </c>
    </row>
    <row r="1531" spans="1:8" ht="13" x14ac:dyDescent="0.15">
      <c r="A1531" s="5" t="str">
        <f ca="1">IFERROR(__xludf.DUMMYFUNCTION("""COMPUTED_VALUE"""),"38381")</f>
        <v>38381</v>
      </c>
      <c r="B1531" s="51">
        <f ca="1">IFERROR(__xludf.DUMMYFUNCTION("""COMPUTED_VALUE"""),44606)</f>
        <v>44606</v>
      </c>
      <c r="C1531" s="22">
        <f ca="1">IFERROR(__xludf.DUMMYFUNCTION("""COMPUTED_VALUE"""),500000)</f>
        <v>500000</v>
      </c>
      <c r="D1531" s="22">
        <f ca="1">IFERROR(__xludf.DUMMYFUNCTION("""COMPUTED_VALUE"""),0)</f>
        <v>0</v>
      </c>
      <c r="E1531" s="22">
        <f ca="1">IFERROR(__xludf.DUMMYFUNCTION("""COMPUTED_VALUE"""),500000)</f>
        <v>500000</v>
      </c>
      <c r="F1531" s="22">
        <f ca="1">IFERROR(__xludf.DUMMYFUNCTION("""COMPUTED_VALUE"""),500000)</f>
        <v>500000</v>
      </c>
      <c r="G1531" s="22">
        <f ca="1">IFERROR(__xludf.DUMMYFUNCTION("""COMPUTED_VALUE"""),0)</f>
        <v>0</v>
      </c>
      <c r="H1531" s="7">
        <f ca="1">IFERROR(__xludf.DUMMYFUNCTION("""COMPUTED_VALUE"""),500000)</f>
        <v>500000</v>
      </c>
    </row>
    <row r="1532" spans="1:8" ht="13" x14ac:dyDescent="0.15">
      <c r="A1532" s="5" t="str">
        <f ca="1">IFERROR(__xludf.DUMMYFUNCTION("""COMPUTED_VALUE"""),"38381")</f>
        <v>38381</v>
      </c>
      <c r="B1532" s="51">
        <f ca="1">IFERROR(__xludf.DUMMYFUNCTION("""COMPUTED_VALUE"""),44607)</f>
        <v>44607</v>
      </c>
      <c r="C1532" s="22">
        <f ca="1">IFERROR(__xludf.DUMMYFUNCTION("""COMPUTED_VALUE"""),500000)</f>
        <v>500000</v>
      </c>
      <c r="D1532" s="22">
        <f ca="1">IFERROR(__xludf.DUMMYFUNCTION("""COMPUTED_VALUE"""),0)</f>
        <v>0</v>
      </c>
      <c r="E1532" s="22">
        <f ca="1">IFERROR(__xludf.DUMMYFUNCTION("""COMPUTED_VALUE"""),500000)</f>
        <v>500000</v>
      </c>
      <c r="F1532" s="22">
        <f ca="1">IFERROR(__xludf.DUMMYFUNCTION("""COMPUTED_VALUE"""),500000)</f>
        <v>500000</v>
      </c>
      <c r="G1532" s="22">
        <f ca="1">IFERROR(__xludf.DUMMYFUNCTION("""COMPUTED_VALUE"""),0)</f>
        <v>0</v>
      </c>
      <c r="H1532" s="7">
        <f ca="1">IFERROR(__xludf.DUMMYFUNCTION("""COMPUTED_VALUE"""),500000)</f>
        <v>500000</v>
      </c>
    </row>
    <row r="1533" spans="1:8" ht="13" x14ac:dyDescent="0.15">
      <c r="A1533" s="5" t="str">
        <f ca="1">IFERROR(__xludf.DUMMYFUNCTION("""COMPUTED_VALUE"""),"38381")</f>
        <v>38381</v>
      </c>
      <c r="B1533" s="51">
        <f ca="1">IFERROR(__xludf.DUMMYFUNCTION("""COMPUTED_VALUE"""),44608)</f>
        <v>44608</v>
      </c>
      <c r="C1533" s="22">
        <f ca="1">IFERROR(__xludf.DUMMYFUNCTION("""COMPUTED_VALUE"""),500000)</f>
        <v>500000</v>
      </c>
      <c r="D1533" s="22">
        <f ca="1">IFERROR(__xludf.DUMMYFUNCTION("""COMPUTED_VALUE"""),0)</f>
        <v>0</v>
      </c>
      <c r="E1533" s="22">
        <f ca="1">IFERROR(__xludf.DUMMYFUNCTION("""COMPUTED_VALUE"""),500000)</f>
        <v>500000</v>
      </c>
      <c r="F1533" s="22">
        <f ca="1">IFERROR(__xludf.DUMMYFUNCTION("""COMPUTED_VALUE"""),500000)</f>
        <v>500000</v>
      </c>
      <c r="G1533" s="22">
        <f ca="1">IFERROR(__xludf.DUMMYFUNCTION("""COMPUTED_VALUE"""),0)</f>
        <v>0</v>
      </c>
      <c r="H1533" s="7">
        <f ca="1">IFERROR(__xludf.DUMMYFUNCTION("""COMPUTED_VALUE"""),500000)</f>
        <v>500000</v>
      </c>
    </row>
    <row r="1534" spans="1:8" ht="13" x14ac:dyDescent="0.15">
      <c r="A1534" s="5" t="str">
        <f ca="1">IFERROR(__xludf.DUMMYFUNCTION("""COMPUTED_VALUE"""),"38381")</f>
        <v>38381</v>
      </c>
      <c r="B1534" s="51">
        <f ca="1">IFERROR(__xludf.DUMMYFUNCTION("""COMPUTED_VALUE"""),44609)</f>
        <v>44609</v>
      </c>
      <c r="C1534" s="22">
        <f ca="1">IFERROR(__xludf.DUMMYFUNCTION("""COMPUTED_VALUE"""),500000)</f>
        <v>500000</v>
      </c>
      <c r="D1534" s="22">
        <f ca="1">IFERROR(__xludf.DUMMYFUNCTION("""COMPUTED_VALUE"""),0)</f>
        <v>0</v>
      </c>
      <c r="E1534" s="22">
        <f ca="1">IFERROR(__xludf.DUMMYFUNCTION("""COMPUTED_VALUE"""),500000)</f>
        <v>500000</v>
      </c>
      <c r="F1534" s="22">
        <f ca="1">IFERROR(__xludf.DUMMYFUNCTION("""COMPUTED_VALUE"""),500000)</f>
        <v>500000</v>
      </c>
      <c r="G1534" s="22">
        <f ca="1">IFERROR(__xludf.DUMMYFUNCTION("""COMPUTED_VALUE"""),0)</f>
        <v>0</v>
      </c>
      <c r="H1534" s="7">
        <f ca="1">IFERROR(__xludf.DUMMYFUNCTION("""COMPUTED_VALUE"""),500000)</f>
        <v>500000</v>
      </c>
    </row>
    <row r="1535" spans="1:8" ht="13" x14ac:dyDescent="0.15">
      <c r="A1535" s="5" t="str">
        <f ca="1">IFERROR(__xludf.DUMMYFUNCTION("""COMPUTED_VALUE"""),"38381")</f>
        <v>38381</v>
      </c>
      <c r="B1535" s="51">
        <f ca="1">IFERROR(__xludf.DUMMYFUNCTION("""COMPUTED_VALUE"""),44610)</f>
        <v>44610</v>
      </c>
      <c r="C1535" s="22">
        <f ca="1">IFERROR(__xludf.DUMMYFUNCTION("""COMPUTED_VALUE"""),500000)</f>
        <v>500000</v>
      </c>
      <c r="D1535" s="22">
        <f ca="1">IFERROR(__xludf.DUMMYFUNCTION("""COMPUTED_VALUE"""),0)</f>
        <v>0</v>
      </c>
      <c r="E1535" s="22">
        <f ca="1">IFERROR(__xludf.DUMMYFUNCTION("""COMPUTED_VALUE"""),500000)</f>
        <v>500000</v>
      </c>
      <c r="F1535" s="22">
        <f ca="1">IFERROR(__xludf.DUMMYFUNCTION("""COMPUTED_VALUE"""),500000)</f>
        <v>500000</v>
      </c>
      <c r="G1535" s="22">
        <f ca="1">IFERROR(__xludf.DUMMYFUNCTION("""COMPUTED_VALUE"""),0)</f>
        <v>0</v>
      </c>
      <c r="H1535" s="7">
        <f ca="1">IFERROR(__xludf.DUMMYFUNCTION("""COMPUTED_VALUE"""),500000)</f>
        <v>500000</v>
      </c>
    </row>
    <row r="1536" spans="1:8" ht="13" x14ac:dyDescent="0.15">
      <c r="A1536" s="5" t="str">
        <f ca="1">IFERROR(__xludf.DUMMYFUNCTION("""COMPUTED_VALUE"""),"38381")</f>
        <v>38381</v>
      </c>
      <c r="B1536" s="51">
        <f ca="1">IFERROR(__xludf.DUMMYFUNCTION("""COMPUTED_VALUE"""),44611)</f>
        <v>44611</v>
      </c>
      <c r="C1536" s="22">
        <f ca="1">IFERROR(__xludf.DUMMYFUNCTION("""COMPUTED_VALUE"""),500000)</f>
        <v>500000</v>
      </c>
      <c r="D1536" s="22">
        <f ca="1">IFERROR(__xludf.DUMMYFUNCTION("""COMPUTED_VALUE"""),0)</f>
        <v>0</v>
      </c>
      <c r="E1536" s="22">
        <f ca="1">IFERROR(__xludf.DUMMYFUNCTION("""COMPUTED_VALUE"""),500000)</f>
        <v>500000</v>
      </c>
      <c r="F1536" s="22">
        <f ca="1">IFERROR(__xludf.DUMMYFUNCTION("""COMPUTED_VALUE"""),500000)</f>
        <v>500000</v>
      </c>
      <c r="G1536" s="22">
        <f ca="1">IFERROR(__xludf.DUMMYFUNCTION("""COMPUTED_VALUE"""),0)</f>
        <v>0</v>
      </c>
      <c r="H1536" s="7">
        <f ca="1">IFERROR(__xludf.DUMMYFUNCTION("""COMPUTED_VALUE"""),500000)</f>
        <v>500000</v>
      </c>
    </row>
    <row r="1537" spans="1:8" ht="13" x14ac:dyDescent="0.15">
      <c r="A1537" s="5" t="str">
        <f ca="1">IFERROR(__xludf.DUMMYFUNCTION("""COMPUTED_VALUE"""),"38381")</f>
        <v>38381</v>
      </c>
      <c r="B1537" s="51">
        <f ca="1">IFERROR(__xludf.DUMMYFUNCTION("""COMPUTED_VALUE"""),44612)</f>
        <v>44612</v>
      </c>
      <c r="C1537" s="22">
        <f ca="1">IFERROR(__xludf.DUMMYFUNCTION("""COMPUTED_VALUE"""),500000)</f>
        <v>500000</v>
      </c>
      <c r="D1537" s="22">
        <f ca="1">IFERROR(__xludf.DUMMYFUNCTION("""COMPUTED_VALUE"""),0)</f>
        <v>0</v>
      </c>
      <c r="E1537" s="22">
        <f ca="1">IFERROR(__xludf.DUMMYFUNCTION("""COMPUTED_VALUE"""),500000)</f>
        <v>500000</v>
      </c>
      <c r="F1537" s="22">
        <f ca="1">IFERROR(__xludf.DUMMYFUNCTION("""COMPUTED_VALUE"""),500000)</f>
        <v>500000</v>
      </c>
      <c r="G1537" s="22">
        <f ca="1">IFERROR(__xludf.DUMMYFUNCTION("""COMPUTED_VALUE"""),0)</f>
        <v>0</v>
      </c>
      <c r="H1537" s="7">
        <f ca="1">IFERROR(__xludf.DUMMYFUNCTION("""COMPUTED_VALUE"""),500000)</f>
        <v>500000</v>
      </c>
    </row>
    <row r="1538" spans="1:8" ht="13" x14ac:dyDescent="0.15">
      <c r="A1538" s="5" t="str">
        <f ca="1">IFERROR(__xludf.DUMMYFUNCTION("""COMPUTED_VALUE"""),"38381")</f>
        <v>38381</v>
      </c>
      <c r="B1538" s="51">
        <f ca="1">IFERROR(__xludf.DUMMYFUNCTION("""COMPUTED_VALUE"""),44613)</f>
        <v>44613</v>
      </c>
      <c r="C1538" s="22">
        <f ca="1">IFERROR(__xludf.DUMMYFUNCTION("""COMPUTED_VALUE"""),500000)</f>
        <v>500000</v>
      </c>
      <c r="D1538" s="22">
        <f ca="1">IFERROR(__xludf.DUMMYFUNCTION("""COMPUTED_VALUE"""),0)</f>
        <v>0</v>
      </c>
      <c r="E1538" s="22">
        <f ca="1">IFERROR(__xludf.DUMMYFUNCTION("""COMPUTED_VALUE"""),500000)</f>
        <v>500000</v>
      </c>
      <c r="F1538" s="22">
        <f ca="1">IFERROR(__xludf.DUMMYFUNCTION("""COMPUTED_VALUE"""),500000)</f>
        <v>500000</v>
      </c>
      <c r="G1538" s="22">
        <f ca="1">IFERROR(__xludf.DUMMYFUNCTION("""COMPUTED_VALUE"""),0)</f>
        <v>0</v>
      </c>
      <c r="H1538" s="7">
        <f ca="1">IFERROR(__xludf.DUMMYFUNCTION("""COMPUTED_VALUE"""),500000)</f>
        <v>500000</v>
      </c>
    </row>
    <row r="1539" spans="1:8" ht="13" x14ac:dyDescent="0.15">
      <c r="A1539" s="5" t="str">
        <f ca="1">IFERROR(__xludf.DUMMYFUNCTION("""COMPUTED_VALUE"""),"38381")</f>
        <v>38381</v>
      </c>
      <c r="B1539" s="51">
        <f ca="1">IFERROR(__xludf.DUMMYFUNCTION("""COMPUTED_VALUE"""),44614)</f>
        <v>44614</v>
      </c>
      <c r="C1539" s="22">
        <f ca="1">IFERROR(__xludf.DUMMYFUNCTION("""COMPUTED_VALUE"""),500000)</f>
        <v>500000</v>
      </c>
      <c r="D1539" s="22">
        <f ca="1">IFERROR(__xludf.DUMMYFUNCTION("""COMPUTED_VALUE"""),0)</f>
        <v>0</v>
      </c>
      <c r="E1539" s="22">
        <f ca="1">IFERROR(__xludf.DUMMYFUNCTION("""COMPUTED_VALUE"""),500000)</f>
        <v>500000</v>
      </c>
      <c r="F1539" s="22">
        <f ca="1">IFERROR(__xludf.DUMMYFUNCTION("""COMPUTED_VALUE"""),500000)</f>
        <v>500000</v>
      </c>
      <c r="G1539" s="22">
        <f ca="1">IFERROR(__xludf.DUMMYFUNCTION("""COMPUTED_VALUE"""),0)</f>
        <v>0</v>
      </c>
      <c r="H1539" s="7">
        <f ca="1">IFERROR(__xludf.DUMMYFUNCTION("""COMPUTED_VALUE"""),500000)</f>
        <v>500000</v>
      </c>
    </row>
    <row r="1540" spans="1:8" ht="13" x14ac:dyDescent="0.15">
      <c r="A1540" s="5" t="str">
        <f ca="1">IFERROR(__xludf.DUMMYFUNCTION("""COMPUTED_VALUE"""),"38381")</f>
        <v>38381</v>
      </c>
      <c r="B1540" s="51">
        <f ca="1">IFERROR(__xludf.DUMMYFUNCTION("""COMPUTED_VALUE"""),44615)</f>
        <v>44615</v>
      </c>
      <c r="C1540" s="22">
        <f ca="1">IFERROR(__xludf.DUMMYFUNCTION("""COMPUTED_VALUE"""),500000)</f>
        <v>500000</v>
      </c>
      <c r="D1540" s="22">
        <f ca="1">IFERROR(__xludf.DUMMYFUNCTION("""COMPUTED_VALUE"""),0)</f>
        <v>0</v>
      </c>
      <c r="E1540" s="22">
        <f ca="1">IFERROR(__xludf.DUMMYFUNCTION("""COMPUTED_VALUE"""),500000)</f>
        <v>500000</v>
      </c>
      <c r="F1540" s="22">
        <f ca="1">IFERROR(__xludf.DUMMYFUNCTION("""COMPUTED_VALUE"""),500000)</f>
        <v>500000</v>
      </c>
      <c r="G1540" s="22">
        <f ca="1">IFERROR(__xludf.DUMMYFUNCTION("""COMPUTED_VALUE"""),0)</f>
        <v>0</v>
      </c>
      <c r="H1540" s="7">
        <f ca="1">IFERROR(__xludf.DUMMYFUNCTION("""COMPUTED_VALUE"""),500000)</f>
        <v>500000</v>
      </c>
    </row>
    <row r="1541" spans="1:8" ht="13" x14ac:dyDescent="0.15">
      <c r="A1541" s="5" t="str">
        <f ca="1">IFERROR(__xludf.DUMMYFUNCTION("""COMPUTED_VALUE"""),"38381")</f>
        <v>38381</v>
      </c>
      <c r="B1541" s="51">
        <f ca="1">IFERROR(__xludf.DUMMYFUNCTION("""COMPUTED_VALUE"""),44616)</f>
        <v>44616</v>
      </c>
      <c r="C1541" s="22">
        <f ca="1">IFERROR(__xludf.DUMMYFUNCTION("""COMPUTED_VALUE"""),500000)</f>
        <v>500000</v>
      </c>
      <c r="D1541" s="22">
        <f ca="1">IFERROR(__xludf.DUMMYFUNCTION("""COMPUTED_VALUE"""),0)</f>
        <v>0</v>
      </c>
      <c r="E1541" s="22">
        <f ca="1">IFERROR(__xludf.DUMMYFUNCTION("""COMPUTED_VALUE"""),500000)</f>
        <v>500000</v>
      </c>
      <c r="F1541" s="22">
        <f ca="1">IFERROR(__xludf.DUMMYFUNCTION("""COMPUTED_VALUE"""),500000)</f>
        <v>500000</v>
      </c>
      <c r="G1541" s="22">
        <f ca="1">IFERROR(__xludf.DUMMYFUNCTION("""COMPUTED_VALUE"""),0)</f>
        <v>0</v>
      </c>
      <c r="H1541" s="7">
        <f ca="1">IFERROR(__xludf.DUMMYFUNCTION("""COMPUTED_VALUE"""),500000)</f>
        <v>500000</v>
      </c>
    </row>
    <row r="1542" spans="1:8" ht="13" x14ac:dyDescent="0.15">
      <c r="A1542" s="5" t="str">
        <f ca="1">IFERROR(__xludf.DUMMYFUNCTION("""COMPUTED_VALUE"""),"38381")</f>
        <v>38381</v>
      </c>
      <c r="B1542" s="51">
        <f ca="1">IFERROR(__xludf.DUMMYFUNCTION("""COMPUTED_VALUE"""),44617)</f>
        <v>44617</v>
      </c>
      <c r="C1542" s="22">
        <f ca="1">IFERROR(__xludf.DUMMYFUNCTION("""COMPUTED_VALUE"""),500000)</f>
        <v>500000</v>
      </c>
      <c r="D1542" s="22">
        <f ca="1">IFERROR(__xludf.DUMMYFUNCTION("""COMPUTED_VALUE"""),0)</f>
        <v>0</v>
      </c>
      <c r="E1542" s="22">
        <f ca="1">IFERROR(__xludf.DUMMYFUNCTION("""COMPUTED_VALUE"""),500000)</f>
        <v>500000</v>
      </c>
      <c r="F1542" s="22">
        <f ca="1">IFERROR(__xludf.DUMMYFUNCTION("""COMPUTED_VALUE"""),500000)</f>
        <v>500000</v>
      </c>
      <c r="G1542" s="22">
        <f ca="1">IFERROR(__xludf.DUMMYFUNCTION("""COMPUTED_VALUE"""),0)</f>
        <v>0</v>
      </c>
      <c r="H1542" s="7">
        <f ca="1">IFERROR(__xludf.DUMMYFUNCTION("""COMPUTED_VALUE"""),500000)</f>
        <v>500000</v>
      </c>
    </row>
    <row r="1543" spans="1:8" ht="13" x14ac:dyDescent="0.15">
      <c r="A1543" s="5" t="str">
        <f ca="1">IFERROR(__xludf.DUMMYFUNCTION("""COMPUTED_VALUE"""),"38381")</f>
        <v>38381</v>
      </c>
      <c r="B1543" s="51">
        <f ca="1">IFERROR(__xludf.DUMMYFUNCTION("""COMPUTED_VALUE"""),44618)</f>
        <v>44618</v>
      </c>
      <c r="C1543" s="22">
        <f ca="1">IFERROR(__xludf.DUMMYFUNCTION("""COMPUTED_VALUE"""),500000)</f>
        <v>500000</v>
      </c>
      <c r="D1543" s="22">
        <f ca="1">IFERROR(__xludf.DUMMYFUNCTION("""COMPUTED_VALUE"""),0)</f>
        <v>0</v>
      </c>
      <c r="E1543" s="22">
        <f ca="1">IFERROR(__xludf.DUMMYFUNCTION("""COMPUTED_VALUE"""),500000)</f>
        <v>500000</v>
      </c>
      <c r="F1543" s="22">
        <f ca="1">IFERROR(__xludf.DUMMYFUNCTION("""COMPUTED_VALUE"""),500000)</f>
        <v>500000</v>
      </c>
      <c r="G1543" s="22">
        <f ca="1">IFERROR(__xludf.DUMMYFUNCTION("""COMPUTED_VALUE"""),0)</f>
        <v>0</v>
      </c>
      <c r="H1543" s="7">
        <f ca="1">IFERROR(__xludf.DUMMYFUNCTION("""COMPUTED_VALUE"""),500000)</f>
        <v>500000</v>
      </c>
    </row>
    <row r="1544" spans="1:8" ht="13" x14ac:dyDescent="0.15">
      <c r="A1544" s="5" t="str">
        <f ca="1">IFERROR(__xludf.DUMMYFUNCTION("""COMPUTED_VALUE"""),"38381")</f>
        <v>38381</v>
      </c>
      <c r="B1544" s="51">
        <f ca="1">IFERROR(__xludf.DUMMYFUNCTION("""COMPUTED_VALUE"""),44619)</f>
        <v>44619</v>
      </c>
      <c r="C1544" s="22">
        <f ca="1">IFERROR(__xludf.DUMMYFUNCTION("""COMPUTED_VALUE"""),500000)</f>
        <v>500000</v>
      </c>
      <c r="D1544" s="22">
        <f ca="1">IFERROR(__xludf.DUMMYFUNCTION("""COMPUTED_VALUE"""),0)</f>
        <v>0</v>
      </c>
      <c r="E1544" s="22">
        <f ca="1">IFERROR(__xludf.DUMMYFUNCTION("""COMPUTED_VALUE"""),500000)</f>
        <v>500000</v>
      </c>
      <c r="F1544" s="22">
        <f ca="1">IFERROR(__xludf.DUMMYFUNCTION("""COMPUTED_VALUE"""),500000)</f>
        <v>500000</v>
      </c>
      <c r="G1544" s="22">
        <f ca="1">IFERROR(__xludf.DUMMYFUNCTION("""COMPUTED_VALUE"""),0)</f>
        <v>0</v>
      </c>
      <c r="H1544" s="7">
        <f ca="1">IFERROR(__xludf.DUMMYFUNCTION("""COMPUTED_VALUE"""),500000)</f>
        <v>500000</v>
      </c>
    </row>
    <row r="1545" spans="1:8" ht="13" x14ac:dyDescent="0.15">
      <c r="A1545" s="5" t="str">
        <f ca="1">IFERROR(__xludf.DUMMYFUNCTION("""COMPUTED_VALUE"""),"38381")</f>
        <v>38381</v>
      </c>
      <c r="B1545" s="51">
        <f ca="1">IFERROR(__xludf.DUMMYFUNCTION("""COMPUTED_VALUE"""),44620)</f>
        <v>44620</v>
      </c>
      <c r="C1545" s="22">
        <f ca="1">IFERROR(__xludf.DUMMYFUNCTION("""COMPUTED_VALUE"""),500000)</f>
        <v>500000</v>
      </c>
      <c r="D1545" s="22">
        <f ca="1">IFERROR(__xludf.DUMMYFUNCTION("""COMPUTED_VALUE"""),0)</f>
        <v>0</v>
      </c>
      <c r="E1545" s="22">
        <f ca="1">IFERROR(__xludf.DUMMYFUNCTION("""COMPUTED_VALUE"""),500000)</f>
        <v>500000</v>
      </c>
      <c r="F1545" s="22">
        <f ca="1">IFERROR(__xludf.DUMMYFUNCTION("""COMPUTED_VALUE"""),500000)</f>
        <v>500000</v>
      </c>
      <c r="G1545" s="22">
        <f ca="1">IFERROR(__xludf.DUMMYFUNCTION("""COMPUTED_VALUE"""),0)</f>
        <v>0</v>
      </c>
      <c r="H1545" s="7">
        <f ca="1">IFERROR(__xludf.DUMMYFUNCTION("""COMPUTED_VALUE"""),500000)</f>
        <v>500000</v>
      </c>
    </row>
    <row r="1546" spans="1:8" ht="13" x14ac:dyDescent="0.15">
      <c r="A1546" s="5" t="str">
        <f ca="1">IFERROR(__xludf.DUMMYFUNCTION("""COMPUTED_VALUE"""),"38381")</f>
        <v>38381</v>
      </c>
      <c r="B1546" s="51">
        <f ca="1">IFERROR(__xludf.DUMMYFUNCTION("""COMPUTED_VALUE"""),44621)</f>
        <v>44621</v>
      </c>
      <c r="C1546" s="22">
        <f ca="1">IFERROR(__xludf.DUMMYFUNCTION("""COMPUTED_VALUE"""),500000)</f>
        <v>500000</v>
      </c>
      <c r="D1546" s="22">
        <f ca="1">IFERROR(__xludf.DUMMYFUNCTION("""COMPUTED_VALUE"""),0)</f>
        <v>0</v>
      </c>
      <c r="E1546" s="22">
        <f ca="1">IFERROR(__xludf.DUMMYFUNCTION("""COMPUTED_VALUE"""),500000)</f>
        <v>500000</v>
      </c>
      <c r="F1546" s="22">
        <f ca="1">IFERROR(__xludf.DUMMYFUNCTION("""COMPUTED_VALUE"""),500000)</f>
        <v>500000</v>
      </c>
      <c r="G1546" s="22">
        <f ca="1">IFERROR(__xludf.DUMMYFUNCTION("""COMPUTED_VALUE"""),0)</f>
        <v>0</v>
      </c>
      <c r="H1546" s="7">
        <f ca="1">IFERROR(__xludf.DUMMYFUNCTION("""COMPUTED_VALUE"""),500000)</f>
        <v>500000</v>
      </c>
    </row>
    <row r="1547" spans="1:8" ht="13" x14ac:dyDescent="0.15">
      <c r="A1547" s="5" t="str">
        <f ca="1">IFERROR(__xludf.DUMMYFUNCTION("""COMPUTED_VALUE"""),"38381")</f>
        <v>38381</v>
      </c>
      <c r="B1547" s="51">
        <f ca="1">IFERROR(__xludf.DUMMYFUNCTION("""COMPUTED_VALUE"""),44622)</f>
        <v>44622</v>
      </c>
      <c r="C1547" s="22">
        <f ca="1">IFERROR(__xludf.DUMMYFUNCTION("""COMPUTED_VALUE"""),500000)</f>
        <v>500000</v>
      </c>
      <c r="D1547" s="22">
        <f ca="1">IFERROR(__xludf.DUMMYFUNCTION("""COMPUTED_VALUE"""),0)</f>
        <v>0</v>
      </c>
      <c r="E1547" s="22">
        <f ca="1">IFERROR(__xludf.DUMMYFUNCTION("""COMPUTED_VALUE"""),500000)</f>
        <v>500000</v>
      </c>
      <c r="F1547" s="22">
        <f ca="1">IFERROR(__xludf.DUMMYFUNCTION("""COMPUTED_VALUE"""),500000)</f>
        <v>500000</v>
      </c>
      <c r="G1547" s="22">
        <f ca="1">IFERROR(__xludf.DUMMYFUNCTION("""COMPUTED_VALUE"""),0)</f>
        <v>0</v>
      </c>
      <c r="H1547" s="7">
        <f ca="1">IFERROR(__xludf.DUMMYFUNCTION("""COMPUTED_VALUE"""),500000)</f>
        <v>500000</v>
      </c>
    </row>
    <row r="1548" spans="1:8" ht="13" x14ac:dyDescent="0.15">
      <c r="A1548" s="5" t="str">
        <f ca="1">IFERROR(__xludf.DUMMYFUNCTION("""COMPUTED_VALUE"""),"38381")</f>
        <v>38381</v>
      </c>
      <c r="B1548" s="51">
        <f ca="1">IFERROR(__xludf.DUMMYFUNCTION("""COMPUTED_VALUE"""),44623)</f>
        <v>44623</v>
      </c>
      <c r="C1548" s="22">
        <f ca="1">IFERROR(__xludf.DUMMYFUNCTION("""COMPUTED_VALUE"""),500000)</f>
        <v>500000</v>
      </c>
      <c r="D1548" s="22">
        <f ca="1">IFERROR(__xludf.DUMMYFUNCTION("""COMPUTED_VALUE"""),0)</f>
        <v>0</v>
      </c>
      <c r="E1548" s="22">
        <f ca="1">IFERROR(__xludf.DUMMYFUNCTION("""COMPUTED_VALUE"""),500000)</f>
        <v>500000</v>
      </c>
      <c r="F1548" s="22">
        <f ca="1">IFERROR(__xludf.DUMMYFUNCTION("""COMPUTED_VALUE"""),500000)</f>
        <v>500000</v>
      </c>
      <c r="G1548" s="22">
        <f ca="1">IFERROR(__xludf.DUMMYFUNCTION("""COMPUTED_VALUE"""),0)</f>
        <v>0</v>
      </c>
      <c r="H1548" s="7">
        <f ca="1">IFERROR(__xludf.DUMMYFUNCTION("""COMPUTED_VALUE"""),500000)</f>
        <v>500000</v>
      </c>
    </row>
    <row r="1549" spans="1:8" ht="13" x14ac:dyDescent="0.15">
      <c r="A1549" s="5" t="str">
        <f ca="1">IFERROR(__xludf.DUMMYFUNCTION("""COMPUTED_VALUE"""),"38381")</f>
        <v>38381</v>
      </c>
      <c r="B1549" s="51">
        <f ca="1">IFERROR(__xludf.DUMMYFUNCTION("""COMPUTED_VALUE"""),44624)</f>
        <v>44624</v>
      </c>
      <c r="C1549" s="22">
        <f ca="1">IFERROR(__xludf.DUMMYFUNCTION("""COMPUTED_VALUE"""),500000)</f>
        <v>500000</v>
      </c>
      <c r="D1549" s="22">
        <f ca="1">IFERROR(__xludf.DUMMYFUNCTION("""COMPUTED_VALUE"""),0)</f>
        <v>0</v>
      </c>
      <c r="E1549" s="22">
        <f ca="1">IFERROR(__xludf.DUMMYFUNCTION("""COMPUTED_VALUE"""),500000)</f>
        <v>500000</v>
      </c>
      <c r="F1549" s="22">
        <f ca="1">IFERROR(__xludf.DUMMYFUNCTION("""COMPUTED_VALUE"""),500000)</f>
        <v>500000</v>
      </c>
      <c r="G1549" s="22">
        <f ca="1">IFERROR(__xludf.DUMMYFUNCTION("""COMPUTED_VALUE"""),0)</f>
        <v>0</v>
      </c>
      <c r="H1549" s="7">
        <f ca="1">IFERROR(__xludf.DUMMYFUNCTION("""COMPUTED_VALUE"""),500000)</f>
        <v>500000</v>
      </c>
    </row>
    <row r="1550" spans="1:8" ht="13" x14ac:dyDescent="0.15">
      <c r="A1550" s="5" t="str">
        <f ca="1">IFERROR(__xludf.DUMMYFUNCTION("""COMPUTED_VALUE"""),"38381")</f>
        <v>38381</v>
      </c>
      <c r="B1550" s="51">
        <f ca="1">IFERROR(__xludf.DUMMYFUNCTION("""COMPUTED_VALUE"""),44625)</f>
        <v>44625</v>
      </c>
      <c r="C1550" s="22">
        <f ca="1">IFERROR(__xludf.DUMMYFUNCTION("""COMPUTED_VALUE"""),500000)</f>
        <v>500000</v>
      </c>
      <c r="D1550" s="22">
        <f ca="1">IFERROR(__xludf.DUMMYFUNCTION("""COMPUTED_VALUE"""),0)</f>
        <v>0</v>
      </c>
      <c r="E1550" s="22">
        <f ca="1">IFERROR(__xludf.DUMMYFUNCTION("""COMPUTED_VALUE"""),500000)</f>
        <v>500000</v>
      </c>
      <c r="F1550" s="22">
        <f ca="1">IFERROR(__xludf.DUMMYFUNCTION("""COMPUTED_VALUE"""),500000)</f>
        <v>500000</v>
      </c>
      <c r="G1550" s="22">
        <f ca="1">IFERROR(__xludf.DUMMYFUNCTION("""COMPUTED_VALUE"""),0)</f>
        <v>0</v>
      </c>
      <c r="H1550" s="7">
        <f ca="1">IFERROR(__xludf.DUMMYFUNCTION("""COMPUTED_VALUE"""),500000)</f>
        <v>500000</v>
      </c>
    </row>
    <row r="1551" spans="1:8" ht="13" x14ac:dyDescent="0.15">
      <c r="A1551" s="5" t="str">
        <f ca="1">IFERROR(__xludf.DUMMYFUNCTION("""COMPUTED_VALUE"""),"38381")</f>
        <v>38381</v>
      </c>
      <c r="B1551" s="51">
        <f ca="1">IFERROR(__xludf.DUMMYFUNCTION("""COMPUTED_VALUE"""),44626)</f>
        <v>44626</v>
      </c>
      <c r="C1551" s="22">
        <f ca="1">IFERROR(__xludf.DUMMYFUNCTION("""COMPUTED_VALUE"""),500000)</f>
        <v>500000</v>
      </c>
      <c r="D1551" s="22">
        <f ca="1">IFERROR(__xludf.DUMMYFUNCTION("""COMPUTED_VALUE"""),0)</f>
        <v>0</v>
      </c>
      <c r="E1551" s="22">
        <f ca="1">IFERROR(__xludf.DUMMYFUNCTION("""COMPUTED_VALUE"""),500000)</f>
        <v>500000</v>
      </c>
      <c r="F1551" s="22">
        <f ca="1">IFERROR(__xludf.DUMMYFUNCTION("""COMPUTED_VALUE"""),500000)</f>
        <v>500000</v>
      </c>
      <c r="G1551" s="22">
        <f ca="1">IFERROR(__xludf.DUMMYFUNCTION("""COMPUTED_VALUE"""),0)</f>
        <v>0</v>
      </c>
      <c r="H1551" s="7">
        <f ca="1">IFERROR(__xludf.DUMMYFUNCTION("""COMPUTED_VALUE"""),500000)</f>
        <v>500000</v>
      </c>
    </row>
    <row r="1552" spans="1:8" ht="13" x14ac:dyDescent="0.15">
      <c r="A1552" s="5" t="str">
        <f ca="1">IFERROR(__xludf.DUMMYFUNCTION("""COMPUTED_VALUE"""),"38381")</f>
        <v>38381</v>
      </c>
      <c r="B1552" s="51">
        <f ca="1">IFERROR(__xludf.DUMMYFUNCTION("""COMPUTED_VALUE"""),44627)</f>
        <v>44627</v>
      </c>
      <c r="C1552" s="22">
        <f ca="1">IFERROR(__xludf.DUMMYFUNCTION("""COMPUTED_VALUE"""),500000)</f>
        <v>500000</v>
      </c>
      <c r="D1552" s="22">
        <f ca="1">IFERROR(__xludf.DUMMYFUNCTION("""COMPUTED_VALUE"""),0)</f>
        <v>0</v>
      </c>
      <c r="E1552" s="22">
        <f ca="1">IFERROR(__xludf.DUMMYFUNCTION("""COMPUTED_VALUE"""),500000)</f>
        <v>500000</v>
      </c>
      <c r="F1552" s="22">
        <f ca="1">IFERROR(__xludf.DUMMYFUNCTION("""COMPUTED_VALUE"""),500000)</f>
        <v>500000</v>
      </c>
      <c r="G1552" s="22">
        <f ca="1">IFERROR(__xludf.DUMMYFUNCTION("""COMPUTED_VALUE"""),0)</f>
        <v>0</v>
      </c>
      <c r="H1552" s="7">
        <f ca="1">IFERROR(__xludf.DUMMYFUNCTION("""COMPUTED_VALUE"""),500000)</f>
        <v>500000</v>
      </c>
    </row>
    <row r="1553" spans="1:8" ht="13" x14ac:dyDescent="0.15">
      <c r="A1553" s="5" t="str">
        <f ca="1">IFERROR(__xludf.DUMMYFUNCTION("""COMPUTED_VALUE"""),"38381")</f>
        <v>38381</v>
      </c>
      <c r="B1553" s="51">
        <f ca="1">IFERROR(__xludf.DUMMYFUNCTION("""COMPUTED_VALUE"""),44628)</f>
        <v>44628</v>
      </c>
      <c r="C1553" s="22">
        <f ca="1">IFERROR(__xludf.DUMMYFUNCTION("""COMPUTED_VALUE"""),500000)</f>
        <v>500000</v>
      </c>
      <c r="D1553" s="22">
        <f ca="1">IFERROR(__xludf.DUMMYFUNCTION("""COMPUTED_VALUE"""),0)</f>
        <v>0</v>
      </c>
      <c r="E1553" s="22">
        <f ca="1">IFERROR(__xludf.DUMMYFUNCTION("""COMPUTED_VALUE"""),500000)</f>
        <v>500000</v>
      </c>
      <c r="F1553" s="22">
        <f ca="1">IFERROR(__xludf.DUMMYFUNCTION("""COMPUTED_VALUE"""),500000)</f>
        <v>500000</v>
      </c>
      <c r="G1553" s="22">
        <f ca="1">IFERROR(__xludf.DUMMYFUNCTION("""COMPUTED_VALUE"""),0)</f>
        <v>0</v>
      </c>
      <c r="H1553" s="7">
        <f ca="1">IFERROR(__xludf.DUMMYFUNCTION("""COMPUTED_VALUE"""),500000)</f>
        <v>500000</v>
      </c>
    </row>
    <row r="1554" spans="1:8" ht="13" x14ac:dyDescent="0.15">
      <c r="A1554" s="5" t="str">
        <f ca="1">IFERROR(__xludf.DUMMYFUNCTION("""COMPUTED_VALUE"""),"38381")</f>
        <v>38381</v>
      </c>
      <c r="B1554" s="51">
        <f ca="1">IFERROR(__xludf.DUMMYFUNCTION("""COMPUTED_VALUE"""),44629)</f>
        <v>44629</v>
      </c>
      <c r="C1554" s="22">
        <f ca="1">IFERROR(__xludf.DUMMYFUNCTION("""COMPUTED_VALUE"""),500000)</f>
        <v>500000</v>
      </c>
      <c r="D1554" s="22">
        <f ca="1">IFERROR(__xludf.DUMMYFUNCTION("""COMPUTED_VALUE"""),0)</f>
        <v>0</v>
      </c>
      <c r="E1554" s="22">
        <f ca="1">IFERROR(__xludf.DUMMYFUNCTION("""COMPUTED_VALUE"""),500000)</f>
        <v>500000</v>
      </c>
      <c r="F1554" s="22">
        <f ca="1">IFERROR(__xludf.DUMMYFUNCTION("""COMPUTED_VALUE"""),500000)</f>
        <v>500000</v>
      </c>
      <c r="G1554" s="22">
        <f ca="1">IFERROR(__xludf.DUMMYFUNCTION("""COMPUTED_VALUE"""),0)</f>
        <v>0</v>
      </c>
      <c r="H1554" s="7">
        <f ca="1">IFERROR(__xludf.DUMMYFUNCTION("""COMPUTED_VALUE"""),500000)</f>
        <v>500000</v>
      </c>
    </row>
    <row r="1555" spans="1:8" ht="13" x14ac:dyDescent="0.15">
      <c r="A1555" s="5" t="str">
        <f ca="1">IFERROR(__xludf.DUMMYFUNCTION("""COMPUTED_VALUE"""),"38381")</f>
        <v>38381</v>
      </c>
      <c r="B1555" s="51">
        <f ca="1">IFERROR(__xludf.DUMMYFUNCTION("""COMPUTED_VALUE"""),44630)</f>
        <v>44630</v>
      </c>
      <c r="C1555" s="22">
        <f ca="1">IFERROR(__xludf.DUMMYFUNCTION("""COMPUTED_VALUE"""),500000)</f>
        <v>500000</v>
      </c>
      <c r="D1555" s="22">
        <f ca="1">IFERROR(__xludf.DUMMYFUNCTION("""COMPUTED_VALUE"""),0)</f>
        <v>0</v>
      </c>
      <c r="E1555" s="22">
        <f ca="1">IFERROR(__xludf.DUMMYFUNCTION("""COMPUTED_VALUE"""),500000)</f>
        <v>500000</v>
      </c>
      <c r="F1555" s="22">
        <f ca="1">IFERROR(__xludf.DUMMYFUNCTION("""COMPUTED_VALUE"""),500000)</f>
        <v>500000</v>
      </c>
      <c r="G1555" s="22">
        <f ca="1">IFERROR(__xludf.DUMMYFUNCTION("""COMPUTED_VALUE"""),0)</f>
        <v>0</v>
      </c>
      <c r="H1555" s="7">
        <f ca="1">IFERROR(__xludf.DUMMYFUNCTION("""COMPUTED_VALUE"""),500000)</f>
        <v>500000</v>
      </c>
    </row>
    <row r="1556" spans="1:8" ht="13" x14ac:dyDescent="0.15">
      <c r="A1556" s="5" t="str">
        <f ca="1">IFERROR(__xludf.DUMMYFUNCTION("""COMPUTED_VALUE"""),"38381")</f>
        <v>38381</v>
      </c>
      <c r="B1556" s="51">
        <f ca="1">IFERROR(__xludf.DUMMYFUNCTION("""COMPUTED_VALUE"""),44631)</f>
        <v>44631</v>
      </c>
      <c r="C1556" s="22">
        <f ca="1">IFERROR(__xludf.DUMMYFUNCTION("""COMPUTED_VALUE"""),500000)</f>
        <v>500000</v>
      </c>
      <c r="D1556" s="22">
        <f ca="1">IFERROR(__xludf.DUMMYFUNCTION("""COMPUTED_VALUE"""),0)</f>
        <v>0</v>
      </c>
      <c r="E1556" s="22">
        <f ca="1">IFERROR(__xludf.DUMMYFUNCTION("""COMPUTED_VALUE"""),500000)</f>
        <v>500000</v>
      </c>
      <c r="F1556" s="22">
        <f ca="1">IFERROR(__xludf.DUMMYFUNCTION("""COMPUTED_VALUE"""),500000)</f>
        <v>500000</v>
      </c>
      <c r="G1556" s="22">
        <f ca="1">IFERROR(__xludf.DUMMYFUNCTION("""COMPUTED_VALUE"""),0)</f>
        <v>0</v>
      </c>
      <c r="H1556" s="7">
        <f ca="1">IFERROR(__xludf.DUMMYFUNCTION("""COMPUTED_VALUE"""),500000)</f>
        <v>500000</v>
      </c>
    </row>
    <row r="1557" spans="1:8" ht="13" x14ac:dyDescent="0.15">
      <c r="A1557" s="5" t="str">
        <f ca="1">IFERROR(__xludf.DUMMYFUNCTION("""COMPUTED_VALUE"""),"38381")</f>
        <v>38381</v>
      </c>
      <c r="B1557" s="51">
        <f ca="1">IFERROR(__xludf.DUMMYFUNCTION("""COMPUTED_VALUE"""),44632)</f>
        <v>44632</v>
      </c>
      <c r="C1557" s="22">
        <f ca="1">IFERROR(__xludf.DUMMYFUNCTION("""COMPUTED_VALUE"""),500000)</f>
        <v>500000</v>
      </c>
      <c r="D1557" s="22">
        <f ca="1">IFERROR(__xludf.DUMMYFUNCTION("""COMPUTED_VALUE"""),0)</f>
        <v>0</v>
      </c>
      <c r="E1557" s="22">
        <f ca="1">IFERROR(__xludf.DUMMYFUNCTION("""COMPUTED_VALUE"""),500000)</f>
        <v>500000</v>
      </c>
      <c r="F1557" s="22">
        <f ca="1">IFERROR(__xludf.DUMMYFUNCTION("""COMPUTED_VALUE"""),500000)</f>
        <v>500000</v>
      </c>
      <c r="G1557" s="22">
        <f ca="1">IFERROR(__xludf.DUMMYFUNCTION("""COMPUTED_VALUE"""),0)</f>
        <v>0</v>
      </c>
      <c r="H1557" s="7">
        <f ca="1">IFERROR(__xludf.DUMMYFUNCTION("""COMPUTED_VALUE"""),500000)</f>
        <v>500000</v>
      </c>
    </row>
    <row r="1558" spans="1:8" ht="13" x14ac:dyDescent="0.15">
      <c r="A1558" s="5" t="str">
        <f ca="1">IFERROR(__xludf.DUMMYFUNCTION("""COMPUTED_VALUE"""),"38381")</f>
        <v>38381</v>
      </c>
      <c r="B1558" s="51">
        <f ca="1">IFERROR(__xludf.DUMMYFUNCTION("""COMPUTED_VALUE"""),44633)</f>
        <v>44633</v>
      </c>
      <c r="C1558" s="22">
        <f ca="1">IFERROR(__xludf.DUMMYFUNCTION("""COMPUTED_VALUE"""),500000)</f>
        <v>500000</v>
      </c>
      <c r="D1558" s="22">
        <f ca="1">IFERROR(__xludf.DUMMYFUNCTION("""COMPUTED_VALUE"""),0)</f>
        <v>0</v>
      </c>
      <c r="E1558" s="22">
        <f ca="1">IFERROR(__xludf.DUMMYFUNCTION("""COMPUTED_VALUE"""),500000)</f>
        <v>500000</v>
      </c>
      <c r="F1558" s="22">
        <f ca="1">IFERROR(__xludf.DUMMYFUNCTION("""COMPUTED_VALUE"""),500000)</f>
        <v>500000</v>
      </c>
      <c r="G1558" s="22">
        <f ca="1">IFERROR(__xludf.DUMMYFUNCTION("""COMPUTED_VALUE"""),0)</f>
        <v>0</v>
      </c>
      <c r="H1558" s="7">
        <f ca="1">IFERROR(__xludf.DUMMYFUNCTION("""COMPUTED_VALUE"""),500000)</f>
        <v>500000</v>
      </c>
    </row>
    <row r="1559" spans="1:8" ht="13" x14ac:dyDescent="0.15">
      <c r="A1559" s="5" t="str">
        <f ca="1">IFERROR(__xludf.DUMMYFUNCTION("""COMPUTED_VALUE"""),"38381")</f>
        <v>38381</v>
      </c>
      <c r="B1559" s="51">
        <f ca="1">IFERROR(__xludf.DUMMYFUNCTION("""COMPUTED_VALUE"""),44634)</f>
        <v>44634</v>
      </c>
      <c r="C1559" s="22">
        <f ca="1">IFERROR(__xludf.DUMMYFUNCTION("""COMPUTED_VALUE"""),500000)</f>
        <v>500000</v>
      </c>
      <c r="D1559" s="22">
        <f ca="1">IFERROR(__xludf.DUMMYFUNCTION("""COMPUTED_VALUE"""),0)</f>
        <v>0</v>
      </c>
      <c r="E1559" s="22">
        <f ca="1">IFERROR(__xludf.DUMMYFUNCTION("""COMPUTED_VALUE"""),500000)</f>
        <v>500000</v>
      </c>
      <c r="F1559" s="22">
        <f ca="1">IFERROR(__xludf.DUMMYFUNCTION("""COMPUTED_VALUE"""),500000)</f>
        <v>500000</v>
      </c>
      <c r="G1559" s="22">
        <f ca="1">IFERROR(__xludf.DUMMYFUNCTION("""COMPUTED_VALUE"""),0)</f>
        <v>0</v>
      </c>
      <c r="H1559" s="7">
        <f ca="1">IFERROR(__xludf.DUMMYFUNCTION("""COMPUTED_VALUE"""),500000)</f>
        <v>500000</v>
      </c>
    </row>
    <row r="1560" spans="1:8" ht="13" x14ac:dyDescent="0.15">
      <c r="A1560" s="5" t="str">
        <f ca="1">IFERROR(__xludf.DUMMYFUNCTION("""COMPUTED_VALUE"""),"38381")</f>
        <v>38381</v>
      </c>
      <c r="B1560" s="51">
        <f ca="1">IFERROR(__xludf.DUMMYFUNCTION("""COMPUTED_VALUE"""),44635)</f>
        <v>44635</v>
      </c>
      <c r="C1560" s="22">
        <f ca="1">IFERROR(__xludf.DUMMYFUNCTION("""COMPUTED_VALUE"""),500000)</f>
        <v>500000</v>
      </c>
      <c r="D1560" s="22">
        <f ca="1">IFERROR(__xludf.DUMMYFUNCTION("""COMPUTED_VALUE"""),0)</f>
        <v>0</v>
      </c>
      <c r="E1560" s="22">
        <f ca="1">IFERROR(__xludf.DUMMYFUNCTION("""COMPUTED_VALUE"""),500000)</f>
        <v>500000</v>
      </c>
      <c r="F1560" s="22">
        <f ca="1">IFERROR(__xludf.DUMMYFUNCTION("""COMPUTED_VALUE"""),500000)</f>
        <v>500000</v>
      </c>
      <c r="G1560" s="22">
        <f ca="1">IFERROR(__xludf.DUMMYFUNCTION("""COMPUTED_VALUE"""),0)</f>
        <v>0</v>
      </c>
      <c r="H1560" s="7">
        <f ca="1">IFERROR(__xludf.DUMMYFUNCTION("""COMPUTED_VALUE"""),500000)</f>
        <v>500000</v>
      </c>
    </row>
    <row r="1561" spans="1:8" ht="13" x14ac:dyDescent="0.15">
      <c r="A1561" s="5" t="str">
        <f ca="1">IFERROR(__xludf.DUMMYFUNCTION("""COMPUTED_VALUE"""),"38381")</f>
        <v>38381</v>
      </c>
      <c r="B1561" s="51">
        <f ca="1">IFERROR(__xludf.DUMMYFUNCTION("""COMPUTED_VALUE"""),44636)</f>
        <v>44636</v>
      </c>
      <c r="C1561" s="22">
        <f ca="1">IFERROR(__xludf.DUMMYFUNCTION("""COMPUTED_VALUE"""),-28504.9484499999)</f>
        <v>-28504.948449999902</v>
      </c>
      <c r="D1561" s="22">
        <f ca="1">IFERROR(__xludf.DUMMYFUNCTION("""COMPUTED_VALUE"""),528411.10185)</f>
        <v>528411.10184999998</v>
      </c>
      <c r="E1561" s="22">
        <f ca="1">IFERROR(__xludf.DUMMYFUNCTION("""COMPUTED_VALUE"""),499906.1534)</f>
        <v>499906.15340000001</v>
      </c>
      <c r="F1561" s="22">
        <f ca="1">IFERROR(__xludf.DUMMYFUNCTION("""COMPUTED_VALUE"""),-28504.9484499999)</f>
        <v>-28504.948449999902</v>
      </c>
      <c r="G1561" s="22">
        <f ca="1">IFERROR(__xludf.DUMMYFUNCTION("""COMPUTED_VALUE"""),28504.9484499999)</f>
        <v>28504.948449999902</v>
      </c>
      <c r="H1561" s="7">
        <f ca="1">IFERROR(__xludf.DUMMYFUNCTION("""COMPUTED_VALUE"""),499906.1534)</f>
        <v>499906.15340000001</v>
      </c>
    </row>
    <row r="1562" spans="1:8" ht="13" x14ac:dyDescent="0.15">
      <c r="A1562" s="5" t="str">
        <f ca="1">IFERROR(__xludf.DUMMYFUNCTION("""COMPUTED_VALUE"""),"38381")</f>
        <v>38381</v>
      </c>
      <c r="B1562" s="51">
        <f ca="1">IFERROR(__xludf.DUMMYFUNCTION("""COMPUTED_VALUE"""),44637)</f>
        <v>44637</v>
      </c>
      <c r="C1562" s="22">
        <f ca="1">IFERROR(__xludf.DUMMYFUNCTION("""COMPUTED_VALUE"""),-29398.9484499999)</f>
        <v>-29398.948449999902</v>
      </c>
      <c r="D1562" s="22">
        <f ca="1">IFERROR(__xludf.DUMMYFUNCTION("""COMPUTED_VALUE"""),544281.4623)</f>
        <v>544281.46230000001</v>
      </c>
      <c r="E1562" s="22">
        <f ca="1">IFERROR(__xludf.DUMMYFUNCTION("""COMPUTED_VALUE"""),514882.51385)</f>
        <v>514882.51384999999</v>
      </c>
      <c r="F1562" s="22">
        <f ca="1">IFERROR(__xludf.DUMMYFUNCTION("""COMPUTED_VALUE"""),-29398.9484499999)</f>
        <v>-29398.948449999902</v>
      </c>
      <c r="G1562" s="22">
        <f ca="1">IFERROR(__xludf.DUMMYFUNCTION("""COMPUTED_VALUE"""),29398.9484499999)</f>
        <v>29398.948449999902</v>
      </c>
      <c r="H1562" s="7">
        <f ca="1">IFERROR(__xludf.DUMMYFUNCTION("""COMPUTED_VALUE"""),514882.51385)</f>
        <v>514882.51384999999</v>
      </c>
    </row>
    <row r="1563" spans="1:8" ht="13" x14ac:dyDescent="0.15">
      <c r="A1563" s="5" t="str">
        <f ca="1">IFERROR(__xludf.DUMMYFUNCTION("""COMPUTED_VALUE"""),"38381")</f>
        <v>38381</v>
      </c>
      <c r="B1563" s="51">
        <f ca="1">IFERROR(__xludf.DUMMYFUNCTION("""COMPUTED_VALUE"""),44638)</f>
        <v>44638</v>
      </c>
      <c r="C1563" s="22">
        <f ca="1">IFERROR(__xludf.DUMMYFUNCTION("""COMPUTED_VALUE"""),-29398.9484499999)</f>
        <v>-29398.948449999902</v>
      </c>
      <c r="D1563" s="22">
        <f ca="1">IFERROR(__xludf.DUMMYFUNCTION("""COMPUTED_VALUE"""),554459.2628)</f>
        <v>554459.26280000003</v>
      </c>
      <c r="E1563" s="22">
        <f ca="1">IFERROR(__xludf.DUMMYFUNCTION("""COMPUTED_VALUE"""),525060.31435)</f>
        <v>525060.31435</v>
      </c>
      <c r="F1563" s="22">
        <f ca="1">IFERROR(__xludf.DUMMYFUNCTION("""COMPUTED_VALUE"""),-29398.9484499999)</f>
        <v>-29398.948449999902</v>
      </c>
      <c r="G1563" s="22">
        <f ca="1">IFERROR(__xludf.DUMMYFUNCTION("""COMPUTED_VALUE"""),29398.9484499999)</f>
        <v>29398.948449999902</v>
      </c>
      <c r="H1563" s="7">
        <f ca="1">IFERROR(__xludf.DUMMYFUNCTION("""COMPUTED_VALUE"""),525060.31435)</f>
        <v>525060.31435</v>
      </c>
    </row>
    <row r="1564" spans="1:8" ht="13" x14ac:dyDescent="0.15">
      <c r="A1564" s="5" t="str">
        <f ca="1">IFERROR(__xludf.DUMMYFUNCTION("""COMPUTED_VALUE"""),"38381")</f>
        <v>38381</v>
      </c>
      <c r="B1564" s="51">
        <f ca="1">IFERROR(__xludf.DUMMYFUNCTION("""COMPUTED_VALUE"""),44639)</f>
        <v>44639</v>
      </c>
      <c r="C1564" s="22">
        <f ca="1">IFERROR(__xludf.DUMMYFUNCTION("""COMPUTED_VALUE"""),-29398.9484499999)</f>
        <v>-29398.948449999902</v>
      </c>
      <c r="D1564" s="22">
        <f ca="1">IFERROR(__xludf.DUMMYFUNCTION("""COMPUTED_VALUE"""),554459.2628)</f>
        <v>554459.26280000003</v>
      </c>
      <c r="E1564" s="22">
        <f ca="1">IFERROR(__xludf.DUMMYFUNCTION("""COMPUTED_VALUE"""),525060.31435)</f>
        <v>525060.31435</v>
      </c>
      <c r="F1564" s="22">
        <f ca="1">IFERROR(__xludf.DUMMYFUNCTION("""COMPUTED_VALUE"""),-29398.9484499999)</f>
        <v>-29398.948449999902</v>
      </c>
      <c r="G1564" s="22">
        <f ca="1">IFERROR(__xludf.DUMMYFUNCTION("""COMPUTED_VALUE"""),29398.9484499999)</f>
        <v>29398.948449999902</v>
      </c>
      <c r="H1564" s="7">
        <f ca="1">IFERROR(__xludf.DUMMYFUNCTION("""COMPUTED_VALUE"""),525060.31435)</f>
        <v>525060.31435</v>
      </c>
    </row>
    <row r="1565" spans="1:8" ht="13" x14ac:dyDescent="0.15">
      <c r="A1565" s="5" t="str">
        <f ca="1">IFERROR(__xludf.DUMMYFUNCTION("""COMPUTED_VALUE"""),"38381")</f>
        <v>38381</v>
      </c>
      <c r="B1565" s="51">
        <f ca="1">IFERROR(__xludf.DUMMYFUNCTION("""COMPUTED_VALUE"""),44640)</f>
        <v>44640</v>
      </c>
      <c r="C1565" s="22">
        <f ca="1">IFERROR(__xludf.DUMMYFUNCTION("""COMPUTED_VALUE"""),-29398.9484499999)</f>
        <v>-29398.948449999902</v>
      </c>
      <c r="D1565" s="22">
        <f ca="1">IFERROR(__xludf.DUMMYFUNCTION("""COMPUTED_VALUE"""),554338.64428)</f>
        <v>554338.64428000001</v>
      </c>
      <c r="E1565" s="22">
        <f ca="1">IFERROR(__xludf.DUMMYFUNCTION("""COMPUTED_VALUE"""),524939.69583)</f>
        <v>524939.69582999998</v>
      </c>
      <c r="F1565" s="22">
        <f ca="1">IFERROR(__xludf.DUMMYFUNCTION("""COMPUTED_VALUE"""),-29398.9484499999)</f>
        <v>-29398.948449999902</v>
      </c>
      <c r="G1565" s="22">
        <f ca="1">IFERROR(__xludf.DUMMYFUNCTION("""COMPUTED_VALUE"""),29398.9484499999)</f>
        <v>29398.948449999902</v>
      </c>
      <c r="H1565" s="7">
        <f ca="1">IFERROR(__xludf.DUMMYFUNCTION("""COMPUTED_VALUE"""),524939.69583)</f>
        <v>524939.69582999998</v>
      </c>
    </row>
    <row r="1566" spans="1:8" ht="13" x14ac:dyDescent="0.15">
      <c r="A1566" s="5" t="str">
        <f ca="1">IFERROR(__xludf.DUMMYFUNCTION("""COMPUTED_VALUE"""),"38381")</f>
        <v>38381</v>
      </c>
      <c r="B1566" s="51">
        <f ca="1">IFERROR(__xludf.DUMMYFUNCTION("""COMPUTED_VALUE"""),44641)</f>
        <v>44641</v>
      </c>
      <c r="C1566" s="22">
        <f ca="1">IFERROR(__xludf.DUMMYFUNCTION("""COMPUTED_VALUE"""),-29398.9484499999)</f>
        <v>-29398.948449999902</v>
      </c>
      <c r="D1566" s="22">
        <f ca="1">IFERROR(__xludf.DUMMYFUNCTION("""COMPUTED_VALUE"""),573851.7981)</f>
        <v>573851.79810000001</v>
      </c>
      <c r="E1566" s="22">
        <f ca="1">IFERROR(__xludf.DUMMYFUNCTION("""COMPUTED_VALUE"""),544452.84965)</f>
        <v>544452.84964999999</v>
      </c>
      <c r="F1566" s="22">
        <f ca="1">IFERROR(__xludf.DUMMYFUNCTION("""COMPUTED_VALUE"""),-29398.9484499999)</f>
        <v>-29398.948449999902</v>
      </c>
      <c r="G1566" s="22">
        <f ca="1">IFERROR(__xludf.DUMMYFUNCTION("""COMPUTED_VALUE"""),29398.9484499999)</f>
        <v>29398.948449999902</v>
      </c>
      <c r="H1566" s="7">
        <f ca="1">IFERROR(__xludf.DUMMYFUNCTION("""COMPUTED_VALUE"""),544452.84965)</f>
        <v>544452.84964999999</v>
      </c>
    </row>
    <row r="1567" spans="1:8" ht="13" x14ac:dyDescent="0.15">
      <c r="A1567" s="5" t="str">
        <f ca="1">IFERROR(__xludf.DUMMYFUNCTION("""COMPUTED_VALUE"""),"38381")</f>
        <v>38381</v>
      </c>
      <c r="B1567" s="51">
        <f ca="1">IFERROR(__xludf.DUMMYFUNCTION("""COMPUTED_VALUE"""),44642)</f>
        <v>44642</v>
      </c>
      <c r="C1567" s="22">
        <f ca="1">IFERROR(__xludf.DUMMYFUNCTION("""COMPUTED_VALUE"""),-29398.9484499999)</f>
        <v>-29398.948449999902</v>
      </c>
      <c r="D1567" s="22">
        <f ca="1">IFERROR(__xludf.DUMMYFUNCTION("""COMPUTED_VALUE"""),577210.9824)</f>
        <v>577210.98239999998</v>
      </c>
      <c r="E1567" s="22">
        <f ca="1">IFERROR(__xludf.DUMMYFUNCTION("""COMPUTED_VALUE"""),547812.03395)</f>
        <v>547812.03394999995</v>
      </c>
      <c r="F1567" s="22">
        <f ca="1">IFERROR(__xludf.DUMMYFUNCTION("""COMPUTED_VALUE"""),-29398.9484499999)</f>
        <v>-29398.948449999902</v>
      </c>
      <c r="G1567" s="22">
        <f ca="1">IFERROR(__xludf.DUMMYFUNCTION("""COMPUTED_VALUE"""),29398.9484499999)</f>
        <v>29398.948449999902</v>
      </c>
      <c r="H1567" s="7">
        <f ca="1">IFERROR(__xludf.DUMMYFUNCTION("""COMPUTED_VALUE"""),547812.03395)</f>
        <v>547812.03394999995</v>
      </c>
    </row>
    <row r="1568" spans="1:8" ht="13" x14ac:dyDescent="0.15">
      <c r="A1568" s="5" t="str">
        <f ca="1">IFERROR(__xludf.DUMMYFUNCTION("""COMPUTED_VALUE"""),"38705")</f>
        <v>38705</v>
      </c>
      <c r="B1568" s="51">
        <f ca="1">IFERROR(__xludf.DUMMYFUNCTION("""COMPUTED_VALUE"""),44597)</f>
        <v>44597</v>
      </c>
      <c r="C1568" s="22">
        <f ca="1">IFERROR(__xludf.DUMMYFUNCTION("""COMPUTED_VALUE"""),500000)</f>
        <v>500000</v>
      </c>
      <c r="D1568" s="22">
        <f ca="1">IFERROR(__xludf.DUMMYFUNCTION("""COMPUTED_VALUE"""),0)</f>
        <v>0</v>
      </c>
      <c r="E1568" s="22">
        <f ca="1">IFERROR(__xludf.DUMMYFUNCTION("""COMPUTED_VALUE"""),500000)</f>
        <v>500000</v>
      </c>
      <c r="F1568" s="22">
        <f ca="1">IFERROR(__xludf.DUMMYFUNCTION("""COMPUTED_VALUE"""),500000)</f>
        <v>500000</v>
      </c>
      <c r="G1568" s="22">
        <f ca="1">IFERROR(__xludf.DUMMYFUNCTION("""COMPUTED_VALUE"""),0)</f>
        <v>0</v>
      </c>
      <c r="H1568" s="7">
        <f ca="1">IFERROR(__xludf.DUMMYFUNCTION("""COMPUTED_VALUE"""),500000)</f>
        <v>500000</v>
      </c>
    </row>
    <row r="1569" spans="1:8" ht="13" x14ac:dyDescent="0.15">
      <c r="A1569" s="5" t="str">
        <f ca="1">IFERROR(__xludf.DUMMYFUNCTION("""COMPUTED_VALUE"""),"38705")</f>
        <v>38705</v>
      </c>
      <c r="B1569" s="51">
        <f ca="1">IFERROR(__xludf.DUMMYFUNCTION("""COMPUTED_VALUE"""),44598)</f>
        <v>44598</v>
      </c>
      <c r="C1569" s="22">
        <f ca="1">IFERROR(__xludf.DUMMYFUNCTION("""COMPUTED_VALUE"""),500000)</f>
        <v>500000</v>
      </c>
      <c r="D1569" s="22">
        <f ca="1">IFERROR(__xludf.DUMMYFUNCTION("""COMPUTED_VALUE"""),0)</f>
        <v>0</v>
      </c>
      <c r="E1569" s="22">
        <f ca="1">IFERROR(__xludf.DUMMYFUNCTION("""COMPUTED_VALUE"""),500000)</f>
        <v>500000</v>
      </c>
      <c r="F1569" s="22">
        <f ca="1">IFERROR(__xludf.DUMMYFUNCTION("""COMPUTED_VALUE"""),500000)</f>
        <v>500000</v>
      </c>
      <c r="G1569" s="22">
        <f ca="1">IFERROR(__xludf.DUMMYFUNCTION("""COMPUTED_VALUE"""),0)</f>
        <v>0</v>
      </c>
      <c r="H1569" s="7">
        <f ca="1">IFERROR(__xludf.DUMMYFUNCTION("""COMPUTED_VALUE"""),500000)</f>
        <v>500000</v>
      </c>
    </row>
    <row r="1570" spans="1:8" ht="13" x14ac:dyDescent="0.15">
      <c r="A1570" s="5" t="str">
        <f ca="1">IFERROR(__xludf.DUMMYFUNCTION("""COMPUTED_VALUE"""),"38705")</f>
        <v>38705</v>
      </c>
      <c r="B1570" s="51">
        <f ca="1">IFERROR(__xludf.DUMMYFUNCTION("""COMPUTED_VALUE"""),44599)</f>
        <v>44599</v>
      </c>
      <c r="C1570" s="22">
        <f ca="1">IFERROR(__xludf.DUMMYFUNCTION("""COMPUTED_VALUE"""),500000)</f>
        <v>500000</v>
      </c>
      <c r="D1570" s="22">
        <f ca="1">IFERROR(__xludf.DUMMYFUNCTION("""COMPUTED_VALUE"""),0)</f>
        <v>0</v>
      </c>
      <c r="E1570" s="22">
        <f ca="1">IFERROR(__xludf.DUMMYFUNCTION("""COMPUTED_VALUE"""),500000)</f>
        <v>500000</v>
      </c>
      <c r="F1570" s="22">
        <f ca="1">IFERROR(__xludf.DUMMYFUNCTION("""COMPUTED_VALUE"""),500000)</f>
        <v>500000</v>
      </c>
      <c r="G1570" s="22">
        <f ca="1">IFERROR(__xludf.DUMMYFUNCTION("""COMPUTED_VALUE"""),0)</f>
        <v>0</v>
      </c>
      <c r="H1570" s="7">
        <f ca="1">IFERROR(__xludf.DUMMYFUNCTION("""COMPUTED_VALUE"""),500000)</f>
        <v>500000</v>
      </c>
    </row>
    <row r="1571" spans="1:8" ht="13" x14ac:dyDescent="0.15">
      <c r="A1571" s="5" t="str">
        <f ca="1">IFERROR(__xludf.DUMMYFUNCTION("""COMPUTED_VALUE"""),"38705")</f>
        <v>38705</v>
      </c>
      <c r="B1571" s="51">
        <f ca="1">IFERROR(__xludf.DUMMYFUNCTION("""COMPUTED_VALUE"""),44600)</f>
        <v>44600</v>
      </c>
      <c r="C1571" s="22">
        <f ca="1">IFERROR(__xludf.DUMMYFUNCTION("""COMPUTED_VALUE"""),500000)</f>
        <v>500000</v>
      </c>
      <c r="D1571" s="22">
        <f ca="1">IFERROR(__xludf.DUMMYFUNCTION("""COMPUTED_VALUE"""),0)</f>
        <v>0</v>
      </c>
      <c r="E1571" s="22">
        <f ca="1">IFERROR(__xludf.DUMMYFUNCTION("""COMPUTED_VALUE"""),500000)</f>
        <v>500000</v>
      </c>
      <c r="F1571" s="22">
        <f ca="1">IFERROR(__xludf.DUMMYFUNCTION("""COMPUTED_VALUE"""),500000)</f>
        <v>500000</v>
      </c>
      <c r="G1571" s="22">
        <f ca="1">IFERROR(__xludf.DUMMYFUNCTION("""COMPUTED_VALUE"""),0)</f>
        <v>0</v>
      </c>
      <c r="H1571" s="7">
        <f ca="1">IFERROR(__xludf.DUMMYFUNCTION("""COMPUTED_VALUE"""),500000)</f>
        <v>500000</v>
      </c>
    </row>
    <row r="1572" spans="1:8" ht="13" x14ac:dyDescent="0.15">
      <c r="A1572" s="5" t="str">
        <f ca="1">IFERROR(__xludf.DUMMYFUNCTION("""COMPUTED_VALUE"""),"38705")</f>
        <v>38705</v>
      </c>
      <c r="B1572" s="51">
        <f ca="1">IFERROR(__xludf.DUMMYFUNCTION("""COMPUTED_VALUE"""),44601)</f>
        <v>44601</v>
      </c>
      <c r="C1572" s="22">
        <f ca="1">IFERROR(__xludf.DUMMYFUNCTION("""COMPUTED_VALUE"""),500000)</f>
        <v>500000</v>
      </c>
      <c r="D1572" s="22">
        <f ca="1">IFERROR(__xludf.DUMMYFUNCTION("""COMPUTED_VALUE"""),0)</f>
        <v>0</v>
      </c>
      <c r="E1572" s="22">
        <f ca="1">IFERROR(__xludf.DUMMYFUNCTION("""COMPUTED_VALUE"""),500000)</f>
        <v>500000</v>
      </c>
      <c r="F1572" s="22">
        <f ca="1">IFERROR(__xludf.DUMMYFUNCTION("""COMPUTED_VALUE"""),500000)</f>
        <v>500000</v>
      </c>
      <c r="G1572" s="22">
        <f ca="1">IFERROR(__xludf.DUMMYFUNCTION("""COMPUTED_VALUE"""),0)</f>
        <v>0</v>
      </c>
      <c r="H1572" s="7">
        <f ca="1">IFERROR(__xludf.DUMMYFUNCTION("""COMPUTED_VALUE"""),500000)</f>
        <v>500000</v>
      </c>
    </row>
    <row r="1573" spans="1:8" ht="13" x14ac:dyDescent="0.15">
      <c r="A1573" s="5" t="str">
        <f ca="1">IFERROR(__xludf.DUMMYFUNCTION("""COMPUTED_VALUE"""),"38705")</f>
        <v>38705</v>
      </c>
      <c r="B1573" s="51">
        <f ca="1">IFERROR(__xludf.DUMMYFUNCTION("""COMPUTED_VALUE"""),44602)</f>
        <v>44602</v>
      </c>
      <c r="C1573" s="22">
        <f ca="1">IFERROR(__xludf.DUMMYFUNCTION("""COMPUTED_VALUE"""),500000)</f>
        <v>500000</v>
      </c>
      <c r="D1573" s="22">
        <f ca="1">IFERROR(__xludf.DUMMYFUNCTION("""COMPUTED_VALUE"""),0)</f>
        <v>0</v>
      </c>
      <c r="E1573" s="22">
        <f ca="1">IFERROR(__xludf.DUMMYFUNCTION("""COMPUTED_VALUE"""),500000)</f>
        <v>500000</v>
      </c>
      <c r="F1573" s="22">
        <f ca="1">IFERROR(__xludf.DUMMYFUNCTION("""COMPUTED_VALUE"""),500000)</f>
        <v>500000</v>
      </c>
      <c r="G1573" s="22">
        <f ca="1">IFERROR(__xludf.DUMMYFUNCTION("""COMPUTED_VALUE"""),0)</f>
        <v>0</v>
      </c>
      <c r="H1573" s="7">
        <f ca="1">IFERROR(__xludf.DUMMYFUNCTION("""COMPUTED_VALUE"""),500000)</f>
        <v>500000</v>
      </c>
    </row>
    <row r="1574" spans="1:8" ht="13" x14ac:dyDescent="0.15">
      <c r="A1574" s="5" t="str">
        <f ca="1">IFERROR(__xludf.DUMMYFUNCTION("""COMPUTED_VALUE"""),"38705")</f>
        <v>38705</v>
      </c>
      <c r="B1574" s="51">
        <f ca="1">IFERROR(__xludf.DUMMYFUNCTION("""COMPUTED_VALUE"""),44603)</f>
        <v>44603</v>
      </c>
      <c r="C1574" s="22">
        <f ca="1">IFERROR(__xludf.DUMMYFUNCTION("""COMPUTED_VALUE"""),500000)</f>
        <v>500000</v>
      </c>
      <c r="D1574" s="22">
        <f ca="1">IFERROR(__xludf.DUMMYFUNCTION("""COMPUTED_VALUE"""),0)</f>
        <v>0</v>
      </c>
      <c r="E1574" s="22">
        <f ca="1">IFERROR(__xludf.DUMMYFUNCTION("""COMPUTED_VALUE"""),500000)</f>
        <v>500000</v>
      </c>
      <c r="F1574" s="22">
        <f ca="1">IFERROR(__xludf.DUMMYFUNCTION("""COMPUTED_VALUE"""),500000)</f>
        <v>500000</v>
      </c>
      <c r="G1574" s="22">
        <f ca="1">IFERROR(__xludf.DUMMYFUNCTION("""COMPUTED_VALUE"""),0)</f>
        <v>0</v>
      </c>
      <c r="H1574" s="7">
        <f ca="1">IFERROR(__xludf.DUMMYFUNCTION("""COMPUTED_VALUE"""),500000)</f>
        <v>500000</v>
      </c>
    </row>
    <row r="1575" spans="1:8" ht="13" x14ac:dyDescent="0.15">
      <c r="A1575" s="5" t="str">
        <f ca="1">IFERROR(__xludf.DUMMYFUNCTION("""COMPUTED_VALUE"""),"38705")</f>
        <v>38705</v>
      </c>
      <c r="B1575" s="51">
        <f ca="1">IFERROR(__xludf.DUMMYFUNCTION("""COMPUTED_VALUE"""),44604)</f>
        <v>44604</v>
      </c>
      <c r="C1575" s="22">
        <f ca="1">IFERROR(__xludf.DUMMYFUNCTION("""COMPUTED_VALUE"""),500000)</f>
        <v>500000</v>
      </c>
      <c r="D1575" s="22">
        <f ca="1">IFERROR(__xludf.DUMMYFUNCTION("""COMPUTED_VALUE"""),0)</f>
        <v>0</v>
      </c>
      <c r="E1575" s="22">
        <f ca="1">IFERROR(__xludf.DUMMYFUNCTION("""COMPUTED_VALUE"""),500000)</f>
        <v>500000</v>
      </c>
      <c r="F1575" s="22">
        <f ca="1">IFERROR(__xludf.DUMMYFUNCTION("""COMPUTED_VALUE"""),500000)</f>
        <v>500000</v>
      </c>
      <c r="G1575" s="22">
        <f ca="1">IFERROR(__xludf.DUMMYFUNCTION("""COMPUTED_VALUE"""),0)</f>
        <v>0</v>
      </c>
      <c r="H1575" s="7">
        <f ca="1">IFERROR(__xludf.DUMMYFUNCTION("""COMPUTED_VALUE"""),500000)</f>
        <v>500000</v>
      </c>
    </row>
    <row r="1576" spans="1:8" ht="13" x14ac:dyDescent="0.15">
      <c r="A1576" s="5" t="str">
        <f ca="1">IFERROR(__xludf.DUMMYFUNCTION("""COMPUTED_VALUE"""),"38705")</f>
        <v>38705</v>
      </c>
      <c r="B1576" s="51">
        <f ca="1">IFERROR(__xludf.DUMMYFUNCTION("""COMPUTED_VALUE"""),44605)</f>
        <v>44605</v>
      </c>
      <c r="C1576" s="22">
        <f ca="1">IFERROR(__xludf.DUMMYFUNCTION("""COMPUTED_VALUE"""),500000)</f>
        <v>500000</v>
      </c>
      <c r="D1576" s="22">
        <f ca="1">IFERROR(__xludf.DUMMYFUNCTION("""COMPUTED_VALUE"""),0)</f>
        <v>0</v>
      </c>
      <c r="E1576" s="22">
        <f ca="1">IFERROR(__xludf.DUMMYFUNCTION("""COMPUTED_VALUE"""),500000)</f>
        <v>500000</v>
      </c>
      <c r="F1576" s="22">
        <f ca="1">IFERROR(__xludf.DUMMYFUNCTION("""COMPUTED_VALUE"""),500000)</f>
        <v>500000</v>
      </c>
      <c r="G1576" s="22">
        <f ca="1">IFERROR(__xludf.DUMMYFUNCTION("""COMPUTED_VALUE"""),0)</f>
        <v>0</v>
      </c>
      <c r="H1576" s="7">
        <f ca="1">IFERROR(__xludf.DUMMYFUNCTION("""COMPUTED_VALUE"""),500000)</f>
        <v>500000</v>
      </c>
    </row>
    <row r="1577" spans="1:8" ht="13" x14ac:dyDescent="0.15">
      <c r="A1577" s="5" t="str">
        <f ca="1">IFERROR(__xludf.DUMMYFUNCTION("""COMPUTED_VALUE"""),"38705")</f>
        <v>38705</v>
      </c>
      <c r="B1577" s="51">
        <f ca="1">IFERROR(__xludf.DUMMYFUNCTION("""COMPUTED_VALUE"""),44606)</f>
        <v>44606</v>
      </c>
      <c r="C1577" s="22">
        <f ca="1">IFERROR(__xludf.DUMMYFUNCTION("""COMPUTED_VALUE"""),500000)</f>
        <v>500000</v>
      </c>
      <c r="D1577" s="22">
        <f ca="1">IFERROR(__xludf.DUMMYFUNCTION("""COMPUTED_VALUE"""),0)</f>
        <v>0</v>
      </c>
      <c r="E1577" s="22">
        <f ca="1">IFERROR(__xludf.DUMMYFUNCTION("""COMPUTED_VALUE"""),500000)</f>
        <v>500000</v>
      </c>
      <c r="F1577" s="22">
        <f ca="1">IFERROR(__xludf.DUMMYFUNCTION("""COMPUTED_VALUE"""),500000)</f>
        <v>500000</v>
      </c>
      <c r="G1577" s="22">
        <f ca="1">IFERROR(__xludf.DUMMYFUNCTION("""COMPUTED_VALUE"""),0)</f>
        <v>0</v>
      </c>
      <c r="H1577" s="7">
        <f ca="1">IFERROR(__xludf.DUMMYFUNCTION("""COMPUTED_VALUE"""),500000)</f>
        <v>500000</v>
      </c>
    </row>
    <row r="1578" spans="1:8" ht="13" x14ac:dyDescent="0.15">
      <c r="A1578" s="5" t="str">
        <f ca="1">IFERROR(__xludf.DUMMYFUNCTION("""COMPUTED_VALUE"""),"38705")</f>
        <v>38705</v>
      </c>
      <c r="B1578" s="51">
        <f ca="1">IFERROR(__xludf.DUMMYFUNCTION("""COMPUTED_VALUE"""),44607)</f>
        <v>44607</v>
      </c>
      <c r="C1578" s="22">
        <f ca="1">IFERROR(__xludf.DUMMYFUNCTION("""COMPUTED_VALUE"""),500000)</f>
        <v>500000</v>
      </c>
      <c r="D1578" s="22">
        <f ca="1">IFERROR(__xludf.DUMMYFUNCTION("""COMPUTED_VALUE"""),0)</f>
        <v>0</v>
      </c>
      <c r="E1578" s="22">
        <f ca="1">IFERROR(__xludf.DUMMYFUNCTION("""COMPUTED_VALUE"""),500000)</f>
        <v>500000</v>
      </c>
      <c r="F1578" s="22">
        <f ca="1">IFERROR(__xludf.DUMMYFUNCTION("""COMPUTED_VALUE"""),500000)</f>
        <v>500000</v>
      </c>
      <c r="G1578" s="22">
        <f ca="1">IFERROR(__xludf.DUMMYFUNCTION("""COMPUTED_VALUE"""),0)</f>
        <v>0</v>
      </c>
      <c r="H1578" s="7">
        <f ca="1">IFERROR(__xludf.DUMMYFUNCTION("""COMPUTED_VALUE"""),500000)</f>
        <v>500000</v>
      </c>
    </row>
    <row r="1579" spans="1:8" ht="13" x14ac:dyDescent="0.15">
      <c r="A1579" s="5" t="str">
        <f ca="1">IFERROR(__xludf.DUMMYFUNCTION("""COMPUTED_VALUE"""),"38705")</f>
        <v>38705</v>
      </c>
      <c r="B1579" s="51">
        <f ca="1">IFERROR(__xludf.DUMMYFUNCTION("""COMPUTED_VALUE"""),44608)</f>
        <v>44608</v>
      </c>
      <c r="C1579" s="22">
        <f ca="1">IFERROR(__xludf.DUMMYFUNCTION("""COMPUTED_VALUE"""),500000)</f>
        <v>500000</v>
      </c>
      <c r="D1579" s="22">
        <f ca="1">IFERROR(__xludf.DUMMYFUNCTION("""COMPUTED_VALUE"""),0)</f>
        <v>0</v>
      </c>
      <c r="E1579" s="22">
        <f ca="1">IFERROR(__xludf.DUMMYFUNCTION("""COMPUTED_VALUE"""),500000)</f>
        <v>500000</v>
      </c>
      <c r="F1579" s="22">
        <f ca="1">IFERROR(__xludf.DUMMYFUNCTION("""COMPUTED_VALUE"""),500000)</f>
        <v>500000</v>
      </c>
      <c r="G1579" s="22">
        <f ca="1">IFERROR(__xludf.DUMMYFUNCTION("""COMPUTED_VALUE"""),0)</f>
        <v>0</v>
      </c>
      <c r="H1579" s="7">
        <f ca="1">IFERROR(__xludf.DUMMYFUNCTION("""COMPUTED_VALUE"""),500000)</f>
        <v>500000</v>
      </c>
    </row>
    <row r="1580" spans="1:8" ht="13" x14ac:dyDescent="0.15">
      <c r="A1580" s="5" t="str">
        <f ca="1">IFERROR(__xludf.DUMMYFUNCTION("""COMPUTED_VALUE"""),"38705")</f>
        <v>38705</v>
      </c>
      <c r="B1580" s="51">
        <f ca="1">IFERROR(__xludf.DUMMYFUNCTION("""COMPUTED_VALUE"""),44609)</f>
        <v>44609</v>
      </c>
      <c r="C1580" s="22">
        <f ca="1">IFERROR(__xludf.DUMMYFUNCTION("""COMPUTED_VALUE"""),500000)</f>
        <v>500000</v>
      </c>
      <c r="D1580" s="22">
        <f ca="1">IFERROR(__xludf.DUMMYFUNCTION("""COMPUTED_VALUE"""),0)</f>
        <v>0</v>
      </c>
      <c r="E1580" s="22">
        <f ca="1">IFERROR(__xludf.DUMMYFUNCTION("""COMPUTED_VALUE"""),500000)</f>
        <v>500000</v>
      </c>
      <c r="F1580" s="22">
        <f ca="1">IFERROR(__xludf.DUMMYFUNCTION("""COMPUTED_VALUE"""),500000)</f>
        <v>500000</v>
      </c>
      <c r="G1580" s="22">
        <f ca="1">IFERROR(__xludf.DUMMYFUNCTION("""COMPUTED_VALUE"""),0)</f>
        <v>0</v>
      </c>
      <c r="H1580" s="7">
        <f ca="1">IFERROR(__xludf.DUMMYFUNCTION("""COMPUTED_VALUE"""),500000)</f>
        <v>500000</v>
      </c>
    </row>
    <row r="1581" spans="1:8" ht="13" x14ac:dyDescent="0.15">
      <c r="A1581" s="5" t="str">
        <f ca="1">IFERROR(__xludf.DUMMYFUNCTION("""COMPUTED_VALUE"""),"38705")</f>
        <v>38705</v>
      </c>
      <c r="B1581" s="51">
        <f ca="1">IFERROR(__xludf.DUMMYFUNCTION("""COMPUTED_VALUE"""),44610)</f>
        <v>44610</v>
      </c>
      <c r="C1581" s="22">
        <f ca="1">IFERROR(__xludf.DUMMYFUNCTION("""COMPUTED_VALUE"""),500000)</f>
        <v>500000</v>
      </c>
      <c r="D1581" s="22">
        <f ca="1">IFERROR(__xludf.DUMMYFUNCTION("""COMPUTED_VALUE"""),0)</f>
        <v>0</v>
      </c>
      <c r="E1581" s="22">
        <f ca="1">IFERROR(__xludf.DUMMYFUNCTION("""COMPUTED_VALUE"""),500000)</f>
        <v>500000</v>
      </c>
      <c r="F1581" s="22">
        <f ca="1">IFERROR(__xludf.DUMMYFUNCTION("""COMPUTED_VALUE"""),500000)</f>
        <v>500000</v>
      </c>
      <c r="G1581" s="22">
        <f ca="1">IFERROR(__xludf.DUMMYFUNCTION("""COMPUTED_VALUE"""),0)</f>
        <v>0</v>
      </c>
      <c r="H1581" s="7">
        <f ca="1">IFERROR(__xludf.DUMMYFUNCTION("""COMPUTED_VALUE"""),500000)</f>
        <v>500000</v>
      </c>
    </row>
    <row r="1582" spans="1:8" ht="13" x14ac:dyDescent="0.15">
      <c r="A1582" s="5" t="str">
        <f ca="1">IFERROR(__xludf.DUMMYFUNCTION("""COMPUTED_VALUE"""),"38705")</f>
        <v>38705</v>
      </c>
      <c r="B1582" s="51">
        <f ca="1">IFERROR(__xludf.DUMMYFUNCTION("""COMPUTED_VALUE"""),44611)</f>
        <v>44611</v>
      </c>
      <c r="C1582" s="22">
        <f ca="1">IFERROR(__xludf.DUMMYFUNCTION("""COMPUTED_VALUE"""),500000)</f>
        <v>500000</v>
      </c>
      <c r="D1582" s="22">
        <f ca="1">IFERROR(__xludf.DUMMYFUNCTION("""COMPUTED_VALUE"""),0)</f>
        <v>0</v>
      </c>
      <c r="E1582" s="22">
        <f ca="1">IFERROR(__xludf.DUMMYFUNCTION("""COMPUTED_VALUE"""),500000)</f>
        <v>500000</v>
      </c>
      <c r="F1582" s="22">
        <f ca="1">IFERROR(__xludf.DUMMYFUNCTION("""COMPUTED_VALUE"""),500000)</f>
        <v>500000</v>
      </c>
      <c r="G1582" s="22">
        <f ca="1">IFERROR(__xludf.DUMMYFUNCTION("""COMPUTED_VALUE"""),0)</f>
        <v>0</v>
      </c>
      <c r="H1582" s="7">
        <f ca="1">IFERROR(__xludf.DUMMYFUNCTION("""COMPUTED_VALUE"""),500000)</f>
        <v>500000</v>
      </c>
    </row>
    <row r="1583" spans="1:8" ht="13" x14ac:dyDescent="0.15">
      <c r="A1583" s="5" t="str">
        <f ca="1">IFERROR(__xludf.DUMMYFUNCTION("""COMPUTED_VALUE"""),"38705")</f>
        <v>38705</v>
      </c>
      <c r="B1583" s="51">
        <f ca="1">IFERROR(__xludf.DUMMYFUNCTION("""COMPUTED_VALUE"""),44612)</f>
        <v>44612</v>
      </c>
      <c r="C1583" s="22">
        <f ca="1">IFERROR(__xludf.DUMMYFUNCTION("""COMPUTED_VALUE"""),500000)</f>
        <v>500000</v>
      </c>
      <c r="D1583" s="22">
        <f ca="1">IFERROR(__xludf.DUMMYFUNCTION("""COMPUTED_VALUE"""),0)</f>
        <v>0</v>
      </c>
      <c r="E1583" s="22">
        <f ca="1">IFERROR(__xludf.DUMMYFUNCTION("""COMPUTED_VALUE"""),500000)</f>
        <v>500000</v>
      </c>
      <c r="F1583" s="22">
        <f ca="1">IFERROR(__xludf.DUMMYFUNCTION("""COMPUTED_VALUE"""),500000)</f>
        <v>500000</v>
      </c>
      <c r="G1583" s="22">
        <f ca="1">IFERROR(__xludf.DUMMYFUNCTION("""COMPUTED_VALUE"""),0)</f>
        <v>0</v>
      </c>
      <c r="H1583" s="7">
        <f ca="1">IFERROR(__xludf.DUMMYFUNCTION("""COMPUTED_VALUE"""),500000)</f>
        <v>500000</v>
      </c>
    </row>
    <row r="1584" spans="1:8" ht="13" x14ac:dyDescent="0.15">
      <c r="A1584" s="5" t="str">
        <f ca="1">IFERROR(__xludf.DUMMYFUNCTION("""COMPUTED_VALUE"""),"38705")</f>
        <v>38705</v>
      </c>
      <c r="B1584" s="51">
        <f ca="1">IFERROR(__xludf.DUMMYFUNCTION("""COMPUTED_VALUE"""),44613)</f>
        <v>44613</v>
      </c>
      <c r="C1584" s="22">
        <f ca="1">IFERROR(__xludf.DUMMYFUNCTION("""COMPUTED_VALUE"""),500000)</f>
        <v>500000</v>
      </c>
      <c r="D1584" s="22">
        <f ca="1">IFERROR(__xludf.DUMMYFUNCTION("""COMPUTED_VALUE"""),0)</f>
        <v>0</v>
      </c>
      <c r="E1584" s="22">
        <f ca="1">IFERROR(__xludf.DUMMYFUNCTION("""COMPUTED_VALUE"""),500000)</f>
        <v>500000</v>
      </c>
      <c r="F1584" s="22">
        <f ca="1">IFERROR(__xludf.DUMMYFUNCTION("""COMPUTED_VALUE"""),500000)</f>
        <v>500000</v>
      </c>
      <c r="G1584" s="22">
        <f ca="1">IFERROR(__xludf.DUMMYFUNCTION("""COMPUTED_VALUE"""),0)</f>
        <v>0</v>
      </c>
      <c r="H1584" s="7">
        <f ca="1">IFERROR(__xludf.DUMMYFUNCTION("""COMPUTED_VALUE"""),500000)</f>
        <v>500000</v>
      </c>
    </row>
    <row r="1585" spans="1:8" ht="13" x14ac:dyDescent="0.15">
      <c r="A1585" s="5" t="str">
        <f ca="1">IFERROR(__xludf.DUMMYFUNCTION("""COMPUTED_VALUE"""),"38705")</f>
        <v>38705</v>
      </c>
      <c r="B1585" s="51">
        <f ca="1">IFERROR(__xludf.DUMMYFUNCTION("""COMPUTED_VALUE"""),44614)</f>
        <v>44614</v>
      </c>
      <c r="C1585" s="22">
        <f ca="1">IFERROR(__xludf.DUMMYFUNCTION("""COMPUTED_VALUE"""),500000)</f>
        <v>500000</v>
      </c>
      <c r="D1585" s="22">
        <f ca="1">IFERROR(__xludf.DUMMYFUNCTION("""COMPUTED_VALUE"""),0)</f>
        <v>0</v>
      </c>
      <c r="E1585" s="22">
        <f ca="1">IFERROR(__xludf.DUMMYFUNCTION("""COMPUTED_VALUE"""),500000)</f>
        <v>500000</v>
      </c>
      <c r="F1585" s="22">
        <f ca="1">IFERROR(__xludf.DUMMYFUNCTION("""COMPUTED_VALUE"""),500000)</f>
        <v>500000</v>
      </c>
      <c r="G1585" s="22">
        <f ca="1">IFERROR(__xludf.DUMMYFUNCTION("""COMPUTED_VALUE"""),0)</f>
        <v>0</v>
      </c>
      <c r="H1585" s="7">
        <f ca="1">IFERROR(__xludf.DUMMYFUNCTION("""COMPUTED_VALUE"""),500000)</f>
        <v>500000</v>
      </c>
    </row>
    <row r="1586" spans="1:8" ht="13" x14ac:dyDescent="0.15">
      <c r="A1586" s="5" t="str">
        <f ca="1">IFERROR(__xludf.DUMMYFUNCTION("""COMPUTED_VALUE"""),"38705")</f>
        <v>38705</v>
      </c>
      <c r="B1586" s="51">
        <f ca="1">IFERROR(__xludf.DUMMYFUNCTION("""COMPUTED_VALUE"""),44615)</f>
        <v>44615</v>
      </c>
      <c r="C1586" s="22">
        <f ca="1">IFERROR(__xludf.DUMMYFUNCTION("""COMPUTED_VALUE"""),500000)</f>
        <v>500000</v>
      </c>
      <c r="D1586" s="22">
        <f ca="1">IFERROR(__xludf.DUMMYFUNCTION("""COMPUTED_VALUE"""),0)</f>
        <v>0</v>
      </c>
      <c r="E1586" s="22">
        <f ca="1">IFERROR(__xludf.DUMMYFUNCTION("""COMPUTED_VALUE"""),500000)</f>
        <v>500000</v>
      </c>
      <c r="F1586" s="22">
        <f ca="1">IFERROR(__xludf.DUMMYFUNCTION("""COMPUTED_VALUE"""),500000)</f>
        <v>500000</v>
      </c>
      <c r="G1586" s="22">
        <f ca="1">IFERROR(__xludf.DUMMYFUNCTION("""COMPUTED_VALUE"""),0)</f>
        <v>0</v>
      </c>
      <c r="H1586" s="7">
        <f ca="1">IFERROR(__xludf.DUMMYFUNCTION("""COMPUTED_VALUE"""),500000)</f>
        <v>500000</v>
      </c>
    </row>
    <row r="1587" spans="1:8" ht="13" x14ac:dyDescent="0.15">
      <c r="A1587" s="5" t="str">
        <f ca="1">IFERROR(__xludf.DUMMYFUNCTION("""COMPUTED_VALUE"""),"38705")</f>
        <v>38705</v>
      </c>
      <c r="B1587" s="51">
        <f ca="1">IFERROR(__xludf.DUMMYFUNCTION("""COMPUTED_VALUE"""),44616)</f>
        <v>44616</v>
      </c>
      <c r="C1587" s="22">
        <f ca="1">IFERROR(__xludf.DUMMYFUNCTION("""COMPUTED_VALUE"""),500000)</f>
        <v>500000</v>
      </c>
      <c r="D1587" s="22">
        <f ca="1">IFERROR(__xludf.DUMMYFUNCTION("""COMPUTED_VALUE"""),0)</f>
        <v>0</v>
      </c>
      <c r="E1587" s="22">
        <f ca="1">IFERROR(__xludf.DUMMYFUNCTION("""COMPUTED_VALUE"""),500000)</f>
        <v>500000</v>
      </c>
      <c r="F1587" s="22">
        <f ca="1">IFERROR(__xludf.DUMMYFUNCTION("""COMPUTED_VALUE"""),500000)</f>
        <v>500000</v>
      </c>
      <c r="G1587" s="22">
        <f ca="1">IFERROR(__xludf.DUMMYFUNCTION("""COMPUTED_VALUE"""),0)</f>
        <v>0</v>
      </c>
      <c r="H1587" s="7">
        <f ca="1">IFERROR(__xludf.DUMMYFUNCTION("""COMPUTED_VALUE"""),500000)</f>
        <v>500000</v>
      </c>
    </row>
    <row r="1588" spans="1:8" ht="13" x14ac:dyDescent="0.15">
      <c r="A1588" s="5" t="str">
        <f ca="1">IFERROR(__xludf.DUMMYFUNCTION("""COMPUTED_VALUE"""),"38705")</f>
        <v>38705</v>
      </c>
      <c r="B1588" s="51">
        <f ca="1">IFERROR(__xludf.DUMMYFUNCTION("""COMPUTED_VALUE"""),44617)</f>
        <v>44617</v>
      </c>
      <c r="C1588" s="22">
        <f ca="1">IFERROR(__xludf.DUMMYFUNCTION("""COMPUTED_VALUE"""),500000)</f>
        <v>500000</v>
      </c>
      <c r="D1588" s="22">
        <f ca="1">IFERROR(__xludf.DUMMYFUNCTION("""COMPUTED_VALUE"""),0)</f>
        <v>0</v>
      </c>
      <c r="E1588" s="22">
        <f ca="1">IFERROR(__xludf.DUMMYFUNCTION("""COMPUTED_VALUE"""),500000)</f>
        <v>500000</v>
      </c>
      <c r="F1588" s="22">
        <f ca="1">IFERROR(__xludf.DUMMYFUNCTION("""COMPUTED_VALUE"""),500000)</f>
        <v>500000</v>
      </c>
      <c r="G1588" s="22">
        <f ca="1">IFERROR(__xludf.DUMMYFUNCTION("""COMPUTED_VALUE"""),0)</f>
        <v>0</v>
      </c>
      <c r="H1588" s="7">
        <f ca="1">IFERROR(__xludf.DUMMYFUNCTION("""COMPUTED_VALUE"""),500000)</f>
        <v>500000</v>
      </c>
    </row>
    <row r="1589" spans="1:8" ht="13" x14ac:dyDescent="0.15">
      <c r="A1589" s="5" t="str">
        <f ca="1">IFERROR(__xludf.DUMMYFUNCTION("""COMPUTED_VALUE"""),"38705")</f>
        <v>38705</v>
      </c>
      <c r="B1589" s="51">
        <f ca="1">IFERROR(__xludf.DUMMYFUNCTION("""COMPUTED_VALUE"""),44618)</f>
        <v>44618</v>
      </c>
      <c r="C1589" s="22">
        <f ca="1">IFERROR(__xludf.DUMMYFUNCTION("""COMPUTED_VALUE"""),500000)</f>
        <v>500000</v>
      </c>
      <c r="D1589" s="22">
        <f ca="1">IFERROR(__xludf.DUMMYFUNCTION("""COMPUTED_VALUE"""),0)</f>
        <v>0</v>
      </c>
      <c r="E1589" s="22">
        <f ca="1">IFERROR(__xludf.DUMMYFUNCTION("""COMPUTED_VALUE"""),500000)</f>
        <v>500000</v>
      </c>
      <c r="F1589" s="22">
        <f ca="1">IFERROR(__xludf.DUMMYFUNCTION("""COMPUTED_VALUE"""),500000)</f>
        <v>500000</v>
      </c>
      <c r="G1589" s="22">
        <f ca="1">IFERROR(__xludf.DUMMYFUNCTION("""COMPUTED_VALUE"""),0)</f>
        <v>0</v>
      </c>
      <c r="H1589" s="7">
        <f ca="1">IFERROR(__xludf.DUMMYFUNCTION("""COMPUTED_VALUE"""),500000)</f>
        <v>500000</v>
      </c>
    </row>
    <row r="1590" spans="1:8" ht="13" x14ac:dyDescent="0.15">
      <c r="A1590" s="5" t="str">
        <f ca="1">IFERROR(__xludf.DUMMYFUNCTION("""COMPUTED_VALUE"""),"38705")</f>
        <v>38705</v>
      </c>
      <c r="B1590" s="51">
        <f ca="1">IFERROR(__xludf.DUMMYFUNCTION("""COMPUTED_VALUE"""),44619)</f>
        <v>44619</v>
      </c>
      <c r="C1590" s="22">
        <f ca="1">IFERROR(__xludf.DUMMYFUNCTION("""COMPUTED_VALUE"""),500000)</f>
        <v>500000</v>
      </c>
      <c r="D1590" s="22">
        <f ca="1">IFERROR(__xludf.DUMMYFUNCTION("""COMPUTED_VALUE"""),0)</f>
        <v>0</v>
      </c>
      <c r="E1590" s="22">
        <f ca="1">IFERROR(__xludf.DUMMYFUNCTION("""COMPUTED_VALUE"""),500000)</f>
        <v>500000</v>
      </c>
      <c r="F1590" s="22">
        <f ca="1">IFERROR(__xludf.DUMMYFUNCTION("""COMPUTED_VALUE"""),500000)</f>
        <v>500000</v>
      </c>
      <c r="G1590" s="22">
        <f ca="1">IFERROR(__xludf.DUMMYFUNCTION("""COMPUTED_VALUE"""),0)</f>
        <v>0</v>
      </c>
      <c r="H1590" s="7">
        <f ca="1">IFERROR(__xludf.DUMMYFUNCTION("""COMPUTED_VALUE"""),500000)</f>
        <v>500000</v>
      </c>
    </row>
    <row r="1591" spans="1:8" ht="13" x14ac:dyDescent="0.15">
      <c r="A1591" s="5" t="str">
        <f ca="1">IFERROR(__xludf.DUMMYFUNCTION("""COMPUTED_VALUE"""),"38705")</f>
        <v>38705</v>
      </c>
      <c r="B1591" s="51">
        <f ca="1">IFERROR(__xludf.DUMMYFUNCTION("""COMPUTED_VALUE"""),44620)</f>
        <v>44620</v>
      </c>
      <c r="C1591" s="22">
        <f ca="1">IFERROR(__xludf.DUMMYFUNCTION("""COMPUTED_VALUE"""),500000)</f>
        <v>500000</v>
      </c>
      <c r="D1591" s="22">
        <f ca="1">IFERROR(__xludf.DUMMYFUNCTION("""COMPUTED_VALUE"""),0)</f>
        <v>0</v>
      </c>
      <c r="E1591" s="22">
        <f ca="1">IFERROR(__xludf.DUMMYFUNCTION("""COMPUTED_VALUE"""),500000)</f>
        <v>500000</v>
      </c>
      <c r="F1591" s="22">
        <f ca="1">IFERROR(__xludf.DUMMYFUNCTION("""COMPUTED_VALUE"""),500000)</f>
        <v>500000</v>
      </c>
      <c r="G1591" s="22">
        <f ca="1">IFERROR(__xludf.DUMMYFUNCTION("""COMPUTED_VALUE"""),0)</f>
        <v>0</v>
      </c>
      <c r="H1591" s="7">
        <f ca="1">IFERROR(__xludf.DUMMYFUNCTION("""COMPUTED_VALUE"""),500000)</f>
        <v>500000</v>
      </c>
    </row>
    <row r="1592" spans="1:8" ht="13" x14ac:dyDescent="0.15">
      <c r="A1592" s="5" t="str">
        <f ca="1">IFERROR(__xludf.DUMMYFUNCTION("""COMPUTED_VALUE"""),"38705")</f>
        <v>38705</v>
      </c>
      <c r="B1592" s="51">
        <f ca="1">IFERROR(__xludf.DUMMYFUNCTION("""COMPUTED_VALUE"""),44621)</f>
        <v>44621</v>
      </c>
      <c r="C1592" s="22">
        <f ca="1">IFERROR(__xludf.DUMMYFUNCTION("""COMPUTED_VALUE"""),500000)</f>
        <v>500000</v>
      </c>
      <c r="D1592" s="22">
        <f ca="1">IFERROR(__xludf.DUMMYFUNCTION("""COMPUTED_VALUE"""),0)</f>
        <v>0</v>
      </c>
      <c r="E1592" s="22">
        <f ca="1">IFERROR(__xludf.DUMMYFUNCTION("""COMPUTED_VALUE"""),500000)</f>
        <v>500000</v>
      </c>
      <c r="F1592" s="22">
        <f ca="1">IFERROR(__xludf.DUMMYFUNCTION("""COMPUTED_VALUE"""),500000)</f>
        <v>500000</v>
      </c>
      <c r="G1592" s="22">
        <f ca="1">IFERROR(__xludf.DUMMYFUNCTION("""COMPUTED_VALUE"""),0)</f>
        <v>0</v>
      </c>
      <c r="H1592" s="7">
        <f ca="1">IFERROR(__xludf.DUMMYFUNCTION("""COMPUTED_VALUE"""),500000)</f>
        <v>500000</v>
      </c>
    </row>
    <row r="1593" spans="1:8" ht="13" x14ac:dyDescent="0.15">
      <c r="A1593" s="5" t="str">
        <f ca="1">IFERROR(__xludf.DUMMYFUNCTION("""COMPUTED_VALUE"""),"38705")</f>
        <v>38705</v>
      </c>
      <c r="B1593" s="51">
        <f ca="1">IFERROR(__xludf.DUMMYFUNCTION("""COMPUTED_VALUE"""),44622)</f>
        <v>44622</v>
      </c>
      <c r="C1593" s="22">
        <f ca="1">IFERROR(__xludf.DUMMYFUNCTION("""COMPUTED_VALUE"""),500000)</f>
        <v>500000</v>
      </c>
      <c r="D1593" s="22">
        <f ca="1">IFERROR(__xludf.DUMMYFUNCTION("""COMPUTED_VALUE"""),0)</f>
        <v>0</v>
      </c>
      <c r="E1593" s="22">
        <f ca="1">IFERROR(__xludf.DUMMYFUNCTION("""COMPUTED_VALUE"""),500000)</f>
        <v>500000</v>
      </c>
      <c r="F1593" s="22">
        <f ca="1">IFERROR(__xludf.DUMMYFUNCTION("""COMPUTED_VALUE"""),500000)</f>
        <v>500000</v>
      </c>
      <c r="G1593" s="22">
        <f ca="1">IFERROR(__xludf.DUMMYFUNCTION("""COMPUTED_VALUE"""),0)</f>
        <v>0</v>
      </c>
      <c r="H1593" s="7">
        <f ca="1">IFERROR(__xludf.DUMMYFUNCTION("""COMPUTED_VALUE"""),500000)</f>
        <v>500000</v>
      </c>
    </row>
    <row r="1594" spans="1:8" ht="13" x14ac:dyDescent="0.15">
      <c r="A1594" s="5" t="str">
        <f ca="1">IFERROR(__xludf.DUMMYFUNCTION("""COMPUTED_VALUE"""),"38705")</f>
        <v>38705</v>
      </c>
      <c r="B1594" s="51">
        <f ca="1">IFERROR(__xludf.DUMMYFUNCTION("""COMPUTED_VALUE"""),44623)</f>
        <v>44623</v>
      </c>
      <c r="C1594" s="22">
        <f ca="1">IFERROR(__xludf.DUMMYFUNCTION("""COMPUTED_VALUE"""),500000)</f>
        <v>500000</v>
      </c>
      <c r="D1594" s="22">
        <f ca="1">IFERROR(__xludf.DUMMYFUNCTION("""COMPUTED_VALUE"""),0)</f>
        <v>0</v>
      </c>
      <c r="E1594" s="22">
        <f ca="1">IFERROR(__xludf.DUMMYFUNCTION("""COMPUTED_VALUE"""),500000)</f>
        <v>500000</v>
      </c>
      <c r="F1594" s="22">
        <f ca="1">IFERROR(__xludf.DUMMYFUNCTION("""COMPUTED_VALUE"""),500000)</f>
        <v>500000</v>
      </c>
      <c r="G1594" s="22">
        <f ca="1">IFERROR(__xludf.DUMMYFUNCTION("""COMPUTED_VALUE"""),0)</f>
        <v>0</v>
      </c>
      <c r="H1594" s="7">
        <f ca="1">IFERROR(__xludf.DUMMYFUNCTION("""COMPUTED_VALUE"""),500000)</f>
        <v>500000</v>
      </c>
    </row>
    <row r="1595" spans="1:8" ht="13" x14ac:dyDescent="0.15">
      <c r="A1595" s="5" t="str">
        <f ca="1">IFERROR(__xludf.DUMMYFUNCTION("""COMPUTED_VALUE"""),"38705")</f>
        <v>38705</v>
      </c>
      <c r="B1595" s="51">
        <f ca="1">IFERROR(__xludf.DUMMYFUNCTION("""COMPUTED_VALUE"""),44624)</f>
        <v>44624</v>
      </c>
      <c r="C1595" s="22">
        <f ca="1">IFERROR(__xludf.DUMMYFUNCTION("""COMPUTED_VALUE"""),500000)</f>
        <v>500000</v>
      </c>
      <c r="D1595" s="22">
        <f ca="1">IFERROR(__xludf.DUMMYFUNCTION("""COMPUTED_VALUE"""),0)</f>
        <v>0</v>
      </c>
      <c r="E1595" s="22">
        <f ca="1">IFERROR(__xludf.DUMMYFUNCTION("""COMPUTED_VALUE"""),500000)</f>
        <v>500000</v>
      </c>
      <c r="F1595" s="22">
        <f ca="1">IFERROR(__xludf.DUMMYFUNCTION("""COMPUTED_VALUE"""),500000)</f>
        <v>500000</v>
      </c>
      <c r="G1595" s="22">
        <f ca="1">IFERROR(__xludf.DUMMYFUNCTION("""COMPUTED_VALUE"""),0)</f>
        <v>0</v>
      </c>
      <c r="H1595" s="7">
        <f ca="1">IFERROR(__xludf.DUMMYFUNCTION("""COMPUTED_VALUE"""),500000)</f>
        <v>500000</v>
      </c>
    </row>
    <row r="1596" spans="1:8" ht="13" x14ac:dyDescent="0.15">
      <c r="A1596" s="5" t="str">
        <f ca="1">IFERROR(__xludf.DUMMYFUNCTION("""COMPUTED_VALUE"""),"38705")</f>
        <v>38705</v>
      </c>
      <c r="B1596" s="51">
        <f ca="1">IFERROR(__xludf.DUMMYFUNCTION("""COMPUTED_VALUE"""),44625)</f>
        <v>44625</v>
      </c>
      <c r="C1596" s="22">
        <f ca="1">IFERROR(__xludf.DUMMYFUNCTION("""COMPUTED_VALUE"""),500000)</f>
        <v>500000</v>
      </c>
      <c r="D1596" s="22">
        <f ca="1">IFERROR(__xludf.DUMMYFUNCTION("""COMPUTED_VALUE"""),0)</f>
        <v>0</v>
      </c>
      <c r="E1596" s="22">
        <f ca="1">IFERROR(__xludf.DUMMYFUNCTION("""COMPUTED_VALUE"""),500000)</f>
        <v>500000</v>
      </c>
      <c r="F1596" s="22">
        <f ca="1">IFERROR(__xludf.DUMMYFUNCTION("""COMPUTED_VALUE"""),500000)</f>
        <v>500000</v>
      </c>
      <c r="G1596" s="22">
        <f ca="1">IFERROR(__xludf.DUMMYFUNCTION("""COMPUTED_VALUE"""),0)</f>
        <v>0</v>
      </c>
      <c r="H1596" s="7">
        <f ca="1">IFERROR(__xludf.DUMMYFUNCTION("""COMPUTED_VALUE"""),500000)</f>
        <v>500000</v>
      </c>
    </row>
    <row r="1597" spans="1:8" ht="13" x14ac:dyDescent="0.15">
      <c r="A1597" s="5" t="str">
        <f ca="1">IFERROR(__xludf.DUMMYFUNCTION("""COMPUTED_VALUE"""),"38705")</f>
        <v>38705</v>
      </c>
      <c r="B1597" s="51">
        <f ca="1">IFERROR(__xludf.DUMMYFUNCTION("""COMPUTED_VALUE"""),44626)</f>
        <v>44626</v>
      </c>
      <c r="C1597" s="22">
        <f ca="1">IFERROR(__xludf.DUMMYFUNCTION("""COMPUTED_VALUE"""),500000)</f>
        <v>500000</v>
      </c>
      <c r="D1597" s="22">
        <f ca="1">IFERROR(__xludf.DUMMYFUNCTION("""COMPUTED_VALUE"""),0)</f>
        <v>0</v>
      </c>
      <c r="E1597" s="22">
        <f ca="1">IFERROR(__xludf.DUMMYFUNCTION("""COMPUTED_VALUE"""),500000)</f>
        <v>500000</v>
      </c>
      <c r="F1597" s="22">
        <f ca="1">IFERROR(__xludf.DUMMYFUNCTION("""COMPUTED_VALUE"""),500000)</f>
        <v>500000</v>
      </c>
      <c r="G1597" s="22">
        <f ca="1">IFERROR(__xludf.DUMMYFUNCTION("""COMPUTED_VALUE"""),0)</f>
        <v>0</v>
      </c>
      <c r="H1597" s="7">
        <f ca="1">IFERROR(__xludf.DUMMYFUNCTION("""COMPUTED_VALUE"""),500000)</f>
        <v>500000</v>
      </c>
    </row>
    <row r="1598" spans="1:8" ht="13" x14ac:dyDescent="0.15">
      <c r="A1598" s="5" t="str">
        <f ca="1">IFERROR(__xludf.DUMMYFUNCTION("""COMPUTED_VALUE"""),"38705")</f>
        <v>38705</v>
      </c>
      <c r="B1598" s="51">
        <f ca="1">IFERROR(__xludf.DUMMYFUNCTION("""COMPUTED_VALUE"""),44627)</f>
        <v>44627</v>
      </c>
      <c r="C1598" s="22">
        <f ca="1">IFERROR(__xludf.DUMMYFUNCTION("""COMPUTED_VALUE"""),500000)</f>
        <v>500000</v>
      </c>
      <c r="D1598" s="22">
        <f ca="1">IFERROR(__xludf.DUMMYFUNCTION("""COMPUTED_VALUE"""),0)</f>
        <v>0</v>
      </c>
      <c r="E1598" s="22">
        <f ca="1">IFERROR(__xludf.DUMMYFUNCTION("""COMPUTED_VALUE"""),500000)</f>
        <v>500000</v>
      </c>
      <c r="F1598" s="22">
        <f ca="1">IFERROR(__xludf.DUMMYFUNCTION("""COMPUTED_VALUE"""),500000)</f>
        <v>500000</v>
      </c>
      <c r="G1598" s="22">
        <f ca="1">IFERROR(__xludf.DUMMYFUNCTION("""COMPUTED_VALUE"""),0)</f>
        <v>0</v>
      </c>
      <c r="H1598" s="7">
        <f ca="1">IFERROR(__xludf.DUMMYFUNCTION("""COMPUTED_VALUE"""),500000)</f>
        <v>500000</v>
      </c>
    </row>
    <row r="1599" spans="1:8" ht="13" x14ac:dyDescent="0.15">
      <c r="A1599" s="5" t="str">
        <f ca="1">IFERROR(__xludf.DUMMYFUNCTION("""COMPUTED_VALUE"""),"38705")</f>
        <v>38705</v>
      </c>
      <c r="B1599" s="51">
        <f ca="1">IFERROR(__xludf.DUMMYFUNCTION("""COMPUTED_VALUE"""),44628)</f>
        <v>44628</v>
      </c>
      <c r="C1599" s="22">
        <f ca="1">IFERROR(__xludf.DUMMYFUNCTION("""COMPUTED_VALUE"""),500000)</f>
        <v>500000</v>
      </c>
      <c r="D1599" s="22">
        <f ca="1">IFERROR(__xludf.DUMMYFUNCTION("""COMPUTED_VALUE"""),0)</f>
        <v>0</v>
      </c>
      <c r="E1599" s="22">
        <f ca="1">IFERROR(__xludf.DUMMYFUNCTION("""COMPUTED_VALUE"""),500000)</f>
        <v>500000</v>
      </c>
      <c r="F1599" s="22">
        <f ca="1">IFERROR(__xludf.DUMMYFUNCTION("""COMPUTED_VALUE"""),500000)</f>
        <v>500000</v>
      </c>
      <c r="G1599" s="22">
        <f ca="1">IFERROR(__xludf.DUMMYFUNCTION("""COMPUTED_VALUE"""),0)</f>
        <v>0</v>
      </c>
      <c r="H1599" s="7">
        <f ca="1">IFERROR(__xludf.DUMMYFUNCTION("""COMPUTED_VALUE"""),500000)</f>
        <v>500000</v>
      </c>
    </row>
    <row r="1600" spans="1:8" ht="13" x14ac:dyDescent="0.15">
      <c r="A1600" s="5" t="str">
        <f ca="1">IFERROR(__xludf.DUMMYFUNCTION("""COMPUTED_VALUE"""),"38705")</f>
        <v>38705</v>
      </c>
      <c r="B1600" s="51">
        <f ca="1">IFERROR(__xludf.DUMMYFUNCTION("""COMPUTED_VALUE"""),44629)</f>
        <v>44629</v>
      </c>
      <c r="C1600" s="22">
        <f ca="1">IFERROR(__xludf.DUMMYFUNCTION("""COMPUTED_VALUE"""),500000)</f>
        <v>500000</v>
      </c>
      <c r="D1600" s="22">
        <f ca="1">IFERROR(__xludf.DUMMYFUNCTION("""COMPUTED_VALUE"""),0)</f>
        <v>0</v>
      </c>
      <c r="E1600" s="22">
        <f ca="1">IFERROR(__xludf.DUMMYFUNCTION("""COMPUTED_VALUE"""),500000)</f>
        <v>500000</v>
      </c>
      <c r="F1600" s="22">
        <f ca="1">IFERROR(__xludf.DUMMYFUNCTION("""COMPUTED_VALUE"""),500000)</f>
        <v>500000</v>
      </c>
      <c r="G1600" s="22">
        <f ca="1">IFERROR(__xludf.DUMMYFUNCTION("""COMPUTED_VALUE"""),0)</f>
        <v>0</v>
      </c>
      <c r="H1600" s="7">
        <f ca="1">IFERROR(__xludf.DUMMYFUNCTION("""COMPUTED_VALUE"""),500000)</f>
        <v>500000</v>
      </c>
    </row>
    <row r="1601" spans="1:8" ht="13" x14ac:dyDescent="0.15">
      <c r="A1601" s="5" t="str">
        <f ca="1">IFERROR(__xludf.DUMMYFUNCTION("""COMPUTED_VALUE"""),"38705")</f>
        <v>38705</v>
      </c>
      <c r="B1601" s="51">
        <f ca="1">IFERROR(__xludf.DUMMYFUNCTION("""COMPUTED_VALUE"""),44630)</f>
        <v>44630</v>
      </c>
      <c r="C1601" s="22">
        <f ca="1">IFERROR(__xludf.DUMMYFUNCTION("""COMPUTED_VALUE"""),500000)</f>
        <v>500000</v>
      </c>
      <c r="D1601" s="22">
        <f ca="1">IFERROR(__xludf.DUMMYFUNCTION("""COMPUTED_VALUE"""),0)</f>
        <v>0</v>
      </c>
      <c r="E1601" s="22">
        <f ca="1">IFERROR(__xludf.DUMMYFUNCTION("""COMPUTED_VALUE"""),500000)</f>
        <v>500000</v>
      </c>
      <c r="F1601" s="22">
        <f ca="1">IFERROR(__xludf.DUMMYFUNCTION("""COMPUTED_VALUE"""),500000)</f>
        <v>500000</v>
      </c>
      <c r="G1601" s="22">
        <f ca="1">IFERROR(__xludf.DUMMYFUNCTION("""COMPUTED_VALUE"""),0)</f>
        <v>0</v>
      </c>
      <c r="H1601" s="7">
        <f ca="1">IFERROR(__xludf.DUMMYFUNCTION("""COMPUTED_VALUE"""),500000)</f>
        <v>500000</v>
      </c>
    </row>
    <row r="1602" spans="1:8" ht="13" x14ac:dyDescent="0.15">
      <c r="A1602" s="5" t="str">
        <f ca="1">IFERROR(__xludf.DUMMYFUNCTION("""COMPUTED_VALUE"""),"38705")</f>
        <v>38705</v>
      </c>
      <c r="B1602" s="51">
        <f ca="1">IFERROR(__xludf.DUMMYFUNCTION("""COMPUTED_VALUE"""),44631)</f>
        <v>44631</v>
      </c>
      <c r="C1602" s="22">
        <f ca="1">IFERROR(__xludf.DUMMYFUNCTION("""COMPUTED_VALUE"""),500000)</f>
        <v>500000</v>
      </c>
      <c r="D1602" s="22">
        <f ca="1">IFERROR(__xludf.DUMMYFUNCTION("""COMPUTED_VALUE"""),0)</f>
        <v>0</v>
      </c>
      <c r="E1602" s="22">
        <f ca="1">IFERROR(__xludf.DUMMYFUNCTION("""COMPUTED_VALUE"""),500000)</f>
        <v>500000</v>
      </c>
      <c r="F1602" s="22">
        <f ca="1">IFERROR(__xludf.DUMMYFUNCTION("""COMPUTED_VALUE"""),500000)</f>
        <v>500000</v>
      </c>
      <c r="G1602" s="22">
        <f ca="1">IFERROR(__xludf.DUMMYFUNCTION("""COMPUTED_VALUE"""),0)</f>
        <v>0</v>
      </c>
      <c r="H1602" s="7">
        <f ca="1">IFERROR(__xludf.DUMMYFUNCTION("""COMPUTED_VALUE"""),500000)</f>
        <v>500000</v>
      </c>
    </row>
    <row r="1603" spans="1:8" ht="13" x14ac:dyDescent="0.15">
      <c r="A1603" s="5" t="str">
        <f ca="1">IFERROR(__xludf.DUMMYFUNCTION("""COMPUTED_VALUE"""),"38705")</f>
        <v>38705</v>
      </c>
      <c r="B1603" s="51">
        <f ca="1">IFERROR(__xludf.DUMMYFUNCTION("""COMPUTED_VALUE"""),44632)</f>
        <v>44632</v>
      </c>
      <c r="C1603" s="22">
        <f ca="1">IFERROR(__xludf.DUMMYFUNCTION("""COMPUTED_VALUE"""),500000)</f>
        <v>500000</v>
      </c>
      <c r="D1603" s="22">
        <f ca="1">IFERROR(__xludf.DUMMYFUNCTION("""COMPUTED_VALUE"""),0)</f>
        <v>0</v>
      </c>
      <c r="E1603" s="22">
        <f ca="1">IFERROR(__xludf.DUMMYFUNCTION("""COMPUTED_VALUE"""),500000)</f>
        <v>500000</v>
      </c>
      <c r="F1603" s="22">
        <f ca="1">IFERROR(__xludf.DUMMYFUNCTION("""COMPUTED_VALUE"""),500000)</f>
        <v>500000</v>
      </c>
      <c r="G1603" s="22">
        <f ca="1">IFERROR(__xludf.DUMMYFUNCTION("""COMPUTED_VALUE"""),0)</f>
        <v>0</v>
      </c>
      <c r="H1603" s="7">
        <f ca="1">IFERROR(__xludf.DUMMYFUNCTION("""COMPUTED_VALUE"""),500000)</f>
        <v>500000</v>
      </c>
    </row>
    <row r="1604" spans="1:8" ht="13" x14ac:dyDescent="0.15">
      <c r="A1604" s="5" t="str">
        <f ca="1">IFERROR(__xludf.DUMMYFUNCTION("""COMPUTED_VALUE"""),"38705")</f>
        <v>38705</v>
      </c>
      <c r="B1604" s="51">
        <f ca="1">IFERROR(__xludf.DUMMYFUNCTION("""COMPUTED_VALUE"""),44633)</f>
        <v>44633</v>
      </c>
      <c r="C1604" s="22">
        <f ca="1">IFERROR(__xludf.DUMMYFUNCTION("""COMPUTED_VALUE"""),500000)</f>
        <v>500000</v>
      </c>
      <c r="D1604" s="22">
        <f ca="1">IFERROR(__xludf.DUMMYFUNCTION("""COMPUTED_VALUE"""),0)</f>
        <v>0</v>
      </c>
      <c r="E1604" s="22">
        <f ca="1">IFERROR(__xludf.DUMMYFUNCTION("""COMPUTED_VALUE"""),500000)</f>
        <v>500000</v>
      </c>
      <c r="F1604" s="22">
        <f ca="1">IFERROR(__xludf.DUMMYFUNCTION("""COMPUTED_VALUE"""),500000)</f>
        <v>500000</v>
      </c>
      <c r="G1604" s="22">
        <f ca="1">IFERROR(__xludf.DUMMYFUNCTION("""COMPUTED_VALUE"""),0)</f>
        <v>0</v>
      </c>
      <c r="H1604" s="7">
        <f ca="1">IFERROR(__xludf.DUMMYFUNCTION("""COMPUTED_VALUE"""),500000)</f>
        <v>500000</v>
      </c>
    </row>
    <row r="1605" spans="1:8" ht="13" x14ac:dyDescent="0.15">
      <c r="A1605" s="5" t="str">
        <f ca="1">IFERROR(__xludf.DUMMYFUNCTION("""COMPUTED_VALUE"""),"38705")</f>
        <v>38705</v>
      </c>
      <c r="B1605" s="51">
        <f ca="1">IFERROR(__xludf.DUMMYFUNCTION("""COMPUTED_VALUE"""),44634)</f>
        <v>44634</v>
      </c>
      <c r="C1605" s="22">
        <f ca="1">IFERROR(__xludf.DUMMYFUNCTION("""COMPUTED_VALUE"""),500000)</f>
        <v>500000</v>
      </c>
      <c r="D1605" s="22">
        <f ca="1">IFERROR(__xludf.DUMMYFUNCTION("""COMPUTED_VALUE"""),0)</f>
        <v>0</v>
      </c>
      <c r="E1605" s="22">
        <f ca="1">IFERROR(__xludf.DUMMYFUNCTION("""COMPUTED_VALUE"""),500000)</f>
        <v>500000</v>
      </c>
      <c r="F1605" s="22">
        <f ca="1">IFERROR(__xludf.DUMMYFUNCTION("""COMPUTED_VALUE"""),500000)</f>
        <v>500000</v>
      </c>
      <c r="G1605" s="22">
        <f ca="1">IFERROR(__xludf.DUMMYFUNCTION("""COMPUTED_VALUE"""),0)</f>
        <v>0</v>
      </c>
      <c r="H1605" s="7">
        <f ca="1">IFERROR(__xludf.DUMMYFUNCTION("""COMPUTED_VALUE"""),500000)</f>
        <v>500000</v>
      </c>
    </row>
    <row r="1606" spans="1:8" ht="13" x14ac:dyDescent="0.15">
      <c r="A1606" s="5" t="str">
        <f ca="1">IFERROR(__xludf.DUMMYFUNCTION("""COMPUTED_VALUE"""),"38705")</f>
        <v>38705</v>
      </c>
      <c r="B1606" s="51">
        <f ca="1">IFERROR(__xludf.DUMMYFUNCTION("""COMPUTED_VALUE"""),44635)</f>
        <v>44635</v>
      </c>
      <c r="C1606" s="22">
        <f ca="1">IFERROR(__xludf.DUMMYFUNCTION("""COMPUTED_VALUE"""),500000)</f>
        <v>500000</v>
      </c>
      <c r="D1606" s="22">
        <f ca="1">IFERROR(__xludf.DUMMYFUNCTION("""COMPUTED_VALUE"""),0)</f>
        <v>0</v>
      </c>
      <c r="E1606" s="22">
        <f ca="1">IFERROR(__xludf.DUMMYFUNCTION("""COMPUTED_VALUE"""),500000)</f>
        <v>500000</v>
      </c>
      <c r="F1606" s="22">
        <f ca="1">IFERROR(__xludf.DUMMYFUNCTION("""COMPUTED_VALUE"""),500000)</f>
        <v>500000</v>
      </c>
      <c r="G1606" s="22">
        <f ca="1">IFERROR(__xludf.DUMMYFUNCTION("""COMPUTED_VALUE"""),0)</f>
        <v>0</v>
      </c>
      <c r="H1606" s="7">
        <f ca="1">IFERROR(__xludf.DUMMYFUNCTION("""COMPUTED_VALUE"""),500000)</f>
        <v>500000</v>
      </c>
    </row>
    <row r="1607" spans="1:8" ht="13" x14ac:dyDescent="0.15">
      <c r="A1607" s="5" t="str">
        <f ca="1">IFERROR(__xludf.DUMMYFUNCTION("""COMPUTED_VALUE"""),"38705")</f>
        <v>38705</v>
      </c>
      <c r="B1607" s="51">
        <f ca="1">IFERROR(__xludf.DUMMYFUNCTION("""COMPUTED_VALUE"""),44636)</f>
        <v>44636</v>
      </c>
      <c r="C1607" s="22">
        <f ca="1">IFERROR(__xludf.DUMMYFUNCTION("""COMPUTED_VALUE"""),500000)</f>
        <v>500000</v>
      </c>
      <c r="D1607" s="22">
        <f ca="1">IFERROR(__xludf.DUMMYFUNCTION("""COMPUTED_VALUE"""),0)</f>
        <v>0</v>
      </c>
      <c r="E1607" s="22">
        <f ca="1">IFERROR(__xludf.DUMMYFUNCTION("""COMPUTED_VALUE"""),500000)</f>
        <v>500000</v>
      </c>
      <c r="F1607" s="22">
        <f ca="1">IFERROR(__xludf.DUMMYFUNCTION("""COMPUTED_VALUE"""),500000)</f>
        <v>500000</v>
      </c>
      <c r="G1607" s="22">
        <f ca="1">IFERROR(__xludf.DUMMYFUNCTION("""COMPUTED_VALUE"""),0)</f>
        <v>0</v>
      </c>
      <c r="H1607" s="7">
        <f ca="1">IFERROR(__xludf.DUMMYFUNCTION("""COMPUTED_VALUE"""),500000)</f>
        <v>500000</v>
      </c>
    </row>
    <row r="1608" spans="1:8" ht="13" x14ac:dyDescent="0.15">
      <c r="A1608" s="5" t="str">
        <f ca="1">IFERROR(__xludf.DUMMYFUNCTION("""COMPUTED_VALUE"""),"38705")</f>
        <v>38705</v>
      </c>
      <c r="B1608" s="51">
        <f ca="1">IFERROR(__xludf.DUMMYFUNCTION("""COMPUTED_VALUE"""),44637)</f>
        <v>44637</v>
      </c>
      <c r="C1608" s="22">
        <f ca="1">IFERROR(__xludf.DUMMYFUNCTION("""COMPUTED_VALUE"""),500000)</f>
        <v>500000</v>
      </c>
      <c r="D1608" s="22">
        <f ca="1">IFERROR(__xludf.DUMMYFUNCTION("""COMPUTED_VALUE"""),0)</f>
        <v>0</v>
      </c>
      <c r="E1608" s="22">
        <f ca="1">IFERROR(__xludf.DUMMYFUNCTION("""COMPUTED_VALUE"""),500000)</f>
        <v>500000</v>
      </c>
      <c r="F1608" s="22">
        <f ca="1">IFERROR(__xludf.DUMMYFUNCTION("""COMPUTED_VALUE"""),500000)</f>
        <v>500000</v>
      </c>
      <c r="G1608" s="22">
        <f ca="1">IFERROR(__xludf.DUMMYFUNCTION("""COMPUTED_VALUE"""),0)</f>
        <v>0</v>
      </c>
      <c r="H1608" s="7">
        <f ca="1">IFERROR(__xludf.DUMMYFUNCTION("""COMPUTED_VALUE"""),500000)</f>
        <v>500000</v>
      </c>
    </row>
    <row r="1609" spans="1:8" ht="13" x14ac:dyDescent="0.15">
      <c r="A1609" s="5" t="str">
        <f ca="1">IFERROR(__xludf.DUMMYFUNCTION("""COMPUTED_VALUE"""),"38705")</f>
        <v>38705</v>
      </c>
      <c r="B1609" s="51">
        <f ca="1">IFERROR(__xludf.DUMMYFUNCTION("""COMPUTED_VALUE"""),44638)</f>
        <v>44638</v>
      </c>
      <c r="C1609" s="22">
        <f ca="1">IFERROR(__xludf.DUMMYFUNCTION("""COMPUTED_VALUE"""),500000)</f>
        <v>500000</v>
      </c>
      <c r="D1609" s="22">
        <f ca="1">IFERROR(__xludf.DUMMYFUNCTION("""COMPUTED_VALUE"""),0)</f>
        <v>0</v>
      </c>
      <c r="E1609" s="22">
        <f ca="1">IFERROR(__xludf.DUMMYFUNCTION("""COMPUTED_VALUE"""),500000)</f>
        <v>500000</v>
      </c>
      <c r="F1609" s="22">
        <f ca="1">IFERROR(__xludf.DUMMYFUNCTION("""COMPUTED_VALUE"""),500000)</f>
        <v>500000</v>
      </c>
      <c r="G1609" s="22">
        <f ca="1">IFERROR(__xludf.DUMMYFUNCTION("""COMPUTED_VALUE"""),0)</f>
        <v>0</v>
      </c>
      <c r="H1609" s="7">
        <f ca="1">IFERROR(__xludf.DUMMYFUNCTION("""COMPUTED_VALUE"""),500000)</f>
        <v>500000</v>
      </c>
    </row>
    <row r="1610" spans="1:8" ht="13" x14ac:dyDescent="0.15">
      <c r="A1610" s="5" t="str">
        <f ca="1">IFERROR(__xludf.DUMMYFUNCTION("""COMPUTED_VALUE"""),"38705")</f>
        <v>38705</v>
      </c>
      <c r="B1610" s="51">
        <f ca="1">IFERROR(__xludf.DUMMYFUNCTION("""COMPUTED_VALUE"""),44639)</f>
        <v>44639</v>
      </c>
      <c r="C1610" s="22">
        <f ca="1">IFERROR(__xludf.DUMMYFUNCTION("""COMPUTED_VALUE"""),500000)</f>
        <v>500000</v>
      </c>
      <c r="D1610" s="22">
        <f ca="1">IFERROR(__xludf.DUMMYFUNCTION("""COMPUTED_VALUE"""),0)</f>
        <v>0</v>
      </c>
      <c r="E1610" s="22">
        <f ca="1">IFERROR(__xludf.DUMMYFUNCTION("""COMPUTED_VALUE"""),500000)</f>
        <v>500000</v>
      </c>
      <c r="F1610" s="22">
        <f ca="1">IFERROR(__xludf.DUMMYFUNCTION("""COMPUTED_VALUE"""),500000)</f>
        <v>500000</v>
      </c>
      <c r="G1610" s="22">
        <f ca="1">IFERROR(__xludf.DUMMYFUNCTION("""COMPUTED_VALUE"""),0)</f>
        <v>0</v>
      </c>
      <c r="H1610" s="7">
        <f ca="1">IFERROR(__xludf.DUMMYFUNCTION("""COMPUTED_VALUE"""),500000)</f>
        <v>500000</v>
      </c>
    </row>
    <row r="1611" spans="1:8" ht="13" x14ac:dyDescent="0.15">
      <c r="A1611" s="5" t="str">
        <f ca="1">IFERROR(__xludf.DUMMYFUNCTION("""COMPUTED_VALUE"""),"38705")</f>
        <v>38705</v>
      </c>
      <c r="B1611" s="51">
        <f ca="1">IFERROR(__xludf.DUMMYFUNCTION("""COMPUTED_VALUE"""),44640)</f>
        <v>44640</v>
      </c>
      <c r="C1611" s="22">
        <f ca="1">IFERROR(__xludf.DUMMYFUNCTION("""COMPUTED_VALUE"""),500000)</f>
        <v>500000</v>
      </c>
      <c r="D1611" s="22">
        <f ca="1">IFERROR(__xludf.DUMMYFUNCTION("""COMPUTED_VALUE"""),0)</f>
        <v>0</v>
      </c>
      <c r="E1611" s="22">
        <f ca="1">IFERROR(__xludf.DUMMYFUNCTION("""COMPUTED_VALUE"""),500000)</f>
        <v>500000</v>
      </c>
      <c r="F1611" s="22">
        <f ca="1">IFERROR(__xludf.DUMMYFUNCTION("""COMPUTED_VALUE"""),500000)</f>
        <v>500000</v>
      </c>
      <c r="G1611" s="22">
        <f ca="1">IFERROR(__xludf.DUMMYFUNCTION("""COMPUTED_VALUE"""),0)</f>
        <v>0</v>
      </c>
      <c r="H1611" s="7">
        <f ca="1">IFERROR(__xludf.DUMMYFUNCTION("""COMPUTED_VALUE"""),500000)</f>
        <v>500000</v>
      </c>
    </row>
    <row r="1612" spans="1:8" ht="13" x14ac:dyDescent="0.15">
      <c r="A1612" s="5" t="str">
        <f ca="1">IFERROR(__xludf.DUMMYFUNCTION("""COMPUTED_VALUE"""),"38705")</f>
        <v>38705</v>
      </c>
      <c r="B1612" s="51">
        <f ca="1">IFERROR(__xludf.DUMMYFUNCTION("""COMPUTED_VALUE"""),44641)</f>
        <v>44641</v>
      </c>
      <c r="C1612" s="22">
        <f ca="1">IFERROR(__xludf.DUMMYFUNCTION("""COMPUTED_VALUE"""),76568.8132249999)</f>
        <v>76568.813224999903</v>
      </c>
      <c r="D1612" s="22">
        <f ca="1">IFERROR(__xludf.DUMMYFUNCTION("""COMPUTED_VALUE"""),423431.186775)</f>
        <v>423431.18677500001</v>
      </c>
      <c r="E1612" s="22">
        <f ca="1">IFERROR(__xludf.DUMMYFUNCTION("""COMPUTED_VALUE"""),500000)</f>
        <v>500000</v>
      </c>
      <c r="F1612" s="22">
        <f ca="1">IFERROR(__xludf.DUMMYFUNCTION("""COMPUTED_VALUE"""),76568.813225)</f>
        <v>76568.813225000005</v>
      </c>
      <c r="G1612" s="22">
        <f ca="1">IFERROR(__xludf.DUMMYFUNCTION("""COMPUTED_VALUE"""),0)</f>
        <v>0</v>
      </c>
      <c r="H1612" s="7">
        <f ca="1">IFERROR(__xludf.DUMMYFUNCTION("""COMPUTED_VALUE"""),500000)</f>
        <v>500000</v>
      </c>
    </row>
    <row r="1613" spans="1:8" ht="13" x14ac:dyDescent="0.15">
      <c r="A1613" s="5" t="str">
        <f ca="1">IFERROR(__xludf.DUMMYFUNCTION("""COMPUTED_VALUE"""),"38705")</f>
        <v>38705</v>
      </c>
      <c r="B1613" s="51">
        <f ca="1">IFERROR(__xludf.DUMMYFUNCTION("""COMPUTED_VALUE"""),44642)</f>
        <v>44642</v>
      </c>
      <c r="C1613" s="22">
        <f ca="1">IFERROR(__xludf.DUMMYFUNCTION("""COMPUTED_VALUE"""),128653.251999999)</f>
        <v>128653.251999999</v>
      </c>
      <c r="D1613" s="22">
        <f ca="1">IFERROR(__xludf.DUMMYFUNCTION("""COMPUTED_VALUE"""),369072.0003)</f>
        <v>369072.00030000001</v>
      </c>
      <c r="E1613" s="22">
        <f ca="1">IFERROR(__xludf.DUMMYFUNCTION("""COMPUTED_VALUE"""),497725.2523)</f>
        <v>497725.25229999999</v>
      </c>
      <c r="F1613" s="22">
        <f ca="1">IFERROR(__xludf.DUMMYFUNCTION("""COMPUTED_VALUE"""),128653.252)</f>
        <v>128653.25199999999</v>
      </c>
      <c r="G1613" s="22">
        <f ca="1">IFERROR(__xludf.DUMMYFUNCTION("""COMPUTED_VALUE"""),0)</f>
        <v>0</v>
      </c>
      <c r="H1613" s="7">
        <f ca="1">IFERROR(__xludf.DUMMYFUNCTION("""COMPUTED_VALUE"""),497725.2523)</f>
        <v>497725.25229999999</v>
      </c>
    </row>
    <row r="1614" spans="1:8" ht="13" x14ac:dyDescent="0.15">
      <c r="A1614" s="5" t="str">
        <f ca="1">IFERROR(__xludf.DUMMYFUNCTION("""COMPUTED_VALUE"""),"38758")</f>
        <v>38758</v>
      </c>
      <c r="B1614" s="51">
        <f ca="1">IFERROR(__xludf.DUMMYFUNCTION("""COMPUTED_VALUE"""),44597)</f>
        <v>44597</v>
      </c>
      <c r="C1614" s="22">
        <f ca="1">IFERROR(__xludf.DUMMYFUNCTION("""COMPUTED_VALUE"""),500000)</f>
        <v>500000</v>
      </c>
      <c r="D1614" s="22">
        <f ca="1">IFERROR(__xludf.DUMMYFUNCTION("""COMPUTED_VALUE"""),0)</f>
        <v>0</v>
      </c>
      <c r="E1614" s="22">
        <f ca="1">IFERROR(__xludf.DUMMYFUNCTION("""COMPUTED_VALUE"""),500000)</f>
        <v>500000</v>
      </c>
      <c r="F1614" s="22">
        <f ca="1">IFERROR(__xludf.DUMMYFUNCTION("""COMPUTED_VALUE"""),500000)</f>
        <v>500000</v>
      </c>
      <c r="G1614" s="22">
        <f ca="1">IFERROR(__xludf.DUMMYFUNCTION("""COMPUTED_VALUE"""),0)</f>
        <v>0</v>
      </c>
      <c r="H1614" s="7">
        <f ca="1">IFERROR(__xludf.DUMMYFUNCTION("""COMPUTED_VALUE"""),500000)</f>
        <v>500000</v>
      </c>
    </row>
    <row r="1615" spans="1:8" ht="13" x14ac:dyDescent="0.15">
      <c r="A1615" s="5" t="str">
        <f ca="1">IFERROR(__xludf.DUMMYFUNCTION("""COMPUTED_VALUE"""),"38758")</f>
        <v>38758</v>
      </c>
      <c r="B1615" s="51">
        <f ca="1">IFERROR(__xludf.DUMMYFUNCTION("""COMPUTED_VALUE"""),44598)</f>
        <v>44598</v>
      </c>
      <c r="C1615" s="22">
        <f ca="1">IFERROR(__xludf.DUMMYFUNCTION("""COMPUTED_VALUE"""),500000)</f>
        <v>500000</v>
      </c>
      <c r="D1615" s="22">
        <f ca="1">IFERROR(__xludf.DUMMYFUNCTION("""COMPUTED_VALUE"""),0)</f>
        <v>0</v>
      </c>
      <c r="E1615" s="22">
        <f ca="1">IFERROR(__xludf.DUMMYFUNCTION("""COMPUTED_VALUE"""),500000)</f>
        <v>500000</v>
      </c>
      <c r="F1615" s="22">
        <f ca="1">IFERROR(__xludf.DUMMYFUNCTION("""COMPUTED_VALUE"""),500000)</f>
        <v>500000</v>
      </c>
      <c r="G1615" s="22">
        <f ca="1">IFERROR(__xludf.DUMMYFUNCTION("""COMPUTED_VALUE"""),0)</f>
        <v>0</v>
      </c>
      <c r="H1615" s="7">
        <f ca="1">IFERROR(__xludf.DUMMYFUNCTION("""COMPUTED_VALUE"""),500000)</f>
        <v>500000</v>
      </c>
    </row>
    <row r="1616" spans="1:8" ht="13" x14ac:dyDescent="0.15">
      <c r="A1616" s="5" t="str">
        <f ca="1">IFERROR(__xludf.DUMMYFUNCTION("""COMPUTED_VALUE"""),"38758")</f>
        <v>38758</v>
      </c>
      <c r="B1616" s="51">
        <f ca="1">IFERROR(__xludf.DUMMYFUNCTION("""COMPUTED_VALUE"""),44599)</f>
        <v>44599</v>
      </c>
      <c r="C1616" s="22">
        <f ca="1">IFERROR(__xludf.DUMMYFUNCTION("""COMPUTED_VALUE"""),500000)</f>
        <v>500000</v>
      </c>
      <c r="D1616" s="22">
        <f ca="1">IFERROR(__xludf.DUMMYFUNCTION("""COMPUTED_VALUE"""),0)</f>
        <v>0</v>
      </c>
      <c r="E1616" s="22">
        <f ca="1">IFERROR(__xludf.DUMMYFUNCTION("""COMPUTED_VALUE"""),500000)</f>
        <v>500000</v>
      </c>
      <c r="F1616" s="22">
        <f ca="1">IFERROR(__xludf.DUMMYFUNCTION("""COMPUTED_VALUE"""),500000)</f>
        <v>500000</v>
      </c>
      <c r="G1616" s="22">
        <f ca="1">IFERROR(__xludf.DUMMYFUNCTION("""COMPUTED_VALUE"""),0)</f>
        <v>0</v>
      </c>
      <c r="H1616" s="7">
        <f ca="1">IFERROR(__xludf.DUMMYFUNCTION("""COMPUTED_VALUE"""),500000)</f>
        <v>500000</v>
      </c>
    </row>
    <row r="1617" spans="1:8" ht="13" x14ac:dyDescent="0.15">
      <c r="A1617" s="5" t="str">
        <f ca="1">IFERROR(__xludf.DUMMYFUNCTION("""COMPUTED_VALUE"""),"38758")</f>
        <v>38758</v>
      </c>
      <c r="B1617" s="51">
        <f ca="1">IFERROR(__xludf.DUMMYFUNCTION("""COMPUTED_VALUE"""),44600)</f>
        <v>44600</v>
      </c>
      <c r="C1617" s="22">
        <f ca="1">IFERROR(__xludf.DUMMYFUNCTION("""COMPUTED_VALUE"""),500000)</f>
        <v>500000</v>
      </c>
      <c r="D1617" s="22">
        <f ca="1">IFERROR(__xludf.DUMMYFUNCTION("""COMPUTED_VALUE"""),0)</f>
        <v>0</v>
      </c>
      <c r="E1617" s="22">
        <f ca="1">IFERROR(__xludf.DUMMYFUNCTION("""COMPUTED_VALUE"""),500000)</f>
        <v>500000</v>
      </c>
      <c r="F1617" s="22">
        <f ca="1">IFERROR(__xludf.DUMMYFUNCTION("""COMPUTED_VALUE"""),500000)</f>
        <v>500000</v>
      </c>
      <c r="G1617" s="22">
        <f ca="1">IFERROR(__xludf.DUMMYFUNCTION("""COMPUTED_VALUE"""),0)</f>
        <v>0</v>
      </c>
      <c r="H1617" s="7">
        <f ca="1">IFERROR(__xludf.DUMMYFUNCTION("""COMPUTED_VALUE"""),500000)</f>
        <v>500000</v>
      </c>
    </row>
    <row r="1618" spans="1:8" ht="13" x14ac:dyDescent="0.15">
      <c r="A1618" s="5" t="str">
        <f ca="1">IFERROR(__xludf.DUMMYFUNCTION("""COMPUTED_VALUE"""),"38758")</f>
        <v>38758</v>
      </c>
      <c r="B1618" s="51">
        <f ca="1">IFERROR(__xludf.DUMMYFUNCTION("""COMPUTED_VALUE"""),44601)</f>
        <v>44601</v>
      </c>
      <c r="C1618" s="22">
        <f ca="1">IFERROR(__xludf.DUMMYFUNCTION("""COMPUTED_VALUE"""),500000)</f>
        <v>500000</v>
      </c>
      <c r="D1618" s="22">
        <f ca="1">IFERROR(__xludf.DUMMYFUNCTION("""COMPUTED_VALUE"""),0)</f>
        <v>0</v>
      </c>
      <c r="E1618" s="22">
        <f ca="1">IFERROR(__xludf.DUMMYFUNCTION("""COMPUTED_VALUE"""),500000)</f>
        <v>500000</v>
      </c>
      <c r="F1618" s="22">
        <f ca="1">IFERROR(__xludf.DUMMYFUNCTION("""COMPUTED_VALUE"""),500000)</f>
        <v>500000</v>
      </c>
      <c r="G1618" s="22">
        <f ca="1">IFERROR(__xludf.DUMMYFUNCTION("""COMPUTED_VALUE"""),0)</f>
        <v>0</v>
      </c>
      <c r="H1618" s="7">
        <f ca="1">IFERROR(__xludf.DUMMYFUNCTION("""COMPUTED_VALUE"""),500000)</f>
        <v>500000</v>
      </c>
    </row>
    <row r="1619" spans="1:8" ht="13" x14ac:dyDescent="0.15">
      <c r="A1619" s="5" t="str">
        <f ca="1">IFERROR(__xludf.DUMMYFUNCTION("""COMPUTED_VALUE"""),"38758")</f>
        <v>38758</v>
      </c>
      <c r="B1619" s="51">
        <f ca="1">IFERROR(__xludf.DUMMYFUNCTION("""COMPUTED_VALUE"""),44602)</f>
        <v>44602</v>
      </c>
      <c r="C1619" s="22">
        <f ca="1">IFERROR(__xludf.DUMMYFUNCTION("""COMPUTED_VALUE"""),500000)</f>
        <v>500000</v>
      </c>
      <c r="D1619" s="22">
        <f ca="1">IFERROR(__xludf.DUMMYFUNCTION("""COMPUTED_VALUE"""),0)</f>
        <v>0</v>
      </c>
      <c r="E1619" s="22">
        <f ca="1">IFERROR(__xludf.DUMMYFUNCTION("""COMPUTED_VALUE"""),500000)</f>
        <v>500000</v>
      </c>
      <c r="F1619" s="22">
        <f ca="1">IFERROR(__xludf.DUMMYFUNCTION("""COMPUTED_VALUE"""),500000)</f>
        <v>500000</v>
      </c>
      <c r="G1619" s="22">
        <f ca="1">IFERROR(__xludf.DUMMYFUNCTION("""COMPUTED_VALUE"""),0)</f>
        <v>0</v>
      </c>
      <c r="H1619" s="7">
        <f ca="1">IFERROR(__xludf.DUMMYFUNCTION("""COMPUTED_VALUE"""),500000)</f>
        <v>500000</v>
      </c>
    </row>
    <row r="1620" spans="1:8" ht="13" x14ac:dyDescent="0.15">
      <c r="A1620" s="5" t="str">
        <f ca="1">IFERROR(__xludf.DUMMYFUNCTION("""COMPUTED_VALUE"""),"38758")</f>
        <v>38758</v>
      </c>
      <c r="B1620" s="51">
        <f ca="1">IFERROR(__xludf.DUMMYFUNCTION("""COMPUTED_VALUE"""),44603)</f>
        <v>44603</v>
      </c>
      <c r="C1620" s="22">
        <f ca="1">IFERROR(__xludf.DUMMYFUNCTION("""COMPUTED_VALUE"""),500000)</f>
        <v>500000</v>
      </c>
      <c r="D1620" s="22">
        <f ca="1">IFERROR(__xludf.DUMMYFUNCTION("""COMPUTED_VALUE"""),0)</f>
        <v>0</v>
      </c>
      <c r="E1620" s="22">
        <f ca="1">IFERROR(__xludf.DUMMYFUNCTION("""COMPUTED_VALUE"""),500000)</f>
        <v>500000</v>
      </c>
      <c r="F1620" s="22">
        <f ca="1">IFERROR(__xludf.DUMMYFUNCTION("""COMPUTED_VALUE"""),500000)</f>
        <v>500000</v>
      </c>
      <c r="G1620" s="22">
        <f ca="1">IFERROR(__xludf.DUMMYFUNCTION("""COMPUTED_VALUE"""),0)</f>
        <v>0</v>
      </c>
      <c r="H1620" s="7">
        <f ca="1">IFERROR(__xludf.DUMMYFUNCTION("""COMPUTED_VALUE"""),500000)</f>
        <v>500000</v>
      </c>
    </row>
    <row r="1621" spans="1:8" ht="13" x14ac:dyDescent="0.15">
      <c r="A1621" s="5" t="str">
        <f ca="1">IFERROR(__xludf.DUMMYFUNCTION("""COMPUTED_VALUE"""),"38758")</f>
        <v>38758</v>
      </c>
      <c r="B1621" s="51">
        <f ca="1">IFERROR(__xludf.DUMMYFUNCTION("""COMPUTED_VALUE"""),44604)</f>
        <v>44604</v>
      </c>
      <c r="C1621" s="22">
        <f ca="1">IFERROR(__xludf.DUMMYFUNCTION("""COMPUTED_VALUE"""),500000)</f>
        <v>500000</v>
      </c>
      <c r="D1621" s="22">
        <f ca="1">IFERROR(__xludf.DUMMYFUNCTION("""COMPUTED_VALUE"""),0)</f>
        <v>0</v>
      </c>
      <c r="E1621" s="22">
        <f ca="1">IFERROR(__xludf.DUMMYFUNCTION("""COMPUTED_VALUE"""),500000)</f>
        <v>500000</v>
      </c>
      <c r="F1621" s="22">
        <f ca="1">IFERROR(__xludf.DUMMYFUNCTION("""COMPUTED_VALUE"""),500000)</f>
        <v>500000</v>
      </c>
      <c r="G1621" s="22">
        <f ca="1">IFERROR(__xludf.DUMMYFUNCTION("""COMPUTED_VALUE"""),0)</f>
        <v>0</v>
      </c>
      <c r="H1621" s="7">
        <f ca="1">IFERROR(__xludf.DUMMYFUNCTION("""COMPUTED_VALUE"""),500000)</f>
        <v>500000</v>
      </c>
    </row>
    <row r="1622" spans="1:8" ht="13" x14ac:dyDescent="0.15">
      <c r="A1622" s="5" t="str">
        <f ca="1">IFERROR(__xludf.DUMMYFUNCTION("""COMPUTED_VALUE"""),"38758")</f>
        <v>38758</v>
      </c>
      <c r="B1622" s="51">
        <f ca="1">IFERROR(__xludf.DUMMYFUNCTION("""COMPUTED_VALUE"""),44605)</f>
        <v>44605</v>
      </c>
      <c r="C1622" s="22">
        <f ca="1">IFERROR(__xludf.DUMMYFUNCTION("""COMPUTED_VALUE"""),500000)</f>
        <v>500000</v>
      </c>
      <c r="D1622" s="22">
        <f ca="1">IFERROR(__xludf.DUMMYFUNCTION("""COMPUTED_VALUE"""),0)</f>
        <v>0</v>
      </c>
      <c r="E1622" s="22">
        <f ca="1">IFERROR(__xludf.DUMMYFUNCTION("""COMPUTED_VALUE"""),500000)</f>
        <v>500000</v>
      </c>
      <c r="F1622" s="22">
        <f ca="1">IFERROR(__xludf.DUMMYFUNCTION("""COMPUTED_VALUE"""),500000)</f>
        <v>500000</v>
      </c>
      <c r="G1622" s="22">
        <f ca="1">IFERROR(__xludf.DUMMYFUNCTION("""COMPUTED_VALUE"""),0)</f>
        <v>0</v>
      </c>
      <c r="H1622" s="7">
        <f ca="1">IFERROR(__xludf.DUMMYFUNCTION("""COMPUTED_VALUE"""),500000)</f>
        <v>500000</v>
      </c>
    </row>
    <row r="1623" spans="1:8" ht="13" x14ac:dyDescent="0.15">
      <c r="A1623" s="5" t="str">
        <f ca="1">IFERROR(__xludf.DUMMYFUNCTION("""COMPUTED_VALUE"""),"38758")</f>
        <v>38758</v>
      </c>
      <c r="B1623" s="51">
        <f ca="1">IFERROR(__xludf.DUMMYFUNCTION("""COMPUTED_VALUE"""),44606)</f>
        <v>44606</v>
      </c>
      <c r="C1623" s="22">
        <f ca="1">IFERROR(__xludf.DUMMYFUNCTION("""COMPUTED_VALUE"""),500000)</f>
        <v>500000</v>
      </c>
      <c r="D1623" s="22">
        <f ca="1">IFERROR(__xludf.DUMMYFUNCTION("""COMPUTED_VALUE"""),0)</f>
        <v>0</v>
      </c>
      <c r="E1623" s="22">
        <f ca="1">IFERROR(__xludf.DUMMYFUNCTION("""COMPUTED_VALUE"""),500000)</f>
        <v>500000</v>
      </c>
      <c r="F1623" s="22">
        <f ca="1">IFERROR(__xludf.DUMMYFUNCTION("""COMPUTED_VALUE"""),500000)</f>
        <v>500000</v>
      </c>
      <c r="G1623" s="22">
        <f ca="1">IFERROR(__xludf.DUMMYFUNCTION("""COMPUTED_VALUE"""),0)</f>
        <v>0</v>
      </c>
      <c r="H1623" s="7">
        <f ca="1">IFERROR(__xludf.DUMMYFUNCTION("""COMPUTED_VALUE"""),500000)</f>
        <v>500000</v>
      </c>
    </row>
    <row r="1624" spans="1:8" ht="13" x14ac:dyDescent="0.15">
      <c r="A1624" s="5" t="str">
        <f ca="1">IFERROR(__xludf.DUMMYFUNCTION("""COMPUTED_VALUE"""),"38758")</f>
        <v>38758</v>
      </c>
      <c r="B1624" s="51">
        <f ca="1">IFERROR(__xludf.DUMMYFUNCTION("""COMPUTED_VALUE"""),44607)</f>
        <v>44607</v>
      </c>
      <c r="C1624" s="22">
        <f ca="1">IFERROR(__xludf.DUMMYFUNCTION("""COMPUTED_VALUE"""),500000)</f>
        <v>500000</v>
      </c>
      <c r="D1624" s="22">
        <f ca="1">IFERROR(__xludf.DUMMYFUNCTION("""COMPUTED_VALUE"""),0)</f>
        <v>0</v>
      </c>
      <c r="E1624" s="22">
        <f ca="1">IFERROR(__xludf.DUMMYFUNCTION("""COMPUTED_VALUE"""),500000)</f>
        <v>500000</v>
      </c>
      <c r="F1624" s="22">
        <f ca="1">IFERROR(__xludf.DUMMYFUNCTION("""COMPUTED_VALUE"""),500000)</f>
        <v>500000</v>
      </c>
      <c r="G1624" s="22">
        <f ca="1">IFERROR(__xludf.DUMMYFUNCTION("""COMPUTED_VALUE"""),0)</f>
        <v>0</v>
      </c>
      <c r="H1624" s="7">
        <f ca="1">IFERROR(__xludf.DUMMYFUNCTION("""COMPUTED_VALUE"""),500000)</f>
        <v>500000</v>
      </c>
    </row>
    <row r="1625" spans="1:8" ht="13" x14ac:dyDescent="0.15">
      <c r="A1625" s="5" t="str">
        <f ca="1">IFERROR(__xludf.DUMMYFUNCTION("""COMPUTED_VALUE"""),"38758")</f>
        <v>38758</v>
      </c>
      <c r="B1625" s="51">
        <f ca="1">IFERROR(__xludf.DUMMYFUNCTION("""COMPUTED_VALUE"""),44608)</f>
        <v>44608</v>
      </c>
      <c r="C1625" s="22">
        <f ca="1">IFERROR(__xludf.DUMMYFUNCTION("""COMPUTED_VALUE"""),500000)</f>
        <v>500000</v>
      </c>
      <c r="D1625" s="22">
        <f ca="1">IFERROR(__xludf.DUMMYFUNCTION("""COMPUTED_VALUE"""),0)</f>
        <v>0</v>
      </c>
      <c r="E1625" s="22">
        <f ca="1">IFERROR(__xludf.DUMMYFUNCTION("""COMPUTED_VALUE"""),500000)</f>
        <v>500000</v>
      </c>
      <c r="F1625" s="22">
        <f ca="1">IFERROR(__xludf.DUMMYFUNCTION("""COMPUTED_VALUE"""),500000)</f>
        <v>500000</v>
      </c>
      <c r="G1625" s="22">
        <f ca="1">IFERROR(__xludf.DUMMYFUNCTION("""COMPUTED_VALUE"""),0)</f>
        <v>0</v>
      </c>
      <c r="H1625" s="7">
        <f ca="1">IFERROR(__xludf.DUMMYFUNCTION("""COMPUTED_VALUE"""),500000)</f>
        <v>500000</v>
      </c>
    </row>
    <row r="1626" spans="1:8" ht="13" x14ac:dyDescent="0.15">
      <c r="A1626" s="5" t="str">
        <f ca="1">IFERROR(__xludf.DUMMYFUNCTION("""COMPUTED_VALUE"""),"38758")</f>
        <v>38758</v>
      </c>
      <c r="B1626" s="51">
        <f ca="1">IFERROR(__xludf.DUMMYFUNCTION("""COMPUTED_VALUE"""),44609)</f>
        <v>44609</v>
      </c>
      <c r="C1626" s="22">
        <f ca="1">IFERROR(__xludf.DUMMYFUNCTION("""COMPUTED_VALUE"""),500000)</f>
        <v>500000</v>
      </c>
      <c r="D1626" s="22">
        <f ca="1">IFERROR(__xludf.DUMMYFUNCTION("""COMPUTED_VALUE"""),0)</f>
        <v>0</v>
      </c>
      <c r="E1626" s="22">
        <f ca="1">IFERROR(__xludf.DUMMYFUNCTION("""COMPUTED_VALUE"""),500000)</f>
        <v>500000</v>
      </c>
      <c r="F1626" s="22">
        <f ca="1">IFERROR(__xludf.DUMMYFUNCTION("""COMPUTED_VALUE"""),500000)</f>
        <v>500000</v>
      </c>
      <c r="G1626" s="22">
        <f ca="1">IFERROR(__xludf.DUMMYFUNCTION("""COMPUTED_VALUE"""),0)</f>
        <v>0</v>
      </c>
      <c r="H1626" s="7">
        <f ca="1">IFERROR(__xludf.DUMMYFUNCTION("""COMPUTED_VALUE"""),500000)</f>
        <v>500000</v>
      </c>
    </row>
    <row r="1627" spans="1:8" ht="13" x14ac:dyDescent="0.15">
      <c r="A1627" s="5" t="str">
        <f ca="1">IFERROR(__xludf.DUMMYFUNCTION("""COMPUTED_VALUE"""),"38758")</f>
        <v>38758</v>
      </c>
      <c r="B1627" s="51">
        <f ca="1">IFERROR(__xludf.DUMMYFUNCTION("""COMPUTED_VALUE"""),44610)</f>
        <v>44610</v>
      </c>
      <c r="C1627" s="22">
        <f ca="1">IFERROR(__xludf.DUMMYFUNCTION("""COMPUTED_VALUE"""),500000)</f>
        <v>500000</v>
      </c>
      <c r="D1627" s="22">
        <f ca="1">IFERROR(__xludf.DUMMYFUNCTION("""COMPUTED_VALUE"""),0)</f>
        <v>0</v>
      </c>
      <c r="E1627" s="22">
        <f ca="1">IFERROR(__xludf.DUMMYFUNCTION("""COMPUTED_VALUE"""),500000)</f>
        <v>500000</v>
      </c>
      <c r="F1627" s="22">
        <f ca="1">IFERROR(__xludf.DUMMYFUNCTION("""COMPUTED_VALUE"""),500000)</f>
        <v>500000</v>
      </c>
      <c r="G1627" s="22">
        <f ca="1">IFERROR(__xludf.DUMMYFUNCTION("""COMPUTED_VALUE"""),0)</f>
        <v>0</v>
      </c>
      <c r="H1627" s="7">
        <f ca="1">IFERROR(__xludf.DUMMYFUNCTION("""COMPUTED_VALUE"""),500000)</f>
        <v>500000</v>
      </c>
    </row>
    <row r="1628" spans="1:8" ht="13" x14ac:dyDescent="0.15">
      <c r="A1628" s="5" t="str">
        <f ca="1">IFERROR(__xludf.DUMMYFUNCTION("""COMPUTED_VALUE"""),"38758")</f>
        <v>38758</v>
      </c>
      <c r="B1628" s="51">
        <f ca="1">IFERROR(__xludf.DUMMYFUNCTION("""COMPUTED_VALUE"""),44611)</f>
        <v>44611</v>
      </c>
      <c r="C1628" s="22">
        <f ca="1">IFERROR(__xludf.DUMMYFUNCTION("""COMPUTED_VALUE"""),500000)</f>
        <v>500000</v>
      </c>
      <c r="D1628" s="22">
        <f ca="1">IFERROR(__xludf.DUMMYFUNCTION("""COMPUTED_VALUE"""),0)</f>
        <v>0</v>
      </c>
      <c r="E1628" s="22">
        <f ca="1">IFERROR(__xludf.DUMMYFUNCTION("""COMPUTED_VALUE"""),500000)</f>
        <v>500000</v>
      </c>
      <c r="F1628" s="22">
        <f ca="1">IFERROR(__xludf.DUMMYFUNCTION("""COMPUTED_VALUE"""),500000)</f>
        <v>500000</v>
      </c>
      <c r="G1628" s="22">
        <f ca="1">IFERROR(__xludf.DUMMYFUNCTION("""COMPUTED_VALUE"""),0)</f>
        <v>0</v>
      </c>
      <c r="H1628" s="7">
        <f ca="1">IFERROR(__xludf.DUMMYFUNCTION("""COMPUTED_VALUE"""),500000)</f>
        <v>500000</v>
      </c>
    </row>
    <row r="1629" spans="1:8" ht="13" x14ac:dyDescent="0.15">
      <c r="A1629" s="5" t="str">
        <f ca="1">IFERROR(__xludf.DUMMYFUNCTION("""COMPUTED_VALUE"""),"38758")</f>
        <v>38758</v>
      </c>
      <c r="B1629" s="51">
        <f ca="1">IFERROR(__xludf.DUMMYFUNCTION("""COMPUTED_VALUE"""),44612)</f>
        <v>44612</v>
      </c>
      <c r="C1629" s="22">
        <f ca="1">IFERROR(__xludf.DUMMYFUNCTION("""COMPUTED_VALUE"""),500000)</f>
        <v>500000</v>
      </c>
      <c r="D1629" s="22">
        <f ca="1">IFERROR(__xludf.DUMMYFUNCTION("""COMPUTED_VALUE"""),0)</f>
        <v>0</v>
      </c>
      <c r="E1629" s="22">
        <f ca="1">IFERROR(__xludf.DUMMYFUNCTION("""COMPUTED_VALUE"""),500000)</f>
        <v>500000</v>
      </c>
      <c r="F1629" s="22">
        <f ca="1">IFERROR(__xludf.DUMMYFUNCTION("""COMPUTED_VALUE"""),500000)</f>
        <v>500000</v>
      </c>
      <c r="G1629" s="22">
        <f ca="1">IFERROR(__xludf.DUMMYFUNCTION("""COMPUTED_VALUE"""),0)</f>
        <v>0</v>
      </c>
      <c r="H1629" s="7">
        <f ca="1">IFERROR(__xludf.DUMMYFUNCTION("""COMPUTED_VALUE"""),500000)</f>
        <v>500000</v>
      </c>
    </row>
    <row r="1630" spans="1:8" ht="13" x14ac:dyDescent="0.15">
      <c r="A1630" s="5" t="str">
        <f ca="1">IFERROR(__xludf.DUMMYFUNCTION("""COMPUTED_VALUE"""),"38758")</f>
        <v>38758</v>
      </c>
      <c r="B1630" s="51">
        <f ca="1">IFERROR(__xludf.DUMMYFUNCTION("""COMPUTED_VALUE"""),44613)</f>
        <v>44613</v>
      </c>
      <c r="C1630" s="22">
        <f ca="1">IFERROR(__xludf.DUMMYFUNCTION("""COMPUTED_VALUE"""),500000)</f>
        <v>500000</v>
      </c>
      <c r="D1630" s="22">
        <f ca="1">IFERROR(__xludf.DUMMYFUNCTION("""COMPUTED_VALUE"""),0)</f>
        <v>0</v>
      </c>
      <c r="E1630" s="22">
        <f ca="1">IFERROR(__xludf.DUMMYFUNCTION("""COMPUTED_VALUE"""),500000)</f>
        <v>500000</v>
      </c>
      <c r="F1630" s="22">
        <f ca="1">IFERROR(__xludf.DUMMYFUNCTION("""COMPUTED_VALUE"""),500000)</f>
        <v>500000</v>
      </c>
      <c r="G1630" s="22">
        <f ca="1">IFERROR(__xludf.DUMMYFUNCTION("""COMPUTED_VALUE"""),0)</f>
        <v>0</v>
      </c>
      <c r="H1630" s="7">
        <f ca="1">IFERROR(__xludf.DUMMYFUNCTION("""COMPUTED_VALUE"""),500000)</f>
        <v>500000</v>
      </c>
    </row>
    <row r="1631" spans="1:8" ht="13" x14ac:dyDescent="0.15">
      <c r="A1631" s="5" t="str">
        <f ca="1">IFERROR(__xludf.DUMMYFUNCTION("""COMPUTED_VALUE"""),"38758")</f>
        <v>38758</v>
      </c>
      <c r="B1631" s="51">
        <f ca="1">IFERROR(__xludf.DUMMYFUNCTION("""COMPUTED_VALUE"""),44614)</f>
        <v>44614</v>
      </c>
      <c r="C1631" s="22">
        <f ca="1">IFERROR(__xludf.DUMMYFUNCTION("""COMPUTED_VALUE"""),500000)</f>
        <v>500000</v>
      </c>
      <c r="D1631" s="22">
        <f ca="1">IFERROR(__xludf.DUMMYFUNCTION("""COMPUTED_VALUE"""),0)</f>
        <v>0</v>
      </c>
      <c r="E1631" s="22">
        <f ca="1">IFERROR(__xludf.DUMMYFUNCTION("""COMPUTED_VALUE"""),500000)</f>
        <v>500000</v>
      </c>
      <c r="F1631" s="22">
        <f ca="1">IFERROR(__xludf.DUMMYFUNCTION("""COMPUTED_VALUE"""),500000)</f>
        <v>500000</v>
      </c>
      <c r="G1631" s="22">
        <f ca="1">IFERROR(__xludf.DUMMYFUNCTION("""COMPUTED_VALUE"""),0)</f>
        <v>0</v>
      </c>
      <c r="H1631" s="7">
        <f ca="1">IFERROR(__xludf.DUMMYFUNCTION("""COMPUTED_VALUE"""),500000)</f>
        <v>500000</v>
      </c>
    </row>
    <row r="1632" spans="1:8" ht="13" x14ac:dyDescent="0.15">
      <c r="A1632" s="5" t="str">
        <f ca="1">IFERROR(__xludf.DUMMYFUNCTION("""COMPUTED_VALUE"""),"38758")</f>
        <v>38758</v>
      </c>
      <c r="B1632" s="51">
        <f ca="1">IFERROR(__xludf.DUMMYFUNCTION("""COMPUTED_VALUE"""),44615)</f>
        <v>44615</v>
      </c>
      <c r="C1632" s="22">
        <f ca="1">IFERROR(__xludf.DUMMYFUNCTION("""COMPUTED_VALUE"""),500000)</f>
        <v>500000</v>
      </c>
      <c r="D1632" s="22">
        <f ca="1">IFERROR(__xludf.DUMMYFUNCTION("""COMPUTED_VALUE"""),0)</f>
        <v>0</v>
      </c>
      <c r="E1632" s="22">
        <f ca="1">IFERROR(__xludf.DUMMYFUNCTION("""COMPUTED_VALUE"""),500000)</f>
        <v>500000</v>
      </c>
      <c r="F1632" s="22">
        <f ca="1">IFERROR(__xludf.DUMMYFUNCTION("""COMPUTED_VALUE"""),500000)</f>
        <v>500000</v>
      </c>
      <c r="G1632" s="22">
        <f ca="1">IFERROR(__xludf.DUMMYFUNCTION("""COMPUTED_VALUE"""),0)</f>
        <v>0</v>
      </c>
      <c r="H1632" s="7">
        <f ca="1">IFERROR(__xludf.DUMMYFUNCTION("""COMPUTED_VALUE"""),500000)</f>
        <v>500000</v>
      </c>
    </row>
    <row r="1633" spans="1:8" ht="13" x14ac:dyDescent="0.15">
      <c r="A1633" s="5" t="str">
        <f ca="1">IFERROR(__xludf.DUMMYFUNCTION("""COMPUTED_VALUE"""),"38758")</f>
        <v>38758</v>
      </c>
      <c r="B1633" s="51">
        <f ca="1">IFERROR(__xludf.DUMMYFUNCTION("""COMPUTED_VALUE"""),44616)</f>
        <v>44616</v>
      </c>
      <c r="C1633" s="22">
        <f ca="1">IFERROR(__xludf.DUMMYFUNCTION("""COMPUTED_VALUE"""),500000)</f>
        <v>500000</v>
      </c>
      <c r="D1633" s="22">
        <f ca="1">IFERROR(__xludf.DUMMYFUNCTION("""COMPUTED_VALUE"""),0)</f>
        <v>0</v>
      </c>
      <c r="E1633" s="22">
        <f ca="1">IFERROR(__xludf.DUMMYFUNCTION("""COMPUTED_VALUE"""),500000)</f>
        <v>500000</v>
      </c>
      <c r="F1633" s="22">
        <f ca="1">IFERROR(__xludf.DUMMYFUNCTION("""COMPUTED_VALUE"""),500000)</f>
        <v>500000</v>
      </c>
      <c r="G1633" s="22">
        <f ca="1">IFERROR(__xludf.DUMMYFUNCTION("""COMPUTED_VALUE"""),0)</f>
        <v>0</v>
      </c>
      <c r="H1633" s="7">
        <f ca="1">IFERROR(__xludf.DUMMYFUNCTION("""COMPUTED_VALUE"""),500000)</f>
        <v>500000</v>
      </c>
    </row>
    <row r="1634" spans="1:8" ht="13" x14ac:dyDescent="0.15">
      <c r="A1634" s="5" t="str">
        <f ca="1">IFERROR(__xludf.DUMMYFUNCTION("""COMPUTED_VALUE"""),"38758")</f>
        <v>38758</v>
      </c>
      <c r="B1634" s="51">
        <f ca="1">IFERROR(__xludf.DUMMYFUNCTION("""COMPUTED_VALUE"""),44617)</f>
        <v>44617</v>
      </c>
      <c r="C1634" s="22">
        <f ca="1">IFERROR(__xludf.DUMMYFUNCTION("""COMPUTED_VALUE"""),500000)</f>
        <v>500000</v>
      </c>
      <c r="D1634" s="22">
        <f ca="1">IFERROR(__xludf.DUMMYFUNCTION("""COMPUTED_VALUE"""),0)</f>
        <v>0</v>
      </c>
      <c r="E1634" s="22">
        <f ca="1">IFERROR(__xludf.DUMMYFUNCTION("""COMPUTED_VALUE"""),500000)</f>
        <v>500000</v>
      </c>
      <c r="F1634" s="22">
        <f ca="1">IFERROR(__xludf.DUMMYFUNCTION("""COMPUTED_VALUE"""),500000)</f>
        <v>500000</v>
      </c>
      <c r="G1634" s="22">
        <f ca="1">IFERROR(__xludf.DUMMYFUNCTION("""COMPUTED_VALUE"""),0)</f>
        <v>0</v>
      </c>
      <c r="H1634" s="7">
        <f ca="1">IFERROR(__xludf.DUMMYFUNCTION("""COMPUTED_VALUE"""),500000)</f>
        <v>500000</v>
      </c>
    </row>
    <row r="1635" spans="1:8" ht="13" x14ac:dyDescent="0.15">
      <c r="A1635" s="5" t="str">
        <f ca="1">IFERROR(__xludf.DUMMYFUNCTION("""COMPUTED_VALUE"""),"38758")</f>
        <v>38758</v>
      </c>
      <c r="B1635" s="51">
        <f ca="1">IFERROR(__xludf.DUMMYFUNCTION("""COMPUTED_VALUE"""),44618)</f>
        <v>44618</v>
      </c>
      <c r="C1635" s="22">
        <f ca="1">IFERROR(__xludf.DUMMYFUNCTION("""COMPUTED_VALUE"""),500000)</f>
        <v>500000</v>
      </c>
      <c r="D1635" s="22">
        <f ca="1">IFERROR(__xludf.DUMMYFUNCTION("""COMPUTED_VALUE"""),0)</f>
        <v>0</v>
      </c>
      <c r="E1635" s="22">
        <f ca="1">IFERROR(__xludf.DUMMYFUNCTION("""COMPUTED_VALUE"""),500000)</f>
        <v>500000</v>
      </c>
      <c r="F1635" s="22">
        <f ca="1">IFERROR(__xludf.DUMMYFUNCTION("""COMPUTED_VALUE"""),500000)</f>
        <v>500000</v>
      </c>
      <c r="G1635" s="22">
        <f ca="1">IFERROR(__xludf.DUMMYFUNCTION("""COMPUTED_VALUE"""),0)</f>
        <v>0</v>
      </c>
      <c r="H1635" s="7">
        <f ca="1">IFERROR(__xludf.DUMMYFUNCTION("""COMPUTED_VALUE"""),500000)</f>
        <v>500000</v>
      </c>
    </row>
    <row r="1636" spans="1:8" ht="13" x14ac:dyDescent="0.15">
      <c r="A1636" s="5" t="str">
        <f ca="1">IFERROR(__xludf.DUMMYFUNCTION("""COMPUTED_VALUE"""),"38758")</f>
        <v>38758</v>
      </c>
      <c r="B1636" s="51">
        <f ca="1">IFERROR(__xludf.DUMMYFUNCTION("""COMPUTED_VALUE"""),44619)</f>
        <v>44619</v>
      </c>
      <c r="C1636" s="22">
        <f ca="1">IFERROR(__xludf.DUMMYFUNCTION("""COMPUTED_VALUE"""),500000)</f>
        <v>500000</v>
      </c>
      <c r="D1636" s="22">
        <f ca="1">IFERROR(__xludf.DUMMYFUNCTION("""COMPUTED_VALUE"""),0)</f>
        <v>0</v>
      </c>
      <c r="E1636" s="22">
        <f ca="1">IFERROR(__xludf.DUMMYFUNCTION("""COMPUTED_VALUE"""),500000)</f>
        <v>500000</v>
      </c>
      <c r="F1636" s="22">
        <f ca="1">IFERROR(__xludf.DUMMYFUNCTION("""COMPUTED_VALUE"""),500000)</f>
        <v>500000</v>
      </c>
      <c r="G1636" s="22">
        <f ca="1">IFERROR(__xludf.DUMMYFUNCTION("""COMPUTED_VALUE"""),0)</f>
        <v>0</v>
      </c>
      <c r="H1636" s="7">
        <f ca="1">IFERROR(__xludf.DUMMYFUNCTION("""COMPUTED_VALUE"""),500000)</f>
        <v>500000</v>
      </c>
    </row>
    <row r="1637" spans="1:8" ht="13" x14ac:dyDescent="0.15">
      <c r="A1637" s="5" t="str">
        <f ca="1">IFERROR(__xludf.DUMMYFUNCTION("""COMPUTED_VALUE"""),"38758")</f>
        <v>38758</v>
      </c>
      <c r="B1637" s="51">
        <f ca="1">IFERROR(__xludf.DUMMYFUNCTION("""COMPUTED_VALUE"""),44620)</f>
        <v>44620</v>
      </c>
      <c r="C1637" s="22">
        <f ca="1">IFERROR(__xludf.DUMMYFUNCTION("""COMPUTED_VALUE"""),500000)</f>
        <v>500000</v>
      </c>
      <c r="D1637" s="22">
        <f ca="1">IFERROR(__xludf.DUMMYFUNCTION("""COMPUTED_VALUE"""),0)</f>
        <v>0</v>
      </c>
      <c r="E1637" s="22">
        <f ca="1">IFERROR(__xludf.DUMMYFUNCTION("""COMPUTED_VALUE"""),500000)</f>
        <v>500000</v>
      </c>
      <c r="F1637" s="22">
        <f ca="1">IFERROR(__xludf.DUMMYFUNCTION("""COMPUTED_VALUE"""),500000)</f>
        <v>500000</v>
      </c>
      <c r="G1637" s="22">
        <f ca="1">IFERROR(__xludf.DUMMYFUNCTION("""COMPUTED_VALUE"""),0)</f>
        <v>0</v>
      </c>
      <c r="H1637" s="7">
        <f ca="1">IFERROR(__xludf.DUMMYFUNCTION("""COMPUTED_VALUE"""),500000)</f>
        <v>500000</v>
      </c>
    </row>
    <row r="1638" spans="1:8" ht="13" x14ac:dyDescent="0.15">
      <c r="A1638" s="5" t="str">
        <f ca="1">IFERROR(__xludf.DUMMYFUNCTION("""COMPUTED_VALUE"""),"38758")</f>
        <v>38758</v>
      </c>
      <c r="B1638" s="51">
        <f ca="1">IFERROR(__xludf.DUMMYFUNCTION("""COMPUTED_VALUE"""),44621)</f>
        <v>44621</v>
      </c>
      <c r="C1638" s="22">
        <f ca="1">IFERROR(__xludf.DUMMYFUNCTION("""COMPUTED_VALUE"""),500000)</f>
        <v>500000</v>
      </c>
      <c r="D1638" s="22">
        <f ca="1">IFERROR(__xludf.DUMMYFUNCTION("""COMPUTED_VALUE"""),0)</f>
        <v>0</v>
      </c>
      <c r="E1638" s="22">
        <f ca="1">IFERROR(__xludf.DUMMYFUNCTION("""COMPUTED_VALUE"""),500000)</f>
        <v>500000</v>
      </c>
      <c r="F1638" s="22">
        <f ca="1">IFERROR(__xludf.DUMMYFUNCTION("""COMPUTED_VALUE"""),500000)</f>
        <v>500000</v>
      </c>
      <c r="G1638" s="22">
        <f ca="1">IFERROR(__xludf.DUMMYFUNCTION("""COMPUTED_VALUE"""),0)</f>
        <v>0</v>
      </c>
      <c r="H1638" s="7">
        <f ca="1">IFERROR(__xludf.DUMMYFUNCTION("""COMPUTED_VALUE"""),500000)</f>
        <v>500000</v>
      </c>
    </row>
    <row r="1639" spans="1:8" ht="13" x14ac:dyDescent="0.15">
      <c r="A1639" s="5" t="str">
        <f ca="1">IFERROR(__xludf.DUMMYFUNCTION("""COMPUTED_VALUE"""),"38758")</f>
        <v>38758</v>
      </c>
      <c r="B1639" s="51">
        <f ca="1">IFERROR(__xludf.DUMMYFUNCTION("""COMPUTED_VALUE"""),44622)</f>
        <v>44622</v>
      </c>
      <c r="C1639" s="22">
        <f ca="1">IFERROR(__xludf.DUMMYFUNCTION("""COMPUTED_VALUE"""),500000)</f>
        <v>500000</v>
      </c>
      <c r="D1639" s="22">
        <f ca="1">IFERROR(__xludf.DUMMYFUNCTION("""COMPUTED_VALUE"""),0)</f>
        <v>0</v>
      </c>
      <c r="E1639" s="22">
        <f ca="1">IFERROR(__xludf.DUMMYFUNCTION("""COMPUTED_VALUE"""),500000)</f>
        <v>500000</v>
      </c>
      <c r="F1639" s="22">
        <f ca="1">IFERROR(__xludf.DUMMYFUNCTION("""COMPUTED_VALUE"""),500000)</f>
        <v>500000</v>
      </c>
      <c r="G1639" s="22">
        <f ca="1">IFERROR(__xludf.DUMMYFUNCTION("""COMPUTED_VALUE"""),0)</f>
        <v>0</v>
      </c>
      <c r="H1639" s="7">
        <f ca="1">IFERROR(__xludf.DUMMYFUNCTION("""COMPUTED_VALUE"""),500000)</f>
        <v>500000</v>
      </c>
    </row>
    <row r="1640" spans="1:8" ht="13" x14ac:dyDescent="0.15">
      <c r="A1640" s="5" t="str">
        <f ca="1">IFERROR(__xludf.DUMMYFUNCTION("""COMPUTED_VALUE"""),"38758")</f>
        <v>38758</v>
      </c>
      <c r="B1640" s="51">
        <f ca="1">IFERROR(__xludf.DUMMYFUNCTION("""COMPUTED_VALUE"""),44623)</f>
        <v>44623</v>
      </c>
      <c r="C1640" s="22">
        <f ca="1">IFERROR(__xludf.DUMMYFUNCTION("""COMPUTED_VALUE"""),500000)</f>
        <v>500000</v>
      </c>
      <c r="D1640" s="22">
        <f ca="1">IFERROR(__xludf.DUMMYFUNCTION("""COMPUTED_VALUE"""),0)</f>
        <v>0</v>
      </c>
      <c r="E1640" s="22">
        <f ca="1">IFERROR(__xludf.DUMMYFUNCTION("""COMPUTED_VALUE"""),500000)</f>
        <v>500000</v>
      </c>
      <c r="F1640" s="22">
        <f ca="1">IFERROR(__xludf.DUMMYFUNCTION("""COMPUTED_VALUE"""),500000)</f>
        <v>500000</v>
      </c>
      <c r="G1640" s="22">
        <f ca="1">IFERROR(__xludf.DUMMYFUNCTION("""COMPUTED_VALUE"""),0)</f>
        <v>0</v>
      </c>
      <c r="H1640" s="7">
        <f ca="1">IFERROR(__xludf.DUMMYFUNCTION("""COMPUTED_VALUE"""),500000)</f>
        <v>500000</v>
      </c>
    </row>
    <row r="1641" spans="1:8" ht="13" x14ac:dyDescent="0.15">
      <c r="A1641" s="5" t="str">
        <f ca="1">IFERROR(__xludf.DUMMYFUNCTION("""COMPUTED_VALUE"""),"38758")</f>
        <v>38758</v>
      </c>
      <c r="B1641" s="51">
        <f ca="1">IFERROR(__xludf.DUMMYFUNCTION("""COMPUTED_VALUE"""),44624)</f>
        <v>44624</v>
      </c>
      <c r="C1641" s="22">
        <f ca="1">IFERROR(__xludf.DUMMYFUNCTION("""COMPUTED_VALUE"""),500000)</f>
        <v>500000</v>
      </c>
      <c r="D1641" s="22">
        <f ca="1">IFERROR(__xludf.DUMMYFUNCTION("""COMPUTED_VALUE"""),0)</f>
        <v>0</v>
      </c>
      <c r="E1641" s="22">
        <f ca="1">IFERROR(__xludf.DUMMYFUNCTION("""COMPUTED_VALUE"""),500000)</f>
        <v>500000</v>
      </c>
      <c r="F1641" s="22">
        <f ca="1">IFERROR(__xludf.DUMMYFUNCTION("""COMPUTED_VALUE"""),500000)</f>
        <v>500000</v>
      </c>
      <c r="G1641" s="22">
        <f ca="1">IFERROR(__xludf.DUMMYFUNCTION("""COMPUTED_VALUE"""),0)</f>
        <v>0</v>
      </c>
      <c r="H1641" s="7">
        <f ca="1">IFERROR(__xludf.DUMMYFUNCTION("""COMPUTED_VALUE"""),500000)</f>
        <v>500000</v>
      </c>
    </row>
    <row r="1642" spans="1:8" ht="13" x14ac:dyDescent="0.15">
      <c r="A1642" s="5" t="str">
        <f ca="1">IFERROR(__xludf.DUMMYFUNCTION("""COMPUTED_VALUE"""),"38758")</f>
        <v>38758</v>
      </c>
      <c r="B1642" s="51">
        <f ca="1">IFERROR(__xludf.DUMMYFUNCTION("""COMPUTED_VALUE"""),44625)</f>
        <v>44625</v>
      </c>
      <c r="C1642" s="22">
        <f ca="1">IFERROR(__xludf.DUMMYFUNCTION("""COMPUTED_VALUE"""),500000)</f>
        <v>500000</v>
      </c>
      <c r="D1642" s="22">
        <f ca="1">IFERROR(__xludf.DUMMYFUNCTION("""COMPUTED_VALUE"""),0)</f>
        <v>0</v>
      </c>
      <c r="E1642" s="22">
        <f ca="1">IFERROR(__xludf.DUMMYFUNCTION("""COMPUTED_VALUE"""),500000)</f>
        <v>500000</v>
      </c>
      <c r="F1642" s="22">
        <f ca="1">IFERROR(__xludf.DUMMYFUNCTION("""COMPUTED_VALUE"""),500000)</f>
        <v>500000</v>
      </c>
      <c r="G1642" s="22">
        <f ca="1">IFERROR(__xludf.DUMMYFUNCTION("""COMPUTED_VALUE"""),0)</f>
        <v>0</v>
      </c>
      <c r="H1642" s="7">
        <f ca="1">IFERROR(__xludf.DUMMYFUNCTION("""COMPUTED_VALUE"""),500000)</f>
        <v>500000</v>
      </c>
    </row>
    <row r="1643" spans="1:8" ht="13" x14ac:dyDescent="0.15">
      <c r="A1643" s="5" t="str">
        <f ca="1">IFERROR(__xludf.DUMMYFUNCTION("""COMPUTED_VALUE"""),"38758")</f>
        <v>38758</v>
      </c>
      <c r="B1643" s="51">
        <f ca="1">IFERROR(__xludf.DUMMYFUNCTION("""COMPUTED_VALUE"""),44626)</f>
        <v>44626</v>
      </c>
      <c r="C1643" s="22">
        <f ca="1">IFERROR(__xludf.DUMMYFUNCTION("""COMPUTED_VALUE"""),500000)</f>
        <v>500000</v>
      </c>
      <c r="D1643" s="22">
        <f ca="1">IFERROR(__xludf.DUMMYFUNCTION("""COMPUTED_VALUE"""),0)</f>
        <v>0</v>
      </c>
      <c r="E1643" s="22">
        <f ca="1">IFERROR(__xludf.DUMMYFUNCTION("""COMPUTED_VALUE"""),500000)</f>
        <v>500000</v>
      </c>
      <c r="F1643" s="22">
        <f ca="1">IFERROR(__xludf.DUMMYFUNCTION("""COMPUTED_VALUE"""),500000)</f>
        <v>500000</v>
      </c>
      <c r="G1643" s="22">
        <f ca="1">IFERROR(__xludf.DUMMYFUNCTION("""COMPUTED_VALUE"""),0)</f>
        <v>0</v>
      </c>
      <c r="H1643" s="7">
        <f ca="1">IFERROR(__xludf.DUMMYFUNCTION("""COMPUTED_VALUE"""),500000)</f>
        <v>500000</v>
      </c>
    </row>
    <row r="1644" spans="1:8" ht="13" x14ac:dyDescent="0.15">
      <c r="A1644" s="5" t="str">
        <f ca="1">IFERROR(__xludf.DUMMYFUNCTION("""COMPUTED_VALUE"""),"38758")</f>
        <v>38758</v>
      </c>
      <c r="B1644" s="51">
        <f ca="1">IFERROR(__xludf.DUMMYFUNCTION("""COMPUTED_VALUE"""),44627)</f>
        <v>44627</v>
      </c>
      <c r="C1644" s="22">
        <f ca="1">IFERROR(__xludf.DUMMYFUNCTION("""COMPUTED_VALUE"""),500000)</f>
        <v>500000</v>
      </c>
      <c r="D1644" s="22">
        <f ca="1">IFERROR(__xludf.DUMMYFUNCTION("""COMPUTED_VALUE"""),0)</f>
        <v>0</v>
      </c>
      <c r="E1644" s="22">
        <f ca="1">IFERROR(__xludf.DUMMYFUNCTION("""COMPUTED_VALUE"""),500000)</f>
        <v>500000</v>
      </c>
      <c r="F1644" s="22">
        <f ca="1">IFERROR(__xludf.DUMMYFUNCTION("""COMPUTED_VALUE"""),500000)</f>
        <v>500000</v>
      </c>
      <c r="G1644" s="22">
        <f ca="1">IFERROR(__xludf.DUMMYFUNCTION("""COMPUTED_VALUE"""),0)</f>
        <v>0</v>
      </c>
      <c r="H1644" s="7">
        <f ca="1">IFERROR(__xludf.DUMMYFUNCTION("""COMPUTED_VALUE"""),500000)</f>
        <v>500000</v>
      </c>
    </row>
    <row r="1645" spans="1:8" ht="13" x14ac:dyDescent="0.15">
      <c r="A1645" s="5" t="str">
        <f ca="1">IFERROR(__xludf.DUMMYFUNCTION("""COMPUTED_VALUE"""),"38758")</f>
        <v>38758</v>
      </c>
      <c r="B1645" s="51">
        <f ca="1">IFERROR(__xludf.DUMMYFUNCTION("""COMPUTED_VALUE"""),44628)</f>
        <v>44628</v>
      </c>
      <c r="C1645" s="22">
        <f ca="1">IFERROR(__xludf.DUMMYFUNCTION("""COMPUTED_VALUE"""),500000)</f>
        <v>500000</v>
      </c>
      <c r="D1645" s="22">
        <f ca="1">IFERROR(__xludf.DUMMYFUNCTION("""COMPUTED_VALUE"""),0)</f>
        <v>0</v>
      </c>
      <c r="E1645" s="22">
        <f ca="1">IFERROR(__xludf.DUMMYFUNCTION("""COMPUTED_VALUE"""),500000)</f>
        <v>500000</v>
      </c>
      <c r="F1645" s="22">
        <f ca="1">IFERROR(__xludf.DUMMYFUNCTION("""COMPUTED_VALUE"""),500000)</f>
        <v>500000</v>
      </c>
      <c r="G1645" s="22">
        <f ca="1">IFERROR(__xludf.DUMMYFUNCTION("""COMPUTED_VALUE"""),0)</f>
        <v>0</v>
      </c>
      <c r="H1645" s="7">
        <f ca="1">IFERROR(__xludf.DUMMYFUNCTION("""COMPUTED_VALUE"""),500000)</f>
        <v>500000</v>
      </c>
    </row>
    <row r="1646" spans="1:8" ht="13" x14ac:dyDescent="0.15">
      <c r="A1646" s="5" t="str">
        <f ca="1">IFERROR(__xludf.DUMMYFUNCTION("""COMPUTED_VALUE"""),"38758")</f>
        <v>38758</v>
      </c>
      <c r="B1646" s="51">
        <f ca="1">IFERROR(__xludf.DUMMYFUNCTION("""COMPUTED_VALUE"""),44629)</f>
        <v>44629</v>
      </c>
      <c r="C1646" s="22">
        <f ca="1">IFERROR(__xludf.DUMMYFUNCTION("""COMPUTED_VALUE"""),500000)</f>
        <v>500000</v>
      </c>
      <c r="D1646" s="22">
        <f ca="1">IFERROR(__xludf.DUMMYFUNCTION("""COMPUTED_VALUE"""),0)</f>
        <v>0</v>
      </c>
      <c r="E1646" s="22">
        <f ca="1">IFERROR(__xludf.DUMMYFUNCTION("""COMPUTED_VALUE"""),500000)</f>
        <v>500000</v>
      </c>
      <c r="F1646" s="22">
        <f ca="1">IFERROR(__xludf.DUMMYFUNCTION("""COMPUTED_VALUE"""),500000)</f>
        <v>500000</v>
      </c>
      <c r="G1646" s="22">
        <f ca="1">IFERROR(__xludf.DUMMYFUNCTION("""COMPUTED_VALUE"""),0)</f>
        <v>0</v>
      </c>
      <c r="H1646" s="7">
        <f ca="1">IFERROR(__xludf.DUMMYFUNCTION("""COMPUTED_VALUE"""),500000)</f>
        <v>500000</v>
      </c>
    </row>
    <row r="1647" spans="1:8" ht="13" x14ac:dyDescent="0.15">
      <c r="A1647" s="5" t="str">
        <f ca="1">IFERROR(__xludf.DUMMYFUNCTION("""COMPUTED_VALUE"""),"38758")</f>
        <v>38758</v>
      </c>
      <c r="B1647" s="51">
        <f ca="1">IFERROR(__xludf.DUMMYFUNCTION("""COMPUTED_VALUE"""),44630)</f>
        <v>44630</v>
      </c>
      <c r="C1647" s="22">
        <f ca="1">IFERROR(__xludf.DUMMYFUNCTION("""COMPUTED_VALUE"""),500000)</f>
        <v>500000</v>
      </c>
      <c r="D1647" s="22">
        <f ca="1">IFERROR(__xludf.DUMMYFUNCTION("""COMPUTED_VALUE"""),0)</f>
        <v>0</v>
      </c>
      <c r="E1647" s="22">
        <f ca="1">IFERROR(__xludf.DUMMYFUNCTION("""COMPUTED_VALUE"""),500000)</f>
        <v>500000</v>
      </c>
      <c r="F1647" s="22">
        <f ca="1">IFERROR(__xludf.DUMMYFUNCTION("""COMPUTED_VALUE"""),500000)</f>
        <v>500000</v>
      </c>
      <c r="G1647" s="22">
        <f ca="1">IFERROR(__xludf.DUMMYFUNCTION("""COMPUTED_VALUE"""),0)</f>
        <v>0</v>
      </c>
      <c r="H1647" s="7">
        <f ca="1">IFERROR(__xludf.DUMMYFUNCTION("""COMPUTED_VALUE"""),500000)</f>
        <v>500000</v>
      </c>
    </row>
    <row r="1648" spans="1:8" ht="13" x14ac:dyDescent="0.15">
      <c r="A1648" s="5" t="str">
        <f ca="1">IFERROR(__xludf.DUMMYFUNCTION("""COMPUTED_VALUE"""),"38758")</f>
        <v>38758</v>
      </c>
      <c r="B1648" s="51">
        <f ca="1">IFERROR(__xludf.DUMMYFUNCTION("""COMPUTED_VALUE"""),44631)</f>
        <v>44631</v>
      </c>
      <c r="C1648" s="22">
        <f ca="1">IFERROR(__xludf.DUMMYFUNCTION("""COMPUTED_VALUE"""),500000)</f>
        <v>500000</v>
      </c>
      <c r="D1648" s="22">
        <f ca="1">IFERROR(__xludf.DUMMYFUNCTION("""COMPUTED_VALUE"""),0)</f>
        <v>0</v>
      </c>
      <c r="E1648" s="22">
        <f ca="1">IFERROR(__xludf.DUMMYFUNCTION("""COMPUTED_VALUE"""),500000)</f>
        <v>500000</v>
      </c>
      <c r="F1648" s="22">
        <f ca="1">IFERROR(__xludf.DUMMYFUNCTION("""COMPUTED_VALUE"""),500000)</f>
        <v>500000</v>
      </c>
      <c r="G1648" s="22">
        <f ca="1">IFERROR(__xludf.DUMMYFUNCTION("""COMPUTED_VALUE"""),0)</f>
        <v>0</v>
      </c>
      <c r="H1648" s="7">
        <f ca="1">IFERROR(__xludf.DUMMYFUNCTION("""COMPUTED_VALUE"""),500000)</f>
        <v>500000</v>
      </c>
    </row>
    <row r="1649" spans="1:8" ht="13" x14ac:dyDescent="0.15">
      <c r="A1649" s="5" t="str">
        <f ca="1">IFERROR(__xludf.DUMMYFUNCTION("""COMPUTED_VALUE"""),"38758")</f>
        <v>38758</v>
      </c>
      <c r="B1649" s="51">
        <f ca="1">IFERROR(__xludf.DUMMYFUNCTION("""COMPUTED_VALUE"""),44632)</f>
        <v>44632</v>
      </c>
      <c r="C1649" s="22">
        <f ca="1">IFERROR(__xludf.DUMMYFUNCTION("""COMPUTED_VALUE"""),500000)</f>
        <v>500000</v>
      </c>
      <c r="D1649" s="22">
        <f ca="1">IFERROR(__xludf.DUMMYFUNCTION("""COMPUTED_VALUE"""),0)</f>
        <v>0</v>
      </c>
      <c r="E1649" s="22">
        <f ca="1">IFERROR(__xludf.DUMMYFUNCTION("""COMPUTED_VALUE"""),500000)</f>
        <v>500000</v>
      </c>
      <c r="F1649" s="22">
        <f ca="1">IFERROR(__xludf.DUMMYFUNCTION("""COMPUTED_VALUE"""),500000)</f>
        <v>500000</v>
      </c>
      <c r="G1649" s="22">
        <f ca="1">IFERROR(__xludf.DUMMYFUNCTION("""COMPUTED_VALUE"""),0)</f>
        <v>0</v>
      </c>
      <c r="H1649" s="7">
        <f ca="1">IFERROR(__xludf.DUMMYFUNCTION("""COMPUTED_VALUE"""),500000)</f>
        <v>500000</v>
      </c>
    </row>
    <row r="1650" spans="1:8" ht="13" x14ac:dyDescent="0.15">
      <c r="A1650" s="5" t="str">
        <f ca="1">IFERROR(__xludf.DUMMYFUNCTION("""COMPUTED_VALUE"""),"38758")</f>
        <v>38758</v>
      </c>
      <c r="B1650" s="51">
        <f ca="1">IFERROR(__xludf.DUMMYFUNCTION("""COMPUTED_VALUE"""),44633)</f>
        <v>44633</v>
      </c>
      <c r="C1650" s="22">
        <f ca="1">IFERROR(__xludf.DUMMYFUNCTION("""COMPUTED_VALUE"""),500000)</f>
        <v>500000</v>
      </c>
      <c r="D1650" s="22">
        <f ca="1">IFERROR(__xludf.DUMMYFUNCTION("""COMPUTED_VALUE"""),0)</f>
        <v>0</v>
      </c>
      <c r="E1650" s="22">
        <f ca="1">IFERROR(__xludf.DUMMYFUNCTION("""COMPUTED_VALUE"""),500000)</f>
        <v>500000</v>
      </c>
      <c r="F1650" s="22">
        <f ca="1">IFERROR(__xludf.DUMMYFUNCTION("""COMPUTED_VALUE"""),500000)</f>
        <v>500000</v>
      </c>
      <c r="G1650" s="22">
        <f ca="1">IFERROR(__xludf.DUMMYFUNCTION("""COMPUTED_VALUE"""),0)</f>
        <v>0</v>
      </c>
      <c r="H1650" s="7">
        <f ca="1">IFERROR(__xludf.DUMMYFUNCTION("""COMPUTED_VALUE"""),500000)</f>
        <v>500000</v>
      </c>
    </row>
    <row r="1651" spans="1:8" ht="13" x14ac:dyDescent="0.15">
      <c r="A1651" s="5" t="str">
        <f ca="1">IFERROR(__xludf.DUMMYFUNCTION("""COMPUTED_VALUE"""),"38758")</f>
        <v>38758</v>
      </c>
      <c r="B1651" s="51">
        <f ca="1">IFERROR(__xludf.DUMMYFUNCTION("""COMPUTED_VALUE"""),44634)</f>
        <v>44634</v>
      </c>
      <c r="C1651" s="22">
        <f ca="1">IFERROR(__xludf.DUMMYFUNCTION("""COMPUTED_VALUE"""),500000)</f>
        <v>500000</v>
      </c>
      <c r="D1651" s="22">
        <f ca="1">IFERROR(__xludf.DUMMYFUNCTION("""COMPUTED_VALUE"""),0)</f>
        <v>0</v>
      </c>
      <c r="E1651" s="22">
        <f ca="1">IFERROR(__xludf.DUMMYFUNCTION("""COMPUTED_VALUE"""),500000)</f>
        <v>500000</v>
      </c>
      <c r="F1651" s="22">
        <f ca="1">IFERROR(__xludf.DUMMYFUNCTION("""COMPUTED_VALUE"""),500000)</f>
        <v>500000</v>
      </c>
      <c r="G1651" s="22">
        <f ca="1">IFERROR(__xludf.DUMMYFUNCTION("""COMPUTED_VALUE"""),0)</f>
        <v>0</v>
      </c>
      <c r="H1651" s="7">
        <f ca="1">IFERROR(__xludf.DUMMYFUNCTION("""COMPUTED_VALUE"""),500000)</f>
        <v>500000</v>
      </c>
    </row>
    <row r="1652" spans="1:8" ht="13" x14ac:dyDescent="0.15">
      <c r="A1652" s="5" t="str">
        <f ca="1">IFERROR(__xludf.DUMMYFUNCTION("""COMPUTED_VALUE"""),"38758")</f>
        <v>38758</v>
      </c>
      <c r="B1652" s="51">
        <f ca="1">IFERROR(__xludf.DUMMYFUNCTION("""COMPUTED_VALUE"""),44635)</f>
        <v>44635</v>
      </c>
      <c r="C1652" s="22">
        <f ca="1">IFERROR(__xludf.DUMMYFUNCTION("""COMPUTED_VALUE"""),500000)</f>
        <v>500000</v>
      </c>
      <c r="D1652" s="22">
        <f ca="1">IFERROR(__xludf.DUMMYFUNCTION("""COMPUTED_VALUE"""),0)</f>
        <v>0</v>
      </c>
      <c r="E1652" s="22">
        <f ca="1">IFERROR(__xludf.DUMMYFUNCTION("""COMPUTED_VALUE"""),500000)</f>
        <v>500000</v>
      </c>
      <c r="F1652" s="22">
        <f ca="1">IFERROR(__xludf.DUMMYFUNCTION("""COMPUTED_VALUE"""),500000)</f>
        <v>500000</v>
      </c>
      <c r="G1652" s="22">
        <f ca="1">IFERROR(__xludf.DUMMYFUNCTION("""COMPUTED_VALUE"""),0)</f>
        <v>0</v>
      </c>
      <c r="H1652" s="7">
        <f ca="1">IFERROR(__xludf.DUMMYFUNCTION("""COMPUTED_VALUE"""),500000)</f>
        <v>500000</v>
      </c>
    </row>
    <row r="1653" spans="1:8" ht="13" x14ac:dyDescent="0.15">
      <c r="A1653" s="5" t="str">
        <f ca="1">IFERROR(__xludf.DUMMYFUNCTION("""COMPUTED_VALUE"""),"38758")</f>
        <v>38758</v>
      </c>
      <c r="B1653" s="51">
        <f ca="1">IFERROR(__xludf.DUMMYFUNCTION("""COMPUTED_VALUE"""),44636)</f>
        <v>44636</v>
      </c>
      <c r="C1653" s="22">
        <f ca="1">IFERROR(__xludf.DUMMYFUNCTION("""COMPUTED_VALUE"""),500000)</f>
        <v>500000</v>
      </c>
      <c r="D1653" s="22">
        <f ca="1">IFERROR(__xludf.DUMMYFUNCTION("""COMPUTED_VALUE"""),0)</f>
        <v>0</v>
      </c>
      <c r="E1653" s="22">
        <f ca="1">IFERROR(__xludf.DUMMYFUNCTION("""COMPUTED_VALUE"""),500000)</f>
        <v>500000</v>
      </c>
      <c r="F1653" s="22">
        <f ca="1">IFERROR(__xludf.DUMMYFUNCTION("""COMPUTED_VALUE"""),500000)</f>
        <v>500000</v>
      </c>
      <c r="G1653" s="22">
        <f ca="1">IFERROR(__xludf.DUMMYFUNCTION("""COMPUTED_VALUE"""),0)</f>
        <v>0</v>
      </c>
      <c r="H1653" s="7">
        <f ca="1">IFERROR(__xludf.DUMMYFUNCTION("""COMPUTED_VALUE"""),500000)</f>
        <v>500000</v>
      </c>
    </row>
    <row r="1654" spans="1:8" ht="13" x14ac:dyDescent="0.15">
      <c r="A1654" s="5" t="str">
        <f ca="1">IFERROR(__xludf.DUMMYFUNCTION("""COMPUTED_VALUE"""),"38758")</f>
        <v>38758</v>
      </c>
      <c r="B1654" s="51">
        <f ca="1">IFERROR(__xludf.DUMMYFUNCTION("""COMPUTED_VALUE"""),44637)</f>
        <v>44637</v>
      </c>
      <c r="C1654" s="22">
        <f ca="1">IFERROR(__xludf.DUMMYFUNCTION("""COMPUTED_VALUE"""),500000)</f>
        <v>500000</v>
      </c>
      <c r="D1654" s="22">
        <f ca="1">IFERROR(__xludf.DUMMYFUNCTION("""COMPUTED_VALUE"""),0)</f>
        <v>0</v>
      </c>
      <c r="E1654" s="22">
        <f ca="1">IFERROR(__xludf.DUMMYFUNCTION("""COMPUTED_VALUE"""),500000)</f>
        <v>500000</v>
      </c>
      <c r="F1654" s="22">
        <f ca="1">IFERROR(__xludf.DUMMYFUNCTION("""COMPUTED_VALUE"""),500000)</f>
        <v>500000</v>
      </c>
      <c r="G1654" s="22">
        <f ca="1">IFERROR(__xludf.DUMMYFUNCTION("""COMPUTED_VALUE"""),0)</f>
        <v>0</v>
      </c>
      <c r="H1654" s="7">
        <f ca="1">IFERROR(__xludf.DUMMYFUNCTION("""COMPUTED_VALUE"""),500000)</f>
        <v>500000</v>
      </c>
    </row>
    <row r="1655" spans="1:8" ht="13" x14ac:dyDescent="0.15">
      <c r="A1655" s="5" t="str">
        <f ca="1">IFERROR(__xludf.DUMMYFUNCTION("""COMPUTED_VALUE"""),"38758")</f>
        <v>38758</v>
      </c>
      <c r="B1655" s="51">
        <f ca="1">IFERROR(__xludf.DUMMYFUNCTION("""COMPUTED_VALUE"""),44638)</f>
        <v>44638</v>
      </c>
      <c r="C1655" s="22">
        <f ca="1">IFERROR(__xludf.DUMMYFUNCTION("""COMPUTED_VALUE"""),500000)</f>
        <v>500000</v>
      </c>
      <c r="D1655" s="22">
        <f ca="1">IFERROR(__xludf.DUMMYFUNCTION("""COMPUTED_VALUE"""),0)</f>
        <v>0</v>
      </c>
      <c r="E1655" s="22">
        <f ca="1">IFERROR(__xludf.DUMMYFUNCTION("""COMPUTED_VALUE"""),500000)</f>
        <v>500000</v>
      </c>
      <c r="F1655" s="22">
        <f ca="1">IFERROR(__xludf.DUMMYFUNCTION("""COMPUTED_VALUE"""),500000)</f>
        <v>500000</v>
      </c>
      <c r="G1655" s="22">
        <f ca="1">IFERROR(__xludf.DUMMYFUNCTION("""COMPUTED_VALUE"""),0)</f>
        <v>0</v>
      </c>
      <c r="H1655" s="7">
        <f ca="1">IFERROR(__xludf.DUMMYFUNCTION("""COMPUTED_VALUE"""),500000)</f>
        <v>500000</v>
      </c>
    </row>
    <row r="1656" spans="1:8" ht="13" x14ac:dyDescent="0.15">
      <c r="A1656" s="5" t="str">
        <f ca="1">IFERROR(__xludf.DUMMYFUNCTION("""COMPUTED_VALUE"""),"38758")</f>
        <v>38758</v>
      </c>
      <c r="B1656" s="51">
        <f ca="1">IFERROR(__xludf.DUMMYFUNCTION("""COMPUTED_VALUE"""),44639)</f>
        <v>44639</v>
      </c>
      <c r="C1656" s="22">
        <f ca="1">IFERROR(__xludf.DUMMYFUNCTION("""COMPUTED_VALUE"""),500000)</f>
        <v>500000</v>
      </c>
      <c r="D1656" s="22">
        <f ca="1">IFERROR(__xludf.DUMMYFUNCTION("""COMPUTED_VALUE"""),0)</f>
        <v>0</v>
      </c>
      <c r="E1656" s="22">
        <f ca="1">IFERROR(__xludf.DUMMYFUNCTION("""COMPUTED_VALUE"""),500000)</f>
        <v>500000</v>
      </c>
      <c r="F1656" s="22">
        <f ca="1">IFERROR(__xludf.DUMMYFUNCTION("""COMPUTED_VALUE"""),500000)</f>
        <v>500000</v>
      </c>
      <c r="G1656" s="22">
        <f ca="1">IFERROR(__xludf.DUMMYFUNCTION("""COMPUTED_VALUE"""),0)</f>
        <v>0</v>
      </c>
      <c r="H1656" s="7">
        <f ca="1">IFERROR(__xludf.DUMMYFUNCTION("""COMPUTED_VALUE"""),500000)</f>
        <v>500000</v>
      </c>
    </row>
    <row r="1657" spans="1:8" ht="13" x14ac:dyDescent="0.15">
      <c r="A1657" s="5" t="str">
        <f ca="1">IFERROR(__xludf.DUMMYFUNCTION("""COMPUTED_VALUE"""),"38758")</f>
        <v>38758</v>
      </c>
      <c r="B1657" s="51">
        <f ca="1">IFERROR(__xludf.DUMMYFUNCTION("""COMPUTED_VALUE"""),44640)</f>
        <v>44640</v>
      </c>
      <c r="C1657" s="22">
        <f ca="1">IFERROR(__xludf.DUMMYFUNCTION("""COMPUTED_VALUE"""),500000)</f>
        <v>500000</v>
      </c>
      <c r="D1657" s="22">
        <f ca="1">IFERROR(__xludf.DUMMYFUNCTION("""COMPUTED_VALUE"""),0)</f>
        <v>0</v>
      </c>
      <c r="E1657" s="22">
        <f ca="1">IFERROR(__xludf.DUMMYFUNCTION("""COMPUTED_VALUE"""),500000)</f>
        <v>500000</v>
      </c>
      <c r="F1657" s="22">
        <f ca="1">IFERROR(__xludf.DUMMYFUNCTION("""COMPUTED_VALUE"""),500000)</f>
        <v>500000</v>
      </c>
      <c r="G1657" s="22">
        <f ca="1">IFERROR(__xludf.DUMMYFUNCTION("""COMPUTED_VALUE"""),0)</f>
        <v>0</v>
      </c>
      <c r="H1657" s="7">
        <f ca="1">IFERROR(__xludf.DUMMYFUNCTION("""COMPUTED_VALUE"""),500000)</f>
        <v>500000</v>
      </c>
    </row>
    <row r="1658" spans="1:8" ht="13" x14ac:dyDescent="0.15">
      <c r="A1658" s="5" t="str">
        <f ca="1">IFERROR(__xludf.DUMMYFUNCTION("""COMPUTED_VALUE"""),"38758")</f>
        <v>38758</v>
      </c>
      <c r="B1658" s="51">
        <f ca="1">IFERROR(__xludf.DUMMYFUNCTION("""COMPUTED_VALUE"""),44641)</f>
        <v>44641</v>
      </c>
      <c r="C1658" s="22">
        <f ca="1">IFERROR(__xludf.DUMMYFUNCTION("""COMPUTED_VALUE"""),500000)</f>
        <v>500000</v>
      </c>
      <c r="D1658" s="22">
        <f ca="1">IFERROR(__xludf.DUMMYFUNCTION("""COMPUTED_VALUE"""),0)</f>
        <v>0</v>
      </c>
      <c r="E1658" s="22">
        <f ca="1">IFERROR(__xludf.DUMMYFUNCTION("""COMPUTED_VALUE"""),500000)</f>
        <v>500000</v>
      </c>
      <c r="F1658" s="22">
        <f ca="1">IFERROR(__xludf.DUMMYFUNCTION("""COMPUTED_VALUE"""),500000)</f>
        <v>500000</v>
      </c>
      <c r="G1658" s="22">
        <f ca="1">IFERROR(__xludf.DUMMYFUNCTION("""COMPUTED_VALUE"""),0)</f>
        <v>0</v>
      </c>
      <c r="H1658" s="7">
        <f ca="1">IFERROR(__xludf.DUMMYFUNCTION("""COMPUTED_VALUE"""),500000)</f>
        <v>500000</v>
      </c>
    </row>
    <row r="1659" spans="1:8" ht="13" x14ac:dyDescent="0.15">
      <c r="A1659" s="5" t="str">
        <f ca="1">IFERROR(__xludf.DUMMYFUNCTION("""COMPUTED_VALUE"""),"38758")</f>
        <v>38758</v>
      </c>
      <c r="B1659" s="51">
        <f ca="1">IFERROR(__xludf.DUMMYFUNCTION("""COMPUTED_VALUE"""),44642)</f>
        <v>44642</v>
      </c>
      <c r="C1659" s="22">
        <f ca="1">IFERROR(__xludf.DUMMYFUNCTION("""COMPUTED_VALUE"""),539015.2576)</f>
        <v>539015.25760000001</v>
      </c>
      <c r="D1659" s="22">
        <f ca="1">IFERROR(__xludf.DUMMYFUNCTION("""COMPUTED_VALUE"""),-39015.2576)</f>
        <v>-39015.257599999997</v>
      </c>
      <c r="E1659" s="22">
        <f ca="1">IFERROR(__xludf.DUMMYFUNCTION("""COMPUTED_VALUE"""),500000)</f>
        <v>500000</v>
      </c>
      <c r="F1659" s="22">
        <f ca="1">IFERROR(__xludf.DUMMYFUNCTION("""COMPUTED_VALUE"""),460984.7424)</f>
        <v>460984.74239999999</v>
      </c>
      <c r="G1659" s="22">
        <f ca="1">IFERROR(__xludf.DUMMYFUNCTION("""COMPUTED_VALUE"""),0)</f>
        <v>0</v>
      </c>
      <c r="H1659" s="7">
        <f ca="1">IFERROR(__xludf.DUMMYFUNCTION("""COMPUTED_VALUE"""),500000)</f>
        <v>500000</v>
      </c>
    </row>
    <row r="1660" spans="1:8" ht="13" x14ac:dyDescent="0.15">
      <c r="A1660" s="5" t="str">
        <f ca="1">IFERROR(__xludf.DUMMYFUNCTION("""COMPUTED_VALUE"""),"39011")</f>
        <v>39011</v>
      </c>
      <c r="B1660" s="51">
        <f ca="1">IFERROR(__xludf.DUMMYFUNCTION("""COMPUTED_VALUE"""),44597)</f>
        <v>44597</v>
      </c>
      <c r="C1660" s="22">
        <f ca="1">IFERROR(__xludf.DUMMYFUNCTION("""COMPUTED_VALUE"""),500000)</f>
        <v>500000</v>
      </c>
      <c r="D1660" s="22">
        <f ca="1">IFERROR(__xludf.DUMMYFUNCTION("""COMPUTED_VALUE"""),0)</f>
        <v>0</v>
      </c>
      <c r="E1660" s="22">
        <f ca="1">IFERROR(__xludf.DUMMYFUNCTION("""COMPUTED_VALUE"""),500000)</f>
        <v>500000</v>
      </c>
      <c r="F1660" s="22">
        <f ca="1">IFERROR(__xludf.DUMMYFUNCTION("""COMPUTED_VALUE"""),500000)</f>
        <v>500000</v>
      </c>
      <c r="G1660" s="22">
        <f ca="1">IFERROR(__xludf.DUMMYFUNCTION("""COMPUTED_VALUE"""),0)</f>
        <v>0</v>
      </c>
      <c r="H1660" s="7">
        <f ca="1">IFERROR(__xludf.DUMMYFUNCTION("""COMPUTED_VALUE"""),500000)</f>
        <v>500000</v>
      </c>
    </row>
    <row r="1661" spans="1:8" ht="13" x14ac:dyDescent="0.15">
      <c r="A1661" s="5" t="str">
        <f ca="1">IFERROR(__xludf.DUMMYFUNCTION("""COMPUTED_VALUE"""),"39011")</f>
        <v>39011</v>
      </c>
      <c r="B1661" s="51">
        <f ca="1">IFERROR(__xludf.DUMMYFUNCTION("""COMPUTED_VALUE"""),44598)</f>
        <v>44598</v>
      </c>
      <c r="C1661" s="22">
        <f ca="1">IFERROR(__xludf.DUMMYFUNCTION("""COMPUTED_VALUE"""),500000)</f>
        <v>500000</v>
      </c>
      <c r="D1661" s="22">
        <f ca="1">IFERROR(__xludf.DUMMYFUNCTION("""COMPUTED_VALUE"""),0)</f>
        <v>0</v>
      </c>
      <c r="E1661" s="22">
        <f ca="1">IFERROR(__xludf.DUMMYFUNCTION("""COMPUTED_VALUE"""),500000)</f>
        <v>500000</v>
      </c>
      <c r="F1661" s="22">
        <f ca="1">IFERROR(__xludf.DUMMYFUNCTION("""COMPUTED_VALUE"""),500000)</f>
        <v>500000</v>
      </c>
      <c r="G1661" s="22">
        <f ca="1">IFERROR(__xludf.DUMMYFUNCTION("""COMPUTED_VALUE"""),0)</f>
        <v>0</v>
      </c>
      <c r="H1661" s="7">
        <f ca="1">IFERROR(__xludf.DUMMYFUNCTION("""COMPUTED_VALUE"""),500000)</f>
        <v>500000</v>
      </c>
    </row>
    <row r="1662" spans="1:8" ht="13" x14ac:dyDescent="0.15">
      <c r="A1662" s="5" t="str">
        <f ca="1">IFERROR(__xludf.DUMMYFUNCTION("""COMPUTED_VALUE"""),"39011")</f>
        <v>39011</v>
      </c>
      <c r="B1662" s="51">
        <f ca="1">IFERROR(__xludf.DUMMYFUNCTION("""COMPUTED_VALUE"""),44599)</f>
        <v>44599</v>
      </c>
      <c r="C1662" s="22">
        <f ca="1">IFERROR(__xludf.DUMMYFUNCTION("""COMPUTED_VALUE"""),500000)</f>
        <v>500000</v>
      </c>
      <c r="D1662" s="22">
        <f ca="1">IFERROR(__xludf.DUMMYFUNCTION("""COMPUTED_VALUE"""),0)</f>
        <v>0</v>
      </c>
      <c r="E1662" s="22">
        <f ca="1">IFERROR(__xludf.DUMMYFUNCTION("""COMPUTED_VALUE"""),500000)</f>
        <v>500000</v>
      </c>
      <c r="F1662" s="22">
        <f ca="1">IFERROR(__xludf.DUMMYFUNCTION("""COMPUTED_VALUE"""),500000)</f>
        <v>500000</v>
      </c>
      <c r="G1662" s="22">
        <f ca="1">IFERROR(__xludf.DUMMYFUNCTION("""COMPUTED_VALUE"""),0)</f>
        <v>0</v>
      </c>
      <c r="H1662" s="7">
        <f ca="1">IFERROR(__xludf.DUMMYFUNCTION("""COMPUTED_VALUE"""),500000)</f>
        <v>500000</v>
      </c>
    </row>
    <row r="1663" spans="1:8" ht="13" x14ac:dyDescent="0.15">
      <c r="A1663" s="5" t="str">
        <f ca="1">IFERROR(__xludf.DUMMYFUNCTION("""COMPUTED_VALUE"""),"39011")</f>
        <v>39011</v>
      </c>
      <c r="B1663" s="51">
        <f ca="1">IFERROR(__xludf.DUMMYFUNCTION("""COMPUTED_VALUE"""),44600)</f>
        <v>44600</v>
      </c>
      <c r="C1663" s="22">
        <f ca="1">IFERROR(__xludf.DUMMYFUNCTION("""COMPUTED_VALUE"""),500000)</f>
        <v>500000</v>
      </c>
      <c r="D1663" s="22">
        <f ca="1">IFERROR(__xludf.DUMMYFUNCTION("""COMPUTED_VALUE"""),0)</f>
        <v>0</v>
      </c>
      <c r="E1663" s="22">
        <f ca="1">IFERROR(__xludf.DUMMYFUNCTION("""COMPUTED_VALUE"""),500000)</f>
        <v>500000</v>
      </c>
      <c r="F1663" s="22">
        <f ca="1">IFERROR(__xludf.DUMMYFUNCTION("""COMPUTED_VALUE"""),500000)</f>
        <v>500000</v>
      </c>
      <c r="G1663" s="22">
        <f ca="1">IFERROR(__xludf.DUMMYFUNCTION("""COMPUTED_VALUE"""),0)</f>
        <v>0</v>
      </c>
      <c r="H1663" s="7">
        <f ca="1">IFERROR(__xludf.DUMMYFUNCTION("""COMPUTED_VALUE"""),500000)</f>
        <v>500000</v>
      </c>
    </row>
    <row r="1664" spans="1:8" ht="13" x14ac:dyDescent="0.15">
      <c r="A1664" s="5" t="str">
        <f ca="1">IFERROR(__xludf.DUMMYFUNCTION("""COMPUTED_VALUE"""),"39011")</f>
        <v>39011</v>
      </c>
      <c r="B1664" s="51">
        <f ca="1">IFERROR(__xludf.DUMMYFUNCTION("""COMPUTED_VALUE"""),44601)</f>
        <v>44601</v>
      </c>
      <c r="C1664" s="22">
        <f ca="1">IFERROR(__xludf.DUMMYFUNCTION("""COMPUTED_VALUE"""),500000)</f>
        <v>500000</v>
      </c>
      <c r="D1664" s="22">
        <f ca="1">IFERROR(__xludf.DUMMYFUNCTION("""COMPUTED_VALUE"""),0)</f>
        <v>0</v>
      </c>
      <c r="E1664" s="22">
        <f ca="1">IFERROR(__xludf.DUMMYFUNCTION("""COMPUTED_VALUE"""),500000)</f>
        <v>500000</v>
      </c>
      <c r="F1664" s="22">
        <f ca="1">IFERROR(__xludf.DUMMYFUNCTION("""COMPUTED_VALUE"""),500000)</f>
        <v>500000</v>
      </c>
      <c r="G1664" s="22">
        <f ca="1">IFERROR(__xludf.DUMMYFUNCTION("""COMPUTED_VALUE"""),0)</f>
        <v>0</v>
      </c>
      <c r="H1664" s="7">
        <f ca="1">IFERROR(__xludf.DUMMYFUNCTION("""COMPUTED_VALUE"""),500000)</f>
        <v>500000</v>
      </c>
    </row>
    <row r="1665" spans="1:8" ht="13" x14ac:dyDescent="0.15">
      <c r="A1665" s="5" t="str">
        <f ca="1">IFERROR(__xludf.DUMMYFUNCTION("""COMPUTED_VALUE"""),"39011")</f>
        <v>39011</v>
      </c>
      <c r="B1665" s="51">
        <f ca="1">IFERROR(__xludf.DUMMYFUNCTION("""COMPUTED_VALUE"""),44602)</f>
        <v>44602</v>
      </c>
      <c r="C1665" s="22">
        <f ca="1">IFERROR(__xludf.DUMMYFUNCTION("""COMPUTED_VALUE"""),500000)</f>
        <v>500000</v>
      </c>
      <c r="D1665" s="22">
        <f ca="1">IFERROR(__xludf.DUMMYFUNCTION("""COMPUTED_VALUE"""),0)</f>
        <v>0</v>
      </c>
      <c r="E1665" s="22">
        <f ca="1">IFERROR(__xludf.DUMMYFUNCTION("""COMPUTED_VALUE"""),500000)</f>
        <v>500000</v>
      </c>
      <c r="F1665" s="22">
        <f ca="1">IFERROR(__xludf.DUMMYFUNCTION("""COMPUTED_VALUE"""),500000)</f>
        <v>500000</v>
      </c>
      <c r="G1665" s="22">
        <f ca="1">IFERROR(__xludf.DUMMYFUNCTION("""COMPUTED_VALUE"""),0)</f>
        <v>0</v>
      </c>
      <c r="H1665" s="7">
        <f ca="1">IFERROR(__xludf.DUMMYFUNCTION("""COMPUTED_VALUE"""),500000)</f>
        <v>500000</v>
      </c>
    </row>
    <row r="1666" spans="1:8" ht="13" x14ac:dyDescent="0.15">
      <c r="A1666" s="5" t="str">
        <f ca="1">IFERROR(__xludf.DUMMYFUNCTION("""COMPUTED_VALUE"""),"39011")</f>
        <v>39011</v>
      </c>
      <c r="B1666" s="51">
        <f ca="1">IFERROR(__xludf.DUMMYFUNCTION("""COMPUTED_VALUE"""),44603)</f>
        <v>44603</v>
      </c>
      <c r="C1666" s="22">
        <f ca="1">IFERROR(__xludf.DUMMYFUNCTION("""COMPUTED_VALUE"""),500000)</f>
        <v>500000</v>
      </c>
      <c r="D1666" s="22">
        <f ca="1">IFERROR(__xludf.DUMMYFUNCTION("""COMPUTED_VALUE"""),0)</f>
        <v>0</v>
      </c>
      <c r="E1666" s="22">
        <f ca="1">IFERROR(__xludf.DUMMYFUNCTION("""COMPUTED_VALUE"""),500000)</f>
        <v>500000</v>
      </c>
      <c r="F1666" s="22">
        <f ca="1">IFERROR(__xludf.DUMMYFUNCTION("""COMPUTED_VALUE"""),500000)</f>
        <v>500000</v>
      </c>
      <c r="G1666" s="22">
        <f ca="1">IFERROR(__xludf.DUMMYFUNCTION("""COMPUTED_VALUE"""),0)</f>
        <v>0</v>
      </c>
      <c r="H1666" s="7">
        <f ca="1">IFERROR(__xludf.DUMMYFUNCTION("""COMPUTED_VALUE"""),500000)</f>
        <v>500000</v>
      </c>
    </row>
    <row r="1667" spans="1:8" ht="13" x14ac:dyDescent="0.15">
      <c r="A1667" s="5" t="str">
        <f ca="1">IFERROR(__xludf.DUMMYFUNCTION("""COMPUTED_VALUE"""),"39011")</f>
        <v>39011</v>
      </c>
      <c r="B1667" s="51">
        <f ca="1">IFERROR(__xludf.DUMMYFUNCTION("""COMPUTED_VALUE"""),44604)</f>
        <v>44604</v>
      </c>
      <c r="C1667" s="22">
        <f ca="1">IFERROR(__xludf.DUMMYFUNCTION("""COMPUTED_VALUE"""),500000)</f>
        <v>500000</v>
      </c>
      <c r="D1667" s="22">
        <f ca="1">IFERROR(__xludf.DUMMYFUNCTION("""COMPUTED_VALUE"""),0)</f>
        <v>0</v>
      </c>
      <c r="E1667" s="22">
        <f ca="1">IFERROR(__xludf.DUMMYFUNCTION("""COMPUTED_VALUE"""),500000)</f>
        <v>500000</v>
      </c>
      <c r="F1667" s="22">
        <f ca="1">IFERROR(__xludf.DUMMYFUNCTION("""COMPUTED_VALUE"""),500000)</f>
        <v>500000</v>
      </c>
      <c r="G1667" s="22">
        <f ca="1">IFERROR(__xludf.DUMMYFUNCTION("""COMPUTED_VALUE"""),0)</f>
        <v>0</v>
      </c>
      <c r="H1667" s="7">
        <f ca="1">IFERROR(__xludf.DUMMYFUNCTION("""COMPUTED_VALUE"""),500000)</f>
        <v>500000</v>
      </c>
    </row>
    <row r="1668" spans="1:8" ht="13" x14ac:dyDescent="0.15">
      <c r="A1668" s="5" t="str">
        <f ca="1">IFERROR(__xludf.DUMMYFUNCTION("""COMPUTED_VALUE"""),"39011")</f>
        <v>39011</v>
      </c>
      <c r="B1668" s="51">
        <f ca="1">IFERROR(__xludf.DUMMYFUNCTION("""COMPUTED_VALUE"""),44605)</f>
        <v>44605</v>
      </c>
      <c r="C1668" s="22">
        <f ca="1">IFERROR(__xludf.DUMMYFUNCTION("""COMPUTED_VALUE"""),500000)</f>
        <v>500000</v>
      </c>
      <c r="D1668" s="22">
        <f ca="1">IFERROR(__xludf.DUMMYFUNCTION("""COMPUTED_VALUE"""),0)</f>
        <v>0</v>
      </c>
      <c r="E1668" s="22">
        <f ca="1">IFERROR(__xludf.DUMMYFUNCTION("""COMPUTED_VALUE"""),500000)</f>
        <v>500000</v>
      </c>
      <c r="F1668" s="22">
        <f ca="1">IFERROR(__xludf.DUMMYFUNCTION("""COMPUTED_VALUE"""),500000)</f>
        <v>500000</v>
      </c>
      <c r="G1668" s="22">
        <f ca="1">IFERROR(__xludf.DUMMYFUNCTION("""COMPUTED_VALUE"""),0)</f>
        <v>0</v>
      </c>
      <c r="H1668" s="7">
        <f ca="1">IFERROR(__xludf.DUMMYFUNCTION("""COMPUTED_VALUE"""),500000)</f>
        <v>500000</v>
      </c>
    </row>
    <row r="1669" spans="1:8" ht="13" x14ac:dyDescent="0.15">
      <c r="A1669" s="5" t="str">
        <f ca="1">IFERROR(__xludf.DUMMYFUNCTION("""COMPUTED_VALUE"""),"39011")</f>
        <v>39011</v>
      </c>
      <c r="B1669" s="51">
        <f ca="1">IFERROR(__xludf.DUMMYFUNCTION("""COMPUTED_VALUE"""),44606)</f>
        <v>44606</v>
      </c>
      <c r="C1669" s="22">
        <f ca="1">IFERROR(__xludf.DUMMYFUNCTION("""COMPUTED_VALUE"""),500000)</f>
        <v>500000</v>
      </c>
      <c r="D1669" s="22">
        <f ca="1">IFERROR(__xludf.DUMMYFUNCTION("""COMPUTED_VALUE"""),0)</f>
        <v>0</v>
      </c>
      <c r="E1669" s="22">
        <f ca="1">IFERROR(__xludf.DUMMYFUNCTION("""COMPUTED_VALUE"""),500000)</f>
        <v>500000</v>
      </c>
      <c r="F1669" s="22">
        <f ca="1">IFERROR(__xludf.DUMMYFUNCTION("""COMPUTED_VALUE"""),500000)</f>
        <v>500000</v>
      </c>
      <c r="G1669" s="22">
        <f ca="1">IFERROR(__xludf.DUMMYFUNCTION("""COMPUTED_VALUE"""),0)</f>
        <v>0</v>
      </c>
      <c r="H1669" s="7">
        <f ca="1">IFERROR(__xludf.DUMMYFUNCTION("""COMPUTED_VALUE"""),500000)</f>
        <v>500000</v>
      </c>
    </row>
    <row r="1670" spans="1:8" ht="13" x14ac:dyDescent="0.15">
      <c r="A1670" s="5" t="str">
        <f ca="1">IFERROR(__xludf.DUMMYFUNCTION("""COMPUTED_VALUE"""),"39011")</f>
        <v>39011</v>
      </c>
      <c r="B1670" s="51">
        <f ca="1">IFERROR(__xludf.DUMMYFUNCTION("""COMPUTED_VALUE"""),44607)</f>
        <v>44607</v>
      </c>
      <c r="C1670" s="22">
        <f ca="1">IFERROR(__xludf.DUMMYFUNCTION("""COMPUTED_VALUE"""),500000)</f>
        <v>500000</v>
      </c>
      <c r="D1670" s="22">
        <f ca="1">IFERROR(__xludf.DUMMYFUNCTION("""COMPUTED_VALUE"""),0)</f>
        <v>0</v>
      </c>
      <c r="E1670" s="22">
        <f ca="1">IFERROR(__xludf.DUMMYFUNCTION("""COMPUTED_VALUE"""),500000)</f>
        <v>500000</v>
      </c>
      <c r="F1670" s="22">
        <f ca="1">IFERROR(__xludf.DUMMYFUNCTION("""COMPUTED_VALUE"""),500000)</f>
        <v>500000</v>
      </c>
      <c r="G1670" s="22">
        <f ca="1">IFERROR(__xludf.DUMMYFUNCTION("""COMPUTED_VALUE"""),0)</f>
        <v>0</v>
      </c>
      <c r="H1670" s="7">
        <f ca="1">IFERROR(__xludf.DUMMYFUNCTION("""COMPUTED_VALUE"""),500000)</f>
        <v>500000</v>
      </c>
    </row>
    <row r="1671" spans="1:8" ht="13" x14ac:dyDescent="0.15">
      <c r="A1671" s="5" t="str">
        <f ca="1">IFERROR(__xludf.DUMMYFUNCTION("""COMPUTED_VALUE"""),"39011")</f>
        <v>39011</v>
      </c>
      <c r="B1671" s="51">
        <f ca="1">IFERROR(__xludf.DUMMYFUNCTION("""COMPUTED_VALUE"""),44608)</f>
        <v>44608</v>
      </c>
      <c r="C1671" s="22">
        <f ca="1">IFERROR(__xludf.DUMMYFUNCTION("""COMPUTED_VALUE"""),500000)</f>
        <v>500000</v>
      </c>
      <c r="D1671" s="22">
        <f ca="1">IFERROR(__xludf.DUMMYFUNCTION("""COMPUTED_VALUE"""),0)</f>
        <v>0</v>
      </c>
      <c r="E1671" s="22">
        <f ca="1">IFERROR(__xludf.DUMMYFUNCTION("""COMPUTED_VALUE"""),500000)</f>
        <v>500000</v>
      </c>
      <c r="F1671" s="22">
        <f ca="1">IFERROR(__xludf.DUMMYFUNCTION("""COMPUTED_VALUE"""),500000)</f>
        <v>500000</v>
      </c>
      <c r="G1671" s="22">
        <f ca="1">IFERROR(__xludf.DUMMYFUNCTION("""COMPUTED_VALUE"""),0)</f>
        <v>0</v>
      </c>
      <c r="H1671" s="7">
        <f ca="1">IFERROR(__xludf.DUMMYFUNCTION("""COMPUTED_VALUE"""),500000)</f>
        <v>500000</v>
      </c>
    </row>
    <row r="1672" spans="1:8" ht="13" x14ac:dyDescent="0.15">
      <c r="A1672" s="5" t="str">
        <f ca="1">IFERROR(__xludf.DUMMYFUNCTION("""COMPUTED_VALUE"""),"39011")</f>
        <v>39011</v>
      </c>
      <c r="B1672" s="51">
        <f ca="1">IFERROR(__xludf.DUMMYFUNCTION("""COMPUTED_VALUE"""),44609)</f>
        <v>44609</v>
      </c>
      <c r="C1672" s="22">
        <f ca="1">IFERROR(__xludf.DUMMYFUNCTION("""COMPUTED_VALUE"""),500000)</f>
        <v>500000</v>
      </c>
      <c r="D1672" s="22">
        <f ca="1">IFERROR(__xludf.DUMMYFUNCTION("""COMPUTED_VALUE"""),0)</f>
        <v>0</v>
      </c>
      <c r="E1672" s="22">
        <f ca="1">IFERROR(__xludf.DUMMYFUNCTION("""COMPUTED_VALUE"""),500000)</f>
        <v>500000</v>
      </c>
      <c r="F1672" s="22">
        <f ca="1">IFERROR(__xludf.DUMMYFUNCTION("""COMPUTED_VALUE"""),500000)</f>
        <v>500000</v>
      </c>
      <c r="G1672" s="22">
        <f ca="1">IFERROR(__xludf.DUMMYFUNCTION("""COMPUTED_VALUE"""),0)</f>
        <v>0</v>
      </c>
      <c r="H1672" s="7">
        <f ca="1">IFERROR(__xludf.DUMMYFUNCTION("""COMPUTED_VALUE"""),500000)</f>
        <v>500000</v>
      </c>
    </row>
    <row r="1673" spans="1:8" ht="13" x14ac:dyDescent="0.15">
      <c r="A1673" s="5" t="str">
        <f ca="1">IFERROR(__xludf.DUMMYFUNCTION("""COMPUTED_VALUE"""),"39011")</f>
        <v>39011</v>
      </c>
      <c r="B1673" s="51">
        <f ca="1">IFERROR(__xludf.DUMMYFUNCTION("""COMPUTED_VALUE"""),44610)</f>
        <v>44610</v>
      </c>
      <c r="C1673" s="22">
        <f ca="1">IFERROR(__xludf.DUMMYFUNCTION("""COMPUTED_VALUE"""),500000)</f>
        <v>500000</v>
      </c>
      <c r="D1673" s="22">
        <f ca="1">IFERROR(__xludf.DUMMYFUNCTION("""COMPUTED_VALUE"""),0)</f>
        <v>0</v>
      </c>
      <c r="E1673" s="22">
        <f ca="1">IFERROR(__xludf.DUMMYFUNCTION("""COMPUTED_VALUE"""),500000)</f>
        <v>500000</v>
      </c>
      <c r="F1673" s="22">
        <f ca="1">IFERROR(__xludf.DUMMYFUNCTION("""COMPUTED_VALUE"""),500000)</f>
        <v>500000</v>
      </c>
      <c r="G1673" s="22">
        <f ca="1">IFERROR(__xludf.DUMMYFUNCTION("""COMPUTED_VALUE"""),0)</f>
        <v>0</v>
      </c>
      <c r="H1673" s="7">
        <f ca="1">IFERROR(__xludf.DUMMYFUNCTION("""COMPUTED_VALUE"""),500000)</f>
        <v>500000</v>
      </c>
    </row>
    <row r="1674" spans="1:8" ht="13" x14ac:dyDescent="0.15">
      <c r="A1674" s="5" t="str">
        <f ca="1">IFERROR(__xludf.DUMMYFUNCTION("""COMPUTED_VALUE"""),"39011")</f>
        <v>39011</v>
      </c>
      <c r="B1674" s="51">
        <f ca="1">IFERROR(__xludf.DUMMYFUNCTION("""COMPUTED_VALUE"""),44611)</f>
        <v>44611</v>
      </c>
      <c r="C1674" s="22">
        <f ca="1">IFERROR(__xludf.DUMMYFUNCTION("""COMPUTED_VALUE"""),500000)</f>
        <v>500000</v>
      </c>
      <c r="D1674" s="22">
        <f ca="1">IFERROR(__xludf.DUMMYFUNCTION("""COMPUTED_VALUE"""),0)</f>
        <v>0</v>
      </c>
      <c r="E1674" s="22">
        <f ca="1">IFERROR(__xludf.DUMMYFUNCTION("""COMPUTED_VALUE"""),500000)</f>
        <v>500000</v>
      </c>
      <c r="F1674" s="22">
        <f ca="1">IFERROR(__xludf.DUMMYFUNCTION("""COMPUTED_VALUE"""),500000)</f>
        <v>500000</v>
      </c>
      <c r="G1674" s="22">
        <f ca="1">IFERROR(__xludf.DUMMYFUNCTION("""COMPUTED_VALUE"""),0)</f>
        <v>0</v>
      </c>
      <c r="H1674" s="7">
        <f ca="1">IFERROR(__xludf.DUMMYFUNCTION("""COMPUTED_VALUE"""),500000)</f>
        <v>500000</v>
      </c>
    </row>
    <row r="1675" spans="1:8" ht="13" x14ac:dyDescent="0.15">
      <c r="A1675" s="5" t="str">
        <f ca="1">IFERROR(__xludf.DUMMYFUNCTION("""COMPUTED_VALUE"""),"39011")</f>
        <v>39011</v>
      </c>
      <c r="B1675" s="51">
        <f ca="1">IFERROR(__xludf.DUMMYFUNCTION("""COMPUTED_VALUE"""),44612)</f>
        <v>44612</v>
      </c>
      <c r="C1675" s="22">
        <f ca="1">IFERROR(__xludf.DUMMYFUNCTION("""COMPUTED_VALUE"""),500000)</f>
        <v>500000</v>
      </c>
      <c r="D1675" s="22">
        <f ca="1">IFERROR(__xludf.DUMMYFUNCTION("""COMPUTED_VALUE"""),0)</f>
        <v>0</v>
      </c>
      <c r="E1675" s="22">
        <f ca="1">IFERROR(__xludf.DUMMYFUNCTION("""COMPUTED_VALUE"""),500000)</f>
        <v>500000</v>
      </c>
      <c r="F1675" s="22">
        <f ca="1">IFERROR(__xludf.DUMMYFUNCTION("""COMPUTED_VALUE"""),500000)</f>
        <v>500000</v>
      </c>
      <c r="G1675" s="22">
        <f ca="1">IFERROR(__xludf.DUMMYFUNCTION("""COMPUTED_VALUE"""),0)</f>
        <v>0</v>
      </c>
      <c r="H1675" s="7">
        <f ca="1">IFERROR(__xludf.DUMMYFUNCTION("""COMPUTED_VALUE"""),500000)</f>
        <v>500000</v>
      </c>
    </row>
    <row r="1676" spans="1:8" ht="13" x14ac:dyDescent="0.15">
      <c r="A1676" s="5" t="str">
        <f ca="1">IFERROR(__xludf.DUMMYFUNCTION("""COMPUTED_VALUE"""),"39011")</f>
        <v>39011</v>
      </c>
      <c r="B1676" s="51">
        <f ca="1">IFERROR(__xludf.DUMMYFUNCTION("""COMPUTED_VALUE"""),44613)</f>
        <v>44613</v>
      </c>
      <c r="C1676" s="22">
        <f ca="1">IFERROR(__xludf.DUMMYFUNCTION("""COMPUTED_VALUE"""),500000)</f>
        <v>500000</v>
      </c>
      <c r="D1676" s="22">
        <f ca="1">IFERROR(__xludf.DUMMYFUNCTION("""COMPUTED_VALUE"""),0)</f>
        <v>0</v>
      </c>
      <c r="E1676" s="22">
        <f ca="1">IFERROR(__xludf.DUMMYFUNCTION("""COMPUTED_VALUE"""),500000)</f>
        <v>500000</v>
      </c>
      <c r="F1676" s="22">
        <f ca="1">IFERROR(__xludf.DUMMYFUNCTION("""COMPUTED_VALUE"""),500000)</f>
        <v>500000</v>
      </c>
      <c r="G1676" s="22">
        <f ca="1">IFERROR(__xludf.DUMMYFUNCTION("""COMPUTED_VALUE"""),0)</f>
        <v>0</v>
      </c>
      <c r="H1676" s="7">
        <f ca="1">IFERROR(__xludf.DUMMYFUNCTION("""COMPUTED_VALUE"""),500000)</f>
        <v>500000</v>
      </c>
    </row>
    <row r="1677" spans="1:8" ht="13" x14ac:dyDescent="0.15">
      <c r="A1677" s="5" t="str">
        <f ca="1">IFERROR(__xludf.DUMMYFUNCTION("""COMPUTED_VALUE"""),"39011")</f>
        <v>39011</v>
      </c>
      <c r="B1677" s="51">
        <f ca="1">IFERROR(__xludf.DUMMYFUNCTION("""COMPUTED_VALUE"""),44614)</f>
        <v>44614</v>
      </c>
      <c r="C1677" s="22">
        <f ca="1">IFERROR(__xludf.DUMMYFUNCTION("""COMPUTED_VALUE"""),500000)</f>
        <v>500000</v>
      </c>
      <c r="D1677" s="22">
        <f ca="1">IFERROR(__xludf.DUMMYFUNCTION("""COMPUTED_VALUE"""),0)</f>
        <v>0</v>
      </c>
      <c r="E1677" s="22">
        <f ca="1">IFERROR(__xludf.DUMMYFUNCTION("""COMPUTED_VALUE"""),500000)</f>
        <v>500000</v>
      </c>
      <c r="F1677" s="22">
        <f ca="1">IFERROR(__xludf.DUMMYFUNCTION("""COMPUTED_VALUE"""),500000)</f>
        <v>500000</v>
      </c>
      <c r="G1677" s="22">
        <f ca="1">IFERROR(__xludf.DUMMYFUNCTION("""COMPUTED_VALUE"""),0)</f>
        <v>0</v>
      </c>
      <c r="H1677" s="7">
        <f ca="1">IFERROR(__xludf.DUMMYFUNCTION("""COMPUTED_VALUE"""),500000)</f>
        <v>500000</v>
      </c>
    </row>
    <row r="1678" spans="1:8" ht="13" x14ac:dyDescent="0.15">
      <c r="A1678" s="5" t="str">
        <f ca="1">IFERROR(__xludf.DUMMYFUNCTION("""COMPUTED_VALUE"""),"39011")</f>
        <v>39011</v>
      </c>
      <c r="B1678" s="51">
        <f ca="1">IFERROR(__xludf.DUMMYFUNCTION("""COMPUTED_VALUE"""),44615)</f>
        <v>44615</v>
      </c>
      <c r="C1678" s="22">
        <f ca="1">IFERROR(__xludf.DUMMYFUNCTION("""COMPUTED_VALUE"""),500000)</f>
        <v>500000</v>
      </c>
      <c r="D1678" s="22">
        <f ca="1">IFERROR(__xludf.DUMMYFUNCTION("""COMPUTED_VALUE"""),0)</f>
        <v>0</v>
      </c>
      <c r="E1678" s="22">
        <f ca="1">IFERROR(__xludf.DUMMYFUNCTION("""COMPUTED_VALUE"""),500000)</f>
        <v>500000</v>
      </c>
      <c r="F1678" s="22">
        <f ca="1">IFERROR(__xludf.DUMMYFUNCTION("""COMPUTED_VALUE"""),500000)</f>
        <v>500000</v>
      </c>
      <c r="G1678" s="22">
        <f ca="1">IFERROR(__xludf.DUMMYFUNCTION("""COMPUTED_VALUE"""),0)</f>
        <v>0</v>
      </c>
      <c r="H1678" s="7">
        <f ca="1">IFERROR(__xludf.DUMMYFUNCTION("""COMPUTED_VALUE"""),500000)</f>
        <v>500000</v>
      </c>
    </row>
    <row r="1679" spans="1:8" ht="13" x14ac:dyDescent="0.15">
      <c r="A1679" s="5" t="str">
        <f ca="1">IFERROR(__xludf.DUMMYFUNCTION("""COMPUTED_VALUE"""),"39011")</f>
        <v>39011</v>
      </c>
      <c r="B1679" s="51">
        <f ca="1">IFERROR(__xludf.DUMMYFUNCTION("""COMPUTED_VALUE"""),44616)</f>
        <v>44616</v>
      </c>
      <c r="C1679" s="22">
        <f ca="1">IFERROR(__xludf.DUMMYFUNCTION("""COMPUTED_VALUE"""),500000)</f>
        <v>500000</v>
      </c>
      <c r="D1679" s="22">
        <f ca="1">IFERROR(__xludf.DUMMYFUNCTION("""COMPUTED_VALUE"""),0)</f>
        <v>0</v>
      </c>
      <c r="E1679" s="22">
        <f ca="1">IFERROR(__xludf.DUMMYFUNCTION("""COMPUTED_VALUE"""),500000)</f>
        <v>500000</v>
      </c>
      <c r="F1679" s="22">
        <f ca="1">IFERROR(__xludf.DUMMYFUNCTION("""COMPUTED_VALUE"""),500000)</f>
        <v>500000</v>
      </c>
      <c r="G1679" s="22">
        <f ca="1">IFERROR(__xludf.DUMMYFUNCTION("""COMPUTED_VALUE"""),0)</f>
        <v>0</v>
      </c>
      <c r="H1679" s="7">
        <f ca="1">IFERROR(__xludf.DUMMYFUNCTION("""COMPUTED_VALUE"""),500000)</f>
        <v>500000</v>
      </c>
    </row>
    <row r="1680" spans="1:8" ht="13" x14ac:dyDescent="0.15">
      <c r="A1680" s="5" t="str">
        <f ca="1">IFERROR(__xludf.DUMMYFUNCTION("""COMPUTED_VALUE"""),"39011")</f>
        <v>39011</v>
      </c>
      <c r="B1680" s="51">
        <f ca="1">IFERROR(__xludf.DUMMYFUNCTION("""COMPUTED_VALUE"""),44617)</f>
        <v>44617</v>
      </c>
      <c r="C1680" s="22">
        <f ca="1">IFERROR(__xludf.DUMMYFUNCTION("""COMPUTED_VALUE"""),500000)</f>
        <v>500000</v>
      </c>
      <c r="D1680" s="22">
        <f ca="1">IFERROR(__xludf.DUMMYFUNCTION("""COMPUTED_VALUE"""),0)</f>
        <v>0</v>
      </c>
      <c r="E1680" s="22">
        <f ca="1">IFERROR(__xludf.DUMMYFUNCTION("""COMPUTED_VALUE"""),500000)</f>
        <v>500000</v>
      </c>
      <c r="F1680" s="22">
        <f ca="1">IFERROR(__xludf.DUMMYFUNCTION("""COMPUTED_VALUE"""),500000)</f>
        <v>500000</v>
      </c>
      <c r="G1680" s="22">
        <f ca="1">IFERROR(__xludf.DUMMYFUNCTION("""COMPUTED_VALUE"""),0)</f>
        <v>0</v>
      </c>
      <c r="H1680" s="7">
        <f ca="1">IFERROR(__xludf.DUMMYFUNCTION("""COMPUTED_VALUE"""),500000)</f>
        <v>500000</v>
      </c>
    </row>
    <row r="1681" spans="1:8" ht="13" x14ac:dyDescent="0.15">
      <c r="A1681" s="5" t="str">
        <f ca="1">IFERROR(__xludf.DUMMYFUNCTION("""COMPUTED_VALUE"""),"39011")</f>
        <v>39011</v>
      </c>
      <c r="B1681" s="51">
        <f ca="1">IFERROR(__xludf.DUMMYFUNCTION("""COMPUTED_VALUE"""),44618)</f>
        <v>44618</v>
      </c>
      <c r="C1681" s="22">
        <f ca="1">IFERROR(__xludf.DUMMYFUNCTION("""COMPUTED_VALUE"""),500000)</f>
        <v>500000</v>
      </c>
      <c r="D1681" s="22">
        <f ca="1">IFERROR(__xludf.DUMMYFUNCTION("""COMPUTED_VALUE"""),0)</f>
        <v>0</v>
      </c>
      <c r="E1681" s="22">
        <f ca="1">IFERROR(__xludf.DUMMYFUNCTION("""COMPUTED_VALUE"""),500000)</f>
        <v>500000</v>
      </c>
      <c r="F1681" s="22">
        <f ca="1">IFERROR(__xludf.DUMMYFUNCTION("""COMPUTED_VALUE"""),500000)</f>
        <v>500000</v>
      </c>
      <c r="G1681" s="22">
        <f ca="1">IFERROR(__xludf.DUMMYFUNCTION("""COMPUTED_VALUE"""),0)</f>
        <v>0</v>
      </c>
      <c r="H1681" s="7">
        <f ca="1">IFERROR(__xludf.DUMMYFUNCTION("""COMPUTED_VALUE"""),500000)</f>
        <v>500000</v>
      </c>
    </row>
    <row r="1682" spans="1:8" ht="13" x14ac:dyDescent="0.15">
      <c r="A1682" s="5" t="str">
        <f ca="1">IFERROR(__xludf.DUMMYFUNCTION("""COMPUTED_VALUE"""),"39011")</f>
        <v>39011</v>
      </c>
      <c r="B1682" s="51">
        <f ca="1">IFERROR(__xludf.DUMMYFUNCTION("""COMPUTED_VALUE"""),44619)</f>
        <v>44619</v>
      </c>
      <c r="C1682" s="22">
        <f ca="1">IFERROR(__xludf.DUMMYFUNCTION("""COMPUTED_VALUE"""),500000)</f>
        <v>500000</v>
      </c>
      <c r="D1682" s="22">
        <f ca="1">IFERROR(__xludf.DUMMYFUNCTION("""COMPUTED_VALUE"""),0)</f>
        <v>0</v>
      </c>
      <c r="E1682" s="22">
        <f ca="1">IFERROR(__xludf.DUMMYFUNCTION("""COMPUTED_VALUE"""),500000)</f>
        <v>500000</v>
      </c>
      <c r="F1682" s="22">
        <f ca="1">IFERROR(__xludf.DUMMYFUNCTION("""COMPUTED_VALUE"""),500000)</f>
        <v>500000</v>
      </c>
      <c r="G1682" s="22">
        <f ca="1">IFERROR(__xludf.DUMMYFUNCTION("""COMPUTED_VALUE"""),0)</f>
        <v>0</v>
      </c>
      <c r="H1682" s="7">
        <f ca="1">IFERROR(__xludf.DUMMYFUNCTION("""COMPUTED_VALUE"""),500000)</f>
        <v>500000</v>
      </c>
    </row>
    <row r="1683" spans="1:8" ht="13" x14ac:dyDescent="0.15">
      <c r="A1683" s="5" t="str">
        <f ca="1">IFERROR(__xludf.DUMMYFUNCTION("""COMPUTED_VALUE"""),"39011")</f>
        <v>39011</v>
      </c>
      <c r="B1683" s="51">
        <f ca="1">IFERROR(__xludf.DUMMYFUNCTION("""COMPUTED_VALUE"""),44620)</f>
        <v>44620</v>
      </c>
      <c r="C1683" s="22">
        <f ca="1">IFERROR(__xludf.DUMMYFUNCTION("""COMPUTED_VALUE"""),500000)</f>
        <v>500000</v>
      </c>
      <c r="D1683" s="22">
        <f ca="1">IFERROR(__xludf.DUMMYFUNCTION("""COMPUTED_VALUE"""),0)</f>
        <v>0</v>
      </c>
      <c r="E1683" s="22">
        <f ca="1">IFERROR(__xludf.DUMMYFUNCTION("""COMPUTED_VALUE"""),500000)</f>
        <v>500000</v>
      </c>
      <c r="F1683" s="22">
        <f ca="1">IFERROR(__xludf.DUMMYFUNCTION("""COMPUTED_VALUE"""),500000)</f>
        <v>500000</v>
      </c>
      <c r="G1683" s="22">
        <f ca="1">IFERROR(__xludf.DUMMYFUNCTION("""COMPUTED_VALUE"""),0)</f>
        <v>0</v>
      </c>
      <c r="H1683" s="7">
        <f ca="1">IFERROR(__xludf.DUMMYFUNCTION("""COMPUTED_VALUE"""),500000)</f>
        <v>500000</v>
      </c>
    </row>
    <row r="1684" spans="1:8" ht="13" x14ac:dyDescent="0.15">
      <c r="A1684" s="5" t="str">
        <f ca="1">IFERROR(__xludf.DUMMYFUNCTION("""COMPUTED_VALUE"""),"39011")</f>
        <v>39011</v>
      </c>
      <c r="B1684" s="51">
        <f ca="1">IFERROR(__xludf.DUMMYFUNCTION("""COMPUTED_VALUE"""),44621)</f>
        <v>44621</v>
      </c>
      <c r="C1684" s="22">
        <f ca="1">IFERROR(__xludf.DUMMYFUNCTION("""COMPUTED_VALUE"""),500000)</f>
        <v>500000</v>
      </c>
      <c r="D1684" s="22">
        <f ca="1">IFERROR(__xludf.DUMMYFUNCTION("""COMPUTED_VALUE"""),0)</f>
        <v>0</v>
      </c>
      <c r="E1684" s="22">
        <f ca="1">IFERROR(__xludf.DUMMYFUNCTION("""COMPUTED_VALUE"""),500000)</f>
        <v>500000</v>
      </c>
      <c r="F1684" s="22">
        <f ca="1">IFERROR(__xludf.DUMMYFUNCTION("""COMPUTED_VALUE"""),500000)</f>
        <v>500000</v>
      </c>
      <c r="G1684" s="22">
        <f ca="1">IFERROR(__xludf.DUMMYFUNCTION("""COMPUTED_VALUE"""),0)</f>
        <v>0</v>
      </c>
      <c r="H1684" s="7">
        <f ca="1">IFERROR(__xludf.DUMMYFUNCTION("""COMPUTED_VALUE"""),500000)</f>
        <v>500000</v>
      </c>
    </row>
    <row r="1685" spans="1:8" ht="13" x14ac:dyDescent="0.15">
      <c r="A1685" s="5" t="str">
        <f ca="1">IFERROR(__xludf.DUMMYFUNCTION("""COMPUTED_VALUE"""),"39011")</f>
        <v>39011</v>
      </c>
      <c r="B1685" s="51">
        <f ca="1">IFERROR(__xludf.DUMMYFUNCTION("""COMPUTED_VALUE"""),44622)</f>
        <v>44622</v>
      </c>
      <c r="C1685" s="22">
        <f ca="1">IFERROR(__xludf.DUMMYFUNCTION("""COMPUTED_VALUE"""),500000)</f>
        <v>500000</v>
      </c>
      <c r="D1685" s="22">
        <f ca="1">IFERROR(__xludf.DUMMYFUNCTION("""COMPUTED_VALUE"""),0)</f>
        <v>0</v>
      </c>
      <c r="E1685" s="22">
        <f ca="1">IFERROR(__xludf.DUMMYFUNCTION("""COMPUTED_VALUE"""),500000)</f>
        <v>500000</v>
      </c>
      <c r="F1685" s="22">
        <f ca="1">IFERROR(__xludf.DUMMYFUNCTION("""COMPUTED_VALUE"""),500000)</f>
        <v>500000</v>
      </c>
      <c r="G1685" s="22">
        <f ca="1">IFERROR(__xludf.DUMMYFUNCTION("""COMPUTED_VALUE"""),0)</f>
        <v>0</v>
      </c>
      <c r="H1685" s="7">
        <f ca="1">IFERROR(__xludf.DUMMYFUNCTION("""COMPUTED_VALUE"""),500000)</f>
        <v>500000</v>
      </c>
    </row>
    <row r="1686" spans="1:8" ht="13" x14ac:dyDescent="0.15">
      <c r="A1686" s="5" t="str">
        <f ca="1">IFERROR(__xludf.DUMMYFUNCTION("""COMPUTED_VALUE"""),"39011")</f>
        <v>39011</v>
      </c>
      <c r="B1686" s="51">
        <f ca="1">IFERROR(__xludf.DUMMYFUNCTION("""COMPUTED_VALUE"""),44623)</f>
        <v>44623</v>
      </c>
      <c r="C1686" s="22">
        <f ca="1">IFERROR(__xludf.DUMMYFUNCTION("""COMPUTED_VALUE"""),500000)</f>
        <v>500000</v>
      </c>
      <c r="D1686" s="22">
        <f ca="1">IFERROR(__xludf.DUMMYFUNCTION("""COMPUTED_VALUE"""),0)</f>
        <v>0</v>
      </c>
      <c r="E1686" s="22">
        <f ca="1">IFERROR(__xludf.DUMMYFUNCTION("""COMPUTED_VALUE"""),500000)</f>
        <v>500000</v>
      </c>
      <c r="F1686" s="22">
        <f ca="1">IFERROR(__xludf.DUMMYFUNCTION("""COMPUTED_VALUE"""),500000)</f>
        <v>500000</v>
      </c>
      <c r="G1686" s="22">
        <f ca="1">IFERROR(__xludf.DUMMYFUNCTION("""COMPUTED_VALUE"""),0)</f>
        <v>0</v>
      </c>
      <c r="H1686" s="7">
        <f ca="1">IFERROR(__xludf.DUMMYFUNCTION("""COMPUTED_VALUE"""),500000)</f>
        <v>500000</v>
      </c>
    </row>
    <row r="1687" spans="1:8" ht="13" x14ac:dyDescent="0.15">
      <c r="A1687" s="5" t="str">
        <f ca="1">IFERROR(__xludf.DUMMYFUNCTION("""COMPUTED_VALUE"""),"39011")</f>
        <v>39011</v>
      </c>
      <c r="B1687" s="51">
        <f ca="1">IFERROR(__xludf.DUMMYFUNCTION("""COMPUTED_VALUE"""),44624)</f>
        <v>44624</v>
      </c>
      <c r="C1687" s="22">
        <f ca="1">IFERROR(__xludf.DUMMYFUNCTION("""COMPUTED_VALUE"""),500000)</f>
        <v>500000</v>
      </c>
      <c r="D1687" s="22">
        <f ca="1">IFERROR(__xludf.DUMMYFUNCTION("""COMPUTED_VALUE"""),0)</f>
        <v>0</v>
      </c>
      <c r="E1687" s="22">
        <f ca="1">IFERROR(__xludf.DUMMYFUNCTION("""COMPUTED_VALUE"""),500000)</f>
        <v>500000</v>
      </c>
      <c r="F1687" s="22">
        <f ca="1">IFERROR(__xludf.DUMMYFUNCTION("""COMPUTED_VALUE"""),500000)</f>
        <v>500000</v>
      </c>
      <c r="G1687" s="22">
        <f ca="1">IFERROR(__xludf.DUMMYFUNCTION("""COMPUTED_VALUE"""),0)</f>
        <v>0</v>
      </c>
      <c r="H1687" s="7">
        <f ca="1">IFERROR(__xludf.DUMMYFUNCTION("""COMPUTED_VALUE"""),500000)</f>
        <v>500000</v>
      </c>
    </row>
    <row r="1688" spans="1:8" ht="13" x14ac:dyDescent="0.15">
      <c r="A1688" s="5" t="str">
        <f ca="1">IFERROR(__xludf.DUMMYFUNCTION("""COMPUTED_VALUE"""),"39011")</f>
        <v>39011</v>
      </c>
      <c r="B1688" s="51">
        <f ca="1">IFERROR(__xludf.DUMMYFUNCTION("""COMPUTED_VALUE"""),44625)</f>
        <v>44625</v>
      </c>
      <c r="C1688" s="22">
        <f ca="1">IFERROR(__xludf.DUMMYFUNCTION("""COMPUTED_VALUE"""),500000)</f>
        <v>500000</v>
      </c>
      <c r="D1688" s="22">
        <f ca="1">IFERROR(__xludf.DUMMYFUNCTION("""COMPUTED_VALUE"""),0)</f>
        <v>0</v>
      </c>
      <c r="E1688" s="22">
        <f ca="1">IFERROR(__xludf.DUMMYFUNCTION("""COMPUTED_VALUE"""),500000)</f>
        <v>500000</v>
      </c>
      <c r="F1688" s="22">
        <f ca="1">IFERROR(__xludf.DUMMYFUNCTION("""COMPUTED_VALUE"""),500000)</f>
        <v>500000</v>
      </c>
      <c r="G1688" s="22">
        <f ca="1">IFERROR(__xludf.DUMMYFUNCTION("""COMPUTED_VALUE"""),0)</f>
        <v>0</v>
      </c>
      <c r="H1688" s="7">
        <f ca="1">IFERROR(__xludf.DUMMYFUNCTION("""COMPUTED_VALUE"""),500000)</f>
        <v>500000</v>
      </c>
    </row>
    <row r="1689" spans="1:8" ht="13" x14ac:dyDescent="0.15">
      <c r="A1689" s="5" t="str">
        <f ca="1">IFERROR(__xludf.DUMMYFUNCTION("""COMPUTED_VALUE"""),"39011")</f>
        <v>39011</v>
      </c>
      <c r="B1689" s="51">
        <f ca="1">IFERROR(__xludf.DUMMYFUNCTION("""COMPUTED_VALUE"""),44626)</f>
        <v>44626</v>
      </c>
      <c r="C1689" s="22">
        <f ca="1">IFERROR(__xludf.DUMMYFUNCTION("""COMPUTED_VALUE"""),500000)</f>
        <v>500000</v>
      </c>
      <c r="D1689" s="22">
        <f ca="1">IFERROR(__xludf.DUMMYFUNCTION("""COMPUTED_VALUE"""),0)</f>
        <v>0</v>
      </c>
      <c r="E1689" s="22">
        <f ca="1">IFERROR(__xludf.DUMMYFUNCTION("""COMPUTED_VALUE"""),500000)</f>
        <v>500000</v>
      </c>
      <c r="F1689" s="22">
        <f ca="1">IFERROR(__xludf.DUMMYFUNCTION("""COMPUTED_VALUE"""),500000)</f>
        <v>500000</v>
      </c>
      <c r="G1689" s="22">
        <f ca="1">IFERROR(__xludf.DUMMYFUNCTION("""COMPUTED_VALUE"""),0)</f>
        <v>0</v>
      </c>
      <c r="H1689" s="7">
        <f ca="1">IFERROR(__xludf.DUMMYFUNCTION("""COMPUTED_VALUE"""),500000)</f>
        <v>500000</v>
      </c>
    </row>
    <row r="1690" spans="1:8" ht="13" x14ac:dyDescent="0.15">
      <c r="A1690" s="5" t="str">
        <f ca="1">IFERROR(__xludf.DUMMYFUNCTION("""COMPUTED_VALUE"""),"39011")</f>
        <v>39011</v>
      </c>
      <c r="B1690" s="51">
        <f ca="1">IFERROR(__xludf.DUMMYFUNCTION("""COMPUTED_VALUE"""),44627)</f>
        <v>44627</v>
      </c>
      <c r="C1690" s="22">
        <f ca="1">IFERROR(__xludf.DUMMYFUNCTION("""COMPUTED_VALUE"""),500000)</f>
        <v>500000</v>
      </c>
      <c r="D1690" s="22">
        <f ca="1">IFERROR(__xludf.DUMMYFUNCTION("""COMPUTED_VALUE"""),0)</f>
        <v>0</v>
      </c>
      <c r="E1690" s="22">
        <f ca="1">IFERROR(__xludf.DUMMYFUNCTION("""COMPUTED_VALUE"""),500000)</f>
        <v>500000</v>
      </c>
      <c r="F1690" s="22">
        <f ca="1">IFERROR(__xludf.DUMMYFUNCTION("""COMPUTED_VALUE"""),500000)</f>
        <v>500000</v>
      </c>
      <c r="G1690" s="22">
        <f ca="1">IFERROR(__xludf.DUMMYFUNCTION("""COMPUTED_VALUE"""),0)</f>
        <v>0</v>
      </c>
      <c r="H1690" s="7">
        <f ca="1">IFERROR(__xludf.DUMMYFUNCTION("""COMPUTED_VALUE"""),500000)</f>
        <v>500000</v>
      </c>
    </row>
    <row r="1691" spans="1:8" ht="13" x14ac:dyDescent="0.15">
      <c r="A1691" s="5" t="str">
        <f ca="1">IFERROR(__xludf.DUMMYFUNCTION("""COMPUTED_VALUE"""),"39011")</f>
        <v>39011</v>
      </c>
      <c r="B1691" s="51">
        <f ca="1">IFERROR(__xludf.DUMMYFUNCTION("""COMPUTED_VALUE"""),44628)</f>
        <v>44628</v>
      </c>
      <c r="C1691" s="22">
        <f ca="1">IFERROR(__xludf.DUMMYFUNCTION("""COMPUTED_VALUE"""),500000)</f>
        <v>500000</v>
      </c>
      <c r="D1691" s="22">
        <f ca="1">IFERROR(__xludf.DUMMYFUNCTION("""COMPUTED_VALUE"""),0)</f>
        <v>0</v>
      </c>
      <c r="E1691" s="22">
        <f ca="1">IFERROR(__xludf.DUMMYFUNCTION("""COMPUTED_VALUE"""),500000)</f>
        <v>500000</v>
      </c>
      <c r="F1691" s="22">
        <f ca="1">IFERROR(__xludf.DUMMYFUNCTION("""COMPUTED_VALUE"""),500000)</f>
        <v>500000</v>
      </c>
      <c r="G1691" s="22">
        <f ca="1">IFERROR(__xludf.DUMMYFUNCTION("""COMPUTED_VALUE"""),0)</f>
        <v>0</v>
      </c>
      <c r="H1691" s="7">
        <f ca="1">IFERROR(__xludf.DUMMYFUNCTION("""COMPUTED_VALUE"""),500000)</f>
        <v>500000</v>
      </c>
    </row>
    <row r="1692" spans="1:8" ht="13" x14ac:dyDescent="0.15">
      <c r="A1692" s="5" t="str">
        <f ca="1">IFERROR(__xludf.DUMMYFUNCTION("""COMPUTED_VALUE"""),"39011")</f>
        <v>39011</v>
      </c>
      <c r="B1692" s="51">
        <f ca="1">IFERROR(__xludf.DUMMYFUNCTION("""COMPUTED_VALUE"""),44629)</f>
        <v>44629</v>
      </c>
      <c r="C1692" s="22">
        <f ca="1">IFERROR(__xludf.DUMMYFUNCTION("""COMPUTED_VALUE"""),500000)</f>
        <v>500000</v>
      </c>
      <c r="D1692" s="22">
        <f ca="1">IFERROR(__xludf.DUMMYFUNCTION("""COMPUTED_VALUE"""),0)</f>
        <v>0</v>
      </c>
      <c r="E1692" s="22">
        <f ca="1">IFERROR(__xludf.DUMMYFUNCTION("""COMPUTED_VALUE"""),500000)</f>
        <v>500000</v>
      </c>
      <c r="F1692" s="22">
        <f ca="1">IFERROR(__xludf.DUMMYFUNCTION("""COMPUTED_VALUE"""),500000)</f>
        <v>500000</v>
      </c>
      <c r="G1692" s="22">
        <f ca="1">IFERROR(__xludf.DUMMYFUNCTION("""COMPUTED_VALUE"""),0)</f>
        <v>0</v>
      </c>
      <c r="H1692" s="7">
        <f ca="1">IFERROR(__xludf.DUMMYFUNCTION("""COMPUTED_VALUE"""),500000)</f>
        <v>500000</v>
      </c>
    </row>
    <row r="1693" spans="1:8" ht="13" x14ac:dyDescent="0.15">
      <c r="A1693" s="5" t="str">
        <f ca="1">IFERROR(__xludf.DUMMYFUNCTION("""COMPUTED_VALUE"""),"39011")</f>
        <v>39011</v>
      </c>
      <c r="B1693" s="51">
        <f ca="1">IFERROR(__xludf.DUMMYFUNCTION("""COMPUTED_VALUE"""),44630)</f>
        <v>44630</v>
      </c>
      <c r="C1693" s="22">
        <f ca="1">IFERROR(__xludf.DUMMYFUNCTION("""COMPUTED_VALUE"""),500000)</f>
        <v>500000</v>
      </c>
      <c r="D1693" s="22">
        <f ca="1">IFERROR(__xludf.DUMMYFUNCTION("""COMPUTED_VALUE"""),0)</f>
        <v>0</v>
      </c>
      <c r="E1693" s="22">
        <f ca="1">IFERROR(__xludf.DUMMYFUNCTION("""COMPUTED_VALUE"""),500000)</f>
        <v>500000</v>
      </c>
      <c r="F1693" s="22">
        <f ca="1">IFERROR(__xludf.DUMMYFUNCTION("""COMPUTED_VALUE"""),500000)</f>
        <v>500000</v>
      </c>
      <c r="G1693" s="22">
        <f ca="1">IFERROR(__xludf.DUMMYFUNCTION("""COMPUTED_VALUE"""),0)</f>
        <v>0</v>
      </c>
      <c r="H1693" s="7">
        <f ca="1">IFERROR(__xludf.DUMMYFUNCTION("""COMPUTED_VALUE"""),500000)</f>
        <v>500000</v>
      </c>
    </row>
    <row r="1694" spans="1:8" ht="13" x14ac:dyDescent="0.15">
      <c r="A1694" s="5" t="str">
        <f ca="1">IFERROR(__xludf.DUMMYFUNCTION("""COMPUTED_VALUE"""),"39011")</f>
        <v>39011</v>
      </c>
      <c r="B1694" s="51">
        <f ca="1">IFERROR(__xludf.DUMMYFUNCTION("""COMPUTED_VALUE"""),44631)</f>
        <v>44631</v>
      </c>
      <c r="C1694" s="22">
        <f ca="1">IFERROR(__xludf.DUMMYFUNCTION("""COMPUTED_VALUE"""),500000)</f>
        <v>500000</v>
      </c>
      <c r="D1694" s="22">
        <f ca="1">IFERROR(__xludf.DUMMYFUNCTION("""COMPUTED_VALUE"""),0)</f>
        <v>0</v>
      </c>
      <c r="E1694" s="22">
        <f ca="1">IFERROR(__xludf.DUMMYFUNCTION("""COMPUTED_VALUE"""),500000)</f>
        <v>500000</v>
      </c>
      <c r="F1694" s="22">
        <f ca="1">IFERROR(__xludf.DUMMYFUNCTION("""COMPUTED_VALUE"""),500000)</f>
        <v>500000</v>
      </c>
      <c r="G1694" s="22">
        <f ca="1">IFERROR(__xludf.DUMMYFUNCTION("""COMPUTED_VALUE"""),0)</f>
        <v>0</v>
      </c>
      <c r="H1694" s="7">
        <f ca="1">IFERROR(__xludf.DUMMYFUNCTION("""COMPUTED_VALUE"""),500000)</f>
        <v>500000</v>
      </c>
    </row>
    <row r="1695" spans="1:8" ht="13" x14ac:dyDescent="0.15">
      <c r="A1695" s="5" t="str">
        <f ca="1">IFERROR(__xludf.DUMMYFUNCTION("""COMPUTED_VALUE"""),"39011")</f>
        <v>39011</v>
      </c>
      <c r="B1695" s="51">
        <f ca="1">IFERROR(__xludf.DUMMYFUNCTION("""COMPUTED_VALUE"""),44632)</f>
        <v>44632</v>
      </c>
      <c r="C1695" s="22">
        <f ca="1">IFERROR(__xludf.DUMMYFUNCTION("""COMPUTED_VALUE"""),500000)</f>
        <v>500000</v>
      </c>
      <c r="D1695" s="22">
        <f ca="1">IFERROR(__xludf.DUMMYFUNCTION("""COMPUTED_VALUE"""),0)</f>
        <v>0</v>
      </c>
      <c r="E1695" s="22">
        <f ca="1">IFERROR(__xludf.DUMMYFUNCTION("""COMPUTED_VALUE"""),500000)</f>
        <v>500000</v>
      </c>
      <c r="F1695" s="22">
        <f ca="1">IFERROR(__xludf.DUMMYFUNCTION("""COMPUTED_VALUE"""),500000)</f>
        <v>500000</v>
      </c>
      <c r="G1695" s="22">
        <f ca="1">IFERROR(__xludf.DUMMYFUNCTION("""COMPUTED_VALUE"""),0)</f>
        <v>0</v>
      </c>
      <c r="H1695" s="7">
        <f ca="1">IFERROR(__xludf.DUMMYFUNCTION("""COMPUTED_VALUE"""),500000)</f>
        <v>500000</v>
      </c>
    </row>
    <row r="1696" spans="1:8" ht="13" x14ac:dyDescent="0.15">
      <c r="A1696" s="5" t="str">
        <f ca="1">IFERROR(__xludf.DUMMYFUNCTION("""COMPUTED_VALUE"""),"39011")</f>
        <v>39011</v>
      </c>
      <c r="B1696" s="51">
        <f ca="1">IFERROR(__xludf.DUMMYFUNCTION("""COMPUTED_VALUE"""),44633)</f>
        <v>44633</v>
      </c>
      <c r="C1696" s="22">
        <f ca="1">IFERROR(__xludf.DUMMYFUNCTION("""COMPUTED_VALUE"""),500000)</f>
        <v>500000</v>
      </c>
      <c r="D1696" s="22">
        <f ca="1">IFERROR(__xludf.DUMMYFUNCTION("""COMPUTED_VALUE"""),0)</f>
        <v>0</v>
      </c>
      <c r="E1696" s="22">
        <f ca="1">IFERROR(__xludf.DUMMYFUNCTION("""COMPUTED_VALUE"""),500000)</f>
        <v>500000</v>
      </c>
      <c r="F1696" s="22">
        <f ca="1">IFERROR(__xludf.DUMMYFUNCTION("""COMPUTED_VALUE"""),500000)</f>
        <v>500000</v>
      </c>
      <c r="G1696" s="22">
        <f ca="1">IFERROR(__xludf.DUMMYFUNCTION("""COMPUTED_VALUE"""),0)</f>
        <v>0</v>
      </c>
      <c r="H1696" s="7">
        <f ca="1">IFERROR(__xludf.DUMMYFUNCTION("""COMPUTED_VALUE"""),500000)</f>
        <v>500000</v>
      </c>
    </row>
    <row r="1697" spans="1:8" ht="13" x14ac:dyDescent="0.15">
      <c r="A1697" s="5" t="str">
        <f ca="1">IFERROR(__xludf.DUMMYFUNCTION("""COMPUTED_VALUE"""),"39011")</f>
        <v>39011</v>
      </c>
      <c r="B1697" s="51">
        <f ca="1">IFERROR(__xludf.DUMMYFUNCTION("""COMPUTED_VALUE"""),44634)</f>
        <v>44634</v>
      </c>
      <c r="C1697" s="22">
        <f ca="1">IFERROR(__xludf.DUMMYFUNCTION("""COMPUTED_VALUE"""),500000)</f>
        <v>500000</v>
      </c>
      <c r="D1697" s="22">
        <f ca="1">IFERROR(__xludf.DUMMYFUNCTION("""COMPUTED_VALUE"""),0)</f>
        <v>0</v>
      </c>
      <c r="E1697" s="22">
        <f ca="1">IFERROR(__xludf.DUMMYFUNCTION("""COMPUTED_VALUE"""),500000)</f>
        <v>500000</v>
      </c>
      <c r="F1697" s="22">
        <f ca="1">IFERROR(__xludf.DUMMYFUNCTION("""COMPUTED_VALUE"""),500000)</f>
        <v>500000</v>
      </c>
      <c r="G1697" s="22">
        <f ca="1">IFERROR(__xludf.DUMMYFUNCTION("""COMPUTED_VALUE"""),0)</f>
        <v>0</v>
      </c>
      <c r="H1697" s="7">
        <f ca="1">IFERROR(__xludf.DUMMYFUNCTION("""COMPUTED_VALUE"""),500000)</f>
        <v>500000</v>
      </c>
    </row>
    <row r="1698" spans="1:8" ht="13" x14ac:dyDescent="0.15">
      <c r="A1698" s="5" t="str">
        <f ca="1">IFERROR(__xludf.DUMMYFUNCTION("""COMPUTED_VALUE"""),"39011")</f>
        <v>39011</v>
      </c>
      <c r="B1698" s="51">
        <f ca="1">IFERROR(__xludf.DUMMYFUNCTION("""COMPUTED_VALUE"""),44635)</f>
        <v>44635</v>
      </c>
      <c r="C1698" s="22">
        <f ca="1">IFERROR(__xludf.DUMMYFUNCTION("""COMPUTED_VALUE"""),500000)</f>
        <v>500000</v>
      </c>
      <c r="D1698" s="22">
        <f ca="1">IFERROR(__xludf.DUMMYFUNCTION("""COMPUTED_VALUE"""),0)</f>
        <v>0</v>
      </c>
      <c r="E1698" s="22">
        <f ca="1">IFERROR(__xludf.DUMMYFUNCTION("""COMPUTED_VALUE"""),500000)</f>
        <v>500000</v>
      </c>
      <c r="F1698" s="22">
        <f ca="1">IFERROR(__xludf.DUMMYFUNCTION("""COMPUTED_VALUE"""),500000)</f>
        <v>500000</v>
      </c>
      <c r="G1698" s="22">
        <f ca="1">IFERROR(__xludf.DUMMYFUNCTION("""COMPUTED_VALUE"""),0)</f>
        <v>0</v>
      </c>
      <c r="H1698" s="7">
        <f ca="1">IFERROR(__xludf.DUMMYFUNCTION("""COMPUTED_VALUE"""),500000)</f>
        <v>500000</v>
      </c>
    </row>
    <row r="1699" spans="1:8" ht="13" x14ac:dyDescent="0.15">
      <c r="A1699" s="5" t="str">
        <f ca="1">IFERROR(__xludf.DUMMYFUNCTION("""COMPUTED_VALUE"""),"39011")</f>
        <v>39011</v>
      </c>
      <c r="B1699" s="51">
        <f ca="1">IFERROR(__xludf.DUMMYFUNCTION("""COMPUTED_VALUE"""),44636)</f>
        <v>44636</v>
      </c>
      <c r="C1699" s="22">
        <f ca="1">IFERROR(__xludf.DUMMYFUNCTION("""COMPUTED_VALUE"""),500000)</f>
        <v>500000</v>
      </c>
      <c r="D1699" s="22">
        <f ca="1">IFERROR(__xludf.DUMMYFUNCTION("""COMPUTED_VALUE"""),0)</f>
        <v>0</v>
      </c>
      <c r="E1699" s="22">
        <f ca="1">IFERROR(__xludf.DUMMYFUNCTION("""COMPUTED_VALUE"""),500000)</f>
        <v>500000</v>
      </c>
      <c r="F1699" s="22">
        <f ca="1">IFERROR(__xludf.DUMMYFUNCTION("""COMPUTED_VALUE"""),500000)</f>
        <v>500000</v>
      </c>
      <c r="G1699" s="22">
        <f ca="1">IFERROR(__xludf.DUMMYFUNCTION("""COMPUTED_VALUE"""),0)</f>
        <v>0</v>
      </c>
      <c r="H1699" s="7">
        <f ca="1">IFERROR(__xludf.DUMMYFUNCTION("""COMPUTED_VALUE"""),500000)</f>
        <v>500000</v>
      </c>
    </row>
    <row r="1700" spans="1:8" ht="13" x14ac:dyDescent="0.15">
      <c r="A1700" s="5" t="str">
        <f ca="1">IFERROR(__xludf.DUMMYFUNCTION("""COMPUTED_VALUE"""),"39011")</f>
        <v>39011</v>
      </c>
      <c r="B1700" s="51">
        <f ca="1">IFERROR(__xludf.DUMMYFUNCTION("""COMPUTED_VALUE"""),44637)</f>
        <v>44637</v>
      </c>
      <c r="C1700" s="22">
        <f ca="1">IFERROR(__xludf.DUMMYFUNCTION("""COMPUTED_VALUE"""),500000)</f>
        <v>500000</v>
      </c>
      <c r="D1700" s="22">
        <f ca="1">IFERROR(__xludf.DUMMYFUNCTION("""COMPUTED_VALUE"""),0)</f>
        <v>0</v>
      </c>
      <c r="E1700" s="22">
        <f ca="1">IFERROR(__xludf.DUMMYFUNCTION("""COMPUTED_VALUE"""),500000)</f>
        <v>500000</v>
      </c>
      <c r="F1700" s="22">
        <f ca="1">IFERROR(__xludf.DUMMYFUNCTION("""COMPUTED_VALUE"""),500000)</f>
        <v>500000</v>
      </c>
      <c r="G1700" s="22">
        <f ca="1">IFERROR(__xludf.DUMMYFUNCTION("""COMPUTED_VALUE"""),0)</f>
        <v>0</v>
      </c>
      <c r="H1700" s="7">
        <f ca="1">IFERROR(__xludf.DUMMYFUNCTION("""COMPUTED_VALUE"""),500000)</f>
        <v>500000</v>
      </c>
    </row>
    <row r="1701" spans="1:8" ht="13" x14ac:dyDescent="0.15">
      <c r="A1701" s="5" t="str">
        <f ca="1">IFERROR(__xludf.DUMMYFUNCTION("""COMPUTED_VALUE"""),"39011")</f>
        <v>39011</v>
      </c>
      <c r="B1701" s="51">
        <f ca="1">IFERROR(__xludf.DUMMYFUNCTION("""COMPUTED_VALUE"""),44638)</f>
        <v>44638</v>
      </c>
      <c r="C1701" s="22">
        <f ca="1">IFERROR(__xludf.DUMMYFUNCTION("""COMPUTED_VALUE"""),500000)</f>
        <v>500000</v>
      </c>
      <c r="D1701" s="22">
        <f ca="1">IFERROR(__xludf.DUMMYFUNCTION("""COMPUTED_VALUE"""),0)</f>
        <v>0</v>
      </c>
      <c r="E1701" s="22">
        <f ca="1">IFERROR(__xludf.DUMMYFUNCTION("""COMPUTED_VALUE"""),500000)</f>
        <v>500000</v>
      </c>
      <c r="F1701" s="22">
        <f ca="1">IFERROR(__xludf.DUMMYFUNCTION("""COMPUTED_VALUE"""),500000)</f>
        <v>500000</v>
      </c>
      <c r="G1701" s="22">
        <f ca="1">IFERROR(__xludf.DUMMYFUNCTION("""COMPUTED_VALUE"""),0)</f>
        <v>0</v>
      </c>
      <c r="H1701" s="7">
        <f ca="1">IFERROR(__xludf.DUMMYFUNCTION("""COMPUTED_VALUE"""),500000)</f>
        <v>500000</v>
      </c>
    </row>
    <row r="1702" spans="1:8" ht="13" x14ac:dyDescent="0.15">
      <c r="A1702" s="5" t="str">
        <f ca="1">IFERROR(__xludf.DUMMYFUNCTION("""COMPUTED_VALUE"""),"39011")</f>
        <v>39011</v>
      </c>
      <c r="B1702" s="51">
        <f ca="1">IFERROR(__xludf.DUMMYFUNCTION("""COMPUTED_VALUE"""),44639)</f>
        <v>44639</v>
      </c>
      <c r="C1702" s="22">
        <f ca="1">IFERROR(__xludf.DUMMYFUNCTION("""COMPUTED_VALUE"""),500000)</f>
        <v>500000</v>
      </c>
      <c r="D1702" s="22">
        <f ca="1">IFERROR(__xludf.DUMMYFUNCTION("""COMPUTED_VALUE"""),0)</f>
        <v>0</v>
      </c>
      <c r="E1702" s="22">
        <f ca="1">IFERROR(__xludf.DUMMYFUNCTION("""COMPUTED_VALUE"""),500000)</f>
        <v>500000</v>
      </c>
      <c r="F1702" s="22">
        <f ca="1">IFERROR(__xludf.DUMMYFUNCTION("""COMPUTED_VALUE"""),500000)</f>
        <v>500000</v>
      </c>
      <c r="G1702" s="22">
        <f ca="1">IFERROR(__xludf.DUMMYFUNCTION("""COMPUTED_VALUE"""),0)</f>
        <v>0</v>
      </c>
      <c r="H1702" s="7">
        <f ca="1">IFERROR(__xludf.DUMMYFUNCTION("""COMPUTED_VALUE"""),500000)</f>
        <v>500000</v>
      </c>
    </row>
    <row r="1703" spans="1:8" ht="13" x14ac:dyDescent="0.15">
      <c r="A1703" s="5" t="str">
        <f ca="1">IFERROR(__xludf.DUMMYFUNCTION("""COMPUTED_VALUE"""),"39011")</f>
        <v>39011</v>
      </c>
      <c r="B1703" s="51">
        <f ca="1">IFERROR(__xludf.DUMMYFUNCTION("""COMPUTED_VALUE"""),44640)</f>
        <v>44640</v>
      </c>
      <c r="C1703" s="22">
        <f ca="1">IFERROR(__xludf.DUMMYFUNCTION("""COMPUTED_VALUE"""),500000)</f>
        <v>500000</v>
      </c>
      <c r="D1703" s="22">
        <f ca="1">IFERROR(__xludf.DUMMYFUNCTION("""COMPUTED_VALUE"""),0)</f>
        <v>0</v>
      </c>
      <c r="E1703" s="22">
        <f ca="1">IFERROR(__xludf.DUMMYFUNCTION("""COMPUTED_VALUE"""),500000)</f>
        <v>500000</v>
      </c>
      <c r="F1703" s="22">
        <f ca="1">IFERROR(__xludf.DUMMYFUNCTION("""COMPUTED_VALUE"""),500000)</f>
        <v>500000</v>
      </c>
      <c r="G1703" s="22">
        <f ca="1">IFERROR(__xludf.DUMMYFUNCTION("""COMPUTED_VALUE"""),0)</f>
        <v>0</v>
      </c>
      <c r="H1703" s="7">
        <f ca="1">IFERROR(__xludf.DUMMYFUNCTION("""COMPUTED_VALUE"""),500000)</f>
        <v>500000</v>
      </c>
    </row>
    <row r="1704" spans="1:8" ht="13" x14ac:dyDescent="0.15">
      <c r="A1704" s="5" t="str">
        <f ca="1">IFERROR(__xludf.DUMMYFUNCTION("""COMPUTED_VALUE"""),"39011")</f>
        <v>39011</v>
      </c>
      <c r="B1704" s="51">
        <f ca="1">IFERROR(__xludf.DUMMYFUNCTION("""COMPUTED_VALUE"""),44641)</f>
        <v>44641</v>
      </c>
      <c r="C1704" s="22">
        <f ca="1">IFERROR(__xludf.DUMMYFUNCTION("""COMPUTED_VALUE"""),500000)</f>
        <v>500000</v>
      </c>
      <c r="D1704" s="22">
        <f ca="1">IFERROR(__xludf.DUMMYFUNCTION("""COMPUTED_VALUE"""),0)</f>
        <v>0</v>
      </c>
      <c r="E1704" s="22">
        <f ca="1">IFERROR(__xludf.DUMMYFUNCTION("""COMPUTED_VALUE"""),500000)</f>
        <v>500000</v>
      </c>
      <c r="F1704" s="22">
        <f ca="1">IFERROR(__xludf.DUMMYFUNCTION("""COMPUTED_VALUE"""),500000)</f>
        <v>500000</v>
      </c>
      <c r="G1704" s="22">
        <f ca="1">IFERROR(__xludf.DUMMYFUNCTION("""COMPUTED_VALUE"""),0)</f>
        <v>0</v>
      </c>
      <c r="H1704" s="7">
        <f ca="1">IFERROR(__xludf.DUMMYFUNCTION("""COMPUTED_VALUE"""),500000)</f>
        <v>500000</v>
      </c>
    </row>
    <row r="1705" spans="1:8" ht="13" x14ac:dyDescent="0.15">
      <c r="A1705" s="5" t="str">
        <f ca="1">IFERROR(__xludf.DUMMYFUNCTION("""COMPUTED_VALUE"""),"39011")</f>
        <v>39011</v>
      </c>
      <c r="B1705" s="51">
        <f ca="1">IFERROR(__xludf.DUMMYFUNCTION("""COMPUTED_VALUE"""),44642)</f>
        <v>44642</v>
      </c>
      <c r="C1705" s="22">
        <f ca="1">IFERROR(__xludf.DUMMYFUNCTION("""COMPUTED_VALUE"""),500000)</f>
        <v>500000</v>
      </c>
      <c r="D1705" s="22">
        <f ca="1">IFERROR(__xludf.DUMMYFUNCTION("""COMPUTED_VALUE"""),0)</f>
        <v>0</v>
      </c>
      <c r="E1705" s="22">
        <f ca="1">IFERROR(__xludf.DUMMYFUNCTION("""COMPUTED_VALUE"""),500000)</f>
        <v>500000</v>
      </c>
      <c r="F1705" s="22">
        <f ca="1">IFERROR(__xludf.DUMMYFUNCTION("""COMPUTED_VALUE"""),500000)</f>
        <v>500000</v>
      </c>
      <c r="G1705" s="22">
        <f ca="1">IFERROR(__xludf.DUMMYFUNCTION("""COMPUTED_VALUE"""),0)</f>
        <v>0</v>
      </c>
      <c r="H1705" s="7">
        <f ca="1">IFERROR(__xludf.DUMMYFUNCTION("""COMPUTED_VALUE"""),500000)</f>
        <v>500000</v>
      </c>
    </row>
    <row r="1706" spans="1:8" ht="13" x14ac:dyDescent="0.15">
      <c r="A1706" s="5" t="str">
        <f ca="1">IFERROR(__xludf.DUMMYFUNCTION("""COMPUTED_VALUE"""),"39296")</f>
        <v>39296</v>
      </c>
      <c r="B1706" s="51">
        <f ca="1">IFERROR(__xludf.DUMMYFUNCTION("""COMPUTED_VALUE"""),44597)</f>
        <v>44597</v>
      </c>
      <c r="C1706" s="22">
        <f ca="1">IFERROR(__xludf.DUMMYFUNCTION("""COMPUTED_VALUE"""),500000)</f>
        <v>500000</v>
      </c>
      <c r="D1706" s="22">
        <f ca="1">IFERROR(__xludf.DUMMYFUNCTION("""COMPUTED_VALUE"""),0)</f>
        <v>0</v>
      </c>
      <c r="E1706" s="22">
        <f ca="1">IFERROR(__xludf.DUMMYFUNCTION("""COMPUTED_VALUE"""),500000)</f>
        <v>500000</v>
      </c>
      <c r="F1706" s="22">
        <f ca="1">IFERROR(__xludf.DUMMYFUNCTION("""COMPUTED_VALUE"""),500000)</f>
        <v>500000</v>
      </c>
      <c r="G1706" s="22">
        <f ca="1">IFERROR(__xludf.DUMMYFUNCTION("""COMPUTED_VALUE"""),0)</f>
        <v>0</v>
      </c>
      <c r="H1706" s="7">
        <f ca="1">IFERROR(__xludf.DUMMYFUNCTION("""COMPUTED_VALUE"""),500000)</f>
        <v>500000</v>
      </c>
    </row>
    <row r="1707" spans="1:8" ht="13" x14ac:dyDescent="0.15">
      <c r="A1707" s="5" t="str">
        <f ca="1">IFERROR(__xludf.DUMMYFUNCTION("""COMPUTED_VALUE"""),"39296")</f>
        <v>39296</v>
      </c>
      <c r="B1707" s="51">
        <f ca="1">IFERROR(__xludf.DUMMYFUNCTION("""COMPUTED_VALUE"""),44598)</f>
        <v>44598</v>
      </c>
      <c r="C1707" s="22">
        <f ca="1">IFERROR(__xludf.DUMMYFUNCTION("""COMPUTED_VALUE"""),500000)</f>
        <v>500000</v>
      </c>
      <c r="D1707" s="22">
        <f ca="1">IFERROR(__xludf.DUMMYFUNCTION("""COMPUTED_VALUE"""),0)</f>
        <v>0</v>
      </c>
      <c r="E1707" s="22">
        <f ca="1">IFERROR(__xludf.DUMMYFUNCTION("""COMPUTED_VALUE"""),500000)</f>
        <v>500000</v>
      </c>
      <c r="F1707" s="22">
        <f ca="1">IFERROR(__xludf.DUMMYFUNCTION("""COMPUTED_VALUE"""),500000)</f>
        <v>500000</v>
      </c>
      <c r="G1707" s="22">
        <f ca="1">IFERROR(__xludf.DUMMYFUNCTION("""COMPUTED_VALUE"""),0)</f>
        <v>0</v>
      </c>
      <c r="H1707" s="7">
        <f ca="1">IFERROR(__xludf.DUMMYFUNCTION("""COMPUTED_VALUE"""),500000)</f>
        <v>500000</v>
      </c>
    </row>
    <row r="1708" spans="1:8" ht="13" x14ac:dyDescent="0.15">
      <c r="A1708" s="5" t="str">
        <f ca="1">IFERROR(__xludf.DUMMYFUNCTION("""COMPUTED_VALUE"""),"39296")</f>
        <v>39296</v>
      </c>
      <c r="B1708" s="51">
        <f ca="1">IFERROR(__xludf.DUMMYFUNCTION("""COMPUTED_VALUE"""),44599)</f>
        <v>44599</v>
      </c>
      <c r="C1708" s="22">
        <f ca="1">IFERROR(__xludf.DUMMYFUNCTION("""COMPUTED_VALUE"""),500000)</f>
        <v>500000</v>
      </c>
      <c r="D1708" s="22">
        <f ca="1">IFERROR(__xludf.DUMMYFUNCTION("""COMPUTED_VALUE"""),0)</f>
        <v>0</v>
      </c>
      <c r="E1708" s="22">
        <f ca="1">IFERROR(__xludf.DUMMYFUNCTION("""COMPUTED_VALUE"""),500000)</f>
        <v>500000</v>
      </c>
      <c r="F1708" s="22">
        <f ca="1">IFERROR(__xludf.DUMMYFUNCTION("""COMPUTED_VALUE"""),500000)</f>
        <v>500000</v>
      </c>
      <c r="G1708" s="22">
        <f ca="1">IFERROR(__xludf.DUMMYFUNCTION("""COMPUTED_VALUE"""),0)</f>
        <v>0</v>
      </c>
      <c r="H1708" s="7">
        <f ca="1">IFERROR(__xludf.DUMMYFUNCTION("""COMPUTED_VALUE"""),500000)</f>
        <v>500000</v>
      </c>
    </row>
    <row r="1709" spans="1:8" ht="13" x14ac:dyDescent="0.15">
      <c r="A1709" s="5" t="str">
        <f ca="1">IFERROR(__xludf.DUMMYFUNCTION("""COMPUTED_VALUE"""),"39296")</f>
        <v>39296</v>
      </c>
      <c r="B1709" s="51">
        <f ca="1">IFERROR(__xludf.DUMMYFUNCTION("""COMPUTED_VALUE"""),44600)</f>
        <v>44600</v>
      </c>
      <c r="C1709" s="22">
        <f ca="1">IFERROR(__xludf.DUMMYFUNCTION("""COMPUTED_VALUE"""),30000)</f>
        <v>30000</v>
      </c>
      <c r="D1709" s="22">
        <f ca="1">IFERROR(__xludf.DUMMYFUNCTION("""COMPUTED_VALUE"""),470000)</f>
        <v>470000</v>
      </c>
      <c r="E1709" s="22">
        <f ca="1">IFERROR(__xludf.DUMMYFUNCTION("""COMPUTED_VALUE"""),500000)</f>
        <v>500000</v>
      </c>
      <c r="F1709" s="22">
        <f ca="1">IFERROR(__xludf.DUMMYFUNCTION("""COMPUTED_VALUE"""),30000)</f>
        <v>30000</v>
      </c>
      <c r="G1709" s="22">
        <f ca="1">IFERROR(__xludf.DUMMYFUNCTION("""COMPUTED_VALUE"""),0)</f>
        <v>0</v>
      </c>
      <c r="H1709" s="7">
        <f ca="1">IFERROR(__xludf.DUMMYFUNCTION("""COMPUTED_VALUE"""),500000)</f>
        <v>500000</v>
      </c>
    </row>
    <row r="1710" spans="1:8" ht="13" x14ac:dyDescent="0.15">
      <c r="A1710" s="5" t="str">
        <f ca="1">IFERROR(__xludf.DUMMYFUNCTION("""COMPUTED_VALUE"""),"39296")</f>
        <v>39296</v>
      </c>
      <c r="B1710" s="51">
        <f ca="1">IFERROR(__xludf.DUMMYFUNCTION("""COMPUTED_VALUE"""),44601)</f>
        <v>44601</v>
      </c>
      <c r="C1710" s="22">
        <f ca="1">IFERROR(__xludf.DUMMYFUNCTION("""COMPUTED_VALUE"""),30000)</f>
        <v>30000</v>
      </c>
      <c r="D1710" s="22">
        <f ca="1">IFERROR(__xludf.DUMMYFUNCTION("""COMPUTED_VALUE"""),470000)</f>
        <v>470000</v>
      </c>
      <c r="E1710" s="22">
        <f ca="1">IFERROR(__xludf.DUMMYFUNCTION("""COMPUTED_VALUE"""),500000)</f>
        <v>500000</v>
      </c>
      <c r="F1710" s="22">
        <f ca="1">IFERROR(__xludf.DUMMYFUNCTION("""COMPUTED_VALUE"""),30000)</f>
        <v>30000</v>
      </c>
      <c r="G1710" s="22">
        <f ca="1">IFERROR(__xludf.DUMMYFUNCTION("""COMPUTED_VALUE"""),0)</f>
        <v>0</v>
      </c>
      <c r="H1710" s="7">
        <f ca="1">IFERROR(__xludf.DUMMYFUNCTION("""COMPUTED_VALUE"""),512800)</f>
        <v>512800</v>
      </c>
    </row>
    <row r="1711" spans="1:8" ht="13" x14ac:dyDescent="0.15">
      <c r="A1711" s="5" t="str">
        <f ca="1">IFERROR(__xludf.DUMMYFUNCTION("""COMPUTED_VALUE"""),"39296")</f>
        <v>39296</v>
      </c>
      <c r="B1711" s="51">
        <f ca="1">IFERROR(__xludf.DUMMYFUNCTION("""COMPUTED_VALUE"""),44602)</f>
        <v>44602</v>
      </c>
      <c r="C1711" s="22">
        <f ca="1">IFERROR(__xludf.DUMMYFUNCTION("""COMPUTED_VALUE"""),30000)</f>
        <v>30000</v>
      </c>
      <c r="D1711" s="22">
        <f ca="1">IFERROR(__xludf.DUMMYFUNCTION("""COMPUTED_VALUE"""),470000)</f>
        <v>470000</v>
      </c>
      <c r="E1711" s="22">
        <f ca="1">IFERROR(__xludf.DUMMYFUNCTION("""COMPUTED_VALUE"""),500000)</f>
        <v>500000</v>
      </c>
      <c r="F1711" s="22">
        <f ca="1">IFERROR(__xludf.DUMMYFUNCTION("""COMPUTED_VALUE"""),30000)</f>
        <v>30000</v>
      </c>
      <c r="G1711" s="22">
        <f ca="1">IFERROR(__xludf.DUMMYFUNCTION("""COMPUTED_VALUE"""),0)</f>
        <v>0</v>
      </c>
      <c r="H1711" s="7">
        <f ca="1">IFERROR(__xludf.DUMMYFUNCTION("""COMPUTED_VALUE"""),514400)</f>
        <v>514400</v>
      </c>
    </row>
    <row r="1712" spans="1:8" ht="13" x14ac:dyDescent="0.15">
      <c r="A1712" s="5" t="str">
        <f ca="1">IFERROR(__xludf.DUMMYFUNCTION("""COMPUTED_VALUE"""),"39296")</f>
        <v>39296</v>
      </c>
      <c r="B1712" s="51">
        <f ca="1">IFERROR(__xludf.DUMMYFUNCTION("""COMPUTED_VALUE"""),44603)</f>
        <v>44603</v>
      </c>
      <c r="C1712" s="22">
        <f ca="1">IFERROR(__xludf.DUMMYFUNCTION("""COMPUTED_VALUE"""),30000)</f>
        <v>30000</v>
      </c>
      <c r="D1712" s="22">
        <f ca="1">IFERROR(__xludf.DUMMYFUNCTION("""COMPUTED_VALUE"""),470000)</f>
        <v>470000</v>
      </c>
      <c r="E1712" s="22">
        <f ca="1">IFERROR(__xludf.DUMMYFUNCTION("""COMPUTED_VALUE"""),500000)</f>
        <v>500000</v>
      </c>
      <c r="F1712" s="22">
        <f ca="1">IFERROR(__xludf.DUMMYFUNCTION("""COMPUTED_VALUE"""),30000)</f>
        <v>30000</v>
      </c>
      <c r="G1712" s="22">
        <f ca="1">IFERROR(__xludf.DUMMYFUNCTION("""COMPUTED_VALUE"""),0)</f>
        <v>0</v>
      </c>
      <c r="H1712" s="7">
        <f ca="1">IFERROR(__xludf.DUMMYFUNCTION("""COMPUTED_VALUE"""),507000)</f>
        <v>507000</v>
      </c>
    </row>
    <row r="1713" spans="1:8" ht="13" x14ac:dyDescent="0.15">
      <c r="A1713" s="5" t="str">
        <f ca="1">IFERROR(__xludf.DUMMYFUNCTION("""COMPUTED_VALUE"""),"39296")</f>
        <v>39296</v>
      </c>
      <c r="B1713" s="51">
        <f ca="1">IFERROR(__xludf.DUMMYFUNCTION("""COMPUTED_VALUE"""),44604)</f>
        <v>44604</v>
      </c>
      <c r="C1713" s="22">
        <f ca="1">IFERROR(__xludf.DUMMYFUNCTION("""COMPUTED_VALUE"""),30000)</f>
        <v>30000</v>
      </c>
      <c r="D1713" s="22">
        <f ca="1">IFERROR(__xludf.DUMMYFUNCTION("""COMPUTED_VALUE"""),470000)</f>
        <v>470000</v>
      </c>
      <c r="E1713" s="22">
        <f ca="1">IFERROR(__xludf.DUMMYFUNCTION("""COMPUTED_VALUE"""),500000)</f>
        <v>500000</v>
      </c>
      <c r="F1713" s="22">
        <f ca="1">IFERROR(__xludf.DUMMYFUNCTION("""COMPUTED_VALUE"""),30000)</f>
        <v>30000</v>
      </c>
      <c r="G1713" s="22">
        <f ca="1">IFERROR(__xludf.DUMMYFUNCTION("""COMPUTED_VALUE"""),0)</f>
        <v>0</v>
      </c>
      <c r="H1713" s="7">
        <f ca="1">IFERROR(__xludf.DUMMYFUNCTION("""COMPUTED_VALUE"""),507000)</f>
        <v>507000</v>
      </c>
    </row>
    <row r="1714" spans="1:8" ht="13" x14ac:dyDescent="0.15">
      <c r="A1714" s="5" t="str">
        <f ca="1">IFERROR(__xludf.DUMMYFUNCTION("""COMPUTED_VALUE"""),"39296")</f>
        <v>39296</v>
      </c>
      <c r="B1714" s="51">
        <f ca="1">IFERROR(__xludf.DUMMYFUNCTION("""COMPUTED_VALUE"""),44605)</f>
        <v>44605</v>
      </c>
      <c r="C1714" s="22">
        <f ca="1">IFERROR(__xludf.DUMMYFUNCTION("""COMPUTED_VALUE"""),30000)</f>
        <v>30000</v>
      </c>
      <c r="D1714" s="22">
        <f ca="1">IFERROR(__xludf.DUMMYFUNCTION("""COMPUTED_VALUE"""),470000)</f>
        <v>470000</v>
      </c>
      <c r="E1714" s="22">
        <f ca="1">IFERROR(__xludf.DUMMYFUNCTION("""COMPUTED_VALUE"""),500000)</f>
        <v>500000</v>
      </c>
      <c r="F1714" s="22">
        <f ca="1">IFERROR(__xludf.DUMMYFUNCTION("""COMPUTED_VALUE"""),30000)</f>
        <v>30000</v>
      </c>
      <c r="G1714" s="22">
        <f ca="1">IFERROR(__xludf.DUMMYFUNCTION("""COMPUTED_VALUE"""),0)</f>
        <v>0</v>
      </c>
      <c r="H1714" s="7">
        <f ca="1">IFERROR(__xludf.DUMMYFUNCTION("""COMPUTED_VALUE"""),507000)</f>
        <v>507000</v>
      </c>
    </row>
    <row r="1715" spans="1:8" ht="13" x14ac:dyDescent="0.15">
      <c r="A1715" s="5" t="str">
        <f ca="1">IFERROR(__xludf.DUMMYFUNCTION("""COMPUTED_VALUE"""),"39296")</f>
        <v>39296</v>
      </c>
      <c r="B1715" s="51">
        <f ca="1">IFERROR(__xludf.DUMMYFUNCTION("""COMPUTED_VALUE"""),44606)</f>
        <v>44606</v>
      </c>
      <c r="C1715" s="22">
        <f ca="1">IFERROR(__xludf.DUMMYFUNCTION("""COMPUTED_VALUE"""),30000)</f>
        <v>30000</v>
      </c>
      <c r="D1715" s="22">
        <f ca="1">IFERROR(__xludf.DUMMYFUNCTION("""COMPUTED_VALUE"""),470000)</f>
        <v>470000</v>
      </c>
      <c r="E1715" s="22">
        <f ca="1">IFERROR(__xludf.DUMMYFUNCTION("""COMPUTED_VALUE"""),500000)</f>
        <v>500000</v>
      </c>
      <c r="F1715" s="22">
        <f ca="1">IFERROR(__xludf.DUMMYFUNCTION("""COMPUTED_VALUE"""),30000)</f>
        <v>30000</v>
      </c>
      <c r="G1715" s="22">
        <f ca="1">IFERROR(__xludf.DUMMYFUNCTION("""COMPUTED_VALUE"""),0)</f>
        <v>0</v>
      </c>
      <c r="H1715" s="7">
        <f ca="1">IFERROR(__xludf.DUMMYFUNCTION("""COMPUTED_VALUE"""),502000)</f>
        <v>502000</v>
      </c>
    </row>
    <row r="1716" spans="1:8" ht="13" x14ac:dyDescent="0.15">
      <c r="A1716" s="5" t="str">
        <f ca="1">IFERROR(__xludf.DUMMYFUNCTION("""COMPUTED_VALUE"""),"39296")</f>
        <v>39296</v>
      </c>
      <c r="B1716" s="51">
        <f ca="1">IFERROR(__xludf.DUMMYFUNCTION("""COMPUTED_VALUE"""),44607)</f>
        <v>44607</v>
      </c>
      <c r="C1716" s="22">
        <f ca="1">IFERROR(__xludf.DUMMYFUNCTION("""COMPUTED_VALUE"""),30000)</f>
        <v>30000</v>
      </c>
      <c r="D1716" s="22">
        <f ca="1">IFERROR(__xludf.DUMMYFUNCTION("""COMPUTED_VALUE"""),470000)</f>
        <v>470000</v>
      </c>
      <c r="E1716" s="22">
        <f ca="1">IFERROR(__xludf.DUMMYFUNCTION("""COMPUTED_VALUE"""),500000)</f>
        <v>500000</v>
      </c>
      <c r="F1716" s="22">
        <f ca="1">IFERROR(__xludf.DUMMYFUNCTION("""COMPUTED_VALUE"""),30000)</f>
        <v>30000</v>
      </c>
      <c r="G1716" s="22">
        <f ca="1">IFERROR(__xludf.DUMMYFUNCTION("""COMPUTED_VALUE"""),0)</f>
        <v>0</v>
      </c>
      <c r="H1716" s="7">
        <f ca="1">IFERROR(__xludf.DUMMYFUNCTION("""COMPUTED_VALUE"""),500000)</f>
        <v>500000</v>
      </c>
    </row>
    <row r="1717" spans="1:8" ht="13" x14ac:dyDescent="0.15">
      <c r="A1717" s="5" t="str">
        <f ca="1">IFERROR(__xludf.DUMMYFUNCTION("""COMPUTED_VALUE"""),"39296")</f>
        <v>39296</v>
      </c>
      <c r="B1717" s="51">
        <f ca="1">IFERROR(__xludf.DUMMYFUNCTION("""COMPUTED_VALUE"""),44608)</f>
        <v>44608</v>
      </c>
      <c r="C1717" s="22">
        <f ca="1">IFERROR(__xludf.DUMMYFUNCTION("""COMPUTED_VALUE"""),30000)</f>
        <v>30000</v>
      </c>
      <c r="D1717" s="22">
        <f ca="1">IFERROR(__xludf.DUMMYFUNCTION("""COMPUTED_VALUE"""),470000)</f>
        <v>470000</v>
      </c>
      <c r="E1717" s="22">
        <f ca="1">IFERROR(__xludf.DUMMYFUNCTION("""COMPUTED_VALUE"""),500000)</f>
        <v>500000</v>
      </c>
      <c r="F1717" s="22">
        <f ca="1">IFERROR(__xludf.DUMMYFUNCTION("""COMPUTED_VALUE"""),30000)</f>
        <v>30000</v>
      </c>
      <c r="G1717" s="22">
        <f ca="1">IFERROR(__xludf.DUMMYFUNCTION("""COMPUTED_VALUE"""),0)</f>
        <v>0</v>
      </c>
      <c r="H1717" s="7">
        <f ca="1">IFERROR(__xludf.DUMMYFUNCTION("""COMPUTED_VALUE"""),506200)</f>
        <v>506200</v>
      </c>
    </row>
    <row r="1718" spans="1:8" ht="13" x14ac:dyDescent="0.15">
      <c r="A1718" s="5" t="str">
        <f ca="1">IFERROR(__xludf.DUMMYFUNCTION("""COMPUTED_VALUE"""),"39296")</f>
        <v>39296</v>
      </c>
      <c r="B1718" s="51">
        <f ca="1">IFERROR(__xludf.DUMMYFUNCTION("""COMPUTED_VALUE"""),44609)</f>
        <v>44609</v>
      </c>
      <c r="C1718" s="22">
        <f ca="1">IFERROR(__xludf.DUMMYFUNCTION("""COMPUTED_VALUE"""),30000)</f>
        <v>30000</v>
      </c>
      <c r="D1718" s="22">
        <f ca="1">IFERROR(__xludf.DUMMYFUNCTION("""COMPUTED_VALUE"""),470000)</f>
        <v>470000</v>
      </c>
      <c r="E1718" s="22">
        <f ca="1">IFERROR(__xludf.DUMMYFUNCTION("""COMPUTED_VALUE"""),500000)</f>
        <v>500000</v>
      </c>
      <c r="F1718" s="22">
        <f ca="1">IFERROR(__xludf.DUMMYFUNCTION("""COMPUTED_VALUE"""),30000)</f>
        <v>30000</v>
      </c>
      <c r="G1718" s="22">
        <f ca="1">IFERROR(__xludf.DUMMYFUNCTION("""COMPUTED_VALUE"""),0)</f>
        <v>0</v>
      </c>
      <c r="H1718" s="7">
        <f ca="1">IFERROR(__xludf.DUMMYFUNCTION("""COMPUTED_VALUE"""),509000)</f>
        <v>509000</v>
      </c>
    </row>
    <row r="1719" spans="1:8" ht="13" x14ac:dyDescent="0.15">
      <c r="A1719" s="5" t="str">
        <f ca="1">IFERROR(__xludf.DUMMYFUNCTION("""COMPUTED_VALUE"""),"39296")</f>
        <v>39296</v>
      </c>
      <c r="B1719" s="51">
        <f ca="1">IFERROR(__xludf.DUMMYFUNCTION("""COMPUTED_VALUE"""),44610)</f>
        <v>44610</v>
      </c>
      <c r="C1719" s="22">
        <f ca="1">IFERROR(__xludf.DUMMYFUNCTION("""COMPUTED_VALUE"""),30000)</f>
        <v>30000</v>
      </c>
      <c r="D1719" s="22">
        <f ca="1">IFERROR(__xludf.DUMMYFUNCTION("""COMPUTED_VALUE"""),470000)</f>
        <v>470000</v>
      </c>
      <c r="E1719" s="22">
        <f ca="1">IFERROR(__xludf.DUMMYFUNCTION("""COMPUTED_VALUE"""),500000)</f>
        <v>500000</v>
      </c>
      <c r="F1719" s="22">
        <f ca="1">IFERROR(__xludf.DUMMYFUNCTION("""COMPUTED_VALUE"""),30000)</f>
        <v>30000</v>
      </c>
      <c r="G1719" s="22">
        <f ca="1">IFERROR(__xludf.DUMMYFUNCTION("""COMPUTED_VALUE"""),0)</f>
        <v>0</v>
      </c>
      <c r="H1719" s="7">
        <f ca="1">IFERROR(__xludf.DUMMYFUNCTION("""COMPUTED_VALUE"""),500000)</f>
        <v>500000</v>
      </c>
    </row>
    <row r="1720" spans="1:8" ht="13" x14ac:dyDescent="0.15">
      <c r="A1720" s="5" t="str">
        <f ca="1">IFERROR(__xludf.DUMMYFUNCTION("""COMPUTED_VALUE"""),"39296")</f>
        <v>39296</v>
      </c>
      <c r="B1720" s="51">
        <f ca="1">IFERROR(__xludf.DUMMYFUNCTION("""COMPUTED_VALUE"""),44611)</f>
        <v>44611</v>
      </c>
      <c r="C1720" s="22">
        <f ca="1">IFERROR(__xludf.DUMMYFUNCTION("""COMPUTED_VALUE"""),30000)</f>
        <v>30000</v>
      </c>
      <c r="D1720" s="22">
        <f ca="1">IFERROR(__xludf.DUMMYFUNCTION("""COMPUTED_VALUE"""),470000)</f>
        <v>470000</v>
      </c>
      <c r="E1720" s="22">
        <f ca="1">IFERROR(__xludf.DUMMYFUNCTION("""COMPUTED_VALUE"""),500000)</f>
        <v>500000</v>
      </c>
      <c r="F1720" s="22">
        <f ca="1">IFERROR(__xludf.DUMMYFUNCTION("""COMPUTED_VALUE"""),30000)</f>
        <v>30000</v>
      </c>
      <c r="G1720" s="22">
        <f ca="1">IFERROR(__xludf.DUMMYFUNCTION("""COMPUTED_VALUE"""),0)</f>
        <v>0</v>
      </c>
      <c r="H1720" s="7">
        <f ca="1">IFERROR(__xludf.DUMMYFUNCTION("""COMPUTED_VALUE"""),500000)</f>
        <v>500000</v>
      </c>
    </row>
    <row r="1721" spans="1:8" ht="13" x14ac:dyDescent="0.15">
      <c r="A1721" s="5" t="str">
        <f ca="1">IFERROR(__xludf.DUMMYFUNCTION("""COMPUTED_VALUE"""),"39296")</f>
        <v>39296</v>
      </c>
      <c r="B1721" s="51">
        <f ca="1">IFERROR(__xludf.DUMMYFUNCTION("""COMPUTED_VALUE"""),44612)</f>
        <v>44612</v>
      </c>
      <c r="C1721" s="22">
        <f ca="1">IFERROR(__xludf.DUMMYFUNCTION("""COMPUTED_VALUE"""),30000)</f>
        <v>30000</v>
      </c>
      <c r="D1721" s="22">
        <f ca="1">IFERROR(__xludf.DUMMYFUNCTION("""COMPUTED_VALUE"""),470000)</f>
        <v>470000</v>
      </c>
      <c r="E1721" s="22">
        <f ca="1">IFERROR(__xludf.DUMMYFUNCTION("""COMPUTED_VALUE"""),500000)</f>
        <v>500000</v>
      </c>
      <c r="F1721" s="22">
        <f ca="1">IFERROR(__xludf.DUMMYFUNCTION("""COMPUTED_VALUE"""),30000)</f>
        <v>30000</v>
      </c>
      <c r="G1721" s="22">
        <f ca="1">IFERROR(__xludf.DUMMYFUNCTION("""COMPUTED_VALUE"""),0)</f>
        <v>0</v>
      </c>
      <c r="H1721" s="7">
        <f ca="1">IFERROR(__xludf.DUMMYFUNCTION("""COMPUTED_VALUE"""),500000)</f>
        <v>500000</v>
      </c>
    </row>
    <row r="1722" spans="1:8" ht="13" x14ac:dyDescent="0.15">
      <c r="A1722" s="5" t="str">
        <f ca="1">IFERROR(__xludf.DUMMYFUNCTION("""COMPUTED_VALUE"""),"39296")</f>
        <v>39296</v>
      </c>
      <c r="B1722" s="51">
        <f ca="1">IFERROR(__xludf.DUMMYFUNCTION("""COMPUTED_VALUE"""),44613)</f>
        <v>44613</v>
      </c>
      <c r="C1722" s="22">
        <f ca="1">IFERROR(__xludf.DUMMYFUNCTION("""COMPUTED_VALUE"""),30000)</f>
        <v>30000</v>
      </c>
      <c r="D1722" s="22">
        <f ca="1">IFERROR(__xludf.DUMMYFUNCTION("""COMPUTED_VALUE"""),470000)</f>
        <v>470000</v>
      </c>
      <c r="E1722" s="22">
        <f ca="1">IFERROR(__xludf.DUMMYFUNCTION("""COMPUTED_VALUE"""),500000)</f>
        <v>500000</v>
      </c>
      <c r="F1722" s="22">
        <f ca="1">IFERROR(__xludf.DUMMYFUNCTION("""COMPUTED_VALUE"""),30000)</f>
        <v>30000</v>
      </c>
      <c r="G1722" s="22">
        <f ca="1">IFERROR(__xludf.DUMMYFUNCTION("""COMPUTED_VALUE"""),0)</f>
        <v>0</v>
      </c>
      <c r="H1722" s="7">
        <f ca="1">IFERROR(__xludf.DUMMYFUNCTION("""COMPUTED_VALUE"""),475400)</f>
        <v>475400</v>
      </c>
    </row>
    <row r="1723" spans="1:8" ht="13" x14ac:dyDescent="0.15">
      <c r="A1723" s="5" t="str">
        <f ca="1">IFERROR(__xludf.DUMMYFUNCTION("""COMPUTED_VALUE"""),"39296")</f>
        <v>39296</v>
      </c>
      <c r="B1723" s="51">
        <f ca="1">IFERROR(__xludf.DUMMYFUNCTION("""COMPUTED_VALUE"""),44614)</f>
        <v>44614</v>
      </c>
      <c r="C1723" s="22">
        <f ca="1">IFERROR(__xludf.DUMMYFUNCTION("""COMPUTED_VALUE"""),30000)</f>
        <v>30000</v>
      </c>
      <c r="D1723" s="22">
        <f ca="1">IFERROR(__xludf.DUMMYFUNCTION("""COMPUTED_VALUE"""),470000)</f>
        <v>470000</v>
      </c>
      <c r="E1723" s="22">
        <f ca="1">IFERROR(__xludf.DUMMYFUNCTION("""COMPUTED_VALUE"""),500000)</f>
        <v>500000</v>
      </c>
      <c r="F1723" s="22">
        <f ca="1">IFERROR(__xludf.DUMMYFUNCTION("""COMPUTED_VALUE"""),30000)</f>
        <v>30000</v>
      </c>
      <c r="G1723" s="22">
        <f ca="1">IFERROR(__xludf.DUMMYFUNCTION("""COMPUTED_VALUE"""),0)</f>
        <v>0</v>
      </c>
      <c r="H1723" s="7">
        <f ca="1">IFERROR(__xludf.DUMMYFUNCTION("""COMPUTED_VALUE"""),474800)</f>
        <v>474800</v>
      </c>
    </row>
    <row r="1724" spans="1:8" ht="13" x14ac:dyDescent="0.15">
      <c r="A1724" s="5" t="str">
        <f ca="1">IFERROR(__xludf.DUMMYFUNCTION("""COMPUTED_VALUE"""),"39296")</f>
        <v>39296</v>
      </c>
      <c r="B1724" s="51">
        <f ca="1">IFERROR(__xludf.DUMMYFUNCTION("""COMPUTED_VALUE"""),44615)</f>
        <v>44615</v>
      </c>
      <c r="C1724" s="22">
        <f ca="1">IFERROR(__xludf.DUMMYFUNCTION("""COMPUTED_VALUE"""),30000)</f>
        <v>30000</v>
      </c>
      <c r="D1724" s="22">
        <f ca="1">IFERROR(__xludf.DUMMYFUNCTION("""COMPUTED_VALUE"""),470000)</f>
        <v>470000</v>
      </c>
      <c r="E1724" s="22">
        <f ca="1">IFERROR(__xludf.DUMMYFUNCTION("""COMPUTED_VALUE"""),500000)</f>
        <v>500000</v>
      </c>
      <c r="F1724" s="22">
        <f ca="1">IFERROR(__xludf.DUMMYFUNCTION("""COMPUTED_VALUE"""),30000)</f>
        <v>30000</v>
      </c>
      <c r="G1724" s="22">
        <f ca="1">IFERROR(__xludf.DUMMYFUNCTION("""COMPUTED_VALUE"""),0)</f>
        <v>0</v>
      </c>
      <c r="H1724" s="7">
        <f ca="1">IFERROR(__xludf.DUMMYFUNCTION("""COMPUTED_VALUE"""),475000)</f>
        <v>475000</v>
      </c>
    </row>
    <row r="1725" spans="1:8" ht="13" x14ac:dyDescent="0.15">
      <c r="A1725" s="5" t="str">
        <f ca="1">IFERROR(__xludf.DUMMYFUNCTION("""COMPUTED_VALUE"""),"39296")</f>
        <v>39296</v>
      </c>
      <c r="B1725" s="51">
        <f ca="1">IFERROR(__xludf.DUMMYFUNCTION("""COMPUTED_VALUE"""),44616)</f>
        <v>44616</v>
      </c>
      <c r="C1725" s="22">
        <f ca="1">IFERROR(__xludf.DUMMYFUNCTION("""COMPUTED_VALUE"""),30000)</f>
        <v>30000</v>
      </c>
      <c r="D1725" s="22">
        <f ca="1">IFERROR(__xludf.DUMMYFUNCTION("""COMPUTED_VALUE"""),470000)</f>
        <v>470000</v>
      </c>
      <c r="E1725" s="22">
        <f ca="1">IFERROR(__xludf.DUMMYFUNCTION("""COMPUTED_VALUE"""),500000)</f>
        <v>500000</v>
      </c>
      <c r="F1725" s="22">
        <f ca="1">IFERROR(__xludf.DUMMYFUNCTION("""COMPUTED_VALUE"""),30000)</f>
        <v>30000</v>
      </c>
      <c r="G1725" s="22">
        <f ca="1">IFERROR(__xludf.DUMMYFUNCTION("""COMPUTED_VALUE"""),0)</f>
        <v>0</v>
      </c>
      <c r="H1725" s="7">
        <f ca="1">IFERROR(__xludf.DUMMYFUNCTION("""COMPUTED_VALUE"""),457800)</f>
        <v>457800</v>
      </c>
    </row>
    <row r="1726" spans="1:8" ht="13" x14ac:dyDescent="0.15">
      <c r="A1726" s="5" t="str">
        <f ca="1">IFERROR(__xludf.DUMMYFUNCTION("""COMPUTED_VALUE"""),"39296")</f>
        <v>39296</v>
      </c>
      <c r="B1726" s="51">
        <f ca="1">IFERROR(__xludf.DUMMYFUNCTION("""COMPUTED_VALUE"""),44617)</f>
        <v>44617</v>
      </c>
      <c r="C1726" s="22">
        <f ca="1">IFERROR(__xludf.DUMMYFUNCTION("""COMPUTED_VALUE"""),30000)</f>
        <v>30000</v>
      </c>
      <c r="D1726" s="22">
        <f ca="1">IFERROR(__xludf.DUMMYFUNCTION("""COMPUTED_VALUE"""),470000)</f>
        <v>470000</v>
      </c>
      <c r="E1726" s="22">
        <f ca="1">IFERROR(__xludf.DUMMYFUNCTION("""COMPUTED_VALUE"""),500000)</f>
        <v>500000</v>
      </c>
      <c r="F1726" s="22">
        <f ca="1">IFERROR(__xludf.DUMMYFUNCTION("""COMPUTED_VALUE"""),30000)</f>
        <v>30000</v>
      </c>
      <c r="G1726" s="22">
        <f ca="1">IFERROR(__xludf.DUMMYFUNCTION("""COMPUTED_VALUE"""),0)</f>
        <v>0</v>
      </c>
      <c r="H1726" s="7">
        <f ca="1">IFERROR(__xludf.DUMMYFUNCTION("""COMPUTED_VALUE"""),454000)</f>
        <v>454000</v>
      </c>
    </row>
    <row r="1727" spans="1:8" ht="13" x14ac:dyDescent="0.15">
      <c r="A1727" s="5" t="str">
        <f ca="1">IFERROR(__xludf.DUMMYFUNCTION("""COMPUTED_VALUE"""),"39296")</f>
        <v>39296</v>
      </c>
      <c r="B1727" s="51">
        <f ca="1">IFERROR(__xludf.DUMMYFUNCTION("""COMPUTED_VALUE"""),44618)</f>
        <v>44618</v>
      </c>
      <c r="C1727" s="22">
        <f ca="1">IFERROR(__xludf.DUMMYFUNCTION("""COMPUTED_VALUE"""),30000)</f>
        <v>30000</v>
      </c>
      <c r="D1727" s="22">
        <f ca="1">IFERROR(__xludf.DUMMYFUNCTION("""COMPUTED_VALUE"""),470000)</f>
        <v>470000</v>
      </c>
      <c r="E1727" s="22">
        <f ca="1">IFERROR(__xludf.DUMMYFUNCTION("""COMPUTED_VALUE"""),500000)</f>
        <v>500000</v>
      </c>
      <c r="F1727" s="22">
        <f ca="1">IFERROR(__xludf.DUMMYFUNCTION("""COMPUTED_VALUE"""),30000)</f>
        <v>30000</v>
      </c>
      <c r="G1727" s="22">
        <f ca="1">IFERROR(__xludf.DUMMYFUNCTION("""COMPUTED_VALUE"""),0)</f>
        <v>0</v>
      </c>
      <c r="H1727" s="7">
        <f ca="1">IFERROR(__xludf.DUMMYFUNCTION("""COMPUTED_VALUE"""),454000)</f>
        <v>454000</v>
      </c>
    </row>
    <row r="1728" spans="1:8" ht="13" x14ac:dyDescent="0.15">
      <c r="A1728" s="5" t="str">
        <f ca="1">IFERROR(__xludf.DUMMYFUNCTION("""COMPUTED_VALUE"""),"39296")</f>
        <v>39296</v>
      </c>
      <c r="B1728" s="51">
        <f ca="1">IFERROR(__xludf.DUMMYFUNCTION("""COMPUTED_VALUE"""),44619)</f>
        <v>44619</v>
      </c>
      <c r="C1728" s="22">
        <f ca="1">IFERROR(__xludf.DUMMYFUNCTION("""COMPUTED_VALUE"""),30000)</f>
        <v>30000</v>
      </c>
      <c r="D1728" s="22">
        <f ca="1">IFERROR(__xludf.DUMMYFUNCTION("""COMPUTED_VALUE"""),470000)</f>
        <v>470000</v>
      </c>
      <c r="E1728" s="22">
        <f ca="1">IFERROR(__xludf.DUMMYFUNCTION("""COMPUTED_VALUE"""),500000)</f>
        <v>500000</v>
      </c>
      <c r="F1728" s="22">
        <f ca="1">IFERROR(__xludf.DUMMYFUNCTION("""COMPUTED_VALUE"""),30000)</f>
        <v>30000</v>
      </c>
      <c r="G1728" s="22">
        <f ca="1">IFERROR(__xludf.DUMMYFUNCTION("""COMPUTED_VALUE"""),0)</f>
        <v>0</v>
      </c>
      <c r="H1728" s="7">
        <f ca="1">IFERROR(__xludf.DUMMYFUNCTION("""COMPUTED_VALUE"""),454000)</f>
        <v>454000</v>
      </c>
    </row>
    <row r="1729" spans="1:8" ht="13" x14ac:dyDescent="0.15">
      <c r="A1729" s="5" t="str">
        <f ca="1">IFERROR(__xludf.DUMMYFUNCTION("""COMPUTED_VALUE"""),"39296")</f>
        <v>39296</v>
      </c>
      <c r="B1729" s="51">
        <f ca="1">IFERROR(__xludf.DUMMYFUNCTION("""COMPUTED_VALUE"""),44620)</f>
        <v>44620</v>
      </c>
      <c r="C1729" s="22">
        <f ca="1">IFERROR(__xludf.DUMMYFUNCTION("""COMPUTED_VALUE"""),30000)</f>
        <v>30000</v>
      </c>
      <c r="D1729" s="22">
        <f ca="1">IFERROR(__xludf.DUMMYFUNCTION("""COMPUTED_VALUE"""),470000)</f>
        <v>470000</v>
      </c>
      <c r="E1729" s="22">
        <f ca="1">IFERROR(__xludf.DUMMYFUNCTION("""COMPUTED_VALUE"""),500000)</f>
        <v>500000</v>
      </c>
      <c r="F1729" s="22">
        <f ca="1">IFERROR(__xludf.DUMMYFUNCTION("""COMPUTED_VALUE"""),30000)</f>
        <v>30000</v>
      </c>
      <c r="G1729" s="22">
        <f ca="1">IFERROR(__xludf.DUMMYFUNCTION("""COMPUTED_VALUE"""),0)</f>
        <v>0</v>
      </c>
      <c r="H1729" s="7">
        <f ca="1">IFERROR(__xludf.DUMMYFUNCTION("""COMPUTED_VALUE"""),451200)</f>
        <v>451200</v>
      </c>
    </row>
    <row r="1730" spans="1:8" ht="13" x14ac:dyDescent="0.15">
      <c r="A1730" s="5" t="str">
        <f ca="1">IFERROR(__xludf.DUMMYFUNCTION("""COMPUTED_VALUE"""),"39296")</f>
        <v>39296</v>
      </c>
      <c r="B1730" s="51">
        <f ca="1">IFERROR(__xludf.DUMMYFUNCTION("""COMPUTED_VALUE"""),44621)</f>
        <v>44621</v>
      </c>
      <c r="C1730" s="22">
        <f ca="1">IFERROR(__xludf.DUMMYFUNCTION("""COMPUTED_VALUE"""),30000)</f>
        <v>30000</v>
      </c>
      <c r="D1730" s="22">
        <f ca="1">IFERROR(__xludf.DUMMYFUNCTION("""COMPUTED_VALUE"""),470000)</f>
        <v>470000</v>
      </c>
      <c r="E1730" s="22">
        <f ca="1">IFERROR(__xludf.DUMMYFUNCTION("""COMPUTED_VALUE"""),500000)</f>
        <v>500000</v>
      </c>
      <c r="F1730" s="22">
        <f ca="1">IFERROR(__xludf.DUMMYFUNCTION("""COMPUTED_VALUE"""),30000)</f>
        <v>30000</v>
      </c>
      <c r="G1730" s="22">
        <f ca="1">IFERROR(__xludf.DUMMYFUNCTION("""COMPUTED_VALUE"""),0)</f>
        <v>0</v>
      </c>
      <c r="H1730" s="7">
        <f ca="1">IFERROR(__xludf.DUMMYFUNCTION("""COMPUTED_VALUE"""),461000)</f>
        <v>461000</v>
      </c>
    </row>
    <row r="1731" spans="1:8" ht="13" x14ac:dyDescent="0.15">
      <c r="A1731" s="5" t="str">
        <f ca="1">IFERROR(__xludf.DUMMYFUNCTION("""COMPUTED_VALUE"""),"39296")</f>
        <v>39296</v>
      </c>
      <c r="B1731" s="51">
        <f ca="1">IFERROR(__xludf.DUMMYFUNCTION("""COMPUTED_VALUE"""),44622)</f>
        <v>44622</v>
      </c>
      <c r="C1731" s="22">
        <f ca="1">IFERROR(__xludf.DUMMYFUNCTION("""COMPUTED_VALUE"""),30000)</f>
        <v>30000</v>
      </c>
      <c r="D1731" s="22">
        <f ca="1">IFERROR(__xludf.DUMMYFUNCTION("""COMPUTED_VALUE"""),470000)</f>
        <v>470000</v>
      </c>
      <c r="E1731" s="22">
        <f ca="1">IFERROR(__xludf.DUMMYFUNCTION("""COMPUTED_VALUE"""),500000)</f>
        <v>500000</v>
      </c>
      <c r="F1731" s="22">
        <f ca="1">IFERROR(__xludf.DUMMYFUNCTION("""COMPUTED_VALUE"""),30000)</f>
        <v>30000</v>
      </c>
      <c r="G1731" s="22">
        <f ca="1">IFERROR(__xludf.DUMMYFUNCTION("""COMPUTED_VALUE"""),0)</f>
        <v>0</v>
      </c>
      <c r="H1731" s="7">
        <f ca="1">IFERROR(__xludf.DUMMYFUNCTION("""COMPUTED_VALUE"""),453400)</f>
        <v>453400</v>
      </c>
    </row>
    <row r="1732" spans="1:8" ht="13" x14ac:dyDescent="0.15">
      <c r="A1732" s="5" t="str">
        <f ca="1">IFERROR(__xludf.DUMMYFUNCTION("""COMPUTED_VALUE"""),"39296")</f>
        <v>39296</v>
      </c>
      <c r="B1732" s="51">
        <f ca="1">IFERROR(__xludf.DUMMYFUNCTION("""COMPUTED_VALUE"""),44623)</f>
        <v>44623</v>
      </c>
      <c r="C1732" s="22">
        <f ca="1">IFERROR(__xludf.DUMMYFUNCTION("""COMPUTED_VALUE"""),30000)</f>
        <v>30000</v>
      </c>
      <c r="D1732" s="22">
        <f ca="1">IFERROR(__xludf.DUMMYFUNCTION("""COMPUTED_VALUE"""),470000)</f>
        <v>470000</v>
      </c>
      <c r="E1732" s="22">
        <f ca="1">IFERROR(__xludf.DUMMYFUNCTION("""COMPUTED_VALUE"""),500000)</f>
        <v>500000</v>
      </c>
      <c r="F1732" s="22">
        <f ca="1">IFERROR(__xludf.DUMMYFUNCTION("""COMPUTED_VALUE"""),30000)</f>
        <v>30000</v>
      </c>
      <c r="G1732" s="22">
        <f ca="1">IFERROR(__xludf.DUMMYFUNCTION("""COMPUTED_VALUE"""),0)</f>
        <v>0</v>
      </c>
      <c r="H1732" s="7">
        <f ca="1">IFERROR(__xludf.DUMMYFUNCTION("""COMPUTED_VALUE"""),448800)</f>
        <v>448800</v>
      </c>
    </row>
    <row r="1733" spans="1:8" ht="13" x14ac:dyDescent="0.15">
      <c r="A1733" s="5" t="str">
        <f ca="1">IFERROR(__xludf.DUMMYFUNCTION("""COMPUTED_VALUE"""),"39296")</f>
        <v>39296</v>
      </c>
      <c r="B1733" s="51">
        <f ca="1">IFERROR(__xludf.DUMMYFUNCTION("""COMPUTED_VALUE"""),44624)</f>
        <v>44624</v>
      </c>
      <c r="C1733" s="22">
        <f ca="1">IFERROR(__xludf.DUMMYFUNCTION("""COMPUTED_VALUE"""),30000)</f>
        <v>30000</v>
      </c>
      <c r="D1733" s="22">
        <f ca="1">IFERROR(__xludf.DUMMYFUNCTION("""COMPUTED_VALUE"""),470000)</f>
        <v>470000</v>
      </c>
      <c r="E1733" s="22">
        <f ca="1">IFERROR(__xludf.DUMMYFUNCTION("""COMPUTED_VALUE"""),500000)</f>
        <v>500000</v>
      </c>
      <c r="F1733" s="22">
        <f ca="1">IFERROR(__xludf.DUMMYFUNCTION("""COMPUTED_VALUE"""),30000)</f>
        <v>30000</v>
      </c>
      <c r="G1733" s="22">
        <f ca="1">IFERROR(__xludf.DUMMYFUNCTION("""COMPUTED_VALUE"""),0)</f>
        <v>0</v>
      </c>
      <c r="H1733" s="7">
        <f ca="1">IFERROR(__xludf.DUMMYFUNCTION("""COMPUTED_VALUE"""),433200)</f>
        <v>433200</v>
      </c>
    </row>
    <row r="1734" spans="1:8" ht="13" x14ac:dyDescent="0.15">
      <c r="A1734" s="5" t="str">
        <f ca="1">IFERROR(__xludf.DUMMYFUNCTION("""COMPUTED_VALUE"""),"39296")</f>
        <v>39296</v>
      </c>
      <c r="B1734" s="51">
        <f ca="1">IFERROR(__xludf.DUMMYFUNCTION("""COMPUTED_VALUE"""),44625)</f>
        <v>44625</v>
      </c>
      <c r="C1734" s="22">
        <f ca="1">IFERROR(__xludf.DUMMYFUNCTION("""COMPUTED_VALUE"""),30000)</f>
        <v>30000</v>
      </c>
      <c r="D1734" s="22">
        <f ca="1">IFERROR(__xludf.DUMMYFUNCTION("""COMPUTED_VALUE"""),470000)</f>
        <v>470000</v>
      </c>
      <c r="E1734" s="22">
        <f ca="1">IFERROR(__xludf.DUMMYFUNCTION("""COMPUTED_VALUE"""),500000)</f>
        <v>500000</v>
      </c>
      <c r="F1734" s="22">
        <f ca="1">IFERROR(__xludf.DUMMYFUNCTION("""COMPUTED_VALUE"""),30000)</f>
        <v>30000</v>
      </c>
      <c r="G1734" s="22">
        <f ca="1">IFERROR(__xludf.DUMMYFUNCTION("""COMPUTED_VALUE"""),0)</f>
        <v>0</v>
      </c>
      <c r="H1734" s="7">
        <f ca="1">IFERROR(__xludf.DUMMYFUNCTION("""COMPUTED_VALUE"""),433200)</f>
        <v>433200</v>
      </c>
    </row>
    <row r="1735" spans="1:8" ht="13" x14ac:dyDescent="0.15">
      <c r="A1735" s="5" t="str">
        <f ca="1">IFERROR(__xludf.DUMMYFUNCTION("""COMPUTED_VALUE"""),"39296")</f>
        <v>39296</v>
      </c>
      <c r="B1735" s="51">
        <f ca="1">IFERROR(__xludf.DUMMYFUNCTION("""COMPUTED_VALUE"""),44626)</f>
        <v>44626</v>
      </c>
      <c r="C1735" s="22">
        <f ca="1">IFERROR(__xludf.DUMMYFUNCTION("""COMPUTED_VALUE"""),30000)</f>
        <v>30000</v>
      </c>
      <c r="D1735" s="22">
        <f ca="1">IFERROR(__xludf.DUMMYFUNCTION("""COMPUTED_VALUE"""),470000)</f>
        <v>470000</v>
      </c>
      <c r="E1735" s="22">
        <f ca="1">IFERROR(__xludf.DUMMYFUNCTION("""COMPUTED_VALUE"""),500000)</f>
        <v>500000</v>
      </c>
      <c r="F1735" s="22">
        <f ca="1">IFERROR(__xludf.DUMMYFUNCTION("""COMPUTED_VALUE"""),30000)</f>
        <v>30000</v>
      </c>
      <c r="G1735" s="22">
        <f ca="1">IFERROR(__xludf.DUMMYFUNCTION("""COMPUTED_VALUE"""),0)</f>
        <v>0</v>
      </c>
      <c r="H1735" s="7">
        <f ca="1">IFERROR(__xludf.DUMMYFUNCTION("""COMPUTED_VALUE"""),433200)</f>
        <v>433200</v>
      </c>
    </row>
    <row r="1736" spans="1:8" ht="13" x14ac:dyDescent="0.15">
      <c r="A1736" s="5" t="str">
        <f ca="1">IFERROR(__xludf.DUMMYFUNCTION("""COMPUTED_VALUE"""),"39296")</f>
        <v>39296</v>
      </c>
      <c r="B1736" s="51">
        <f ca="1">IFERROR(__xludf.DUMMYFUNCTION("""COMPUTED_VALUE"""),44627)</f>
        <v>44627</v>
      </c>
      <c r="C1736" s="22">
        <f ca="1">IFERROR(__xludf.DUMMYFUNCTION("""COMPUTED_VALUE"""),30000)</f>
        <v>30000</v>
      </c>
      <c r="D1736" s="22">
        <f ca="1">IFERROR(__xludf.DUMMYFUNCTION("""COMPUTED_VALUE"""),470000)</f>
        <v>470000</v>
      </c>
      <c r="E1736" s="22">
        <f ca="1">IFERROR(__xludf.DUMMYFUNCTION("""COMPUTED_VALUE"""),500000)</f>
        <v>500000</v>
      </c>
      <c r="F1736" s="22">
        <f ca="1">IFERROR(__xludf.DUMMYFUNCTION("""COMPUTED_VALUE"""),30000)</f>
        <v>30000</v>
      </c>
      <c r="G1736" s="22">
        <f ca="1">IFERROR(__xludf.DUMMYFUNCTION("""COMPUTED_VALUE"""),0)</f>
        <v>0</v>
      </c>
      <c r="H1736" s="7">
        <f ca="1">IFERROR(__xludf.DUMMYFUNCTION("""COMPUTED_VALUE"""),418000)</f>
        <v>418000</v>
      </c>
    </row>
    <row r="1737" spans="1:8" ht="13" x14ac:dyDescent="0.15">
      <c r="A1737" s="5" t="str">
        <f ca="1">IFERROR(__xludf.DUMMYFUNCTION("""COMPUTED_VALUE"""),"39296")</f>
        <v>39296</v>
      </c>
      <c r="B1737" s="51">
        <f ca="1">IFERROR(__xludf.DUMMYFUNCTION("""COMPUTED_VALUE"""),44628)</f>
        <v>44628</v>
      </c>
      <c r="C1737" s="22">
        <f ca="1">IFERROR(__xludf.DUMMYFUNCTION("""COMPUTED_VALUE"""),30000)</f>
        <v>30000</v>
      </c>
      <c r="D1737" s="22">
        <f ca="1">IFERROR(__xludf.DUMMYFUNCTION("""COMPUTED_VALUE"""),470000)</f>
        <v>470000</v>
      </c>
      <c r="E1737" s="22">
        <f ca="1">IFERROR(__xludf.DUMMYFUNCTION("""COMPUTED_VALUE"""),500000)</f>
        <v>500000</v>
      </c>
      <c r="F1737" s="22">
        <f ca="1">IFERROR(__xludf.DUMMYFUNCTION("""COMPUTED_VALUE"""),30000)</f>
        <v>30000</v>
      </c>
      <c r="G1737" s="22">
        <f ca="1">IFERROR(__xludf.DUMMYFUNCTION("""COMPUTED_VALUE"""),0)</f>
        <v>0</v>
      </c>
      <c r="H1737" s="7">
        <f ca="1">IFERROR(__xludf.DUMMYFUNCTION("""COMPUTED_VALUE"""),413200)</f>
        <v>413200</v>
      </c>
    </row>
    <row r="1738" spans="1:8" ht="13" x14ac:dyDescent="0.15">
      <c r="A1738" s="5" t="str">
        <f ca="1">IFERROR(__xludf.DUMMYFUNCTION("""COMPUTED_VALUE"""),"39296")</f>
        <v>39296</v>
      </c>
      <c r="B1738" s="51">
        <f ca="1">IFERROR(__xludf.DUMMYFUNCTION("""COMPUTED_VALUE"""),44629)</f>
        <v>44629</v>
      </c>
      <c r="C1738" s="22">
        <f ca="1">IFERROR(__xludf.DUMMYFUNCTION("""COMPUTED_VALUE"""),30000)</f>
        <v>30000</v>
      </c>
      <c r="D1738" s="22">
        <f ca="1">IFERROR(__xludf.DUMMYFUNCTION("""COMPUTED_VALUE"""),470000)</f>
        <v>470000</v>
      </c>
      <c r="E1738" s="22">
        <f ca="1">IFERROR(__xludf.DUMMYFUNCTION("""COMPUTED_VALUE"""),500000)</f>
        <v>500000</v>
      </c>
      <c r="F1738" s="22">
        <f ca="1">IFERROR(__xludf.DUMMYFUNCTION("""COMPUTED_VALUE"""),30000)</f>
        <v>30000</v>
      </c>
      <c r="G1738" s="22">
        <f ca="1">IFERROR(__xludf.DUMMYFUNCTION("""COMPUTED_VALUE"""),0)</f>
        <v>0</v>
      </c>
      <c r="H1738" s="7">
        <f ca="1">IFERROR(__xludf.DUMMYFUNCTION("""COMPUTED_VALUE"""),414800)</f>
        <v>414800</v>
      </c>
    </row>
    <row r="1739" spans="1:8" ht="13" x14ac:dyDescent="0.15">
      <c r="A1739" s="5" t="str">
        <f ca="1">IFERROR(__xludf.DUMMYFUNCTION("""COMPUTED_VALUE"""),"39296")</f>
        <v>39296</v>
      </c>
      <c r="B1739" s="51">
        <f ca="1">IFERROR(__xludf.DUMMYFUNCTION("""COMPUTED_VALUE"""),44630)</f>
        <v>44630</v>
      </c>
      <c r="C1739" s="22">
        <f ca="1">IFERROR(__xludf.DUMMYFUNCTION("""COMPUTED_VALUE"""),30000)</f>
        <v>30000</v>
      </c>
      <c r="D1739" s="22">
        <f ca="1">IFERROR(__xludf.DUMMYFUNCTION("""COMPUTED_VALUE"""),470000)</f>
        <v>470000</v>
      </c>
      <c r="E1739" s="22">
        <f ca="1">IFERROR(__xludf.DUMMYFUNCTION("""COMPUTED_VALUE"""),500000)</f>
        <v>500000</v>
      </c>
      <c r="F1739" s="22">
        <f ca="1">IFERROR(__xludf.DUMMYFUNCTION("""COMPUTED_VALUE"""),30000)</f>
        <v>30000</v>
      </c>
      <c r="G1739" s="22">
        <f ca="1">IFERROR(__xludf.DUMMYFUNCTION("""COMPUTED_VALUE"""),0)</f>
        <v>0</v>
      </c>
      <c r="H1739" s="7">
        <f ca="1">IFERROR(__xludf.DUMMYFUNCTION("""COMPUTED_VALUE"""),415000)</f>
        <v>415000</v>
      </c>
    </row>
    <row r="1740" spans="1:8" ht="13" x14ac:dyDescent="0.15">
      <c r="A1740" s="5" t="str">
        <f ca="1">IFERROR(__xludf.DUMMYFUNCTION("""COMPUTED_VALUE"""),"39296")</f>
        <v>39296</v>
      </c>
      <c r="B1740" s="51">
        <f ca="1">IFERROR(__xludf.DUMMYFUNCTION("""COMPUTED_VALUE"""),44631)</f>
        <v>44631</v>
      </c>
      <c r="C1740" s="22">
        <f ca="1">IFERROR(__xludf.DUMMYFUNCTION("""COMPUTED_VALUE"""),30000)</f>
        <v>30000</v>
      </c>
      <c r="D1740" s="22">
        <f ca="1">IFERROR(__xludf.DUMMYFUNCTION("""COMPUTED_VALUE"""),470000)</f>
        <v>470000</v>
      </c>
      <c r="E1740" s="22">
        <f ca="1">IFERROR(__xludf.DUMMYFUNCTION("""COMPUTED_VALUE"""),500000)</f>
        <v>500000</v>
      </c>
      <c r="F1740" s="22">
        <f ca="1">IFERROR(__xludf.DUMMYFUNCTION("""COMPUTED_VALUE"""),30000)</f>
        <v>30000</v>
      </c>
      <c r="G1740" s="22">
        <f ca="1">IFERROR(__xludf.DUMMYFUNCTION("""COMPUTED_VALUE"""),0)</f>
        <v>0</v>
      </c>
      <c r="H1740" s="7">
        <f ca="1">IFERROR(__xludf.DUMMYFUNCTION("""COMPUTED_VALUE"""),397800)</f>
        <v>397800</v>
      </c>
    </row>
    <row r="1741" spans="1:8" ht="13" x14ac:dyDescent="0.15">
      <c r="A1741" s="5" t="str">
        <f ca="1">IFERROR(__xludf.DUMMYFUNCTION("""COMPUTED_VALUE"""),"39296")</f>
        <v>39296</v>
      </c>
      <c r="B1741" s="51">
        <f ca="1">IFERROR(__xludf.DUMMYFUNCTION("""COMPUTED_VALUE"""),44632)</f>
        <v>44632</v>
      </c>
      <c r="C1741" s="22">
        <f ca="1">IFERROR(__xludf.DUMMYFUNCTION("""COMPUTED_VALUE"""),30000)</f>
        <v>30000</v>
      </c>
      <c r="D1741" s="22">
        <f ca="1">IFERROR(__xludf.DUMMYFUNCTION("""COMPUTED_VALUE"""),470000)</f>
        <v>470000</v>
      </c>
      <c r="E1741" s="22">
        <f ca="1">IFERROR(__xludf.DUMMYFUNCTION("""COMPUTED_VALUE"""),500000)</f>
        <v>500000</v>
      </c>
      <c r="F1741" s="22">
        <f ca="1">IFERROR(__xludf.DUMMYFUNCTION("""COMPUTED_VALUE"""),30000)</f>
        <v>30000</v>
      </c>
      <c r="G1741" s="22">
        <f ca="1">IFERROR(__xludf.DUMMYFUNCTION("""COMPUTED_VALUE"""),0)</f>
        <v>0</v>
      </c>
      <c r="H1741" s="7">
        <f ca="1">IFERROR(__xludf.DUMMYFUNCTION("""COMPUTED_VALUE"""),397800)</f>
        <v>397800</v>
      </c>
    </row>
    <row r="1742" spans="1:8" ht="13" x14ac:dyDescent="0.15">
      <c r="A1742" s="5" t="str">
        <f ca="1">IFERROR(__xludf.DUMMYFUNCTION("""COMPUTED_VALUE"""),"39296")</f>
        <v>39296</v>
      </c>
      <c r="B1742" s="51">
        <f ca="1">IFERROR(__xludf.DUMMYFUNCTION("""COMPUTED_VALUE"""),44633)</f>
        <v>44633</v>
      </c>
      <c r="C1742" s="22">
        <f ca="1">IFERROR(__xludf.DUMMYFUNCTION("""COMPUTED_VALUE"""),30000)</f>
        <v>30000</v>
      </c>
      <c r="D1742" s="22">
        <f ca="1">IFERROR(__xludf.DUMMYFUNCTION("""COMPUTED_VALUE"""),470000)</f>
        <v>470000</v>
      </c>
      <c r="E1742" s="22">
        <f ca="1">IFERROR(__xludf.DUMMYFUNCTION("""COMPUTED_VALUE"""),500000)</f>
        <v>500000</v>
      </c>
      <c r="F1742" s="22">
        <f ca="1">IFERROR(__xludf.DUMMYFUNCTION("""COMPUTED_VALUE"""),30000)</f>
        <v>30000</v>
      </c>
      <c r="G1742" s="22">
        <f ca="1">IFERROR(__xludf.DUMMYFUNCTION("""COMPUTED_VALUE"""),0)</f>
        <v>0</v>
      </c>
      <c r="H1742" s="7">
        <f ca="1">IFERROR(__xludf.DUMMYFUNCTION("""COMPUTED_VALUE"""),397800)</f>
        <v>397800</v>
      </c>
    </row>
    <row r="1743" spans="1:8" ht="13" x14ac:dyDescent="0.15">
      <c r="A1743" s="5" t="str">
        <f ca="1">IFERROR(__xludf.DUMMYFUNCTION("""COMPUTED_VALUE"""),"39296")</f>
        <v>39296</v>
      </c>
      <c r="B1743" s="51">
        <f ca="1">IFERROR(__xludf.DUMMYFUNCTION("""COMPUTED_VALUE"""),44634)</f>
        <v>44634</v>
      </c>
      <c r="C1743" s="22">
        <f ca="1">IFERROR(__xludf.DUMMYFUNCTION("""COMPUTED_VALUE"""),30000)</f>
        <v>30000</v>
      </c>
      <c r="D1743" s="22">
        <f ca="1">IFERROR(__xludf.DUMMYFUNCTION("""COMPUTED_VALUE"""),470000)</f>
        <v>470000</v>
      </c>
      <c r="E1743" s="22">
        <f ca="1">IFERROR(__xludf.DUMMYFUNCTION("""COMPUTED_VALUE"""),500000)</f>
        <v>500000</v>
      </c>
      <c r="F1743" s="22">
        <f ca="1">IFERROR(__xludf.DUMMYFUNCTION("""COMPUTED_VALUE"""),30000)</f>
        <v>30000</v>
      </c>
      <c r="G1743" s="22">
        <f ca="1">IFERROR(__xludf.DUMMYFUNCTION("""COMPUTED_VALUE"""),0)</f>
        <v>0</v>
      </c>
      <c r="H1743" s="7">
        <f ca="1">IFERROR(__xludf.DUMMYFUNCTION("""COMPUTED_VALUE"""),361800)</f>
        <v>361800</v>
      </c>
    </row>
    <row r="1744" spans="1:8" ht="13" x14ac:dyDescent="0.15">
      <c r="A1744" s="5" t="str">
        <f ca="1">IFERROR(__xludf.DUMMYFUNCTION("""COMPUTED_VALUE"""),"39296")</f>
        <v>39296</v>
      </c>
      <c r="B1744" s="51">
        <f ca="1">IFERROR(__xludf.DUMMYFUNCTION("""COMPUTED_VALUE"""),44635)</f>
        <v>44635</v>
      </c>
      <c r="C1744" s="22">
        <f ca="1">IFERROR(__xludf.DUMMYFUNCTION("""COMPUTED_VALUE"""),30000)</f>
        <v>30000</v>
      </c>
      <c r="D1744" s="22">
        <f ca="1">IFERROR(__xludf.DUMMYFUNCTION("""COMPUTED_VALUE"""),470000)</f>
        <v>470000</v>
      </c>
      <c r="E1744" s="22">
        <f ca="1">IFERROR(__xludf.DUMMYFUNCTION("""COMPUTED_VALUE"""),500000)</f>
        <v>500000</v>
      </c>
      <c r="F1744" s="22">
        <f ca="1">IFERROR(__xludf.DUMMYFUNCTION("""COMPUTED_VALUE"""),30000)</f>
        <v>30000</v>
      </c>
      <c r="G1744" s="22">
        <f ca="1">IFERROR(__xludf.DUMMYFUNCTION("""COMPUTED_VALUE"""),0)</f>
        <v>0</v>
      </c>
      <c r="H1744" s="7">
        <f ca="1">IFERROR(__xludf.DUMMYFUNCTION("""COMPUTED_VALUE"""),328000)</f>
        <v>328000</v>
      </c>
    </row>
    <row r="1745" spans="1:8" ht="13" x14ac:dyDescent="0.15">
      <c r="A1745" s="5" t="str">
        <f ca="1">IFERROR(__xludf.DUMMYFUNCTION("""COMPUTED_VALUE"""),"39296")</f>
        <v>39296</v>
      </c>
      <c r="B1745" s="51">
        <f ca="1">IFERROR(__xludf.DUMMYFUNCTION("""COMPUTED_VALUE"""),44636)</f>
        <v>44636</v>
      </c>
      <c r="C1745" s="22">
        <f ca="1">IFERROR(__xludf.DUMMYFUNCTION("""COMPUTED_VALUE"""),30000)</f>
        <v>30000</v>
      </c>
      <c r="D1745" s="22">
        <f ca="1">IFERROR(__xludf.DUMMYFUNCTION("""COMPUTED_VALUE"""),470000)</f>
        <v>470000</v>
      </c>
      <c r="E1745" s="22">
        <f ca="1">IFERROR(__xludf.DUMMYFUNCTION("""COMPUTED_VALUE"""),500000)</f>
        <v>500000</v>
      </c>
      <c r="F1745" s="22">
        <f ca="1">IFERROR(__xludf.DUMMYFUNCTION("""COMPUTED_VALUE"""),30000)</f>
        <v>30000</v>
      </c>
      <c r="G1745" s="22">
        <f ca="1">IFERROR(__xludf.DUMMYFUNCTION("""COMPUTED_VALUE"""),0)</f>
        <v>0</v>
      </c>
      <c r="H1745" s="7">
        <f ca="1">IFERROR(__xludf.DUMMYFUNCTION("""COMPUTED_VALUE"""),397000)</f>
        <v>397000</v>
      </c>
    </row>
    <row r="1746" spans="1:8" ht="13" x14ac:dyDescent="0.15">
      <c r="A1746" s="5" t="str">
        <f ca="1">IFERROR(__xludf.DUMMYFUNCTION("""COMPUTED_VALUE"""),"39296")</f>
        <v>39296</v>
      </c>
      <c r="B1746" s="51">
        <f ca="1">IFERROR(__xludf.DUMMYFUNCTION("""COMPUTED_VALUE"""),44637)</f>
        <v>44637</v>
      </c>
      <c r="C1746" s="22">
        <f ca="1">IFERROR(__xludf.DUMMYFUNCTION("""COMPUTED_VALUE"""),30000)</f>
        <v>30000</v>
      </c>
      <c r="D1746" s="22">
        <f ca="1">IFERROR(__xludf.DUMMYFUNCTION("""COMPUTED_VALUE"""),470000)</f>
        <v>470000</v>
      </c>
      <c r="E1746" s="22">
        <f ca="1">IFERROR(__xludf.DUMMYFUNCTION("""COMPUTED_VALUE"""),500000)</f>
        <v>500000</v>
      </c>
      <c r="F1746" s="22">
        <f ca="1">IFERROR(__xludf.DUMMYFUNCTION("""COMPUTED_VALUE"""),30000)</f>
        <v>30000</v>
      </c>
      <c r="G1746" s="22">
        <f ca="1">IFERROR(__xludf.DUMMYFUNCTION("""COMPUTED_VALUE"""),0)</f>
        <v>0</v>
      </c>
      <c r="H1746" s="7">
        <f ca="1">IFERROR(__xludf.DUMMYFUNCTION("""COMPUTED_VALUE"""),420000)</f>
        <v>420000</v>
      </c>
    </row>
    <row r="1747" spans="1:8" ht="13" x14ac:dyDescent="0.15">
      <c r="A1747" s="5" t="str">
        <f ca="1">IFERROR(__xludf.DUMMYFUNCTION("""COMPUTED_VALUE"""),"39296")</f>
        <v>39296</v>
      </c>
      <c r="B1747" s="51">
        <f ca="1">IFERROR(__xludf.DUMMYFUNCTION("""COMPUTED_VALUE"""),44638)</f>
        <v>44638</v>
      </c>
      <c r="C1747" s="22">
        <f ca="1">IFERROR(__xludf.DUMMYFUNCTION("""COMPUTED_VALUE"""),30000)</f>
        <v>30000</v>
      </c>
      <c r="D1747" s="22">
        <f ca="1">IFERROR(__xludf.DUMMYFUNCTION("""COMPUTED_VALUE"""),470000)</f>
        <v>470000</v>
      </c>
      <c r="E1747" s="22">
        <f ca="1">IFERROR(__xludf.DUMMYFUNCTION("""COMPUTED_VALUE"""),500000)</f>
        <v>500000</v>
      </c>
      <c r="F1747" s="22">
        <f ca="1">IFERROR(__xludf.DUMMYFUNCTION("""COMPUTED_VALUE"""),30000)</f>
        <v>30000</v>
      </c>
      <c r="G1747" s="22">
        <f ca="1">IFERROR(__xludf.DUMMYFUNCTION("""COMPUTED_VALUE"""),0)</f>
        <v>0</v>
      </c>
      <c r="H1747" s="7">
        <f ca="1">IFERROR(__xludf.DUMMYFUNCTION("""COMPUTED_VALUE"""),411000)</f>
        <v>411000</v>
      </c>
    </row>
    <row r="1748" spans="1:8" ht="13" x14ac:dyDescent="0.15">
      <c r="A1748" s="5" t="str">
        <f ca="1">IFERROR(__xludf.DUMMYFUNCTION("""COMPUTED_VALUE"""),"39296")</f>
        <v>39296</v>
      </c>
      <c r="B1748" s="51">
        <f ca="1">IFERROR(__xludf.DUMMYFUNCTION("""COMPUTED_VALUE"""),44639)</f>
        <v>44639</v>
      </c>
      <c r="C1748" s="22">
        <f ca="1">IFERROR(__xludf.DUMMYFUNCTION("""COMPUTED_VALUE"""),30000)</f>
        <v>30000</v>
      </c>
      <c r="D1748" s="22">
        <f ca="1">IFERROR(__xludf.DUMMYFUNCTION("""COMPUTED_VALUE"""),470000)</f>
        <v>470000</v>
      </c>
      <c r="E1748" s="22">
        <f ca="1">IFERROR(__xludf.DUMMYFUNCTION("""COMPUTED_VALUE"""),500000)</f>
        <v>500000</v>
      </c>
      <c r="F1748" s="22">
        <f ca="1">IFERROR(__xludf.DUMMYFUNCTION("""COMPUTED_VALUE"""),30000)</f>
        <v>30000</v>
      </c>
      <c r="G1748" s="22">
        <f ca="1">IFERROR(__xludf.DUMMYFUNCTION("""COMPUTED_VALUE"""),0)</f>
        <v>0</v>
      </c>
      <c r="H1748" s="7">
        <f ca="1">IFERROR(__xludf.DUMMYFUNCTION("""COMPUTED_VALUE"""),411000)</f>
        <v>411000</v>
      </c>
    </row>
    <row r="1749" spans="1:8" ht="13" x14ac:dyDescent="0.15">
      <c r="A1749" s="5" t="str">
        <f ca="1">IFERROR(__xludf.DUMMYFUNCTION("""COMPUTED_VALUE"""),"39296")</f>
        <v>39296</v>
      </c>
      <c r="B1749" s="51">
        <f ca="1">IFERROR(__xludf.DUMMYFUNCTION("""COMPUTED_VALUE"""),44640)</f>
        <v>44640</v>
      </c>
      <c r="C1749" s="22">
        <f ca="1">IFERROR(__xludf.DUMMYFUNCTION("""COMPUTED_VALUE"""),30000)</f>
        <v>30000</v>
      </c>
      <c r="D1749" s="22">
        <f ca="1">IFERROR(__xludf.DUMMYFUNCTION("""COMPUTED_VALUE"""),470000)</f>
        <v>470000</v>
      </c>
      <c r="E1749" s="22">
        <f ca="1">IFERROR(__xludf.DUMMYFUNCTION("""COMPUTED_VALUE"""),500000)</f>
        <v>500000</v>
      </c>
      <c r="F1749" s="22">
        <f ca="1">IFERROR(__xludf.DUMMYFUNCTION("""COMPUTED_VALUE"""),30000)</f>
        <v>30000</v>
      </c>
      <c r="G1749" s="22">
        <f ca="1">IFERROR(__xludf.DUMMYFUNCTION("""COMPUTED_VALUE"""),0)</f>
        <v>0</v>
      </c>
      <c r="H1749" s="7">
        <f ca="1">IFERROR(__xludf.DUMMYFUNCTION("""COMPUTED_VALUE"""),411000)</f>
        <v>411000</v>
      </c>
    </row>
    <row r="1750" spans="1:8" ht="13" x14ac:dyDescent="0.15">
      <c r="A1750" s="5" t="str">
        <f ca="1">IFERROR(__xludf.DUMMYFUNCTION("""COMPUTED_VALUE"""),"39296")</f>
        <v>39296</v>
      </c>
      <c r="B1750" s="51">
        <f ca="1">IFERROR(__xludf.DUMMYFUNCTION("""COMPUTED_VALUE"""),44641)</f>
        <v>44641</v>
      </c>
      <c r="C1750" s="22">
        <f ca="1">IFERROR(__xludf.DUMMYFUNCTION("""COMPUTED_VALUE"""),30000)</f>
        <v>30000</v>
      </c>
      <c r="D1750" s="22">
        <f ca="1">IFERROR(__xludf.DUMMYFUNCTION("""COMPUTED_VALUE"""),470000)</f>
        <v>470000</v>
      </c>
      <c r="E1750" s="22">
        <f ca="1">IFERROR(__xludf.DUMMYFUNCTION("""COMPUTED_VALUE"""),500000)</f>
        <v>500000</v>
      </c>
      <c r="F1750" s="22">
        <f ca="1">IFERROR(__xludf.DUMMYFUNCTION("""COMPUTED_VALUE"""),30000)</f>
        <v>30000</v>
      </c>
      <c r="G1750" s="22">
        <f ca="1">IFERROR(__xludf.DUMMYFUNCTION("""COMPUTED_VALUE"""),0)</f>
        <v>0</v>
      </c>
      <c r="H1750" s="7">
        <f ca="1">IFERROR(__xludf.DUMMYFUNCTION("""COMPUTED_VALUE"""),402400)</f>
        <v>402400</v>
      </c>
    </row>
    <row r="1751" spans="1:8" ht="13" x14ac:dyDescent="0.15">
      <c r="A1751" s="5" t="str">
        <f ca="1">IFERROR(__xludf.DUMMYFUNCTION("""COMPUTED_VALUE"""),"39296")</f>
        <v>39296</v>
      </c>
      <c r="B1751" s="51">
        <f ca="1">IFERROR(__xludf.DUMMYFUNCTION("""COMPUTED_VALUE"""),44642)</f>
        <v>44642</v>
      </c>
      <c r="C1751" s="22">
        <f ca="1">IFERROR(__xludf.DUMMYFUNCTION("""COMPUTED_VALUE"""),30000)</f>
        <v>30000</v>
      </c>
      <c r="D1751" s="22">
        <f ca="1">IFERROR(__xludf.DUMMYFUNCTION("""COMPUTED_VALUE"""),470000)</f>
        <v>470000</v>
      </c>
      <c r="E1751" s="22">
        <f ca="1">IFERROR(__xludf.DUMMYFUNCTION("""COMPUTED_VALUE"""),500000)</f>
        <v>500000</v>
      </c>
      <c r="F1751" s="22">
        <f ca="1">IFERROR(__xludf.DUMMYFUNCTION("""COMPUTED_VALUE"""),30000)</f>
        <v>30000</v>
      </c>
      <c r="G1751" s="22">
        <f ca="1">IFERROR(__xludf.DUMMYFUNCTION("""COMPUTED_VALUE"""),0)</f>
        <v>0</v>
      </c>
      <c r="H1751" s="7">
        <f ca="1">IFERROR(__xludf.DUMMYFUNCTION("""COMPUTED_VALUE"""),418000)</f>
        <v>418000</v>
      </c>
    </row>
    <row r="1752" spans="1:8" ht="13" x14ac:dyDescent="0.15">
      <c r="A1752" s="5" t="str">
        <f ca="1">IFERROR(__xludf.DUMMYFUNCTION("""COMPUTED_VALUE"""),"39302")</f>
        <v>39302</v>
      </c>
      <c r="B1752" s="51">
        <f ca="1">IFERROR(__xludf.DUMMYFUNCTION("""COMPUTED_VALUE"""),44597)</f>
        <v>44597</v>
      </c>
      <c r="C1752" s="22">
        <f ca="1">IFERROR(__xludf.DUMMYFUNCTION("""COMPUTED_VALUE"""),500000)</f>
        <v>500000</v>
      </c>
      <c r="D1752" s="22">
        <f ca="1">IFERROR(__xludf.DUMMYFUNCTION("""COMPUTED_VALUE"""),0)</f>
        <v>0</v>
      </c>
      <c r="E1752" s="22">
        <f ca="1">IFERROR(__xludf.DUMMYFUNCTION("""COMPUTED_VALUE"""),500000)</f>
        <v>500000</v>
      </c>
      <c r="F1752" s="22">
        <f ca="1">IFERROR(__xludf.DUMMYFUNCTION("""COMPUTED_VALUE"""),500000)</f>
        <v>500000</v>
      </c>
      <c r="G1752" s="22">
        <f ca="1">IFERROR(__xludf.DUMMYFUNCTION("""COMPUTED_VALUE"""),0)</f>
        <v>0</v>
      </c>
      <c r="H1752" s="7">
        <f ca="1">IFERROR(__xludf.DUMMYFUNCTION("""COMPUTED_VALUE"""),500000)</f>
        <v>500000</v>
      </c>
    </row>
    <row r="1753" spans="1:8" ht="13" x14ac:dyDescent="0.15">
      <c r="A1753" s="5" t="str">
        <f ca="1">IFERROR(__xludf.DUMMYFUNCTION("""COMPUTED_VALUE"""),"39302")</f>
        <v>39302</v>
      </c>
      <c r="B1753" s="51">
        <f ca="1">IFERROR(__xludf.DUMMYFUNCTION("""COMPUTED_VALUE"""),44598)</f>
        <v>44598</v>
      </c>
      <c r="C1753" s="22">
        <f ca="1">IFERROR(__xludf.DUMMYFUNCTION("""COMPUTED_VALUE"""),500000)</f>
        <v>500000</v>
      </c>
      <c r="D1753" s="22">
        <f ca="1">IFERROR(__xludf.DUMMYFUNCTION("""COMPUTED_VALUE"""),0)</f>
        <v>0</v>
      </c>
      <c r="E1753" s="22">
        <f ca="1">IFERROR(__xludf.DUMMYFUNCTION("""COMPUTED_VALUE"""),500000)</f>
        <v>500000</v>
      </c>
      <c r="F1753" s="22">
        <f ca="1">IFERROR(__xludf.DUMMYFUNCTION("""COMPUTED_VALUE"""),500000)</f>
        <v>500000</v>
      </c>
      <c r="G1753" s="22">
        <f ca="1">IFERROR(__xludf.DUMMYFUNCTION("""COMPUTED_VALUE"""),0)</f>
        <v>0</v>
      </c>
      <c r="H1753" s="7">
        <f ca="1">IFERROR(__xludf.DUMMYFUNCTION("""COMPUTED_VALUE"""),500000)</f>
        <v>500000</v>
      </c>
    </row>
    <row r="1754" spans="1:8" ht="13" x14ac:dyDescent="0.15">
      <c r="A1754" s="5" t="str">
        <f ca="1">IFERROR(__xludf.DUMMYFUNCTION("""COMPUTED_VALUE"""),"39302")</f>
        <v>39302</v>
      </c>
      <c r="B1754" s="51">
        <f ca="1">IFERROR(__xludf.DUMMYFUNCTION("""COMPUTED_VALUE"""),44599)</f>
        <v>44599</v>
      </c>
      <c r="C1754" s="22">
        <f ca="1">IFERROR(__xludf.DUMMYFUNCTION("""COMPUTED_VALUE"""),500000)</f>
        <v>500000</v>
      </c>
      <c r="D1754" s="22">
        <f ca="1">IFERROR(__xludf.DUMMYFUNCTION("""COMPUTED_VALUE"""),0)</f>
        <v>0</v>
      </c>
      <c r="E1754" s="22">
        <f ca="1">IFERROR(__xludf.DUMMYFUNCTION("""COMPUTED_VALUE"""),500000)</f>
        <v>500000</v>
      </c>
      <c r="F1754" s="22">
        <f ca="1">IFERROR(__xludf.DUMMYFUNCTION("""COMPUTED_VALUE"""),500000)</f>
        <v>500000</v>
      </c>
      <c r="G1754" s="22">
        <f ca="1">IFERROR(__xludf.DUMMYFUNCTION("""COMPUTED_VALUE"""),0)</f>
        <v>0</v>
      </c>
      <c r="H1754" s="7">
        <f ca="1">IFERROR(__xludf.DUMMYFUNCTION("""COMPUTED_VALUE"""),500000)</f>
        <v>500000</v>
      </c>
    </row>
    <row r="1755" spans="1:8" ht="13" x14ac:dyDescent="0.15">
      <c r="A1755" s="5" t="str">
        <f ca="1">IFERROR(__xludf.DUMMYFUNCTION("""COMPUTED_VALUE"""),"39302")</f>
        <v>39302</v>
      </c>
      <c r="B1755" s="51">
        <f ca="1">IFERROR(__xludf.DUMMYFUNCTION("""COMPUTED_VALUE"""),44600)</f>
        <v>44600</v>
      </c>
      <c r="C1755" s="22">
        <f ca="1">IFERROR(__xludf.DUMMYFUNCTION("""COMPUTED_VALUE"""),500000)</f>
        <v>500000</v>
      </c>
      <c r="D1755" s="22">
        <f ca="1">IFERROR(__xludf.DUMMYFUNCTION("""COMPUTED_VALUE"""),0)</f>
        <v>0</v>
      </c>
      <c r="E1755" s="22">
        <f ca="1">IFERROR(__xludf.DUMMYFUNCTION("""COMPUTED_VALUE"""),500000)</f>
        <v>500000</v>
      </c>
      <c r="F1755" s="22">
        <f ca="1">IFERROR(__xludf.DUMMYFUNCTION("""COMPUTED_VALUE"""),500000)</f>
        <v>500000</v>
      </c>
      <c r="G1755" s="22">
        <f ca="1">IFERROR(__xludf.DUMMYFUNCTION("""COMPUTED_VALUE"""),0)</f>
        <v>0</v>
      </c>
      <c r="H1755" s="7">
        <f ca="1">IFERROR(__xludf.DUMMYFUNCTION("""COMPUTED_VALUE"""),500000)</f>
        <v>500000</v>
      </c>
    </row>
    <row r="1756" spans="1:8" ht="13" x14ac:dyDescent="0.15">
      <c r="A1756" s="5" t="str">
        <f ca="1">IFERROR(__xludf.DUMMYFUNCTION("""COMPUTED_VALUE"""),"39302")</f>
        <v>39302</v>
      </c>
      <c r="B1756" s="51">
        <f ca="1">IFERROR(__xludf.DUMMYFUNCTION("""COMPUTED_VALUE"""),44601)</f>
        <v>44601</v>
      </c>
      <c r="C1756" s="22">
        <f ca="1">IFERROR(__xludf.DUMMYFUNCTION("""COMPUTED_VALUE"""),500000)</f>
        <v>500000</v>
      </c>
      <c r="D1756" s="22">
        <f ca="1">IFERROR(__xludf.DUMMYFUNCTION("""COMPUTED_VALUE"""),0)</f>
        <v>0</v>
      </c>
      <c r="E1756" s="22">
        <f ca="1">IFERROR(__xludf.DUMMYFUNCTION("""COMPUTED_VALUE"""),500000)</f>
        <v>500000</v>
      </c>
      <c r="F1756" s="22">
        <f ca="1">IFERROR(__xludf.DUMMYFUNCTION("""COMPUTED_VALUE"""),500000)</f>
        <v>500000</v>
      </c>
      <c r="G1756" s="22">
        <f ca="1">IFERROR(__xludf.DUMMYFUNCTION("""COMPUTED_VALUE"""),0)</f>
        <v>0</v>
      </c>
      <c r="H1756" s="7">
        <f ca="1">IFERROR(__xludf.DUMMYFUNCTION("""COMPUTED_VALUE"""),500000)</f>
        <v>500000</v>
      </c>
    </row>
    <row r="1757" spans="1:8" ht="13" x14ac:dyDescent="0.15">
      <c r="A1757" s="5" t="str">
        <f ca="1">IFERROR(__xludf.DUMMYFUNCTION("""COMPUTED_VALUE"""),"39302")</f>
        <v>39302</v>
      </c>
      <c r="B1757" s="51">
        <f ca="1">IFERROR(__xludf.DUMMYFUNCTION("""COMPUTED_VALUE"""),44602)</f>
        <v>44602</v>
      </c>
      <c r="C1757" s="22">
        <f ca="1">IFERROR(__xludf.DUMMYFUNCTION("""COMPUTED_VALUE"""),500000)</f>
        <v>500000</v>
      </c>
      <c r="D1757" s="22">
        <f ca="1">IFERROR(__xludf.DUMMYFUNCTION("""COMPUTED_VALUE"""),0)</f>
        <v>0</v>
      </c>
      <c r="E1757" s="22">
        <f ca="1">IFERROR(__xludf.DUMMYFUNCTION("""COMPUTED_VALUE"""),500000)</f>
        <v>500000</v>
      </c>
      <c r="F1757" s="22">
        <f ca="1">IFERROR(__xludf.DUMMYFUNCTION("""COMPUTED_VALUE"""),500000)</f>
        <v>500000</v>
      </c>
      <c r="G1757" s="22">
        <f ca="1">IFERROR(__xludf.DUMMYFUNCTION("""COMPUTED_VALUE"""),0)</f>
        <v>0</v>
      </c>
      <c r="H1757" s="7">
        <f ca="1">IFERROR(__xludf.DUMMYFUNCTION("""COMPUTED_VALUE"""),500000)</f>
        <v>500000</v>
      </c>
    </row>
    <row r="1758" spans="1:8" ht="13" x14ac:dyDescent="0.15">
      <c r="A1758" s="5" t="str">
        <f ca="1">IFERROR(__xludf.DUMMYFUNCTION("""COMPUTED_VALUE"""),"39302")</f>
        <v>39302</v>
      </c>
      <c r="B1758" s="51">
        <f ca="1">IFERROR(__xludf.DUMMYFUNCTION("""COMPUTED_VALUE"""),44603)</f>
        <v>44603</v>
      </c>
      <c r="C1758" s="22">
        <f ca="1">IFERROR(__xludf.DUMMYFUNCTION("""COMPUTED_VALUE"""),500000)</f>
        <v>500000</v>
      </c>
      <c r="D1758" s="22">
        <f ca="1">IFERROR(__xludf.DUMMYFUNCTION("""COMPUTED_VALUE"""),0)</f>
        <v>0</v>
      </c>
      <c r="E1758" s="22">
        <f ca="1">IFERROR(__xludf.DUMMYFUNCTION("""COMPUTED_VALUE"""),500000)</f>
        <v>500000</v>
      </c>
      <c r="F1758" s="22">
        <f ca="1">IFERROR(__xludf.DUMMYFUNCTION("""COMPUTED_VALUE"""),500000)</f>
        <v>500000</v>
      </c>
      <c r="G1758" s="22">
        <f ca="1">IFERROR(__xludf.DUMMYFUNCTION("""COMPUTED_VALUE"""),0)</f>
        <v>0</v>
      </c>
      <c r="H1758" s="7">
        <f ca="1">IFERROR(__xludf.DUMMYFUNCTION("""COMPUTED_VALUE"""),500000)</f>
        <v>500000</v>
      </c>
    </row>
    <row r="1759" spans="1:8" ht="13" x14ac:dyDescent="0.15">
      <c r="A1759" s="5" t="str">
        <f ca="1">IFERROR(__xludf.DUMMYFUNCTION("""COMPUTED_VALUE"""),"39302")</f>
        <v>39302</v>
      </c>
      <c r="B1759" s="51">
        <f ca="1">IFERROR(__xludf.DUMMYFUNCTION("""COMPUTED_VALUE"""),44604)</f>
        <v>44604</v>
      </c>
      <c r="C1759" s="22">
        <f ca="1">IFERROR(__xludf.DUMMYFUNCTION("""COMPUTED_VALUE"""),500000)</f>
        <v>500000</v>
      </c>
      <c r="D1759" s="22">
        <f ca="1">IFERROR(__xludf.DUMMYFUNCTION("""COMPUTED_VALUE"""),0)</f>
        <v>0</v>
      </c>
      <c r="E1759" s="22">
        <f ca="1">IFERROR(__xludf.DUMMYFUNCTION("""COMPUTED_VALUE"""),500000)</f>
        <v>500000</v>
      </c>
      <c r="F1759" s="22">
        <f ca="1">IFERROR(__xludf.DUMMYFUNCTION("""COMPUTED_VALUE"""),500000)</f>
        <v>500000</v>
      </c>
      <c r="G1759" s="22">
        <f ca="1">IFERROR(__xludf.DUMMYFUNCTION("""COMPUTED_VALUE"""),0)</f>
        <v>0</v>
      </c>
      <c r="H1759" s="7">
        <f ca="1">IFERROR(__xludf.DUMMYFUNCTION("""COMPUTED_VALUE"""),500000)</f>
        <v>500000</v>
      </c>
    </row>
    <row r="1760" spans="1:8" ht="13" x14ac:dyDescent="0.15">
      <c r="A1760" s="5" t="str">
        <f ca="1">IFERROR(__xludf.DUMMYFUNCTION("""COMPUTED_VALUE"""),"39302")</f>
        <v>39302</v>
      </c>
      <c r="B1760" s="51">
        <f ca="1">IFERROR(__xludf.DUMMYFUNCTION("""COMPUTED_VALUE"""),44605)</f>
        <v>44605</v>
      </c>
      <c r="C1760" s="22">
        <f ca="1">IFERROR(__xludf.DUMMYFUNCTION("""COMPUTED_VALUE"""),500000)</f>
        <v>500000</v>
      </c>
      <c r="D1760" s="22">
        <f ca="1">IFERROR(__xludf.DUMMYFUNCTION("""COMPUTED_VALUE"""),0)</f>
        <v>0</v>
      </c>
      <c r="E1760" s="22">
        <f ca="1">IFERROR(__xludf.DUMMYFUNCTION("""COMPUTED_VALUE"""),500000)</f>
        <v>500000</v>
      </c>
      <c r="F1760" s="22">
        <f ca="1">IFERROR(__xludf.DUMMYFUNCTION("""COMPUTED_VALUE"""),500000)</f>
        <v>500000</v>
      </c>
      <c r="G1760" s="22">
        <f ca="1">IFERROR(__xludf.DUMMYFUNCTION("""COMPUTED_VALUE"""),0)</f>
        <v>0</v>
      </c>
      <c r="H1760" s="7">
        <f ca="1">IFERROR(__xludf.DUMMYFUNCTION("""COMPUTED_VALUE"""),500000)</f>
        <v>500000</v>
      </c>
    </row>
    <row r="1761" spans="1:8" ht="13" x14ac:dyDescent="0.15">
      <c r="A1761" s="5" t="str">
        <f ca="1">IFERROR(__xludf.DUMMYFUNCTION("""COMPUTED_VALUE"""),"39302")</f>
        <v>39302</v>
      </c>
      <c r="B1761" s="51">
        <f ca="1">IFERROR(__xludf.DUMMYFUNCTION("""COMPUTED_VALUE"""),44606)</f>
        <v>44606</v>
      </c>
      <c r="C1761" s="22">
        <f ca="1">IFERROR(__xludf.DUMMYFUNCTION("""COMPUTED_VALUE"""),500000)</f>
        <v>500000</v>
      </c>
      <c r="D1761" s="22">
        <f ca="1">IFERROR(__xludf.DUMMYFUNCTION("""COMPUTED_VALUE"""),0)</f>
        <v>0</v>
      </c>
      <c r="E1761" s="22">
        <f ca="1">IFERROR(__xludf.DUMMYFUNCTION("""COMPUTED_VALUE"""),500000)</f>
        <v>500000</v>
      </c>
      <c r="F1761" s="22">
        <f ca="1">IFERROR(__xludf.DUMMYFUNCTION("""COMPUTED_VALUE"""),500000)</f>
        <v>500000</v>
      </c>
      <c r="G1761" s="22">
        <f ca="1">IFERROR(__xludf.DUMMYFUNCTION("""COMPUTED_VALUE"""),0)</f>
        <v>0</v>
      </c>
      <c r="H1761" s="7">
        <f ca="1">IFERROR(__xludf.DUMMYFUNCTION("""COMPUTED_VALUE"""),500000)</f>
        <v>500000</v>
      </c>
    </row>
    <row r="1762" spans="1:8" ht="13" x14ac:dyDescent="0.15">
      <c r="A1762" s="5" t="str">
        <f ca="1">IFERROR(__xludf.DUMMYFUNCTION("""COMPUTED_VALUE"""),"39302")</f>
        <v>39302</v>
      </c>
      <c r="B1762" s="51">
        <f ca="1">IFERROR(__xludf.DUMMYFUNCTION("""COMPUTED_VALUE"""),44607)</f>
        <v>44607</v>
      </c>
      <c r="C1762" s="22">
        <f ca="1">IFERROR(__xludf.DUMMYFUNCTION("""COMPUTED_VALUE"""),500000)</f>
        <v>500000</v>
      </c>
      <c r="D1762" s="22">
        <f ca="1">IFERROR(__xludf.DUMMYFUNCTION("""COMPUTED_VALUE"""),0)</f>
        <v>0</v>
      </c>
      <c r="E1762" s="22">
        <f ca="1">IFERROR(__xludf.DUMMYFUNCTION("""COMPUTED_VALUE"""),500000)</f>
        <v>500000</v>
      </c>
      <c r="F1762" s="22">
        <f ca="1">IFERROR(__xludf.DUMMYFUNCTION("""COMPUTED_VALUE"""),500000)</f>
        <v>500000</v>
      </c>
      <c r="G1762" s="22">
        <f ca="1">IFERROR(__xludf.DUMMYFUNCTION("""COMPUTED_VALUE"""),0)</f>
        <v>0</v>
      </c>
      <c r="H1762" s="7">
        <f ca="1">IFERROR(__xludf.DUMMYFUNCTION("""COMPUTED_VALUE"""),500000)</f>
        <v>500000</v>
      </c>
    </row>
    <row r="1763" spans="1:8" ht="13" x14ac:dyDescent="0.15">
      <c r="A1763" s="5" t="str">
        <f ca="1">IFERROR(__xludf.DUMMYFUNCTION("""COMPUTED_VALUE"""),"39302")</f>
        <v>39302</v>
      </c>
      <c r="B1763" s="51">
        <f ca="1">IFERROR(__xludf.DUMMYFUNCTION("""COMPUTED_VALUE"""),44608)</f>
        <v>44608</v>
      </c>
      <c r="C1763" s="22">
        <f ca="1">IFERROR(__xludf.DUMMYFUNCTION("""COMPUTED_VALUE"""),500000)</f>
        <v>500000</v>
      </c>
      <c r="D1763" s="22">
        <f ca="1">IFERROR(__xludf.DUMMYFUNCTION("""COMPUTED_VALUE"""),0)</f>
        <v>0</v>
      </c>
      <c r="E1763" s="22">
        <f ca="1">IFERROR(__xludf.DUMMYFUNCTION("""COMPUTED_VALUE"""),500000)</f>
        <v>500000</v>
      </c>
      <c r="F1763" s="22">
        <f ca="1">IFERROR(__xludf.DUMMYFUNCTION("""COMPUTED_VALUE"""),500000)</f>
        <v>500000</v>
      </c>
      <c r="G1763" s="22">
        <f ca="1">IFERROR(__xludf.DUMMYFUNCTION("""COMPUTED_VALUE"""),0)</f>
        <v>0</v>
      </c>
      <c r="H1763" s="7">
        <f ca="1">IFERROR(__xludf.DUMMYFUNCTION("""COMPUTED_VALUE"""),500000)</f>
        <v>500000</v>
      </c>
    </row>
    <row r="1764" spans="1:8" ht="13" x14ac:dyDescent="0.15">
      <c r="A1764" s="5" t="str">
        <f ca="1">IFERROR(__xludf.DUMMYFUNCTION("""COMPUTED_VALUE"""),"39302")</f>
        <v>39302</v>
      </c>
      <c r="B1764" s="51">
        <f ca="1">IFERROR(__xludf.DUMMYFUNCTION("""COMPUTED_VALUE"""),44609)</f>
        <v>44609</v>
      </c>
      <c r="C1764" s="22">
        <f ca="1">IFERROR(__xludf.DUMMYFUNCTION("""COMPUTED_VALUE"""),500000)</f>
        <v>500000</v>
      </c>
      <c r="D1764" s="22">
        <f ca="1">IFERROR(__xludf.DUMMYFUNCTION("""COMPUTED_VALUE"""),0)</f>
        <v>0</v>
      </c>
      <c r="E1764" s="22">
        <f ca="1">IFERROR(__xludf.DUMMYFUNCTION("""COMPUTED_VALUE"""),500000)</f>
        <v>500000</v>
      </c>
      <c r="F1764" s="22">
        <f ca="1">IFERROR(__xludf.DUMMYFUNCTION("""COMPUTED_VALUE"""),500000)</f>
        <v>500000</v>
      </c>
      <c r="G1764" s="22">
        <f ca="1">IFERROR(__xludf.DUMMYFUNCTION("""COMPUTED_VALUE"""),0)</f>
        <v>0</v>
      </c>
      <c r="H1764" s="7">
        <f ca="1">IFERROR(__xludf.DUMMYFUNCTION("""COMPUTED_VALUE"""),500000)</f>
        <v>500000</v>
      </c>
    </row>
    <row r="1765" spans="1:8" ht="13" x14ac:dyDescent="0.15">
      <c r="A1765" s="5" t="str">
        <f ca="1">IFERROR(__xludf.DUMMYFUNCTION("""COMPUTED_VALUE"""),"39302")</f>
        <v>39302</v>
      </c>
      <c r="B1765" s="51">
        <f ca="1">IFERROR(__xludf.DUMMYFUNCTION("""COMPUTED_VALUE"""),44610)</f>
        <v>44610</v>
      </c>
      <c r="C1765" s="22">
        <f ca="1">IFERROR(__xludf.DUMMYFUNCTION("""COMPUTED_VALUE"""),500000)</f>
        <v>500000</v>
      </c>
      <c r="D1765" s="22">
        <f ca="1">IFERROR(__xludf.DUMMYFUNCTION("""COMPUTED_VALUE"""),0)</f>
        <v>0</v>
      </c>
      <c r="E1765" s="22">
        <f ca="1">IFERROR(__xludf.DUMMYFUNCTION("""COMPUTED_VALUE"""),500000)</f>
        <v>500000</v>
      </c>
      <c r="F1765" s="22">
        <f ca="1">IFERROR(__xludf.DUMMYFUNCTION("""COMPUTED_VALUE"""),500000)</f>
        <v>500000</v>
      </c>
      <c r="G1765" s="22">
        <f ca="1">IFERROR(__xludf.DUMMYFUNCTION("""COMPUTED_VALUE"""),0)</f>
        <v>0</v>
      </c>
      <c r="H1765" s="7">
        <f ca="1">IFERROR(__xludf.DUMMYFUNCTION("""COMPUTED_VALUE"""),500000)</f>
        <v>500000</v>
      </c>
    </row>
    <row r="1766" spans="1:8" ht="13" x14ac:dyDescent="0.15">
      <c r="A1766" s="5" t="str">
        <f ca="1">IFERROR(__xludf.DUMMYFUNCTION("""COMPUTED_VALUE"""),"39302")</f>
        <v>39302</v>
      </c>
      <c r="B1766" s="51">
        <f ca="1">IFERROR(__xludf.DUMMYFUNCTION("""COMPUTED_VALUE"""),44611)</f>
        <v>44611</v>
      </c>
      <c r="C1766" s="22">
        <f ca="1">IFERROR(__xludf.DUMMYFUNCTION("""COMPUTED_VALUE"""),500000)</f>
        <v>500000</v>
      </c>
      <c r="D1766" s="22">
        <f ca="1">IFERROR(__xludf.DUMMYFUNCTION("""COMPUTED_VALUE"""),0)</f>
        <v>0</v>
      </c>
      <c r="E1766" s="22">
        <f ca="1">IFERROR(__xludf.DUMMYFUNCTION("""COMPUTED_VALUE"""),500000)</f>
        <v>500000</v>
      </c>
      <c r="F1766" s="22">
        <f ca="1">IFERROR(__xludf.DUMMYFUNCTION("""COMPUTED_VALUE"""),500000)</f>
        <v>500000</v>
      </c>
      <c r="G1766" s="22">
        <f ca="1">IFERROR(__xludf.DUMMYFUNCTION("""COMPUTED_VALUE"""),0)</f>
        <v>0</v>
      </c>
      <c r="H1766" s="7">
        <f ca="1">IFERROR(__xludf.DUMMYFUNCTION("""COMPUTED_VALUE"""),500000)</f>
        <v>500000</v>
      </c>
    </row>
    <row r="1767" spans="1:8" ht="13" x14ac:dyDescent="0.15">
      <c r="A1767" s="5" t="str">
        <f ca="1">IFERROR(__xludf.DUMMYFUNCTION("""COMPUTED_VALUE"""),"39302")</f>
        <v>39302</v>
      </c>
      <c r="B1767" s="51">
        <f ca="1">IFERROR(__xludf.DUMMYFUNCTION("""COMPUTED_VALUE"""),44612)</f>
        <v>44612</v>
      </c>
      <c r="C1767" s="22">
        <f ca="1">IFERROR(__xludf.DUMMYFUNCTION("""COMPUTED_VALUE"""),500000)</f>
        <v>500000</v>
      </c>
      <c r="D1767" s="22">
        <f ca="1">IFERROR(__xludf.DUMMYFUNCTION("""COMPUTED_VALUE"""),0)</f>
        <v>0</v>
      </c>
      <c r="E1767" s="22">
        <f ca="1">IFERROR(__xludf.DUMMYFUNCTION("""COMPUTED_VALUE"""),500000)</f>
        <v>500000</v>
      </c>
      <c r="F1767" s="22">
        <f ca="1">IFERROR(__xludf.DUMMYFUNCTION("""COMPUTED_VALUE"""),500000)</f>
        <v>500000</v>
      </c>
      <c r="G1767" s="22">
        <f ca="1">IFERROR(__xludf.DUMMYFUNCTION("""COMPUTED_VALUE"""),0)</f>
        <v>0</v>
      </c>
      <c r="H1767" s="7">
        <f ca="1">IFERROR(__xludf.DUMMYFUNCTION("""COMPUTED_VALUE"""),500000)</f>
        <v>500000</v>
      </c>
    </row>
    <row r="1768" spans="1:8" ht="13" x14ac:dyDescent="0.15">
      <c r="A1768" s="5" t="str">
        <f ca="1">IFERROR(__xludf.DUMMYFUNCTION("""COMPUTED_VALUE"""),"39302")</f>
        <v>39302</v>
      </c>
      <c r="B1768" s="51">
        <f ca="1">IFERROR(__xludf.DUMMYFUNCTION("""COMPUTED_VALUE"""),44613)</f>
        <v>44613</v>
      </c>
      <c r="C1768" s="22">
        <f ca="1">IFERROR(__xludf.DUMMYFUNCTION("""COMPUTED_VALUE"""),500000)</f>
        <v>500000</v>
      </c>
      <c r="D1768" s="22">
        <f ca="1">IFERROR(__xludf.DUMMYFUNCTION("""COMPUTED_VALUE"""),0)</f>
        <v>0</v>
      </c>
      <c r="E1768" s="22">
        <f ca="1">IFERROR(__xludf.DUMMYFUNCTION("""COMPUTED_VALUE"""),500000)</f>
        <v>500000</v>
      </c>
      <c r="F1768" s="22">
        <f ca="1">IFERROR(__xludf.DUMMYFUNCTION("""COMPUTED_VALUE"""),500000)</f>
        <v>500000</v>
      </c>
      <c r="G1768" s="22">
        <f ca="1">IFERROR(__xludf.DUMMYFUNCTION("""COMPUTED_VALUE"""),0)</f>
        <v>0</v>
      </c>
      <c r="H1768" s="7">
        <f ca="1">IFERROR(__xludf.DUMMYFUNCTION("""COMPUTED_VALUE"""),500000)</f>
        <v>500000</v>
      </c>
    </row>
    <row r="1769" spans="1:8" ht="13" x14ac:dyDescent="0.15">
      <c r="A1769" s="5" t="str">
        <f ca="1">IFERROR(__xludf.DUMMYFUNCTION("""COMPUTED_VALUE"""),"39302")</f>
        <v>39302</v>
      </c>
      <c r="B1769" s="51">
        <f ca="1">IFERROR(__xludf.DUMMYFUNCTION("""COMPUTED_VALUE"""),44614)</f>
        <v>44614</v>
      </c>
      <c r="C1769" s="22">
        <f ca="1">IFERROR(__xludf.DUMMYFUNCTION("""COMPUTED_VALUE"""),500000)</f>
        <v>500000</v>
      </c>
      <c r="D1769" s="22">
        <f ca="1">IFERROR(__xludf.DUMMYFUNCTION("""COMPUTED_VALUE"""),0)</f>
        <v>0</v>
      </c>
      <c r="E1769" s="22">
        <f ca="1">IFERROR(__xludf.DUMMYFUNCTION("""COMPUTED_VALUE"""),500000)</f>
        <v>500000</v>
      </c>
      <c r="F1769" s="22">
        <f ca="1">IFERROR(__xludf.DUMMYFUNCTION("""COMPUTED_VALUE"""),500000)</f>
        <v>500000</v>
      </c>
      <c r="G1769" s="22">
        <f ca="1">IFERROR(__xludf.DUMMYFUNCTION("""COMPUTED_VALUE"""),0)</f>
        <v>0</v>
      </c>
      <c r="H1769" s="7">
        <f ca="1">IFERROR(__xludf.DUMMYFUNCTION("""COMPUTED_VALUE"""),500000)</f>
        <v>500000</v>
      </c>
    </row>
    <row r="1770" spans="1:8" ht="13" x14ac:dyDescent="0.15">
      <c r="A1770" s="5" t="str">
        <f ca="1">IFERROR(__xludf.DUMMYFUNCTION("""COMPUTED_VALUE"""),"39302")</f>
        <v>39302</v>
      </c>
      <c r="B1770" s="51">
        <f ca="1">IFERROR(__xludf.DUMMYFUNCTION("""COMPUTED_VALUE"""),44615)</f>
        <v>44615</v>
      </c>
      <c r="C1770" s="22">
        <f ca="1">IFERROR(__xludf.DUMMYFUNCTION("""COMPUTED_VALUE"""),500000)</f>
        <v>500000</v>
      </c>
      <c r="D1770" s="22">
        <f ca="1">IFERROR(__xludf.DUMMYFUNCTION("""COMPUTED_VALUE"""),0)</f>
        <v>0</v>
      </c>
      <c r="E1770" s="22">
        <f ca="1">IFERROR(__xludf.DUMMYFUNCTION("""COMPUTED_VALUE"""),500000)</f>
        <v>500000</v>
      </c>
      <c r="F1770" s="22">
        <f ca="1">IFERROR(__xludf.DUMMYFUNCTION("""COMPUTED_VALUE"""),500000)</f>
        <v>500000</v>
      </c>
      <c r="G1770" s="22">
        <f ca="1">IFERROR(__xludf.DUMMYFUNCTION("""COMPUTED_VALUE"""),0)</f>
        <v>0</v>
      </c>
      <c r="H1770" s="7">
        <f ca="1">IFERROR(__xludf.DUMMYFUNCTION("""COMPUTED_VALUE"""),500000)</f>
        <v>500000</v>
      </c>
    </row>
    <row r="1771" spans="1:8" ht="13" x14ac:dyDescent="0.15">
      <c r="A1771" s="5" t="str">
        <f ca="1">IFERROR(__xludf.DUMMYFUNCTION("""COMPUTED_VALUE"""),"39302")</f>
        <v>39302</v>
      </c>
      <c r="B1771" s="51">
        <f ca="1">IFERROR(__xludf.DUMMYFUNCTION("""COMPUTED_VALUE"""),44616)</f>
        <v>44616</v>
      </c>
      <c r="C1771" s="22">
        <f ca="1">IFERROR(__xludf.DUMMYFUNCTION("""COMPUTED_VALUE"""),500000)</f>
        <v>500000</v>
      </c>
      <c r="D1771" s="22">
        <f ca="1">IFERROR(__xludf.DUMMYFUNCTION("""COMPUTED_VALUE"""),0)</f>
        <v>0</v>
      </c>
      <c r="E1771" s="22">
        <f ca="1">IFERROR(__xludf.DUMMYFUNCTION("""COMPUTED_VALUE"""),500000)</f>
        <v>500000</v>
      </c>
      <c r="F1771" s="22">
        <f ca="1">IFERROR(__xludf.DUMMYFUNCTION("""COMPUTED_VALUE"""),500000)</f>
        <v>500000</v>
      </c>
      <c r="G1771" s="22">
        <f ca="1">IFERROR(__xludf.DUMMYFUNCTION("""COMPUTED_VALUE"""),0)</f>
        <v>0</v>
      </c>
      <c r="H1771" s="7">
        <f ca="1">IFERROR(__xludf.DUMMYFUNCTION("""COMPUTED_VALUE"""),500000)</f>
        <v>500000</v>
      </c>
    </row>
    <row r="1772" spans="1:8" ht="13" x14ac:dyDescent="0.15">
      <c r="A1772" s="5" t="str">
        <f ca="1">IFERROR(__xludf.DUMMYFUNCTION("""COMPUTED_VALUE"""),"39302")</f>
        <v>39302</v>
      </c>
      <c r="B1772" s="51">
        <f ca="1">IFERROR(__xludf.DUMMYFUNCTION("""COMPUTED_VALUE"""),44617)</f>
        <v>44617</v>
      </c>
      <c r="C1772" s="22">
        <f ca="1">IFERROR(__xludf.DUMMYFUNCTION("""COMPUTED_VALUE"""),500000)</f>
        <v>500000</v>
      </c>
      <c r="D1772" s="22">
        <f ca="1">IFERROR(__xludf.DUMMYFUNCTION("""COMPUTED_VALUE"""),0)</f>
        <v>0</v>
      </c>
      <c r="E1772" s="22">
        <f ca="1">IFERROR(__xludf.DUMMYFUNCTION("""COMPUTED_VALUE"""),500000)</f>
        <v>500000</v>
      </c>
      <c r="F1772" s="22">
        <f ca="1">IFERROR(__xludf.DUMMYFUNCTION("""COMPUTED_VALUE"""),500000)</f>
        <v>500000</v>
      </c>
      <c r="G1772" s="22">
        <f ca="1">IFERROR(__xludf.DUMMYFUNCTION("""COMPUTED_VALUE"""),0)</f>
        <v>0</v>
      </c>
      <c r="H1772" s="7">
        <f ca="1">IFERROR(__xludf.DUMMYFUNCTION("""COMPUTED_VALUE"""),500000)</f>
        <v>500000</v>
      </c>
    </row>
    <row r="1773" spans="1:8" ht="13" x14ac:dyDescent="0.15">
      <c r="A1773" s="5" t="str">
        <f ca="1">IFERROR(__xludf.DUMMYFUNCTION("""COMPUTED_VALUE"""),"39302")</f>
        <v>39302</v>
      </c>
      <c r="B1773" s="51">
        <f ca="1">IFERROR(__xludf.DUMMYFUNCTION("""COMPUTED_VALUE"""),44618)</f>
        <v>44618</v>
      </c>
      <c r="C1773" s="22">
        <f ca="1">IFERROR(__xludf.DUMMYFUNCTION("""COMPUTED_VALUE"""),500000)</f>
        <v>500000</v>
      </c>
      <c r="D1773" s="22">
        <f ca="1">IFERROR(__xludf.DUMMYFUNCTION("""COMPUTED_VALUE"""),0)</f>
        <v>0</v>
      </c>
      <c r="E1773" s="22">
        <f ca="1">IFERROR(__xludf.DUMMYFUNCTION("""COMPUTED_VALUE"""),500000)</f>
        <v>500000</v>
      </c>
      <c r="F1773" s="22">
        <f ca="1">IFERROR(__xludf.DUMMYFUNCTION("""COMPUTED_VALUE"""),500000)</f>
        <v>500000</v>
      </c>
      <c r="G1773" s="22">
        <f ca="1">IFERROR(__xludf.DUMMYFUNCTION("""COMPUTED_VALUE"""),0)</f>
        <v>0</v>
      </c>
      <c r="H1773" s="7">
        <f ca="1">IFERROR(__xludf.DUMMYFUNCTION("""COMPUTED_VALUE"""),500000)</f>
        <v>500000</v>
      </c>
    </row>
    <row r="1774" spans="1:8" ht="13" x14ac:dyDescent="0.15">
      <c r="A1774" s="5" t="str">
        <f ca="1">IFERROR(__xludf.DUMMYFUNCTION("""COMPUTED_VALUE"""),"39302")</f>
        <v>39302</v>
      </c>
      <c r="B1774" s="51">
        <f ca="1">IFERROR(__xludf.DUMMYFUNCTION("""COMPUTED_VALUE"""),44619)</f>
        <v>44619</v>
      </c>
      <c r="C1774" s="22">
        <f ca="1">IFERROR(__xludf.DUMMYFUNCTION("""COMPUTED_VALUE"""),500000)</f>
        <v>500000</v>
      </c>
      <c r="D1774" s="22">
        <f ca="1">IFERROR(__xludf.DUMMYFUNCTION("""COMPUTED_VALUE"""),0)</f>
        <v>0</v>
      </c>
      <c r="E1774" s="22">
        <f ca="1">IFERROR(__xludf.DUMMYFUNCTION("""COMPUTED_VALUE"""),500000)</f>
        <v>500000</v>
      </c>
      <c r="F1774" s="22">
        <f ca="1">IFERROR(__xludf.DUMMYFUNCTION("""COMPUTED_VALUE"""),500000)</f>
        <v>500000</v>
      </c>
      <c r="G1774" s="22">
        <f ca="1">IFERROR(__xludf.DUMMYFUNCTION("""COMPUTED_VALUE"""),0)</f>
        <v>0</v>
      </c>
      <c r="H1774" s="7">
        <f ca="1">IFERROR(__xludf.DUMMYFUNCTION("""COMPUTED_VALUE"""),500000)</f>
        <v>500000</v>
      </c>
    </row>
    <row r="1775" spans="1:8" ht="13" x14ac:dyDescent="0.15">
      <c r="A1775" s="5" t="str">
        <f ca="1">IFERROR(__xludf.DUMMYFUNCTION("""COMPUTED_VALUE"""),"39302")</f>
        <v>39302</v>
      </c>
      <c r="B1775" s="51">
        <f ca="1">IFERROR(__xludf.DUMMYFUNCTION("""COMPUTED_VALUE"""),44620)</f>
        <v>44620</v>
      </c>
      <c r="C1775" s="22">
        <f ca="1">IFERROR(__xludf.DUMMYFUNCTION("""COMPUTED_VALUE"""),500000)</f>
        <v>500000</v>
      </c>
      <c r="D1775" s="22">
        <f ca="1">IFERROR(__xludf.DUMMYFUNCTION("""COMPUTED_VALUE"""),0)</f>
        <v>0</v>
      </c>
      <c r="E1775" s="22">
        <f ca="1">IFERROR(__xludf.DUMMYFUNCTION("""COMPUTED_VALUE"""),500000)</f>
        <v>500000</v>
      </c>
      <c r="F1775" s="22">
        <f ca="1">IFERROR(__xludf.DUMMYFUNCTION("""COMPUTED_VALUE"""),500000)</f>
        <v>500000</v>
      </c>
      <c r="G1775" s="22">
        <f ca="1">IFERROR(__xludf.DUMMYFUNCTION("""COMPUTED_VALUE"""),0)</f>
        <v>0</v>
      </c>
      <c r="H1775" s="7">
        <f ca="1">IFERROR(__xludf.DUMMYFUNCTION("""COMPUTED_VALUE"""),500000)</f>
        <v>500000</v>
      </c>
    </row>
    <row r="1776" spans="1:8" ht="13" x14ac:dyDescent="0.15">
      <c r="A1776" s="5" t="str">
        <f ca="1">IFERROR(__xludf.DUMMYFUNCTION("""COMPUTED_VALUE"""),"39302")</f>
        <v>39302</v>
      </c>
      <c r="B1776" s="51">
        <f ca="1">IFERROR(__xludf.DUMMYFUNCTION("""COMPUTED_VALUE"""),44621)</f>
        <v>44621</v>
      </c>
      <c r="C1776" s="22">
        <f ca="1">IFERROR(__xludf.DUMMYFUNCTION("""COMPUTED_VALUE"""),500000)</f>
        <v>500000</v>
      </c>
      <c r="D1776" s="22">
        <f ca="1">IFERROR(__xludf.DUMMYFUNCTION("""COMPUTED_VALUE"""),0)</f>
        <v>0</v>
      </c>
      <c r="E1776" s="22">
        <f ca="1">IFERROR(__xludf.DUMMYFUNCTION("""COMPUTED_VALUE"""),500000)</f>
        <v>500000</v>
      </c>
      <c r="F1776" s="22">
        <f ca="1">IFERROR(__xludf.DUMMYFUNCTION("""COMPUTED_VALUE"""),500000)</f>
        <v>500000</v>
      </c>
      <c r="G1776" s="22">
        <f ca="1">IFERROR(__xludf.DUMMYFUNCTION("""COMPUTED_VALUE"""),0)</f>
        <v>0</v>
      </c>
      <c r="H1776" s="7">
        <f ca="1">IFERROR(__xludf.DUMMYFUNCTION("""COMPUTED_VALUE"""),500000)</f>
        <v>500000</v>
      </c>
    </row>
    <row r="1777" spans="1:8" ht="13" x14ac:dyDescent="0.15">
      <c r="A1777" s="5" t="str">
        <f ca="1">IFERROR(__xludf.DUMMYFUNCTION("""COMPUTED_VALUE"""),"39302")</f>
        <v>39302</v>
      </c>
      <c r="B1777" s="51">
        <f ca="1">IFERROR(__xludf.DUMMYFUNCTION("""COMPUTED_VALUE"""),44622)</f>
        <v>44622</v>
      </c>
      <c r="C1777" s="22">
        <f ca="1">IFERROR(__xludf.DUMMYFUNCTION("""COMPUTED_VALUE"""),500000)</f>
        <v>500000</v>
      </c>
      <c r="D1777" s="22">
        <f ca="1">IFERROR(__xludf.DUMMYFUNCTION("""COMPUTED_VALUE"""),0)</f>
        <v>0</v>
      </c>
      <c r="E1777" s="22">
        <f ca="1">IFERROR(__xludf.DUMMYFUNCTION("""COMPUTED_VALUE"""),500000)</f>
        <v>500000</v>
      </c>
      <c r="F1777" s="22">
        <f ca="1">IFERROR(__xludf.DUMMYFUNCTION("""COMPUTED_VALUE"""),500000)</f>
        <v>500000</v>
      </c>
      <c r="G1777" s="22">
        <f ca="1">IFERROR(__xludf.DUMMYFUNCTION("""COMPUTED_VALUE"""),0)</f>
        <v>0</v>
      </c>
      <c r="H1777" s="7">
        <f ca="1">IFERROR(__xludf.DUMMYFUNCTION("""COMPUTED_VALUE"""),500000)</f>
        <v>500000</v>
      </c>
    </row>
    <row r="1778" spans="1:8" ht="13" x14ac:dyDescent="0.15">
      <c r="A1778" s="5" t="str">
        <f ca="1">IFERROR(__xludf.DUMMYFUNCTION("""COMPUTED_VALUE"""),"39302")</f>
        <v>39302</v>
      </c>
      <c r="B1778" s="51">
        <f ca="1">IFERROR(__xludf.DUMMYFUNCTION("""COMPUTED_VALUE"""),44623)</f>
        <v>44623</v>
      </c>
      <c r="C1778" s="22">
        <f ca="1">IFERROR(__xludf.DUMMYFUNCTION("""COMPUTED_VALUE"""),500000)</f>
        <v>500000</v>
      </c>
      <c r="D1778" s="22">
        <f ca="1">IFERROR(__xludf.DUMMYFUNCTION("""COMPUTED_VALUE"""),0)</f>
        <v>0</v>
      </c>
      <c r="E1778" s="22">
        <f ca="1">IFERROR(__xludf.DUMMYFUNCTION("""COMPUTED_VALUE"""),500000)</f>
        <v>500000</v>
      </c>
      <c r="F1778" s="22">
        <f ca="1">IFERROR(__xludf.DUMMYFUNCTION("""COMPUTED_VALUE"""),500000)</f>
        <v>500000</v>
      </c>
      <c r="G1778" s="22">
        <f ca="1">IFERROR(__xludf.DUMMYFUNCTION("""COMPUTED_VALUE"""),0)</f>
        <v>0</v>
      </c>
      <c r="H1778" s="7">
        <f ca="1">IFERROR(__xludf.DUMMYFUNCTION("""COMPUTED_VALUE"""),500000)</f>
        <v>500000</v>
      </c>
    </row>
    <row r="1779" spans="1:8" ht="13" x14ac:dyDescent="0.15">
      <c r="A1779" s="5" t="str">
        <f ca="1">IFERROR(__xludf.DUMMYFUNCTION("""COMPUTED_VALUE"""),"39302")</f>
        <v>39302</v>
      </c>
      <c r="B1779" s="51">
        <f ca="1">IFERROR(__xludf.DUMMYFUNCTION("""COMPUTED_VALUE"""),44624)</f>
        <v>44624</v>
      </c>
      <c r="C1779" s="22">
        <f ca="1">IFERROR(__xludf.DUMMYFUNCTION("""COMPUTED_VALUE"""),500000)</f>
        <v>500000</v>
      </c>
      <c r="D1779" s="22">
        <f ca="1">IFERROR(__xludf.DUMMYFUNCTION("""COMPUTED_VALUE"""),0)</f>
        <v>0</v>
      </c>
      <c r="E1779" s="22">
        <f ca="1">IFERROR(__xludf.DUMMYFUNCTION("""COMPUTED_VALUE"""),500000)</f>
        <v>500000</v>
      </c>
      <c r="F1779" s="22">
        <f ca="1">IFERROR(__xludf.DUMMYFUNCTION("""COMPUTED_VALUE"""),500000)</f>
        <v>500000</v>
      </c>
      <c r="G1779" s="22">
        <f ca="1">IFERROR(__xludf.DUMMYFUNCTION("""COMPUTED_VALUE"""),0)</f>
        <v>0</v>
      </c>
      <c r="H1779" s="7">
        <f ca="1">IFERROR(__xludf.DUMMYFUNCTION("""COMPUTED_VALUE"""),500000)</f>
        <v>500000</v>
      </c>
    </row>
    <row r="1780" spans="1:8" ht="13" x14ac:dyDescent="0.15">
      <c r="A1780" s="5" t="str">
        <f ca="1">IFERROR(__xludf.DUMMYFUNCTION("""COMPUTED_VALUE"""),"39302")</f>
        <v>39302</v>
      </c>
      <c r="B1780" s="51">
        <f ca="1">IFERROR(__xludf.DUMMYFUNCTION("""COMPUTED_VALUE"""),44625)</f>
        <v>44625</v>
      </c>
      <c r="C1780" s="22">
        <f ca="1">IFERROR(__xludf.DUMMYFUNCTION("""COMPUTED_VALUE"""),500000)</f>
        <v>500000</v>
      </c>
      <c r="D1780" s="22">
        <f ca="1">IFERROR(__xludf.DUMMYFUNCTION("""COMPUTED_VALUE"""),0)</f>
        <v>0</v>
      </c>
      <c r="E1780" s="22">
        <f ca="1">IFERROR(__xludf.DUMMYFUNCTION("""COMPUTED_VALUE"""),500000)</f>
        <v>500000</v>
      </c>
      <c r="F1780" s="22">
        <f ca="1">IFERROR(__xludf.DUMMYFUNCTION("""COMPUTED_VALUE"""),500000)</f>
        <v>500000</v>
      </c>
      <c r="G1780" s="22">
        <f ca="1">IFERROR(__xludf.DUMMYFUNCTION("""COMPUTED_VALUE"""),0)</f>
        <v>0</v>
      </c>
      <c r="H1780" s="7">
        <f ca="1">IFERROR(__xludf.DUMMYFUNCTION("""COMPUTED_VALUE"""),500000)</f>
        <v>500000</v>
      </c>
    </row>
    <row r="1781" spans="1:8" ht="13" x14ac:dyDescent="0.15">
      <c r="A1781" s="5" t="str">
        <f ca="1">IFERROR(__xludf.DUMMYFUNCTION("""COMPUTED_VALUE"""),"39302")</f>
        <v>39302</v>
      </c>
      <c r="B1781" s="51">
        <f ca="1">IFERROR(__xludf.DUMMYFUNCTION("""COMPUTED_VALUE"""),44626)</f>
        <v>44626</v>
      </c>
      <c r="C1781" s="22">
        <f ca="1">IFERROR(__xludf.DUMMYFUNCTION("""COMPUTED_VALUE"""),500000)</f>
        <v>500000</v>
      </c>
      <c r="D1781" s="22">
        <f ca="1">IFERROR(__xludf.DUMMYFUNCTION("""COMPUTED_VALUE"""),0)</f>
        <v>0</v>
      </c>
      <c r="E1781" s="22">
        <f ca="1">IFERROR(__xludf.DUMMYFUNCTION("""COMPUTED_VALUE"""),500000)</f>
        <v>500000</v>
      </c>
      <c r="F1781" s="22">
        <f ca="1">IFERROR(__xludf.DUMMYFUNCTION("""COMPUTED_VALUE"""),500000)</f>
        <v>500000</v>
      </c>
      <c r="G1781" s="22">
        <f ca="1">IFERROR(__xludf.DUMMYFUNCTION("""COMPUTED_VALUE"""),0)</f>
        <v>0</v>
      </c>
      <c r="H1781" s="7">
        <f ca="1">IFERROR(__xludf.DUMMYFUNCTION("""COMPUTED_VALUE"""),500000)</f>
        <v>500000</v>
      </c>
    </row>
    <row r="1782" spans="1:8" ht="13" x14ac:dyDescent="0.15">
      <c r="A1782" s="5" t="str">
        <f ca="1">IFERROR(__xludf.DUMMYFUNCTION("""COMPUTED_VALUE"""),"39302")</f>
        <v>39302</v>
      </c>
      <c r="B1782" s="51">
        <f ca="1">IFERROR(__xludf.DUMMYFUNCTION("""COMPUTED_VALUE"""),44627)</f>
        <v>44627</v>
      </c>
      <c r="C1782" s="22">
        <f ca="1">IFERROR(__xludf.DUMMYFUNCTION("""COMPUTED_VALUE"""),500000)</f>
        <v>500000</v>
      </c>
      <c r="D1782" s="22">
        <f ca="1">IFERROR(__xludf.DUMMYFUNCTION("""COMPUTED_VALUE"""),0)</f>
        <v>0</v>
      </c>
      <c r="E1782" s="22">
        <f ca="1">IFERROR(__xludf.DUMMYFUNCTION("""COMPUTED_VALUE"""),500000)</f>
        <v>500000</v>
      </c>
      <c r="F1782" s="22">
        <f ca="1">IFERROR(__xludf.DUMMYFUNCTION("""COMPUTED_VALUE"""),500000)</f>
        <v>500000</v>
      </c>
      <c r="G1782" s="22">
        <f ca="1">IFERROR(__xludf.DUMMYFUNCTION("""COMPUTED_VALUE"""),0)</f>
        <v>0</v>
      </c>
      <c r="H1782" s="7">
        <f ca="1">IFERROR(__xludf.DUMMYFUNCTION("""COMPUTED_VALUE"""),500000)</f>
        <v>500000</v>
      </c>
    </row>
    <row r="1783" spans="1:8" ht="13" x14ac:dyDescent="0.15">
      <c r="A1783" s="5" t="str">
        <f ca="1">IFERROR(__xludf.DUMMYFUNCTION("""COMPUTED_VALUE"""),"39302")</f>
        <v>39302</v>
      </c>
      <c r="B1783" s="51">
        <f ca="1">IFERROR(__xludf.DUMMYFUNCTION("""COMPUTED_VALUE"""),44628)</f>
        <v>44628</v>
      </c>
      <c r="C1783" s="22">
        <f ca="1">IFERROR(__xludf.DUMMYFUNCTION("""COMPUTED_VALUE"""),500000)</f>
        <v>500000</v>
      </c>
      <c r="D1783" s="22">
        <f ca="1">IFERROR(__xludf.DUMMYFUNCTION("""COMPUTED_VALUE"""),0)</f>
        <v>0</v>
      </c>
      <c r="E1783" s="22">
        <f ca="1">IFERROR(__xludf.DUMMYFUNCTION("""COMPUTED_VALUE"""),500000)</f>
        <v>500000</v>
      </c>
      <c r="F1783" s="22">
        <f ca="1">IFERROR(__xludf.DUMMYFUNCTION("""COMPUTED_VALUE"""),500000)</f>
        <v>500000</v>
      </c>
      <c r="G1783" s="22">
        <f ca="1">IFERROR(__xludf.DUMMYFUNCTION("""COMPUTED_VALUE"""),0)</f>
        <v>0</v>
      </c>
      <c r="H1783" s="7">
        <f ca="1">IFERROR(__xludf.DUMMYFUNCTION("""COMPUTED_VALUE"""),500000)</f>
        <v>500000</v>
      </c>
    </row>
    <row r="1784" spans="1:8" ht="13" x14ac:dyDescent="0.15">
      <c r="A1784" s="5" t="str">
        <f ca="1">IFERROR(__xludf.DUMMYFUNCTION("""COMPUTED_VALUE"""),"39302")</f>
        <v>39302</v>
      </c>
      <c r="B1784" s="51">
        <f ca="1">IFERROR(__xludf.DUMMYFUNCTION("""COMPUTED_VALUE"""),44629)</f>
        <v>44629</v>
      </c>
      <c r="C1784" s="22">
        <f ca="1">IFERROR(__xludf.DUMMYFUNCTION("""COMPUTED_VALUE"""),500000)</f>
        <v>500000</v>
      </c>
      <c r="D1784" s="22">
        <f ca="1">IFERROR(__xludf.DUMMYFUNCTION("""COMPUTED_VALUE"""),0)</f>
        <v>0</v>
      </c>
      <c r="E1784" s="22">
        <f ca="1">IFERROR(__xludf.DUMMYFUNCTION("""COMPUTED_VALUE"""),500000)</f>
        <v>500000</v>
      </c>
      <c r="F1784" s="22">
        <f ca="1">IFERROR(__xludf.DUMMYFUNCTION("""COMPUTED_VALUE"""),500000)</f>
        <v>500000</v>
      </c>
      <c r="G1784" s="22">
        <f ca="1">IFERROR(__xludf.DUMMYFUNCTION("""COMPUTED_VALUE"""),0)</f>
        <v>0</v>
      </c>
      <c r="H1784" s="7">
        <f ca="1">IFERROR(__xludf.DUMMYFUNCTION("""COMPUTED_VALUE"""),500000)</f>
        <v>500000</v>
      </c>
    </row>
    <row r="1785" spans="1:8" ht="13" x14ac:dyDescent="0.15">
      <c r="A1785" s="5" t="str">
        <f ca="1">IFERROR(__xludf.DUMMYFUNCTION("""COMPUTED_VALUE"""),"39302")</f>
        <v>39302</v>
      </c>
      <c r="B1785" s="51">
        <f ca="1">IFERROR(__xludf.DUMMYFUNCTION("""COMPUTED_VALUE"""),44630)</f>
        <v>44630</v>
      </c>
      <c r="C1785" s="22">
        <f ca="1">IFERROR(__xludf.DUMMYFUNCTION("""COMPUTED_VALUE"""),500000)</f>
        <v>500000</v>
      </c>
      <c r="D1785" s="22">
        <f ca="1">IFERROR(__xludf.DUMMYFUNCTION("""COMPUTED_VALUE"""),0)</f>
        <v>0</v>
      </c>
      <c r="E1785" s="22">
        <f ca="1">IFERROR(__xludf.DUMMYFUNCTION("""COMPUTED_VALUE"""),500000)</f>
        <v>500000</v>
      </c>
      <c r="F1785" s="22">
        <f ca="1">IFERROR(__xludf.DUMMYFUNCTION("""COMPUTED_VALUE"""),500000)</f>
        <v>500000</v>
      </c>
      <c r="G1785" s="22">
        <f ca="1">IFERROR(__xludf.DUMMYFUNCTION("""COMPUTED_VALUE"""),0)</f>
        <v>0</v>
      </c>
      <c r="H1785" s="7">
        <f ca="1">IFERROR(__xludf.DUMMYFUNCTION("""COMPUTED_VALUE"""),500000)</f>
        <v>500000</v>
      </c>
    </row>
    <row r="1786" spans="1:8" ht="13" x14ac:dyDescent="0.15">
      <c r="A1786" s="5" t="str">
        <f ca="1">IFERROR(__xludf.DUMMYFUNCTION("""COMPUTED_VALUE"""),"39302")</f>
        <v>39302</v>
      </c>
      <c r="B1786" s="51">
        <f ca="1">IFERROR(__xludf.DUMMYFUNCTION("""COMPUTED_VALUE"""),44631)</f>
        <v>44631</v>
      </c>
      <c r="C1786" s="22">
        <f ca="1">IFERROR(__xludf.DUMMYFUNCTION("""COMPUTED_VALUE"""),500000)</f>
        <v>500000</v>
      </c>
      <c r="D1786" s="22">
        <f ca="1">IFERROR(__xludf.DUMMYFUNCTION("""COMPUTED_VALUE"""),0)</f>
        <v>0</v>
      </c>
      <c r="E1786" s="22">
        <f ca="1">IFERROR(__xludf.DUMMYFUNCTION("""COMPUTED_VALUE"""),500000)</f>
        <v>500000</v>
      </c>
      <c r="F1786" s="22">
        <f ca="1">IFERROR(__xludf.DUMMYFUNCTION("""COMPUTED_VALUE"""),500000)</f>
        <v>500000</v>
      </c>
      <c r="G1786" s="22">
        <f ca="1">IFERROR(__xludf.DUMMYFUNCTION("""COMPUTED_VALUE"""),0)</f>
        <v>0</v>
      </c>
      <c r="H1786" s="7">
        <f ca="1">IFERROR(__xludf.DUMMYFUNCTION("""COMPUTED_VALUE"""),500000)</f>
        <v>500000</v>
      </c>
    </row>
    <row r="1787" spans="1:8" ht="13" x14ac:dyDescent="0.15">
      <c r="A1787" s="5" t="str">
        <f ca="1">IFERROR(__xludf.DUMMYFUNCTION("""COMPUTED_VALUE"""),"39302")</f>
        <v>39302</v>
      </c>
      <c r="B1787" s="51">
        <f ca="1">IFERROR(__xludf.DUMMYFUNCTION("""COMPUTED_VALUE"""),44632)</f>
        <v>44632</v>
      </c>
      <c r="C1787" s="22">
        <f ca="1">IFERROR(__xludf.DUMMYFUNCTION("""COMPUTED_VALUE"""),500000)</f>
        <v>500000</v>
      </c>
      <c r="D1787" s="22">
        <f ca="1">IFERROR(__xludf.DUMMYFUNCTION("""COMPUTED_VALUE"""),0)</f>
        <v>0</v>
      </c>
      <c r="E1787" s="22">
        <f ca="1">IFERROR(__xludf.DUMMYFUNCTION("""COMPUTED_VALUE"""),500000)</f>
        <v>500000</v>
      </c>
      <c r="F1787" s="22">
        <f ca="1">IFERROR(__xludf.DUMMYFUNCTION("""COMPUTED_VALUE"""),500000)</f>
        <v>500000</v>
      </c>
      <c r="G1787" s="22">
        <f ca="1">IFERROR(__xludf.DUMMYFUNCTION("""COMPUTED_VALUE"""),0)</f>
        <v>0</v>
      </c>
      <c r="H1787" s="7">
        <f ca="1">IFERROR(__xludf.DUMMYFUNCTION("""COMPUTED_VALUE"""),500000)</f>
        <v>500000</v>
      </c>
    </row>
    <row r="1788" spans="1:8" ht="13" x14ac:dyDescent="0.15">
      <c r="A1788" s="5" t="str">
        <f ca="1">IFERROR(__xludf.DUMMYFUNCTION("""COMPUTED_VALUE"""),"39302")</f>
        <v>39302</v>
      </c>
      <c r="B1788" s="51">
        <f ca="1">IFERROR(__xludf.DUMMYFUNCTION("""COMPUTED_VALUE"""),44633)</f>
        <v>44633</v>
      </c>
      <c r="C1788" s="22">
        <f ca="1">IFERROR(__xludf.DUMMYFUNCTION("""COMPUTED_VALUE"""),500000)</f>
        <v>500000</v>
      </c>
      <c r="D1788" s="22">
        <f ca="1">IFERROR(__xludf.DUMMYFUNCTION("""COMPUTED_VALUE"""),0)</f>
        <v>0</v>
      </c>
      <c r="E1788" s="22">
        <f ca="1">IFERROR(__xludf.DUMMYFUNCTION("""COMPUTED_VALUE"""),500000)</f>
        <v>500000</v>
      </c>
      <c r="F1788" s="22">
        <f ca="1">IFERROR(__xludf.DUMMYFUNCTION("""COMPUTED_VALUE"""),500000)</f>
        <v>500000</v>
      </c>
      <c r="G1788" s="22">
        <f ca="1">IFERROR(__xludf.DUMMYFUNCTION("""COMPUTED_VALUE"""),0)</f>
        <v>0</v>
      </c>
      <c r="H1788" s="7">
        <f ca="1">IFERROR(__xludf.DUMMYFUNCTION("""COMPUTED_VALUE"""),500000)</f>
        <v>500000</v>
      </c>
    </row>
    <row r="1789" spans="1:8" ht="13" x14ac:dyDescent="0.15">
      <c r="A1789" s="5" t="str">
        <f ca="1">IFERROR(__xludf.DUMMYFUNCTION("""COMPUTED_VALUE"""),"39302")</f>
        <v>39302</v>
      </c>
      <c r="B1789" s="51">
        <f ca="1">IFERROR(__xludf.DUMMYFUNCTION("""COMPUTED_VALUE"""),44634)</f>
        <v>44634</v>
      </c>
      <c r="C1789" s="22">
        <f ca="1">IFERROR(__xludf.DUMMYFUNCTION("""COMPUTED_VALUE"""),500000)</f>
        <v>500000</v>
      </c>
      <c r="D1789" s="22">
        <f ca="1">IFERROR(__xludf.DUMMYFUNCTION("""COMPUTED_VALUE"""),0)</f>
        <v>0</v>
      </c>
      <c r="E1789" s="22">
        <f ca="1">IFERROR(__xludf.DUMMYFUNCTION("""COMPUTED_VALUE"""),500000)</f>
        <v>500000</v>
      </c>
      <c r="F1789" s="22">
        <f ca="1">IFERROR(__xludf.DUMMYFUNCTION("""COMPUTED_VALUE"""),500000)</f>
        <v>500000</v>
      </c>
      <c r="G1789" s="22">
        <f ca="1">IFERROR(__xludf.DUMMYFUNCTION("""COMPUTED_VALUE"""),0)</f>
        <v>0</v>
      </c>
      <c r="H1789" s="7">
        <f ca="1">IFERROR(__xludf.DUMMYFUNCTION("""COMPUTED_VALUE"""),500000)</f>
        <v>500000</v>
      </c>
    </row>
    <row r="1790" spans="1:8" ht="13" x14ac:dyDescent="0.15">
      <c r="A1790" s="5" t="str">
        <f ca="1">IFERROR(__xludf.DUMMYFUNCTION("""COMPUTED_VALUE"""),"39302")</f>
        <v>39302</v>
      </c>
      <c r="B1790" s="51">
        <f ca="1">IFERROR(__xludf.DUMMYFUNCTION("""COMPUTED_VALUE"""),44635)</f>
        <v>44635</v>
      </c>
      <c r="C1790" s="22">
        <f ca="1">IFERROR(__xludf.DUMMYFUNCTION("""COMPUTED_VALUE"""),500000)</f>
        <v>500000</v>
      </c>
      <c r="D1790" s="22">
        <f ca="1">IFERROR(__xludf.DUMMYFUNCTION("""COMPUTED_VALUE"""),0)</f>
        <v>0</v>
      </c>
      <c r="E1790" s="22">
        <f ca="1">IFERROR(__xludf.DUMMYFUNCTION("""COMPUTED_VALUE"""),500000)</f>
        <v>500000</v>
      </c>
      <c r="F1790" s="22">
        <f ca="1">IFERROR(__xludf.DUMMYFUNCTION("""COMPUTED_VALUE"""),500000)</f>
        <v>500000</v>
      </c>
      <c r="G1790" s="22">
        <f ca="1">IFERROR(__xludf.DUMMYFUNCTION("""COMPUTED_VALUE"""),0)</f>
        <v>0</v>
      </c>
      <c r="H1790" s="7">
        <f ca="1">IFERROR(__xludf.DUMMYFUNCTION("""COMPUTED_VALUE"""),500000)</f>
        <v>500000</v>
      </c>
    </row>
    <row r="1791" spans="1:8" ht="13" x14ac:dyDescent="0.15">
      <c r="A1791" s="5" t="str">
        <f ca="1">IFERROR(__xludf.DUMMYFUNCTION("""COMPUTED_VALUE"""),"39302")</f>
        <v>39302</v>
      </c>
      <c r="B1791" s="51">
        <f ca="1">IFERROR(__xludf.DUMMYFUNCTION("""COMPUTED_VALUE"""),44636)</f>
        <v>44636</v>
      </c>
      <c r="C1791" s="22">
        <f ca="1">IFERROR(__xludf.DUMMYFUNCTION("""COMPUTED_VALUE"""),500000)</f>
        <v>500000</v>
      </c>
      <c r="D1791" s="22">
        <f ca="1">IFERROR(__xludf.DUMMYFUNCTION("""COMPUTED_VALUE"""),0)</f>
        <v>0</v>
      </c>
      <c r="E1791" s="22">
        <f ca="1">IFERROR(__xludf.DUMMYFUNCTION("""COMPUTED_VALUE"""),500000)</f>
        <v>500000</v>
      </c>
      <c r="F1791" s="22">
        <f ca="1">IFERROR(__xludf.DUMMYFUNCTION("""COMPUTED_VALUE"""),500000)</f>
        <v>500000</v>
      </c>
      <c r="G1791" s="22">
        <f ca="1">IFERROR(__xludf.DUMMYFUNCTION("""COMPUTED_VALUE"""),0)</f>
        <v>0</v>
      </c>
      <c r="H1791" s="7">
        <f ca="1">IFERROR(__xludf.DUMMYFUNCTION("""COMPUTED_VALUE"""),500000)</f>
        <v>500000</v>
      </c>
    </row>
    <row r="1792" spans="1:8" ht="13" x14ac:dyDescent="0.15">
      <c r="A1792" s="5" t="str">
        <f ca="1">IFERROR(__xludf.DUMMYFUNCTION("""COMPUTED_VALUE"""),"39302")</f>
        <v>39302</v>
      </c>
      <c r="B1792" s="51">
        <f ca="1">IFERROR(__xludf.DUMMYFUNCTION("""COMPUTED_VALUE"""),44637)</f>
        <v>44637</v>
      </c>
      <c r="C1792" s="22">
        <f ca="1">IFERROR(__xludf.DUMMYFUNCTION("""COMPUTED_VALUE"""),500000)</f>
        <v>500000</v>
      </c>
      <c r="D1792" s="22">
        <f ca="1">IFERROR(__xludf.DUMMYFUNCTION("""COMPUTED_VALUE"""),0)</f>
        <v>0</v>
      </c>
      <c r="E1792" s="22">
        <f ca="1">IFERROR(__xludf.DUMMYFUNCTION("""COMPUTED_VALUE"""),500000)</f>
        <v>500000</v>
      </c>
      <c r="F1792" s="22">
        <f ca="1">IFERROR(__xludf.DUMMYFUNCTION("""COMPUTED_VALUE"""),500000)</f>
        <v>500000</v>
      </c>
      <c r="G1792" s="22">
        <f ca="1">IFERROR(__xludf.DUMMYFUNCTION("""COMPUTED_VALUE"""),0)</f>
        <v>0</v>
      </c>
      <c r="H1792" s="7">
        <f ca="1">IFERROR(__xludf.DUMMYFUNCTION("""COMPUTED_VALUE"""),500000)</f>
        <v>500000</v>
      </c>
    </row>
    <row r="1793" spans="1:8" ht="13" x14ac:dyDescent="0.15">
      <c r="A1793" s="5" t="str">
        <f ca="1">IFERROR(__xludf.DUMMYFUNCTION("""COMPUTED_VALUE"""),"39302")</f>
        <v>39302</v>
      </c>
      <c r="B1793" s="51">
        <f ca="1">IFERROR(__xludf.DUMMYFUNCTION("""COMPUTED_VALUE"""),44638)</f>
        <v>44638</v>
      </c>
      <c r="C1793" s="22">
        <f ca="1">IFERROR(__xludf.DUMMYFUNCTION("""COMPUTED_VALUE"""),500000)</f>
        <v>500000</v>
      </c>
      <c r="D1793" s="22">
        <f ca="1">IFERROR(__xludf.DUMMYFUNCTION("""COMPUTED_VALUE"""),0)</f>
        <v>0</v>
      </c>
      <c r="E1793" s="22">
        <f ca="1">IFERROR(__xludf.DUMMYFUNCTION("""COMPUTED_VALUE"""),500000)</f>
        <v>500000</v>
      </c>
      <c r="F1793" s="22">
        <f ca="1">IFERROR(__xludf.DUMMYFUNCTION("""COMPUTED_VALUE"""),500000)</f>
        <v>500000</v>
      </c>
      <c r="G1793" s="22">
        <f ca="1">IFERROR(__xludf.DUMMYFUNCTION("""COMPUTED_VALUE"""),0)</f>
        <v>0</v>
      </c>
      <c r="H1793" s="7">
        <f ca="1">IFERROR(__xludf.DUMMYFUNCTION("""COMPUTED_VALUE"""),500000)</f>
        <v>500000</v>
      </c>
    </row>
    <row r="1794" spans="1:8" ht="13" x14ac:dyDescent="0.15">
      <c r="A1794" s="5" t="str">
        <f ca="1">IFERROR(__xludf.DUMMYFUNCTION("""COMPUTED_VALUE"""),"39302")</f>
        <v>39302</v>
      </c>
      <c r="B1794" s="51">
        <f ca="1">IFERROR(__xludf.DUMMYFUNCTION("""COMPUTED_VALUE"""),44639)</f>
        <v>44639</v>
      </c>
      <c r="C1794" s="22">
        <f ca="1">IFERROR(__xludf.DUMMYFUNCTION("""COMPUTED_VALUE"""),500000)</f>
        <v>500000</v>
      </c>
      <c r="D1794" s="22">
        <f ca="1">IFERROR(__xludf.DUMMYFUNCTION("""COMPUTED_VALUE"""),0)</f>
        <v>0</v>
      </c>
      <c r="E1794" s="22">
        <f ca="1">IFERROR(__xludf.DUMMYFUNCTION("""COMPUTED_VALUE"""),500000)</f>
        <v>500000</v>
      </c>
      <c r="F1794" s="22">
        <f ca="1">IFERROR(__xludf.DUMMYFUNCTION("""COMPUTED_VALUE"""),500000)</f>
        <v>500000</v>
      </c>
      <c r="G1794" s="22">
        <f ca="1">IFERROR(__xludf.DUMMYFUNCTION("""COMPUTED_VALUE"""),0)</f>
        <v>0</v>
      </c>
      <c r="H1794" s="7">
        <f ca="1">IFERROR(__xludf.DUMMYFUNCTION("""COMPUTED_VALUE"""),500000)</f>
        <v>500000</v>
      </c>
    </row>
    <row r="1795" spans="1:8" ht="13" x14ac:dyDescent="0.15">
      <c r="A1795" s="5" t="str">
        <f ca="1">IFERROR(__xludf.DUMMYFUNCTION("""COMPUTED_VALUE"""),"39302")</f>
        <v>39302</v>
      </c>
      <c r="B1795" s="51">
        <f ca="1">IFERROR(__xludf.DUMMYFUNCTION("""COMPUTED_VALUE"""),44640)</f>
        <v>44640</v>
      </c>
      <c r="C1795" s="22">
        <f ca="1">IFERROR(__xludf.DUMMYFUNCTION("""COMPUTED_VALUE"""),500000)</f>
        <v>500000</v>
      </c>
      <c r="D1795" s="22">
        <f ca="1">IFERROR(__xludf.DUMMYFUNCTION("""COMPUTED_VALUE"""),0)</f>
        <v>0</v>
      </c>
      <c r="E1795" s="22">
        <f ca="1">IFERROR(__xludf.DUMMYFUNCTION("""COMPUTED_VALUE"""),500000)</f>
        <v>500000</v>
      </c>
      <c r="F1795" s="22">
        <f ca="1">IFERROR(__xludf.DUMMYFUNCTION("""COMPUTED_VALUE"""),500000)</f>
        <v>500000</v>
      </c>
      <c r="G1795" s="22">
        <f ca="1">IFERROR(__xludf.DUMMYFUNCTION("""COMPUTED_VALUE"""),0)</f>
        <v>0</v>
      </c>
      <c r="H1795" s="7">
        <f ca="1">IFERROR(__xludf.DUMMYFUNCTION("""COMPUTED_VALUE"""),500000)</f>
        <v>500000</v>
      </c>
    </row>
    <row r="1796" spans="1:8" ht="13" x14ac:dyDescent="0.15">
      <c r="A1796" s="5" t="str">
        <f ca="1">IFERROR(__xludf.DUMMYFUNCTION("""COMPUTED_VALUE"""),"39302")</f>
        <v>39302</v>
      </c>
      <c r="B1796" s="51">
        <f ca="1">IFERROR(__xludf.DUMMYFUNCTION("""COMPUTED_VALUE"""),44641)</f>
        <v>44641</v>
      </c>
      <c r="C1796" s="22">
        <f ca="1">IFERROR(__xludf.DUMMYFUNCTION("""COMPUTED_VALUE"""),500000)</f>
        <v>500000</v>
      </c>
      <c r="D1796" s="22">
        <f ca="1">IFERROR(__xludf.DUMMYFUNCTION("""COMPUTED_VALUE"""),0)</f>
        <v>0</v>
      </c>
      <c r="E1796" s="22">
        <f ca="1">IFERROR(__xludf.DUMMYFUNCTION("""COMPUTED_VALUE"""),500000)</f>
        <v>500000</v>
      </c>
      <c r="F1796" s="22">
        <f ca="1">IFERROR(__xludf.DUMMYFUNCTION("""COMPUTED_VALUE"""),500000)</f>
        <v>500000</v>
      </c>
      <c r="G1796" s="22">
        <f ca="1">IFERROR(__xludf.DUMMYFUNCTION("""COMPUTED_VALUE"""),0)</f>
        <v>0</v>
      </c>
      <c r="H1796" s="7">
        <f ca="1">IFERROR(__xludf.DUMMYFUNCTION("""COMPUTED_VALUE"""),500000)</f>
        <v>500000</v>
      </c>
    </row>
    <row r="1797" spans="1:8" ht="13" x14ac:dyDescent="0.15">
      <c r="A1797" s="5" t="str">
        <f ca="1">IFERROR(__xludf.DUMMYFUNCTION("""COMPUTED_VALUE"""),"39302")</f>
        <v>39302</v>
      </c>
      <c r="B1797" s="51">
        <f ca="1">IFERROR(__xludf.DUMMYFUNCTION("""COMPUTED_VALUE"""),44642)</f>
        <v>44642</v>
      </c>
      <c r="C1797" s="22">
        <f ca="1">IFERROR(__xludf.DUMMYFUNCTION("""COMPUTED_VALUE"""),500000)</f>
        <v>500000</v>
      </c>
      <c r="D1797" s="22">
        <f ca="1">IFERROR(__xludf.DUMMYFUNCTION("""COMPUTED_VALUE"""),0)</f>
        <v>0</v>
      </c>
      <c r="E1797" s="22">
        <f ca="1">IFERROR(__xludf.DUMMYFUNCTION("""COMPUTED_VALUE"""),500000)</f>
        <v>500000</v>
      </c>
      <c r="F1797" s="22">
        <f ca="1">IFERROR(__xludf.DUMMYFUNCTION("""COMPUTED_VALUE"""),500000)</f>
        <v>500000</v>
      </c>
      <c r="G1797" s="22">
        <f ca="1">IFERROR(__xludf.DUMMYFUNCTION("""COMPUTED_VALUE"""),0)</f>
        <v>0</v>
      </c>
      <c r="H1797" s="7">
        <f ca="1">IFERROR(__xludf.DUMMYFUNCTION("""COMPUTED_VALUE"""),500000)</f>
        <v>500000</v>
      </c>
    </row>
    <row r="1798" spans="1:8" ht="13" x14ac:dyDescent="0.15">
      <c r="A1798" s="5" t="str">
        <f ca="1">IFERROR(__xludf.DUMMYFUNCTION("""COMPUTED_VALUE"""),"39441")</f>
        <v>39441</v>
      </c>
      <c r="B1798" s="51">
        <f ca="1">IFERROR(__xludf.DUMMYFUNCTION("""COMPUTED_VALUE"""),44597)</f>
        <v>44597</v>
      </c>
      <c r="C1798" s="22">
        <f ca="1">IFERROR(__xludf.DUMMYFUNCTION("""COMPUTED_VALUE"""),500000)</f>
        <v>500000</v>
      </c>
      <c r="D1798" s="22">
        <f ca="1">IFERROR(__xludf.DUMMYFUNCTION("""COMPUTED_VALUE"""),0)</f>
        <v>0</v>
      </c>
      <c r="E1798" s="22">
        <f ca="1">IFERROR(__xludf.DUMMYFUNCTION("""COMPUTED_VALUE"""),500000)</f>
        <v>500000</v>
      </c>
      <c r="F1798" s="22">
        <f ca="1">IFERROR(__xludf.DUMMYFUNCTION("""COMPUTED_VALUE"""),500000)</f>
        <v>500000</v>
      </c>
      <c r="G1798" s="22">
        <f ca="1">IFERROR(__xludf.DUMMYFUNCTION("""COMPUTED_VALUE"""),0)</f>
        <v>0</v>
      </c>
      <c r="H1798" s="7">
        <f ca="1">IFERROR(__xludf.DUMMYFUNCTION("""COMPUTED_VALUE"""),500000)</f>
        <v>500000</v>
      </c>
    </row>
    <row r="1799" spans="1:8" ht="13" x14ac:dyDescent="0.15">
      <c r="A1799" s="5" t="str">
        <f ca="1">IFERROR(__xludf.DUMMYFUNCTION("""COMPUTED_VALUE"""),"39441")</f>
        <v>39441</v>
      </c>
      <c r="B1799" s="51">
        <f ca="1">IFERROR(__xludf.DUMMYFUNCTION("""COMPUTED_VALUE"""),44598)</f>
        <v>44598</v>
      </c>
      <c r="C1799" s="22">
        <f ca="1">IFERROR(__xludf.DUMMYFUNCTION("""COMPUTED_VALUE"""),500000)</f>
        <v>500000</v>
      </c>
      <c r="D1799" s="22">
        <f ca="1">IFERROR(__xludf.DUMMYFUNCTION("""COMPUTED_VALUE"""),0)</f>
        <v>0</v>
      </c>
      <c r="E1799" s="22">
        <f ca="1">IFERROR(__xludf.DUMMYFUNCTION("""COMPUTED_VALUE"""),500000)</f>
        <v>500000</v>
      </c>
      <c r="F1799" s="22">
        <f ca="1">IFERROR(__xludf.DUMMYFUNCTION("""COMPUTED_VALUE"""),500000)</f>
        <v>500000</v>
      </c>
      <c r="G1799" s="22">
        <f ca="1">IFERROR(__xludf.DUMMYFUNCTION("""COMPUTED_VALUE"""),0)</f>
        <v>0</v>
      </c>
      <c r="H1799" s="7">
        <f ca="1">IFERROR(__xludf.DUMMYFUNCTION("""COMPUTED_VALUE"""),500000)</f>
        <v>500000</v>
      </c>
    </row>
    <row r="1800" spans="1:8" ht="13" x14ac:dyDescent="0.15">
      <c r="A1800" s="5" t="str">
        <f ca="1">IFERROR(__xludf.DUMMYFUNCTION("""COMPUTED_VALUE"""),"39441")</f>
        <v>39441</v>
      </c>
      <c r="B1800" s="51">
        <f ca="1">IFERROR(__xludf.DUMMYFUNCTION("""COMPUTED_VALUE"""),44599)</f>
        <v>44599</v>
      </c>
      <c r="C1800" s="22">
        <f ca="1">IFERROR(__xludf.DUMMYFUNCTION("""COMPUTED_VALUE"""),500000)</f>
        <v>500000</v>
      </c>
      <c r="D1800" s="22">
        <f ca="1">IFERROR(__xludf.DUMMYFUNCTION("""COMPUTED_VALUE"""),0)</f>
        <v>0</v>
      </c>
      <c r="E1800" s="22">
        <f ca="1">IFERROR(__xludf.DUMMYFUNCTION("""COMPUTED_VALUE"""),500000)</f>
        <v>500000</v>
      </c>
      <c r="F1800" s="22">
        <f ca="1">IFERROR(__xludf.DUMMYFUNCTION("""COMPUTED_VALUE"""),500000)</f>
        <v>500000</v>
      </c>
      <c r="G1800" s="22">
        <f ca="1">IFERROR(__xludf.DUMMYFUNCTION("""COMPUTED_VALUE"""),0)</f>
        <v>0</v>
      </c>
      <c r="H1800" s="7">
        <f ca="1">IFERROR(__xludf.DUMMYFUNCTION("""COMPUTED_VALUE"""),500000)</f>
        <v>500000</v>
      </c>
    </row>
    <row r="1801" spans="1:8" ht="13" x14ac:dyDescent="0.15">
      <c r="A1801" s="5" t="str">
        <f ca="1">IFERROR(__xludf.DUMMYFUNCTION("""COMPUTED_VALUE"""),"39441")</f>
        <v>39441</v>
      </c>
      <c r="B1801" s="51">
        <f ca="1">IFERROR(__xludf.DUMMYFUNCTION("""COMPUTED_VALUE"""),44600)</f>
        <v>44600</v>
      </c>
      <c r="C1801" s="22">
        <f ca="1">IFERROR(__xludf.DUMMYFUNCTION("""COMPUTED_VALUE"""),500000)</f>
        <v>500000</v>
      </c>
      <c r="D1801" s="22">
        <f ca="1">IFERROR(__xludf.DUMMYFUNCTION("""COMPUTED_VALUE"""),0)</f>
        <v>0</v>
      </c>
      <c r="E1801" s="22">
        <f ca="1">IFERROR(__xludf.DUMMYFUNCTION("""COMPUTED_VALUE"""),500000)</f>
        <v>500000</v>
      </c>
      <c r="F1801" s="22">
        <f ca="1">IFERROR(__xludf.DUMMYFUNCTION("""COMPUTED_VALUE"""),500000)</f>
        <v>500000</v>
      </c>
      <c r="G1801" s="22">
        <f ca="1">IFERROR(__xludf.DUMMYFUNCTION("""COMPUTED_VALUE"""),0)</f>
        <v>0</v>
      </c>
      <c r="H1801" s="7">
        <f ca="1">IFERROR(__xludf.DUMMYFUNCTION("""COMPUTED_VALUE"""),500000)</f>
        <v>500000</v>
      </c>
    </row>
    <row r="1802" spans="1:8" ht="13" x14ac:dyDescent="0.15">
      <c r="A1802" s="5" t="str">
        <f ca="1">IFERROR(__xludf.DUMMYFUNCTION("""COMPUTED_VALUE"""),"39441")</f>
        <v>39441</v>
      </c>
      <c r="B1802" s="51">
        <f ca="1">IFERROR(__xludf.DUMMYFUNCTION("""COMPUTED_VALUE"""),44601)</f>
        <v>44601</v>
      </c>
      <c r="C1802" s="22">
        <f ca="1">IFERROR(__xludf.DUMMYFUNCTION("""COMPUTED_VALUE"""),500000)</f>
        <v>500000</v>
      </c>
      <c r="D1802" s="22">
        <f ca="1">IFERROR(__xludf.DUMMYFUNCTION("""COMPUTED_VALUE"""),0)</f>
        <v>0</v>
      </c>
      <c r="E1802" s="22">
        <f ca="1">IFERROR(__xludf.DUMMYFUNCTION("""COMPUTED_VALUE"""),500000)</f>
        <v>500000</v>
      </c>
      <c r="F1802" s="22">
        <f ca="1">IFERROR(__xludf.DUMMYFUNCTION("""COMPUTED_VALUE"""),500000)</f>
        <v>500000</v>
      </c>
      <c r="G1802" s="22">
        <f ca="1">IFERROR(__xludf.DUMMYFUNCTION("""COMPUTED_VALUE"""),0)</f>
        <v>0</v>
      </c>
      <c r="H1802" s="7">
        <f ca="1">IFERROR(__xludf.DUMMYFUNCTION("""COMPUTED_VALUE"""),500000)</f>
        <v>500000</v>
      </c>
    </row>
    <row r="1803" spans="1:8" ht="13" x14ac:dyDescent="0.15">
      <c r="A1803" s="5" t="str">
        <f ca="1">IFERROR(__xludf.DUMMYFUNCTION("""COMPUTED_VALUE"""),"39441")</f>
        <v>39441</v>
      </c>
      <c r="B1803" s="51">
        <f ca="1">IFERROR(__xludf.DUMMYFUNCTION("""COMPUTED_VALUE"""),44602)</f>
        <v>44602</v>
      </c>
      <c r="C1803" s="22">
        <f ca="1">IFERROR(__xludf.DUMMYFUNCTION("""COMPUTED_VALUE"""),459299.50904825)</f>
        <v>459299.50904824998</v>
      </c>
      <c r="D1803" s="22">
        <f ca="1">IFERROR(__xludf.DUMMYFUNCTION("""COMPUTED_VALUE"""),40700.49095175)</f>
        <v>40700.490951749998</v>
      </c>
      <c r="E1803" s="22">
        <f ca="1">IFERROR(__xludf.DUMMYFUNCTION("""COMPUTED_VALUE"""),500000)</f>
        <v>500000</v>
      </c>
      <c r="F1803" s="22">
        <f ca="1">IFERROR(__xludf.DUMMYFUNCTION("""COMPUTED_VALUE"""),243169.00766075)</f>
        <v>243169.00766075001</v>
      </c>
      <c r="G1803" s="22">
        <f ca="1">IFERROR(__xludf.DUMMYFUNCTION("""COMPUTED_VALUE"""),0)</f>
        <v>0</v>
      </c>
      <c r="H1803" s="7">
        <f ca="1">IFERROR(__xludf.DUMMYFUNCTION("""COMPUTED_VALUE"""),500000)</f>
        <v>500000</v>
      </c>
    </row>
    <row r="1804" spans="1:8" ht="13" x14ac:dyDescent="0.15">
      <c r="A1804" s="5" t="str">
        <f ca="1">IFERROR(__xludf.DUMMYFUNCTION("""COMPUTED_VALUE"""),"39441")</f>
        <v>39441</v>
      </c>
      <c r="B1804" s="51">
        <f ca="1">IFERROR(__xludf.DUMMYFUNCTION("""COMPUTED_VALUE"""),44603)</f>
        <v>44603</v>
      </c>
      <c r="C1804" s="22">
        <f ca="1">IFERROR(__xludf.DUMMYFUNCTION("""COMPUTED_VALUE"""),359299.50904825)</f>
        <v>359299.50904824998</v>
      </c>
      <c r="D1804" s="22">
        <f ca="1">IFERROR(__xludf.DUMMYFUNCTION("""COMPUTED_VALUE"""),138863.732376699)</f>
        <v>138863.73237669899</v>
      </c>
      <c r="E1804" s="22">
        <f ca="1">IFERROR(__xludf.DUMMYFUNCTION("""COMPUTED_VALUE"""),498163.241424949)</f>
        <v>498163.24142494902</v>
      </c>
      <c r="F1804" s="22">
        <f ca="1">IFERROR(__xludf.DUMMYFUNCTION("""COMPUTED_VALUE"""),143169.00766075)</f>
        <v>143169.00766075001</v>
      </c>
      <c r="G1804" s="22">
        <f ca="1">IFERROR(__xludf.DUMMYFUNCTION("""COMPUTED_VALUE"""),0)</f>
        <v>0</v>
      </c>
      <c r="H1804" s="7">
        <f ca="1">IFERROR(__xludf.DUMMYFUNCTION("""COMPUTED_VALUE"""),498163.241424949)</f>
        <v>498163.24142494902</v>
      </c>
    </row>
    <row r="1805" spans="1:8" ht="13" x14ac:dyDescent="0.15">
      <c r="A1805" s="5" t="str">
        <f ca="1">IFERROR(__xludf.DUMMYFUNCTION("""COMPUTED_VALUE"""),"39441")</f>
        <v>39441</v>
      </c>
      <c r="B1805" s="51">
        <f ca="1">IFERROR(__xludf.DUMMYFUNCTION("""COMPUTED_VALUE"""),44604)</f>
        <v>44604</v>
      </c>
      <c r="C1805" s="22">
        <f ca="1">IFERROR(__xludf.DUMMYFUNCTION("""COMPUTED_VALUE"""),359299.50904825)</f>
        <v>359299.50904824998</v>
      </c>
      <c r="D1805" s="22">
        <f ca="1">IFERROR(__xludf.DUMMYFUNCTION("""COMPUTED_VALUE"""),138863.732376699)</f>
        <v>138863.73237669899</v>
      </c>
      <c r="E1805" s="22">
        <f ca="1">IFERROR(__xludf.DUMMYFUNCTION("""COMPUTED_VALUE"""),498163.241424949)</f>
        <v>498163.24142494902</v>
      </c>
      <c r="F1805" s="22">
        <f ca="1">IFERROR(__xludf.DUMMYFUNCTION("""COMPUTED_VALUE"""),143169.00766075)</f>
        <v>143169.00766075001</v>
      </c>
      <c r="G1805" s="22">
        <f ca="1">IFERROR(__xludf.DUMMYFUNCTION("""COMPUTED_VALUE"""),0)</f>
        <v>0</v>
      </c>
      <c r="H1805" s="7">
        <f ca="1">IFERROR(__xludf.DUMMYFUNCTION("""COMPUTED_VALUE"""),498163.241424949)</f>
        <v>498163.24142494902</v>
      </c>
    </row>
    <row r="1806" spans="1:8" ht="13" x14ac:dyDescent="0.15">
      <c r="A1806" s="5" t="str">
        <f ca="1">IFERROR(__xludf.DUMMYFUNCTION("""COMPUTED_VALUE"""),"39441")</f>
        <v>39441</v>
      </c>
      <c r="B1806" s="51">
        <f ca="1">IFERROR(__xludf.DUMMYFUNCTION("""COMPUTED_VALUE"""),44605)</f>
        <v>44605</v>
      </c>
      <c r="C1806" s="22">
        <f ca="1">IFERROR(__xludf.DUMMYFUNCTION("""COMPUTED_VALUE"""),359299.50904825)</f>
        <v>359299.50904824998</v>
      </c>
      <c r="D1806" s="22">
        <f ca="1">IFERROR(__xludf.DUMMYFUNCTION("""COMPUTED_VALUE"""),138865.8747313)</f>
        <v>138865.87473129999</v>
      </c>
      <c r="E1806" s="22">
        <f ca="1">IFERROR(__xludf.DUMMYFUNCTION("""COMPUTED_VALUE"""),498165.38377955)</f>
        <v>498165.38377954997</v>
      </c>
      <c r="F1806" s="22">
        <f ca="1">IFERROR(__xludf.DUMMYFUNCTION("""COMPUTED_VALUE"""),143169.00766075)</f>
        <v>143169.00766075001</v>
      </c>
      <c r="G1806" s="22">
        <f ca="1">IFERROR(__xludf.DUMMYFUNCTION("""COMPUTED_VALUE"""),0)</f>
        <v>0</v>
      </c>
      <c r="H1806" s="7">
        <f ca="1">IFERROR(__xludf.DUMMYFUNCTION("""COMPUTED_VALUE"""),498165.38377955)</f>
        <v>498165.38377954997</v>
      </c>
    </row>
    <row r="1807" spans="1:8" ht="13" x14ac:dyDescent="0.15">
      <c r="A1807" s="5" t="str">
        <f ca="1">IFERROR(__xludf.DUMMYFUNCTION("""COMPUTED_VALUE"""),"39441")</f>
        <v>39441</v>
      </c>
      <c r="B1807" s="51">
        <f ca="1">IFERROR(__xludf.DUMMYFUNCTION("""COMPUTED_VALUE"""),44606)</f>
        <v>44606</v>
      </c>
      <c r="C1807" s="22">
        <f ca="1">IFERROR(__xludf.DUMMYFUNCTION("""COMPUTED_VALUE"""),359299.50904825)</f>
        <v>359299.50904824998</v>
      </c>
      <c r="D1807" s="22">
        <f ca="1">IFERROR(__xludf.DUMMYFUNCTION("""COMPUTED_VALUE"""),139717.3021678)</f>
        <v>139717.30216779999</v>
      </c>
      <c r="E1807" s="22">
        <f ca="1">IFERROR(__xludf.DUMMYFUNCTION("""COMPUTED_VALUE"""),499016.81121605)</f>
        <v>499016.81121605</v>
      </c>
      <c r="F1807" s="22">
        <f ca="1">IFERROR(__xludf.DUMMYFUNCTION("""COMPUTED_VALUE"""),143169.00766075)</f>
        <v>143169.00766075001</v>
      </c>
      <c r="G1807" s="22">
        <f ca="1">IFERROR(__xludf.DUMMYFUNCTION("""COMPUTED_VALUE"""),0)</f>
        <v>0</v>
      </c>
      <c r="H1807" s="7">
        <f ca="1">IFERROR(__xludf.DUMMYFUNCTION("""COMPUTED_VALUE"""),499016.81121605)</f>
        <v>499016.81121605</v>
      </c>
    </row>
    <row r="1808" spans="1:8" ht="13" x14ac:dyDescent="0.15">
      <c r="A1808" s="5" t="str">
        <f ca="1">IFERROR(__xludf.DUMMYFUNCTION("""COMPUTED_VALUE"""),"39441")</f>
        <v>39441</v>
      </c>
      <c r="B1808" s="51">
        <f ca="1">IFERROR(__xludf.DUMMYFUNCTION("""COMPUTED_VALUE"""),44607)</f>
        <v>44607</v>
      </c>
      <c r="C1808" s="22">
        <f ca="1">IFERROR(__xludf.DUMMYFUNCTION("""COMPUTED_VALUE"""),359299.50904825)</f>
        <v>359299.50904824998</v>
      </c>
      <c r="D1808" s="22">
        <f ca="1">IFERROR(__xludf.DUMMYFUNCTION("""COMPUTED_VALUE"""),140088.900952049)</f>
        <v>140088.90095204901</v>
      </c>
      <c r="E1808" s="22">
        <f ca="1">IFERROR(__xludf.DUMMYFUNCTION("""COMPUTED_VALUE"""),499388.410000299)</f>
        <v>499388.41000029899</v>
      </c>
      <c r="F1808" s="22">
        <f ca="1">IFERROR(__xludf.DUMMYFUNCTION("""COMPUTED_VALUE"""),143169.00766075)</f>
        <v>143169.00766075001</v>
      </c>
      <c r="G1808" s="22">
        <f ca="1">IFERROR(__xludf.DUMMYFUNCTION("""COMPUTED_VALUE"""),0)</f>
        <v>0</v>
      </c>
      <c r="H1808" s="7">
        <f ca="1">IFERROR(__xludf.DUMMYFUNCTION("""COMPUTED_VALUE"""),499388.410000299)</f>
        <v>499388.41000029899</v>
      </c>
    </row>
    <row r="1809" spans="1:8" ht="13" x14ac:dyDescent="0.15">
      <c r="A1809" s="5" t="str">
        <f ca="1">IFERROR(__xludf.DUMMYFUNCTION("""COMPUTED_VALUE"""),"39441")</f>
        <v>39441</v>
      </c>
      <c r="B1809" s="51">
        <f ca="1">IFERROR(__xludf.DUMMYFUNCTION("""COMPUTED_VALUE"""),44608)</f>
        <v>44608</v>
      </c>
      <c r="C1809" s="22">
        <f ca="1">IFERROR(__xludf.DUMMYFUNCTION("""COMPUTED_VALUE"""),359299.50904825)</f>
        <v>359299.50904824998</v>
      </c>
      <c r="D1809" s="22">
        <f ca="1">IFERROR(__xludf.DUMMYFUNCTION("""COMPUTED_VALUE"""),140744.429655)</f>
        <v>140744.42965500001</v>
      </c>
      <c r="E1809" s="22">
        <f ca="1">IFERROR(__xludf.DUMMYFUNCTION("""COMPUTED_VALUE"""),500043.93870325)</f>
        <v>500043.93870325002</v>
      </c>
      <c r="F1809" s="22">
        <f ca="1">IFERROR(__xludf.DUMMYFUNCTION("""COMPUTED_VALUE"""),143169.00766075)</f>
        <v>143169.00766075001</v>
      </c>
      <c r="G1809" s="22">
        <f ca="1">IFERROR(__xludf.DUMMYFUNCTION("""COMPUTED_VALUE"""),0)</f>
        <v>0</v>
      </c>
      <c r="H1809" s="7">
        <f ca="1">IFERROR(__xludf.DUMMYFUNCTION("""COMPUTED_VALUE"""),500043.93870325)</f>
        <v>500043.93870325002</v>
      </c>
    </row>
    <row r="1810" spans="1:8" ht="13" x14ac:dyDescent="0.15">
      <c r="A1810" s="5" t="str">
        <f ca="1">IFERROR(__xludf.DUMMYFUNCTION("""COMPUTED_VALUE"""),"39441")</f>
        <v>39441</v>
      </c>
      <c r="B1810" s="51">
        <f ca="1">IFERROR(__xludf.DUMMYFUNCTION("""COMPUTED_VALUE"""),44609)</f>
        <v>44609</v>
      </c>
      <c r="C1810" s="22">
        <f ca="1">IFERROR(__xludf.DUMMYFUNCTION("""COMPUTED_VALUE"""),359299.50904825)</f>
        <v>359299.50904824998</v>
      </c>
      <c r="D1810" s="22">
        <f ca="1">IFERROR(__xludf.DUMMYFUNCTION("""COMPUTED_VALUE"""),141549.39520675)</f>
        <v>141549.39520674999</v>
      </c>
      <c r="E1810" s="22">
        <f ca="1">IFERROR(__xludf.DUMMYFUNCTION("""COMPUTED_VALUE"""),500848.904254999)</f>
        <v>500848.90425499901</v>
      </c>
      <c r="F1810" s="22">
        <f ca="1">IFERROR(__xludf.DUMMYFUNCTION("""COMPUTED_VALUE"""),143169.00766075)</f>
        <v>143169.00766075001</v>
      </c>
      <c r="G1810" s="22">
        <f ca="1">IFERROR(__xludf.DUMMYFUNCTION("""COMPUTED_VALUE"""),0)</f>
        <v>0</v>
      </c>
      <c r="H1810" s="7">
        <f ca="1">IFERROR(__xludf.DUMMYFUNCTION("""COMPUTED_VALUE"""),500848.904254999)</f>
        <v>500848.90425499901</v>
      </c>
    </row>
    <row r="1811" spans="1:8" ht="13" x14ac:dyDescent="0.15">
      <c r="A1811" s="5" t="str">
        <f ca="1">IFERROR(__xludf.DUMMYFUNCTION("""COMPUTED_VALUE"""),"39441")</f>
        <v>39441</v>
      </c>
      <c r="B1811" s="51">
        <f ca="1">IFERROR(__xludf.DUMMYFUNCTION("""COMPUTED_VALUE"""),44610)</f>
        <v>44610</v>
      </c>
      <c r="C1811" s="22">
        <f ca="1">IFERROR(__xludf.DUMMYFUNCTION("""COMPUTED_VALUE"""),359299.50904825)</f>
        <v>359299.50904824998</v>
      </c>
      <c r="D1811" s="22">
        <f ca="1">IFERROR(__xludf.DUMMYFUNCTION("""COMPUTED_VALUE"""),141073.0393693)</f>
        <v>141073.03936930001</v>
      </c>
      <c r="E1811" s="22">
        <f ca="1">IFERROR(__xludf.DUMMYFUNCTION("""COMPUTED_VALUE"""),500372.54841755)</f>
        <v>500372.54841754999</v>
      </c>
      <c r="F1811" s="22">
        <f ca="1">IFERROR(__xludf.DUMMYFUNCTION("""COMPUTED_VALUE"""),143169.00766075)</f>
        <v>143169.00766075001</v>
      </c>
      <c r="G1811" s="22">
        <f ca="1">IFERROR(__xludf.DUMMYFUNCTION("""COMPUTED_VALUE"""),0)</f>
        <v>0</v>
      </c>
      <c r="H1811" s="7">
        <f ca="1">IFERROR(__xludf.DUMMYFUNCTION("""COMPUTED_VALUE"""),500372.54841755)</f>
        <v>500372.54841754999</v>
      </c>
    </row>
    <row r="1812" spans="1:8" ht="13" x14ac:dyDescent="0.15">
      <c r="A1812" s="5" t="str">
        <f ca="1">IFERROR(__xludf.DUMMYFUNCTION("""COMPUTED_VALUE"""),"39441")</f>
        <v>39441</v>
      </c>
      <c r="B1812" s="51">
        <f ca="1">IFERROR(__xludf.DUMMYFUNCTION("""COMPUTED_VALUE"""),44611)</f>
        <v>44611</v>
      </c>
      <c r="C1812" s="22">
        <f ca="1">IFERROR(__xludf.DUMMYFUNCTION("""COMPUTED_VALUE"""),359299.50904825)</f>
        <v>359299.50904824998</v>
      </c>
      <c r="D1812" s="22">
        <f ca="1">IFERROR(__xludf.DUMMYFUNCTION("""COMPUTED_VALUE"""),141073.0393693)</f>
        <v>141073.03936930001</v>
      </c>
      <c r="E1812" s="22">
        <f ca="1">IFERROR(__xludf.DUMMYFUNCTION("""COMPUTED_VALUE"""),500372.54841755)</f>
        <v>500372.54841754999</v>
      </c>
      <c r="F1812" s="22">
        <f ca="1">IFERROR(__xludf.DUMMYFUNCTION("""COMPUTED_VALUE"""),143169.00766075)</f>
        <v>143169.00766075001</v>
      </c>
      <c r="G1812" s="22">
        <f ca="1">IFERROR(__xludf.DUMMYFUNCTION("""COMPUTED_VALUE"""),0)</f>
        <v>0</v>
      </c>
      <c r="H1812" s="7">
        <f ca="1">IFERROR(__xludf.DUMMYFUNCTION("""COMPUTED_VALUE"""),500372.54841755)</f>
        <v>500372.54841754999</v>
      </c>
    </row>
    <row r="1813" spans="1:8" ht="13" x14ac:dyDescent="0.15">
      <c r="A1813" s="5" t="str">
        <f ca="1">IFERROR(__xludf.DUMMYFUNCTION("""COMPUTED_VALUE"""),"39441")</f>
        <v>39441</v>
      </c>
      <c r="B1813" s="51">
        <f ca="1">IFERROR(__xludf.DUMMYFUNCTION("""COMPUTED_VALUE"""),44612)</f>
        <v>44612</v>
      </c>
      <c r="C1813" s="22">
        <f ca="1">IFERROR(__xludf.DUMMYFUNCTION("""COMPUTED_VALUE"""),359299.50904825)</f>
        <v>359299.50904824998</v>
      </c>
      <c r="D1813" s="22">
        <f ca="1">IFERROR(__xludf.DUMMYFUNCTION("""COMPUTED_VALUE"""),141071.64403035)</f>
        <v>141071.64403035</v>
      </c>
      <c r="E1813" s="22">
        <f ca="1">IFERROR(__xludf.DUMMYFUNCTION("""COMPUTED_VALUE"""),500371.153078599)</f>
        <v>500371.15307859902</v>
      </c>
      <c r="F1813" s="22">
        <f ca="1">IFERROR(__xludf.DUMMYFUNCTION("""COMPUTED_VALUE"""),143169.00766075)</f>
        <v>143169.00766075001</v>
      </c>
      <c r="G1813" s="22">
        <f ca="1">IFERROR(__xludf.DUMMYFUNCTION("""COMPUTED_VALUE"""),0)</f>
        <v>0</v>
      </c>
      <c r="H1813" s="7">
        <f ca="1">IFERROR(__xludf.DUMMYFUNCTION("""COMPUTED_VALUE"""),500371.153078599)</f>
        <v>500371.15307859902</v>
      </c>
    </row>
    <row r="1814" spans="1:8" ht="13" x14ac:dyDescent="0.15">
      <c r="A1814" s="5" t="str">
        <f ca="1">IFERROR(__xludf.DUMMYFUNCTION("""COMPUTED_VALUE"""),"39441")</f>
        <v>39441</v>
      </c>
      <c r="B1814" s="51">
        <f ca="1">IFERROR(__xludf.DUMMYFUNCTION("""COMPUTED_VALUE"""),44613)</f>
        <v>44613</v>
      </c>
      <c r="C1814" s="22">
        <f ca="1">IFERROR(__xludf.DUMMYFUNCTION("""COMPUTED_VALUE"""),359299.50904825)</f>
        <v>359299.50904824998</v>
      </c>
      <c r="D1814" s="22">
        <f ca="1">IFERROR(__xludf.DUMMYFUNCTION("""COMPUTED_VALUE"""),141075.64575715)</f>
        <v>141075.64575714999</v>
      </c>
      <c r="E1814" s="22">
        <f ca="1">IFERROR(__xludf.DUMMYFUNCTION("""COMPUTED_VALUE"""),500375.1548054)</f>
        <v>500375.1548054</v>
      </c>
      <c r="F1814" s="22">
        <f ca="1">IFERROR(__xludf.DUMMYFUNCTION("""COMPUTED_VALUE"""),143169.00766075)</f>
        <v>143169.00766075001</v>
      </c>
      <c r="G1814" s="22">
        <f ca="1">IFERROR(__xludf.DUMMYFUNCTION("""COMPUTED_VALUE"""),0)</f>
        <v>0</v>
      </c>
      <c r="H1814" s="7">
        <f ca="1">IFERROR(__xludf.DUMMYFUNCTION("""COMPUTED_VALUE"""),500375.1548054)</f>
        <v>500375.1548054</v>
      </c>
    </row>
    <row r="1815" spans="1:8" ht="13" x14ac:dyDescent="0.15">
      <c r="A1815" s="5" t="str">
        <f ca="1">IFERROR(__xludf.DUMMYFUNCTION("""COMPUTED_VALUE"""),"39441")</f>
        <v>39441</v>
      </c>
      <c r="B1815" s="51">
        <f ca="1">IFERROR(__xludf.DUMMYFUNCTION("""COMPUTED_VALUE"""),44614)</f>
        <v>44614</v>
      </c>
      <c r="C1815" s="22">
        <f ca="1">IFERROR(__xludf.DUMMYFUNCTION("""COMPUTED_VALUE"""),359299.50904825)</f>
        <v>359299.50904824998</v>
      </c>
      <c r="D1815" s="22">
        <f ca="1">IFERROR(__xludf.DUMMYFUNCTION("""COMPUTED_VALUE"""),139659.806037499)</f>
        <v>139659.80603749899</v>
      </c>
      <c r="E1815" s="22">
        <f ca="1">IFERROR(__xludf.DUMMYFUNCTION("""COMPUTED_VALUE"""),498959.315085749)</f>
        <v>498959.31508574903</v>
      </c>
      <c r="F1815" s="22">
        <f ca="1">IFERROR(__xludf.DUMMYFUNCTION("""COMPUTED_VALUE"""),143169.00766075)</f>
        <v>143169.00766075001</v>
      </c>
      <c r="G1815" s="22">
        <f ca="1">IFERROR(__xludf.DUMMYFUNCTION("""COMPUTED_VALUE"""),0)</f>
        <v>0</v>
      </c>
      <c r="H1815" s="7">
        <f ca="1">IFERROR(__xludf.DUMMYFUNCTION("""COMPUTED_VALUE"""),498959.315085749)</f>
        <v>498959.31508574903</v>
      </c>
    </row>
    <row r="1816" spans="1:8" ht="13" x14ac:dyDescent="0.15">
      <c r="A1816" s="5" t="str">
        <f ca="1">IFERROR(__xludf.DUMMYFUNCTION("""COMPUTED_VALUE"""),"39441")</f>
        <v>39441</v>
      </c>
      <c r="B1816" s="51">
        <f ca="1">IFERROR(__xludf.DUMMYFUNCTION("""COMPUTED_VALUE"""),44615)</f>
        <v>44615</v>
      </c>
      <c r="C1816" s="22">
        <f ca="1">IFERROR(__xludf.DUMMYFUNCTION("""COMPUTED_VALUE"""),359299.50904825)</f>
        <v>359299.50904824998</v>
      </c>
      <c r="D1816" s="22">
        <f ca="1">IFERROR(__xludf.DUMMYFUNCTION("""COMPUTED_VALUE"""),136066.955033)</f>
        <v>136066.95503300001</v>
      </c>
      <c r="E1816" s="22">
        <f ca="1">IFERROR(__xludf.DUMMYFUNCTION("""COMPUTED_VALUE"""),495366.46408125)</f>
        <v>495366.46408125001</v>
      </c>
      <c r="F1816" s="22">
        <f ca="1">IFERROR(__xludf.DUMMYFUNCTION("""COMPUTED_VALUE"""),143169.00766075)</f>
        <v>143169.00766075001</v>
      </c>
      <c r="G1816" s="22">
        <f ca="1">IFERROR(__xludf.DUMMYFUNCTION("""COMPUTED_VALUE"""),0)</f>
        <v>0</v>
      </c>
      <c r="H1816" s="7">
        <f ca="1">IFERROR(__xludf.DUMMYFUNCTION("""COMPUTED_VALUE"""),495366.46408125)</f>
        <v>495366.46408125001</v>
      </c>
    </row>
    <row r="1817" spans="1:8" ht="13" x14ac:dyDescent="0.15">
      <c r="A1817" s="5" t="str">
        <f ca="1">IFERROR(__xludf.DUMMYFUNCTION("""COMPUTED_VALUE"""),"39441")</f>
        <v>39441</v>
      </c>
      <c r="B1817" s="51">
        <f ca="1">IFERROR(__xludf.DUMMYFUNCTION("""COMPUTED_VALUE"""),44616)</f>
        <v>44616</v>
      </c>
      <c r="C1817" s="22">
        <f ca="1">IFERROR(__xludf.DUMMYFUNCTION("""COMPUTED_VALUE"""),359299.50904825)</f>
        <v>359299.50904824998</v>
      </c>
      <c r="D1817" s="22">
        <f ca="1">IFERROR(__xludf.DUMMYFUNCTION("""COMPUTED_VALUE"""),138223.6989775)</f>
        <v>138223.6989775</v>
      </c>
      <c r="E1817" s="22">
        <f ca="1">IFERROR(__xludf.DUMMYFUNCTION("""COMPUTED_VALUE"""),497523.20802575)</f>
        <v>497523.20802575001</v>
      </c>
      <c r="F1817" s="22">
        <f ca="1">IFERROR(__xludf.DUMMYFUNCTION("""COMPUTED_VALUE"""),143169.00766075)</f>
        <v>143169.00766075001</v>
      </c>
      <c r="G1817" s="22">
        <f ca="1">IFERROR(__xludf.DUMMYFUNCTION("""COMPUTED_VALUE"""),0)</f>
        <v>0</v>
      </c>
      <c r="H1817" s="7">
        <f ca="1">IFERROR(__xludf.DUMMYFUNCTION("""COMPUTED_VALUE"""),497523.20802575)</f>
        <v>497523.20802575001</v>
      </c>
    </row>
    <row r="1818" spans="1:8" ht="13" x14ac:dyDescent="0.15">
      <c r="A1818" s="5" t="str">
        <f ca="1">IFERROR(__xludf.DUMMYFUNCTION("""COMPUTED_VALUE"""),"39441")</f>
        <v>39441</v>
      </c>
      <c r="B1818" s="51">
        <f ca="1">IFERROR(__xludf.DUMMYFUNCTION("""COMPUTED_VALUE"""),44617)</f>
        <v>44617</v>
      </c>
      <c r="C1818" s="22">
        <f ca="1">IFERROR(__xludf.DUMMYFUNCTION("""COMPUTED_VALUE"""),359299.50904825)</f>
        <v>359299.50904824998</v>
      </c>
      <c r="D1818" s="22">
        <f ca="1">IFERROR(__xludf.DUMMYFUNCTION("""COMPUTED_VALUE"""),139062.82341465)</f>
        <v>139062.82341464999</v>
      </c>
      <c r="E1818" s="22">
        <f ca="1">IFERROR(__xludf.DUMMYFUNCTION("""COMPUTED_VALUE"""),498362.332462899)</f>
        <v>498362.33246289898</v>
      </c>
      <c r="F1818" s="22">
        <f ca="1">IFERROR(__xludf.DUMMYFUNCTION("""COMPUTED_VALUE"""),143169.00766075)</f>
        <v>143169.00766075001</v>
      </c>
      <c r="G1818" s="22">
        <f ca="1">IFERROR(__xludf.DUMMYFUNCTION("""COMPUTED_VALUE"""),0)</f>
        <v>0</v>
      </c>
      <c r="H1818" s="7">
        <f ca="1">IFERROR(__xludf.DUMMYFUNCTION("""COMPUTED_VALUE"""),498362.332462899)</f>
        <v>498362.33246289898</v>
      </c>
    </row>
    <row r="1819" spans="1:8" ht="13" x14ac:dyDescent="0.15">
      <c r="A1819" s="5" t="str">
        <f ca="1">IFERROR(__xludf.DUMMYFUNCTION("""COMPUTED_VALUE"""),"39441")</f>
        <v>39441</v>
      </c>
      <c r="B1819" s="51">
        <f ca="1">IFERROR(__xludf.DUMMYFUNCTION("""COMPUTED_VALUE"""),44618)</f>
        <v>44618</v>
      </c>
      <c r="C1819" s="22">
        <f ca="1">IFERROR(__xludf.DUMMYFUNCTION("""COMPUTED_VALUE"""),359299.50904825)</f>
        <v>359299.50904824998</v>
      </c>
      <c r="D1819" s="22">
        <f ca="1">IFERROR(__xludf.DUMMYFUNCTION("""COMPUTED_VALUE"""),139063.57381515)</f>
        <v>139063.57381515001</v>
      </c>
      <c r="E1819" s="22">
        <f ca="1">IFERROR(__xludf.DUMMYFUNCTION("""COMPUTED_VALUE"""),498363.0828634)</f>
        <v>498363.08286339999</v>
      </c>
      <c r="F1819" s="22">
        <f ca="1">IFERROR(__xludf.DUMMYFUNCTION("""COMPUTED_VALUE"""),143169.00766075)</f>
        <v>143169.00766075001</v>
      </c>
      <c r="G1819" s="22">
        <f ca="1">IFERROR(__xludf.DUMMYFUNCTION("""COMPUTED_VALUE"""),0)</f>
        <v>0</v>
      </c>
      <c r="H1819" s="7">
        <f ca="1">IFERROR(__xludf.DUMMYFUNCTION("""COMPUTED_VALUE"""),498363.0828634)</f>
        <v>498363.08286339999</v>
      </c>
    </row>
    <row r="1820" spans="1:8" ht="13" x14ac:dyDescent="0.15">
      <c r="A1820" s="5" t="str">
        <f ca="1">IFERROR(__xludf.DUMMYFUNCTION("""COMPUTED_VALUE"""),"39441")</f>
        <v>39441</v>
      </c>
      <c r="B1820" s="51">
        <f ca="1">IFERROR(__xludf.DUMMYFUNCTION("""COMPUTED_VALUE"""),44619)</f>
        <v>44619</v>
      </c>
      <c r="C1820" s="22">
        <f ca="1">IFERROR(__xludf.DUMMYFUNCTION("""COMPUTED_VALUE"""),359299.50904825)</f>
        <v>359299.50904824998</v>
      </c>
      <c r="D1820" s="22">
        <f ca="1">IFERROR(__xludf.DUMMYFUNCTION("""COMPUTED_VALUE"""),139061.847894)</f>
        <v>139061.84789400001</v>
      </c>
      <c r="E1820" s="22">
        <f ca="1">IFERROR(__xludf.DUMMYFUNCTION("""COMPUTED_VALUE"""),498361.35694225)</f>
        <v>498361.35694224999</v>
      </c>
      <c r="F1820" s="22">
        <f ca="1">IFERROR(__xludf.DUMMYFUNCTION("""COMPUTED_VALUE"""),143169.00766075)</f>
        <v>143169.00766075001</v>
      </c>
      <c r="G1820" s="22">
        <f ca="1">IFERROR(__xludf.DUMMYFUNCTION("""COMPUTED_VALUE"""),0)</f>
        <v>0</v>
      </c>
      <c r="H1820" s="7">
        <f ca="1">IFERROR(__xludf.DUMMYFUNCTION("""COMPUTED_VALUE"""),498361.35694225)</f>
        <v>498361.35694224999</v>
      </c>
    </row>
    <row r="1821" spans="1:8" ht="13" x14ac:dyDescent="0.15">
      <c r="A1821" s="5" t="str">
        <f ca="1">IFERROR(__xludf.DUMMYFUNCTION("""COMPUTED_VALUE"""),"39441")</f>
        <v>39441</v>
      </c>
      <c r="B1821" s="51">
        <f ca="1">IFERROR(__xludf.DUMMYFUNCTION("""COMPUTED_VALUE"""),44620)</f>
        <v>44620</v>
      </c>
      <c r="C1821" s="22">
        <f ca="1">IFERROR(__xludf.DUMMYFUNCTION("""COMPUTED_VALUE"""),359299.50904825)</f>
        <v>359299.50904824998</v>
      </c>
      <c r="D1821" s="22">
        <f ca="1">IFERROR(__xludf.DUMMYFUNCTION("""COMPUTED_VALUE"""),138586.410287)</f>
        <v>138586.41028700001</v>
      </c>
      <c r="E1821" s="22">
        <f ca="1">IFERROR(__xludf.DUMMYFUNCTION("""COMPUTED_VALUE"""),497885.91933525)</f>
        <v>497885.91933524999</v>
      </c>
      <c r="F1821" s="22">
        <f ca="1">IFERROR(__xludf.DUMMYFUNCTION("""COMPUTED_VALUE"""),143169.00766075)</f>
        <v>143169.00766075001</v>
      </c>
      <c r="G1821" s="22">
        <f ca="1">IFERROR(__xludf.DUMMYFUNCTION("""COMPUTED_VALUE"""),0)</f>
        <v>0</v>
      </c>
      <c r="H1821" s="7">
        <f ca="1">IFERROR(__xludf.DUMMYFUNCTION("""COMPUTED_VALUE"""),497885.91933525)</f>
        <v>497885.91933524999</v>
      </c>
    </row>
    <row r="1822" spans="1:8" ht="13" x14ac:dyDescent="0.15">
      <c r="A1822" s="5" t="str">
        <f ca="1">IFERROR(__xludf.DUMMYFUNCTION("""COMPUTED_VALUE"""),"39441")</f>
        <v>39441</v>
      </c>
      <c r="B1822" s="51">
        <f ca="1">IFERROR(__xludf.DUMMYFUNCTION("""COMPUTED_VALUE"""),44621)</f>
        <v>44621</v>
      </c>
      <c r="C1822" s="22">
        <f ca="1">IFERROR(__xludf.DUMMYFUNCTION("""COMPUTED_VALUE"""),359299.50904825)</f>
        <v>359299.50904824998</v>
      </c>
      <c r="D1822" s="22">
        <f ca="1">IFERROR(__xludf.DUMMYFUNCTION("""COMPUTED_VALUE"""),136892.4753932)</f>
        <v>136892.4753932</v>
      </c>
      <c r="E1822" s="22">
        <f ca="1">IFERROR(__xludf.DUMMYFUNCTION("""COMPUTED_VALUE"""),496191.98444145)</f>
        <v>496191.98444144998</v>
      </c>
      <c r="F1822" s="22">
        <f ca="1">IFERROR(__xludf.DUMMYFUNCTION("""COMPUTED_VALUE"""),143169.00766075)</f>
        <v>143169.00766075001</v>
      </c>
      <c r="G1822" s="22">
        <f ca="1">IFERROR(__xludf.DUMMYFUNCTION("""COMPUTED_VALUE"""),0)</f>
        <v>0</v>
      </c>
      <c r="H1822" s="7">
        <f ca="1">IFERROR(__xludf.DUMMYFUNCTION("""COMPUTED_VALUE"""),496191.98444145)</f>
        <v>496191.98444144998</v>
      </c>
    </row>
    <row r="1823" spans="1:8" ht="13" x14ac:dyDescent="0.15">
      <c r="A1823" s="5" t="str">
        <f ca="1">IFERROR(__xludf.DUMMYFUNCTION("""COMPUTED_VALUE"""),"39441")</f>
        <v>39441</v>
      </c>
      <c r="B1823" s="51">
        <f ca="1">IFERROR(__xludf.DUMMYFUNCTION("""COMPUTED_VALUE"""),44622)</f>
        <v>44622</v>
      </c>
      <c r="C1823" s="22">
        <f ca="1">IFERROR(__xludf.DUMMYFUNCTION("""COMPUTED_VALUE"""),359299.50904825)</f>
        <v>359299.50904824998</v>
      </c>
      <c r="D1823" s="22">
        <f ca="1">IFERROR(__xludf.DUMMYFUNCTION("""COMPUTED_VALUE"""),137281.5275425)</f>
        <v>137281.5275425</v>
      </c>
      <c r="E1823" s="22">
        <f ca="1">IFERROR(__xludf.DUMMYFUNCTION("""COMPUTED_VALUE"""),496581.03659075)</f>
        <v>496581.03659074998</v>
      </c>
      <c r="F1823" s="22">
        <f ca="1">IFERROR(__xludf.DUMMYFUNCTION("""COMPUTED_VALUE"""),143169.00766075)</f>
        <v>143169.00766075001</v>
      </c>
      <c r="G1823" s="22">
        <f ca="1">IFERROR(__xludf.DUMMYFUNCTION("""COMPUTED_VALUE"""),0)</f>
        <v>0</v>
      </c>
      <c r="H1823" s="7">
        <f ca="1">IFERROR(__xludf.DUMMYFUNCTION("""COMPUTED_VALUE"""),496581.03659075)</f>
        <v>496581.03659074998</v>
      </c>
    </row>
    <row r="1824" spans="1:8" ht="13" x14ac:dyDescent="0.15">
      <c r="A1824" s="5" t="str">
        <f ca="1">IFERROR(__xludf.DUMMYFUNCTION("""COMPUTED_VALUE"""),"39441")</f>
        <v>39441</v>
      </c>
      <c r="B1824" s="51">
        <f ca="1">IFERROR(__xludf.DUMMYFUNCTION("""COMPUTED_VALUE"""),44623)</f>
        <v>44623</v>
      </c>
      <c r="C1824" s="22">
        <f ca="1">IFERROR(__xludf.DUMMYFUNCTION("""COMPUTED_VALUE"""),359299.50904825)</f>
        <v>359299.50904824998</v>
      </c>
      <c r="D1824" s="22">
        <f ca="1">IFERROR(__xludf.DUMMYFUNCTION("""COMPUTED_VALUE"""),133741.180767)</f>
        <v>133741.18076700001</v>
      </c>
      <c r="E1824" s="22">
        <f ca="1">IFERROR(__xludf.DUMMYFUNCTION("""COMPUTED_VALUE"""),493040.68981525)</f>
        <v>493040.68981524999</v>
      </c>
      <c r="F1824" s="22">
        <f ca="1">IFERROR(__xludf.DUMMYFUNCTION("""COMPUTED_VALUE"""),143169.00766075)</f>
        <v>143169.00766075001</v>
      </c>
      <c r="G1824" s="22">
        <f ca="1">IFERROR(__xludf.DUMMYFUNCTION("""COMPUTED_VALUE"""),0)</f>
        <v>0</v>
      </c>
      <c r="H1824" s="7">
        <f ca="1">IFERROR(__xludf.DUMMYFUNCTION("""COMPUTED_VALUE"""),493040.68981525)</f>
        <v>493040.68981524999</v>
      </c>
    </row>
    <row r="1825" spans="1:8" ht="13" x14ac:dyDescent="0.15">
      <c r="A1825" s="5" t="str">
        <f ca="1">IFERROR(__xludf.DUMMYFUNCTION("""COMPUTED_VALUE"""),"39441")</f>
        <v>39441</v>
      </c>
      <c r="B1825" s="51">
        <f ca="1">IFERROR(__xludf.DUMMYFUNCTION("""COMPUTED_VALUE"""),44624)</f>
        <v>44624</v>
      </c>
      <c r="C1825" s="22">
        <f ca="1">IFERROR(__xludf.DUMMYFUNCTION("""COMPUTED_VALUE"""),359299.50904825)</f>
        <v>359299.50904824998</v>
      </c>
      <c r="D1825" s="22">
        <f ca="1">IFERROR(__xludf.DUMMYFUNCTION("""COMPUTED_VALUE"""),133325.7162016)</f>
        <v>133325.71620160001</v>
      </c>
      <c r="E1825" s="22">
        <f ca="1">IFERROR(__xludf.DUMMYFUNCTION("""COMPUTED_VALUE"""),492625.225249849)</f>
        <v>492625.22524984903</v>
      </c>
      <c r="F1825" s="22">
        <f ca="1">IFERROR(__xludf.DUMMYFUNCTION("""COMPUTED_VALUE"""),143169.00766075)</f>
        <v>143169.00766075001</v>
      </c>
      <c r="G1825" s="22">
        <f ca="1">IFERROR(__xludf.DUMMYFUNCTION("""COMPUTED_VALUE"""),0)</f>
        <v>0</v>
      </c>
      <c r="H1825" s="7">
        <f ca="1">IFERROR(__xludf.DUMMYFUNCTION("""COMPUTED_VALUE"""),492625.225249849)</f>
        <v>492625.22524984903</v>
      </c>
    </row>
    <row r="1826" spans="1:8" ht="13" x14ac:dyDescent="0.15">
      <c r="A1826" s="5" t="str">
        <f ca="1">IFERROR(__xludf.DUMMYFUNCTION("""COMPUTED_VALUE"""),"39441")</f>
        <v>39441</v>
      </c>
      <c r="B1826" s="51">
        <f ca="1">IFERROR(__xludf.DUMMYFUNCTION("""COMPUTED_VALUE"""),44625)</f>
        <v>44625</v>
      </c>
      <c r="C1826" s="22">
        <f ca="1">IFERROR(__xludf.DUMMYFUNCTION("""COMPUTED_VALUE"""),359299.50904825)</f>
        <v>359299.50904824998</v>
      </c>
      <c r="D1826" s="22">
        <f ca="1">IFERROR(__xludf.DUMMYFUNCTION("""COMPUTED_VALUE"""),133325.7162016)</f>
        <v>133325.71620160001</v>
      </c>
      <c r="E1826" s="22">
        <f ca="1">IFERROR(__xludf.DUMMYFUNCTION("""COMPUTED_VALUE"""),492625.225249849)</f>
        <v>492625.22524984903</v>
      </c>
      <c r="F1826" s="22">
        <f ca="1">IFERROR(__xludf.DUMMYFUNCTION("""COMPUTED_VALUE"""),143169.00766075)</f>
        <v>143169.00766075001</v>
      </c>
      <c r="G1826" s="22">
        <f ca="1">IFERROR(__xludf.DUMMYFUNCTION("""COMPUTED_VALUE"""),0)</f>
        <v>0</v>
      </c>
      <c r="H1826" s="7">
        <f ca="1">IFERROR(__xludf.DUMMYFUNCTION("""COMPUTED_VALUE"""),492625.225249849)</f>
        <v>492625.22524984903</v>
      </c>
    </row>
    <row r="1827" spans="1:8" ht="13" x14ac:dyDescent="0.15">
      <c r="A1827" s="5" t="str">
        <f ca="1">IFERROR(__xludf.DUMMYFUNCTION("""COMPUTED_VALUE"""),"39441")</f>
        <v>39441</v>
      </c>
      <c r="B1827" s="51">
        <f ca="1">IFERROR(__xludf.DUMMYFUNCTION("""COMPUTED_VALUE"""),44626)</f>
        <v>44626</v>
      </c>
      <c r="C1827" s="22">
        <f ca="1">IFERROR(__xludf.DUMMYFUNCTION("""COMPUTED_VALUE"""),359299.50904825)</f>
        <v>359299.50904824998</v>
      </c>
      <c r="D1827" s="22">
        <f ca="1">IFERROR(__xludf.DUMMYFUNCTION("""COMPUTED_VALUE"""),133330.3007756)</f>
        <v>133330.30077559999</v>
      </c>
      <c r="E1827" s="22">
        <f ca="1">IFERROR(__xludf.DUMMYFUNCTION("""COMPUTED_VALUE"""),492629.809823849)</f>
        <v>492629.80982384901</v>
      </c>
      <c r="F1827" s="22">
        <f ca="1">IFERROR(__xludf.DUMMYFUNCTION("""COMPUTED_VALUE"""),143169.00766075)</f>
        <v>143169.00766075001</v>
      </c>
      <c r="G1827" s="22">
        <f ca="1">IFERROR(__xludf.DUMMYFUNCTION("""COMPUTED_VALUE"""),0)</f>
        <v>0</v>
      </c>
      <c r="H1827" s="7">
        <f ca="1">IFERROR(__xludf.DUMMYFUNCTION("""COMPUTED_VALUE"""),492629.809823849)</f>
        <v>492629.80982384901</v>
      </c>
    </row>
    <row r="1828" spans="1:8" ht="13" x14ac:dyDescent="0.15">
      <c r="A1828" s="5" t="str">
        <f ca="1">IFERROR(__xludf.DUMMYFUNCTION("""COMPUTED_VALUE"""),"39441")</f>
        <v>39441</v>
      </c>
      <c r="B1828" s="51">
        <f ca="1">IFERROR(__xludf.DUMMYFUNCTION("""COMPUTED_VALUE"""),44627)</f>
        <v>44627</v>
      </c>
      <c r="C1828" s="22">
        <f ca="1">IFERROR(__xludf.DUMMYFUNCTION("""COMPUTED_VALUE"""),359299.50904825)</f>
        <v>359299.50904824998</v>
      </c>
      <c r="D1828" s="22">
        <f ca="1">IFERROR(__xludf.DUMMYFUNCTION("""COMPUTED_VALUE"""),130085.0767305)</f>
        <v>130085.0767305</v>
      </c>
      <c r="E1828" s="22">
        <f ca="1">IFERROR(__xludf.DUMMYFUNCTION("""COMPUTED_VALUE"""),489384.58577875)</f>
        <v>489384.58577875001</v>
      </c>
      <c r="F1828" s="22">
        <f ca="1">IFERROR(__xludf.DUMMYFUNCTION("""COMPUTED_VALUE"""),143169.00766075)</f>
        <v>143169.00766075001</v>
      </c>
      <c r="G1828" s="22">
        <f ca="1">IFERROR(__xludf.DUMMYFUNCTION("""COMPUTED_VALUE"""),0)</f>
        <v>0</v>
      </c>
      <c r="H1828" s="7">
        <f ca="1">IFERROR(__xludf.DUMMYFUNCTION("""COMPUTED_VALUE"""),489384.58577875)</f>
        <v>489384.58577875001</v>
      </c>
    </row>
    <row r="1829" spans="1:8" ht="13" x14ac:dyDescent="0.15">
      <c r="A1829" s="5" t="str">
        <f ca="1">IFERROR(__xludf.DUMMYFUNCTION("""COMPUTED_VALUE"""),"39441")</f>
        <v>39441</v>
      </c>
      <c r="B1829" s="51">
        <f ca="1">IFERROR(__xludf.DUMMYFUNCTION("""COMPUTED_VALUE"""),44628)</f>
        <v>44628</v>
      </c>
      <c r="C1829" s="22">
        <f ca="1">IFERROR(__xludf.DUMMYFUNCTION("""COMPUTED_VALUE"""),359299.50904825)</f>
        <v>359299.50904824998</v>
      </c>
      <c r="D1829" s="22">
        <f ca="1">IFERROR(__xludf.DUMMYFUNCTION("""COMPUTED_VALUE"""),128100.536062749)</f>
        <v>128100.536062749</v>
      </c>
      <c r="E1829" s="22">
        <f ca="1">IFERROR(__xludf.DUMMYFUNCTION("""COMPUTED_VALUE"""),487400.045110999)</f>
        <v>487400.04511099902</v>
      </c>
      <c r="F1829" s="22">
        <f ca="1">IFERROR(__xludf.DUMMYFUNCTION("""COMPUTED_VALUE"""),143169.00766075)</f>
        <v>143169.00766075001</v>
      </c>
      <c r="G1829" s="22">
        <f ca="1">IFERROR(__xludf.DUMMYFUNCTION("""COMPUTED_VALUE"""),0)</f>
        <v>0</v>
      </c>
      <c r="H1829" s="7">
        <f ca="1">IFERROR(__xludf.DUMMYFUNCTION("""COMPUTED_VALUE"""),487400.045110999)</f>
        <v>487400.04511099902</v>
      </c>
    </row>
    <row r="1830" spans="1:8" ht="13" x14ac:dyDescent="0.15">
      <c r="A1830" s="5" t="str">
        <f ca="1">IFERROR(__xludf.DUMMYFUNCTION("""COMPUTED_VALUE"""),"39441")</f>
        <v>39441</v>
      </c>
      <c r="B1830" s="51">
        <f ca="1">IFERROR(__xludf.DUMMYFUNCTION("""COMPUTED_VALUE"""),44629)</f>
        <v>44629</v>
      </c>
      <c r="C1830" s="22">
        <f ca="1">IFERROR(__xludf.DUMMYFUNCTION("""COMPUTED_VALUE"""),359299.50904825)</f>
        <v>359299.50904824998</v>
      </c>
      <c r="D1830" s="22">
        <f ca="1">IFERROR(__xludf.DUMMYFUNCTION("""COMPUTED_VALUE"""),126014.039127999)</f>
        <v>126014.039127999</v>
      </c>
      <c r="E1830" s="22">
        <f ca="1">IFERROR(__xludf.DUMMYFUNCTION("""COMPUTED_VALUE"""),485313.548176249)</f>
        <v>485313.54817624902</v>
      </c>
      <c r="F1830" s="22">
        <f ca="1">IFERROR(__xludf.DUMMYFUNCTION("""COMPUTED_VALUE"""),143169.00766075)</f>
        <v>143169.00766075001</v>
      </c>
      <c r="G1830" s="22">
        <f ca="1">IFERROR(__xludf.DUMMYFUNCTION("""COMPUTED_VALUE"""),0)</f>
        <v>0</v>
      </c>
      <c r="H1830" s="7">
        <f ca="1">IFERROR(__xludf.DUMMYFUNCTION("""COMPUTED_VALUE"""),485313.548176249)</f>
        <v>485313.54817624902</v>
      </c>
    </row>
    <row r="1831" spans="1:8" ht="13" x14ac:dyDescent="0.15">
      <c r="A1831" s="5" t="str">
        <f ca="1">IFERROR(__xludf.DUMMYFUNCTION("""COMPUTED_VALUE"""),"39441")</f>
        <v>39441</v>
      </c>
      <c r="B1831" s="51">
        <f ca="1">IFERROR(__xludf.DUMMYFUNCTION("""COMPUTED_VALUE"""),44630)</f>
        <v>44630</v>
      </c>
      <c r="C1831" s="22">
        <f ca="1">IFERROR(__xludf.DUMMYFUNCTION("""COMPUTED_VALUE"""),359299.50904825)</f>
        <v>359299.50904824998</v>
      </c>
      <c r="D1831" s="22">
        <f ca="1">IFERROR(__xludf.DUMMYFUNCTION("""COMPUTED_VALUE"""),126025.683207999)</f>
        <v>126025.683207999</v>
      </c>
      <c r="E1831" s="22">
        <f ca="1">IFERROR(__xludf.DUMMYFUNCTION("""COMPUTED_VALUE"""),485325.192256249)</f>
        <v>485325.19225624902</v>
      </c>
      <c r="F1831" s="22">
        <f ca="1">IFERROR(__xludf.DUMMYFUNCTION("""COMPUTED_VALUE"""),143169.00766075)</f>
        <v>143169.00766075001</v>
      </c>
      <c r="G1831" s="22">
        <f ca="1">IFERROR(__xludf.DUMMYFUNCTION("""COMPUTED_VALUE"""),0)</f>
        <v>0</v>
      </c>
      <c r="H1831" s="7">
        <f ca="1">IFERROR(__xludf.DUMMYFUNCTION("""COMPUTED_VALUE"""),485325.192256249)</f>
        <v>485325.19225624902</v>
      </c>
    </row>
    <row r="1832" spans="1:8" ht="13" x14ac:dyDescent="0.15">
      <c r="A1832" s="5" t="str">
        <f ca="1">IFERROR(__xludf.DUMMYFUNCTION("""COMPUTED_VALUE"""),"39441")</f>
        <v>39441</v>
      </c>
      <c r="B1832" s="51">
        <f ca="1">IFERROR(__xludf.DUMMYFUNCTION("""COMPUTED_VALUE"""),44631)</f>
        <v>44631</v>
      </c>
      <c r="C1832" s="22">
        <f ca="1">IFERROR(__xludf.DUMMYFUNCTION("""COMPUTED_VALUE"""),206336.524923249)</f>
        <v>206336.524923249</v>
      </c>
      <c r="D1832" s="22">
        <f ca="1">IFERROR(__xludf.DUMMYFUNCTION("""COMPUTED_VALUE"""),287533.280129999)</f>
        <v>287533.28012999898</v>
      </c>
      <c r="E1832" s="22">
        <f ca="1">IFERROR(__xludf.DUMMYFUNCTION("""COMPUTED_VALUE"""),493869.805053249)</f>
        <v>493869.805053249</v>
      </c>
      <c r="F1832" s="22">
        <f ca="1">IFERROR(__xludf.DUMMYFUNCTION("""COMPUTED_VALUE"""),160352.80278575)</f>
        <v>160352.80278575001</v>
      </c>
      <c r="G1832" s="22">
        <f ca="1">IFERROR(__xludf.DUMMYFUNCTION("""COMPUTED_VALUE"""),0)</f>
        <v>0</v>
      </c>
      <c r="H1832" s="7">
        <f ca="1">IFERROR(__xludf.DUMMYFUNCTION("""COMPUTED_VALUE"""),493869.805053249)</f>
        <v>493869.805053249</v>
      </c>
    </row>
    <row r="1833" spans="1:8" ht="13" x14ac:dyDescent="0.15">
      <c r="A1833" s="5" t="str">
        <f ca="1">IFERROR(__xludf.DUMMYFUNCTION("""COMPUTED_VALUE"""),"39441")</f>
        <v>39441</v>
      </c>
      <c r="B1833" s="51">
        <f ca="1">IFERROR(__xludf.DUMMYFUNCTION("""COMPUTED_VALUE"""),44632)</f>
        <v>44632</v>
      </c>
      <c r="C1833" s="22">
        <f ca="1">IFERROR(__xludf.DUMMYFUNCTION("""COMPUTED_VALUE"""),206336.524923249)</f>
        <v>206336.524923249</v>
      </c>
      <c r="D1833" s="22">
        <f ca="1">IFERROR(__xludf.DUMMYFUNCTION("""COMPUTED_VALUE"""),287533.280129999)</f>
        <v>287533.28012999898</v>
      </c>
      <c r="E1833" s="22">
        <f ca="1">IFERROR(__xludf.DUMMYFUNCTION("""COMPUTED_VALUE"""),493869.805053249)</f>
        <v>493869.805053249</v>
      </c>
      <c r="F1833" s="22">
        <f ca="1">IFERROR(__xludf.DUMMYFUNCTION("""COMPUTED_VALUE"""),160352.80278575)</f>
        <v>160352.80278575001</v>
      </c>
      <c r="G1833" s="22">
        <f ca="1">IFERROR(__xludf.DUMMYFUNCTION("""COMPUTED_VALUE"""),0)</f>
        <v>0</v>
      </c>
      <c r="H1833" s="7">
        <f ca="1">IFERROR(__xludf.DUMMYFUNCTION("""COMPUTED_VALUE"""),493869.805053249)</f>
        <v>493869.805053249</v>
      </c>
    </row>
    <row r="1834" spans="1:8" ht="13" x14ac:dyDescent="0.15">
      <c r="A1834" s="5" t="str">
        <f ca="1">IFERROR(__xludf.DUMMYFUNCTION("""COMPUTED_VALUE"""),"39441")</f>
        <v>39441</v>
      </c>
      <c r="B1834" s="51">
        <f ca="1">IFERROR(__xludf.DUMMYFUNCTION("""COMPUTED_VALUE"""),44633)</f>
        <v>44633</v>
      </c>
      <c r="C1834" s="22">
        <f ca="1">IFERROR(__xludf.DUMMYFUNCTION("""COMPUTED_VALUE"""),206336.524923249)</f>
        <v>206336.524923249</v>
      </c>
      <c r="D1834" s="22">
        <f ca="1">IFERROR(__xludf.DUMMYFUNCTION("""COMPUTED_VALUE"""),287515.770390199)</f>
        <v>287515.77039019897</v>
      </c>
      <c r="E1834" s="22">
        <f ca="1">IFERROR(__xludf.DUMMYFUNCTION("""COMPUTED_VALUE"""),493852.295313449)</f>
        <v>493852.29531344899</v>
      </c>
      <c r="F1834" s="22">
        <f ca="1">IFERROR(__xludf.DUMMYFUNCTION("""COMPUTED_VALUE"""),160352.80278575)</f>
        <v>160352.80278575001</v>
      </c>
      <c r="G1834" s="22">
        <f ca="1">IFERROR(__xludf.DUMMYFUNCTION("""COMPUTED_VALUE"""),0)</f>
        <v>0</v>
      </c>
      <c r="H1834" s="7">
        <f ca="1">IFERROR(__xludf.DUMMYFUNCTION("""COMPUTED_VALUE"""),493853.757119449)</f>
        <v>493853.75711944897</v>
      </c>
    </row>
    <row r="1835" spans="1:8" ht="13" x14ac:dyDescent="0.15">
      <c r="A1835" s="5" t="str">
        <f ca="1">IFERROR(__xludf.DUMMYFUNCTION("""COMPUTED_VALUE"""),"39441")</f>
        <v>39441</v>
      </c>
      <c r="B1835" s="51">
        <f ca="1">IFERROR(__xludf.DUMMYFUNCTION("""COMPUTED_VALUE"""),44634)</f>
        <v>44634</v>
      </c>
      <c r="C1835" s="22">
        <f ca="1">IFERROR(__xludf.DUMMYFUNCTION("""COMPUTED_VALUE"""),83100.2152982499)</f>
        <v>83100.215298249896</v>
      </c>
      <c r="D1835" s="22">
        <f ca="1">IFERROR(__xludf.DUMMYFUNCTION("""COMPUTED_VALUE"""),401617.628455)</f>
        <v>401617.628455</v>
      </c>
      <c r="E1835" s="22">
        <f ca="1">IFERROR(__xludf.DUMMYFUNCTION("""COMPUTED_VALUE"""),484717.84375325)</f>
        <v>484717.84375325002</v>
      </c>
      <c r="F1835" s="22">
        <f ca="1">IFERROR(__xludf.DUMMYFUNCTION("""COMPUTED_VALUE"""),37116.49316075)</f>
        <v>37116.493160749997</v>
      </c>
      <c r="G1835" s="22">
        <f ca="1">IFERROR(__xludf.DUMMYFUNCTION("""COMPUTED_VALUE"""),0)</f>
        <v>0</v>
      </c>
      <c r="H1835" s="7">
        <f ca="1">IFERROR(__xludf.DUMMYFUNCTION("""COMPUTED_VALUE"""),484717.843753249)</f>
        <v>484717.84375324898</v>
      </c>
    </row>
    <row r="1836" spans="1:8" ht="13" x14ac:dyDescent="0.15">
      <c r="A1836" s="5" t="str">
        <f ca="1">IFERROR(__xludf.DUMMYFUNCTION("""COMPUTED_VALUE"""),"39441")</f>
        <v>39441</v>
      </c>
      <c r="B1836" s="51">
        <f ca="1">IFERROR(__xludf.DUMMYFUNCTION("""COMPUTED_VALUE"""),44635)</f>
        <v>44635</v>
      </c>
      <c r="C1836" s="22">
        <f ca="1">IFERROR(__xludf.DUMMYFUNCTION("""COMPUTED_VALUE"""),203265.351698249)</f>
        <v>203265.351698249</v>
      </c>
      <c r="D1836" s="22">
        <f ca="1">IFERROR(__xludf.DUMMYFUNCTION("""COMPUTED_VALUE"""),290630.7597885)</f>
        <v>290630.75978850003</v>
      </c>
      <c r="E1836" s="22">
        <f ca="1">IFERROR(__xludf.DUMMYFUNCTION("""COMPUTED_VALUE"""),493896.111486749)</f>
        <v>493896.11148674903</v>
      </c>
      <c r="F1836" s="22">
        <f ca="1">IFERROR(__xludf.DUMMYFUNCTION("""COMPUTED_VALUE"""),61142.56044075)</f>
        <v>61142.56044075</v>
      </c>
      <c r="G1836" s="22">
        <f ca="1">IFERROR(__xludf.DUMMYFUNCTION("""COMPUTED_VALUE"""),0)</f>
        <v>0</v>
      </c>
      <c r="H1836" s="7">
        <f ca="1">IFERROR(__xludf.DUMMYFUNCTION("""COMPUTED_VALUE"""),493896.111486749)</f>
        <v>493896.11148674903</v>
      </c>
    </row>
    <row r="1837" spans="1:8" ht="13" x14ac:dyDescent="0.15">
      <c r="A1837" s="5" t="str">
        <f ca="1">IFERROR(__xludf.DUMMYFUNCTION("""COMPUTED_VALUE"""),"39441")</f>
        <v>39441</v>
      </c>
      <c r="B1837" s="51">
        <f ca="1">IFERROR(__xludf.DUMMYFUNCTION("""COMPUTED_VALUE"""),44636)</f>
        <v>44636</v>
      </c>
      <c r="C1837" s="22">
        <f ca="1">IFERROR(__xludf.DUMMYFUNCTION("""COMPUTED_VALUE"""),371825.619498249)</f>
        <v>371825.61949824903</v>
      </c>
      <c r="D1837" s="22">
        <f ca="1">IFERROR(__xludf.DUMMYFUNCTION("""COMPUTED_VALUE"""),114892.175453999)</f>
        <v>114892.17545399901</v>
      </c>
      <c r="E1837" s="22">
        <f ca="1">IFERROR(__xludf.DUMMYFUNCTION("""COMPUTED_VALUE"""),486717.794952249)</f>
        <v>486717.79495224898</v>
      </c>
      <c r="F1837" s="22">
        <f ca="1">IFERROR(__xludf.DUMMYFUNCTION("""COMPUTED_VALUE"""),-106037.707359249)</f>
        <v>-106037.70735924901</v>
      </c>
      <c r="G1837" s="22">
        <f ca="1">IFERROR(__xludf.DUMMYFUNCTION("""COMPUTED_VALUE"""),106037.707359249)</f>
        <v>106037.70735924901</v>
      </c>
      <c r="H1837" s="7">
        <f ca="1">IFERROR(__xludf.DUMMYFUNCTION("""COMPUTED_VALUE"""),486717.794952249)</f>
        <v>486717.79495224898</v>
      </c>
    </row>
    <row r="1838" spans="1:8" ht="13" x14ac:dyDescent="0.15">
      <c r="A1838" s="5" t="str">
        <f ca="1">IFERROR(__xludf.DUMMYFUNCTION("""COMPUTED_VALUE"""),"39441")</f>
        <v>39441</v>
      </c>
      <c r="B1838" s="51">
        <f ca="1">IFERROR(__xludf.DUMMYFUNCTION("""COMPUTED_VALUE"""),44637)</f>
        <v>44637</v>
      </c>
      <c r="C1838" s="22">
        <f ca="1">IFERROR(__xludf.DUMMYFUNCTION("""COMPUTED_VALUE"""),371825.619498249)</f>
        <v>371825.61949824903</v>
      </c>
      <c r="D1838" s="22">
        <f ca="1">IFERROR(__xludf.DUMMYFUNCTION("""COMPUTED_VALUE"""),130674.267070999)</f>
        <v>130674.26707099901</v>
      </c>
      <c r="E1838" s="22">
        <f ca="1">IFERROR(__xludf.DUMMYFUNCTION("""COMPUTED_VALUE"""),502499.886569249)</f>
        <v>502499.88656924898</v>
      </c>
      <c r="F1838" s="22">
        <f ca="1">IFERROR(__xludf.DUMMYFUNCTION("""COMPUTED_VALUE"""),-106037.707359249)</f>
        <v>-106037.70735924901</v>
      </c>
      <c r="G1838" s="22">
        <f ca="1">IFERROR(__xludf.DUMMYFUNCTION("""COMPUTED_VALUE"""),106037.707359249)</f>
        <v>106037.70735924901</v>
      </c>
      <c r="H1838" s="7">
        <f ca="1">IFERROR(__xludf.DUMMYFUNCTION("""COMPUTED_VALUE"""),502499.886569249)</f>
        <v>502499.88656924898</v>
      </c>
    </row>
    <row r="1839" spans="1:8" ht="13" x14ac:dyDescent="0.15">
      <c r="A1839" s="5" t="str">
        <f ca="1">IFERROR(__xludf.DUMMYFUNCTION("""COMPUTED_VALUE"""),"39441")</f>
        <v>39441</v>
      </c>
      <c r="B1839" s="51">
        <f ca="1">IFERROR(__xludf.DUMMYFUNCTION("""COMPUTED_VALUE"""),44638)</f>
        <v>44638</v>
      </c>
      <c r="C1839" s="22">
        <f ca="1">IFERROR(__xludf.DUMMYFUNCTION("""COMPUTED_VALUE"""),649416.58149275)</f>
        <v>649416.58149274997</v>
      </c>
      <c r="D1839" s="22">
        <f ca="1">IFERROR(__xludf.DUMMYFUNCTION("""COMPUTED_VALUE"""),-157548.0287)</f>
        <v>-157548.0287</v>
      </c>
      <c r="E1839" s="22">
        <f ca="1">IFERROR(__xludf.DUMMYFUNCTION("""COMPUTED_VALUE"""),491868.552792749)</f>
        <v>491868.55279274902</v>
      </c>
      <c r="F1839" s="22">
        <f ca="1">IFERROR(__xludf.DUMMYFUNCTION("""COMPUTED_VALUE"""),171553.25463525)</f>
        <v>171553.25463524999</v>
      </c>
      <c r="G1839" s="22">
        <f ca="1">IFERROR(__xludf.DUMMYFUNCTION("""COMPUTED_VALUE"""),0)</f>
        <v>0</v>
      </c>
      <c r="H1839" s="7">
        <f ca="1">IFERROR(__xludf.DUMMYFUNCTION("""COMPUTED_VALUE"""),491868.552792749)</f>
        <v>491868.55279274902</v>
      </c>
    </row>
    <row r="1840" spans="1:8" ht="13" x14ac:dyDescent="0.15">
      <c r="A1840" s="5" t="str">
        <f ca="1">IFERROR(__xludf.DUMMYFUNCTION("""COMPUTED_VALUE"""),"39441")</f>
        <v>39441</v>
      </c>
      <c r="B1840" s="51">
        <f ca="1">IFERROR(__xludf.DUMMYFUNCTION("""COMPUTED_VALUE"""),44639)</f>
        <v>44639</v>
      </c>
      <c r="C1840" s="22">
        <f ca="1">IFERROR(__xludf.DUMMYFUNCTION("""COMPUTED_VALUE"""),649416.58149275)</f>
        <v>649416.58149274997</v>
      </c>
      <c r="D1840" s="22">
        <f ca="1">IFERROR(__xludf.DUMMYFUNCTION("""COMPUTED_VALUE"""),-157548.0287)</f>
        <v>-157548.0287</v>
      </c>
      <c r="E1840" s="22">
        <f ca="1">IFERROR(__xludf.DUMMYFUNCTION("""COMPUTED_VALUE"""),491868.552792749)</f>
        <v>491868.55279274902</v>
      </c>
      <c r="F1840" s="22">
        <f ca="1">IFERROR(__xludf.DUMMYFUNCTION("""COMPUTED_VALUE"""),171553.25463525)</f>
        <v>171553.25463524999</v>
      </c>
      <c r="G1840" s="22">
        <f ca="1">IFERROR(__xludf.DUMMYFUNCTION("""COMPUTED_VALUE"""),0)</f>
        <v>0</v>
      </c>
      <c r="H1840" s="7">
        <f ca="1">IFERROR(__xludf.DUMMYFUNCTION("""COMPUTED_VALUE"""),491868.552792749)</f>
        <v>491868.55279274902</v>
      </c>
    </row>
    <row r="1841" spans="1:8" ht="13" x14ac:dyDescent="0.15">
      <c r="A1841" s="5" t="str">
        <f ca="1">IFERROR(__xludf.DUMMYFUNCTION("""COMPUTED_VALUE"""),"39441")</f>
        <v>39441</v>
      </c>
      <c r="B1841" s="51">
        <f ca="1">IFERROR(__xludf.DUMMYFUNCTION("""COMPUTED_VALUE"""),44640)</f>
        <v>44640</v>
      </c>
      <c r="C1841" s="22">
        <f ca="1">IFERROR(__xludf.DUMMYFUNCTION("""COMPUTED_VALUE"""),649416.58149275)</f>
        <v>649416.58149274997</v>
      </c>
      <c r="D1841" s="22">
        <f ca="1">IFERROR(__xludf.DUMMYFUNCTION("""COMPUTED_VALUE"""),-157492.742369999)</f>
        <v>-157492.742369999</v>
      </c>
      <c r="E1841" s="22">
        <f ca="1">IFERROR(__xludf.DUMMYFUNCTION("""COMPUTED_VALUE"""),491923.83912275)</f>
        <v>491923.83912274998</v>
      </c>
      <c r="F1841" s="22">
        <f ca="1">IFERROR(__xludf.DUMMYFUNCTION("""COMPUTED_VALUE"""),171553.25463525)</f>
        <v>171553.25463524999</v>
      </c>
      <c r="G1841" s="22">
        <f ca="1">IFERROR(__xludf.DUMMYFUNCTION("""COMPUTED_VALUE"""),0)</f>
        <v>0</v>
      </c>
      <c r="H1841" s="7">
        <f ca="1">IFERROR(__xludf.DUMMYFUNCTION("""COMPUTED_VALUE"""),491923.83912275)</f>
        <v>491923.83912274998</v>
      </c>
    </row>
    <row r="1842" spans="1:8" ht="13" x14ac:dyDescent="0.15">
      <c r="A1842" s="5" t="str">
        <f ca="1">IFERROR(__xludf.DUMMYFUNCTION("""COMPUTED_VALUE"""),"39441")</f>
        <v>39441</v>
      </c>
      <c r="B1842" s="51">
        <f ca="1">IFERROR(__xludf.DUMMYFUNCTION("""COMPUTED_VALUE"""),44641)</f>
        <v>44641</v>
      </c>
      <c r="C1842" s="22">
        <f ca="1">IFERROR(__xludf.DUMMYFUNCTION("""COMPUTED_VALUE"""),516275.28939275)</f>
        <v>516275.28939275001</v>
      </c>
      <c r="D1842" s="22">
        <f ca="1">IFERROR(__xludf.DUMMYFUNCTION("""COMPUTED_VALUE"""),-15349.0377299998)</f>
        <v>-15349.0377299998</v>
      </c>
      <c r="E1842" s="22">
        <f ca="1">IFERROR(__xludf.DUMMYFUNCTION("""COMPUTED_VALUE"""),500926.25166275)</f>
        <v>500926.25166274997</v>
      </c>
      <c r="F1842" s="22">
        <f ca="1">IFERROR(__xludf.DUMMYFUNCTION("""COMPUTED_VALUE"""),45859.96253525)</f>
        <v>45859.962535250001</v>
      </c>
      <c r="G1842" s="22">
        <f ca="1">IFERROR(__xludf.DUMMYFUNCTION("""COMPUTED_VALUE"""),0)</f>
        <v>0</v>
      </c>
      <c r="H1842" s="7">
        <f ca="1">IFERROR(__xludf.DUMMYFUNCTION("""COMPUTED_VALUE"""),500926.25166275)</f>
        <v>500926.25166274997</v>
      </c>
    </row>
    <row r="1843" spans="1:8" ht="13" x14ac:dyDescent="0.15">
      <c r="A1843" s="5" t="str">
        <f ca="1">IFERROR(__xludf.DUMMYFUNCTION("""COMPUTED_VALUE"""),"39441")</f>
        <v>39441</v>
      </c>
      <c r="B1843" s="51">
        <f ca="1">IFERROR(__xludf.DUMMYFUNCTION("""COMPUTED_VALUE"""),44642)</f>
        <v>44642</v>
      </c>
      <c r="C1843" s="22">
        <f ca="1">IFERROR(__xludf.DUMMYFUNCTION("""COMPUTED_VALUE"""),516275.28939275)</f>
        <v>516275.28939275001</v>
      </c>
      <c r="D1843" s="22">
        <f ca="1">IFERROR(__xludf.DUMMYFUNCTION("""COMPUTED_VALUE"""),-37300.79534)</f>
        <v>-37300.795339999997</v>
      </c>
      <c r="E1843" s="22">
        <f ca="1">IFERROR(__xludf.DUMMYFUNCTION("""COMPUTED_VALUE"""),478974.49405275)</f>
        <v>478974.49405275</v>
      </c>
      <c r="F1843" s="22">
        <f ca="1">IFERROR(__xludf.DUMMYFUNCTION("""COMPUTED_VALUE"""),45859.96253525)</f>
        <v>45859.962535250001</v>
      </c>
      <c r="G1843" s="22">
        <f ca="1">IFERROR(__xludf.DUMMYFUNCTION("""COMPUTED_VALUE"""),0)</f>
        <v>0</v>
      </c>
      <c r="H1843" s="7">
        <f ca="1">IFERROR(__xludf.DUMMYFUNCTION("""COMPUTED_VALUE"""),478974.49405275)</f>
        <v>478974.49405275</v>
      </c>
    </row>
    <row r="1844" spans="1:8" ht="13" x14ac:dyDescent="0.15">
      <c r="A1844" s="5" t="str">
        <f ca="1">IFERROR(__xludf.DUMMYFUNCTION("""COMPUTED_VALUE"""),"39494")</f>
        <v>39494</v>
      </c>
      <c r="B1844" s="51">
        <f ca="1">IFERROR(__xludf.DUMMYFUNCTION("""COMPUTED_VALUE"""),44597)</f>
        <v>44597</v>
      </c>
      <c r="C1844" s="22">
        <f ca="1">IFERROR(__xludf.DUMMYFUNCTION("""COMPUTED_VALUE"""),500000)</f>
        <v>500000</v>
      </c>
      <c r="D1844" s="22">
        <f ca="1">IFERROR(__xludf.DUMMYFUNCTION("""COMPUTED_VALUE"""),0)</f>
        <v>0</v>
      </c>
      <c r="E1844" s="22">
        <f ca="1">IFERROR(__xludf.DUMMYFUNCTION("""COMPUTED_VALUE"""),500000)</f>
        <v>500000</v>
      </c>
      <c r="F1844" s="22">
        <f ca="1">IFERROR(__xludf.DUMMYFUNCTION("""COMPUTED_VALUE"""),500000)</f>
        <v>500000</v>
      </c>
      <c r="G1844" s="22">
        <f ca="1">IFERROR(__xludf.DUMMYFUNCTION("""COMPUTED_VALUE"""),0)</f>
        <v>0</v>
      </c>
      <c r="H1844" s="7">
        <f ca="1">IFERROR(__xludf.DUMMYFUNCTION("""COMPUTED_VALUE"""),500000)</f>
        <v>500000</v>
      </c>
    </row>
    <row r="1845" spans="1:8" ht="13" x14ac:dyDescent="0.15">
      <c r="A1845" s="5" t="str">
        <f ca="1">IFERROR(__xludf.DUMMYFUNCTION("""COMPUTED_VALUE"""),"39494")</f>
        <v>39494</v>
      </c>
      <c r="B1845" s="51">
        <f ca="1">IFERROR(__xludf.DUMMYFUNCTION("""COMPUTED_VALUE"""),44598)</f>
        <v>44598</v>
      </c>
      <c r="C1845" s="22">
        <f ca="1">IFERROR(__xludf.DUMMYFUNCTION("""COMPUTED_VALUE"""),500000)</f>
        <v>500000</v>
      </c>
      <c r="D1845" s="22">
        <f ca="1">IFERROR(__xludf.DUMMYFUNCTION("""COMPUTED_VALUE"""),0)</f>
        <v>0</v>
      </c>
      <c r="E1845" s="22">
        <f ca="1">IFERROR(__xludf.DUMMYFUNCTION("""COMPUTED_VALUE"""),500000)</f>
        <v>500000</v>
      </c>
      <c r="F1845" s="22">
        <f ca="1">IFERROR(__xludf.DUMMYFUNCTION("""COMPUTED_VALUE"""),500000)</f>
        <v>500000</v>
      </c>
      <c r="G1845" s="22">
        <f ca="1">IFERROR(__xludf.DUMMYFUNCTION("""COMPUTED_VALUE"""),0)</f>
        <v>0</v>
      </c>
      <c r="H1845" s="7">
        <f ca="1">IFERROR(__xludf.DUMMYFUNCTION("""COMPUTED_VALUE"""),500000)</f>
        <v>500000</v>
      </c>
    </row>
    <row r="1846" spans="1:8" ht="13" x14ac:dyDescent="0.15">
      <c r="A1846" s="5" t="str">
        <f ca="1">IFERROR(__xludf.DUMMYFUNCTION("""COMPUTED_VALUE"""),"39494")</f>
        <v>39494</v>
      </c>
      <c r="B1846" s="51">
        <f ca="1">IFERROR(__xludf.DUMMYFUNCTION("""COMPUTED_VALUE"""),44599)</f>
        <v>44599</v>
      </c>
      <c r="C1846" s="22">
        <f ca="1">IFERROR(__xludf.DUMMYFUNCTION("""COMPUTED_VALUE"""),500000)</f>
        <v>500000</v>
      </c>
      <c r="D1846" s="22">
        <f ca="1">IFERROR(__xludf.DUMMYFUNCTION("""COMPUTED_VALUE"""),0)</f>
        <v>0</v>
      </c>
      <c r="E1846" s="22">
        <f ca="1">IFERROR(__xludf.DUMMYFUNCTION("""COMPUTED_VALUE"""),500000)</f>
        <v>500000</v>
      </c>
      <c r="F1846" s="22">
        <f ca="1">IFERROR(__xludf.DUMMYFUNCTION("""COMPUTED_VALUE"""),500000)</f>
        <v>500000</v>
      </c>
      <c r="G1846" s="22">
        <f ca="1">IFERROR(__xludf.DUMMYFUNCTION("""COMPUTED_VALUE"""),0)</f>
        <v>0</v>
      </c>
      <c r="H1846" s="7">
        <f ca="1">IFERROR(__xludf.DUMMYFUNCTION("""COMPUTED_VALUE"""),500000)</f>
        <v>500000</v>
      </c>
    </row>
    <row r="1847" spans="1:8" ht="13" x14ac:dyDescent="0.15">
      <c r="A1847" s="5" t="str">
        <f ca="1">IFERROR(__xludf.DUMMYFUNCTION("""COMPUTED_VALUE"""),"39494")</f>
        <v>39494</v>
      </c>
      <c r="B1847" s="51">
        <f ca="1">IFERROR(__xludf.DUMMYFUNCTION("""COMPUTED_VALUE"""),44600)</f>
        <v>44600</v>
      </c>
      <c r="C1847" s="22">
        <f ca="1">IFERROR(__xludf.DUMMYFUNCTION("""COMPUTED_VALUE"""),500000)</f>
        <v>500000</v>
      </c>
      <c r="D1847" s="22">
        <f ca="1">IFERROR(__xludf.DUMMYFUNCTION("""COMPUTED_VALUE"""),0)</f>
        <v>0</v>
      </c>
      <c r="E1847" s="22">
        <f ca="1">IFERROR(__xludf.DUMMYFUNCTION("""COMPUTED_VALUE"""),500000)</f>
        <v>500000</v>
      </c>
      <c r="F1847" s="22">
        <f ca="1">IFERROR(__xludf.DUMMYFUNCTION("""COMPUTED_VALUE"""),500000)</f>
        <v>500000</v>
      </c>
      <c r="G1847" s="22">
        <f ca="1">IFERROR(__xludf.DUMMYFUNCTION("""COMPUTED_VALUE"""),0)</f>
        <v>0</v>
      </c>
      <c r="H1847" s="7">
        <f ca="1">IFERROR(__xludf.DUMMYFUNCTION("""COMPUTED_VALUE"""),500000)</f>
        <v>500000</v>
      </c>
    </row>
    <row r="1848" spans="1:8" ht="13" x14ac:dyDescent="0.15">
      <c r="A1848" s="5" t="str">
        <f ca="1">IFERROR(__xludf.DUMMYFUNCTION("""COMPUTED_VALUE"""),"39494")</f>
        <v>39494</v>
      </c>
      <c r="B1848" s="51">
        <f ca="1">IFERROR(__xludf.DUMMYFUNCTION("""COMPUTED_VALUE"""),44601)</f>
        <v>44601</v>
      </c>
      <c r="C1848" s="22">
        <f ca="1">IFERROR(__xludf.DUMMYFUNCTION("""COMPUTED_VALUE"""),500000)</f>
        <v>500000</v>
      </c>
      <c r="D1848" s="22">
        <f ca="1">IFERROR(__xludf.DUMMYFUNCTION("""COMPUTED_VALUE"""),0)</f>
        <v>0</v>
      </c>
      <c r="E1848" s="22">
        <f ca="1">IFERROR(__xludf.DUMMYFUNCTION("""COMPUTED_VALUE"""),500000)</f>
        <v>500000</v>
      </c>
      <c r="F1848" s="22">
        <f ca="1">IFERROR(__xludf.DUMMYFUNCTION("""COMPUTED_VALUE"""),500000)</f>
        <v>500000</v>
      </c>
      <c r="G1848" s="22">
        <f ca="1">IFERROR(__xludf.DUMMYFUNCTION("""COMPUTED_VALUE"""),0)</f>
        <v>0</v>
      </c>
      <c r="H1848" s="7">
        <f ca="1">IFERROR(__xludf.DUMMYFUNCTION("""COMPUTED_VALUE"""),500000)</f>
        <v>500000</v>
      </c>
    </row>
    <row r="1849" spans="1:8" ht="13" x14ac:dyDescent="0.15">
      <c r="A1849" s="5" t="str">
        <f ca="1">IFERROR(__xludf.DUMMYFUNCTION("""COMPUTED_VALUE"""),"39494")</f>
        <v>39494</v>
      </c>
      <c r="B1849" s="51">
        <f ca="1">IFERROR(__xludf.DUMMYFUNCTION("""COMPUTED_VALUE"""),44602)</f>
        <v>44602</v>
      </c>
      <c r="C1849" s="22">
        <f ca="1">IFERROR(__xludf.DUMMYFUNCTION("""COMPUTED_VALUE"""),500000)</f>
        <v>500000</v>
      </c>
      <c r="D1849" s="22">
        <f ca="1">IFERROR(__xludf.DUMMYFUNCTION("""COMPUTED_VALUE"""),0)</f>
        <v>0</v>
      </c>
      <c r="E1849" s="22">
        <f ca="1">IFERROR(__xludf.DUMMYFUNCTION("""COMPUTED_VALUE"""),500000)</f>
        <v>500000</v>
      </c>
      <c r="F1849" s="22">
        <f ca="1">IFERROR(__xludf.DUMMYFUNCTION("""COMPUTED_VALUE"""),500000)</f>
        <v>500000</v>
      </c>
      <c r="G1849" s="22">
        <f ca="1">IFERROR(__xludf.DUMMYFUNCTION("""COMPUTED_VALUE"""),0)</f>
        <v>0</v>
      </c>
      <c r="H1849" s="7">
        <f ca="1">IFERROR(__xludf.DUMMYFUNCTION("""COMPUTED_VALUE"""),500000)</f>
        <v>500000</v>
      </c>
    </row>
    <row r="1850" spans="1:8" ht="13" x14ac:dyDescent="0.15">
      <c r="A1850" s="5" t="str">
        <f ca="1">IFERROR(__xludf.DUMMYFUNCTION("""COMPUTED_VALUE"""),"39494")</f>
        <v>39494</v>
      </c>
      <c r="B1850" s="51">
        <f ca="1">IFERROR(__xludf.DUMMYFUNCTION("""COMPUTED_VALUE"""),44603)</f>
        <v>44603</v>
      </c>
      <c r="C1850" s="22">
        <f ca="1">IFERROR(__xludf.DUMMYFUNCTION("""COMPUTED_VALUE"""),500000)</f>
        <v>500000</v>
      </c>
      <c r="D1850" s="22">
        <f ca="1">IFERROR(__xludf.DUMMYFUNCTION("""COMPUTED_VALUE"""),0)</f>
        <v>0</v>
      </c>
      <c r="E1850" s="22">
        <f ca="1">IFERROR(__xludf.DUMMYFUNCTION("""COMPUTED_VALUE"""),500000)</f>
        <v>500000</v>
      </c>
      <c r="F1850" s="22">
        <f ca="1">IFERROR(__xludf.DUMMYFUNCTION("""COMPUTED_VALUE"""),500000)</f>
        <v>500000</v>
      </c>
      <c r="G1850" s="22">
        <f ca="1">IFERROR(__xludf.DUMMYFUNCTION("""COMPUTED_VALUE"""),0)</f>
        <v>0</v>
      </c>
      <c r="H1850" s="7">
        <f ca="1">IFERROR(__xludf.DUMMYFUNCTION("""COMPUTED_VALUE"""),500000)</f>
        <v>500000</v>
      </c>
    </row>
    <row r="1851" spans="1:8" ht="13" x14ac:dyDescent="0.15">
      <c r="A1851" s="5" t="str">
        <f ca="1">IFERROR(__xludf.DUMMYFUNCTION("""COMPUTED_VALUE"""),"39494")</f>
        <v>39494</v>
      </c>
      <c r="B1851" s="51">
        <f ca="1">IFERROR(__xludf.DUMMYFUNCTION("""COMPUTED_VALUE"""),44604)</f>
        <v>44604</v>
      </c>
      <c r="C1851" s="22">
        <f ca="1">IFERROR(__xludf.DUMMYFUNCTION("""COMPUTED_VALUE"""),500000)</f>
        <v>500000</v>
      </c>
      <c r="D1851" s="22">
        <f ca="1">IFERROR(__xludf.DUMMYFUNCTION("""COMPUTED_VALUE"""),0)</f>
        <v>0</v>
      </c>
      <c r="E1851" s="22">
        <f ca="1">IFERROR(__xludf.DUMMYFUNCTION("""COMPUTED_VALUE"""),500000)</f>
        <v>500000</v>
      </c>
      <c r="F1851" s="22">
        <f ca="1">IFERROR(__xludf.DUMMYFUNCTION("""COMPUTED_VALUE"""),500000)</f>
        <v>500000</v>
      </c>
      <c r="G1851" s="22">
        <f ca="1">IFERROR(__xludf.DUMMYFUNCTION("""COMPUTED_VALUE"""),0)</f>
        <v>0</v>
      </c>
      <c r="H1851" s="7">
        <f ca="1">IFERROR(__xludf.DUMMYFUNCTION("""COMPUTED_VALUE"""),500000)</f>
        <v>500000</v>
      </c>
    </row>
    <row r="1852" spans="1:8" ht="13" x14ac:dyDescent="0.15">
      <c r="A1852" s="5" t="str">
        <f ca="1">IFERROR(__xludf.DUMMYFUNCTION("""COMPUTED_VALUE"""),"39494")</f>
        <v>39494</v>
      </c>
      <c r="B1852" s="51">
        <f ca="1">IFERROR(__xludf.DUMMYFUNCTION("""COMPUTED_VALUE"""),44605)</f>
        <v>44605</v>
      </c>
      <c r="C1852" s="22">
        <f ca="1">IFERROR(__xludf.DUMMYFUNCTION("""COMPUTED_VALUE"""),500000)</f>
        <v>500000</v>
      </c>
      <c r="D1852" s="22">
        <f ca="1">IFERROR(__xludf.DUMMYFUNCTION("""COMPUTED_VALUE"""),0)</f>
        <v>0</v>
      </c>
      <c r="E1852" s="22">
        <f ca="1">IFERROR(__xludf.DUMMYFUNCTION("""COMPUTED_VALUE"""),500000)</f>
        <v>500000</v>
      </c>
      <c r="F1852" s="22">
        <f ca="1">IFERROR(__xludf.DUMMYFUNCTION("""COMPUTED_VALUE"""),500000)</f>
        <v>500000</v>
      </c>
      <c r="G1852" s="22">
        <f ca="1">IFERROR(__xludf.DUMMYFUNCTION("""COMPUTED_VALUE"""),0)</f>
        <v>0</v>
      </c>
      <c r="H1852" s="7">
        <f ca="1">IFERROR(__xludf.DUMMYFUNCTION("""COMPUTED_VALUE"""),500000)</f>
        <v>500000</v>
      </c>
    </row>
    <row r="1853" spans="1:8" ht="13" x14ac:dyDescent="0.15">
      <c r="A1853" s="5" t="str">
        <f ca="1">IFERROR(__xludf.DUMMYFUNCTION("""COMPUTED_VALUE"""),"39494")</f>
        <v>39494</v>
      </c>
      <c r="B1853" s="51">
        <f ca="1">IFERROR(__xludf.DUMMYFUNCTION("""COMPUTED_VALUE"""),44606)</f>
        <v>44606</v>
      </c>
      <c r="C1853" s="22">
        <f ca="1">IFERROR(__xludf.DUMMYFUNCTION("""COMPUTED_VALUE"""),490869.374307)</f>
        <v>490869.37430700002</v>
      </c>
      <c r="D1853" s="22">
        <f ca="1">IFERROR(__xludf.DUMMYFUNCTION("""COMPUTED_VALUE"""),9130.625693)</f>
        <v>9130.625693</v>
      </c>
      <c r="E1853" s="22">
        <f ca="1">IFERROR(__xludf.DUMMYFUNCTION("""COMPUTED_VALUE"""),500000)</f>
        <v>500000</v>
      </c>
      <c r="F1853" s="22">
        <f ca="1">IFERROR(__xludf.DUMMYFUNCTION("""COMPUTED_VALUE"""),490869.374307)</f>
        <v>490869.37430700002</v>
      </c>
      <c r="G1853" s="22">
        <f ca="1">IFERROR(__xludf.DUMMYFUNCTION("""COMPUTED_VALUE"""),0)</f>
        <v>0</v>
      </c>
      <c r="H1853" s="7">
        <f ca="1">IFERROR(__xludf.DUMMYFUNCTION("""COMPUTED_VALUE"""),500000)</f>
        <v>500000</v>
      </c>
    </row>
    <row r="1854" spans="1:8" ht="13" x14ac:dyDescent="0.15">
      <c r="A1854" s="5" t="str">
        <f ca="1">IFERROR(__xludf.DUMMYFUNCTION("""COMPUTED_VALUE"""),"39494")</f>
        <v>39494</v>
      </c>
      <c r="B1854" s="51">
        <f ca="1">IFERROR(__xludf.DUMMYFUNCTION("""COMPUTED_VALUE"""),44607)</f>
        <v>44607</v>
      </c>
      <c r="C1854" s="22">
        <f ca="1">IFERROR(__xludf.DUMMYFUNCTION("""COMPUTED_VALUE"""),490869.374307)</f>
        <v>490869.37430700002</v>
      </c>
      <c r="D1854" s="22">
        <f ca="1">IFERROR(__xludf.DUMMYFUNCTION("""COMPUTED_VALUE"""),9257.23877855)</f>
        <v>9257.2387785499996</v>
      </c>
      <c r="E1854" s="22">
        <f ca="1">IFERROR(__xludf.DUMMYFUNCTION("""COMPUTED_VALUE"""),500126.61308555)</f>
        <v>500126.61308555002</v>
      </c>
      <c r="F1854" s="22">
        <f ca="1">IFERROR(__xludf.DUMMYFUNCTION("""COMPUTED_VALUE"""),490869.374307)</f>
        <v>490869.37430700002</v>
      </c>
      <c r="G1854" s="22">
        <f ca="1">IFERROR(__xludf.DUMMYFUNCTION("""COMPUTED_VALUE"""),0)</f>
        <v>0</v>
      </c>
      <c r="H1854" s="7">
        <f ca="1">IFERROR(__xludf.DUMMYFUNCTION("""COMPUTED_VALUE"""),500049.5928273)</f>
        <v>500049.59282730002</v>
      </c>
    </row>
    <row r="1855" spans="1:8" ht="13" x14ac:dyDescent="0.15">
      <c r="A1855" s="5" t="str">
        <f ca="1">IFERROR(__xludf.DUMMYFUNCTION("""COMPUTED_VALUE"""),"39494")</f>
        <v>39494</v>
      </c>
      <c r="B1855" s="51">
        <f ca="1">IFERROR(__xludf.DUMMYFUNCTION("""COMPUTED_VALUE"""),44608)</f>
        <v>44608</v>
      </c>
      <c r="C1855" s="22">
        <f ca="1">IFERROR(__xludf.DUMMYFUNCTION("""COMPUTED_VALUE"""),151407.215307)</f>
        <v>151407.21530700001</v>
      </c>
      <c r="D1855" s="22">
        <f ca="1">IFERROR(__xludf.DUMMYFUNCTION("""COMPUTED_VALUE"""),348496.7283)</f>
        <v>348496.72830000002</v>
      </c>
      <c r="E1855" s="22">
        <f ca="1">IFERROR(__xludf.DUMMYFUNCTION("""COMPUTED_VALUE"""),499903.943607)</f>
        <v>499903.94360699999</v>
      </c>
      <c r="F1855" s="22">
        <f ca="1">IFERROR(__xludf.DUMMYFUNCTION("""COMPUTED_VALUE"""),151407.215306999)</f>
        <v>151407.21530699899</v>
      </c>
      <c r="G1855" s="22">
        <f ca="1">IFERROR(__xludf.DUMMYFUNCTION("""COMPUTED_VALUE"""),0)</f>
        <v>0</v>
      </c>
      <c r="H1855" s="7">
        <f ca="1">IFERROR(__xludf.DUMMYFUNCTION("""COMPUTED_VALUE"""),499903.943607)</f>
        <v>499903.94360699999</v>
      </c>
    </row>
    <row r="1856" spans="1:8" ht="13" x14ac:dyDescent="0.15">
      <c r="A1856" s="5" t="str">
        <f ca="1">IFERROR(__xludf.DUMMYFUNCTION("""COMPUTED_VALUE"""),"39494")</f>
        <v>39494</v>
      </c>
      <c r="B1856" s="51">
        <f ca="1">IFERROR(__xludf.DUMMYFUNCTION("""COMPUTED_VALUE"""),44609)</f>
        <v>44609</v>
      </c>
      <c r="C1856" s="22">
        <f ca="1">IFERROR(__xludf.DUMMYFUNCTION("""COMPUTED_VALUE"""),151407.215307)</f>
        <v>151407.21530700001</v>
      </c>
      <c r="D1856" s="22">
        <f ca="1">IFERROR(__xludf.DUMMYFUNCTION("""COMPUTED_VALUE"""),331203.967591849)</f>
        <v>331203.96759184898</v>
      </c>
      <c r="E1856" s="22">
        <f ca="1">IFERROR(__xludf.DUMMYFUNCTION("""COMPUTED_VALUE"""),482611.182898849)</f>
        <v>482611.18289884902</v>
      </c>
      <c r="F1856" s="22">
        <f ca="1">IFERROR(__xludf.DUMMYFUNCTION("""COMPUTED_VALUE"""),151407.215306999)</f>
        <v>151407.21530699899</v>
      </c>
      <c r="G1856" s="22">
        <f ca="1">IFERROR(__xludf.DUMMYFUNCTION("""COMPUTED_VALUE"""),0)</f>
        <v>0</v>
      </c>
      <c r="H1856" s="7">
        <f ca="1">IFERROR(__xludf.DUMMYFUNCTION("""COMPUTED_VALUE"""),482368.40777385)</f>
        <v>482368.40777385002</v>
      </c>
    </row>
    <row r="1857" spans="1:8" ht="13" x14ac:dyDescent="0.15">
      <c r="A1857" s="5" t="str">
        <f ca="1">IFERROR(__xludf.DUMMYFUNCTION("""COMPUTED_VALUE"""),"39494")</f>
        <v>39494</v>
      </c>
      <c r="B1857" s="51">
        <f ca="1">IFERROR(__xludf.DUMMYFUNCTION("""COMPUTED_VALUE"""),44610)</f>
        <v>44610</v>
      </c>
      <c r="C1857" s="22">
        <f ca="1">IFERROR(__xludf.DUMMYFUNCTION("""COMPUTED_VALUE"""),151407.215307)</f>
        <v>151407.21530700001</v>
      </c>
      <c r="D1857" s="22">
        <f ca="1">IFERROR(__xludf.DUMMYFUNCTION("""COMPUTED_VALUE"""),324049.9026239)</f>
        <v>324049.90262389998</v>
      </c>
      <c r="E1857" s="22">
        <f ca="1">IFERROR(__xludf.DUMMYFUNCTION("""COMPUTED_VALUE"""),475457.117930899)</f>
        <v>475457.11793089902</v>
      </c>
      <c r="F1857" s="22">
        <f ca="1">IFERROR(__xludf.DUMMYFUNCTION("""COMPUTED_VALUE"""),151407.215306999)</f>
        <v>151407.21530699899</v>
      </c>
      <c r="G1857" s="22">
        <f ca="1">IFERROR(__xludf.DUMMYFUNCTION("""COMPUTED_VALUE"""),0)</f>
        <v>0</v>
      </c>
      <c r="H1857" s="7">
        <f ca="1">IFERROR(__xludf.DUMMYFUNCTION("""COMPUTED_VALUE"""),475714.5983109)</f>
        <v>475714.59831089998</v>
      </c>
    </row>
    <row r="1858" spans="1:8" ht="13" x14ac:dyDescent="0.15">
      <c r="A1858" s="5" t="str">
        <f ca="1">IFERROR(__xludf.DUMMYFUNCTION("""COMPUTED_VALUE"""),"39494")</f>
        <v>39494</v>
      </c>
      <c r="B1858" s="51">
        <f ca="1">IFERROR(__xludf.DUMMYFUNCTION("""COMPUTED_VALUE"""),44611)</f>
        <v>44611</v>
      </c>
      <c r="C1858" s="22">
        <f ca="1">IFERROR(__xludf.DUMMYFUNCTION("""COMPUTED_VALUE"""),151407.215307)</f>
        <v>151407.21530700001</v>
      </c>
      <c r="D1858" s="22">
        <f ca="1">IFERROR(__xludf.DUMMYFUNCTION("""COMPUTED_VALUE"""),324049.9026239)</f>
        <v>324049.90262389998</v>
      </c>
      <c r="E1858" s="22">
        <f ca="1">IFERROR(__xludf.DUMMYFUNCTION("""COMPUTED_VALUE"""),475457.117930899)</f>
        <v>475457.11793089902</v>
      </c>
      <c r="F1858" s="22">
        <f ca="1">IFERROR(__xludf.DUMMYFUNCTION("""COMPUTED_VALUE"""),151407.215306999)</f>
        <v>151407.21530699899</v>
      </c>
      <c r="G1858" s="22">
        <f ca="1">IFERROR(__xludf.DUMMYFUNCTION("""COMPUTED_VALUE"""),0)</f>
        <v>0</v>
      </c>
      <c r="H1858" s="7">
        <f ca="1">IFERROR(__xludf.DUMMYFUNCTION("""COMPUTED_VALUE"""),475714.5983109)</f>
        <v>475714.59831089998</v>
      </c>
    </row>
    <row r="1859" spans="1:8" ht="13" x14ac:dyDescent="0.15">
      <c r="A1859" s="5" t="str">
        <f ca="1">IFERROR(__xludf.DUMMYFUNCTION("""COMPUTED_VALUE"""),"39494")</f>
        <v>39494</v>
      </c>
      <c r="B1859" s="51">
        <f ca="1">IFERROR(__xludf.DUMMYFUNCTION("""COMPUTED_VALUE"""),44612)</f>
        <v>44612</v>
      </c>
      <c r="C1859" s="22">
        <f ca="1">IFERROR(__xludf.DUMMYFUNCTION("""COMPUTED_VALUE"""),151407.215307)</f>
        <v>151407.21530700001</v>
      </c>
      <c r="D1859" s="22">
        <f ca="1">IFERROR(__xludf.DUMMYFUNCTION("""COMPUTED_VALUE"""),324039.65382455)</f>
        <v>324039.65382454998</v>
      </c>
      <c r="E1859" s="22">
        <f ca="1">IFERROR(__xludf.DUMMYFUNCTION("""COMPUTED_VALUE"""),475446.869131549)</f>
        <v>475446.86913154903</v>
      </c>
      <c r="F1859" s="22">
        <f ca="1">IFERROR(__xludf.DUMMYFUNCTION("""COMPUTED_VALUE"""),151407.215306999)</f>
        <v>151407.21530699899</v>
      </c>
      <c r="G1859" s="22">
        <f ca="1">IFERROR(__xludf.DUMMYFUNCTION("""COMPUTED_VALUE"""),0)</f>
        <v>0</v>
      </c>
      <c r="H1859" s="7">
        <f ca="1">IFERROR(__xludf.DUMMYFUNCTION("""COMPUTED_VALUE"""),475702.65669155)</f>
        <v>475702.65669154999</v>
      </c>
    </row>
    <row r="1860" spans="1:8" ht="13" x14ac:dyDescent="0.15">
      <c r="A1860" s="5" t="str">
        <f ca="1">IFERROR(__xludf.DUMMYFUNCTION("""COMPUTED_VALUE"""),"39494")</f>
        <v>39494</v>
      </c>
      <c r="B1860" s="51">
        <f ca="1">IFERROR(__xludf.DUMMYFUNCTION("""COMPUTED_VALUE"""),44613)</f>
        <v>44613</v>
      </c>
      <c r="C1860" s="22">
        <f ca="1">IFERROR(__xludf.DUMMYFUNCTION("""COMPUTED_VALUE"""),151407.215307)</f>
        <v>151407.21530700001</v>
      </c>
      <c r="D1860" s="22">
        <f ca="1">IFERROR(__xludf.DUMMYFUNCTION("""COMPUTED_VALUE"""),324035.9210547)</f>
        <v>324035.92105469998</v>
      </c>
      <c r="E1860" s="22">
        <f ca="1">IFERROR(__xludf.DUMMYFUNCTION("""COMPUTED_VALUE"""),475443.1363617)</f>
        <v>475443.13636170002</v>
      </c>
      <c r="F1860" s="22">
        <f ca="1">IFERROR(__xludf.DUMMYFUNCTION("""COMPUTED_VALUE"""),151407.215306999)</f>
        <v>151407.21530699899</v>
      </c>
      <c r="G1860" s="22">
        <f ca="1">IFERROR(__xludf.DUMMYFUNCTION("""COMPUTED_VALUE"""),0)</f>
        <v>0</v>
      </c>
      <c r="H1860" s="7">
        <f ca="1">IFERROR(__xludf.DUMMYFUNCTION("""COMPUTED_VALUE"""),475703.7788017)</f>
        <v>475703.77880169998</v>
      </c>
    </row>
    <row r="1861" spans="1:8" ht="13" x14ac:dyDescent="0.15">
      <c r="A1861" s="5" t="str">
        <f ca="1">IFERROR(__xludf.DUMMYFUNCTION("""COMPUTED_VALUE"""),"39494")</f>
        <v>39494</v>
      </c>
      <c r="B1861" s="51">
        <f ca="1">IFERROR(__xludf.DUMMYFUNCTION("""COMPUTED_VALUE"""),44614)</f>
        <v>44614</v>
      </c>
      <c r="C1861" s="22">
        <f ca="1">IFERROR(__xludf.DUMMYFUNCTION("""COMPUTED_VALUE"""),151407.215307)</f>
        <v>151407.21530700001</v>
      </c>
      <c r="D1861" s="22">
        <f ca="1">IFERROR(__xludf.DUMMYFUNCTION("""COMPUTED_VALUE"""),320987.54696275)</f>
        <v>320987.54696275003</v>
      </c>
      <c r="E1861" s="22">
        <f ca="1">IFERROR(__xludf.DUMMYFUNCTION("""COMPUTED_VALUE"""),472394.76226975)</f>
        <v>472394.76226975</v>
      </c>
      <c r="F1861" s="22">
        <f ca="1">IFERROR(__xludf.DUMMYFUNCTION("""COMPUTED_VALUE"""),151407.215306999)</f>
        <v>151407.21530699899</v>
      </c>
      <c r="G1861" s="22">
        <f ca="1">IFERROR(__xludf.DUMMYFUNCTION("""COMPUTED_VALUE"""),0)</f>
        <v>0</v>
      </c>
      <c r="H1861" s="7">
        <f ca="1">IFERROR(__xludf.DUMMYFUNCTION("""COMPUTED_VALUE"""),472051.62726975)</f>
        <v>472051.62726975</v>
      </c>
    </row>
    <row r="1862" spans="1:8" ht="13" x14ac:dyDescent="0.15">
      <c r="A1862" s="5" t="str">
        <f ca="1">IFERROR(__xludf.DUMMYFUNCTION("""COMPUTED_VALUE"""),"39494")</f>
        <v>39494</v>
      </c>
      <c r="B1862" s="51">
        <f ca="1">IFERROR(__xludf.DUMMYFUNCTION("""COMPUTED_VALUE"""),44615)</f>
        <v>44615</v>
      </c>
      <c r="C1862" s="22">
        <f ca="1">IFERROR(__xludf.DUMMYFUNCTION("""COMPUTED_VALUE"""),151407.215307)</f>
        <v>151407.21530700001</v>
      </c>
      <c r="D1862" s="22">
        <f ca="1">IFERROR(__xludf.DUMMYFUNCTION("""COMPUTED_VALUE"""),312006.067921)</f>
        <v>312006.06792100001</v>
      </c>
      <c r="E1862" s="22">
        <f ca="1">IFERROR(__xludf.DUMMYFUNCTION("""COMPUTED_VALUE"""),463413.283228)</f>
        <v>463413.28322799999</v>
      </c>
      <c r="F1862" s="22">
        <f ca="1">IFERROR(__xludf.DUMMYFUNCTION("""COMPUTED_VALUE"""),151407.215306999)</f>
        <v>151407.21530699899</v>
      </c>
      <c r="G1862" s="22">
        <f ca="1">IFERROR(__xludf.DUMMYFUNCTION("""COMPUTED_VALUE"""),0)</f>
        <v>0</v>
      </c>
      <c r="H1862" s="7">
        <f ca="1">IFERROR(__xludf.DUMMYFUNCTION("""COMPUTED_VALUE"""),462718.833628)</f>
        <v>462718.83362799999</v>
      </c>
    </row>
    <row r="1863" spans="1:8" ht="13" x14ac:dyDescent="0.15">
      <c r="A1863" s="5" t="str">
        <f ca="1">IFERROR(__xludf.DUMMYFUNCTION("""COMPUTED_VALUE"""),"39494")</f>
        <v>39494</v>
      </c>
      <c r="B1863" s="51">
        <f ca="1">IFERROR(__xludf.DUMMYFUNCTION("""COMPUTED_VALUE"""),44616)</f>
        <v>44616</v>
      </c>
      <c r="C1863" s="22">
        <f ca="1">IFERROR(__xludf.DUMMYFUNCTION("""COMPUTED_VALUE"""),151407.215307)</f>
        <v>151407.21530700001</v>
      </c>
      <c r="D1863" s="22">
        <f ca="1">IFERROR(__xludf.DUMMYFUNCTION("""COMPUTED_VALUE"""),323509.815629999)</f>
        <v>323509.81562999898</v>
      </c>
      <c r="E1863" s="22">
        <f ca="1">IFERROR(__xludf.DUMMYFUNCTION("""COMPUTED_VALUE"""),474917.030936999)</f>
        <v>474917.03093699901</v>
      </c>
      <c r="F1863" s="22">
        <f ca="1">IFERROR(__xludf.DUMMYFUNCTION("""COMPUTED_VALUE"""),151407.215306999)</f>
        <v>151407.21530699899</v>
      </c>
      <c r="G1863" s="22">
        <f ca="1">IFERROR(__xludf.DUMMYFUNCTION("""COMPUTED_VALUE"""),0)</f>
        <v>0</v>
      </c>
      <c r="H1863" s="7">
        <f ca="1">IFERROR(__xludf.DUMMYFUNCTION("""COMPUTED_VALUE"""),474026.174687)</f>
        <v>474026.17468699999</v>
      </c>
    </row>
    <row r="1864" spans="1:8" ht="13" x14ac:dyDescent="0.15">
      <c r="A1864" s="5" t="str">
        <f ca="1">IFERROR(__xludf.DUMMYFUNCTION("""COMPUTED_VALUE"""),"39494")</f>
        <v>39494</v>
      </c>
      <c r="B1864" s="51">
        <f ca="1">IFERROR(__xludf.DUMMYFUNCTION("""COMPUTED_VALUE"""),44617)</f>
        <v>44617</v>
      </c>
      <c r="C1864" s="22">
        <f ca="1">IFERROR(__xludf.DUMMYFUNCTION("""COMPUTED_VALUE"""),151407.215307)</f>
        <v>151407.21530700001</v>
      </c>
      <c r="D1864" s="22">
        <f ca="1">IFERROR(__xludf.DUMMYFUNCTION("""COMPUTED_VALUE"""),328489.804054849)</f>
        <v>328489.80405484902</v>
      </c>
      <c r="E1864" s="22">
        <f ca="1">IFERROR(__xludf.DUMMYFUNCTION("""COMPUTED_VALUE"""),479897.01936185)</f>
        <v>479897.01936184999</v>
      </c>
      <c r="F1864" s="22">
        <f ca="1">IFERROR(__xludf.DUMMYFUNCTION("""COMPUTED_VALUE"""),151407.215306999)</f>
        <v>151407.21530699899</v>
      </c>
      <c r="G1864" s="22">
        <f ca="1">IFERROR(__xludf.DUMMYFUNCTION("""COMPUTED_VALUE"""),0)</f>
        <v>0</v>
      </c>
      <c r="H1864" s="7">
        <f ca="1">IFERROR(__xludf.DUMMYFUNCTION("""COMPUTED_VALUE"""),478885.250366849)</f>
        <v>478885.25036684901</v>
      </c>
    </row>
    <row r="1865" spans="1:8" ht="13" x14ac:dyDescent="0.15">
      <c r="A1865" s="5" t="str">
        <f ca="1">IFERROR(__xludf.DUMMYFUNCTION("""COMPUTED_VALUE"""),"39494")</f>
        <v>39494</v>
      </c>
      <c r="B1865" s="51">
        <f ca="1">IFERROR(__xludf.DUMMYFUNCTION("""COMPUTED_VALUE"""),44618)</f>
        <v>44618</v>
      </c>
      <c r="C1865" s="22">
        <f ca="1">IFERROR(__xludf.DUMMYFUNCTION("""COMPUTED_VALUE"""),151407.215307)</f>
        <v>151407.21530700001</v>
      </c>
      <c r="D1865" s="22">
        <f ca="1">IFERROR(__xludf.DUMMYFUNCTION("""COMPUTED_VALUE"""),328494.57008185)</f>
        <v>328494.57008184999</v>
      </c>
      <c r="E1865" s="22">
        <f ca="1">IFERROR(__xludf.DUMMYFUNCTION("""COMPUTED_VALUE"""),479901.78538885)</f>
        <v>479901.78538885002</v>
      </c>
      <c r="F1865" s="22">
        <f ca="1">IFERROR(__xludf.DUMMYFUNCTION("""COMPUTED_VALUE"""),151407.215306999)</f>
        <v>151407.21530699899</v>
      </c>
      <c r="G1865" s="22">
        <f ca="1">IFERROR(__xludf.DUMMYFUNCTION("""COMPUTED_VALUE"""),0)</f>
        <v>0</v>
      </c>
      <c r="H1865" s="7">
        <f ca="1">IFERROR(__xludf.DUMMYFUNCTION("""COMPUTED_VALUE"""),478890.949243849)</f>
        <v>478890.94924384903</v>
      </c>
    </row>
    <row r="1866" spans="1:8" ht="13" x14ac:dyDescent="0.15">
      <c r="A1866" s="5" t="str">
        <f ca="1">IFERROR(__xludf.DUMMYFUNCTION("""COMPUTED_VALUE"""),"39494")</f>
        <v>39494</v>
      </c>
      <c r="B1866" s="51">
        <f ca="1">IFERROR(__xludf.DUMMYFUNCTION("""COMPUTED_VALUE"""),44619)</f>
        <v>44619</v>
      </c>
      <c r="C1866" s="22">
        <f ca="1">IFERROR(__xludf.DUMMYFUNCTION("""COMPUTED_VALUE"""),151407.215307)</f>
        <v>151407.21530700001</v>
      </c>
      <c r="D1866" s="22">
        <f ca="1">IFERROR(__xludf.DUMMYFUNCTION("""COMPUTED_VALUE"""),328466.558872499)</f>
        <v>328466.55887249898</v>
      </c>
      <c r="E1866" s="22">
        <f ca="1">IFERROR(__xludf.DUMMYFUNCTION("""COMPUTED_VALUE"""),479873.774179499)</f>
        <v>479873.77417949901</v>
      </c>
      <c r="F1866" s="22">
        <f ca="1">IFERROR(__xludf.DUMMYFUNCTION("""COMPUTED_VALUE"""),151407.215306999)</f>
        <v>151407.21530699899</v>
      </c>
      <c r="G1866" s="22">
        <f ca="1">IFERROR(__xludf.DUMMYFUNCTION("""COMPUTED_VALUE"""),0)</f>
        <v>0</v>
      </c>
      <c r="H1866" s="7">
        <f ca="1">IFERROR(__xludf.DUMMYFUNCTION("""COMPUTED_VALUE"""),478860.792479499)</f>
        <v>478860.79247949901</v>
      </c>
    </row>
    <row r="1867" spans="1:8" ht="13" x14ac:dyDescent="0.15">
      <c r="A1867" s="5" t="str">
        <f ca="1">IFERROR(__xludf.DUMMYFUNCTION("""COMPUTED_VALUE"""),"39494")</f>
        <v>39494</v>
      </c>
      <c r="B1867" s="51">
        <f ca="1">IFERROR(__xludf.DUMMYFUNCTION("""COMPUTED_VALUE"""),44620)</f>
        <v>44620</v>
      </c>
      <c r="C1867" s="22">
        <f ca="1">IFERROR(__xludf.DUMMYFUNCTION("""COMPUTED_VALUE"""),151407.215307)</f>
        <v>151407.21530700001</v>
      </c>
      <c r="D1867" s="22">
        <f ca="1">IFERROR(__xludf.DUMMYFUNCTION("""COMPUTED_VALUE"""),329336.633060249)</f>
        <v>329336.63306024898</v>
      </c>
      <c r="E1867" s="22">
        <f ca="1">IFERROR(__xludf.DUMMYFUNCTION("""COMPUTED_VALUE"""),480743.848367249)</f>
        <v>480743.84836724901</v>
      </c>
      <c r="F1867" s="22">
        <f ca="1">IFERROR(__xludf.DUMMYFUNCTION("""COMPUTED_VALUE"""),151407.215306999)</f>
        <v>151407.21530699899</v>
      </c>
      <c r="G1867" s="22">
        <f ca="1">IFERROR(__xludf.DUMMYFUNCTION("""COMPUTED_VALUE"""),0)</f>
        <v>0</v>
      </c>
      <c r="H1867" s="7">
        <f ca="1">IFERROR(__xludf.DUMMYFUNCTION("""COMPUTED_VALUE"""),480841.772517249)</f>
        <v>480841.77251724899</v>
      </c>
    </row>
    <row r="1868" spans="1:8" ht="13" x14ac:dyDescent="0.15">
      <c r="A1868" s="5" t="str">
        <f ca="1">IFERROR(__xludf.DUMMYFUNCTION("""COMPUTED_VALUE"""),"39494")</f>
        <v>39494</v>
      </c>
      <c r="B1868" s="51">
        <f ca="1">IFERROR(__xludf.DUMMYFUNCTION("""COMPUTED_VALUE"""),44621)</f>
        <v>44621</v>
      </c>
      <c r="C1868" s="22">
        <f ca="1">IFERROR(__xludf.DUMMYFUNCTION("""COMPUTED_VALUE"""),151407.215307)</f>
        <v>151407.21530700001</v>
      </c>
      <c r="D1868" s="22">
        <f ca="1">IFERROR(__xludf.DUMMYFUNCTION("""COMPUTED_VALUE"""),320867.97055525)</f>
        <v>320867.97055525001</v>
      </c>
      <c r="E1868" s="22">
        <f ca="1">IFERROR(__xludf.DUMMYFUNCTION("""COMPUTED_VALUE"""),472275.18586225)</f>
        <v>472275.18586224999</v>
      </c>
      <c r="F1868" s="22">
        <f ca="1">IFERROR(__xludf.DUMMYFUNCTION("""COMPUTED_VALUE"""),151407.215306999)</f>
        <v>151407.21530699899</v>
      </c>
      <c r="G1868" s="22">
        <f ca="1">IFERROR(__xludf.DUMMYFUNCTION("""COMPUTED_VALUE"""),0)</f>
        <v>0</v>
      </c>
      <c r="H1868" s="7">
        <f ca="1">IFERROR(__xludf.DUMMYFUNCTION("""COMPUTED_VALUE"""),471755.00054225)</f>
        <v>471755.00054225</v>
      </c>
    </row>
    <row r="1869" spans="1:8" ht="13" x14ac:dyDescent="0.15">
      <c r="A1869" s="5" t="str">
        <f ca="1">IFERROR(__xludf.DUMMYFUNCTION("""COMPUTED_VALUE"""),"39494")</f>
        <v>39494</v>
      </c>
      <c r="B1869" s="51">
        <f ca="1">IFERROR(__xludf.DUMMYFUNCTION("""COMPUTED_VALUE"""),44622)</f>
        <v>44622</v>
      </c>
      <c r="C1869" s="22">
        <f ca="1">IFERROR(__xludf.DUMMYFUNCTION("""COMPUTED_VALUE"""),151407.215307)</f>
        <v>151407.21530700001</v>
      </c>
      <c r="D1869" s="22">
        <f ca="1">IFERROR(__xludf.DUMMYFUNCTION("""COMPUTED_VALUE"""),327417.440671499)</f>
        <v>327417.440671499</v>
      </c>
      <c r="E1869" s="22">
        <f ca="1">IFERROR(__xludf.DUMMYFUNCTION("""COMPUTED_VALUE"""),478824.655978499)</f>
        <v>478824.65597849898</v>
      </c>
      <c r="F1869" s="22">
        <f ca="1">IFERROR(__xludf.DUMMYFUNCTION("""COMPUTED_VALUE"""),151407.215306999)</f>
        <v>151407.21530699899</v>
      </c>
      <c r="G1869" s="22">
        <f ca="1">IFERROR(__xludf.DUMMYFUNCTION("""COMPUTED_VALUE"""),0)</f>
        <v>0</v>
      </c>
      <c r="H1869" s="7">
        <f ca="1">IFERROR(__xludf.DUMMYFUNCTION("""COMPUTED_VALUE"""),478722.595928499)</f>
        <v>478722.59592849901</v>
      </c>
    </row>
    <row r="1870" spans="1:8" ht="13" x14ac:dyDescent="0.15">
      <c r="A1870" s="5" t="str">
        <f ca="1">IFERROR(__xludf.DUMMYFUNCTION("""COMPUTED_VALUE"""),"39494")</f>
        <v>39494</v>
      </c>
      <c r="B1870" s="51">
        <f ca="1">IFERROR(__xludf.DUMMYFUNCTION("""COMPUTED_VALUE"""),44623)</f>
        <v>44623</v>
      </c>
      <c r="C1870" s="22">
        <f ca="1">IFERROR(__xludf.DUMMYFUNCTION("""COMPUTED_VALUE"""),151407.215307)</f>
        <v>151407.21530700001</v>
      </c>
      <c r="D1870" s="22">
        <f ca="1">IFERROR(__xludf.DUMMYFUNCTION("""COMPUTED_VALUE"""),322102.443600999)</f>
        <v>322102.44360099902</v>
      </c>
      <c r="E1870" s="22">
        <f ca="1">IFERROR(__xludf.DUMMYFUNCTION("""COMPUTED_VALUE"""),473509.658908)</f>
        <v>473509.65890799998</v>
      </c>
      <c r="F1870" s="22">
        <f ca="1">IFERROR(__xludf.DUMMYFUNCTION("""COMPUTED_VALUE"""),151407.215306999)</f>
        <v>151407.21530699899</v>
      </c>
      <c r="G1870" s="22">
        <f ca="1">IFERROR(__xludf.DUMMYFUNCTION("""COMPUTED_VALUE"""),0)</f>
        <v>0</v>
      </c>
      <c r="H1870" s="7">
        <f ca="1">IFERROR(__xludf.DUMMYFUNCTION("""COMPUTED_VALUE"""),473638.471557999)</f>
        <v>473638.47155799897</v>
      </c>
    </row>
    <row r="1871" spans="1:8" ht="13" x14ac:dyDescent="0.15">
      <c r="A1871" s="5" t="str">
        <f ca="1">IFERROR(__xludf.DUMMYFUNCTION("""COMPUTED_VALUE"""),"39494")</f>
        <v>39494</v>
      </c>
      <c r="B1871" s="51">
        <f ca="1">IFERROR(__xludf.DUMMYFUNCTION("""COMPUTED_VALUE"""),44624)</f>
        <v>44624</v>
      </c>
      <c r="C1871" s="22">
        <f ca="1">IFERROR(__xludf.DUMMYFUNCTION("""COMPUTED_VALUE"""),151407.215307)</f>
        <v>151407.21530700001</v>
      </c>
      <c r="D1871" s="22">
        <f ca="1">IFERROR(__xludf.DUMMYFUNCTION("""COMPUTED_VALUE"""),314326.4182519)</f>
        <v>314326.4182519</v>
      </c>
      <c r="E1871" s="22">
        <f ca="1">IFERROR(__xludf.DUMMYFUNCTION("""COMPUTED_VALUE"""),465733.6335589)</f>
        <v>465733.63355889998</v>
      </c>
      <c r="F1871" s="22">
        <f ca="1">IFERROR(__xludf.DUMMYFUNCTION("""COMPUTED_VALUE"""),151407.215306999)</f>
        <v>151407.21530699899</v>
      </c>
      <c r="G1871" s="22">
        <f ca="1">IFERROR(__xludf.DUMMYFUNCTION("""COMPUTED_VALUE"""),0)</f>
        <v>0</v>
      </c>
      <c r="H1871" s="7">
        <f ca="1">IFERROR(__xludf.DUMMYFUNCTION("""COMPUTED_VALUE"""),465664.9198589)</f>
        <v>465664.91985890002</v>
      </c>
    </row>
    <row r="1872" spans="1:8" ht="13" x14ac:dyDescent="0.15">
      <c r="A1872" s="5" t="str">
        <f ca="1">IFERROR(__xludf.DUMMYFUNCTION("""COMPUTED_VALUE"""),"39494")</f>
        <v>39494</v>
      </c>
      <c r="B1872" s="51">
        <f ca="1">IFERROR(__xludf.DUMMYFUNCTION("""COMPUTED_VALUE"""),44625)</f>
        <v>44625</v>
      </c>
      <c r="C1872" s="22">
        <f ca="1">IFERROR(__xludf.DUMMYFUNCTION("""COMPUTED_VALUE"""),151407.215307)</f>
        <v>151407.21530700001</v>
      </c>
      <c r="D1872" s="22">
        <f ca="1">IFERROR(__xludf.DUMMYFUNCTION("""COMPUTED_VALUE"""),314326.4485424)</f>
        <v>314326.44854239997</v>
      </c>
      <c r="E1872" s="22">
        <f ca="1">IFERROR(__xludf.DUMMYFUNCTION("""COMPUTED_VALUE"""),465733.6638494)</f>
        <v>465733.66384940001</v>
      </c>
      <c r="F1872" s="22">
        <f ca="1">IFERROR(__xludf.DUMMYFUNCTION("""COMPUTED_VALUE"""),151407.215306999)</f>
        <v>151407.21530699899</v>
      </c>
      <c r="G1872" s="22">
        <f ca="1">IFERROR(__xludf.DUMMYFUNCTION("""COMPUTED_VALUE"""),0)</f>
        <v>0</v>
      </c>
      <c r="H1872" s="7">
        <f ca="1">IFERROR(__xludf.DUMMYFUNCTION("""COMPUTED_VALUE"""),465664.9501494)</f>
        <v>465664.95014939999</v>
      </c>
    </row>
    <row r="1873" spans="1:8" ht="13" x14ac:dyDescent="0.15">
      <c r="A1873" s="5" t="str">
        <f ca="1">IFERROR(__xludf.DUMMYFUNCTION("""COMPUTED_VALUE"""),"39494")</f>
        <v>39494</v>
      </c>
      <c r="B1873" s="51">
        <f ca="1">IFERROR(__xludf.DUMMYFUNCTION("""COMPUTED_VALUE"""),44626)</f>
        <v>44626</v>
      </c>
      <c r="C1873" s="22">
        <f ca="1">IFERROR(__xludf.DUMMYFUNCTION("""COMPUTED_VALUE"""),151407.215307)</f>
        <v>151407.21530700001</v>
      </c>
      <c r="D1873" s="22">
        <f ca="1">IFERROR(__xludf.DUMMYFUNCTION("""COMPUTED_VALUE"""),314353.7708394)</f>
        <v>314353.77083940001</v>
      </c>
      <c r="E1873" s="22">
        <f ca="1">IFERROR(__xludf.DUMMYFUNCTION("""COMPUTED_VALUE"""),465760.9861464)</f>
        <v>465760.98614639998</v>
      </c>
      <c r="F1873" s="22">
        <f ca="1">IFERROR(__xludf.DUMMYFUNCTION("""COMPUTED_VALUE"""),151407.215306999)</f>
        <v>151407.21530699899</v>
      </c>
      <c r="G1873" s="22">
        <f ca="1">IFERROR(__xludf.DUMMYFUNCTION("""COMPUTED_VALUE"""),0)</f>
        <v>0</v>
      </c>
      <c r="H1873" s="7">
        <f ca="1">IFERROR(__xludf.DUMMYFUNCTION("""COMPUTED_VALUE"""),465699.0825714)</f>
        <v>465699.08257139998</v>
      </c>
    </row>
    <row r="1874" spans="1:8" ht="13" x14ac:dyDescent="0.15">
      <c r="A1874" s="5" t="str">
        <f ca="1">IFERROR(__xludf.DUMMYFUNCTION("""COMPUTED_VALUE"""),"39494")</f>
        <v>39494</v>
      </c>
      <c r="B1874" s="51">
        <f ca="1">IFERROR(__xludf.DUMMYFUNCTION("""COMPUTED_VALUE"""),44627)</f>
        <v>44627</v>
      </c>
      <c r="C1874" s="22">
        <f ca="1">IFERROR(__xludf.DUMMYFUNCTION("""COMPUTED_VALUE"""),151407.215307)</f>
        <v>151407.21530700001</v>
      </c>
      <c r="D1874" s="22">
        <f ca="1">IFERROR(__xludf.DUMMYFUNCTION("""COMPUTED_VALUE"""),299716.7392965)</f>
        <v>299716.73929649999</v>
      </c>
      <c r="E1874" s="22">
        <f ca="1">IFERROR(__xludf.DUMMYFUNCTION("""COMPUTED_VALUE"""),451123.9546035)</f>
        <v>451123.95460350002</v>
      </c>
      <c r="F1874" s="22">
        <f ca="1">IFERROR(__xludf.DUMMYFUNCTION("""COMPUTED_VALUE"""),151407.215306999)</f>
        <v>151407.21530699899</v>
      </c>
      <c r="G1874" s="22">
        <f ca="1">IFERROR(__xludf.DUMMYFUNCTION("""COMPUTED_VALUE"""),0)</f>
        <v>0</v>
      </c>
      <c r="H1874" s="7">
        <f ca="1">IFERROR(__xludf.DUMMYFUNCTION("""COMPUTED_VALUE"""),449698.4080035)</f>
        <v>449698.40800350002</v>
      </c>
    </row>
    <row r="1875" spans="1:8" ht="13" x14ac:dyDescent="0.15">
      <c r="A1875" s="5" t="str">
        <f ca="1">IFERROR(__xludf.DUMMYFUNCTION("""COMPUTED_VALUE"""),"39494")</f>
        <v>39494</v>
      </c>
      <c r="B1875" s="51">
        <f ca="1">IFERROR(__xludf.DUMMYFUNCTION("""COMPUTED_VALUE"""),44628)</f>
        <v>44628</v>
      </c>
      <c r="C1875" s="22">
        <f ca="1">IFERROR(__xludf.DUMMYFUNCTION("""COMPUTED_VALUE"""),151407.215307)</f>
        <v>151407.21530700001</v>
      </c>
      <c r="D1875" s="22">
        <f ca="1">IFERROR(__xludf.DUMMYFUNCTION("""COMPUTED_VALUE"""),302119.45446125)</f>
        <v>302119.45446124999</v>
      </c>
      <c r="E1875" s="22">
        <f ca="1">IFERROR(__xludf.DUMMYFUNCTION("""COMPUTED_VALUE"""),453526.669768249)</f>
        <v>453526.66976824898</v>
      </c>
      <c r="F1875" s="22">
        <f ca="1">IFERROR(__xludf.DUMMYFUNCTION("""COMPUTED_VALUE"""),151407.215306999)</f>
        <v>151407.21530699899</v>
      </c>
      <c r="G1875" s="22">
        <f ca="1">IFERROR(__xludf.DUMMYFUNCTION("""COMPUTED_VALUE"""),0)</f>
        <v>0</v>
      </c>
      <c r="H1875" s="7">
        <f ca="1">IFERROR(__xludf.DUMMYFUNCTION("""COMPUTED_VALUE"""),451431.30846825)</f>
        <v>451431.30846824998</v>
      </c>
    </row>
    <row r="1876" spans="1:8" ht="13" x14ac:dyDescent="0.15">
      <c r="A1876" s="5" t="str">
        <f ca="1">IFERROR(__xludf.DUMMYFUNCTION("""COMPUTED_VALUE"""),"39494")</f>
        <v>39494</v>
      </c>
      <c r="B1876" s="51">
        <f ca="1">IFERROR(__xludf.DUMMYFUNCTION("""COMPUTED_VALUE"""),44629)</f>
        <v>44629</v>
      </c>
      <c r="C1876" s="22">
        <f ca="1">IFERROR(__xludf.DUMMYFUNCTION("""COMPUTED_VALUE"""),151407.215307)</f>
        <v>151407.21530700001</v>
      </c>
      <c r="D1876" s="22">
        <f ca="1">IFERROR(__xludf.DUMMYFUNCTION("""COMPUTED_VALUE"""),314984.4377)</f>
        <v>314984.43770000001</v>
      </c>
      <c r="E1876" s="22">
        <f ca="1">IFERROR(__xludf.DUMMYFUNCTION("""COMPUTED_VALUE"""),466391.653007)</f>
        <v>466391.65300699999</v>
      </c>
      <c r="F1876" s="22">
        <f ca="1">IFERROR(__xludf.DUMMYFUNCTION("""COMPUTED_VALUE"""),151407.215306999)</f>
        <v>151407.21530699899</v>
      </c>
      <c r="G1876" s="22">
        <f ca="1">IFERROR(__xludf.DUMMYFUNCTION("""COMPUTED_VALUE"""),0)</f>
        <v>0</v>
      </c>
      <c r="H1876" s="7">
        <f ca="1">IFERROR(__xludf.DUMMYFUNCTION("""COMPUTED_VALUE"""),466159.574007)</f>
        <v>466159.57400700002</v>
      </c>
    </row>
    <row r="1877" spans="1:8" ht="13" x14ac:dyDescent="0.15">
      <c r="A1877" s="5" t="str">
        <f ca="1">IFERROR(__xludf.DUMMYFUNCTION("""COMPUTED_VALUE"""),"39494")</f>
        <v>39494</v>
      </c>
      <c r="B1877" s="51">
        <f ca="1">IFERROR(__xludf.DUMMYFUNCTION("""COMPUTED_VALUE"""),44630)</f>
        <v>44630</v>
      </c>
      <c r="C1877" s="22">
        <f ca="1">IFERROR(__xludf.DUMMYFUNCTION("""COMPUTED_VALUE"""),151407.215307)</f>
        <v>151407.21530700001</v>
      </c>
      <c r="D1877" s="22">
        <f ca="1">IFERROR(__xludf.DUMMYFUNCTION("""COMPUTED_VALUE"""),315057.587484999)</f>
        <v>315057.58748499898</v>
      </c>
      <c r="E1877" s="22">
        <f ca="1">IFERROR(__xludf.DUMMYFUNCTION("""COMPUTED_VALUE"""),466464.802792)</f>
        <v>466464.802792</v>
      </c>
      <c r="F1877" s="22">
        <f ca="1">IFERROR(__xludf.DUMMYFUNCTION("""COMPUTED_VALUE"""),151407.215306999)</f>
        <v>151407.21530699899</v>
      </c>
      <c r="G1877" s="22">
        <f ca="1">IFERROR(__xludf.DUMMYFUNCTION("""COMPUTED_VALUE"""),0)</f>
        <v>0</v>
      </c>
      <c r="H1877" s="7">
        <f ca="1">IFERROR(__xludf.DUMMYFUNCTION("""COMPUTED_VALUE"""),466254.808791999)</f>
        <v>466254.80879199901</v>
      </c>
    </row>
    <row r="1878" spans="1:8" ht="13" x14ac:dyDescent="0.15">
      <c r="A1878" s="5" t="str">
        <f ca="1">IFERROR(__xludf.DUMMYFUNCTION("""COMPUTED_VALUE"""),"39494")</f>
        <v>39494</v>
      </c>
      <c r="B1878" s="51">
        <f ca="1">IFERROR(__xludf.DUMMYFUNCTION("""COMPUTED_VALUE"""),44631)</f>
        <v>44631</v>
      </c>
      <c r="C1878" s="22">
        <f ca="1">IFERROR(__xludf.DUMMYFUNCTION("""COMPUTED_VALUE"""),151407.215307)</f>
        <v>151407.21530700001</v>
      </c>
      <c r="D1878" s="22">
        <f ca="1">IFERROR(__xludf.DUMMYFUNCTION("""COMPUTED_VALUE"""),307129.98554025)</f>
        <v>307129.98554025003</v>
      </c>
      <c r="E1878" s="22">
        <f ca="1">IFERROR(__xludf.DUMMYFUNCTION("""COMPUTED_VALUE"""),458537.20084725)</f>
        <v>458537.20084725</v>
      </c>
      <c r="F1878" s="22">
        <f ca="1">IFERROR(__xludf.DUMMYFUNCTION("""COMPUTED_VALUE"""),151407.215306999)</f>
        <v>151407.21530699899</v>
      </c>
      <c r="G1878" s="22">
        <f ca="1">IFERROR(__xludf.DUMMYFUNCTION("""COMPUTED_VALUE"""),0)</f>
        <v>0</v>
      </c>
      <c r="H1878" s="7">
        <f ca="1">IFERROR(__xludf.DUMMYFUNCTION("""COMPUTED_VALUE"""),457883.739347249)</f>
        <v>457883.73934724898</v>
      </c>
    </row>
    <row r="1879" spans="1:8" ht="13" x14ac:dyDescent="0.15">
      <c r="A1879" s="5" t="str">
        <f ca="1">IFERROR(__xludf.DUMMYFUNCTION("""COMPUTED_VALUE"""),"39494")</f>
        <v>39494</v>
      </c>
      <c r="B1879" s="51">
        <f ca="1">IFERROR(__xludf.DUMMYFUNCTION("""COMPUTED_VALUE"""),44632)</f>
        <v>44632</v>
      </c>
      <c r="C1879" s="22">
        <f ca="1">IFERROR(__xludf.DUMMYFUNCTION("""COMPUTED_VALUE"""),151407.215307)</f>
        <v>151407.21530700001</v>
      </c>
      <c r="D1879" s="22">
        <f ca="1">IFERROR(__xludf.DUMMYFUNCTION("""COMPUTED_VALUE"""),307129.98554025)</f>
        <v>307129.98554025003</v>
      </c>
      <c r="E1879" s="22">
        <f ca="1">IFERROR(__xludf.DUMMYFUNCTION("""COMPUTED_VALUE"""),458537.20084725)</f>
        <v>458537.20084725</v>
      </c>
      <c r="F1879" s="22">
        <f ca="1">IFERROR(__xludf.DUMMYFUNCTION("""COMPUTED_VALUE"""),151407.215306999)</f>
        <v>151407.21530699899</v>
      </c>
      <c r="G1879" s="22">
        <f ca="1">IFERROR(__xludf.DUMMYFUNCTION("""COMPUTED_VALUE"""),0)</f>
        <v>0</v>
      </c>
      <c r="H1879" s="7">
        <f ca="1">IFERROR(__xludf.DUMMYFUNCTION("""COMPUTED_VALUE"""),457883.739347249)</f>
        <v>457883.73934724898</v>
      </c>
    </row>
    <row r="1880" spans="1:8" ht="13" x14ac:dyDescent="0.15">
      <c r="A1880" s="5" t="str">
        <f ca="1">IFERROR(__xludf.DUMMYFUNCTION("""COMPUTED_VALUE"""),"39494")</f>
        <v>39494</v>
      </c>
      <c r="B1880" s="51">
        <f ca="1">IFERROR(__xludf.DUMMYFUNCTION("""COMPUTED_VALUE"""),44633)</f>
        <v>44633</v>
      </c>
      <c r="C1880" s="22">
        <f ca="1">IFERROR(__xludf.DUMMYFUNCTION("""COMPUTED_VALUE"""),151407.215307)</f>
        <v>151407.21530700001</v>
      </c>
      <c r="D1880" s="22">
        <f ca="1">IFERROR(__xludf.DUMMYFUNCTION("""COMPUTED_VALUE"""),307112.2097418)</f>
        <v>307112.20974179998</v>
      </c>
      <c r="E1880" s="22">
        <f ca="1">IFERROR(__xludf.DUMMYFUNCTION("""COMPUTED_VALUE"""),458519.425048799)</f>
        <v>458519.42504879902</v>
      </c>
      <c r="F1880" s="22">
        <f ca="1">IFERROR(__xludf.DUMMYFUNCTION("""COMPUTED_VALUE"""),151407.215306999)</f>
        <v>151407.21530699899</v>
      </c>
      <c r="G1880" s="22">
        <f ca="1">IFERROR(__xludf.DUMMYFUNCTION("""COMPUTED_VALUE"""),0)</f>
        <v>0</v>
      </c>
      <c r="H1880" s="7">
        <f ca="1">IFERROR(__xludf.DUMMYFUNCTION("""COMPUTED_VALUE"""),457861.777388799)</f>
        <v>457861.777388799</v>
      </c>
    </row>
    <row r="1881" spans="1:8" ht="13" x14ac:dyDescent="0.15">
      <c r="A1881" s="5" t="str">
        <f ca="1">IFERROR(__xludf.DUMMYFUNCTION("""COMPUTED_VALUE"""),"39494")</f>
        <v>39494</v>
      </c>
      <c r="B1881" s="51">
        <f ca="1">IFERROR(__xludf.DUMMYFUNCTION("""COMPUTED_VALUE"""),44634)</f>
        <v>44634</v>
      </c>
      <c r="C1881" s="22">
        <f ca="1">IFERROR(__xludf.DUMMYFUNCTION("""COMPUTED_VALUE"""),151407.215307)</f>
        <v>151407.21530700001</v>
      </c>
      <c r="D1881" s="22">
        <f ca="1">IFERROR(__xludf.DUMMYFUNCTION("""COMPUTED_VALUE"""),299008.265008)</f>
        <v>299008.26500800002</v>
      </c>
      <c r="E1881" s="22">
        <f ca="1">IFERROR(__xludf.DUMMYFUNCTION("""COMPUTED_VALUE"""),450415.480315)</f>
        <v>450415.48031499999</v>
      </c>
      <c r="F1881" s="22">
        <f ca="1">IFERROR(__xludf.DUMMYFUNCTION("""COMPUTED_VALUE"""),151407.215306999)</f>
        <v>151407.21530699899</v>
      </c>
      <c r="G1881" s="22">
        <f ca="1">IFERROR(__xludf.DUMMYFUNCTION("""COMPUTED_VALUE"""),0)</f>
        <v>0</v>
      </c>
      <c r="H1881" s="7">
        <f ca="1">IFERROR(__xludf.DUMMYFUNCTION("""COMPUTED_VALUE"""),448813.117564999)</f>
        <v>448813.11756499897</v>
      </c>
    </row>
    <row r="1882" spans="1:8" ht="13" x14ac:dyDescent="0.15">
      <c r="A1882" s="5" t="str">
        <f ca="1">IFERROR(__xludf.DUMMYFUNCTION("""COMPUTED_VALUE"""),"39494")</f>
        <v>39494</v>
      </c>
      <c r="B1882" s="51">
        <f ca="1">IFERROR(__xludf.DUMMYFUNCTION("""COMPUTED_VALUE"""),44635)</f>
        <v>44635</v>
      </c>
      <c r="C1882" s="22">
        <f ca="1">IFERROR(__xludf.DUMMYFUNCTION("""COMPUTED_VALUE"""),151407.215307)</f>
        <v>151407.21530700001</v>
      </c>
      <c r="D1882" s="22">
        <f ca="1">IFERROR(__xludf.DUMMYFUNCTION("""COMPUTED_VALUE"""),314528.4350275)</f>
        <v>314528.43502749997</v>
      </c>
      <c r="E1882" s="22">
        <f ca="1">IFERROR(__xludf.DUMMYFUNCTION("""COMPUTED_VALUE"""),465935.6503345)</f>
        <v>465935.65033450001</v>
      </c>
      <c r="F1882" s="22">
        <f ca="1">IFERROR(__xludf.DUMMYFUNCTION("""COMPUTED_VALUE"""),151407.215306999)</f>
        <v>151407.21530699899</v>
      </c>
      <c r="G1882" s="22">
        <f ca="1">IFERROR(__xludf.DUMMYFUNCTION("""COMPUTED_VALUE"""),0)</f>
        <v>0</v>
      </c>
      <c r="H1882" s="7">
        <f ca="1">IFERROR(__xludf.DUMMYFUNCTION("""COMPUTED_VALUE"""),464264.4068345)</f>
        <v>464264.40683450003</v>
      </c>
    </row>
    <row r="1883" spans="1:8" ht="13" x14ac:dyDescent="0.15">
      <c r="A1883" s="5" t="str">
        <f ca="1">IFERROR(__xludf.DUMMYFUNCTION("""COMPUTED_VALUE"""),"39494")</f>
        <v>39494</v>
      </c>
      <c r="B1883" s="51">
        <f ca="1">IFERROR(__xludf.DUMMYFUNCTION("""COMPUTED_VALUE"""),44636)</f>
        <v>44636</v>
      </c>
      <c r="C1883" s="22">
        <f ca="1">IFERROR(__xludf.DUMMYFUNCTION("""COMPUTED_VALUE"""),151407.215307)</f>
        <v>151407.21530700001</v>
      </c>
      <c r="D1883" s="22">
        <f ca="1">IFERROR(__xludf.DUMMYFUNCTION("""COMPUTED_VALUE"""),330124.3911335)</f>
        <v>330124.39113349997</v>
      </c>
      <c r="E1883" s="22">
        <f ca="1">IFERROR(__xludf.DUMMYFUNCTION("""COMPUTED_VALUE"""),481531.6064405)</f>
        <v>481531.60644050001</v>
      </c>
      <c r="F1883" s="22">
        <f ca="1">IFERROR(__xludf.DUMMYFUNCTION("""COMPUTED_VALUE"""),151407.215306999)</f>
        <v>151407.21530699899</v>
      </c>
      <c r="G1883" s="22">
        <f ca="1">IFERROR(__xludf.DUMMYFUNCTION("""COMPUTED_VALUE"""),0)</f>
        <v>0</v>
      </c>
      <c r="H1883" s="7">
        <f ca="1">IFERROR(__xludf.DUMMYFUNCTION("""COMPUTED_VALUE"""),481838.896840499)</f>
        <v>481838.89684049902</v>
      </c>
    </row>
    <row r="1884" spans="1:8" ht="13" x14ac:dyDescent="0.15">
      <c r="A1884" s="5" t="str">
        <f ca="1">IFERROR(__xludf.DUMMYFUNCTION("""COMPUTED_VALUE"""),"39494")</f>
        <v>39494</v>
      </c>
      <c r="B1884" s="51">
        <f ca="1">IFERROR(__xludf.DUMMYFUNCTION("""COMPUTED_VALUE"""),44637)</f>
        <v>44637</v>
      </c>
      <c r="C1884" s="22">
        <f ca="1">IFERROR(__xludf.DUMMYFUNCTION("""COMPUTED_VALUE"""),151407.215307)</f>
        <v>151407.21530700001</v>
      </c>
      <c r="D1884" s="22">
        <f ca="1">IFERROR(__xludf.DUMMYFUNCTION("""COMPUTED_VALUE"""),333552.874717)</f>
        <v>333552.874717</v>
      </c>
      <c r="E1884" s="22">
        <f ca="1">IFERROR(__xludf.DUMMYFUNCTION("""COMPUTED_VALUE"""),484960.090024)</f>
        <v>484960.09002399998</v>
      </c>
      <c r="F1884" s="22">
        <f ca="1">IFERROR(__xludf.DUMMYFUNCTION("""COMPUTED_VALUE"""),151407.215306999)</f>
        <v>151407.21530699899</v>
      </c>
      <c r="G1884" s="22">
        <f ca="1">IFERROR(__xludf.DUMMYFUNCTION("""COMPUTED_VALUE"""),0)</f>
        <v>0</v>
      </c>
      <c r="H1884" s="7">
        <f ca="1">IFERROR(__xludf.DUMMYFUNCTION("""COMPUTED_VALUE"""),485643.084074)</f>
        <v>485643.08407400001</v>
      </c>
    </row>
    <row r="1885" spans="1:8" ht="13" x14ac:dyDescent="0.15">
      <c r="A1885" s="5" t="str">
        <f ca="1">IFERROR(__xludf.DUMMYFUNCTION("""COMPUTED_VALUE"""),"39494")</f>
        <v>39494</v>
      </c>
      <c r="B1885" s="51">
        <f ca="1">IFERROR(__xludf.DUMMYFUNCTION("""COMPUTED_VALUE"""),44638)</f>
        <v>44638</v>
      </c>
      <c r="C1885" s="22">
        <f ca="1">IFERROR(__xludf.DUMMYFUNCTION("""COMPUTED_VALUE"""),151407.215307)</f>
        <v>151407.21530700001</v>
      </c>
      <c r="D1885" s="22">
        <f ca="1">IFERROR(__xludf.DUMMYFUNCTION("""COMPUTED_VALUE"""),348377.6378355)</f>
        <v>348377.63783550001</v>
      </c>
      <c r="E1885" s="22">
        <f ca="1">IFERROR(__xludf.DUMMYFUNCTION("""COMPUTED_VALUE"""),499784.8531425)</f>
        <v>499784.85314249998</v>
      </c>
      <c r="F1885" s="22">
        <f ca="1">IFERROR(__xludf.DUMMYFUNCTION("""COMPUTED_VALUE"""),151407.215306999)</f>
        <v>151407.21530699899</v>
      </c>
      <c r="G1885" s="22">
        <f ca="1">IFERROR(__xludf.DUMMYFUNCTION("""COMPUTED_VALUE"""),0)</f>
        <v>0</v>
      </c>
      <c r="H1885" s="7">
        <f ca="1">IFERROR(__xludf.DUMMYFUNCTION("""COMPUTED_VALUE"""),500730.5528425)</f>
        <v>500730.55284249998</v>
      </c>
    </row>
    <row r="1886" spans="1:8" ht="13" x14ac:dyDescent="0.15">
      <c r="A1886" s="5" t="str">
        <f ca="1">IFERROR(__xludf.DUMMYFUNCTION("""COMPUTED_VALUE"""),"39494")</f>
        <v>39494</v>
      </c>
      <c r="B1886" s="51">
        <f ca="1">IFERROR(__xludf.DUMMYFUNCTION("""COMPUTED_VALUE"""),44639)</f>
        <v>44639</v>
      </c>
      <c r="C1886" s="22">
        <f ca="1">IFERROR(__xludf.DUMMYFUNCTION("""COMPUTED_VALUE"""),151407.215307)</f>
        <v>151407.21530700001</v>
      </c>
      <c r="D1886" s="22">
        <f ca="1">IFERROR(__xludf.DUMMYFUNCTION("""COMPUTED_VALUE"""),348377.6378355)</f>
        <v>348377.63783550001</v>
      </c>
      <c r="E1886" s="22">
        <f ca="1">IFERROR(__xludf.DUMMYFUNCTION("""COMPUTED_VALUE"""),499784.8531425)</f>
        <v>499784.85314249998</v>
      </c>
      <c r="F1886" s="22">
        <f ca="1">IFERROR(__xludf.DUMMYFUNCTION("""COMPUTED_VALUE"""),151407.215306999)</f>
        <v>151407.21530699899</v>
      </c>
      <c r="G1886" s="22">
        <f ca="1">IFERROR(__xludf.DUMMYFUNCTION("""COMPUTED_VALUE"""),0)</f>
        <v>0</v>
      </c>
      <c r="H1886" s="7">
        <f ca="1">IFERROR(__xludf.DUMMYFUNCTION("""COMPUTED_VALUE"""),500730.5528425)</f>
        <v>500730.55284249998</v>
      </c>
    </row>
    <row r="1887" spans="1:8" ht="13" x14ac:dyDescent="0.15">
      <c r="A1887" s="5" t="str">
        <f ca="1">IFERROR(__xludf.DUMMYFUNCTION("""COMPUTED_VALUE"""),"39494")</f>
        <v>39494</v>
      </c>
      <c r="B1887" s="51">
        <f ca="1">IFERROR(__xludf.DUMMYFUNCTION("""COMPUTED_VALUE"""),44640)</f>
        <v>44640</v>
      </c>
      <c r="C1887" s="22">
        <f ca="1">IFERROR(__xludf.DUMMYFUNCTION("""COMPUTED_VALUE"""),151407.215307)</f>
        <v>151407.21530700001</v>
      </c>
      <c r="D1887" s="22">
        <f ca="1">IFERROR(__xludf.DUMMYFUNCTION("""COMPUTED_VALUE"""),348308.25970505)</f>
        <v>348308.25970504998</v>
      </c>
      <c r="E1887" s="22">
        <f ca="1">IFERROR(__xludf.DUMMYFUNCTION("""COMPUTED_VALUE"""),499715.47501205)</f>
        <v>499715.47501205001</v>
      </c>
      <c r="F1887" s="22">
        <f ca="1">IFERROR(__xludf.DUMMYFUNCTION("""COMPUTED_VALUE"""),151407.215306999)</f>
        <v>151407.21530699899</v>
      </c>
      <c r="G1887" s="22">
        <f ca="1">IFERROR(__xludf.DUMMYFUNCTION("""COMPUTED_VALUE"""),0)</f>
        <v>0</v>
      </c>
      <c r="H1887" s="7">
        <f ca="1">IFERROR(__xludf.DUMMYFUNCTION("""COMPUTED_VALUE"""),500650.16723205)</f>
        <v>500650.16723204998</v>
      </c>
    </row>
    <row r="1888" spans="1:8" ht="13" x14ac:dyDescent="0.15">
      <c r="A1888" s="5" t="str">
        <f ca="1">IFERROR(__xludf.DUMMYFUNCTION("""COMPUTED_VALUE"""),"39494")</f>
        <v>39494</v>
      </c>
      <c r="B1888" s="51">
        <f ca="1">IFERROR(__xludf.DUMMYFUNCTION("""COMPUTED_VALUE"""),44641)</f>
        <v>44641</v>
      </c>
      <c r="C1888" s="22">
        <f ca="1">IFERROR(__xludf.DUMMYFUNCTION("""COMPUTED_VALUE"""),151407.215307)</f>
        <v>151407.21530700001</v>
      </c>
      <c r="D1888" s="22">
        <f ca="1">IFERROR(__xludf.DUMMYFUNCTION("""COMPUTED_VALUE"""),349249.765290999)</f>
        <v>349249.76529099903</v>
      </c>
      <c r="E1888" s="22">
        <f ca="1">IFERROR(__xludf.DUMMYFUNCTION("""COMPUTED_VALUE"""),500656.980598)</f>
        <v>500656.98059799999</v>
      </c>
      <c r="F1888" s="22">
        <f ca="1">IFERROR(__xludf.DUMMYFUNCTION("""COMPUTED_VALUE"""),151407.215306999)</f>
        <v>151407.21530699899</v>
      </c>
      <c r="G1888" s="22">
        <f ca="1">IFERROR(__xludf.DUMMYFUNCTION("""COMPUTED_VALUE"""),0)</f>
        <v>0</v>
      </c>
      <c r="H1888" s="7">
        <f ca="1">IFERROR(__xludf.DUMMYFUNCTION("""COMPUTED_VALUE"""),501386.795698)</f>
        <v>501386.795698</v>
      </c>
    </row>
    <row r="1889" spans="1:8" ht="13" x14ac:dyDescent="0.15">
      <c r="A1889" s="5" t="str">
        <f ca="1">IFERROR(__xludf.DUMMYFUNCTION("""COMPUTED_VALUE"""),"39494")</f>
        <v>39494</v>
      </c>
      <c r="B1889" s="51">
        <f ca="1">IFERROR(__xludf.DUMMYFUNCTION("""COMPUTED_VALUE"""),44642)</f>
        <v>44642</v>
      </c>
      <c r="C1889" s="22">
        <f ca="1">IFERROR(__xludf.DUMMYFUNCTION("""COMPUTED_VALUE"""),151407.215307)</f>
        <v>151407.21530700001</v>
      </c>
      <c r="D1889" s="22">
        <f ca="1">IFERROR(__xludf.DUMMYFUNCTION("""COMPUTED_VALUE"""),348876.363206)</f>
        <v>348876.36320600001</v>
      </c>
      <c r="E1889" s="22">
        <f ca="1">IFERROR(__xludf.DUMMYFUNCTION("""COMPUTED_VALUE"""),500283.578513)</f>
        <v>500283.57851299999</v>
      </c>
      <c r="F1889" s="22">
        <f ca="1">IFERROR(__xludf.DUMMYFUNCTION("""COMPUTED_VALUE"""),151407.215306999)</f>
        <v>151407.21530699899</v>
      </c>
      <c r="G1889" s="22">
        <f ca="1">IFERROR(__xludf.DUMMYFUNCTION("""COMPUTED_VALUE"""),0)</f>
        <v>0</v>
      </c>
      <c r="H1889" s="7">
        <f ca="1">IFERROR(__xludf.DUMMYFUNCTION("""COMPUTED_VALUE"""),501273.498013)</f>
        <v>501273.498013</v>
      </c>
    </row>
    <row r="1890" spans="1:8" ht="13" x14ac:dyDescent="0.15">
      <c r="A1890" s="5" t="str">
        <f ca="1">IFERROR(__xludf.DUMMYFUNCTION("""COMPUTED_VALUE"""),"39563")</f>
        <v>39563</v>
      </c>
      <c r="B1890" s="51">
        <f ca="1">IFERROR(__xludf.DUMMYFUNCTION("""COMPUTED_VALUE"""),44597)</f>
        <v>44597</v>
      </c>
      <c r="C1890" s="22">
        <f ca="1">IFERROR(__xludf.DUMMYFUNCTION("""COMPUTED_VALUE"""),500000)</f>
        <v>500000</v>
      </c>
      <c r="D1890" s="22">
        <f ca="1">IFERROR(__xludf.DUMMYFUNCTION("""COMPUTED_VALUE"""),0)</f>
        <v>0</v>
      </c>
      <c r="E1890" s="22">
        <f ca="1">IFERROR(__xludf.DUMMYFUNCTION("""COMPUTED_VALUE"""),500000)</f>
        <v>500000</v>
      </c>
      <c r="F1890" s="22">
        <f ca="1">IFERROR(__xludf.DUMMYFUNCTION("""COMPUTED_VALUE"""),500000)</f>
        <v>500000</v>
      </c>
      <c r="G1890" s="22">
        <f ca="1">IFERROR(__xludf.DUMMYFUNCTION("""COMPUTED_VALUE"""),0)</f>
        <v>0</v>
      </c>
      <c r="H1890" s="7">
        <f ca="1">IFERROR(__xludf.DUMMYFUNCTION("""COMPUTED_VALUE"""),500000)</f>
        <v>500000</v>
      </c>
    </row>
    <row r="1891" spans="1:8" ht="13" x14ac:dyDescent="0.15">
      <c r="A1891" s="5" t="str">
        <f ca="1">IFERROR(__xludf.DUMMYFUNCTION("""COMPUTED_VALUE"""),"39563")</f>
        <v>39563</v>
      </c>
      <c r="B1891" s="51">
        <f ca="1">IFERROR(__xludf.DUMMYFUNCTION("""COMPUTED_VALUE"""),44598)</f>
        <v>44598</v>
      </c>
      <c r="C1891" s="22">
        <f ca="1">IFERROR(__xludf.DUMMYFUNCTION("""COMPUTED_VALUE"""),500000)</f>
        <v>500000</v>
      </c>
      <c r="D1891" s="22">
        <f ca="1">IFERROR(__xludf.DUMMYFUNCTION("""COMPUTED_VALUE"""),0)</f>
        <v>0</v>
      </c>
      <c r="E1891" s="22">
        <f ca="1">IFERROR(__xludf.DUMMYFUNCTION("""COMPUTED_VALUE"""),500000)</f>
        <v>500000</v>
      </c>
      <c r="F1891" s="22">
        <f ca="1">IFERROR(__xludf.DUMMYFUNCTION("""COMPUTED_VALUE"""),500000)</f>
        <v>500000</v>
      </c>
      <c r="G1891" s="22">
        <f ca="1">IFERROR(__xludf.DUMMYFUNCTION("""COMPUTED_VALUE"""),0)</f>
        <v>0</v>
      </c>
      <c r="H1891" s="7">
        <f ca="1">IFERROR(__xludf.DUMMYFUNCTION("""COMPUTED_VALUE"""),500000)</f>
        <v>500000</v>
      </c>
    </row>
    <row r="1892" spans="1:8" ht="13" x14ac:dyDescent="0.15">
      <c r="A1892" s="5" t="str">
        <f ca="1">IFERROR(__xludf.DUMMYFUNCTION("""COMPUTED_VALUE"""),"39563")</f>
        <v>39563</v>
      </c>
      <c r="B1892" s="51">
        <f ca="1">IFERROR(__xludf.DUMMYFUNCTION("""COMPUTED_VALUE"""),44599)</f>
        <v>44599</v>
      </c>
      <c r="C1892" s="22">
        <f ca="1">IFERROR(__xludf.DUMMYFUNCTION("""COMPUTED_VALUE"""),500000)</f>
        <v>500000</v>
      </c>
      <c r="D1892" s="22">
        <f ca="1">IFERROR(__xludf.DUMMYFUNCTION("""COMPUTED_VALUE"""),0)</f>
        <v>0</v>
      </c>
      <c r="E1892" s="22">
        <f ca="1">IFERROR(__xludf.DUMMYFUNCTION("""COMPUTED_VALUE"""),500000)</f>
        <v>500000</v>
      </c>
      <c r="F1892" s="22">
        <f ca="1">IFERROR(__xludf.DUMMYFUNCTION("""COMPUTED_VALUE"""),500000)</f>
        <v>500000</v>
      </c>
      <c r="G1892" s="22">
        <f ca="1">IFERROR(__xludf.DUMMYFUNCTION("""COMPUTED_VALUE"""),0)</f>
        <v>0</v>
      </c>
      <c r="H1892" s="7">
        <f ca="1">IFERROR(__xludf.DUMMYFUNCTION("""COMPUTED_VALUE"""),500000)</f>
        <v>500000</v>
      </c>
    </row>
    <row r="1893" spans="1:8" ht="13" x14ac:dyDescent="0.15">
      <c r="A1893" s="5" t="str">
        <f ca="1">IFERROR(__xludf.DUMMYFUNCTION("""COMPUTED_VALUE"""),"39563")</f>
        <v>39563</v>
      </c>
      <c r="B1893" s="51">
        <f ca="1">IFERROR(__xludf.DUMMYFUNCTION("""COMPUTED_VALUE"""),44600)</f>
        <v>44600</v>
      </c>
      <c r="C1893" s="22">
        <f ca="1">IFERROR(__xludf.DUMMYFUNCTION("""COMPUTED_VALUE"""),500000)</f>
        <v>500000</v>
      </c>
      <c r="D1893" s="22">
        <f ca="1">IFERROR(__xludf.DUMMYFUNCTION("""COMPUTED_VALUE"""),0)</f>
        <v>0</v>
      </c>
      <c r="E1893" s="22">
        <f ca="1">IFERROR(__xludf.DUMMYFUNCTION("""COMPUTED_VALUE"""),500000)</f>
        <v>500000</v>
      </c>
      <c r="F1893" s="22">
        <f ca="1">IFERROR(__xludf.DUMMYFUNCTION("""COMPUTED_VALUE"""),500000)</f>
        <v>500000</v>
      </c>
      <c r="G1893" s="22">
        <f ca="1">IFERROR(__xludf.DUMMYFUNCTION("""COMPUTED_VALUE"""),0)</f>
        <v>0</v>
      </c>
      <c r="H1893" s="7">
        <f ca="1">IFERROR(__xludf.DUMMYFUNCTION("""COMPUTED_VALUE"""),500000)</f>
        <v>500000</v>
      </c>
    </row>
    <row r="1894" spans="1:8" ht="13" x14ac:dyDescent="0.15">
      <c r="A1894" s="5" t="str">
        <f ca="1">IFERROR(__xludf.DUMMYFUNCTION("""COMPUTED_VALUE"""),"39563")</f>
        <v>39563</v>
      </c>
      <c r="B1894" s="51">
        <f ca="1">IFERROR(__xludf.DUMMYFUNCTION("""COMPUTED_VALUE"""),44601)</f>
        <v>44601</v>
      </c>
      <c r="C1894" s="22">
        <f ca="1">IFERROR(__xludf.DUMMYFUNCTION("""COMPUTED_VALUE"""),500000)</f>
        <v>500000</v>
      </c>
      <c r="D1894" s="22">
        <f ca="1">IFERROR(__xludf.DUMMYFUNCTION("""COMPUTED_VALUE"""),0)</f>
        <v>0</v>
      </c>
      <c r="E1894" s="22">
        <f ca="1">IFERROR(__xludf.DUMMYFUNCTION("""COMPUTED_VALUE"""),500000)</f>
        <v>500000</v>
      </c>
      <c r="F1894" s="22">
        <f ca="1">IFERROR(__xludf.DUMMYFUNCTION("""COMPUTED_VALUE"""),500000)</f>
        <v>500000</v>
      </c>
      <c r="G1894" s="22">
        <f ca="1">IFERROR(__xludf.DUMMYFUNCTION("""COMPUTED_VALUE"""),0)</f>
        <v>0</v>
      </c>
      <c r="H1894" s="7">
        <f ca="1">IFERROR(__xludf.DUMMYFUNCTION("""COMPUTED_VALUE"""),500000)</f>
        <v>500000</v>
      </c>
    </row>
    <row r="1895" spans="1:8" ht="13" x14ac:dyDescent="0.15">
      <c r="A1895" s="5" t="str">
        <f ca="1">IFERROR(__xludf.DUMMYFUNCTION("""COMPUTED_VALUE"""),"39563")</f>
        <v>39563</v>
      </c>
      <c r="B1895" s="51">
        <f ca="1">IFERROR(__xludf.DUMMYFUNCTION("""COMPUTED_VALUE"""),44602)</f>
        <v>44602</v>
      </c>
      <c r="C1895" s="22">
        <f ca="1">IFERROR(__xludf.DUMMYFUNCTION("""COMPUTED_VALUE"""),500000)</f>
        <v>500000</v>
      </c>
      <c r="D1895" s="22">
        <f ca="1">IFERROR(__xludf.DUMMYFUNCTION("""COMPUTED_VALUE"""),0)</f>
        <v>0</v>
      </c>
      <c r="E1895" s="22">
        <f ca="1">IFERROR(__xludf.DUMMYFUNCTION("""COMPUTED_VALUE"""),500000)</f>
        <v>500000</v>
      </c>
      <c r="F1895" s="22">
        <f ca="1">IFERROR(__xludf.DUMMYFUNCTION("""COMPUTED_VALUE"""),500000)</f>
        <v>500000</v>
      </c>
      <c r="G1895" s="22">
        <f ca="1">IFERROR(__xludf.DUMMYFUNCTION("""COMPUTED_VALUE"""),0)</f>
        <v>0</v>
      </c>
      <c r="H1895" s="7">
        <f ca="1">IFERROR(__xludf.DUMMYFUNCTION("""COMPUTED_VALUE"""),500000)</f>
        <v>500000</v>
      </c>
    </row>
    <row r="1896" spans="1:8" ht="13" x14ac:dyDescent="0.15">
      <c r="A1896" s="5" t="str">
        <f ca="1">IFERROR(__xludf.DUMMYFUNCTION("""COMPUTED_VALUE"""),"39563")</f>
        <v>39563</v>
      </c>
      <c r="B1896" s="51">
        <f ca="1">IFERROR(__xludf.DUMMYFUNCTION("""COMPUTED_VALUE"""),44603)</f>
        <v>44603</v>
      </c>
      <c r="C1896" s="22">
        <f ca="1">IFERROR(__xludf.DUMMYFUNCTION("""COMPUTED_VALUE"""),500000)</f>
        <v>500000</v>
      </c>
      <c r="D1896" s="22">
        <f ca="1">IFERROR(__xludf.DUMMYFUNCTION("""COMPUTED_VALUE"""),0)</f>
        <v>0</v>
      </c>
      <c r="E1896" s="22">
        <f ca="1">IFERROR(__xludf.DUMMYFUNCTION("""COMPUTED_VALUE"""),500000)</f>
        <v>500000</v>
      </c>
      <c r="F1896" s="22">
        <f ca="1">IFERROR(__xludf.DUMMYFUNCTION("""COMPUTED_VALUE"""),500000)</f>
        <v>500000</v>
      </c>
      <c r="G1896" s="22">
        <f ca="1">IFERROR(__xludf.DUMMYFUNCTION("""COMPUTED_VALUE"""),0)</f>
        <v>0</v>
      </c>
      <c r="H1896" s="7">
        <f ca="1">IFERROR(__xludf.DUMMYFUNCTION("""COMPUTED_VALUE"""),500000)</f>
        <v>500000</v>
      </c>
    </row>
    <row r="1897" spans="1:8" ht="13" x14ac:dyDescent="0.15">
      <c r="A1897" s="5" t="str">
        <f ca="1">IFERROR(__xludf.DUMMYFUNCTION("""COMPUTED_VALUE"""),"39563")</f>
        <v>39563</v>
      </c>
      <c r="B1897" s="51">
        <f ca="1">IFERROR(__xludf.DUMMYFUNCTION("""COMPUTED_VALUE"""),44604)</f>
        <v>44604</v>
      </c>
      <c r="C1897" s="22">
        <f ca="1">IFERROR(__xludf.DUMMYFUNCTION("""COMPUTED_VALUE"""),500000)</f>
        <v>500000</v>
      </c>
      <c r="D1897" s="22">
        <f ca="1">IFERROR(__xludf.DUMMYFUNCTION("""COMPUTED_VALUE"""),0)</f>
        <v>0</v>
      </c>
      <c r="E1897" s="22">
        <f ca="1">IFERROR(__xludf.DUMMYFUNCTION("""COMPUTED_VALUE"""),500000)</f>
        <v>500000</v>
      </c>
      <c r="F1897" s="22">
        <f ca="1">IFERROR(__xludf.DUMMYFUNCTION("""COMPUTED_VALUE"""),500000)</f>
        <v>500000</v>
      </c>
      <c r="G1897" s="22">
        <f ca="1">IFERROR(__xludf.DUMMYFUNCTION("""COMPUTED_VALUE"""),0)</f>
        <v>0</v>
      </c>
      <c r="H1897" s="7">
        <f ca="1">IFERROR(__xludf.DUMMYFUNCTION("""COMPUTED_VALUE"""),500000)</f>
        <v>500000</v>
      </c>
    </row>
    <row r="1898" spans="1:8" ht="13" x14ac:dyDescent="0.15">
      <c r="A1898" s="5" t="str">
        <f ca="1">IFERROR(__xludf.DUMMYFUNCTION("""COMPUTED_VALUE"""),"39563")</f>
        <v>39563</v>
      </c>
      <c r="B1898" s="51">
        <f ca="1">IFERROR(__xludf.DUMMYFUNCTION("""COMPUTED_VALUE"""),44605)</f>
        <v>44605</v>
      </c>
      <c r="C1898" s="22">
        <f ca="1">IFERROR(__xludf.DUMMYFUNCTION("""COMPUTED_VALUE"""),500000)</f>
        <v>500000</v>
      </c>
      <c r="D1898" s="22">
        <f ca="1">IFERROR(__xludf.DUMMYFUNCTION("""COMPUTED_VALUE"""),0)</f>
        <v>0</v>
      </c>
      <c r="E1898" s="22">
        <f ca="1">IFERROR(__xludf.DUMMYFUNCTION("""COMPUTED_VALUE"""),500000)</f>
        <v>500000</v>
      </c>
      <c r="F1898" s="22">
        <f ca="1">IFERROR(__xludf.DUMMYFUNCTION("""COMPUTED_VALUE"""),500000)</f>
        <v>500000</v>
      </c>
      <c r="G1898" s="22">
        <f ca="1">IFERROR(__xludf.DUMMYFUNCTION("""COMPUTED_VALUE"""),0)</f>
        <v>0</v>
      </c>
      <c r="H1898" s="7">
        <f ca="1">IFERROR(__xludf.DUMMYFUNCTION("""COMPUTED_VALUE"""),500000)</f>
        <v>500000</v>
      </c>
    </row>
    <row r="1899" spans="1:8" ht="13" x14ac:dyDescent="0.15">
      <c r="A1899" s="5" t="str">
        <f ca="1">IFERROR(__xludf.DUMMYFUNCTION("""COMPUTED_VALUE"""),"39563")</f>
        <v>39563</v>
      </c>
      <c r="B1899" s="51">
        <f ca="1">IFERROR(__xludf.DUMMYFUNCTION("""COMPUTED_VALUE"""),44606)</f>
        <v>44606</v>
      </c>
      <c r="C1899" s="22">
        <f ca="1">IFERROR(__xludf.DUMMYFUNCTION("""COMPUTED_VALUE"""),500000)</f>
        <v>500000</v>
      </c>
      <c r="D1899" s="22">
        <f ca="1">IFERROR(__xludf.DUMMYFUNCTION("""COMPUTED_VALUE"""),0)</f>
        <v>0</v>
      </c>
      <c r="E1899" s="22">
        <f ca="1">IFERROR(__xludf.DUMMYFUNCTION("""COMPUTED_VALUE"""),500000)</f>
        <v>500000</v>
      </c>
      <c r="F1899" s="22">
        <f ca="1">IFERROR(__xludf.DUMMYFUNCTION("""COMPUTED_VALUE"""),500000)</f>
        <v>500000</v>
      </c>
      <c r="G1899" s="22">
        <f ca="1">IFERROR(__xludf.DUMMYFUNCTION("""COMPUTED_VALUE"""),0)</f>
        <v>0</v>
      </c>
      <c r="H1899" s="7">
        <f ca="1">IFERROR(__xludf.DUMMYFUNCTION("""COMPUTED_VALUE"""),500000)</f>
        <v>500000</v>
      </c>
    </row>
    <row r="1900" spans="1:8" ht="13" x14ac:dyDescent="0.15">
      <c r="A1900" s="5" t="str">
        <f ca="1">IFERROR(__xludf.DUMMYFUNCTION("""COMPUTED_VALUE"""),"39563")</f>
        <v>39563</v>
      </c>
      <c r="B1900" s="51">
        <f ca="1">IFERROR(__xludf.DUMMYFUNCTION("""COMPUTED_VALUE"""),44607)</f>
        <v>44607</v>
      </c>
      <c r="C1900" s="22">
        <f ca="1">IFERROR(__xludf.DUMMYFUNCTION("""COMPUTED_VALUE"""),500000)</f>
        <v>500000</v>
      </c>
      <c r="D1900" s="22">
        <f ca="1">IFERROR(__xludf.DUMMYFUNCTION("""COMPUTED_VALUE"""),0)</f>
        <v>0</v>
      </c>
      <c r="E1900" s="22">
        <f ca="1">IFERROR(__xludf.DUMMYFUNCTION("""COMPUTED_VALUE"""),500000)</f>
        <v>500000</v>
      </c>
      <c r="F1900" s="22">
        <f ca="1">IFERROR(__xludf.DUMMYFUNCTION("""COMPUTED_VALUE"""),500000)</f>
        <v>500000</v>
      </c>
      <c r="G1900" s="22">
        <f ca="1">IFERROR(__xludf.DUMMYFUNCTION("""COMPUTED_VALUE"""),0)</f>
        <v>0</v>
      </c>
      <c r="H1900" s="7">
        <f ca="1">IFERROR(__xludf.DUMMYFUNCTION("""COMPUTED_VALUE"""),500000)</f>
        <v>500000</v>
      </c>
    </row>
    <row r="1901" spans="1:8" ht="13" x14ac:dyDescent="0.15">
      <c r="A1901" s="5" t="str">
        <f ca="1">IFERROR(__xludf.DUMMYFUNCTION("""COMPUTED_VALUE"""),"39563")</f>
        <v>39563</v>
      </c>
      <c r="B1901" s="51">
        <f ca="1">IFERROR(__xludf.DUMMYFUNCTION("""COMPUTED_VALUE"""),44608)</f>
        <v>44608</v>
      </c>
      <c r="C1901" s="22">
        <f ca="1">IFERROR(__xludf.DUMMYFUNCTION("""COMPUTED_VALUE"""),500000)</f>
        <v>500000</v>
      </c>
      <c r="D1901" s="22">
        <f ca="1">IFERROR(__xludf.DUMMYFUNCTION("""COMPUTED_VALUE"""),0)</f>
        <v>0</v>
      </c>
      <c r="E1901" s="22">
        <f ca="1">IFERROR(__xludf.DUMMYFUNCTION("""COMPUTED_VALUE"""),500000)</f>
        <v>500000</v>
      </c>
      <c r="F1901" s="22">
        <f ca="1">IFERROR(__xludf.DUMMYFUNCTION("""COMPUTED_VALUE"""),500000)</f>
        <v>500000</v>
      </c>
      <c r="G1901" s="22">
        <f ca="1">IFERROR(__xludf.DUMMYFUNCTION("""COMPUTED_VALUE"""),0)</f>
        <v>0</v>
      </c>
      <c r="H1901" s="7">
        <f ca="1">IFERROR(__xludf.DUMMYFUNCTION("""COMPUTED_VALUE"""),500000)</f>
        <v>500000</v>
      </c>
    </row>
    <row r="1902" spans="1:8" ht="13" x14ac:dyDescent="0.15">
      <c r="A1902" s="5" t="str">
        <f ca="1">IFERROR(__xludf.DUMMYFUNCTION("""COMPUTED_VALUE"""),"39563")</f>
        <v>39563</v>
      </c>
      <c r="B1902" s="51">
        <f ca="1">IFERROR(__xludf.DUMMYFUNCTION("""COMPUTED_VALUE"""),44609)</f>
        <v>44609</v>
      </c>
      <c r="C1902" s="22">
        <f ca="1">IFERROR(__xludf.DUMMYFUNCTION("""COMPUTED_VALUE"""),500000)</f>
        <v>500000</v>
      </c>
      <c r="D1902" s="22">
        <f ca="1">IFERROR(__xludf.DUMMYFUNCTION("""COMPUTED_VALUE"""),0)</f>
        <v>0</v>
      </c>
      <c r="E1902" s="22">
        <f ca="1">IFERROR(__xludf.DUMMYFUNCTION("""COMPUTED_VALUE"""),500000)</f>
        <v>500000</v>
      </c>
      <c r="F1902" s="22">
        <f ca="1">IFERROR(__xludf.DUMMYFUNCTION("""COMPUTED_VALUE"""),500000)</f>
        <v>500000</v>
      </c>
      <c r="G1902" s="22">
        <f ca="1">IFERROR(__xludf.DUMMYFUNCTION("""COMPUTED_VALUE"""),0)</f>
        <v>0</v>
      </c>
      <c r="H1902" s="7">
        <f ca="1">IFERROR(__xludf.DUMMYFUNCTION("""COMPUTED_VALUE"""),500000)</f>
        <v>500000</v>
      </c>
    </row>
    <row r="1903" spans="1:8" ht="13" x14ac:dyDescent="0.15">
      <c r="A1903" s="5" t="str">
        <f ca="1">IFERROR(__xludf.DUMMYFUNCTION("""COMPUTED_VALUE"""),"39563")</f>
        <v>39563</v>
      </c>
      <c r="B1903" s="51">
        <f ca="1">IFERROR(__xludf.DUMMYFUNCTION("""COMPUTED_VALUE"""),44610)</f>
        <v>44610</v>
      </c>
      <c r="C1903" s="22">
        <f ca="1">IFERROR(__xludf.DUMMYFUNCTION("""COMPUTED_VALUE"""),500000)</f>
        <v>500000</v>
      </c>
      <c r="D1903" s="22">
        <f ca="1">IFERROR(__xludf.DUMMYFUNCTION("""COMPUTED_VALUE"""),0)</f>
        <v>0</v>
      </c>
      <c r="E1903" s="22">
        <f ca="1">IFERROR(__xludf.DUMMYFUNCTION("""COMPUTED_VALUE"""),500000)</f>
        <v>500000</v>
      </c>
      <c r="F1903" s="22">
        <f ca="1">IFERROR(__xludf.DUMMYFUNCTION("""COMPUTED_VALUE"""),500000)</f>
        <v>500000</v>
      </c>
      <c r="G1903" s="22">
        <f ca="1">IFERROR(__xludf.DUMMYFUNCTION("""COMPUTED_VALUE"""),0)</f>
        <v>0</v>
      </c>
      <c r="H1903" s="7">
        <f ca="1">IFERROR(__xludf.DUMMYFUNCTION("""COMPUTED_VALUE"""),500000)</f>
        <v>500000</v>
      </c>
    </row>
    <row r="1904" spans="1:8" ht="13" x14ac:dyDescent="0.15">
      <c r="A1904" s="5" t="str">
        <f ca="1">IFERROR(__xludf.DUMMYFUNCTION("""COMPUTED_VALUE"""),"39563")</f>
        <v>39563</v>
      </c>
      <c r="B1904" s="51">
        <f ca="1">IFERROR(__xludf.DUMMYFUNCTION("""COMPUTED_VALUE"""),44611)</f>
        <v>44611</v>
      </c>
      <c r="C1904" s="22">
        <f ca="1">IFERROR(__xludf.DUMMYFUNCTION("""COMPUTED_VALUE"""),500000)</f>
        <v>500000</v>
      </c>
      <c r="D1904" s="22">
        <f ca="1">IFERROR(__xludf.DUMMYFUNCTION("""COMPUTED_VALUE"""),0)</f>
        <v>0</v>
      </c>
      <c r="E1904" s="22">
        <f ca="1">IFERROR(__xludf.DUMMYFUNCTION("""COMPUTED_VALUE"""),500000)</f>
        <v>500000</v>
      </c>
      <c r="F1904" s="22">
        <f ca="1">IFERROR(__xludf.DUMMYFUNCTION("""COMPUTED_VALUE"""),500000)</f>
        <v>500000</v>
      </c>
      <c r="G1904" s="22">
        <f ca="1">IFERROR(__xludf.DUMMYFUNCTION("""COMPUTED_VALUE"""),0)</f>
        <v>0</v>
      </c>
      <c r="H1904" s="7">
        <f ca="1">IFERROR(__xludf.DUMMYFUNCTION("""COMPUTED_VALUE"""),500000)</f>
        <v>500000</v>
      </c>
    </row>
    <row r="1905" spans="1:8" ht="13" x14ac:dyDescent="0.15">
      <c r="A1905" s="5" t="str">
        <f ca="1">IFERROR(__xludf.DUMMYFUNCTION("""COMPUTED_VALUE"""),"39563")</f>
        <v>39563</v>
      </c>
      <c r="B1905" s="51">
        <f ca="1">IFERROR(__xludf.DUMMYFUNCTION("""COMPUTED_VALUE"""),44612)</f>
        <v>44612</v>
      </c>
      <c r="C1905" s="22">
        <f ca="1">IFERROR(__xludf.DUMMYFUNCTION("""COMPUTED_VALUE"""),500000)</f>
        <v>500000</v>
      </c>
      <c r="D1905" s="22">
        <f ca="1">IFERROR(__xludf.DUMMYFUNCTION("""COMPUTED_VALUE"""),0)</f>
        <v>0</v>
      </c>
      <c r="E1905" s="22">
        <f ca="1">IFERROR(__xludf.DUMMYFUNCTION("""COMPUTED_VALUE"""),500000)</f>
        <v>500000</v>
      </c>
      <c r="F1905" s="22">
        <f ca="1">IFERROR(__xludf.DUMMYFUNCTION("""COMPUTED_VALUE"""),500000)</f>
        <v>500000</v>
      </c>
      <c r="G1905" s="22">
        <f ca="1">IFERROR(__xludf.DUMMYFUNCTION("""COMPUTED_VALUE"""),0)</f>
        <v>0</v>
      </c>
      <c r="H1905" s="7">
        <f ca="1">IFERROR(__xludf.DUMMYFUNCTION("""COMPUTED_VALUE"""),500000)</f>
        <v>500000</v>
      </c>
    </row>
    <row r="1906" spans="1:8" ht="13" x14ac:dyDescent="0.15">
      <c r="A1906" s="5" t="str">
        <f ca="1">IFERROR(__xludf.DUMMYFUNCTION("""COMPUTED_VALUE"""),"39563")</f>
        <v>39563</v>
      </c>
      <c r="B1906" s="51">
        <f ca="1">IFERROR(__xludf.DUMMYFUNCTION("""COMPUTED_VALUE"""),44613)</f>
        <v>44613</v>
      </c>
      <c r="C1906" s="22">
        <f ca="1">IFERROR(__xludf.DUMMYFUNCTION("""COMPUTED_VALUE"""),500000)</f>
        <v>500000</v>
      </c>
      <c r="D1906" s="22">
        <f ca="1">IFERROR(__xludf.DUMMYFUNCTION("""COMPUTED_VALUE"""),0)</f>
        <v>0</v>
      </c>
      <c r="E1906" s="22">
        <f ca="1">IFERROR(__xludf.DUMMYFUNCTION("""COMPUTED_VALUE"""),500000)</f>
        <v>500000</v>
      </c>
      <c r="F1906" s="22">
        <f ca="1">IFERROR(__xludf.DUMMYFUNCTION("""COMPUTED_VALUE"""),500000)</f>
        <v>500000</v>
      </c>
      <c r="G1906" s="22">
        <f ca="1">IFERROR(__xludf.DUMMYFUNCTION("""COMPUTED_VALUE"""),0)</f>
        <v>0</v>
      </c>
      <c r="H1906" s="7">
        <f ca="1">IFERROR(__xludf.DUMMYFUNCTION("""COMPUTED_VALUE"""),500000)</f>
        <v>500000</v>
      </c>
    </row>
    <row r="1907" spans="1:8" ht="13" x14ac:dyDescent="0.15">
      <c r="A1907" s="5" t="str">
        <f ca="1">IFERROR(__xludf.DUMMYFUNCTION("""COMPUTED_VALUE"""),"39563")</f>
        <v>39563</v>
      </c>
      <c r="B1907" s="51">
        <f ca="1">IFERROR(__xludf.DUMMYFUNCTION("""COMPUTED_VALUE"""),44614)</f>
        <v>44614</v>
      </c>
      <c r="C1907" s="22">
        <f ca="1">IFERROR(__xludf.DUMMYFUNCTION("""COMPUTED_VALUE"""),500000)</f>
        <v>500000</v>
      </c>
      <c r="D1907" s="22">
        <f ca="1">IFERROR(__xludf.DUMMYFUNCTION("""COMPUTED_VALUE"""),0)</f>
        <v>0</v>
      </c>
      <c r="E1907" s="22">
        <f ca="1">IFERROR(__xludf.DUMMYFUNCTION("""COMPUTED_VALUE"""),500000)</f>
        <v>500000</v>
      </c>
      <c r="F1907" s="22">
        <f ca="1">IFERROR(__xludf.DUMMYFUNCTION("""COMPUTED_VALUE"""),500000)</f>
        <v>500000</v>
      </c>
      <c r="G1907" s="22">
        <f ca="1">IFERROR(__xludf.DUMMYFUNCTION("""COMPUTED_VALUE"""),0)</f>
        <v>0</v>
      </c>
      <c r="H1907" s="7">
        <f ca="1">IFERROR(__xludf.DUMMYFUNCTION("""COMPUTED_VALUE"""),500000)</f>
        <v>500000</v>
      </c>
    </row>
    <row r="1908" spans="1:8" ht="13" x14ac:dyDescent="0.15">
      <c r="A1908" s="5" t="str">
        <f ca="1">IFERROR(__xludf.DUMMYFUNCTION("""COMPUTED_VALUE"""),"39563")</f>
        <v>39563</v>
      </c>
      <c r="B1908" s="51">
        <f ca="1">IFERROR(__xludf.DUMMYFUNCTION("""COMPUTED_VALUE"""),44615)</f>
        <v>44615</v>
      </c>
      <c r="C1908" s="22">
        <f ca="1">IFERROR(__xludf.DUMMYFUNCTION("""COMPUTED_VALUE"""),500000)</f>
        <v>500000</v>
      </c>
      <c r="D1908" s="22">
        <f ca="1">IFERROR(__xludf.DUMMYFUNCTION("""COMPUTED_VALUE"""),0)</f>
        <v>0</v>
      </c>
      <c r="E1908" s="22">
        <f ca="1">IFERROR(__xludf.DUMMYFUNCTION("""COMPUTED_VALUE"""),500000)</f>
        <v>500000</v>
      </c>
      <c r="F1908" s="22">
        <f ca="1">IFERROR(__xludf.DUMMYFUNCTION("""COMPUTED_VALUE"""),500000)</f>
        <v>500000</v>
      </c>
      <c r="G1908" s="22">
        <f ca="1">IFERROR(__xludf.DUMMYFUNCTION("""COMPUTED_VALUE"""),0)</f>
        <v>0</v>
      </c>
      <c r="H1908" s="7">
        <f ca="1">IFERROR(__xludf.DUMMYFUNCTION("""COMPUTED_VALUE"""),500000)</f>
        <v>500000</v>
      </c>
    </row>
    <row r="1909" spans="1:8" ht="13" x14ac:dyDescent="0.15">
      <c r="A1909" s="5" t="str">
        <f ca="1">IFERROR(__xludf.DUMMYFUNCTION("""COMPUTED_VALUE"""),"39563")</f>
        <v>39563</v>
      </c>
      <c r="B1909" s="51">
        <f ca="1">IFERROR(__xludf.DUMMYFUNCTION("""COMPUTED_VALUE"""),44616)</f>
        <v>44616</v>
      </c>
      <c r="C1909" s="22">
        <f ca="1">IFERROR(__xludf.DUMMYFUNCTION("""COMPUTED_VALUE"""),500000)</f>
        <v>500000</v>
      </c>
      <c r="D1909" s="22">
        <f ca="1">IFERROR(__xludf.DUMMYFUNCTION("""COMPUTED_VALUE"""),0)</f>
        <v>0</v>
      </c>
      <c r="E1909" s="22">
        <f ca="1">IFERROR(__xludf.DUMMYFUNCTION("""COMPUTED_VALUE"""),500000)</f>
        <v>500000</v>
      </c>
      <c r="F1909" s="22">
        <f ca="1">IFERROR(__xludf.DUMMYFUNCTION("""COMPUTED_VALUE"""),500000)</f>
        <v>500000</v>
      </c>
      <c r="G1909" s="22">
        <f ca="1">IFERROR(__xludf.DUMMYFUNCTION("""COMPUTED_VALUE"""),0)</f>
        <v>0</v>
      </c>
      <c r="H1909" s="7">
        <f ca="1">IFERROR(__xludf.DUMMYFUNCTION("""COMPUTED_VALUE"""),500000)</f>
        <v>500000</v>
      </c>
    </row>
    <row r="1910" spans="1:8" ht="13" x14ac:dyDescent="0.15">
      <c r="A1910" s="5" t="str">
        <f ca="1">IFERROR(__xludf.DUMMYFUNCTION("""COMPUTED_VALUE"""),"39563")</f>
        <v>39563</v>
      </c>
      <c r="B1910" s="51">
        <f ca="1">IFERROR(__xludf.DUMMYFUNCTION("""COMPUTED_VALUE"""),44617)</f>
        <v>44617</v>
      </c>
      <c r="C1910" s="22">
        <f ca="1">IFERROR(__xludf.DUMMYFUNCTION("""COMPUTED_VALUE"""),500000)</f>
        <v>500000</v>
      </c>
      <c r="D1910" s="22">
        <f ca="1">IFERROR(__xludf.DUMMYFUNCTION("""COMPUTED_VALUE"""),0)</f>
        <v>0</v>
      </c>
      <c r="E1910" s="22">
        <f ca="1">IFERROR(__xludf.DUMMYFUNCTION("""COMPUTED_VALUE"""),500000)</f>
        <v>500000</v>
      </c>
      <c r="F1910" s="22">
        <f ca="1">IFERROR(__xludf.DUMMYFUNCTION("""COMPUTED_VALUE"""),500000)</f>
        <v>500000</v>
      </c>
      <c r="G1910" s="22">
        <f ca="1">IFERROR(__xludf.DUMMYFUNCTION("""COMPUTED_VALUE"""),0)</f>
        <v>0</v>
      </c>
      <c r="H1910" s="7">
        <f ca="1">IFERROR(__xludf.DUMMYFUNCTION("""COMPUTED_VALUE"""),500000)</f>
        <v>500000</v>
      </c>
    </row>
    <row r="1911" spans="1:8" ht="13" x14ac:dyDescent="0.15">
      <c r="A1911" s="5" t="str">
        <f ca="1">IFERROR(__xludf.DUMMYFUNCTION("""COMPUTED_VALUE"""),"39563")</f>
        <v>39563</v>
      </c>
      <c r="B1911" s="51">
        <f ca="1">IFERROR(__xludf.DUMMYFUNCTION("""COMPUTED_VALUE"""),44618)</f>
        <v>44618</v>
      </c>
      <c r="C1911" s="22">
        <f ca="1">IFERROR(__xludf.DUMMYFUNCTION("""COMPUTED_VALUE"""),500000)</f>
        <v>500000</v>
      </c>
      <c r="D1911" s="22">
        <f ca="1">IFERROR(__xludf.DUMMYFUNCTION("""COMPUTED_VALUE"""),0)</f>
        <v>0</v>
      </c>
      <c r="E1911" s="22">
        <f ca="1">IFERROR(__xludf.DUMMYFUNCTION("""COMPUTED_VALUE"""),500000)</f>
        <v>500000</v>
      </c>
      <c r="F1911" s="22">
        <f ca="1">IFERROR(__xludf.DUMMYFUNCTION("""COMPUTED_VALUE"""),500000)</f>
        <v>500000</v>
      </c>
      <c r="G1911" s="22">
        <f ca="1">IFERROR(__xludf.DUMMYFUNCTION("""COMPUTED_VALUE"""),0)</f>
        <v>0</v>
      </c>
      <c r="H1911" s="7">
        <f ca="1">IFERROR(__xludf.DUMMYFUNCTION("""COMPUTED_VALUE"""),500000)</f>
        <v>500000</v>
      </c>
    </row>
    <row r="1912" spans="1:8" ht="13" x14ac:dyDescent="0.15">
      <c r="A1912" s="5" t="str">
        <f ca="1">IFERROR(__xludf.DUMMYFUNCTION("""COMPUTED_VALUE"""),"39563")</f>
        <v>39563</v>
      </c>
      <c r="B1912" s="51">
        <f ca="1">IFERROR(__xludf.DUMMYFUNCTION("""COMPUTED_VALUE"""),44619)</f>
        <v>44619</v>
      </c>
      <c r="C1912" s="22">
        <f ca="1">IFERROR(__xludf.DUMMYFUNCTION("""COMPUTED_VALUE"""),500000)</f>
        <v>500000</v>
      </c>
      <c r="D1912" s="22">
        <f ca="1">IFERROR(__xludf.DUMMYFUNCTION("""COMPUTED_VALUE"""),0)</f>
        <v>0</v>
      </c>
      <c r="E1912" s="22">
        <f ca="1">IFERROR(__xludf.DUMMYFUNCTION("""COMPUTED_VALUE"""),500000)</f>
        <v>500000</v>
      </c>
      <c r="F1912" s="22">
        <f ca="1">IFERROR(__xludf.DUMMYFUNCTION("""COMPUTED_VALUE"""),500000)</f>
        <v>500000</v>
      </c>
      <c r="G1912" s="22">
        <f ca="1">IFERROR(__xludf.DUMMYFUNCTION("""COMPUTED_VALUE"""),0)</f>
        <v>0</v>
      </c>
      <c r="H1912" s="7">
        <f ca="1">IFERROR(__xludf.DUMMYFUNCTION("""COMPUTED_VALUE"""),500000)</f>
        <v>500000</v>
      </c>
    </row>
    <row r="1913" spans="1:8" ht="13" x14ac:dyDescent="0.15">
      <c r="A1913" s="5" t="str">
        <f ca="1">IFERROR(__xludf.DUMMYFUNCTION("""COMPUTED_VALUE"""),"39563")</f>
        <v>39563</v>
      </c>
      <c r="B1913" s="51">
        <f ca="1">IFERROR(__xludf.DUMMYFUNCTION("""COMPUTED_VALUE"""),44620)</f>
        <v>44620</v>
      </c>
      <c r="C1913" s="22">
        <f ca="1">IFERROR(__xludf.DUMMYFUNCTION("""COMPUTED_VALUE"""),500000)</f>
        <v>500000</v>
      </c>
      <c r="D1913" s="22">
        <f ca="1">IFERROR(__xludf.DUMMYFUNCTION("""COMPUTED_VALUE"""),0)</f>
        <v>0</v>
      </c>
      <c r="E1913" s="22">
        <f ca="1">IFERROR(__xludf.DUMMYFUNCTION("""COMPUTED_VALUE"""),500000)</f>
        <v>500000</v>
      </c>
      <c r="F1913" s="22">
        <f ca="1">IFERROR(__xludf.DUMMYFUNCTION("""COMPUTED_VALUE"""),500000)</f>
        <v>500000</v>
      </c>
      <c r="G1913" s="22">
        <f ca="1">IFERROR(__xludf.DUMMYFUNCTION("""COMPUTED_VALUE"""),0)</f>
        <v>0</v>
      </c>
      <c r="H1913" s="7">
        <f ca="1">IFERROR(__xludf.DUMMYFUNCTION("""COMPUTED_VALUE"""),500000)</f>
        <v>500000</v>
      </c>
    </row>
    <row r="1914" spans="1:8" ht="13" x14ac:dyDescent="0.15">
      <c r="A1914" s="5" t="str">
        <f ca="1">IFERROR(__xludf.DUMMYFUNCTION("""COMPUTED_VALUE"""),"39563")</f>
        <v>39563</v>
      </c>
      <c r="B1914" s="51">
        <f ca="1">IFERROR(__xludf.DUMMYFUNCTION("""COMPUTED_VALUE"""),44621)</f>
        <v>44621</v>
      </c>
      <c r="C1914" s="22">
        <f ca="1">IFERROR(__xludf.DUMMYFUNCTION("""COMPUTED_VALUE"""),500000)</f>
        <v>500000</v>
      </c>
      <c r="D1914" s="22">
        <f ca="1">IFERROR(__xludf.DUMMYFUNCTION("""COMPUTED_VALUE"""),0)</f>
        <v>0</v>
      </c>
      <c r="E1914" s="22">
        <f ca="1">IFERROR(__xludf.DUMMYFUNCTION("""COMPUTED_VALUE"""),500000)</f>
        <v>500000</v>
      </c>
      <c r="F1914" s="22">
        <f ca="1">IFERROR(__xludf.DUMMYFUNCTION("""COMPUTED_VALUE"""),500000)</f>
        <v>500000</v>
      </c>
      <c r="G1914" s="22">
        <f ca="1">IFERROR(__xludf.DUMMYFUNCTION("""COMPUTED_VALUE"""),0)</f>
        <v>0</v>
      </c>
      <c r="H1914" s="7">
        <f ca="1">IFERROR(__xludf.DUMMYFUNCTION("""COMPUTED_VALUE"""),500000)</f>
        <v>500000</v>
      </c>
    </row>
    <row r="1915" spans="1:8" ht="13" x14ac:dyDescent="0.15">
      <c r="A1915" s="5" t="str">
        <f ca="1">IFERROR(__xludf.DUMMYFUNCTION("""COMPUTED_VALUE"""),"39563")</f>
        <v>39563</v>
      </c>
      <c r="B1915" s="51">
        <f ca="1">IFERROR(__xludf.DUMMYFUNCTION("""COMPUTED_VALUE"""),44622)</f>
        <v>44622</v>
      </c>
      <c r="C1915" s="22">
        <f ca="1">IFERROR(__xludf.DUMMYFUNCTION("""COMPUTED_VALUE"""),500000)</f>
        <v>500000</v>
      </c>
      <c r="D1915" s="22">
        <f ca="1">IFERROR(__xludf.DUMMYFUNCTION("""COMPUTED_VALUE"""),0)</f>
        <v>0</v>
      </c>
      <c r="E1915" s="22">
        <f ca="1">IFERROR(__xludf.DUMMYFUNCTION("""COMPUTED_VALUE"""),500000)</f>
        <v>500000</v>
      </c>
      <c r="F1915" s="22">
        <f ca="1">IFERROR(__xludf.DUMMYFUNCTION("""COMPUTED_VALUE"""),500000)</f>
        <v>500000</v>
      </c>
      <c r="G1915" s="22">
        <f ca="1">IFERROR(__xludf.DUMMYFUNCTION("""COMPUTED_VALUE"""),0)</f>
        <v>0</v>
      </c>
      <c r="H1915" s="7">
        <f ca="1">IFERROR(__xludf.DUMMYFUNCTION("""COMPUTED_VALUE"""),500000)</f>
        <v>500000</v>
      </c>
    </row>
    <row r="1916" spans="1:8" ht="13" x14ac:dyDescent="0.15">
      <c r="A1916" s="5" t="str">
        <f ca="1">IFERROR(__xludf.DUMMYFUNCTION("""COMPUTED_VALUE"""),"39563")</f>
        <v>39563</v>
      </c>
      <c r="B1916" s="51">
        <f ca="1">IFERROR(__xludf.DUMMYFUNCTION("""COMPUTED_VALUE"""),44623)</f>
        <v>44623</v>
      </c>
      <c r="C1916" s="22">
        <f ca="1">IFERROR(__xludf.DUMMYFUNCTION("""COMPUTED_VALUE"""),500000)</f>
        <v>500000</v>
      </c>
      <c r="D1916" s="22">
        <f ca="1">IFERROR(__xludf.DUMMYFUNCTION("""COMPUTED_VALUE"""),0)</f>
        <v>0</v>
      </c>
      <c r="E1916" s="22">
        <f ca="1">IFERROR(__xludf.DUMMYFUNCTION("""COMPUTED_VALUE"""),500000)</f>
        <v>500000</v>
      </c>
      <c r="F1916" s="22">
        <f ca="1">IFERROR(__xludf.DUMMYFUNCTION("""COMPUTED_VALUE"""),500000)</f>
        <v>500000</v>
      </c>
      <c r="G1916" s="22">
        <f ca="1">IFERROR(__xludf.DUMMYFUNCTION("""COMPUTED_VALUE"""),0)</f>
        <v>0</v>
      </c>
      <c r="H1916" s="7">
        <f ca="1">IFERROR(__xludf.DUMMYFUNCTION("""COMPUTED_VALUE"""),500000)</f>
        <v>500000</v>
      </c>
    </row>
    <row r="1917" spans="1:8" ht="13" x14ac:dyDescent="0.15">
      <c r="A1917" s="5" t="str">
        <f ca="1">IFERROR(__xludf.DUMMYFUNCTION("""COMPUTED_VALUE"""),"39563")</f>
        <v>39563</v>
      </c>
      <c r="B1917" s="51">
        <f ca="1">IFERROR(__xludf.DUMMYFUNCTION("""COMPUTED_VALUE"""),44624)</f>
        <v>44624</v>
      </c>
      <c r="C1917" s="22">
        <f ca="1">IFERROR(__xludf.DUMMYFUNCTION("""COMPUTED_VALUE"""),500000)</f>
        <v>500000</v>
      </c>
      <c r="D1917" s="22">
        <f ca="1">IFERROR(__xludf.DUMMYFUNCTION("""COMPUTED_VALUE"""),0)</f>
        <v>0</v>
      </c>
      <c r="E1917" s="22">
        <f ca="1">IFERROR(__xludf.DUMMYFUNCTION("""COMPUTED_VALUE"""),500000)</f>
        <v>500000</v>
      </c>
      <c r="F1917" s="22">
        <f ca="1">IFERROR(__xludf.DUMMYFUNCTION("""COMPUTED_VALUE"""),500000)</f>
        <v>500000</v>
      </c>
      <c r="G1917" s="22">
        <f ca="1">IFERROR(__xludf.DUMMYFUNCTION("""COMPUTED_VALUE"""),0)</f>
        <v>0</v>
      </c>
      <c r="H1917" s="7">
        <f ca="1">IFERROR(__xludf.DUMMYFUNCTION("""COMPUTED_VALUE"""),500000)</f>
        <v>500000</v>
      </c>
    </row>
    <row r="1918" spans="1:8" ht="13" x14ac:dyDescent="0.15">
      <c r="A1918" s="5" t="str">
        <f ca="1">IFERROR(__xludf.DUMMYFUNCTION("""COMPUTED_VALUE"""),"39563")</f>
        <v>39563</v>
      </c>
      <c r="B1918" s="51">
        <f ca="1">IFERROR(__xludf.DUMMYFUNCTION("""COMPUTED_VALUE"""),44625)</f>
        <v>44625</v>
      </c>
      <c r="C1918" s="22">
        <f ca="1">IFERROR(__xludf.DUMMYFUNCTION("""COMPUTED_VALUE"""),500000)</f>
        <v>500000</v>
      </c>
      <c r="D1918" s="22">
        <f ca="1">IFERROR(__xludf.DUMMYFUNCTION("""COMPUTED_VALUE"""),0)</f>
        <v>0</v>
      </c>
      <c r="E1918" s="22">
        <f ca="1">IFERROR(__xludf.DUMMYFUNCTION("""COMPUTED_VALUE"""),500000)</f>
        <v>500000</v>
      </c>
      <c r="F1918" s="22">
        <f ca="1">IFERROR(__xludf.DUMMYFUNCTION("""COMPUTED_VALUE"""),500000)</f>
        <v>500000</v>
      </c>
      <c r="G1918" s="22">
        <f ca="1">IFERROR(__xludf.DUMMYFUNCTION("""COMPUTED_VALUE"""),0)</f>
        <v>0</v>
      </c>
      <c r="H1918" s="7">
        <f ca="1">IFERROR(__xludf.DUMMYFUNCTION("""COMPUTED_VALUE"""),500000)</f>
        <v>500000</v>
      </c>
    </row>
    <row r="1919" spans="1:8" ht="13" x14ac:dyDescent="0.15">
      <c r="A1919" s="5" t="str">
        <f ca="1">IFERROR(__xludf.DUMMYFUNCTION("""COMPUTED_VALUE"""),"39563")</f>
        <v>39563</v>
      </c>
      <c r="B1919" s="51">
        <f ca="1">IFERROR(__xludf.DUMMYFUNCTION("""COMPUTED_VALUE"""),44626)</f>
        <v>44626</v>
      </c>
      <c r="C1919" s="22">
        <f ca="1">IFERROR(__xludf.DUMMYFUNCTION("""COMPUTED_VALUE"""),500000)</f>
        <v>500000</v>
      </c>
      <c r="D1919" s="22">
        <f ca="1">IFERROR(__xludf.DUMMYFUNCTION("""COMPUTED_VALUE"""),0)</f>
        <v>0</v>
      </c>
      <c r="E1919" s="22">
        <f ca="1">IFERROR(__xludf.DUMMYFUNCTION("""COMPUTED_VALUE"""),500000)</f>
        <v>500000</v>
      </c>
      <c r="F1919" s="22">
        <f ca="1">IFERROR(__xludf.DUMMYFUNCTION("""COMPUTED_VALUE"""),500000)</f>
        <v>500000</v>
      </c>
      <c r="G1919" s="22">
        <f ca="1">IFERROR(__xludf.DUMMYFUNCTION("""COMPUTED_VALUE"""),0)</f>
        <v>0</v>
      </c>
      <c r="H1919" s="7">
        <f ca="1">IFERROR(__xludf.DUMMYFUNCTION("""COMPUTED_VALUE"""),500000)</f>
        <v>500000</v>
      </c>
    </row>
    <row r="1920" spans="1:8" ht="13" x14ac:dyDescent="0.15">
      <c r="A1920" s="5" t="str">
        <f ca="1">IFERROR(__xludf.DUMMYFUNCTION("""COMPUTED_VALUE"""),"39563")</f>
        <v>39563</v>
      </c>
      <c r="B1920" s="51">
        <f ca="1">IFERROR(__xludf.DUMMYFUNCTION("""COMPUTED_VALUE"""),44627)</f>
        <v>44627</v>
      </c>
      <c r="C1920" s="22">
        <f ca="1">IFERROR(__xludf.DUMMYFUNCTION("""COMPUTED_VALUE"""),500000)</f>
        <v>500000</v>
      </c>
      <c r="D1920" s="22">
        <f ca="1">IFERROR(__xludf.DUMMYFUNCTION("""COMPUTED_VALUE"""),0)</f>
        <v>0</v>
      </c>
      <c r="E1920" s="22">
        <f ca="1">IFERROR(__xludf.DUMMYFUNCTION("""COMPUTED_VALUE"""),500000)</f>
        <v>500000</v>
      </c>
      <c r="F1920" s="22">
        <f ca="1">IFERROR(__xludf.DUMMYFUNCTION("""COMPUTED_VALUE"""),500000)</f>
        <v>500000</v>
      </c>
      <c r="G1920" s="22">
        <f ca="1">IFERROR(__xludf.DUMMYFUNCTION("""COMPUTED_VALUE"""),0)</f>
        <v>0</v>
      </c>
      <c r="H1920" s="7">
        <f ca="1">IFERROR(__xludf.DUMMYFUNCTION("""COMPUTED_VALUE"""),500000)</f>
        <v>500000</v>
      </c>
    </row>
    <row r="1921" spans="1:8" ht="13" x14ac:dyDescent="0.15">
      <c r="A1921" s="5" t="str">
        <f ca="1">IFERROR(__xludf.DUMMYFUNCTION("""COMPUTED_VALUE"""),"39563")</f>
        <v>39563</v>
      </c>
      <c r="B1921" s="51">
        <f ca="1">IFERROR(__xludf.DUMMYFUNCTION("""COMPUTED_VALUE"""),44628)</f>
        <v>44628</v>
      </c>
      <c r="C1921" s="22">
        <f ca="1">IFERROR(__xludf.DUMMYFUNCTION("""COMPUTED_VALUE"""),500000)</f>
        <v>500000</v>
      </c>
      <c r="D1921" s="22">
        <f ca="1">IFERROR(__xludf.DUMMYFUNCTION("""COMPUTED_VALUE"""),0)</f>
        <v>0</v>
      </c>
      <c r="E1921" s="22">
        <f ca="1">IFERROR(__xludf.DUMMYFUNCTION("""COMPUTED_VALUE"""),500000)</f>
        <v>500000</v>
      </c>
      <c r="F1921" s="22">
        <f ca="1">IFERROR(__xludf.DUMMYFUNCTION("""COMPUTED_VALUE"""),500000)</f>
        <v>500000</v>
      </c>
      <c r="G1921" s="22">
        <f ca="1">IFERROR(__xludf.DUMMYFUNCTION("""COMPUTED_VALUE"""),0)</f>
        <v>0</v>
      </c>
      <c r="H1921" s="7">
        <f ca="1">IFERROR(__xludf.DUMMYFUNCTION("""COMPUTED_VALUE"""),500000)</f>
        <v>500000</v>
      </c>
    </row>
    <row r="1922" spans="1:8" ht="13" x14ac:dyDescent="0.15">
      <c r="A1922" s="5" t="str">
        <f ca="1">IFERROR(__xludf.DUMMYFUNCTION("""COMPUTED_VALUE"""),"39563")</f>
        <v>39563</v>
      </c>
      <c r="B1922" s="51">
        <f ca="1">IFERROR(__xludf.DUMMYFUNCTION("""COMPUTED_VALUE"""),44629)</f>
        <v>44629</v>
      </c>
      <c r="C1922" s="22">
        <f ca="1">IFERROR(__xludf.DUMMYFUNCTION("""COMPUTED_VALUE"""),500000)</f>
        <v>500000</v>
      </c>
      <c r="D1922" s="22">
        <f ca="1">IFERROR(__xludf.DUMMYFUNCTION("""COMPUTED_VALUE"""),0)</f>
        <v>0</v>
      </c>
      <c r="E1922" s="22">
        <f ca="1">IFERROR(__xludf.DUMMYFUNCTION("""COMPUTED_VALUE"""),500000)</f>
        <v>500000</v>
      </c>
      <c r="F1922" s="22">
        <f ca="1">IFERROR(__xludf.DUMMYFUNCTION("""COMPUTED_VALUE"""),500000)</f>
        <v>500000</v>
      </c>
      <c r="G1922" s="22">
        <f ca="1">IFERROR(__xludf.DUMMYFUNCTION("""COMPUTED_VALUE"""),0)</f>
        <v>0</v>
      </c>
      <c r="H1922" s="7">
        <f ca="1">IFERROR(__xludf.DUMMYFUNCTION("""COMPUTED_VALUE"""),500000)</f>
        <v>500000</v>
      </c>
    </row>
    <row r="1923" spans="1:8" ht="13" x14ac:dyDescent="0.15">
      <c r="A1923" s="5" t="str">
        <f ca="1">IFERROR(__xludf.DUMMYFUNCTION("""COMPUTED_VALUE"""),"39563")</f>
        <v>39563</v>
      </c>
      <c r="B1923" s="51">
        <f ca="1">IFERROR(__xludf.DUMMYFUNCTION("""COMPUTED_VALUE"""),44630)</f>
        <v>44630</v>
      </c>
      <c r="C1923" s="22">
        <f ca="1">IFERROR(__xludf.DUMMYFUNCTION("""COMPUTED_VALUE"""),500000)</f>
        <v>500000</v>
      </c>
      <c r="D1923" s="22">
        <f ca="1">IFERROR(__xludf.DUMMYFUNCTION("""COMPUTED_VALUE"""),0)</f>
        <v>0</v>
      </c>
      <c r="E1923" s="22">
        <f ca="1">IFERROR(__xludf.DUMMYFUNCTION("""COMPUTED_VALUE"""),500000)</f>
        <v>500000</v>
      </c>
      <c r="F1923" s="22">
        <f ca="1">IFERROR(__xludf.DUMMYFUNCTION("""COMPUTED_VALUE"""),500000)</f>
        <v>500000</v>
      </c>
      <c r="G1923" s="22">
        <f ca="1">IFERROR(__xludf.DUMMYFUNCTION("""COMPUTED_VALUE"""),0)</f>
        <v>0</v>
      </c>
      <c r="H1923" s="7">
        <f ca="1">IFERROR(__xludf.DUMMYFUNCTION("""COMPUTED_VALUE"""),500000)</f>
        <v>500000</v>
      </c>
    </row>
    <row r="1924" spans="1:8" ht="13" x14ac:dyDescent="0.15">
      <c r="A1924" s="5" t="str">
        <f ca="1">IFERROR(__xludf.DUMMYFUNCTION("""COMPUTED_VALUE"""),"39563")</f>
        <v>39563</v>
      </c>
      <c r="B1924" s="51">
        <f ca="1">IFERROR(__xludf.DUMMYFUNCTION("""COMPUTED_VALUE"""),44631)</f>
        <v>44631</v>
      </c>
      <c r="C1924" s="22">
        <f ca="1">IFERROR(__xludf.DUMMYFUNCTION("""COMPUTED_VALUE"""),500000)</f>
        <v>500000</v>
      </c>
      <c r="D1924" s="22">
        <f ca="1">IFERROR(__xludf.DUMMYFUNCTION("""COMPUTED_VALUE"""),0)</f>
        <v>0</v>
      </c>
      <c r="E1924" s="22">
        <f ca="1">IFERROR(__xludf.DUMMYFUNCTION("""COMPUTED_VALUE"""),500000)</f>
        <v>500000</v>
      </c>
      <c r="F1924" s="22">
        <f ca="1">IFERROR(__xludf.DUMMYFUNCTION("""COMPUTED_VALUE"""),500000)</f>
        <v>500000</v>
      </c>
      <c r="G1924" s="22">
        <f ca="1">IFERROR(__xludf.DUMMYFUNCTION("""COMPUTED_VALUE"""),0)</f>
        <v>0</v>
      </c>
      <c r="H1924" s="7">
        <f ca="1">IFERROR(__xludf.DUMMYFUNCTION("""COMPUTED_VALUE"""),500000)</f>
        <v>500000</v>
      </c>
    </row>
    <row r="1925" spans="1:8" ht="13" x14ac:dyDescent="0.15">
      <c r="A1925" s="5" t="str">
        <f ca="1">IFERROR(__xludf.DUMMYFUNCTION("""COMPUTED_VALUE"""),"39563")</f>
        <v>39563</v>
      </c>
      <c r="B1925" s="51">
        <f ca="1">IFERROR(__xludf.DUMMYFUNCTION("""COMPUTED_VALUE"""),44632)</f>
        <v>44632</v>
      </c>
      <c r="C1925" s="22">
        <f ca="1">IFERROR(__xludf.DUMMYFUNCTION("""COMPUTED_VALUE"""),500000)</f>
        <v>500000</v>
      </c>
      <c r="D1925" s="22">
        <f ca="1">IFERROR(__xludf.DUMMYFUNCTION("""COMPUTED_VALUE"""),0)</f>
        <v>0</v>
      </c>
      <c r="E1925" s="22">
        <f ca="1">IFERROR(__xludf.DUMMYFUNCTION("""COMPUTED_VALUE"""),500000)</f>
        <v>500000</v>
      </c>
      <c r="F1925" s="22">
        <f ca="1">IFERROR(__xludf.DUMMYFUNCTION("""COMPUTED_VALUE"""),500000)</f>
        <v>500000</v>
      </c>
      <c r="G1925" s="22">
        <f ca="1">IFERROR(__xludf.DUMMYFUNCTION("""COMPUTED_VALUE"""),0)</f>
        <v>0</v>
      </c>
      <c r="H1925" s="7">
        <f ca="1">IFERROR(__xludf.DUMMYFUNCTION("""COMPUTED_VALUE"""),500000)</f>
        <v>500000</v>
      </c>
    </row>
    <row r="1926" spans="1:8" ht="13" x14ac:dyDescent="0.15">
      <c r="A1926" s="5" t="str">
        <f ca="1">IFERROR(__xludf.DUMMYFUNCTION("""COMPUTED_VALUE"""),"39563")</f>
        <v>39563</v>
      </c>
      <c r="B1926" s="51">
        <f ca="1">IFERROR(__xludf.DUMMYFUNCTION("""COMPUTED_VALUE"""),44633)</f>
        <v>44633</v>
      </c>
      <c r="C1926" s="22">
        <f ca="1">IFERROR(__xludf.DUMMYFUNCTION("""COMPUTED_VALUE"""),500000)</f>
        <v>500000</v>
      </c>
      <c r="D1926" s="22">
        <f ca="1">IFERROR(__xludf.DUMMYFUNCTION("""COMPUTED_VALUE"""),0)</f>
        <v>0</v>
      </c>
      <c r="E1926" s="22">
        <f ca="1">IFERROR(__xludf.DUMMYFUNCTION("""COMPUTED_VALUE"""),500000)</f>
        <v>500000</v>
      </c>
      <c r="F1926" s="22">
        <f ca="1">IFERROR(__xludf.DUMMYFUNCTION("""COMPUTED_VALUE"""),500000)</f>
        <v>500000</v>
      </c>
      <c r="G1926" s="22">
        <f ca="1">IFERROR(__xludf.DUMMYFUNCTION("""COMPUTED_VALUE"""),0)</f>
        <v>0</v>
      </c>
      <c r="H1926" s="7">
        <f ca="1">IFERROR(__xludf.DUMMYFUNCTION("""COMPUTED_VALUE"""),500000)</f>
        <v>500000</v>
      </c>
    </row>
    <row r="1927" spans="1:8" ht="13" x14ac:dyDescent="0.15">
      <c r="A1927" s="5" t="str">
        <f ca="1">IFERROR(__xludf.DUMMYFUNCTION("""COMPUTED_VALUE"""),"39563")</f>
        <v>39563</v>
      </c>
      <c r="B1927" s="51">
        <f ca="1">IFERROR(__xludf.DUMMYFUNCTION("""COMPUTED_VALUE"""),44634)</f>
        <v>44634</v>
      </c>
      <c r="C1927" s="22">
        <f ca="1">IFERROR(__xludf.DUMMYFUNCTION("""COMPUTED_VALUE"""),500000)</f>
        <v>500000</v>
      </c>
      <c r="D1927" s="22">
        <f ca="1">IFERROR(__xludf.DUMMYFUNCTION("""COMPUTED_VALUE"""),0)</f>
        <v>0</v>
      </c>
      <c r="E1927" s="22">
        <f ca="1">IFERROR(__xludf.DUMMYFUNCTION("""COMPUTED_VALUE"""),500000)</f>
        <v>500000</v>
      </c>
      <c r="F1927" s="22">
        <f ca="1">IFERROR(__xludf.DUMMYFUNCTION("""COMPUTED_VALUE"""),500000)</f>
        <v>500000</v>
      </c>
      <c r="G1927" s="22">
        <f ca="1">IFERROR(__xludf.DUMMYFUNCTION("""COMPUTED_VALUE"""),0)</f>
        <v>0</v>
      </c>
      <c r="H1927" s="7">
        <f ca="1">IFERROR(__xludf.DUMMYFUNCTION("""COMPUTED_VALUE"""),500000)</f>
        <v>500000</v>
      </c>
    </row>
    <row r="1928" spans="1:8" ht="13" x14ac:dyDescent="0.15">
      <c r="A1928" s="5" t="str">
        <f ca="1">IFERROR(__xludf.DUMMYFUNCTION("""COMPUTED_VALUE"""),"39563")</f>
        <v>39563</v>
      </c>
      <c r="B1928" s="51">
        <f ca="1">IFERROR(__xludf.DUMMYFUNCTION("""COMPUTED_VALUE"""),44635)</f>
        <v>44635</v>
      </c>
      <c r="C1928" s="22">
        <f ca="1">IFERROR(__xludf.DUMMYFUNCTION("""COMPUTED_VALUE"""),500000)</f>
        <v>500000</v>
      </c>
      <c r="D1928" s="22">
        <f ca="1">IFERROR(__xludf.DUMMYFUNCTION("""COMPUTED_VALUE"""),0)</f>
        <v>0</v>
      </c>
      <c r="E1928" s="22">
        <f ca="1">IFERROR(__xludf.DUMMYFUNCTION("""COMPUTED_VALUE"""),500000)</f>
        <v>500000</v>
      </c>
      <c r="F1928" s="22">
        <f ca="1">IFERROR(__xludf.DUMMYFUNCTION("""COMPUTED_VALUE"""),500000)</f>
        <v>500000</v>
      </c>
      <c r="G1928" s="22">
        <f ca="1">IFERROR(__xludf.DUMMYFUNCTION("""COMPUTED_VALUE"""),0)</f>
        <v>0</v>
      </c>
      <c r="H1928" s="7">
        <f ca="1">IFERROR(__xludf.DUMMYFUNCTION("""COMPUTED_VALUE"""),500000)</f>
        <v>500000</v>
      </c>
    </row>
    <row r="1929" spans="1:8" ht="13" x14ac:dyDescent="0.15">
      <c r="A1929" s="5" t="str">
        <f ca="1">IFERROR(__xludf.DUMMYFUNCTION("""COMPUTED_VALUE"""),"39563")</f>
        <v>39563</v>
      </c>
      <c r="B1929" s="51">
        <f ca="1">IFERROR(__xludf.DUMMYFUNCTION("""COMPUTED_VALUE"""),44636)</f>
        <v>44636</v>
      </c>
      <c r="C1929" s="22">
        <f ca="1">IFERROR(__xludf.DUMMYFUNCTION("""COMPUTED_VALUE"""),500000)</f>
        <v>500000</v>
      </c>
      <c r="D1929" s="22">
        <f ca="1">IFERROR(__xludf.DUMMYFUNCTION("""COMPUTED_VALUE"""),0)</f>
        <v>0</v>
      </c>
      <c r="E1929" s="22">
        <f ca="1">IFERROR(__xludf.DUMMYFUNCTION("""COMPUTED_VALUE"""),500000)</f>
        <v>500000</v>
      </c>
      <c r="F1929" s="22">
        <f ca="1">IFERROR(__xludf.DUMMYFUNCTION("""COMPUTED_VALUE"""),500000)</f>
        <v>500000</v>
      </c>
      <c r="G1929" s="22">
        <f ca="1">IFERROR(__xludf.DUMMYFUNCTION("""COMPUTED_VALUE"""),0)</f>
        <v>0</v>
      </c>
      <c r="H1929" s="7">
        <f ca="1">IFERROR(__xludf.DUMMYFUNCTION("""COMPUTED_VALUE"""),500000)</f>
        <v>500000</v>
      </c>
    </row>
    <row r="1930" spans="1:8" ht="13" x14ac:dyDescent="0.15">
      <c r="A1930" s="5" t="str">
        <f ca="1">IFERROR(__xludf.DUMMYFUNCTION("""COMPUTED_VALUE"""),"39563")</f>
        <v>39563</v>
      </c>
      <c r="B1930" s="51">
        <f ca="1">IFERROR(__xludf.DUMMYFUNCTION("""COMPUTED_VALUE"""),44637)</f>
        <v>44637</v>
      </c>
      <c r="C1930" s="22">
        <f ca="1">IFERROR(__xludf.DUMMYFUNCTION("""COMPUTED_VALUE"""),500000)</f>
        <v>500000</v>
      </c>
      <c r="D1930" s="22">
        <f ca="1">IFERROR(__xludf.DUMMYFUNCTION("""COMPUTED_VALUE"""),0)</f>
        <v>0</v>
      </c>
      <c r="E1930" s="22">
        <f ca="1">IFERROR(__xludf.DUMMYFUNCTION("""COMPUTED_VALUE"""),500000)</f>
        <v>500000</v>
      </c>
      <c r="F1930" s="22">
        <f ca="1">IFERROR(__xludf.DUMMYFUNCTION("""COMPUTED_VALUE"""),500000)</f>
        <v>500000</v>
      </c>
      <c r="G1930" s="22">
        <f ca="1">IFERROR(__xludf.DUMMYFUNCTION("""COMPUTED_VALUE"""),0)</f>
        <v>0</v>
      </c>
      <c r="H1930" s="7">
        <f ca="1">IFERROR(__xludf.DUMMYFUNCTION("""COMPUTED_VALUE"""),500000)</f>
        <v>500000</v>
      </c>
    </row>
    <row r="1931" spans="1:8" ht="13" x14ac:dyDescent="0.15">
      <c r="A1931" s="5" t="str">
        <f ca="1">IFERROR(__xludf.DUMMYFUNCTION("""COMPUTED_VALUE"""),"39563")</f>
        <v>39563</v>
      </c>
      <c r="B1931" s="51">
        <f ca="1">IFERROR(__xludf.DUMMYFUNCTION("""COMPUTED_VALUE"""),44638)</f>
        <v>44638</v>
      </c>
      <c r="C1931" s="22">
        <f ca="1">IFERROR(__xludf.DUMMYFUNCTION("""COMPUTED_VALUE"""),500000)</f>
        <v>500000</v>
      </c>
      <c r="D1931" s="22">
        <f ca="1">IFERROR(__xludf.DUMMYFUNCTION("""COMPUTED_VALUE"""),0)</f>
        <v>0</v>
      </c>
      <c r="E1931" s="22">
        <f ca="1">IFERROR(__xludf.DUMMYFUNCTION("""COMPUTED_VALUE"""),500000)</f>
        <v>500000</v>
      </c>
      <c r="F1931" s="22">
        <f ca="1">IFERROR(__xludf.DUMMYFUNCTION("""COMPUTED_VALUE"""),500000)</f>
        <v>500000</v>
      </c>
      <c r="G1931" s="22">
        <f ca="1">IFERROR(__xludf.DUMMYFUNCTION("""COMPUTED_VALUE"""),0)</f>
        <v>0</v>
      </c>
      <c r="H1931" s="7">
        <f ca="1">IFERROR(__xludf.DUMMYFUNCTION("""COMPUTED_VALUE"""),500000)</f>
        <v>500000</v>
      </c>
    </row>
    <row r="1932" spans="1:8" ht="13" x14ac:dyDescent="0.15">
      <c r="A1932" s="5" t="str">
        <f ca="1">IFERROR(__xludf.DUMMYFUNCTION("""COMPUTED_VALUE"""),"39563")</f>
        <v>39563</v>
      </c>
      <c r="B1932" s="51">
        <f ca="1">IFERROR(__xludf.DUMMYFUNCTION("""COMPUTED_VALUE"""),44639)</f>
        <v>44639</v>
      </c>
      <c r="C1932" s="22">
        <f ca="1">IFERROR(__xludf.DUMMYFUNCTION("""COMPUTED_VALUE"""),500000)</f>
        <v>500000</v>
      </c>
      <c r="D1932" s="22">
        <f ca="1">IFERROR(__xludf.DUMMYFUNCTION("""COMPUTED_VALUE"""),0)</f>
        <v>0</v>
      </c>
      <c r="E1932" s="22">
        <f ca="1">IFERROR(__xludf.DUMMYFUNCTION("""COMPUTED_VALUE"""),500000)</f>
        <v>500000</v>
      </c>
      <c r="F1932" s="22">
        <f ca="1">IFERROR(__xludf.DUMMYFUNCTION("""COMPUTED_VALUE"""),500000)</f>
        <v>500000</v>
      </c>
      <c r="G1932" s="22">
        <f ca="1">IFERROR(__xludf.DUMMYFUNCTION("""COMPUTED_VALUE"""),0)</f>
        <v>0</v>
      </c>
      <c r="H1932" s="7">
        <f ca="1">IFERROR(__xludf.DUMMYFUNCTION("""COMPUTED_VALUE"""),500000)</f>
        <v>500000</v>
      </c>
    </row>
    <row r="1933" spans="1:8" ht="13" x14ac:dyDescent="0.15">
      <c r="A1933" s="5" t="str">
        <f ca="1">IFERROR(__xludf.DUMMYFUNCTION("""COMPUTED_VALUE"""),"39563")</f>
        <v>39563</v>
      </c>
      <c r="B1933" s="51">
        <f ca="1">IFERROR(__xludf.DUMMYFUNCTION("""COMPUTED_VALUE"""),44640)</f>
        <v>44640</v>
      </c>
      <c r="C1933" s="22">
        <f ca="1">IFERROR(__xludf.DUMMYFUNCTION("""COMPUTED_VALUE"""),500000)</f>
        <v>500000</v>
      </c>
      <c r="D1933" s="22">
        <f ca="1">IFERROR(__xludf.DUMMYFUNCTION("""COMPUTED_VALUE"""),0)</f>
        <v>0</v>
      </c>
      <c r="E1933" s="22">
        <f ca="1">IFERROR(__xludf.DUMMYFUNCTION("""COMPUTED_VALUE"""),500000)</f>
        <v>500000</v>
      </c>
      <c r="F1933" s="22">
        <f ca="1">IFERROR(__xludf.DUMMYFUNCTION("""COMPUTED_VALUE"""),500000)</f>
        <v>500000</v>
      </c>
      <c r="G1933" s="22">
        <f ca="1">IFERROR(__xludf.DUMMYFUNCTION("""COMPUTED_VALUE"""),0)</f>
        <v>0</v>
      </c>
      <c r="H1933" s="7">
        <f ca="1">IFERROR(__xludf.DUMMYFUNCTION("""COMPUTED_VALUE"""),500000)</f>
        <v>500000</v>
      </c>
    </row>
    <row r="1934" spans="1:8" ht="13" x14ac:dyDescent="0.15">
      <c r="A1934" s="5" t="str">
        <f ca="1">IFERROR(__xludf.DUMMYFUNCTION("""COMPUTED_VALUE"""),"39563")</f>
        <v>39563</v>
      </c>
      <c r="B1934" s="51">
        <f ca="1">IFERROR(__xludf.DUMMYFUNCTION("""COMPUTED_VALUE"""),44641)</f>
        <v>44641</v>
      </c>
      <c r="C1934" s="22">
        <f ca="1">IFERROR(__xludf.DUMMYFUNCTION("""COMPUTED_VALUE"""),500000)</f>
        <v>500000</v>
      </c>
      <c r="D1934" s="22">
        <f ca="1">IFERROR(__xludf.DUMMYFUNCTION("""COMPUTED_VALUE"""),0)</f>
        <v>0</v>
      </c>
      <c r="E1934" s="22">
        <f ca="1">IFERROR(__xludf.DUMMYFUNCTION("""COMPUTED_VALUE"""),500000)</f>
        <v>500000</v>
      </c>
      <c r="F1934" s="22">
        <f ca="1">IFERROR(__xludf.DUMMYFUNCTION("""COMPUTED_VALUE"""),500000)</f>
        <v>500000</v>
      </c>
      <c r="G1934" s="22">
        <f ca="1">IFERROR(__xludf.DUMMYFUNCTION("""COMPUTED_VALUE"""),0)</f>
        <v>0</v>
      </c>
      <c r="H1934" s="7">
        <f ca="1">IFERROR(__xludf.DUMMYFUNCTION("""COMPUTED_VALUE"""),500000)</f>
        <v>500000</v>
      </c>
    </row>
    <row r="1935" spans="1:8" ht="13" x14ac:dyDescent="0.15">
      <c r="A1935" s="5" t="str">
        <f ca="1">IFERROR(__xludf.DUMMYFUNCTION("""COMPUTED_VALUE"""),"39563")</f>
        <v>39563</v>
      </c>
      <c r="B1935" s="51">
        <f ca="1">IFERROR(__xludf.DUMMYFUNCTION("""COMPUTED_VALUE"""),44642)</f>
        <v>44642</v>
      </c>
      <c r="C1935" s="22">
        <f ca="1">IFERROR(__xludf.DUMMYFUNCTION("""COMPUTED_VALUE"""),500000)</f>
        <v>500000</v>
      </c>
      <c r="D1935" s="22">
        <f ca="1">IFERROR(__xludf.DUMMYFUNCTION("""COMPUTED_VALUE"""),0)</f>
        <v>0</v>
      </c>
      <c r="E1935" s="22">
        <f ca="1">IFERROR(__xludf.DUMMYFUNCTION("""COMPUTED_VALUE"""),500000)</f>
        <v>500000</v>
      </c>
      <c r="F1935" s="22">
        <f ca="1">IFERROR(__xludf.DUMMYFUNCTION("""COMPUTED_VALUE"""),500000)</f>
        <v>500000</v>
      </c>
      <c r="G1935" s="22">
        <f ca="1">IFERROR(__xludf.DUMMYFUNCTION("""COMPUTED_VALUE"""),0)</f>
        <v>0</v>
      </c>
      <c r="H1935" s="7">
        <f ca="1">IFERROR(__xludf.DUMMYFUNCTION("""COMPUTED_VALUE"""),500000)</f>
        <v>500000</v>
      </c>
    </row>
    <row r="1936" spans="1:8" ht="13" x14ac:dyDescent="0.15">
      <c r="A1936" s="5" t="str">
        <f ca="1">IFERROR(__xludf.DUMMYFUNCTION("""COMPUTED_VALUE"""),"39608")</f>
        <v>39608</v>
      </c>
      <c r="B1936" s="51">
        <f ca="1">IFERROR(__xludf.DUMMYFUNCTION("""COMPUTED_VALUE"""),44597)</f>
        <v>44597</v>
      </c>
      <c r="C1936" s="22">
        <f ca="1">IFERROR(__xludf.DUMMYFUNCTION("""COMPUTED_VALUE"""),500000)</f>
        <v>500000</v>
      </c>
      <c r="D1936" s="22">
        <f ca="1">IFERROR(__xludf.DUMMYFUNCTION("""COMPUTED_VALUE"""),0)</f>
        <v>0</v>
      </c>
      <c r="E1936" s="22">
        <f ca="1">IFERROR(__xludf.DUMMYFUNCTION("""COMPUTED_VALUE"""),500000)</f>
        <v>500000</v>
      </c>
      <c r="F1936" s="22">
        <f ca="1">IFERROR(__xludf.DUMMYFUNCTION("""COMPUTED_VALUE"""),500000)</f>
        <v>500000</v>
      </c>
      <c r="G1936" s="22">
        <f ca="1">IFERROR(__xludf.DUMMYFUNCTION("""COMPUTED_VALUE"""),0)</f>
        <v>0</v>
      </c>
      <c r="H1936" s="7">
        <f ca="1">IFERROR(__xludf.DUMMYFUNCTION("""COMPUTED_VALUE"""),500000)</f>
        <v>500000</v>
      </c>
    </row>
    <row r="1937" spans="1:8" ht="13" x14ac:dyDescent="0.15">
      <c r="A1937" s="5" t="str">
        <f ca="1">IFERROR(__xludf.DUMMYFUNCTION("""COMPUTED_VALUE"""),"39608")</f>
        <v>39608</v>
      </c>
      <c r="B1937" s="51">
        <f ca="1">IFERROR(__xludf.DUMMYFUNCTION("""COMPUTED_VALUE"""),44598)</f>
        <v>44598</v>
      </c>
      <c r="C1937" s="22">
        <f ca="1">IFERROR(__xludf.DUMMYFUNCTION("""COMPUTED_VALUE"""),500000)</f>
        <v>500000</v>
      </c>
      <c r="D1937" s="22">
        <f ca="1">IFERROR(__xludf.DUMMYFUNCTION("""COMPUTED_VALUE"""),0)</f>
        <v>0</v>
      </c>
      <c r="E1937" s="22">
        <f ca="1">IFERROR(__xludf.DUMMYFUNCTION("""COMPUTED_VALUE"""),500000)</f>
        <v>500000</v>
      </c>
      <c r="F1937" s="22">
        <f ca="1">IFERROR(__xludf.DUMMYFUNCTION("""COMPUTED_VALUE"""),500000)</f>
        <v>500000</v>
      </c>
      <c r="G1937" s="22">
        <f ca="1">IFERROR(__xludf.DUMMYFUNCTION("""COMPUTED_VALUE"""),0)</f>
        <v>0</v>
      </c>
      <c r="H1937" s="7">
        <f ca="1">IFERROR(__xludf.DUMMYFUNCTION("""COMPUTED_VALUE"""),500000)</f>
        <v>500000</v>
      </c>
    </row>
    <row r="1938" spans="1:8" ht="13" x14ac:dyDescent="0.15">
      <c r="A1938" s="5" t="str">
        <f ca="1">IFERROR(__xludf.DUMMYFUNCTION("""COMPUTED_VALUE"""),"39608")</f>
        <v>39608</v>
      </c>
      <c r="B1938" s="51">
        <f ca="1">IFERROR(__xludf.DUMMYFUNCTION("""COMPUTED_VALUE"""),44599)</f>
        <v>44599</v>
      </c>
      <c r="C1938" s="22">
        <f ca="1">IFERROR(__xludf.DUMMYFUNCTION("""COMPUTED_VALUE"""),500000)</f>
        <v>500000</v>
      </c>
      <c r="D1938" s="22">
        <f ca="1">IFERROR(__xludf.DUMMYFUNCTION("""COMPUTED_VALUE"""),0)</f>
        <v>0</v>
      </c>
      <c r="E1938" s="22">
        <f ca="1">IFERROR(__xludf.DUMMYFUNCTION("""COMPUTED_VALUE"""),500000)</f>
        <v>500000</v>
      </c>
      <c r="F1938" s="22">
        <f ca="1">IFERROR(__xludf.DUMMYFUNCTION("""COMPUTED_VALUE"""),500000)</f>
        <v>500000</v>
      </c>
      <c r="G1938" s="22">
        <f ca="1">IFERROR(__xludf.DUMMYFUNCTION("""COMPUTED_VALUE"""),0)</f>
        <v>0</v>
      </c>
      <c r="H1938" s="7">
        <f ca="1">IFERROR(__xludf.DUMMYFUNCTION("""COMPUTED_VALUE"""),500000)</f>
        <v>500000</v>
      </c>
    </row>
    <row r="1939" spans="1:8" ht="13" x14ac:dyDescent="0.15">
      <c r="A1939" s="5" t="str">
        <f ca="1">IFERROR(__xludf.DUMMYFUNCTION("""COMPUTED_VALUE"""),"39608")</f>
        <v>39608</v>
      </c>
      <c r="B1939" s="51">
        <f ca="1">IFERROR(__xludf.DUMMYFUNCTION("""COMPUTED_VALUE"""),44600)</f>
        <v>44600</v>
      </c>
      <c r="C1939" s="22">
        <f ca="1">IFERROR(__xludf.DUMMYFUNCTION("""COMPUTED_VALUE"""),500000)</f>
        <v>500000</v>
      </c>
      <c r="D1939" s="22">
        <f ca="1">IFERROR(__xludf.DUMMYFUNCTION("""COMPUTED_VALUE"""),0)</f>
        <v>0</v>
      </c>
      <c r="E1939" s="22">
        <f ca="1">IFERROR(__xludf.DUMMYFUNCTION("""COMPUTED_VALUE"""),500000)</f>
        <v>500000</v>
      </c>
      <c r="F1939" s="22">
        <f ca="1">IFERROR(__xludf.DUMMYFUNCTION("""COMPUTED_VALUE"""),500000)</f>
        <v>500000</v>
      </c>
      <c r="G1939" s="22">
        <f ca="1">IFERROR(__xludf.DUMMYFUNCTION("""COMPUTED_VALUE"""),0)</f>
        <v>0</v>
      </c>
      <c r="H1939" s="7">
        <f ca="1">IFERROR(__xludf.DUMMYFUNCTION("""COMPUTED_VALUE"""),500000)</f>
        <v>500000</v>
      </c>
    </row>
    <row r="1940" spans="1:8" ht="13" x14ac:dyDescent="0.15">
      <c r="A1940" s="5" t="str">
        <f ca="1">IFERROR(__xludf.DUMMYFUNCTION("""COMPUTED_VALUE"""),"39608")</f>
        <v>39608</v>
      </c>
      <c r="B1940" s="51">
        <f ca="1">IFERROR(__xludf.DUMMYFUNCTION("""COMPUTED_VALUE"""),44601)</f>
        <v>44601</v>
      </c>
      <c r="C1940" s="22">
        <f ca="1">IFERROR(__xludf.DUMMYFUNCTION("""COMPUTED_VALUE"""),500000)</f>
        <v>500000</v>
      </c>
      <c r="D1940" s="22">
        <f ca="1">IFERROR(__xludf.DUMMYFUNCTION("""COMPUTED_VALUE"""),0)</f>
        <v>0</v>
      </c>
      <c r="E1940" s="22">
        <f ca="1">IFERROR(__xludf.DUMMYFUNCTION("""COMPUTED_VALUE"""),500000)</f>
        <v>500000</v>
      </c>
      <c r="F1940" s="22">
        <f ca="1">IFERROR(__xludf.DUMMYFUNCTION("""COMPUTED_VALUE"""),500000)</f>
        <v>500000</v>
      </c>
      <c r="G1940" s="22">
        <f ca="1">IFERROR(__xludf.DUMMYFUNCTION("""COMPUTED_VALUE"""),0)</f>
        <v>0</v>
      </c>
      <c r="H1940" s="7">
        <f ca="1">IFERROR(__xludf.DUMMYFUNCTION("""COMPUTED_VALUE"""),500000)</f>
        <v>500000</v>
      </c>
    </row>
    <row r="1941" spans="1:8" ht="13" x14ac:dyDescent="0.15">
      <c r="A1941" s="5" t="str">
        <f ca="1">IFERROR(__xludf.DUMMYFUNCTION("""COMPUTED_VALUE"""),"39608")</f>
        <v>39608</v>
      </c>
      <c r="B1941" s="51">
        <f ca="1">IFERROR(__xludf.DUMMYFUNCTION("""COMPUTED_VALUE"""),44602)</f>
        <v>44602</v>
      </c>
      <c r="C1941" s="22">
        <f ca="1">IFERROR(__xludf.DUMMYFUNCTION("""COMPUTED_VALUE"""),500000)</f>
        <v>500000</v>
      </c>
      <c r="D1941" s="22">
        <f ca="1">IFERROR(__xludf.DUMMYFUNCTION("""COMPUTED_VALUE"""),0)</f>
        <v>0</v>
      </c>
      <c r="E1941" s="22">
        <f ca="1">IFERROR(__xludf.DUMMYFUNCTION("""COMPUTED_VALUE"""),500000)</f>
        <v>500000</v>
      </c>
      <c r="F1941" s="22">
        <f ca="1">IFERROR(__xludf.DUMMYFUNCTION("""COMPUTED_VALUE"""),500000)</f>
        <v>500000</v>
      </c>
      <c r="G1941" s="22">
        <f ca="1">IFERROR(__xludf.DUMMYFUNCTION("""COMPUTED_VALUE"""),0)</f>
        <v>0</v>
      </c>
      <c r="H1941" s="7">
        <f ca="1">IFERROR(__xludf.DUMMYFUNCTION("""COMPUTED_VALUE"""),500000)</f>
        <v>500000</v>
      </c>
    </row>
    <row r="1942" spans="1:8" ht="13" x14ac:dyDescent="0.15">
      <c r="A1942" s="5" t="str">
        <f ca="1">IFERROR(__xludf.DUMMYFUNCTION("""COMPUTED_VALUE"""),"39608")</f>
        <v>39608</v>
      </c>
      <c r="B1942" s="51">
        <f ca="1">IFERROR(__xludf.DUMMYFUNCTION("""COMPUTED_VALUE"""),44603)</f>
        <v>44603</v>
      </c>
      <c r="C1942" s="22">
        <f ca="1">IFERROR(__xludf.DUMMYFUNCTION("""COMPUTED_VALUE"""),500000)</f>
        <v>500000</v>
      </c>
      <c r="D1942" s="22">
        <f ca="1">IFERROR(__xludf.DUMMYFUNCTION("""COMPUTED_VALUE"""),0)</f>
        <v>0</v>
      </c>
      <c r="E1942" s="22">
        <f ca="1">IFERROR(__xludf.DUMMYFUNCTION("""COMPUTED_VALUE"""),500000)</f>
        <v>500000</v>
      </c>
      <c r="F1942" s="22">
        <f ca="1">IFERROR(__xludf.DUMMYFUNCTION("""COMPUTED_VALUE"""),500000)</f>
        <v>500000</v>
      </c>
      <c r="G1942" s="22">
        <f ca="1">IFERROR(__xludf.DUMMYFUNCTION("""COMPUTED_VALUE"""),0)</f>
        <v>0</v>
      </c>
      <c r="H1942" s="7">
        <f ca="1">IFERROR(__xludf.DUMMYFUNCTION("""COMPUTED_VALUE"""),500000)</f>
        <v>500000</v>
      </c>
    </row>
    <row r="1943" spans="1:8" ht="13" x14ac:dyDescent="0.15">
      <c r="A1943" s="5" t="str">
        <f ca="1">IFERROR(__xludf.DUMMYFUNCTION("""COMPUTED_VALUE"""),"39608")</f>
        <v>39608</v>
      </c>
      <c r="B1943" s="51">
        <f ca="1">IFERROR(__xludf.DUMMYFUNCTION("""COMPUTED_VALUE"""),44604)</f>
        <v>44604</v>
      </c>
      <c r="C1943" s="22">
        <f ca="1">IFERROR(__xludf.DUMMYFUNCTION("""COMPUTED_VALUE"""),500000)</f>
        <v>500000</v>
      </c>
      <c r="D1943" s="22">
        <f ca="1">IFERROR(__xludf.DUMMYFUNCTION("""COMPUTED_VALUE"""),0)</f>
        <v>0</v>
      </c>
      <c r="E1943" s="22">
        <f ca="1">IFERROR(__xludf.DUMMYFUNCTION("""COMPUTED_VALUE"""),500000)</f>
        <v>500000</v>
      </c>
      <c r="F1943" s="22">
        <f ca="1">IFERROR(__xludf.DUMMYFUNCTION("""COMPUTED_VALUE"""),500000)</f>
        <v>500000</v>
      </c>
      <c r="G1943" s="22">
        <f ca="1">IFERROR(__xludf.DUMMYFUNCTION("""COMPUTED_VALUE"""),0)</f>
        <v>0</v>
      </c>
      <c r="H1943" s="7">
        <f ca="1">IFERROR(__xludf.DUMMYFUNCTION("""COMPUTED_VALUE"""),500000)</f>
        <v>500000</v>
      </c>
    </row>
    <row r="1944" spans="1:8" ht="13" x14ac:dyDescent="0.15">
      <c r="A1944" s="5" t="str">
        <f ca="1">IFERROR(__xludf.DUMMYFUNCTION("""COMPUTED_VALUE"""),"39608")</f>
        <v>39608</v>
      </c>
      <c r="B1944" s="51">
        <f ca="1">IFERROR(__xludf.DUMMYFUNCTION("""COMPUTED_VALUE"""),44605)</f>
        <v>44605</v>
      </c>
      <c r="C1944" s="22">
        <f ca="1">IFERROR(__xludf.DUMMYFUNCTION("""COMPUTED_VALUE"""),500000)</f>
        <v>500000</v>
      </c>
      <c r="D1944" s="22">
        <f ca="1">IFERROR(__xludf.DUMMYFUNCTION("""COMPUTED_VALUE"""),0)</f>
        <v>0</v>
      </c>
      <c r="E1944" s="22">
        <f ca="1">IFERROR(__xludf.DUMMYFUNCTION("""COMPUTED_VALUE"""),500000)</f>
        <v>500000</v>
      </c>
      <c r="F1944" s="22">
        <f ca="1">IFERROR(__xludf.DUMMYFUNCTION("""COMPUTED_VALUE"""),500000)</f>
        <v>500000</v>
      </c>
      <c r="G1944" s="22">
        <f ca="1">IFERROR(__xludf.DUMMYFUNCTION("""COMPUTED_VALUE"""),0)</f>
        <v>0</v>
      </c>
      <c r="H1944" s="7">
        <f ca="1">IFERROR(__xludf.DUMMYFUNCTION("""COMPUTED_VALUE"""),500000)</f>
        <v>500000</v>
      </c>
    </row>
    <row r="1945" spans="1:8" ht="13" x14ac:dyDescent="0.15">
      <c r="A1945" s="5" t="str">
        <f ca="1">IFERROR(__xludf.DUMMYFUNCTION("""COMPUTED_VALUE"""),"39608")</f>
        <v>39608</v>
      </c>
      <c r="B1945" s="51">
        <f ca="1">IFERROR(__xludf.DUMMYFUNCTION("""COMPUTED_VALUE"""),44606)</f>
        <v>44606</v>
      </c>
      <c r="C1945" s="22">
        <f ca="1">IFERROR(__xludf.DUMMYFUNCTION("""COMPUTED_VALUE"""),500000)</f>
        <v>500000</v>
      </c>
      <c r="D1945" s="22">
        <f ca="1">IFERROR(__xludf.DUMMYFUNCTION("""COMPUTED_VALUE"""),0)</f>
        <v>0</v>
      </c>
      <c r="E1945" s="22">
        <f ca="1">IFERROR(__xludf.DUMMYFUNCTION("""COMPUTED_VALUE"""),500000)</f>
        <v>500000</v>
      </c>
      <c r="F1945" s="22">
        <f ca="1">IFERROR(__xludf.DUMMYFUNCTION("""COMPUTED_VALUE"""),500000)</f>
        <v>500000</v>
      </c>
      <c r="G1945" s="22">
        <f ca="1">IFERROR(__xludf.DUMMYFUNCTION("""COMPUTED_VALUE"""),0)</f>
        <v>0</v>
      </c>
      <c r="H1945" s="7">
        <f ca="1">IFERROR(__xludf.DUMMYFUNCTION("""COMPUTED_VALUE"""),500000)</f>
        <v>500000</v>
      </c>
    </row>
    <row r="1946" spans="1:8" ht="13" x14ac:dyDescent="0.15">
      <c r="A1946" s="5" t="str">
        <f ca="1">IFERROR(__xludf.DUMMYFUNCTION("""COMPUTED_VALUE"""),"39608")</f>
        <v>39608</v>
      </c>
      <c r="B1946" s="51">
        <f ca="1">IFERROR(__xludf.DUMMYFUNCTION("""COMPUTED_VALUE"""),44607)</f>
        <v>44607</v>
      </c>
      <c r="C1946" s="22">
        <f ca="1">IFERROR(__xludf.DUMMYFUNCTION("""COMPUTED_VALUE"""),500000)</f>
        <v>500000</v>
      </c>
      <c r="D1946" s="22">
        <f ca="1">IFERROR(__xludf.DUMMYFUNCTION("""COMPUTED_VALUE"""),0)</f>
        <v>0</v>
      </c>
      <c r="E1946" s="22">
        <f ca="1">IFERROR(__xludf.DUMMYFUNCTION("""COMPUTED_VALUE"""),500000)</f>
        <v>500000</v>
      </c>
      <c r="F1946" s="22">
        <f ca="1">IFERROR(__xludf.DUMMYFUNCTION("""COMPUTED_VALUE"""),500000)</f>
        <v>500000</v>
      </c>
      <c r="G1946" s="22">
        <f ca="1">IFERROR(__xludf.DUMMYFUNCTION("""COMPUTED_VALUE"""),0)</f>
        <v>0</v>
      </c>
      <c r="H1946" s="7">
        <f ca="1">IFERROR(__xludf.DUMMYFUNCTION("""COMPUTED_VALUE"""),500000)</f>
        <v>500000</v>
      </c>
    </row>
    <row r="1947" spans="1:8" ht="13" x14ac:dyDescent="0.15">
      <c r="A1947" s="5" t="str">
        <f ca="1">IFERROR(__xludf.DUMMYFUNCTION("""COMPUTED_VALUE"""),"39608")</f>
        <v>39608</v>
      </c>
      <c r="B1947" s="51">
        <f ca="1">IFERROR(__xludf.DUMMYFUNCTION("""COMPUTED_VALUE"""),44608)</f>
        <v>44608</v>
      </c>
      <c r="C1947" s="22">
        <f ca="1">IFERROR(__xludf.DUMMYFUNCTION("""COMPUTED_VALUE"""),500000)</f>
        <v>500000</v>
      </c>
      <c r="D1947" s="22">
        <f ca="1">IFERROR(__xludf.DUMMYFUNCTION("""COMPUTED_VALUE"""),0)</f>
        <v>0</v>
      </c>
      <c r="E1947" s="22">
        <f ca="1">IFERROR(__xludf.DUMMYFUNCTION("""COMPUTED_VALUE"""),500000)</f>
        <v>500000</v>
      </c>
      <c r="F1947" s="22">
        <f ca="1">IFERROR(__xludf.DUMMYFUNCTION("""COMPUTED_VALUE"""),500000)</f>
        <v>500000</v>
      </c>
      <c r="G1947" s="22">
        <f ca="1">IFERROR(__xludf.DUMMYFUNCTION("""COMPUTED_VALUE"""),0)</f>
        <v>0</v>
      </c>
      <c r="H1947" s="7">
        <f ca="1">IFERROR(__xludf.DUMMYFUNCTION("""COMPUTED_VALUE"""),500000)</f>
        <v>500000</v>
      </c>
    </row>
    <row r="1948" spans="1:8" ht="13" x14ac:dyDescent="0.15">
      <c r="A1948" s="5" t="str">
        <f ca="1">IFERROR(__xludf.DUMMYFUNCTION("""COMPUTED_VALUE"""),"39608")</f>
        <v>39608</v>
      </c>
      <c r="B1948" s="51">
        <f ca="1">IFERROR(__xludf.DUMMYFUNCTION("""COMPUTED_VALUE"""),44609)</f>
        <v>44609</v>
      </c>
      <c r="C1948" s="22">
        <f ca="1">IFERROR(__xludf.DUMMYFUNCTION("""COMPUTED_VALUE"""),376974.4202555)</f>
        <v>376974.42025550001</v>
      </c>
      <c r="D1948" s="22">
        <f ca="1">IFERROR(__xludf.DUMMYFUNCTION("""COMPUTED_VALUE"""),123025.5797445)</f>
        <v>123025.57974450001</v>
      </c>
      <c r="E1948" s="22">
        <f ca="1">IFERROR(__xludf.DUMMYFUNCTION("""COMPUTED_VALUE"""),500000)</f>
        <v>500000</v>
      </c>
      <c r="F1948" s="22">
        <f ca="1">IFERROR(__xludf.DUMMYFUNCTION("""COMPUTED_VALUE"""),376974.4202555)</f>
        <v>376974.42025550001</v>
      </c>
      <c r="G1948" s="22">
        <f ca="1">IFERROR(__xludf.DUMMYFUNCTION("""COMPUTED_VALUE"""),0)</f>
        <v>0</v>
      </c>
      <c r="H1948" s="7">
        <f ca="1">IFERROR(__xludf.DUMMYFUNCTION("""COMPUTED_VALUE"""),500000)</f>
        <v>500000</v>
      </c>
    </row>
    <row r="1949" spans="1:8" ht="13" x14ac:dyDescent="0.15">
      <c r="A1949" s="5" t="str">
        <f ca="1">IFERROR(__xludf.DUMMYFUNCTION("""COMPUTED_VALUE"""),"39608")</f>
        <v>39608</v>
      </c>
      <c r="B1949" s="51">
        <f ca="1">IFERROR(__xludf.DUMMYFUNCTION("""COMPUTED_VALUE"""),44610)</f>
        <v>44610</v>
      </c>
      <c r="C1949" s="22">
        <f ca="1">IFERROR(__xludf.DUMMYFUNCTION("""COMPUTED_VALUE"""),283953.3385055)</f>
        <v>283953.3385055</v>
      </c>
      <c r="D1949" s="22">
        <f ca="1">IFERROR(__xludf.DUMMYFUNCTION("""COMPUTED_VALUE"""),213348.9408264)</f>
        <v>213348.94082640001</v>
      </c>
      <c r="E1949" s="22">
        <f ca="1">IFERROR(__xludf.DUMMYFUNCTION("""COMPUTED_VALUE"""),497302.2793319)</f>
        <v>497302.2793319</v>
      </c>
      <c r="F1949" s="22">
        <f ca="1">IFERROR(__xludf.DUMMYFUNCTION("""COMPUTED_VALUE"""),283953.3385055)</f>
        <v>283953.3385055</v>
      </c>
      <c r="G1949" s="22">
        <f ca="1">IFERROR(__xludf.DUMMYFUNCTION("""COMPUTED_VALUE"""),0)</f>
        <v>0</v>
      </c>
      <c r="H1949" s="7">
        <f ca="1">IFERROR(__xludf.DUMMYFUNCTION("""COMPUTED_VALUE"""),497302.2793319)</f>
        <v>497302.2793319</v>
      </c>
    </row>
    <row r="1950" spans="1:8" ht="13" x14ac:dyDescent="0.15">
      <c r="A1950" s="5" t="str">
        <f ca="1">IFERROR(__xludf.DUMMYFUNCTION("""COMPUTED_VALUE"""),"39608")</f>
        <v>39608</v>
      </c>
      <c r="B1950" s="51">
        <f ca="1">IFERROR(__xludf.DUMMYFUNCTION("""COMPUTED_VALUE"""),44611)</f>
        <v>44611</v>
      </c>
      <c r="C1950" s="22">
        <f ca="1">IFERROR(__xludf.DUMMYFUNCTION("""COMPUTED_VALUE"""),283953.3385055)</f>
        <v>283953.3385055</v>
      </c>
      <c r="D1950" s="22">
        <f ca="1">IFERROR(__xludf.DUMMYFUNCTION("""COMPUTED_VALUE"""),213348.9408264)</f>
        <v>213348.94082640001</v>
      </c>
      <c r="E1950" s="22">
        <f ca="1">IFERROR(__xludf.DUMMYFUNCTION("""COMPUTED_VALUE"""),497302.2793319)</f>
        <v>497302.2793319</v>
      </c>
      <c r="F1950" s="22">
        <f ca="1">IFERROR(__xludf.DUMMYFUNCTION("""COMPUTED_VALUE"""),283953.3385055)</f>
        <v>283953.3385055</v>
      </c>
      <c r="G1950" s="22">
        <f ca="1">IFERROR(__xludf.DUMMYFUNCTION("""COMPUTED_VALUE"""),0)</f>
        <v>0</v>
      </c>
      <c r="H1950" s="7">
        <f ca="1">IFERROR(__xludf.DUMMYFUNCTION("""COMPUTED_VALUE"""),497302.2793319)</f>
        <v>497302.2793319</v>
      </c>
    </row>
    <row r="1951" spans="1:8" ht="13" x14ac:dyDescent="0.15">
      <c r="A1951" s="5" t="str">
        <f ca="1">IFERROR(__xludf.DUMMYFUNCTION("""COMPUTED_VALUE"""),"39608")</f>
        <v>39608</v>
      </c>
      <c r="B1951" s="51">
        <f ca="1">IFERROR(__xludf.DUMMYFUNCTION("""COMPUTED_VALUE"""),44612)</f>
        <v>44612</v>
      </c>
      <c r="C1951" s="22">
        <f ca="1">IFERROR(__xludf.DUMMYFUNCTION("""COMPUTED_VALUE"""),283953.3385055)</f>
        <v>283953.3385055</v>
      </c>
      <c r="D1951" s="22">
        <f ca="1">IFERROR(__xludf.DUMMYFUNCTION("""COMPUTED_VALUE"""),213344.8530318)</f>
        <v>213344.85303180001</v>
      </c>
      <c r="E1951" s="22">
        <f ca="1">IFERROR(__xludf.DUMMYFUNCTION("""COMPUTED_VALUE"""),497298.1915373)</f>
        <v>497298.19153730001</v>
      </c>
      <c r="F1951" s="22">
        <f ca="1">IFERROR(__xludf.DUMMYFUNCTION("""COMPUTED_VALUE"""),283953.3385055)</f>
        <v>283953.3385055</v>
      </c>
      <c r="G1951" s="22">
        <f ca="1">IFERROR(__xludf.DUMMYFUNCTION("""COMPUTED_VALUE"""),0)</f>
        <v>0</v>
      </c>
      <c r="H1951" s="7">
        <f ca="1">IFERROR(__xludf.DUMMYFUNCTION("""COMPUTED_VALUE"""),497295.0314123)</f>
        <v>497295.03141230001</v>
      </c>
    </row>
    <row r="1952" spans="1:8" ht="13" x14ac:dyDescent="0.15">
      <c r="A1952" s="5" t="str">
        <f ca="1">IFERROR(__xludf.DUMMYFUNCTION("""COMPUTED_VALUE"""),"39608")</f>
        <v>39608</v>
      </c>
      <c r="B1952" s="51">
        <f ca="1">IFERROR(__xludf.DUMMYFUNCTION("""COMPUTED_VALUE"""),44613)</f>
        <v>44613</v>
      </c>
      <c r="C1952" s="22">
        <f ca="1">IFERROR(__xludf.DUMMYFUNCTION("""COMPUTED_VALUE"""),283953.3385055)</f>
        <v>283953.3385055</v>
      </c>
      <c r="D1952" s="22">
        <f ca="1">IFERROR(__xludf.DUMMYFUNCTION("""COMPUTED_VALUE"""),213356.5765182)</f>
        <v>213356.57651819999</v>
      </c>
      <c r="E1952" s="22">
        <f ca="1">IFERROR(__xludf.DUMMYFUNCTION("""COMPUTED_VALUE"""),497309.9150237)</f>
        <v>497309.91502369998</v>
      </c>
      <c r="F1952" s="22">
        <f ca="1">IFERROR(__xludf.DUMMYFUNCTION("""COMPUTED_VALUE"""),283953.3385055)</f>
        <v>283953.3385055</v>
      </c>
      <c r="G1952" s="22">
        <f ca="1">IFERROR(__xludf.DUMMYFUNCTION("""COMPUTED_VALUE"""),0)</f>
        <v>0</v>
      </c>
      <c r="H1952" s="7">
        <f ca="1">IFERROR(__xludf.DUMMYFUNCTION("""COMPUTED_VALUE"""),497315.8178987)</f>
        <v>497315.81789870001</v>
      </c>
    </row>
    <row r="1953" spans="1:8" ht="13" x14ac:dyDescent="0.15">
      <c r="A1953" s="5" t="str">
        <f ca="1">IFERROR(__xludf.DUMMYFUNCTION("""COMPUTED_VALUE"""),"39608")</f>
        <v>39608</v>
      </c>
      <c r="B1953" s="51">
        <f ca="1">IFERROR(__xludf.DUMMYFUNCTION("""COMPUTED_VALUE"""),44614)</f>
        <v>44614</v>
      </c>
      <c r="C1953" s="22">
        <f ca="1">IFERROR(__xludf.DUMMYFUNCTION("""COMPUTED_VALUE"""),283953.3385055)</f>
        <v>283953.3385055</v>
      </c>
      <c r="D1953" s="22">
        <f ca="1">IFERROR(__xludf.DUMMYFUNCTION("""COMPUTED_VALUE"""),208389.771945)</f>
        <v>208389.77194499999</v>
      </c>
      <c r="E1953" s="22">
        <f ca="1">IFERROR(__xludf.DUMMYFUNCTION("""COMPUTED_VALUE"""),492343.1104505)</f>
        <v>492343.11045049998</v>
      </c>
      <c r="F1953" s="22">
        <f ca="1">IFERROR(__xludf.DUMMYFUNCTION("""COMPUTED_VALUE"""),283953.3385055)</f>
        <v>283953.3385055</v>
      </c>
      <c r="G1953" s="22">
        <f ca="1">IFERROR(__xludf.DUMMYFUNCTION("""COMPUTED_VALUE"""),0)</f>
        <v>0</v>
      </c>
      <c r="H1953" s="7">
        <f ca="1">IFERROR(__xludf.DUMMYFUNCTION("""COMPUTED_VALUE"""),491866.3872005)</f>
        <v>491866.3872005</v>
      </c>
    </row>
    <row r="1954" spans="1:8" ht="13" x14ac:dyDescent="0.15">
      <c r="A1954" s="5" t="str">
        <f ca="1">IFERROR(__xludf.DUMMYFUNCTION("""COMPUTED_VALUE"""),"39608")</f>
        <v>39608</v>
      </c>
      <c r="B1954" s="51">
        <f ca="1">IFERROR(__xludf.DUMMYFUNCTION("""COMPUTED_VALUE"""),44615)</f>
        <v>44615</v>
      </c>
      <c r="C1954" s="22">
        <f ca="1">IFERROR(__xludf.DUMMYFUNCTION("""COMPUTED_VALUE"""),283953.3385055)</f>
        <v>283953.3385055</v>
      </c>
      <c r="D1954" s="22">
        <f ca="1">IFERROR(__xludf.DUMMYFUNCTION("""COMPUTED_VALUE"""),200367.250073999)</f>
        <v>200367.25007399899</v>
      </c>
      <c r="E1954" s="22">
        <f ca="1">IFERROR(__xludf.DUMMYFUNCTION("""COMPUTED_VALUE"""),484320.5885795)</f>
        <v>484320.58857949998</v>
      </c>
      <c r="F1954" s="22">
        <f ca="1">IFERROR(__xludf.DUMMYFUNCTION("""COMPUTED_VALUE"""),283953.3385055)</f>
        <v>283953.3385055</v>
      </c>
      <c r="G1954" s="22">
        <f ca="1">IFERROR(__xludf.DUMMYFUNCTION("""COMPUTED_VALUE"""),0)</f>
        <v>0</v>
      </c>
      <c r="H1954" s="7">
        <f ca="1">IFERROR(__xludf.DUMMYFUNCTION("""COMPUTED_VALUE"""),481993.372014499)</f>
        <v>481993.37201449898</v>
      </c>
    </row>
    <row r="1955" spans="1:8" ht="13" x14ac:dyDescent="0.15">
      <c r="A1955" s="5" t="str">
        <f ca="1">IFERROR(__xludf.DUMMYFUNCTION("""COMPUTED_VALUE"""),"39608")</f>
        <v>39608</v>
      </c>
      <c r="B1955" s="51">
        <f ca="1">IFERROR(__xludf.DUMMYFUNCTION("""COMPUTED_VALUE"""),44616)</f>
        <v>44616</v>
      </c>
      <c r="C1955" s="22">
        <f ca="1">IFERROR(__xludf.DUMMYFUNCTION("""COMPUTED_VALUE"""),127677.1622255)</f>
        <v>127677.1622255</v>
      </c>
      <c r="D1955" s="22">
        <f ca="1">IFERROR(__xludf.DUMMYFUNCTION("""COMPUTED_VALUE"""),357520.542142499)</f>
        <v>357520.54214249901</v>
      </c>
      <c r="E1955" s="22">
        <f ca="1">IFERROR(__xludf.DUMMYFUNCTION("""COMPUTED_VALUE"""),485197.704367999)</f>
        <v>485197.70436799899</v>
      </c>
      <c r="F1955" s="22">
        <f ca="1">IFERROR(__xludf.DUMMYFUNCTION("""COMPUTED_VALUE"""),127677.162225499)</f>
        <v>127677.16222549901</v>
      </c>
      <c r="G1955" s="22">
        <f ca="1">IFERROR(__xludf.DUMMYFUNCTION("""COMPUTED_VALUE"""),0)</f>
        <v>0</v>
      </c>
      <c r="H1955" s="7">
        <f ca="1">IFERROR(__xludf.DUMMYFUNCTION("""COMPUTED_VALUE"""),485197.704367999)</f>
        <v>485197.70436799899</v>
      </c>
    </row>
    <row r="1956" spans="1:8" ht="13" x14ac:dyDescent="0.15">
      <c r="A1956" s="5" t="str">
        <f ca="1">IFERROR(__xludf.DUMMYFUNCTION("""COMPUTED_VALUE"""),"39608")</f>
        <v>39608</v>
      </c>
      <c r="B1956" s="51">
        <f ca="1">IFERROR(__xludf.DUMMYFUNCTION("""COMPUTED_VALUE"""),44617)</f>
        <v>44617</v>
      </c>
      <c r="C1956" s="22">
        <f ca="1">IFERROR(__xludf.DUMMYFUNCTION("""COMPUTED_VALUE"""),127677.1622255)</f>
        <v>127677.1622255</v>
      </c>
      <c r="D1956" s="22">
        <f ca="1">IFERROR(__xludf.DUMMYFUNCTION("""COMPUTED_VALUE"""),361101.7773867)</f>
        <v>361101.77738669998</v>
      </c>
      <c r="E1956" s="22">
        <f ca="1">IFERROR(__xludf.DUMMYFUNCTION("""COMPUTED_VALUE"""),488778.9396122)</f>
        <v>488778.93961220002</v>
      </c>
      <c r="F1956" s="22">
        <f ca="1">IFERROR(__xludf.DUMMYFUNCTION("""COMPUTED_VALUE"""),127677.162225499)</f>
        <v>127677.16222549901</v>
      </c>
      <c r="G1956" s="22">
        <f ca="1">IFERROR(__xludf.DUMMYFUNCTION("""COMPUTED_VALUE"""),0)</f>
        <v>0</v>
      </c>
      <c r="H1956" s="7">
        <f ca="1">IFERROR(__xludf.DUMMYFUNCTION("""COMPUTED_VALUE"""),488930.526717799)</f>
        <v>488930.52671779902</v>
      </c>
    </row>
    <row r="1957" spans="1:8" ht="13" x14ac:dyDescent="0.15">
      <c r="A1957" s="5" t="str">
        <f ca="1">IFERROR(__xludf.DUMMYFUNCTION("""COMPUTED_VALUE"""),"39608")</f>
        <v>39608</v>
      </c>
      <c r="B1957" s="51">
        <f ca="1">IFERROR(__xludf.DUMMYFUNCTION("""COMPUTED_VALUE"""),44618)</f>
        <v>44618</v>
      </c>
      <c r="C1957" s="22">
        <f ca="1">IFERROR(__xludf.DUMMYFUNCTION("""COMPUTED_VALUE"""),127677.1622255)</f>
        <v>127677.1622255</v>
      </c>
      <c r="D1957" s="22">
        <f ca="1">IFERROR(__xludf.DUMMYFUNCTION("""COMPUTED_VALUE"""),361105.712105699)</f>
        <v>361105.712105699</v>
      </c>
      <c r="E1957" s="22">
        <f ca="1">IFERROR(__xludf.DUMMYFUNCTION("""COMPUTED_VALUE"""),488782.874331199)</f>
        <v>488782.87433119898</v>
      </c>
      <c r="F1957" s="22">
        <f ca="1">IFERROR(__xludf.DUMMYFUNCTION("""COMPUTED_VALUE"""),127677.162225499)</f>
        <v>127677.16222549901</v>
      </c>
      <c r="G1957" s="22">
        <f ca="1">IFERROR(__xludf.DUMMYFUNCTION("""COMPUTED_VALUE"""),0)</f>
        <v>0</v>
      </c>
      <c r="H1957" s="7">
        <f ca="1">IFERROR(__xludf.DUMMYFUNCTION("""COMPUTED_VALUE"""),488937.4664288)</f>
        <v>488937.46642880002</v>
      </c>
    </row>
    <row r="1958" spans="1:8" ht="13" x14ac:dyDescent="0.15">
      <c r="A1958" s="5" t="str">
        <f ca="1">IFERROR(__xludf.DUMMYFUNCTION("""COMPUTED_VALUE"""),"39608")</f>
        <v>39608</v>
      </c>
      <c r="B1958" s="51">
        <f ca="1">IFERROR(__xludf.DUMMYFUNCTION("""COMPUTED_VALUE"""),44619)</f>
        <v>44619</v>
      </c>
      <c r="C1958" s="22">
        <f ca="1">IFERROR(__xludf.DUMMYFUNCTION("""COMPUTED_VALUE"""),127677.1622255)</f>
        <v>127677.1622255</v>
      </c>
      <c r="D1958" s="22">
        <f ca="1">IFERROR(__xludf.DUMMYFUNCTION("""COMPUTED_VALUE"""),361096.662251999)</f>
        <v>361096.66225199902</v>
      </c>
      <c r="E1958" s="22">
        <f ca="1">IFERROR(__xludf.DUMMYFUNCTION("""COMPUTED_VALUE"""),488773.824477499)</f>
        <v>488773.824477499</v>
      </c>
      <c r="F1958" s="22">
        <f ca="1">IFERROR(__xludf.DUMMYFUNCTION("""COMPUTED_VALUE"""),127677.162225499)</f>
        <v>127677.16222549901</v>
      </c>
      <c r="G1958" s="22">
        <f ca="1">IFERROR(__xludf.DUMMYFUNCTION("""COMPUTED_VALUE"""),0)</f>
        <v>0</v>
      </c>
      <c r="H1958" s="7">
        <f ca="1">IFERROR(__xludf.DUMMYFUNCTION("""COMPUTED_VALUE"""),488921.5050935)</f>
        <v>488921.50509350002</v>
      </c>
    </row>
    <row r="1959" spans="1:8" ht="13" x14ac:dyDescent="0.15">
      <c r="A1959" s="5" t="str">
        <f ca="1">IFERROR(__xludf.DUMMYFUNCTION("""COMPUTED_VALUE"""),"39608")</f>
        <v>39608</v>
      </c>
      <c r="B1959" s="51">
        <f ca="1">IFERROR(__xludf.DUMMYFUNCTION("""COMPUTED_VALUE"""),44620)</f>
        <v>44620</v>
      </c>
      <c r="C1959" s="22">
        <f ca="1">IFERROR(__xludf.DUMMYFUNCTION("""COMPUTED_VALUE"""),127677.1622255)</f>
        <v>127677.1622255</v>
      </c>
      <c r="D1959" s="22">
        <f ca="1">IFERROR(__xludf.DUMMYFUNCTION("""COMPUTED_VALUE"""),368633.558297999)</f>
        <v>368633.55829799903</v>
      </c>
      <c r="E1959" s="22">
        <f ca="1">IFERROR(__xludf.DUMMYFUNCTION("""COMPUTED_VALUE"""),496310.7205235)</f>
        <v>496310.7205235</v>
      </c>
      <c r="F1959" s="22">
        <f ca="1">IFERROR(__xludf.DUMMYFUNCTION("""COMPUTED_VALUE"""),127677.162225499)</f>
        <v>127677.16222549901</v>
      </c>
      <c r="G1959" s="22">
        <f ca="1">IFERROR(__xludf.DUMMYFUNCTION("""COMPUTED_VALUE"""),0)</f>
        <v>0</v>
      </c>
      <c r="H1959" s="7">
        <f ca="1">IFERROR(__xludf.DUMMYFUNCTION("""COMPUTED_VALUE"""),496632.959295499)</f>
        <v>496632.95929549902</v>
      </c>
    </row>
    <row r="1960" spans="1:8" ht="13" x14ac:dyDescent="0.15">
      <c r="A1960" s="5" t="str">
        <f ca="1">IFERROR(__xludf.DUMMYFUNCTION("""COMPUTED_VALUE"""),"39608")</f>
        <v>39608</v>
      </c>
      <c r="B1960" s="51">
        <f ca="1">IFERROR(__xludf.DUMMYFUNCTION("""COMPUTED_VALUE"""),44621)</f>
        <v>44621</v>
      </c>
      <c r="C1960" s="22">
        <f ca="1">IFERROR(__xludf.DUMMYFUNCTION("""COMPUTED_VALUE"""),127677.1622255)</f>
        <v>127677.1622255</v>
      </c>
      <c r="D1960" s="22">
        <f ca="1">IFERROR(__xludf.DUMMYFUNCTION("""COMPUTED_VALUE"""),366876.6372753)</f>
        <v>366876.63727529999</v>
      </c>
      <c r="E1960" s="22">
        <f ca="1">IFERROR(__xludf.DUMMYFUNCTION("""COMPUTED_VALUE"""),494553.799500799)</f>
        <v>494553.79950079898</v>
      </c>
      <c r="F1960" s="22">
        <f ca="1">IFERROR(__xludf.DUMMYFUNCTION("""COMPUTED_VALUE"""),127677.162225499)</f>
        <v>127677.16222549901</v>
      </c>
      <c r="G1960" s="22">
        <f ca="1">IFERROR(__xludf.DUMMYFUNCTION("""COMPUTED_VALUE"""),0)</f>
        <v>0</v>
      </c>
      <c r="H1960" s="7">
        <f ca="1">IFERROR(__xludf.DUMMYFUNCTION("""COMPUTED_VALUE"""),501100.2245672)</f>
        <v>501100.2245672</v>
      </c>
    </row>
    <row r="1961" spans="1:8" ht="13" x14ac:dyDescent="0.15">
      <c r="A1961" s="5" t="str">
        <f ca="1">IFERROR(__xludf.DUMMYFUNCTION("""COMPUTED_VALUE"""),"39608")</f>
        <v>39608</v>
      </c>
      <c r="B1961" s="51">
        <f ca="1">IFERROR(__xludf.DUMMYFUNCTION("""COMPUTED_VALUE"""),44622)</f>
        <v>44622</v>
      </c>
      <c r="C1961" s="22">
        <f ca="1">IFERROR(__xludf.DUMMYFUNCTION("""COMPUTED_VALUE"""),127677.1622255)</f>
        <v>127677.1622255</v>
      </c>
      <c r="D1961" s="22">
        <f ca="1">IFERROR(__xludf.DUMMYFUNCTION("""COMPUTED_VALUE"""),367872.628794)</f>
        <v>367872.62879400002</v>
      </c>
      <c r="E1961" s="22">
        <f ca="1">IFERROR(__xludf.DUMMYFUNCTION("""COMPUTED_VALUE"""),495549.7910195)</f>
        <v>495549.7910195</v>
      </c>
      <c r="F1961" s="22">
        <f ca="1">IFERROR(__xludf.DUMMYFUNCTION("""COMPUTED_VALUE"""),127677.162225499)</f>
        <v>127677.16222549901</v>
      </c>
      <c r="G1961" s="22">
        <f ca="1">IFERROR(__xludf.DUMMYFUNCTION("""COMPUTED_VALUE"""),0)</f>
        <v>0</v>
      </c>
      <c r="H1961" s="7">
        <f ca="1">IFERROR(__xludf.DUMMYFUNCTION("""COMPUTED_VALUE"""),499906.547679499)</f>
        <v>499906.54767949902</v>
      </c>
    </row>
    <row r="1962" spans="1:8" ht="13" x14ac:dyDescent="0.15">
      <c r="A1962" s="5" t="str">
        <f ca="1">IFERROR(__xludf.DUMMYFUNCTION("""COMPUTED_VALUE"""),"39608")</f>
        <v>39608</v>
      </c>
      <c r="B1962" s="51">
        <f ca="1">IFERROR(__xludf.DUMMYFUNCTION("""COMPUTED_VALUE"""),44623)</f>
        <v>44623</v>
      </c>
      <c r="C1962" s="22">
        <f ca="1">IFERROR(__xludf.DUMMYFUNCTION("""COMPUTED_VALUE"""),199154.3610115)</f>
        <v>199154.3610115</v>
      </c>
      <c r="D1962" s="22">
        <f ca="1">IFERROR(__xludf.DUMMYFUNCTION("""COMPUTED_VALUE"""),296467.852177)</f>
        <v>296467.85217700002</v>
      </c>
      <c r="E1962" s="22">
        <f ca="1">IFERROR(__xludf.DUMMYFUNCTION("""COMPUTED_VALUE"""),495622.2131885)</f>
        <v>495622.21318850003</v>
      </c>
      <c r="F1962" s="22">
        <f ca="1">IFERROR(__xludf.DUMMYFUNCTION("""COMPUTED_VALUE"""),199154.361011499)</f>
        <v>199154.36101149899</v>
      </c>
      <c r="G1962" s="22">
        <f ca="1">IFERROR(__xludf.DUMMYFUNCTION("""COMPUTED_VALUE"""),0)</f>
        <v>0</v>
      </c>
      <c r="H1962" s="7">
        <f ca="1">IFERROR(__xludf.DUMMYFUNCTION("""COMPUTED_VALUE"""),495622.2131885)</f>
        <v>495622.21318850003</v>
      </c>
    </row>
    <row r="1963" spans="1:8" ht="13" x14ac:dyDescent="0.15">
      <c r="A1963" s="5" t="str">
        <f ca="1">IFERROR(__xludf.DUMMYFUNCTION("""COMPUTED_VALUE"""),"39608")</f>
        <v>39608</v>
      </c>
      <c r="B1963" s="51">
        <f ca="1">IFERROR(__xludf.DUMMYFUNCTION("""COMPUTED_VALUE"""),44624)</f>
        <v>44624</v>
      </c>
      <c r="C1963" s="22">
        <f ca="1">IFERROR(__xludf.DUMMYFUNCTION("""COMPUTED_VALUE"""),81242.9709499)</f>
        <v>81242.970949900002</v>
      </c>
      <c r="D1963" s="22">
        <f ca="1">IFERROR(__xludf.DUMMYFUNCTION("""COMPUTED_VALUE"""),414668.9879112)</f>
        <v>414668.98791119998</v>
      </c>
      <c r="E1963" s="22">
        <f ca="1">IFERROR(__xludf.DUMMYFUNCTION("""COMPUTED_VALUE"""),495911.9588611)</f>
        <v>495911.95886110002</v>
      </c>
      <c r="F1963" s="22">
        <f ca="1">IFERROR(__xludf.DUMMYFUNCTION("""COMPUTED_VALUE"""),81242.9709498999)</f>
        <v>81242.9709498999</v>
      </c>
      <c r="G1963" s="22">
        <f ca="1">IFERROR(__xludf.DUMMYFUNCTION("""COMPUTED_VALUE"""),0)</f>
        <v>0</v>
      </c>
      <c r="H1963" s="7">
        <f ca="1">IFERROR(__xludf.DUMMYFUNCTION("""COMPUTED_VALUE"""),495911.958861099)</f>
        <v>495911.95886109897</v>
      </c>
    </row>
    <row r="1964" spans="1:8" ht="13" x14ac:dyDescent="0.15">
      <c r="A1964" s="5" t="str">
        <f ca="1">IFERROR(__xludf.DUMMYFUNCTION("""COMPUTED_VALUE"""),"39608")</f>
        <v>39608</v>
      </c>
      <c r="B1964" s="51">
        <f ca="1">IFERROR(__xludf.DUMMYFUNCTION("""COMPUTED_VALUE"""),44625)</f>
        <v>44625</v>
      </c>
      <c r="C1964" s="22">
        <f ca="1">IFERROR(__xludf.DUMMYFUNCTION("""COMPUTED_VALUE"""),81242.9709499)</f>
        <v>81242.970949900002</v>
      </c>
      <c r="D1964" s="22">
        <f ca="1">IFERROR(__xludf.DUMMYFUNCTION("""COMPUTED_VALUE"""),414668.9879112)</f>
        <v>414668.98791119998</v>
      </c>
      <c r="E1964" s="22">
        <f ca="1">IFERROR(__xludf.DUMMYFUNCTION("""COMPUTED_VALUE"""),495911.9588611)</f>
        <v>495911.95886110002</v>
      </c>
      <c r="F1964" s="22">
        <f ca="1">IFERROR(__xludf.DUMMYFUNCTION("""COMPUTED_VALUE"""),81242.9709498999)</f>
        <v>81242.9709498999</v>
      </c>
      <c r="G1964" s="22">
        <f ca="1">IFERROR(__xludf.DUMMYFUNCTION("""COMPUTED_VALUE"""),0)</f>
        <v>0</v>
      </c>
      <c r="H1964" s="7">
        <f ca="1">IFERROR(__xludf.DUMMYFUNCTION("""COMPUTED_VALUE"""),495911.958861099)</f>
        <v>495911.95886109897</v>
      </c>
    </row>
    <row r="1965" spans="1:8" ht="13" x14ac:dyDescent="0.15">
      <c r="A1965" s="5" t="str">
        <f ca="1">IFERROR(__xludf.DUMMYFUNCTION("""COMPUTED_VALUE"""),"39608")</f>
        <v>39608</v>
      </c>
      <c r="B1965" s="51">
        <f ca="1">IFERROR(__xludf.DUMMYFUNCTION("""COMPUTED_VALUE"""),44626)</f>
        <v>44626</v>
      </c>
      <c r="C1965" s="22">
        <f ca="1">IFERROR(__xludf.DUMMYFUNCTION("""COMPUTED_VALUE"""),81242.9709499)</f>
        <v>81242.970949900002</v>
      </c>
      <c r="D1965" s="22">
        <f ca="1">IFERROR(__xludf.DUMMYFUNCTION("""COMPUTED_VALUE"""),414709.8124552)</f>
        <v>414709.81245520001</v>
      </c>
      <c r="E1965" s="22">
        <f ca="1">IFERROR(__xludf.DUMMYFUNCTION("""COMPUTED_VALUE"""),495952.7834051)</f>
        <v>495952.7834051</v>
      </c>
      <c r="F1965" s="22">
        <f ca="1">IFERROR(__xludf.DUMMYFUNCTION("""COMPUTED_VALUE"""),81242.9709498999)</f>
        <v>81242.9709498999</v>
      </c>
      <c r="G1965" s="22">
        <f ca="1">IFERROR(__xludf.DUMMYFUNCTION("""COMPUTED_VALUE"""),0)</f>
        <v>0</v>
      </c>
      <c r="H1965" s="7">
        <f ca="1">IFERROR(__xludf.DUMMYFUNCTION("""COMPUTED_VALUE"""),495969.0043166)</f>
        <v>495969.00431659998</v>
      </c>
    </row>
    <row r="1966" spans="1:8" ht="13" x14ac:dyDescent="0.15">
      <c r="A1966" s="5" t="str">
        <f ca="1">IFERROR(__xludf.DUMMYFUNCTION("""COMPUTED_VALUE"""),"39608")</f>
        <v>39608</v>
      </c>
      <c r="B1966" s="51">
        <f ca="1">IFERROR(__xludf.DUMMYFUNCTION("""COMPUTED_VALUE"""),44627)</f>
        <v>44627</v>
      </c>
      <c r="C1966" s="22">
        <f ca="1">IFERROR(__xludf.DUMMYFUNCTION("""COMPUTED_VALUE"""),81242.9709499)</f>
        <v>81242.970949900002</v>
      </c>
      <c r="D1966" s="22">
        <f ca="1">IFERROR(__xludf.DUMMYFUNCTION("""COMPUTED_VALUE"""),409505.3069086)</f>
        <v>409505.30690859997</v>
      </c>
      <c r="E1966" s="22">
        <f ca="1">IFERROR(__xludf.DUMMYFUNCTION("""COMPUTED_VALUE"""),490748.2778585)</f>
        <v>490748.27785850002</v>
      </c>
      <c r="F1966" s="22">
        <f ca="1">IFERROR(__xludf.DUMMYFUNCTION("""COMPUTED_VALUE"""),81242.9709498999)</f>
        <v>81242.9709498999</v>
      </c>
      <c r="G1966" s="22">
        <f ca="1">IFERROR(__xludf.DUMMYFUNCTION("""COMPUTED_VALUE"""),0)</f>
        <v>0</v>
      </c>
      <c r="H1966" s="7">
        <f ca="1">IFERROR(__xludf.DUMMYFUNCTION("""COMPUTED_VALUE"""),486068.5690589)</f>
        <v>486068.5690589</v>
      </c>
    </row>
    <row r="1967" spans="1:8" ht="13" x14ac:dyDescent="0.15">
      <c r="A1967" s="5" t="str">
        <f ca="1">IFERROR(__xludf.DUMMYFUNCTION("""COMPUTED_VALUE"""),"39608")</f>
        <v>39608</v>
      </c>
      <c r="B1967" s="51">
        <f ca="1">IFERROR(__xludf.DUMMYFUNCTION("""COMPUTED_VALUE"""),44628)</f>
        <v>44628</v>
      </c>
      <c r="C1967" s="22">
        <f ca="1">IFERROR(__xludf.DUMMYFUNCTION("""COMPUTED_VALUE"""),81242.9709499)</f>
        <v>81242.970949900002</v>
      </c>
      <c r="D1967" s="22">
        <f ca="1">IFERROR(__xludf.DUMMYFUNCTION("""COMPUTED_VALUE"""),412367.7333816)</f>
        <v>412367.7333816</v>
      </c>
      <c r="E1967" s="22">
        <f ca="1">IFERROR(__xludf.DUMMYFUNCTION("""COMPUTED_VALUE"""),493610.7043315)</f>
        <v>493610.70433149999</v>
      </c>
      <c r="F1967" s="22">
        <f ca="1">IFERROR(__xludf.DUMMYFUNCTION("""COMPUTED_VALUE"""),81242.9709498999)</f>
        <v>81242.9709498999</v>
      </c>
      <c r="G1967" s="22">
        <f ca="1">IFERROR(__xludf.DUMMYFUNCTION("""COMPUTED_VALUE"""),0)</f>
        <v>0</v>
      </c>
      <c r="H1967" s="7">
        <f ca="1">IFERROR(__xludf.DUMMYFUNCTION("""COMPUTED_VALUE"""),491726.6480899)</f>
        <v>491726.64808989997</v>
      </c>
    </row>
    <row r="1968" spans="1:8" ht="13" x14ac:dyDescent="0.15">
      <c r="A1968" s="5" t="str">
        <f ca="1">IFERROR(__xludf.DUMMYFUNCTION("""COMPUTED_VALUE"""),"39608")</f>
        <v>39608</v>
      </c>
      <c r="B1968" s="51">
        <f ca="1">IFERROR(__xludf.DUMMYFUNCTION("""COMPUTED_VALUE"""),44629)</f>
        <v>44629</v>
      </c>
      <c r="C1968" s="22">
        <f ca="1">IFERROR(__xludf.DUMMYFUNCTION("""COMPUTED_VALUE"""),154912.9769749)</f>
        <v>154912.9769749</v>
      </c>
      <c r="D1968" s="22">
        <f ca="1">IFERROR(__xludf.DUMMYFUNCTION("""COMPUTED_VALUE"""),336841.333752)</f>
        <v>336841.33375200001</v>
      </c>
      <c r="E1968" s="22">
        <f ca="1">IFERROR(__xludf.DUMMYFUNCTION("""COMPUTED_VALUE"""),491754.3107269)</f>
        <v>491754.3107269</v>
      </c>
      <c r="F1968" s="22">
        <f ca="1">IFERROR(__xludf.DUMMYFUNCTION("""COMPUTED_VALUE"""),154912.976974899)</f>
        <v>154912.97697489901</v>
      </c>
      <c r="G1968" s="22">
        <f ca="1">IFERROR(__xludf.DUMMYFUNCTION("""COMPUTED_VALUE"""),0)</f>
        <v>0</v>
      </c>
      <c r="H1968" s="7">
        <f ca="1">IFERROR(__xludf.DUMMYFUNCTION("""COMPUTED_VALUE"""),491754.3107269)</f>
        <v>491754.3107269</v>
      </c>
    </row>
    <row r="1969" spans="1:8" ht="13" x14ac:dyDescent="0.15">
      <c r="A1969" s="5" t="str">
        <f ca="1">IFERROR(__xludf.DUMMYFUNCTION("""COMPUTED_VALUE"""),"39608")</f>
        <v>39608</v>
      </c>
      <c r="B1969" s="51">
        <f ca="1">IFERROR(__xludf.DUMMYFUNCTION("""COMPUTED_VALUE"""),44630)</f>
        <v>44630</v>
      </c>
      <c r="C1969" s="22">
        <f ca="1">IFERROR(__xludf.DUMMYFUNCTION("""COMPUTED_VALUE"""),154912.9769749)</f>
        <v>154912.9769749</v>
      </c>
      <c r="D1969" s="22">
        <f ca="1">IFERROR(__xludf.DUMMYFUNCTION("""COMPUTED_VALUE"""),337044.638847)</f>
        <v>337044.63884700002</v>
      </c>
      <c r="E1969" s="22">
        <f ca="1">IFERROR(__xludf.DUMMYFUNCTION("""COMPUTED_VALUE"""),491957.6158219)</f>
        <v>491957.61582190002</v>
      </c>
      <c r="F1969" s="22">
        <f ca="1">IFERROR(__xludf.DUMMYFUNCTION("""COMPUTED_VALUE"""),154912.976974899)</f>
        <v>154912.97697489901</v>
      </c>
      <c r="G1969" s="22">
        <f ca="1">IFERROR(__xludf.DUMMYFUNCTION("""COMPUTED_VALUE"""),0)</f>
        <v>0</v>
      </c>
      <c r="H1969" s="7">
        <f ca="1">IFERROR(__xludf.DUMMYFUNCTION("""COMPUTED_VALUE"""),491983.3119469)</f>
        <v>491983.31194689998</v>
      </c>
    </row>
    <row r="1970" spans="1:8" ht="13" x14ac:dyDescent="0.15">
      <c r="A1970" s="5" t="str">
        <f ca="1">IFERROR(__xludf.DUMMYFUNCTION("""COMPUTED_VALUE"""),"39608")</f>
        <v>39608</v>
      </c>
      <c r="B1970" s="51">
        <f ca="1">IFERROR(__xludf.DUMMYFUNCTION("""COMPUTED_VALUE"""),44631)</f>
        <v>44631</v>
      </c>
      <c r="C1970" s="22">
        <f ca="1">IFERROR(__xludf.DUMMYFUNCTION("""COMPUTED_VALUE"""),154912.9769749)</f>
        <v>154912.9769749</v>
      </c>
      <c r="D1970" s="22">
        <f ca="1">IFERROR(__xludf.DUMMYFUNCTION("""COMPUTED_VALUE"""),316655.623375)</f>
        <v>316655.62337500002</v>
      </c>
      <c r="E1970" s="22">
        <f ca="1">IFERROR(__xludf.DUMMYFUNCTION("""COMPUTED_VALUE"""),471568.6003499)</f>
        <v>471568.60034990002</v>
      </c>
      <c r="F1970" s="22">
        <f ca="1">IFERROR(__xludf.DUMMYFUNCTION("""COMPUTED_VALUE"""),154912.976974899)</f>
        <v>154912.97697489901</v>
      </c>
      <c r="G1970" s="22">
        <f ca="1">IFERROR(__xludf.DUMMYFUNCTION("""COMPUTED_VALUE"""),0)</f>
        <v>0</v>
      </c>
      <c r="H1970" s="7">
        <f ca="1">IFERROR(__xludf.DUMMYFUNCTION("""COMPUTED_VALUE"""),474416.0811749)</f>
        <v>474416.0811749</v>
      </c>
    </row>
    <row r="1971" spans="1:8" ht="13" x14ac:dyDescent="0.15">
      <c r="A1971" s="5" t="str">
        <f ca="1">IFERROR(__xludf.DUMMYFUNCTION("""COMPUTED_VALUE"""),"39608")</f>
        <v>39608</v>
      </c>
      <c r="B1971" s="51">
        <f ca="1">IFERROR(__xludf.DUMMYFUNCTION("""COMPUTED_VALUE"""),44632)</f>
        <v>44632</v>
      </c>
      <c r="C1971" s="22">
        <f ca="1">IFERROR(__xludf.DUMMYFUNCTION("""COMPUTED_VALUE"""),154912.9769749)</f>
        <v>154912.9769749</v>
      </c>
      <c r="D1971" s="22">
        <f ca="1">IFERROR(__xludf.DUMMYFUNCTION("""COMPUTED_VALUE"""),316655.623375)</f>
        <v>316655.62337500002</v>
      </c>
      <c r="E1971" s="22">
        <f ca="1">IFERROR(__xludf.DUMMYFUNCTION("""COMPUTED_VALUE"""),471568.6003499)</f>
        <v>471568.60034990002</v>
      </c>
      <c r="F1971" s="22">
        <f ca="1">IFERROR(__xludf.DUMMYFUNCTION("""COMPUTED_VALUE"""),154912.976974899)</f>
        <v>154912.97697489901</v>
      </c>
      <c r="G1971" s="22">
        <f ca="1">IFERROR(__xludf.DUMMYFUNCTION("""COMPUTED_VALUE"""),0)</f>
        <v>0</v>
      </c>
      <c r="H1971" s="7">
        <f ca="1">IFERROR(__xludf.DUMMYFUNCTION("""COMPUTED_VALUE"""),474416.0811749)</f>
        <v>474416.0811749</v>
      </c>
    </row>
    <row r="1972" spans="1:8" ht="13" x14ac:dyDescent="0.15">
      <c r="A1972" s="5" t="str">
        <f ca="1">IFERROR(__xludf.DUMMYFUNCTION("""COMPUTED_VALUE"""),"39608")</f>
        <v>39608</v>
      </c>
      <c r="B1972" s="51">
        <f ca="1">IFERROR(__xludf.DUMMYFUNCTION("""COMPUTED_VALUE"""),44633)</f>
        <v>44633</v>
      </c>
      <c r="C1972" s="22">
        <f ca="1">IFERROR(__xludf.DUMMYFUNCTION("""COMPUTED_VALUE"""),154912.9769749)</f>
        <v>154912.9769749</v>
      </c>
      <c r="D1972" s="22">
        <f ca="1">IFERROR(__xludf.DUMMYFUNCTION("""COMPUTED_VALUE"""),316622.221730999)</f>
        <v>316622.22173099901</v>
      </c>
      <c r="E1972" s="22">
        <f ca="1">IFERROR(__xludf.DUMMYFUNCTION("""COMPUTED_VALUE"""),471535.198705899)</f>
        <v>471535.19870589901</v>
      </c>
      <c r="F1972" s="22">
        <f ca="1">IFERROR(__xludf.DUMMYFUNCTION("""COMPUTED_VALUE"""),154912.976974899)</f>
        <v>154912.97697489901</v>
      </c>
      <c r="G1972" s="22">
        <f ca="1">IFERROR(__xludf.DUMMYFUNCTION("""COMPUTED_VALUE"""),0)</f>
        <v>0</v>
      </c>
      <c r="H1972" s="7">
        <f ca="1">IFERROR(__xludf.DUMMYFUNCTION("""COMPUTED_VALUE"""),474388.7400829)</f>
        <v>474388.74008289998</v>
      </c>
    </row>
    <row r="1973" spans="1:8" ht="13" x14ac:dyDescent="0.15">
      <c r="A1973" s="5" t="str">
        <f ca="1">IFERROR(__xludf.DUMMYFUNCTION("""COMPUTED_VALUE"""),"39608")</f>
        <v>39608</v>
      </c>
      <c r="B1973" s="51">
        <f ca="1">IFERROR(__xludf.DUMMYFUNCTION("""COMPUTED_VALUE"""),44634)</f>
        <v>44634</v>
      </c>
      <c r="C1973" s="22">
        <f ca="1">IFERROR(__xludf.DUMMYFUNCTION("""COMPUTED_VALUE"""),154912.9769749)</f>
        <v>154912.9769749</v>
      </c>
      <c r="D1973" s="22">
        <f ca="1">IFERROR(__xludf.DUMMYFUNCTION("""COMPUTED_VALUE"""),296620.009785)</f>
        <v>296620.009785</v>
      </c>
      <c r="E1973" s="22">
        <f ca="1">IFERROR(__xludf.DUMMYFUNCTION("""COMPUTED_VALUE"""),451532.9867599)</f>
        <v>451532.9867599</v>
      </c>
      <c r="F1973" s="22">
        <f ca="1">IFERROR(__xludf.DUMMYFUNCTION("""COMPUTED_VALUE"""),154912.976974899)</f>
        <v>154912.97697489901</v>
      </c>
      <c r="G1973" s="22">
        <f ca="1">IFERROR(__xludf.DUMMYFUNCTION("""COMPUTED_VALUE"""),0)</f>
        <v>0</v>
      </c>
      <c r="H1973" s="7">
        <f ca="1">IFERROR(__xludf.DUMMYFUNCTION("""COMPUTED_VALUE"""),463458.3955849)</f>
        <v>463458.39558489999</v>
      </c>
    </row>
    <row r="1974" spans="1:8" ht="13" x14ac:dyDescent="0.15">
      <c r="A1974" s="5" t="str">
        <f ca="1">IFERROR(__xludf.DUMMYFUNCTION("""COMPUTED_VALUE"""),"39608")</f>
        <v>39608</v>
      </c>
      <c r="B1974" s="51">
        <f ca="1">IFERROR(__xludf.DUMMYFUNCTION("""COMPUTED_VALUE"""),44635)</f>
        <v>44635</v>
      </c>
      <c r="C1974" s="22">
        <f ca="1">IFERROR(__xludf.DUMMYFUNCTION("""COMPUTED_VALUE"""),154912.9769749)</f>
        <v>154912.9769749</v>
      </c>
      <c r="D1974" s="22">
        <f ca="1">IFERROR(__xludf.DUMMYFUNCTION("""COMPUTED_VALUE"""),313293.149662999)</f>
        <v>313293.14966299903</v>
      </c>
      <c r="E1974" s="22">
        <f ca="1">IFERROR(__xludf.DUMMYFUNCTION("""COMPUTED_VALUE"""),468206.126637899)</f>
        <v>468206.12663789903</v>
      </c>
      <c r="F1974" s="22">
        <f ca="1">IFERROR(__xludf.DUMMYFUNCTION("""COMPUTED_VALUE"""),154912.976974899)</f>
        <v>154912.97697489901</v>
      </c>
      <c r="G1974" s="22">
        <f ca="1">IFERROR(__xludf.DUMMYFUNCTION("""COMPUTED_VALUE"""),0)</f>
        <v>0</v>
      </c>
      <c r="H1974" s="7">
        <f ca="1">IFERROR(__xludf.DUMMYFUNCTION("""COMPUTED_VALUE"""),473884.9834029)</f>
        <v>473884.98340289999</v>
      </c>
    </row>
    <row r="1975" spans="1:8" ht="13" x14ac:dyDescent="0.15">
      <c r="A1975" s="5" t="str">
        <f ca="1">IFERROR(__xludf.DUMMYFUNCTION("""COMPUTED_VALUE"""),"39608")</f>
        <v>39608</v>
      </c>
      <c r="B1975" s="51">
        <f ca="1">IFERROR(__xludf.DUMMYFUNCTION("""COMPUTED_VALUE"""),44636)</f>
        <v>44636</v>
      </c>
      <c r="C1975" s="22">
        <f ca="1">IFERROR(__xludf.DUMMYFUNCTION("""COMPUTED_VALUE"""),154912.9769749)</f>
        <v>154912.9769749</v>
      </c>
      <c r="D1975" s="22">
        <f ca="1">IFERROR(__xludf.DUMMYFUNCTION("""COMPUTED_VALUE"""),336232.234989)</f>
        <v>336232.23498900002</v>
      </c>
      <c r="E1975" s="22">
        <f ca="1">IFERROR(__xludf.DUMMYFUNCTION("""COMPUTED_VALUE"""),491145.2119639)</f>
        <v>491145.21196390002</v>
      </c>
      <c r="F1975" s="22">
        <f ca="1">IFERROR(__xludf.DUMMYFUNCTION("""COMPUTED_VALUE"""),154912.976974899)</f>
        <v>154912.97697489901</v>
      </c>
      <c r="G1975" s="22">
        <f ca="1">IFERROR(__xludf.DUMMYFUNCTION("""COMPUTED_VALUE"""),0)</f>
        <v>0</v>
      </c>
      <c r="H1975" s="7">
        <f ca="1">IFERROR(__xludf.DUMMYFUNCTION("""COMPUTED_VALUE"""),483792.7558789)</f>
        <v>483792.7558789</v>
      </c>
    </row>
    <row r="1976" spans="1:8" ht="13" x14ac:dyDescent="0.15">
      <c r="A1976" s="5" t="str">
        <f ca="1">IFERROR(__xludf.DUMMYFUNCTION("""COMPUTED_VALUE"""),"39608")</f>
        <v>39608</v>
      </c>
      <c r="B1976" s="51">
        <f ca="1">IFERROR(__xludf.DUMMYFUNCTION("""COMPUTED_VALUE"""),44637)</f>
        <v>44637</v>
      </c>
      <c r="C1976" s="22">
        <f ca="1">IFERROR(__xludf.DUMMYFUNCTION("""COMPUTED_VALUE"""),154912.9769749)</f>
        <v>154912.9769749</v>
      </c>
      <c r="D1976" s="22">
        <f ca="1">IFERROR(__xludf.DUMMYFUNCTION("""COMPUTED_VALUE"""),344625.932205)</f>
        <v>344625.93220500002</v>
      </c>
      <c r="E1976" s="22">
        <f ca="1">IFERROR(__xludf.DUMMYFUNCTION("""COMPUTED_VALUE"""),499538.9091799)</f>
        <v>499538.90917990002</v>
      </c>
      <c r="F1976" s="22">
        <f ca="1">IFERROR(__xludf.DUMMYFUNCTION("""COMPUTED_VALUE"""),154912.976974899)</f>
        <v>154912.97697489901</v>
      </c>
      <c r="G1976" s="22">
        <f ca="1">IFERROR(__xludf.DUMMYFUNCTION("""COMPUTED_VALUE"""),0)</f>
        <v>0</v>
      </c>
      <c r="H1976" s="7">
        <f ca="1">IFERROR(__xludf.DUMMYFUNCTION("""COMPUTED_VALUE"""),494306.1852949)</f>
        <v>494306.18529489997</v>
      </c>
    </row>
    <row r="1977" spans="1:8" ht="13" x14ac:dyDescent="0.15">
      <c r="A1977" s="5" t="str">
        <f ca="1">IFERROR(__xludf.DUMMYFUNCTION("""COMPUTED_VALUE"""),"39608")</f>
        <v>39608</v>
      </c>
      <c r="B1977" s="51">
        <f ca="1">IFERROR(__xludf.DUMMYFUNCTION("""COMPUTED_VALUE"""),44638)</f>
        <v>44638</v>
      </c>
      <c r="C1977" s="22">
        <f ca="1">IFERROR(__xludf.DUMMYFUNCTION("""COMPUTED_VALUE"""),154912.9769749)</f>
        <v>154912.9769749</v>
      </c>
      <c r="D1977" s="22">
        <f ca="1">IFERROR(__xludf.DUMMYFUNCTION("""COMPUTED_VALUE"""),353189.936918)</f>
        <v>353189.93691799999</v>
      </c>
      <c r="E1977" s="22">
        <f ca="1">IFERROR(__xludf.DUMMYFUNCTION("""COMPUTED_VALUE"""),508102.9138929)</f>
        <v>508102.91389289999</v>
      </c>
      <c r="F1977" s="22">
        <f ca="1">IFERROR(__xludf.DUMMYFUNCTION("""COMPUTED_VALUE"""),154912.976974899)</f>
        <v>154912.97697489901</v>
      </c>
      <c r="G1977" s="22">
        <f ca="1">IFERROR(__xludf.DUMMYFUNCTION("""COMPUTED_VALUE"""),0)</f>
        <v>0</v>
      </c>
      <c r="H1977" s="7">
        <f ca="1">IFERROR(__xludf.DUMMYFUNCTION("""COMPUTED_VALUE"""),503350.4885229)</f>
        <v>503350.48852289998</v>
      </c>
    </row>
    <row r="1978" spans="1:8" ht="13" x14ac:dyDescent="0.15">
      <c r="A1978" s="5" t="str">
        <f ca="1">IFERROR(__xludf.DUMMYFUNCTION("""COMPUTED_VALUE"""),"39608")</f>
        <v>39608</v>
      </c>
      <c r="B1978" s="51">
        <f ca="1">IFERROR(__xludf.DUMMYFUNCTION("""COMPUTED_VALUE"""),44639)</f>
        <v>44639</v>
      </c>
      <c r="C1978" s="22">
        <f ca="1">IFERROR(__xludf.DUMMYFUNCTION("""COMPUTED_VALUE"""),154912.9769749)</f>
        <v>154912.9769749</v>
      </c>
      <c r="D1978" s="22">
        <f ca="1">IFERROR(__xludf.DUMMYFUNCTION("""COMPUTED_VALUE"""),353189.936918)</f>
        <v>353189.93691799999</v>
      </c>
      <c r="E1978" s="22">
        <f ca="1">IFERROR(__xludf.DUMMYFUNCTION("""COMPUTED_VALUE"""),508102.9138929)</f>
        <v>508102.91389289999</v>
      </c>
      <c r="F1978" s="22">
        <f ca="1">IFERROR(__xludf.DUMMYFUNCTION("""COMPUTED_VALUE"""),154912.976974899)</f>
        <v>154912.97697489901</v>
      </c>
      <c r="G1978" s="22">
        <f ca="1">IFERROR(__xludf.DUMMYFUNCTION("""COMPUTED_VALUE"""),0)</f>
        <v>0</v>
      </c>
      <c r="H1978" s="7">
        <f ca="1">IFERROR(__xludf.DUMMYFUNCTION("""COMPUTED_VALUE"""),503350.4885229)</f>
        <v>503350.48852289998</v>
      </c>
    </row>
    <row r="1979" spans="1:8" ht="13" x14ac:dyDescent="0.15">
      <c r="A1979" s="5" t="str">
        <f ca="1">IFERROR(__xludf.DUMMYFUNCTION("""COMPUTED_VALUE"""),"39608")</f>
        <v>39608</v>
      </c>
      <c r="B1979" s="51">
        <f ca="1">IFERROR(__xludf.DUMMYFUNCTION("""COMPUTED_VALUE"""),44640)</f>
        <v>44640</v>
      </c>
      <c r="C1979" s="22">
        <f ca="1">IFERROR(__xludf.DUMMYFUNCTION("""COMPUTED_VALUE"""),154912.9769749)</f>
        <v>154912.9769749</v>
      </c>
      <c r="D1979" s="22">
        <f ca="1">IFERROR(__xludf.DUMMYFUNCTION("""COMPUTED_VALUE"""),353096.9272243)</f>
        <v>353096.92722429999</v>
      </c>
      <c r="E1979" s="22">
        <f ca="1">IFERROR(__xludf.DUMMYFUNCTION("""COMPUTED_VALUE"""),508009.9041992)</f>
        <v>508009.90419919998</v>
      </c>
      <c r="F1979" s="22">
        <f ca="1">IFERROR(__xludf.DUMMYFUNCTION("""COMPUTED_VALUE"""),154912.976974899)</f>
        <v>154912.97697489901</v>
      </c>
      <c r="G1979" s="22">
        <f ca="1">IFERROR(__xludf.DUMMYFUNCTION("""COMPUTED_VALUE"""),0)</f>
        <v>0</v>
      </c>
      <c r="H1979" s="7">
        <f ca="1">IFERROR(__xludf.DUMMYFUNCTION("""COMPUTED_VALUE"""),503274.5665097)</f>
        <v>503274.56650969997</v>
      </c>
    </row>
    <row r="1980" spans="1:8" ht="13" x14ac:dyDescent="0.15">
      <c r="A1980" s="5" t="str">
        <f ca="1">IFERROR(__xludf.DUMMYFUNCTION("""COMPUTED_VALUE"""),"39608")</f>
        <v>39608</v>
      </c>
      <c r="B1980" s="51">
        <f ca="1">IFERROR(__xludf.DUMMYFUNCTION("""COMPUTED_VALUE"""),44641)</f>
        <v>44641</v>
      </c>
      <c r="C1980" s="22">
        <f ca="1">IFERROR(__xludf.DUMMYFUNCTION("""COMPUTED_VALUE"""),414418.6717669)</f>
        <v>414418.67176689999</v>
      </c>
      <c r="D1980" s="22">
        <f ca="1">IFERROR(__xludf.DUMMYFUNCTION("""COMPUTED_VALUE"""),95079.2175)</f>
        <v>95079.217499999999</v>
      </c>
      <c r="E1980" s="22">
        <f ca="1">IFERROR(__xludf.DUMMYFUNCTION("""COMPUTED_VALUE"""),509497.8892669)</f>
        <v>509497.88926690002</v>
      </c>
      <c r="F1980" s="22">
        <f ca="1">IFERROR(__xludf.DUMMYFUNCTION("""COMPUTED_VALUE"""),414418.6717669)</f>
        <v>414418.67176689999</v>
      </c>
      <c r="G1980" s="22">
        <f ca="1">IFERROR(__xludf.DUMMYFUNCTION("""COMPUTED_VALUE"""),0)</f>
        <v>0</v>
      </c>
      <c r="H1980" s="7">
        <f ca="1">IFERROR(__xludf.DUMMYFUNCTION("""COMPUTED_VALUE"""),509497.8892669)</f>
        <v>509497.88926690002</v>
      </c>
    </row>
    <row r="1981" spans="1:8" ht="13" x14ac:dyDescent="0.15">
      <c r="A1981" s="5" t="str">
        <f ca="1">IFERROR(__xludf.DUMMYFUNCTION("""COMPUTED_VALUE"""),"39608")</f>
        <v>39608</v>
      </c>
      <c r="B1981" s="51">
        <f ca="1">IFERROR(__xludf.DUMMYFUNCTION("""COMPUTED_VALUE"""),44642)</f>
        <v>44642</v>
      </c>
      <c r="C1981" s="22">
        <f ca="1">IFERROR(__xludf.DUMMYFUNCTION("""COMPUTED_VALUE"""),414418.6717669)</f>
        <v>414418.67176689999</v>
      </c>
      <c r="D1981" s="22">
        <f ca="1">IFERROR(__xludf.DUMMYFUNCTION("""COMPUTED_VALUE"""),115391.747854)</f>
        <v>115391.747854</v>
      </c>
      <c r="E1981" s="22">
        <f ca="1">IFERROR(__xludf.DUMMYFUNCTION("""COMPUTED_VALUE"""),529810.4196209)</f>
        <v>529810.41962089995</v>
      </c>
      <c r="F1981" s="22">
        <f ca="1">IFERROR(__xludf.DUMMYFUNCTION("""COMPUTED_VALUE"""),414418.6717669)</f>
        <v>414418.67176689999</v>
      </c>
      <c r="G1981" s="22">
        <f ca="1">IFERROR(__xludf.DUMMYFUNCTION("""COMPUTED_VALUE"""),0)</f>
        <v>0</v>
      </c>
      <c r="H1981" s="7">
        <f ca="1">IFERROR(__xludf.DUMMYFUNCTION("""COMPUTED_VALUE"""),509242.1710169)</f>
        <v>509242.17101689999</v>
      </c>
    </row>
    <row r="1982" spans="1:8" ht="13" x14ac:dyDescent="0.15">
      <c r="A1982" s="5" t="str">
        <f ca="1">IFERROR(__xludf.DUMMYFUNCTION("""COMPUTED_VALUE"""),"39670")</f>
        <v>39670</v>
      </c>
      <c r="B1982" s="51">
        <f ca="1">IFERROR(__xludf.DUMMYFUNCTION("""COMPUTED_VALUE"""),44597)</f>
        <v>44597</v>
      </c>
      <c r="C1982" s="22">
        <f ca="1">IFERROR(__xludf.DUMMYFUNCTION("""COMPUTED_VALUE"""),500000)</f>
        <v>500000</v>
      </c>
      <c r="D1982" s="22">
        <f ca="1">IFERROR(__xludf.DUMMYFUNCTION("""COMPUTED_VALUE"""),0)</f>
        <v>0</v>
      </c>
      <c r="E1982" s="22">
        <f ca="1">IFERROR(__xludf.DUMMYFUNCTION("""COMPUTED_VALUE"""),500000)</f>
        <v>500000</v>
      </c>
      <c r="F1982" s="22">
        <f ca="1">IFERROR(__xludf.DUMMYFUNCTION("""COMPUTED_VALUE"""),500000)</f>
        <v>500000</v>
      </c>
      <c r="G1982" s="22">
        <f ca="1">IFERROR(__xludf.DUMMYFUNCTION("""COMPUTED_VALUE"""),0)</f>
        <v>0</v>
      </c>
      <c r="H1982" s="7">
        <f ca="1">IFERROR(__xludf.DUMMYFUNCTION("""COMPUTED_VALUE"""),500000)</f>
        <v>500000</v>
      </c>
    </row>
    <row r="1983" spans="1:8" ht="13" x14ac:dyDescent="0.15">
      <c r="A1983" s="5" t="str">
        <f ca="1">IFERROR(__xludf.DUMMYFUNCTION("""COMPUTED_VALUE"""),"39670")</f>
        <v>39670</v>
      </c>
      <c r="B1983" s="51">
        <f ca="1">IFERROR(__xludf.DUMMYFUNCTION("""COMPUTED_VALUE"""),44598)</f>
        <v>44598</v>
      </c>
      <c r="C1983" s="22">
        <f ca="1">IFERROR(__xludf.DUMMYFUNCTION("""COMPUTED_VALUE"""),500000)</f>
        <v>500000</v>
      </c>
      <c r="D1983" s="22">
        <f ca="1">IFERROR(__xludf.DUMMYFUNCTION("""COMPUTED_VALUE"""),0)</f>
        <v>0</v>
      </c>
      <c r="E1983" s="22">
        <f ca="1">IFERROR(__xludf.DUMMYFUNCTION("""COMPUTED_VALUE"""),500000)</f>
        <v>500000</v>
      </c>
      <c r="F1983" s="22">
        <f ca="1">IFERROR(__xludf.DUMMYFUNCTION("""COMPUTED_VALUE"""),500000)</f>
        <v>500000</v>
      </c>
      <c r="G1983" s="22">
        <f ca="1">IFERROR(__xludf.DUMMYFUNCTION("""COMPUTED_VALUE"""),0)</f>
        <v>0</v>
      </c>
      <c r="H1983" s="7">
        <f ca="1">IFERROR(__xludf.DUMMYFUNCTION("""COMPUTED_VALUE"""),500000)</f>
        <v>500000</v>
      </c>
    </row>
    <row r="1984" spans="1:8" ht="13" x14ac:dyDescent="0.15">
      <c r="A1984" s="5" t="str">
        <f ca="1">IFERROR(__xludf.DUMMYFUNCTION("""COMPUTED_VALUE"""),"39670")</f>
        <v>39670</v>
      </c>
      <c r="B1984" s="51">
        <f ca="1">IFERROR(__xludf.DUMMYFUNCTION("""COMPUTED_VALUE"""),44599)</f>
        <v>44599</v>
      </c>
      <c r="C1984" s="22">
        <f ca="1">IFERROR(__xludf.DUMMYFUNCTION("""COMPUTED_VALUE"""),500000)</f>
        <v>500000</v>
      </c>
      <c r="D1984" s="22">
        <f ca="1">IFERROR(__xludf.DUMMYFUNCTION("""COMPUTED_VALUE"""),0)</f>
        <v>0</v>
      </c>
      <c r="E1984" s="22">
        <f ca="1">IFERROR(__xludf.DUMMYFUNCTION("""COMPUTED_VALUE"""),500000)</f>
        <v>500000</v>
      </c>
      <c r="F1984" s="22">
        <f ca="1">IFERROR(__xludf.DUMMYFUNCTION("""COMPUTED_VALUE"""),500000)</f>
        <v>500000</v>
      </c>
      <c r="G1984" s="22">
        <f ca="1">IFERROR(__xludf.DUMMYFUNCTION("""COMPUTED_VALUE"""),0)</f>
        <v>0</v>
      </c>
      <c r="H1984" s="7">
        <f ca="1">IFERROR(__xludf.DUMMYFUNCTION("""COMPUTED_VALUE"""),500000)</f>
        <v>500000</v>
      </c>
    </row>
    <row r="1985" spans="1:8" ht="13" x14ac:dyDescent="0.15">
      <c r="A1985" s="5" t="str">
        <f ca="1">IFERROR(__xludf.DUMMYFUNCTION("""COMPUTED_VALUE"""),"39670")</f>
        <v>39670</v>
      </c>
      <c r="B1985" s="51">
        <f ca="1">IFERROR(__xludf.DUMMYFUNCTION("""COMPUTED_VALUE"""),44600)</f>
        <v>44600</v>
      </c>
      <c r="C1985" s="22">
        <f ca="1">IFERROR(__xludf.DUMMYFUNCTION("""COMPUTED_VALUE"""),500000)</f>
        <v>500000</v>
      </c>
      <c r="D1985" s="22">
        <f ca="1">IFERROR(__xludf.DUMMYFUNCTION("""COMPUTED_VALUE"""),0)</f>
        <v>0</v>
      </c>
      <c r="E1985" s="22">
        <f ca="1">IFERROR(__xludf.DUMMYFUNCTION("""COMPUTED_VALUE"""),500000)</f>
        <v>500000</v>
      </c>
      <c r="F1985" s="22">
        <f ca="1">IFERROR(__xludf.DUMMYFUNCTION("""COMPUTED_VALUE"""),500000)</f>
        <v>500000</v>
      </c>
      <c r="G1985" s="22">
        <f ca="1">IFERROR(__xludf.DUMMYFUNCTION("""COMPUTED_VALUE"""),0)</f>
        <v>0</v>
      </c>
      <c r="H1985" s="7">
        <f ca="1">IFERROR(__xludf.DUMMYFUNCTION("""COMPUTED_VALUE"""),500000)</f>
        <v>500000</v>
      </c>
    </row>
    <row r="1986" spans="1:8" ht="13" x14ac:dyDescent="0.15">
      <c r="A1986" s="5" t="str">
        <f ca="1">IFERROR(__xludf.DUMMYFUNCTION("""COMPUTED_VALUE"""),"39670")</f>
        <v>39670</v>
      </c>
      <c r="B1986" s="51">
        <f ca="1">IFERROR(__xludf.DUMMYFUNCTION("""COMPUTED_VALUE"""),44601)</f>
        <v>44601</v>
      </c>
      <c r="C1986" s="22">
        <f ca="1">IFERROR(__xludf.DUMMYFUNCTION("""COMPUTED_VALUE"""),500000)</f>
        <v>500000</v>
      </c>
      <c r="D1986" s="22">
        <f ca="1">IFERROR(__xludf.DUMMYFUNCTION("""COMPUTED_VALUE"""),0)</f>
        <v>0</v>
      </c>
      <c r="E1986" s="22">
        <f ca="1">IFERROR(__xludf.DUMMYFUNCTION("""COMPUTED_VALUE"""),500000)</f>
        <v>500000</v>
      </c>
      <c r="F1986" s="22">
        <f ca="1">IFERROR(__xludf.DUMMYFUNCTION("""COMPUTED_VALUE"""),500000)</f>
        <v>500000</v>
      </c>
      <c r="G1986" s="22">
        <f ca="1">IFERROR(__xludf.DUMMYFUNCTION("""COMPUTED_VALUE"""),0)</f>
        <v>0</v>
      </c>
      <c r="H1986" s="7">
        <f ca="1">IFERROR(__xludf.DUMMYFUNCTION("""COMPUTED_VALUE"""),500000)</f>
        <v>500000</v>
      </c>
    </row>
    <row r="1987" spans="1:8" ht="13" x14ac:dyDescent="0.15">
      <c r="A1987" s="5" t="str">
        <f ca="1">IFERROR(__xludf.DUMMYFUNCTION("""COMPUTED_VALUE"""),"39670")</f>
        <v>39670</v>
      </c>
      <c r="B1987" s="51">
        <f ca="1">IFERROR(__xludf.DUMMYFUNCTION("""COMPUTED_VALUE"""),44602)</f>
        <v>44602</v>
      </c>
      <c r="C1987" s="22">
        <f ca="1">IFERROR(__xludf.DUMMYFUNCTION("""COMPUTED_VALUE"""),500000)</f>
        <v>500000</v>
      </c>
      <c r="D1987" s="22">
        <f ca="1">IFERROR(__xludf.DUMMYFUNCTION("""COMPUTED_VALUE"""),0)</f>
        <v>0</v>
      </c>
      <c r="E1987" s="22">
        <f ca="1">IFERROR(__xludf.DUMMYFUNCTION("""COMPUTED_VALUE"""),500000)</f>
        <v>500000</v>
      </c>
      <c r="F1987" s="22">
        <f ca="1">IFERROR(__xludf.DUMMYFUNCTION("""COMPUTED_VALUE"""),500000)</f>
        <v>500000</v>
      </c>
      <c r="G1987" s="22">
        <f ca="1">IFERROR(__xludf.DUMMYFUNCTION("""COMPUTED_VALUE"""),0)</f>
        <v>0</v>
      </c>
      <c r="H1987" s="7">
        <f ca="1">IFERROR(__xludf.DUMMYFUNCTION("""COMPUTED_VALUE"""),500000)</f>
        <v>500000</v>
      </c>
    </row>
    <row r="1988" spans="1:8" ht="13" x14ac:dyDescent="0.15">
      <c r="A1988" s="5" t="str">
        <f ca="1">IFERROR(__xludf.DUMMYFUNCTION("""COMPUTED_VALUE"""),"39670")</f>
        <v>39670</v>
      </c>
      <c r="B1988" s="51">
        <f ca="1">IFERROR(__xludf.DUMMYFUNCTION("""COMPUTED_VALUE"""),44603)</f>
        <v>44603</v>
      </c>
      <c r="C1988" s="22">
        <f ca="1">IFERROR(__xludf.DUMMYFUNCTION("""COMPUTED_VALUE"""),500000)</f>
        <v>500000</v>
      </c>
      <c r="D1988" s="22">
        <f ca="1">IFERROR(__xludf.DUMMYFUNCTION("""COMPUTED_VALUE"""),0)</f>
        <v>0</v>
      </c>
      <c r="E1988" s="22">
        <f ca="1">IFERROR(__xludf.DUMMYFUNCTION("""COMPUTED_VALUE"""),500000)</f>
        <v>500000</v>
      </c>
      <c r="F1988" s="22">
        <f ca="1">IFERROR(__xludf.DUMMYFUNCTION("""COMPUTED_VALUE"""),500000)</f>
        <v>500000</v>
      </c>
      <c r="G1988" s="22">
        <f ca="1">IFERROR(__xludf.DUMMYFUNCTION("""COMPUTED_VALUE"""),0)</f>
        <v>0</v>
      </c>
      <c r="H1988" s="7">
        <f ca="1">IFERROR(__xludf.DUMMYFUNCTION("""COMPUTED_VALUE"""),500000)</f>
        <v>500000</v>
      </c>
    </row>
    <row r="1989" spans="1:8" ht="13" x14ac:dyDescent="0.15">
      <c r="A1989" s="5" t="str">
        <f ca="1">IFERROR(__xludf.DUMMYFUNCTION("""COMPUTED_VALUE"""),"39670")</f>
        <v>39670</v>
      </c>
      <c r="B1989" s="51">
        <f ca="1">IFERROR(__xludf.DUMMYFUNCTION("""COMPUTED_VALUE"""),44604)</f>
        <v>44604</v>
      </c>
      <c r="C1989" s="22">
        <f ca="1">IFERROR(__xludf.DUMMYFUNCTION("""COMPUTED_VALUE"""),500000)</f>
        <v>500000</v>
      </c>
      <c r="D1989" s="22">
        <f ca="1">IFERROR(__xludf.DUMMYFUNCTION("""COMPUTED_VALUE"""),0)</f>
        <v>0</v>
      </c>
      <c r="E1989" s="22">
        <f ca="1">IFERROR(__xludf.DUMMYFUNCTION("""COMPUTED_VALUE"""),500000)</f>
        <v>500000</v>
      </c>
      <c r="F1989" s="22">
        <f ca="1">IFERROR(__xludf.DUMMYFUNCTION("""COMPUTED_VALUE"""),500000)</f>
        <v>500000</v>
      </c>
      <c r="G1989" s="22">
        <f ca="1">IFERROR(__xludf.DUMMYFUNCTION("""COMPUTED_VALUE"""),0)</f>
        <v>0</v>
      </c>
      <c r="H1989" s="7">
        <f ca="1">IFERROR(__xludf.DUMMYFUNCTION("""COMPUTED_VALUE"""),500000)</f>
        <v>500000</v>
      </c>
    </row>
    <row r="1990" spans="1:8" ht="13" x14ac:dyDescent="0.15">
      <c r="A1990" s="5" t="str">
        <f ca="1">IFERROR(__xludf.DUMMYFUNCTION("""COMPUTED_VALUE"""),"39670")</f>
        <v>39670</v>
      </c>
      <c r="B1990" s="51">
        <f ca="1">IFERROR(__xludf.DUMMYFUNCTION("""COMPUTED_VALUE"""),44605)</f>
        <v>44605</v>
      </c>
      <c r="C1990" s="22">
        <f ca="1">IFERROR(__xludf.DUMMYFUNCTION("""COMPUTED_VALUE"""),500000)</f>
        <v>500000</v>
      </c>
      <c r="D1990" s="22">
        <f ca="1">IFERROR(__xludf.DUMMYFUNCTION("""COMPUTED_VALUE"""),0)</f>
        <v>0</v>
      </c>
      <c r="E1990" s="22">
        <f ca="1">IFERROR(__xludf.DUMMYFUNCTION("""COMPUTED_VALUE"""),500000)</f>
        <v>500000</v>
      </c>
      <c r="F1990" s="22">
        <f ca="1">IFERROR(__xludf.DUMMYFUNCTION("""COMPUTED_VALUE"""),500000)</f>
        <v>500000</v>
      </c>
      <c r="G1990" s="22">
        <f ca="1">IFERROR(__xludf.DUMMYFUNCTION("""COMPUTED_VALUE"""),0)</f>
        <v>0</v>
      </c>
      <c r="H1990" s="7">
        <f ca="1">IFERROR(__xludf.DUMMYFUNCTION("""COMPUTED_VALUE"""),500000)</f>
        <v>500000</v>
      </c>
    </row>
    <row r="1991" spans="1:8" ht="13" x14ac:dyDescent="0.15">
      <c r="A1991" s="5" t="str">
        <f ca="1">IFERROR(__xludf.DUMMYFUNCTION("""COMPUTED_VALUE"""),"39670")</f>
        <v>39670</v>
      </c>
      <c r="B1991" s="51">
        <f ca="1">IFERROR(__xludf.DUMMYFUNCTION("""COMPUTED_VALUE"""),44606)</f>
        <v>44606</v>
      </c>
      <c r="C1991" s="22">
        <f ca="1">IFERROR(__xludf.DUMMYFUNCTION("""COMPUTED_VALUE"""),500000)</f>
        <v>500000</v>
      </c>
      <c r="D1991" s="22">
        <f ca="1">IFERROR(__xludf.DUMMYFUNCTION("""COMPUTED_VALUE"""),0)</f>
        <v>0</v>
      </c>
      <c r="E1991" s="22">
        <f ca="1">IFERROR(__xludf.DUMMYFUNCTION("""COMPUTED_VALUE"""),500000)</f>
        <v>500000</v>
      </c>
      <c r="F1991" s="22">
        <f ca="1">IFERROR(__xludf.DUMMYFUNCTION("""COMPUTED_VALUE"""),500000)</f>
        <v>500000</v>
      </c>
      <c r="G1991" s="22">
        <f ca="1">IFERROR(__xludf.DUMMYFUNCTION("""COMPUTED_VALUE"""),0)</f>
        <v>0</v>
      </c>
      <c r="H1991" s="7">
        <f ca="1">IFERROR(__xludf.DUMMYFUNCTION("""COMPUTED_VALUE"""),500000)</f>
        <v>500000</v>
      </c>
    </row>
    <row r="1992" spans="1:8" ht="13" x14ac:dyDescent="0.15">
      <c r="A1992" s="5" t="str">
        <f ca="1">IFERROR(__xludf.DUMMYFUNCTION("""COMPUTED_VALUE"""),"39670")</f>
        <v>39670</v>
      </c>
      <c r="B1992" s="51">
        <f ca="1">IFERROR(__xludf.DUMMYFUNCTION("""COMPUTED_VALUE"""),44607)</f>
        <v>44607</v>
      </c>
      <c r="C1992" s="22">
        <f ca="1">IFERROR(__xludf.DUMMYFUNCTION("""COMPUTED_VALUE"""),500000)</f>
        <v>500000</v>
      </c>
      <c r="D1992" s="22">
        <f ca="1">IFERROR(__xludf.DUMMYFUNCTION("""COMPUTED_VALUE"""),0)</f>
        <v>0</v>
      </c>
      <c r="E1992" s="22">
        <f ca="1">IFERROR(__xludf.DUMMYFUNCTION("""COMPUTED_VALUE"""),500000)</f>
        <v>500000</v>
      </c>
      <c r="F1992" s="22">
        <f ca="1">IFERROR(__xludf.DUMMYFUNCTION("""COMPUTED_VALUE"""),500000)</f>
        <v>500000</v>
      </c>
      <c r="G1992" s="22">
        <f ca="1">IFERROR(__xludf.DUMMYFUNCTION("""COMPUTED_VALUE"""),0)</f>
        <v>0</v>
      </c>
      <c r="H1992" s="7">
        <f ca="1">IFERROR(__xludf.DUMMYFUNCTION("""COMPUTED_VALUE"""),500000)</f>
        <v>500000</v>
      </c>
    </row>
    <row r="1993" spans="1:8" ht="13" x14ac:dyDescent="0.15">
      <c r="A1993" s="5" t="str">
        <f ca="1">IFERROR(__xludf.DUMMYFUNCTION("""COMPUTED_VALUE"""),"39670")</f>
        <v>39670</v>
      </c>
      <c r="B1993" s="51">
        <f ca="1">IFERROR(__xludf.DUMMYFUNCTION("""COMPUTED_VALUE"""),44608)</f>
        <v>44608</v>
      </c>
      <c r="C1993" s="22">
        <f ca="1">IFERROR(__xludf.DUMMYFUNCTION("""COMPUTED_VALUE"""),500000)</f>
        <v>500000</v>
      </c>
      <c r="D1993" s="22">
        <f ca="1">IFERROR(__xludf.DUMMYFUNCTION("""COMPUTED_VALUE"""),0)</f>
        <v>0</v>
      </c>
      <c r="E1993" s="22">
        <f ca="1">IFERROR(__xludf.DUMMYFUNCTION("""COMPUTED_VALUE"""),500000)</f>
        <v>500000</v>
      </c>
      <c r="F1993" s="22">
        <f ca="1">IFERROR(__xludf.DUMMYFUNCTION("""COMPUTED_VALUE"""),500000)</f>
        <v>500000</v>
      </c>
      <c r="G1993" s="22">
        <f ca="1">IFERROR(__xludf.DUMMYFUNCTION("""COMPUTED_VALUE"""),0)</f>
        <v>0</v>
      </c>
      <c r="H1993" s="7">
        <f ca="1">IFERROR(__xludf.DUMMYFUNCTION("""COMPUTED_VALUE"""),500000)</f>
        <v>500000</v>
      </c>
    </row>
    <row r="1994" spans="1:8" ht="13" x14ac:dyDescent="0.15">
      <c r="A1994" s="5" t="str">
        <f ca="1">IFERROR(__xludf.DUMMYFUNCTION("""COMPUTED_VALUE"""),"39670")</f>
        <v>39670</v>
      </c>
      <c r="B1994" s="51">
        <f ca="1">IFERROR(__xludf.DUMMYFUNCTION("""COMPUTED_VALUE"""),44609)</f>
        <v>44609</v>
      </c>
      <c r="C1994" s="22">
        <f ca="1">IFERROR(__xludf.DUMMYFUNCTION("""COMPUTED_VALUE"""),500000)</f>
        <v>500000</v>
      </c>
      <c r="D1994" s="22">
        <f ca="1">IFERROR(__xludf.DUMMYFUNCTION("""COMPUTED_VALUE"""),0)</f>
        <v>0</v>
      </c>
      <c r="E1994" s="22">
        <f ca="1">IFERROR(__xludf.DUMMYFUNCTION("""COMPUTED_VALUE"""),500000)</f>
        <v>500000</v>
      </c>
      <c r="F1994" s="22">
        <f ca="1">IFERROR(__xludf.DUMMYFUNCTION("""COMPUTED_VALUE"""),500000)</f>
        <v>500000</v>
      </c>
      <c r="G1994" s="22">
        <f ca="1">IFERROR(__xludf.DUMMYFUNCTION("""COMPUTED_VALUE"""),0)</f>
        <v>0</v>
      </c>
      <c r="H1994" s="7">
        <f ca="1">IFERROR(__xludf.DUMMYFUNCTION("""COMPUTED_VALUE"""),500000)</f>
        <v>500000</v>
      </c>
    </row>
    <row r="1995" spans="1:8" ht="13" x14ac:dyDescent="0.15">
      <c r="A1995" s="5" t="str">
        <f ca="1">IFERROR(__xludf.DUMMYFUNCTION("""COMPUTED_VALUE"""),"39670")</f>
        <v>39670</v>
      </c>
      <c r="B1995" s="51">
        <f ca="1">IFERROR(__xludf.DUMMYFUNCTION("""COMPUTED_VALUE"""),44610)</f>
        <v>44610</v>
      </c>
      <c r="C1995" s="22">
        <f ca="1">IFERROR(__xludf.DUMMYFUNCTION("""COMPUTED_VALUE"""),500000)</f>
        <v>500000</v>
      </c>
      <c r="D1995" s="22">
        <f ca="1">IFERROR(__xludf.DUMMYFUNCTION("""COMPUTED_VALUE"""),0)</f>
        <v>0</v>
      </c>
      <c r="E1995" s="22">
        <f ca="1">IFERROR(__xludf.DUMMYFUNCTION("""COMPUTED_VALUE"""),500000)</f>
        <v>500000</v>
      </c>
      <c r="F1995" s="22">
        <f ca="1">IFERROR(__xludf.DUMMYFUNCTION("""COMPUTED_VALUE"""),500000)</f>
        <v>500000</v>
      </c>
      <c r="G1995" s="22">
        <f ca="1">IFERROR(__xludf.DUMMYFUNCTION("""COMPUTED_VALUE"""),0)</f>
        <v>0</v>
      </c>
      <c r="H1995" s="7">
        <f ca="1">IFERROR(__xludf.DUMMYFUNCTION("""COMPUTED_VALUE"""),500000)</f>
        <v>500000</v>
      </c>
    </row>
    <row r="1996" spans="1:8" ht="13" x14ac:dyDescent="0.15">
      <c r="A1996" s="5" t="str">
        <f ca="1">IFERROR(__xludf.DUMMYFUNCTION("""COMPUTED_VALUE"""),"39670")</f>
        <v>39670</v>
      </c>
      <c r="B1996" s="51">
        <f ca="1">IFERROR(__xludf.DUMMYFUNCTION("""COMPUTED_VALUE"""),44611)</f>
        <v>44611</v>
      </c>
      <c r="C1996" s="22">
        <f ca="1">IFERROR(__xludf.DUMMYFUNCTION("""COMPUTED_VALUE"""),500000)</f>
        <v>500000</v>
      </c>
      <c r="D1996" s="22">
        <f ca="1">IFERROR(__xludf.DUMMYFUNCTION("""COMPUTED_VALUE"""),0)</f>
        <v>0</v>
      </c>
      <c r="E1996" s="22">
        <f ca="1">IFERROR(__xludf.DUMMYFUNCTION("""COMPUTED_VALUE"""),500000)</f>
        <v>500000</v>
      </c>
      <c r="F1996" s="22">
        <f ca="1">IFERROR(__xludf.DUMMYFUNCTION("""COMPUTED_VALUE"""),500000)</f>
        <v>500000</v>
      </c>
      <c r="G1996" s="22">
        <f ca="1">IFERROR(__xludf.DUMMYFUNCTION("""COMPUTED_VALUE"""),0)</f>
        <v>0</v>
      </c>
      <c r="H1996" s="7">
        <f ca="1">IFERROR(__xludf.DUMMYFUNCTION("""COMPUTED_VALUE"""),500000)</f>
        <v>500000</v>
      </c>
    </row>
    <row r="1997" spans="1:8" ht="13" x14ac:dyDescent="0.15">
      <c r="A1997" s="5" t="str">
        <f ca="1">IFERROR(__xludf.DUMMYFUNCTION("""COMPUTED_VALUE"""),"39670")</f>
        <v>39670</v>
      </c>
      <c r="B1997" s="51">
        <f ca="1">IFERROR(__xludf.DUMMYFUNCTION("""COMPUTED_VALUE"""),44612)</f>
        <v>44612</v>
      </c>
      <c r="C1997" s="22">
        <f ca="1">IFERROR(__xludf.DUMMYFUNCTION("""COMPUTED_VALUE"""),500000)</f>
        <v>500000</v>
      </c>
      <c r="D1997" s="22">
        <f ca="1">IFERROR(__xludf.DUMMYFUNCTION("""COMPUTED_VALUE"""),0)</f>
        <v>0</v>
      </c>
      <c r="E1997" s="22">
        <f ca="1">IFERROR(__xludf.DUMMYFUNCTION("""COMPUTED_VALUE"""),500000)</f>
        <v>500000</v>
      </c>
      <c r="F1997" s="22">
        <f ca="1">IFERROR(__xludf.DUMMYFUNCTION("""COMPUTED_VALUE"""),500000)</f>
        <v>500000</v>
      </c>
      <c r="G1997" s="22">
        <f ca="1">IFERROR(__xludf.DUMMYFUNCTION("""COMPUTED_VALUE"""),0)</f>
        <v>0</v>
      </c>
      <c r="H1997" s="7">
        <f ca="1">IFERROR(__xludf.DUMMYFUNCTION("""COMPUTED_VALUE"""),500000)</f>
        <v>500000</v>
      </c>
    </row>
    <row r="1998" spans="1:8" ht="13" x14ac:dyDescent="0.15">
      <c r="A1998" s="5" t="str">
        <f ca="1">IFERROR(__xludf.DUMMYFUNCTION("""COMPUTED_VALUE"""),"39670")</f>
        <v>39670</v>
      </c>
      <c r="B1998" s="51">
        <f ca="1">IFERROR(__xludf.DUMMYFUNCTION("""COMPUTED_VALUE"""),44613)</f>
        <v>44613</v>
      </c>
      <c r="C1998" s="22">
        <f ca="1">IFERROR(__xludf.DUMMYFUNCTION("""COMPUTED_VALUE"""),500000)</f>
        <v>500000</v>
      </c>
      <c r="D1998" s="22">
        <f ca="1">IFERROR(__xludf.DUMMYFUNCTION("""COMPUTED_VALUE"""),0)</f>
        <v>0</v>
      </c>
      <c r="E1998" s="22">
        <f ca="1">IFERROR(__xludf.DUMMYFUNCTION("""COMPUTED_VALUE"""),500000)</f>
        <v>500000</v>
      </c>
      <c r="F1998" s="22">
        <f ca="1">IFERROR(__xludf.DUMMYFUNCTION("""COMPUTED_VALUE"""),500000)</f>
        <v>500000</v>
      </c>
      <c r="G1998" s="22">
        <f ca="1">IFERROR(__xludf.DUMMYFUNCTION("""COMPUTED_VALUE"""),0)</f>
        <v>0</v>
      </c>
      <c r="H1998" s="7">
        <f ca="1">IFERROR(__xludf.DUMMYFUNCTION("""COMPUTED_VALUE"""),500000)</f>
        <v>500000</v>
      </c>
    </row>
    <row r="1999" spans="1:8" ht="13" x14ac:dyDescent="0.15">
      <c r="A1999" s="5" t="str">
        <f ca="1">IFERROR(__xludf.DUMMYFUNCTION("""COMPUTED_VALUE"""),"39670")</f>
        <v>39670</v>
      </c>
      <c r="B1999" s="51">
        <f ca="1">IFERROR(__xludf.DUMMYFUNCTION("""COMPUTED_VALUE"""),44614)</f>
        <v>44614</v>
      </c>
      <c r="C1999" s="22">
        <f ca="1">IFERROR(__xludf.DUMMYFUNCTION("""COMPUTED_VALUE"""),500000)</f>
        <v>500000</v>
      </c>
      <c r="D1999" s="22">
        <f ca="1">IFERROR(__xludf.DUMMYFUNCTION("""COMPUTED_VALUE"""),0)</f>
        <v>0</v>
      </c>
      <c r="E1999" s="22">
        <f ca="1">IFERROR(__xludf.DUMMYFUNCTION("""COMPUTED_VALUE"""),500000)</f>
        <v>500000</v>
      </c>
      <c r="F1999" s="22">
        <f ca="1">IFERROR(__xludf.DUMMYFUNCTION("""COMPUTED_VALUE"""),500000)</f>
        <v>500000</v>
      </c>
      <c r="G1999" s="22">
        <f ca="1">IFERROR(__xludf.DUMMYFUNCTION("""COMPUTED_VALUE"""),0)</f>
        <v>0</v>
      </c>
      <c r="H1999" s="7">
        <f ca="1">IFERROR(__xludf.DUMMYFUNCTION("""COMPUTED_VALUE"""),500000)</f>
        <v>500000</v>
      </c>
    </row>
    <row r="2000" spans="1:8" ht="13" x14ac:dyDescent="0.15">
      <c r="A2000" s="5" t="str">
        <f ca="1">IFERROR(__xludf.DUMMYFUNCTION("""COMPUTED_VALUE"""),"39670")</f>
        <v>39670</v>
      </c>
      <c r="B2000" s="51">
        <f ca="1">IFERROR(__xludf.DUMMYFUNCTION("""COMPUTED_VALUE"""),44615)</f>
        <v>44615</v>
      </c>
      <c r="C2000" s="22">
        <f ca="1">IFERROR(__xludf.DUMMYFUNCTION("""COMPUTED_VALUE"""),500000)</f>
        <v>500000</v>
      </c>
      <c r="D2000" s="22">
        <f ca="1">IFERROR(__xludf.DUMMYFUNCTION("""COMPUTED_VALUE"""),0)</f>
        <v>0</v>
      </c>
      <c r="E2000" s="22">
        <f ca="1">IFERROR(__xludf.DUMMYFUNCTION("""COMPUTED_VALUE"""),500000)</f>
        <v>500000</v>
      </c>
      <c r="F2000" s="22">
        <f ca="1">IFERROR(__xludf.DUMMYFUNCTION("""COMPUTED_VALUE"""),500000)</f>
        <v>500000</v>
      </c>
      <c r="G2000" s="22">
        <f ca="1">IFERROR(__xludf.DUMMYFUNCTION("""COMPUTED_VALUE"""),0)</f>
        <v>0</v>
      </c>
      <c r="H2000" s="7">
        <f ca="1">IFERROR(__xludf.DUMMYFUNCTION("""COMPUTED_VALUE"""),500000)</f>
        <v>500000</v>
      </c>
    </row>
    <row r="2001" spans="1:8" ht="13" x14ac:dyDescent="0.15">
      <c r="A2001" s="5" t="str">
        <f ca="1">IFERROR(__xludf.DUMMYFUNCTION("""COMPUTED_VALUE"""),"39670")</f>
        <v>39670</v>
      </c>
      <c r="B2001" s="51">
        <f ca="1">IFERROR(__xludf.DUMMYFUNCTION("""COMPUTED_VALUE"""),44616)</f>
        <v>44616</v>
      </c>
      <c r="C2001" s="22">
        <f ca="1">IFERROR(__xludf.DUMMYFUNCTION("""COMPUTED_VALUE"""),500000)</f>
        <v>500000</v>
      </c>
      <c r="D2001" s="22">
        <f ca="1">IFERROR(__xludf.DUMMYFUNCTION("""COMPUTED_VALUE"""),0)</f>
        <v>0</v>
      </c>
      <c r="E2001" s="22">
        <f ca="1">IFERROR(__xludf.DUMMYFUNCTION("""COMPUTED_VALUE"""),500000)</f>
        <v>500000</v>
      </c>
      <c r="F2001" s="22">
        <f ca="1">IFERROR(__xludf.DUMMYFUNCTION("""COMPUTED_VALUE"""),500000)</f>
        <v>500000</v>
      </c>
      <c r="G2001" s="22">
        <f ca="1">IFERROR(__xludf.DUMMYFUNCTION("""COMPUTED_VALUE"""),0)</f>
        <v>0</v>
      </c>
      <c r="H2001" s="7">
        <f ca="1">IFERROR(__xludf.DUMMYFUNCTION("""COMPUTED_VALUE"""),500000)</f>
        <v>500000</v>
      </c>
    </row>
    <row r="2002" spans="1:8" ht="13" x14ac:dyDescent="0.15">
      <c r="A2002" s="5" t="str">
        <f ca="1">IFERROR(__xludf.DUMMYFUNCTION("""COMPUTED_VALUE"""),"39670")</f>
        <v>39670</v>
      </c>
      <c r="B2002" s="51">
        <f ca="1">IFERROR(__xludf.DUMMYFUNCTION("""COMPUTED_VALUE"""),44617)</f>
        <v>44617</v>
      </c>
      <c r="C2002" s="22">
        <f ca="1">IFERROR(__xludf.DUMMYFUNCTION("""COMPUTED_VALUE"""),500000)</f>
        <v>500000</v>
      </c>
      <c r="D2002" s="22">
        <f ca="1">IFERROR(__xludf.DUMMYFUNCTION("""COMPUTED_VALUE"""),0)</f>
        <v>0</v>
      </c>
      <c r="E2002" s="22">
        <f ca="1">IFERROR(__xludf.DUMMYFUNCTION("""COMPUTED_VALUE"""),500000)</f>
        <v>500000</v>
      </c>
      <c r="F2002" s="22">
        <f ca="1">IFERROR(__xludf.DUMMYFUNCTION("""COMPUTED_VALUE"""),500000)</f>
        <v>500000</v>
      </c>
      <c r="G2002" s="22">
        <f ca="1">IFERROR(__xludf.DUMMYFUNCTION("""COMPUTED_VALUE"""),0)</f>
        <v>0</v>
      </c>
      <c r="H2002" s="7">
        <f ca="1">IFERROR(__xludf.DUMMYFUNCTION("""COMPUTED_VALUE"""),500000)</f>
        <v>500000</v>
      </c>
    </row>
    <row r="2003" spans="1:8" ht="13" x14ac:dyDescent="0.15">
      <c r="A2003" s="5" t="str">
        <f ca="1">IFERROR(__xludf.DUMMYFUNCTION("""COMPUTED_VALUE"""),"39670")</f>
        <v>39670</v>
      </c>
      <c r="B2003" s="51">
        <f ca="1">IFERROR(__xludf.DUMMYFUNCTION("""COMPUTED_VALUE"""),44618)</f>
        <v>44618</v>
      </c>
      <c r="C2003" s="22">
        <f ca="1">IFERROR(__xludf.DUMMYFUNCTION("""COMPUTED_VALUE"""),500000)</f>
        <v>500000</v>
      </c>
      <c r="D2003" s="22">
        <f ca="1">IFERROR(__xludf.DUMMYFUNCTION("""COMPUTED_VALUE"""),0)</f>
        <v>0</v>
      </c>
      <c r="E2003" s="22">
        <f ca="1">IFERROR(__xludf.DUMMYFUNCTION("""COMPUTED_VALUE"""),500000)</f>
        <v>500000</v>
      </c>
      <c r="F2003" s="22">
        <f ca="1">IFERROR(__xludf.DUMMYFUNCTION("""COMPUTED_VALUE"""),500000)</f>
        <v>500000</v>
      </c>
      <c r="G2003" s="22">
        <f ca="1">IFERROR(__xludf.DUMMYFUNCTION("""COMPUTED_VALUE"""),0)</f>
        <v>0</v>
      </c>
      <c r="H2003" s="7">
        <f ca="1">IFERROR(__xludf.DUMMYFUNCTION("""COMPUTED_VALUE"""),500000)</f>
        <v>500000</v>
      </c>
    </row>
    <row r="2004" spans="1:8" ht="13" x14ac:dyDescent="0.15">
      <c r="A2004" s="5" t="str">
        <f ca="1">IFERROR(__xludf.DUMMYFUNCTION("""COMPUTED_VALUE"""),"39670")</f>
        <v>39670</v>
      </c>
      <c r="B2004" s="51">
        <f ca="1">IFERROR(__xludf.DUMMYFUNCTION("""COMPUTED_VALUE"""),44619)</f>
        <v>44619</v>
      </c>
      <c r="C2004" s="22">
        <f ca="1">IFERROR(__xludf.DUMMYFUNCTION("""COMPUTED_VALUE"""),500000)</f>
        <v>500000</v>
      </c>
      <c r="D2004" s="22">
        <f ca="1">IFERROR(__xludf.DUMMYFUNCTION("""COMPUTED_VALUE"""),0)</f>
        <v>0</v>
      </c>
      <c r="E2004" s="22">
        <f ca="1">IFERROR(__xludf.DUMMYFUNCTION("""COMPUTED_VALUE"""),500000)</f>
        <v>500000</v>
      </c>
      <c r="F2004" s="22">
        <f ca="1">IFERROR(__xludf.DUMMYFUNCTION("""COMPUTED_VALUE"""),500000)</f>
        <v>500000</v>
      </c>
      <c r="G2004" s="22">
        <f ca="1">IFERROR(__xludf.DUMMYFUNCTION("""COMPUTED_VALUE"""),0)</f>
        <v>0</v>
      </c>
      <c r="H2004" s="7">
        <f ca="1">IFERROR(__xludf.DUMMYFUNCTION("""COMPUTED_VALUE"""),500000)</f>
        <v>500000</v>
      </c>
    </row>
    <row r="2005" spans="1:8" ht="13" x14ac:dyDescent="0.15">
      <c r="A2005" s="5" t="str">
        <f ca="1">IFERROR(__xludf.DUMMYFUNCTION("""COMPUTED_VALUE"""),"39670")</f>
        <v>39670</v>
      </c>
      <c r="B2005" s="51">
        <f ca="1">IFERROR(__xludf.DUMMYFUNCTION("""COMPUTED_VALUE"""),44620)</f>
        <v>44620</v>
      </c>
      <c r="C2005" s="22">
        <f ca="1">IFERROR(__xludf.DUMMYFUNCTION("""COMPUTED_VALUE"""),500000)</f>
        <v>500000</v>
      </c>
      <c r="D2005" s="22">
        <f ca="1">IFERROR(__xludf.DUMMYFUNCTION("""COMPUTED_VALUE"""),0)</f>
        <v>0</v>
      </c>
      <c r="E2005" s="22">
        <f ca="1">IFERROR(__xludf.DUMMYFUNCTION("""COMPUTED_VALUE"""),500000)</f>
        <v>500000</v>
      </c>
      <c r="F2005" s="22">
        <f ca="1">IFERROR(__xludf.DUMMYFUNCTION("""COMPUTED_VALUE"""),500000)</f>
        <v>500000</v>
      </c>
      <c r="G2005" s="22">
        <f ca="1">IFERROR(__xludf.DUMMYFUNCTION("""COMPUTED_VALUE"""),0)</f>
        <v>0</v>
      </c>
      <c r="H2005" s="7">
        <f ca="1">IFERROR(__xludf.DUMMYFUNCTION("""COMPUTED_VALUE"""),500000)</f>
        <v>500000</v>
      </c>
    </row>
    <row r="2006" spans="1:8" ht="13" x14ac:dyDescent="0.15">
      <c r="A2006" s="5" t="str">
        <f ca="1">IFERROR(__xludf.DUMMYFUNCTION("""COMPUTED_VALUE"""),"39670")</f>
        <v>39670</v>
      </c>
      <c r="B2006" s="51">
        <f ca="1">IFERROR(__xludf.DUMMYFUNCTION("""COMPUTED_VALUE"""),44621)</f>
        <v>44621</v>
      </c>
      <c r="C2006" s="22">
        <f ca="1">IFERROR(__xludf.DUMMYFUNCTION("""COMPUTED_VALUE"""),500000)</f>
        <v>500000</v>
      </c>
      <c r="D2006" s="22">
        <f ca="1">IFERROR(__xludf.DUMMYFUNCTION("""COMPUTED_VALUE"""),0)</f>
        <v>0</v>
      </c>
      <c r="E2006" s="22">
        <f ca="1">IFERROR(__xludf.DUMMYFUNCTION("""COMPUTED_VALUE"""),500000)</f>
        <v>500000</v>
      </c>
      <c r="F2006" s="22">
        <f ca="1">IFERROR(__xludf.DUMMYFUNCTION("""COMPUTED_VALUE"""),500000)</f>
        <v>500000</v>
      </c>
      <c r="G2006" s="22">
        <f ca="1">IFERROR(__xludf.DUMMYFUNCTION("""COMPUTED_VALUE"""),0)</f>
        <v>0</v>
      </c>
      <c r="H2006" s="7">
        <f ca="1">IFERROR(__xludf.DUMMYFUNCTION("""COMPUTED_VALUE"""),500000)</f>
        <v>500000</v>
      </c>
    </row>
    <row r="2007" spans="1:8" ht="13" x14ac:dyDescent="0.15">
      <c r="A2007" s="5" t="str">
        <f ca="1">IFERROR(__xludf.DUMMYFUNCTION("""COMPUTED_VALUE"""),"39670")</f>
        <v>39670</v>
      </c>
      <c r="B2007" s="51">
        <f ca="1">IFERROR(__xludf.DUMMYFUNCTION("""COMPUTED_VALUE"""),44622)</f>
        <v>44622</v>
      </c>
      <c r="C2007" s="22">
        <f ca="1">IFERROR(__xludf.DUMMYFUNCTION("""COMPUTED_VALUE"""),500000)</f>
        <v>500000</v>
      </c>
      <c r="D2007" s="22">
        <f ca="1">IFERROR(__xludf.DUMMYFUNCTION("""COMPUTED_VALUE"""),0)</f>
        <v>0</v>
      </c>
      <c r="E2007" s="22">
        <f ca="1">IFERROR(__xludf.DUMMYFUNCTION("""COMPUTED_VALUE"""),500000)</f>
        <v>500000</v>
      </c>
      <c r="F2007" s="22">
        <f ca="1">IFERROR(__xludf.DUMMYFUNCTION("""COMPUTED_VALUE"""),500000)</f>
        <v>500000</v>
      </c>
      <c r="G2007" s="22">
        <f ca="1">IFERROR(__xludf.DUMMYFUNCTION("""COMPUTED_VALUE"""),0)</f>
        <v>0</v>
      </c>
      <c r="H2007" s="7">
        <f ca="1">IFERROR(__xludf.DUMMYFUNCTION("""COMPUTED_VALUE"""),500000)</f>
        <v>500000</v>
      </c>
    </row>
    <row r="2008" spans="1:8" ht="13" x14ac:dyDescent="0.15">
      <c r="A2008" s="5" t="str">
        <f ca="1">IFERROR(__xludf.DUMMYFUNCTION("""COMPUTED_VALUE"""),"39670")</f>
        <v>39670</v>
      </c>
      <c r="B2008" s="51">
        <f ca="1">IFERROR(__xludf.DUMMYFUNCTION("""COMPUTED_VALUE"""),44623)</f>
        <v>44623</v>
      </c>
      <c r="C2008" s="22">
        <f ca="1">IFERROR(__xludf.DUMMYFUNCTION("""COMPUTED_VALUE"""),500000)</f>
        <v>500000</v>
      </c>
      <c r="D2008" s="22">
        <f ca="1">IFERROR(__xludf.DUMMYFUNCTION("""COMPUTED_VALUE"""),0)</f>
        <v>0</v>
      </c>
      <c r="E2008" s="22">
        <f ca="1">IFERROR(__xludf.DUMMYFUNCTION("""COMPUTED_VALUE"""),500000)</f>
        <v>500000</v>
      </c>
      <c r="F2008" s="22">
        <f ca="1">IFERROR(__xludf.DUMMYFUNCTION("""COMPUTED_VALUE"""),500000)</f>
        <v>500000</v>
      </c>
      <c r="G2008" s="22">
        <f ca="1">IFERROR(__xludf.DUMMYFUNCTION("""COMPUTED_VALUE"""),0)</f>
        <v>0</v>
      </c>
      <c r="H2008" s="7">
        <f ca="1">IFERROR(__xludf.DUMMYFUNCTION("""COMPUTED_VALUE"""),500000)</f>
        <v>500000</v>
      </c>
    </row>
    <row r="2009" spans="1:8" ht="13" x14ac:dyDescent="0.15">
      <c r="A2009" s="5" t="str">
        <f ca="1">IFERROR(__xludf.DUMMYFUNCTION("""COMPUTED_VALUE"""),"39670")</f>
        <v>39670</v>
      </c>
      <c r="B2009" s="51">
        <f ca="1">IFERROR(__xludf.DUMMYFUNCTION("""COMPUTED_VALUE"""),44624)</f>
        <v>44624</v>
      </c>
      <c r="C2009" s="22">
        <f ca="1">IFERROR(__xludf.DUMMYFUNCTION("""COMPUTED_VALUE"""),500000)</f>
        <v>500000</v>
      </c>
      <c r="D2009" s="22">
        <f ca="1">IFERROR(__xludf.DUMMYFUNCTION("""COMPUTED_VALUE"""),0)</f>
        <v>0</v>
      </c>
      <c r="E2009" s="22">
        <f ca="1">IFERROR(__xludf.DUMMYFUNCTION("""COMPUTED_VALUE"""),500000)</f>
        <v>500000</v>
      </c>
      <c r="F2009" s="22">
        <f ca="1">IFERROR(__xludf.DUMMYFUNCTION("""COMPUTED_VALUE"""),500000)</f>
        <v>500000</v>
      </c>
      <c r="G2009" s="22">
        <f ca="1">IFERROR(__xludf.DUMMYFUNCTION("""COMPUTED_VALUE"""),0)</f>
        <v>0</v>
      </c>
      <c r="H2009" s="7">
        <f ca="1">IFERROR(__xludf.DUMMYFUNCTION("""COMPUTED_VALUE"""),500000)</f>
        <v>500000</v>
      </c>
    </row>
    <row r="2010" spans="1:8" ht="13" x14ac:dyDescent="0.15">
      <c r="A2010" s="5" t="str">
        <f ca="1">IFERROR(__xludf.DUMMYFUNCTION("""COMPUTED_VALUE"""),"39670")</f>
        <v>39670</v>
      </c>
      <c r="B2010" s="51">
        <f ca="1">IFERROR(__xludf.DUMMYFUNCTION("""COMPUTED_VALUE"""),44625)</f>
        <v>44625</v>
      </c>
      <c r="C2010" s="22">
        <f ca="1">IFERROR(__xludf.DUMMYFUNCTION("""COMPUTED_VALUE"""),500000)</f>
        <v>500000</v>
      </c>
      <c r="D2010" s="22">
        <f ca="1">IFERROR(__xludf.DUMMYFUNCTION("""COMPUTED_VALUE"""),0)</f>
        <v>0</v>
      </c>
      <c r="E2010" s="22">
        <f ca="1">IFERROR(__xludf.DUMMYFUNCTION("""COMPUTED_VALUE"""),500000)</f>
        <v>500000</v>
      </c>
      <c r="F2010" s="22">
        <f ca="1">IFERROR(__xludf.DUMMYFUNCTION("""COMPUTED_VALUE"""),500000)</f>
        <v>500000</v>
      </c>
      <c r="G2010" s="22">
        <f ca="1">IFERROR(__xludf.DUMMYFUNCTION("""COMPUTED_VALUE"""),0)</f>
        <v>0</v>
      </c>
      <c r="H2010" s="7">
        <f ca="1">IFERROR(__xludf.DUMMYFUNCTION("""COMPUTED_VALUE"""),500000)</f>
        <v>500000</v>
      </c>
    </row>
    <row r="2011" spans="1:8" ht="13" x14ac:dyDescent="0.15">
      <c r="A2011" s="5" t="str">
        <f ca="1">IFERROR(__xludf.DUMMYFUNCTION("""COMPUTED_VALUE"""),"39670")</f>
        <v>39670</v>
      </c>
      <c r="B2011" s="51">
        <f ca="1">IFERROR(__xludf.DUMMYFUNCTION("""COMPUTED_VALUE"""),44626)</f>
        <v>44626</v>
      </c>
      <c r="C2011" s="22">
        <f ca="1">IFERROR(__xludf.DUMMYFUNCTION("""COMPUTED_VALUE"""),500000)</f>
        <v>500000</v>
      </c>
      <c r="D2011" s="22">
        <f ca="1">IFERROR(__xludf.DUMMYFUNCTION("""COMPUTED_VALUE"""),0)</f>
        <v>0</v>
      </c>
      <c r="E2011" s="22">
        <f ca="1">IFERROR(__xludf.DUMMYFUNCTION("""COMPUTED_VALUE"""),500000)</f>
        <v>500000</v>
      </c>
      <c r="F2011" s="22">
        <f ca="1">IFERROR(__xludf.DUMMYFUNCTION("""COMPUTED_VALUE"""),500000)</f>
        <v>500000</v>
      </c>
      <c r="G2011" s="22">
        <f ca="1">IFERROR(__xludf.DUMMYFUNCTION("""COMPUTED_VALUE"""),0)</f>
        <v>0</v>
      </c>
      <c r="H2011" s="7">
        <f ca="1">IFERROR(__xludf.DUMMYFUNCTION("""COMPUTED_VALUE"""),500000)</f>
        <v>500000</v>
      </c>
    </row>
    <row r="2012" spans="1:8" ht="13" x14ac:dyDescent="0.15">
      <c r="A2012" s="5" t="str">
        <f ca="1">IFERROR(__xludf.DUMMYFUNCTION("""COMPUTED_VALUE"""),"39670")</f>
        <v>39670</v>
      </c>
      <c r="B2012" s="51">
        <f ca="1">IFERROR(__xludf.DUMMYFUNCTION("""COMPUTED_VALUE"""),44627)</f>
        <v>44627</v>
      </c>
      <c r="C2012" s="22">
        <f ca="1">IFERROR(__xludf.DUMMYFUNCTION("""COMPUTED_VALUE"""),500000)</f>
        <v>500000</v>
      </c>
      <c r="D2012" s="22">
        <f ca="1">IFERROR(__xludf.DUMMYFUNCTION("""COMPUTED_VALUE"""),0)</f>
        <v>0</v>
      </c>
      <c r="E2012" s="22">
        <f ca="1">IFERROR(__xludf.DUMMYFUNCTION("""COMPUTED_VALUE"""),500000)</f>
        <v>500000</v>
      </c>
      <c r="F2012" s="22">
        <f ca="1">IFERROR(__xludf.DUMMYFUNCTION("""COMPUTED_VALUE"""),500000)</f>
        <v>500000</v>
      </c>
      <c r="G2012" s="22">
        <f ca="1">IFERROR(__xludf.DUMMYFUNCTION("""COMPUTED_VALUE"""),0)</f>
        <v>0</v>
      </c>
      <c r="H2012" s="7">
        <f ca="1">IFERROR(__xludf.DUMMYFUNCTION("""COMPUTED_VALUE"""),500000)</f>
        <v>500000</v>
      </c>
    </row>
    <row r="2013" spans="1:8" ht="13" x14ac:dyDescent="0.15">
      <c r="A2013" s="5" t="str">
        <f ca="1">IFERROR(__xludf.DUMMYFUNCTION("""COMPUTED_VALUE"""),"39670")</f>
        <v>39670</v>
      </c>
      <c r="B2013" s="51">
        <f ca="1">IFERROR(__xludf.DUMMYFUNCTION("""COMPUTED_VALUE"""),44628)</f>
        <v>44628</v>
      </c>
      <c r="C2013" s="22">
        <f ca="1">IFERROR(__xludf.DUMMYFUNCTION("""COMPUTED_VALUE"""),500000)</f>
        <v>500000</v>
      </c>
      <c r="D2013" s="22">
        <f ca="1">IFERROR(__xludf.DUMMYFUNCTION("""COMPUTED_VALUE"""),0)</f>
        <v>0</v>
      </c>
      <c r="E2013" s="22">
        <f ca="1">IFERROR(__xludf.DUMMYFUNCTION("""COMPUTED_VALUE"""),500000)</f>
        <v>500000</v>
      </c>
      <c r="F2013" s="22">
        <f ca="1">IFERROR(__xludf.DUMMYFUNCTION("""COMPUTED_VALUE"""),500000)</f>
        <v>500000</v>
      </c>
      <c r="G2013" s="22">
        <f ca="1">IFERROR(__xludf.DUMMYFUNCTION("""COMPUTED_VALUE"""),0)</f>
        <v>0</v>
      </c>
      <c r="H2013" s="7">
        <f ca="1">IFERROR(__xludf.DUMMYFUNCTION("""COMPUTED_VALUE"""),500000)</f>
        <v>500000</v>
      </c>
    </row>
    <row r="2014" spans="1:8" ht="13" x14ac:dyDescent="0.15">
      <c r="A2014" s="5" t="str">
        <f ca="1">IFERROR(__xludf.DUMMYFUNCTION("""COMPUTED_VALUE"""),"39670")</f>
        <v>39670</v>
      </c>
      <c r="B2014" s="51">
        <f ca="1">IFERROR(__xludf.DUMMYFUNCTION("""COMPUTED_VALUE"""),44629)</f>
        <v>44629</v>
      </c>
      <c r="C2014" s="22">
        <f ca="1">IFERROR(__xludf.DUMMYFUNCTION("""COMPUTED_VALUE"""),500000)</f>
        <v>500000</v>
      </c>
      <c r="D2014" s="22">
        <f ca="1">IFERROR(__xludf.DUMMYFUNCTION("""COMPUTED_VALUE"""),0)</f>
        <v>0</v>
      </c>
      <c r="E2014" s="22">
        <f ca="1">IFERROR(__xludf.DUMMYFUNCTION("""COMPUTED_VALUE"""),500000)</f>
        <v>500000</v>
      </c>
      <c r="F2014" s="22">
        <f ca="1">IFERROR(__xludf.DUMMYFUNCTION("""COMPUTED_VALUE"""),500000)</f>
        <v>500000</v>
      </c>
      <c r="G2014" s="22">
        <f ca="1">IFERROR(__xludf.DUMMYFUNCTION("""COMPUTED_VALUE"""),0)</f>
        <v>0</v>
      </c>
      <c r="H2014" s="7">
        <f ca="1">IFERROR(__xludf.DUMMYFUNCTION("""COMPUTED_VALUE"""),500000)</f>
        <v>500000</v>
      </c>
    </row>
    <row r="2015" spans="1:8" ht="13" x14ac:dyDescent="0.15">
      <c r="A2015" s="5" t="str">
        <f ca="1">IFERROR(__xludf.DUMMYFUNCTION("""COMPUTED_VALUE"""),"39670")</f>
        <v>39670</v>
      </c>
      <c r="B2015" s="51">
        <f ca="1">IFERROR(__xludf.DUMMYFUNCTION("""COMPUTED_VALUE"""),44630)</f>
        <v>44630</v>
      </c>
      <c r="C2015" s="22">
        <f ca="1">IFERROR(__xludf.DUMMYFUNCTION("""COMPUTED_VALUE"""),500000)</f>
        <v>500000</v>
      </c>
      <c r="D2015" s="22">
        <f ca="1">IFERROR(__xludf.DUMMYFUNCTION("""COMPUTED_VALUE"""),0)</f>
        <v>0</v>
      </c>
      <c r="E2015" s="22">
        <f ca="1">IFERROR(__xludf.DUMMYFUNCTION("""COMPUTED_VALUE"""),500000)</f>
        <v>500000</v>
      </c>
      <c r="F2015" s="22">
        <f ca="1">IFERROR(__xludf.DUMMYFUNCTION("""COMPUTED_VALUE"""),500000)</f>
        <v>500000</v>
      </c>
      <c r="G2015" s="22">
        <f ca="1">IFERROR(__xludf.DUMMYFUNCTION("""COMPUTED_VALUE"""),0)</f>
        <v>0</v>
      </c>
      <c r="H2015" s="7">
        <f ca="1">IFERROR(__xludf.DUMMYFUNCTION("""COMPUTED_VALUE"""),500000)</f>
        <v>500000</v>
      </c>
    </row>
    <row r="2016" spans="1:8" ht="13" x14ac:dyDescent="0.15">
      <c r="A2016" s="5" t="str">
        <f ca="1">IFERROR(__xludf.DUMMYFUNCTION("""COMPUTED_VALUE"""),"39670")</f>
        <v>39670</v>
      </c>
      <c r="B2016" s="51">
        <f ca="1">IFERROR(__xludf.DUMMYFUNCTION("""COMPUTED_VALUE"""),44631)</f>
        <v>44631</v>
      </c>
      <c r="C2016" s="22">
        <f ca="1">IFERROR(__xludf.DUMMYFUNCTION("""COMPUTED_VALUE"""),500000)</f>
        <v>500000</v>
      </c>
      <c r="D2016" s="22">
        <f ca="1">IFERROR(__xludf.DUMMYFUNCTION("""COMPUTED_VALUE"""),0)</f>
        <v>0</v>
      </c>
      <c r="E2016" s="22">
        <f ca="1">IFERROR(__xludf.DUMMYFUNCTION("""COMPUTED_VALUE"""),500000)</f>
        <v>500000</v>
      </c>
      <c r="F2016" s="22">
        <f ca="1">IFERROR(__xludf.DUMMYFUNCTION("""COMPUTED_VALUE"""),500000)</f>
        <v>500000</v>
      </c>
      <c r="G2016" s="22">
        <f ca="1">IFERROR(__xludf.DUMMYFUNCTION("""COMPUTED_VALUE"""),0)</f>
        <v>0</v>
      </c>
      <c r="H2016" s="7">
        <f ca="1">IFERROR(__xludf.DUMMYFUNCTION("""COMPUTED_VALUE"""),500000)</f>
        <v>500000</v>
      </c>
    </row>
    <row r="2017" spans="1:8" ht="13" x14ac:dyDescent="0.15">
      <c r="A2017" s="5" t="str">
        <f ca="1">IFERROR(__xludf.DUMMYFUNCTION("""COMPUTED_VALUE"""),"39670")</f>
        <v>39670</v>
      </c>
      <c r="B2017" s="51">
        <f ca="1">IFERROR(__xludf.DUMMYFUNCTION("""COMPUTED_VALUE"""),44632)</f>
        <v>44632</v>
      </c>
      <c r="C2017" s="22">
        <f ca="1">IFERROR(__xludf.DUMMYFUNCTION("""COMPUTED_VALUE"""),500000)</f>
        <v>500000</v>
      </c>
      <c r="D2017" s="22">
        <f ca="1">IFERROR(__xludf.DUMMYFUNCTION("""COMPUTED_VALUE"""),0)</f>
        <v>0</v>
      </c>
      <c r="E2017" s="22">
        <f ca="1">IFERROR(__xludf.DUMMYFUNCTION("""COMPUTED_VALUE"""),500000)</f>
        <v>500000</v>
      </c>
      <c r="F2017" s="22">
        <f ca="1">IFERROR(__xludf.DUMMYFUNCTION("""COMPUTED_VALUE"""),500000)</f>
        <v>500000</v>
      </c>
      <c r="G2017" s="22">
        <f ca="1">IFERROR(__xludf.DUMMYFUNCTION("""COMPUTED_VALUE"""),0)</f>
        <v>0</v>
      </c>
      <c r="H2017" s="7">
        <f ca="1">IFERROR(__xludf.DUMMYFUNCTION("""COMPUTED_VALUE"""),500000)</f>
        <v>500000</v>
      </c>
    </row>
    <row r="2018" spans="1:8" ht="13" x14ac:dyDescent="0.15">
      <c r="A2018" s="5" t="str">
        <f ca="1">IFERROR(__xludf.DUMMYFUNCTION("""COMPUTED_VALUE"""),"39670")</f>
        <v>39670</v>
      </c>
      <c r="B2018" s="51">
        <f ca="1">IFERROR(__xludf.DUMMYFUNCTION("""COMPUTED_VALUE"""),44633)</f>
        <v>44633</v>
      </c>
      <c r="C2018" s="22">
        <f ca="1">IFERROR(__xludf.DUMMYFUNCTION("""COMPUTED_VALUE"""),500000)</f>
        <v>500000</v>
      </c>
      <c r="D2018" s="22">
        <f ca="1">IFERROR(__xludf.DUMMYFUNCTION("""COMPUTED_VALUE"""),0)</f>
        <v>0</v>
      </c>
      <c r="E2018" s="22">
        <f ca="1">IFERROR(__xludf.DUMMYFUNCTION("""COMPUTED_VALUE"""),500000)</f>
        <v>500000</v>
      </c>
      <c r="F2018" s="22">
        <f ca="1">IFERROR(__xludf.DUMMYFUNCTION("""COMPUTED_VALUE"""),500000)</f>
        <v>500000</v>
      </c>
      <c r="G2018" s="22">
        <f ca="1">IFERROR(__xludf.DUMMYFUNCTION("""COMPUTED_VALUE"""),0)</f>
        <v>0</v>
      </c>
      <c r="H2018" s="7">
        <f ca="1">IFERROR(__xludf.DUMMYFUNCTION("""COMPUTED_VALUE"""),500000)</f>
        <v>500000</v>
      </c>
    </row>
    <row r="2019" spans="1:8" ht="13" x14ac:dyDescent="0.15">
      <c r="A2019" s="5" t="str">
        <f ca="1">IFERROR(__xludf.DUMMYFUNCTION("""COMPUTED_VALUE"""),"39670")</f>
        <v>39670</v>
      </c>
      <c r="B2019" s="51">
        <f ca="1">IFERROR(__xludf.DUMMYFUNCTION("""COMPUTED_VALUE"""),44634)</f>
        <v>44634</v>
      </c>
      <c r="C2019" s="22">
        <f ca="1">IFERROR(__xludf.DUMMYFUNCTION("""COMPUTED_VALUE"""),500000)</f>
        <v>500000</v>
      </c>
      <c r="D2019" s="22">
        <f ca="1">IFERROR(__xludf.DUMMYFUNCTION("""COMPUTED_VALUE"""),0)</f>
        <v>0</v>
      </c>
      <c r="E2019" s="22">
        <f ca="1">IFERROR(__xludf.DUMMYFUNCTION("""COMPUTED_VALUE"""),500000)</f>
        <v>500000</v>
      </c>
      <c r="F2019" s="22">
        <f ca="1">IFERROR(__xludf.DUMMYFUNCTION("""COMPUTED_VALUE"""),500000)</f>
        <v>500000</v>
      </c>
      <c r="G2019" s="22">
        <f ca="1">IFERROR(__xludf.DUMMYFUNCTION("""COMPUTED_VALUE"""),0)</f>
        <v>0</v>
      </c>
      <c r="H2019" s="7">
        <f ca="1">IFERROR(__xludf.DUMMYFUNCTION("""COMPUTED_VALUE"""),500000)</f>
        <v>500000</v>
      </c>
    </row>
    <row r="2020" spans="1:8" ht="13" x14ac:dyDescent="0.15">
      <c r="A2020" s="5" t="str">
        <f ca="1">IFERROR(__xludf.DUMMYFUNCTION("""COMPUTED_VALUE"""),"39670")</f>
        <v>39670</v>
      </c>
      <c r="B2020" s="51">
        <f ca="1">IFERROR(__xludf.DUMMYFUNCTION("""COMPUTED_VALUE"""),44635)</f>
        <v>44635</v>
      </c>
      <c r="C2020" s="22">
        <f ca="1">IFERROR(__xludf.DUMMYFUNCTION("""COMPUTED_VALUE"""),500000)</f>
        <v>500000</v>
      </c>
      <c r="D2020" s="22">
        <f ca="1">IFERROR(__xludf.DUMMYFUNCTION("""COMPUTED_VALUE"""),0)</f>
        <v>0</v>
      </c>
      <c r="E2020" s="22">
        <f ca="1">IFERROR(__xludf.DUMMYFUNCTION("""COMPUTED_VALUE"""),500000)</f>
        <v>500000</v>
      </c>
      <c r="F2020" s="22">
        <f ca="1">IFERROR(__xludf.DUMMYFUNCTION("""COMPUTED_VALUE"""),500000)</f>
        <v>500000</v>
      </c>
      <c r="G2020" s="22">
        <f ca="1">IFERROR(__xludf.DUMMYFUNCTION("""COMPUTED_VALUE"""),0)</f>
        <v>0</v>
      </c>
      <c r="H2020" s="7">
        <f ca="1">IFERROR(__xludf.DUMMYFUNCTION("""COMPUTED_VALUE"""),500000)</f>
        <v>500000</v>
      </c>
    </row>
    <row r="2021" spans="1:8" ht="13" x14ac:dyDescent="0.15">
      <c r="A2021" s="5" t="str">
        <f ca="1">IFERROR(__xludf.DUMMYFUNCTION("""COMPUTED_VALUE"""),"39670")</f>
        <v>39670</v>
      </c>
      <c r="B2021" s="51">
        <f ca="1">IFERROR(__xludf.DUMMYFUNCTION("""COMPUTED_VALUE"""),44636)</f>
        <v>44636</v>
      </c>
      <c r="C2021" s="22">
        <f ca="1">IFERROR(__xludf.DUMMYFUNCTION("""COMPUTED_VALUE"""),500000)</f>
        <v>500000</v>
      </c>
      <c r="D2021" s="22">
        <f ca="1">IFERROR(__xludf.DUMMYFUNCTION("""COMPUTED_VALUE"""),0)</f>
        <v>0</v>
      </c>
      <c r="E2021" s="22">
        <f ca="1">IFERROR(__xludf.DUMMYFUNCTION("""COMPUTED_VALUE"""),500000)</f>
        <v>500000</v>
      </c>
      <c r="F2021" s="22">
        <f ca="1">IFERROR(__xludf.DUMMYFUNCTION("""COMPUTED_VALUE"""),500000)</f>
        <v>500000</v>
      </c>
      <c r="G2021" s="22">
        <f ca="1">IFERROR(__xludf.DUMMYFUNCTION("""COMPUTED_VALUE"""),0)</f>
        <v>0</v>
      </c>
      <c r="H2021" s="7">
        <f ca="1">IFERROR(__xludf.DUMMYFUNCTION("""COMPUTED_VALUE"""),500000)</f>
        <v>500000</v>
      </c>
    </row>
    <row r="2022" spans="1:8" ht="13" x14ac:dyDescent="0.15">
      <c r="A2022" s="5" t="str">
        <f ca="1">IFERROR(__xludf.DUMMYFUNCTION("""COMPUTED_VALUE"""),"39670")</f>
        <v>39670</v>
      </c>
      <c r="B2022" s="51">
        <f ca="1">IFERROR(__xludf.DUMMYFUNCTION("""COMPUTED_VALUE"""),44637)</f>
        <v>44637</v>
      </c>
      <c r="C2022" s="22">
        <f ca="1">IFERROR(__xludf.DUMMYFUNCTION("""COMPUTED_VALUE"""),500000)</f>
        <v>500000</v>
      </c>
      <c r="D2022" s="22">
        <f ca="1">IFERROR(__xludf.DUMMYFUNCTION("""COMPUTED_VALUE"""),0)</f>
        <v>0</v>
      </c>
      <c r="E2022" s="22">
        <f ca="1">IFERROR(__xludf.DUMMYFUNCTION("""COMPUTED_VALUE"""),500000)</f>
        <v>500000</v>
      </c>
      <c r="F2022" s="22">
        <f ca="1">IFERROR(__xludf.DUMMYFUNCTION("""COMPUTED_VALUE"""),500000)</f>
        <v>500000</v>
      </c>
      <c r="G2022" s="22">
        <f ca="1">IFERROR(__xludf.DUMMYFUNCTION("""COMPUTED_VALUE"""),0)</f>
        <v>0</v>
      </c>
      <c r="H2022" s="7">
        <f ca="1">IFERROR(__xludf.DUMMYFUNCTION("""COMPUTED_VALUE"""),500000)</f>
        <v>500000</v>
      </c>
    </row>
    <row r="2023" spans="1:8" ht="13" x14ac:dyDescent="0.15">
      <c r="A2023" s="5" t="str">
        <f ca="1">IFERROR(__xludf.DUMMYFUNCTION("""COMPUTED_VALUE"""),"39670")</f>
        <v>39670</v>
      </c>
      <c r="B2023" s="51">
        <f ca="1">IFERROR(__xludf.DUMMYFUNCTION("""COMPUTED_VALUE"""),44638)</f>
        <v>44638</v>
      </c>
      <c r="C2023" s="22">
        <f ca="1">IFERROR(__xludf.DUMMYFUNCTION("""COMPUTED_VALUE"""),500000)</f>
        <v>500000</v>
      </c>
      <c r="D2023" s="22">
        <f ca="1">IFERROR(__xludf.DUMMYFUNCTION("""COMPUTED_VALUE"""),0)</f>
        <v>0</v>
      </c>
      <c r="E2023" s="22">
        <f ca="1">IFERROR(__xludf.DUMMYFUNCTION("""COMPUTED_VALUE"""),500000)</f>
        <v>500000</v>
      </c>
      <c r="F2023" s="22">
        <f ca="1">IFERROR(__xludf.DUMMYFUNCTION("""COMPUTED_VALUE"""),500000)</f>
        <v>500000</v>
      </c>
      <c r="G2023" s="22">
        <f ca="1">IFERROR(__xludf.DUMMYFUNCTION("""COMPUTED_VALUE"""),0)</f>
        <v>0</v>
      </c>
      <c r="H2023" s="7">
        <f ca="1">IFERROR(__xludf.DUMMYFUNCTION("""COMPUTED_VALUE"""),500000)</f>
        <v>500000</v>
      </c>
    </row>
    <row r="2024" spans="1:8" ht="13" x14ac:dyDescent="0.15">
      <c r="A2024" s="5" t="str">
        <f ca="1">IFERROR(__xludf.DUMMYFUNCTION("""COMPUTED_VALUE"""),"39670")</f>
        <v>39670</v>
      </c>
      <c r="B2024" s="51">
        <f ca="1">IFERROR(__xludf.DUMMYFUNCTION("""COMPUTED_VALUE"""),44639)</f>
        <v>44639</v>
      </c>
      <c r="C2024" s="22">
        <f ca="1">IFERROR(__xludf.DUMMYFUNCTION("""COMPUTED_VALUE"""),500000)</f>
        <v>500000</v>
      </c>
      <c r="D2024" s="22">
        <f ca="1">IFERROR(__xludf.DUMMYFUNCTION("""COMPUTED_VALUE"""),0)</f>
        <v>0</v>
      </c>
      <c r="E2024" s="22">
        <f ca="1">IFERROR(__xludf.DUMMYFUNCTION("""COMPUTED_VALUE"""),500000)</f>
        <v>500000</v>
      </c>
      <c r="F2024" s="22">
        <f ca="1">IFERROR(__xludf.DUMMYFUNCTION("""COMPUTED_VALUE"""),500000)</f>
        <v>500000</v>
      </c>
      <c r="G2024" s="22">
        <f ca="1">IFERROR(__xludf.DUMMYFUNCTION("""COMPUTED_VALUE"""),0)</f>
        <v>0</v>
      </c>
      <c r="H2024" s="7">
        <f ca="1">IFERROR(__xludf.DUMMYFUNCTION("""COMPUTED_VALUE"""),500000)</f>
        <v>500000</v>
      </c>
    </row>
    <row r="2025" spans="1:8" ht="13" x14ac:dyDescent="0.15">
      <c r="A2025" s="5" t="str">
        <f ca="1">IFERROR(__xludf.DUMMYFUNCTION("""COMPUTED_VALUE"""),"39670")</f>
        <v>39670</v>
      </c>
      <c r="B2025" s="51">
        <f ca="1">IFERROR(__xludf.DUMMYFUNCTION("""COMPUTED_VALUE"""),44640)</f>
        <v>44640</v>
      </c>
      <c r="C2025" s="22">
        <f ca="1">IFERROR(__xludf.DUMMYFUNCTION("""COMPUTED_VALUE"""),500000)</f>
        <v>500000</v>
      </c>
      <c r="D2025" s="22">
        <f ca="1">IFERROR(__xludf.DUMMYFUNCTION("""COMPUTED_VALUE"""),0)</f>
        <v>0</v>
      </c>
      <c r="E2025" s="22">
        <f ca="1">IFERROR(__xludf.DUMMYFUNCTION("""COMPUTED_VALUE"""),500000)</f>
        <v>500000</v>
      </c>
      <c r="F2025" s="22">
        <f ca="1">IFERROR(__xludf.DUMMYFUNCTION("""COMPUTED_VALUE"""),500000)</f>
        <v>500000</v>
      </c>
      <c r="G2025" s="22">
        <f ca="1">IFERROR(__xludf.DUMMYFUNCTION("""COMPUTED_VALUE"""),0)</f>
        <v>0</v>
      </c>
      <c r="H2025" s="7">
        <f ca="1">IFERROR(__xludf.DUMMYFUNCTION("""COMPUTED_VALUE"""),500000)</f>
        <v>500000</v>
      </c>
    </row>
    <row r="2026" spans="1:8" ht="13" x14ac:dyDescent="0.15">
      <c r="A2026" s="5" t="str">
        <f ca="1">IFERROR(__xludf.DUMMYFUNCTION("""COMPUTED_VALUE"""),"39670")</f>
        <v>39670</v>
      </c>
      <c r="B2026" s="51">
        <f ca="1">IFERROR(__xludf.DUMMYFUNCTION("""COMPUTED_VALUE"""),44641)</f>
        <v>44641</v>
      </c>
      <c r="C2026" s="22">
        <f ca="1">IFERROR(__xludf.DUMMYFUNCTION("""COMPUTED_VALUE"""),500000)</f>
        <v>500000</v>
      </c>
      <c r="D2026" s="22">
        <f ca="1">IFERROR(__xludf.DUMMYFUNCTION("""COMPUTED_VALUE"""),0)</f>
        <v>0</v>
      </c>
      <c r="E2026" s="22">
        <f ca="1">IFERROR(__xludf.DUMMYFUNCTION("""COMPUTED_VALUE"""),500000)</f>
        <v>500000</v>
      </c>
      <c r="F2026" s="22">
        <f ca="1">IFERROR(__xludf.DUMMYFUNCTION("""COMPUTED_VALUE"""),500000)</f>
        <v>500000</v>
      </c>
      <c r="G2026" s="22">
        <f ca="1">IFERROR(__xludf.DUMMYFUNCTION("""COMPUTED_VALUE"""),0)</f>
        <v>0</v>
      </c>
      <c r="H2026" s="7">
        <f ca="1">IFERROR(__xludf.DUMMYFUNCTION("""COMPUTED_VALUE"""),500000)</f>
        <v>500000</v>
      </c>
    </row>
    <row r="2027" spans="1:8" ht="13" x14ac:dyDescent="0.15">
      <c r="A2027" s="5" t="str">
        <f ca="1">IFERROR(__xludf.DUMMYFUNCTION("""COMPUTED_VALUE"""),"39670")</f>
        <v>39670</v>
      </c>
      <c r="B2027" s="51">
        <f ca="1">IFERROR(__xludf.DUMMYFUNCTION("""COMPUTED_VALUE"""),44642)</f>
        <v>44642</v>
      </c>
      <c r="C2027" s="22">
        <f ca="1">IFERROR(__xludf.DUMMYFUNCTION("""COMPUTED_VALUE"""),500000)</f>
        <v>500000</v>
      </c>
      <c r="D2027" s="22">
        <f ca="1">IFERROR(__xludf.DUMMYFUNCTION("""COMPUTED_VALUE"""),0)</f>
        <v>0</v>
      </c>
      <c r="E2027" s="22">
        <f ca="1">IFERROR(__xludf.DUMMYFUNCTION("""COMPUTED_VALUE"""),500000)</f>
        <v>500000</v>
      </c>
      <c r="F2027" s="22">
        <f ca="1">IFERROR(__xludf.DUMMYFUNCTION("""COMPUTED_VALUE"""),500000)</f>
        <v>500000</v>
      </c>
      <c r="G2027" s="22">
        <f ca="1">IFERROR(__xludf.DUMMYFUNCTION("""COMPUTED_VALUE"""),0)</f>
        <v>0</v>
      </c>
      <c r="H2027" s="7">
        <f ca="1">IFERROR(__xludf.DUMMYFUNCTION("""COMPUTED_VALUE"""),500000)</f>
        <v>500000</v>
      </c>
    </row>
    <row r="2028" spans="1:8" ht="13" x14ac:dyDescent="0.15">
      <c r="A2028" s="5" t="str">
        <f ca="1">IFERROR(__xludf.DUMMYFUNCTION("""COMPUTED_VALUE"""),"39704")</f>
        <v>39704</v>
      </c>
      <c r="B2028" s="51">
        <f ca="1">IFERROR(__xludf.DUMMYFUNCTION("""COMPUTED_VALUE"""),44597)</f>
        <v>44597</v>
      </c>
      <c r="C2028" s="22">
        <f ca="1">IFERROR(__xludf.DUMMYFUNCTION("""COMPUTED_VALUE"""),500000)</f>
        <v>500000</v>
      </c>
      <c r="D2028" s="22">
        <f ca="1">IFERROR(__xludf.DUMMYFUNCTION("""COMPUTED_VALUE"""),0)</f>
        <v>0</v>
      </c>
      <c r="E2028" s="22">
        <f ca="1">IFERROR(__xludf.DUMMYFUNCTION("""COMPUTED_VALUE"""),500000)</f>
        <v>500000</v>
      </c>
      <c r="F2028" s="22">
        <f ca="1">IFERROR(__xludf.DUMMYFUNCTION("""COMPUTED_VALUE"""),500000)</f>
        <v>500000</v>
      </c>
      <c r="G2028" s="22">
        <f ca="1">IFERROR(__xludf.DUMMYFUNCTION("""COMPUTED_VALUE"""),0)</f>
        <v>0</v>
      </c>
      <c r="H2028" s="7">
        <f ca="1">IFERROR(__xludf.DUMMYFUNCTION("""COMPUTED_VALUE"""),500000)</f>
        <v>500000</v>
      </c>
    </row>
    <row r="2029" spans="1:8" ht="13" x14ac:dyDescent="0.15">
      <c r="A2029" s="5" t="str">
        <f ca="1">IFERROR(__xludf.DUMMYFUNCTION("""COMPUTED_VALUE"""),"39704")</f>
        <v>39704</v>
      </c>
      <c r="B2029" s="51">
        <f ca="1">IFERROR(__xludf.DUMMYFUNCTION("""COMPUTED_VALUE"""),44598)</f>
        <v>44598</v>
      </c>
      <c r="C2029" s="22">
        <f ca="1">IFERROR(__xludf.DUMMYFUNCTION("""COMPUTED_VALUE"""),500000)</f>
        <v>500000</v>
      </c>
      <c r="D2029" s="22">
        <f ca="1">IFERROR(__xludf.DUMMYFUNCTION("""COMPUTED_VALUE"""),0)</f>
        <v>0</v>
      </c>
      <c r="E2029" s="22">
        <f ca="1">IFERROR(__xludf.DUMMYFUNCTION("""COMPUTED_VALUE"""),500000)</f>
        <v>500000</v>
      </c>
      <c r="F2029" s="22">
        <f ca="1">IFERROR(__xludf.DUMMYFUNCTION("""COMPUTED_VALUE"""),500000)</f>
        <v>500000</v>
      </c>
      <c r="G2029" s="22">
        <f ca="1">IFERROR(__xludf.DUMMYFUNCTION("""COMPUTED_VALUE"""),0)</f>
        <v>0</v>
      </c>
      <c r="H2029" s="7">
        <f ca="1">IFERROR(__xludf.DUMMYFUNCTION("""COMPUTED_VALUE"""),500000)</f>
        <v>500000</v>
      </c>
    </row>
    <row r="2030" spans="1:8" ht="13" x14ac:dyDescent="0.15">
      <c r="A2030" s="5" t="str">
        <f ca="1">IFERROR(__xludf.DUMMYFUNCTION("""COMPUTED_VALUE"""),"39704")</f>
        <v>39704</v>
      </c>
      <c r="B2030" s="51">
        <f ca="1">IFERROR(__xludf.DUMMYFUNCTION("""COMPUTED_VALUE"""),44599)</f>
        <v>44599</v>
      </c>
      <c r="C2030" s="22">
        <f ca="1">IFERROR(__xludf.DUMMYFUNCTION("""COMPUTED_VALUE"""),500000)</f>
        <v>500000</v>
      </c>
      <c r="D2030" s="22">
        <f ca="1">IFERROR(__xludf.DUMMYFUNCTION("""COMPUTED_VALUE"""),0)</f>
        <v>0</v>
      </c>
      <c r="E2030" s="22">
        <f ca="1">IFERROR(__xludf.DUMMYFUNCTION("""COMPUTED_VALUE"""),500000)</f>
        <v>500000</v>
      </c>
      <c r="F2030" s="22">
        <f ca="1">IFERROR(__xludf.DUMMYFUNCTION("""COMPUTED_VALUE"""),500000)</f>
        <v>500000</v>
      </c>
      <c r="G2030" s="22">
        <f ca="1">IFERROR(__xludf.DUMMYFUNCTION("""COMPUTED_VALUE"""),0)</f>
        <v>0</v>
      </c>
      <c r="H2030" s="7">
        <f ca="1">IFERROR(__xludf.DUMMYFUNCTION("""COMPUTED_VALUE"""),500000)</f>
        <v>500000</v>
      </c>
    </row>
    <row r="2031" spans="1:8" ht="13" x14ac:dyDescent="0.15">
      <c r="A2031" s="5" t="str">
        <f ca="1">IFERROR(__xludf.DUMMYFUNCTION("""COMPUTED_VALUE"""),"39704")</f>
        <v>39704</v>
      </c>
      <c r="B2031" s="51">
        <f ca="1">IFERROR(__xludf.DUMMYFUNCTION("""COMPUTED_VALUE"""),44600)</f>
        <v>44600</v>
      </c>
      <c r="C2031" s="22">
        <f ca="1">IFERROR(__xludf.DUMMYFUNCTION("""COMPUTED_VALUE"""),500000)</f>
        <v>500000</v>
      </c>
      <c r="D2031" s="22">
        <f ca="1">IFERROR(__xludf.DUMMYFUNCTION("""COMPUTED_VALUE"""),0)</f>
        <v>0</v>
      </c>
      <c r="E2031" s="22">
        <f ca="1">IFERROR(__xludf.DUMMYFUNCTION("""COMPUTED_VALUE"""),500000)</f>
        <v>500000</v>
      </c>
      <c r="F2031" s="22">
        <f ca="1">IFERROR(__xludf.DUMMYFUNCTION("""COMPUTED_VALUE"""),500000)</f>
        <v>500000</v>
      </c>
      <c r="G2031" s="22">
        <f ca="1">IFERROR(__xludf.DUMMYFUNCTION("""COMPUTED_VALUE"""),0)</f>
        <v>0</v>
      </c>
      <c r="H2031" s="7">
        <f ca="1">IFERROR(__xludf.DUMMYFUNCTION("""COMPUTED_VALUE"""),500000)</f>
        <v>500000</v>
      </c>
    </row>
    <row r="2032" spans="1:8" ht="13" x14ac:dyDescent="0.15">
      <c r="A2032" s="5" t="str">
        <f ca="1">IFERROR(__xludf.DUMMYFUNCTION("""COMPUTED_VALUE"""),"39704")</f>
        <v>39704</v>
      </c>
      <c r="B2032" s="51">
        <f ca="1">IFERROR(__xludf.DUMMYFUNCTION("""COMPUTED_VALUE"""),44601)</f>
        <v>44601</v>
      </c>
      <c r="C2032" s="22">
        <f ca="1">IFERROR(__xludf.DUMMYFUNCTION("""COMPUTED_VALUE"""),500000)</f>
        <v>500000</v>
      </c>
      <c r="D2032" s="22">
        <f ca="1">IFERROR(__xludf.DUMMYFUNCTION("""COMPUTED_VALUE"""),0)</f>
        <v>0</v>
      </c>
      <c r="E2032" s="22">
        <f ca="1">IFERROR(__xludf.DUMMYFUNCTION("""COMPUTED_VALUE"""),500000)</f>
        <v>500000</v>
      </c>
      <c r="F2032" s="22">
        <f ca="1">IFERROR(__xludf.DUMMYFUNCTION("""COMPUTED_VALUE"""),500000)</f>
        <v>500000</v>
      </c>
      <c r="G2032" s="22">
        <f ca="1">IFERROR(__xludf.DUMMYFUNCTION("""COMPUTED_VALUE"""),0)</f>
        <v>0</v>
      </c>
      <c r="H2032" s="7">
        <f ca="1">IFERROR(__xludf.DUMMYFUNCTION("""COMPUTED_VALUE"""),500000)</f>
        <v>500000</v>
      </c>
    </row>
    <row r="2033" spans="1:8" ht="13" x14ac:dyDescent="0.15">
      <c r="A2033" s="5" t="str">
        <f ca="1">IFERROR(__xludf.DUMMYFUNCTION("""COMPUTED_VALUE"""),"39704")</f>
        <v>39704</v>
      </c>
      <c r="B2033" s="51">
        <f ca="1">IFERROR(__xludf.DUMMYFUNCTION("""COMPUTED_VALUE"""),44602)</f>
        <v>44602</v>
      </c>
      <c r="C2033" s="22">
        <f ca="1">IFERROR(__xludf.DUMMYFUNCTION("""COMPUTED_VALUE"""),500000)</f>
        <v>500000</v>
      </c>
      <c r="D2033" s="22">
        <f ca="1">IFERROR(__xludf.DUMMYFUNCTION("""COMPUTED_VALUE"""),0)</f>
        <v>0</v>
      </c>
      <c r="E2033" s="22">
        <f ca="1">IFERROR(__xludf.DUMMYFUNCTION("""COMPUTED_VALUE"""),500000)</f>
        <v>500000</v>
      </c>
      <c r="F2033" s="22">
        <f ca="1">IFERROR(__xludf.DUMMYFUNCTION("""COMPUTED_VALUE"""),500000)</f>
        <v>500000</v>
      </c>
      <c r="G2033" s="22">
        <f ca="1">IFERROR(__xludf.DUMMYFUNCTION("""COMPUTED_VALUE"""),0)</f>
        <v>0</v>
      </c>
      <c r="H2033" s="7">
        <f ca="1">IFERROR(__xludf.DUMMYFUNCTION("""COMPUTED_VALUE"""),500000)</f>
        <v>500000</v>
      </c>
    </row>
    <row r="2034" spans="1:8" ht="13" x14ac:dyDescent="0.15">
      <c r="A2034" s="5" t="str">
        <f ca="1">IFERROR(__xludf.DUMMYFUNCTION("""COMPUTED_VALUE"""),"39704")</f>
        <v>39704</v>
      </c>
      <c r="B2034" s="51">
        <f ca="1">IFERROR(__xludf.DUMMYFUNCTION("""COMPUTED_VALUE"""),44603)</f>
        <v>44603</v>
      </c>
      <c r="C2034" s="22">
        <f ca="1">IFERROR(__xludf.DUMMYFUNCTION("""COMPUTED_VALUE"""),500000)</f>
        <v>500000</v>
      </c>
      <c r="D2034" s="22">
        <f ca="1">IFERROR(__xludf.DUMMYFUNCTION("""COMPUTED_VALUE"""),0)</f>
        <v>0</v>
      </c>
      <c r="E2034" s="22">
        <f ca="1">IFERROR(__xludf.DUMMYFUNCTION("""COMPUTED_VALUE"""),500000)</f>
        <v>500000</v>
      </c>
      <c r="F2034" s="22">
        <f ca="1">IFERROR(__xludf.DUMMYFUNCTION("""COMPUTED_VALUE"""),500000)</f>
        <v>500000</v>
      </c>
      <c r="G2034" s="22">
        <f ca="1">IFERROR(__xludf.DUMMYFUNCTION("""COMPUTED_VALUE"""),0)</f>
        <v>0</v>
      </c>
      <c r="H2034" s="7">
        <f ca="1">IFERROR(__xludf.DUMMYFUNCTION("""COMPUTED_VALUE"""),500000)</f>
        <v>500000</v>
      </c>
    </row>
    <row r="2035" spans="1:8" ht="13" x14ac:dyDescent="0.15">
      <c r="A2035" s="5" t="str">
        <f ca="1">IFERROR(__xludf.DUMMYFUNCTION("""COMPUTED_VALUE"""),"39704")</f>
        <v>39704</v>
      </c>
      <c r="B2035" s="51">
        <f ca="1">IFERROR(__xludf.DUMMYFUNCTION("""COMPUTED_VALUE"""),44604)</f>
        <v>44604</v>
      </c>
      <c r="C2035" s="22">
        <f ca="1">IFERROR(__xludf.DUMMYFUNCTION("""COMPUTED_VALUE"""),500000)</f>
        <v>500000</v>
      </c>
      <c r="D2035" s="22">
        <f ca="1">IFERROR(__xludf.DUMMYFUNCTION("""COMPUTED_VALUE"""),0)</f>
        <v>0</v>
      </c>
      <c r="E2035" s="22">
        <f ca="1">IFERROR(__xludf.DUMMYFUNCTION("""COMPUTED_VALUE"""),500000)</f>
        <v>500000</v>
      </c>
      <c r="F2035" s="22">
        <f ca="1">IFERROR(__xludf.DUMMYFUNCTION("""COMPUTED_VALUE"""),500000)</f>
        <v>500000</v>
      </c>
      <c r="G2035" s="22">
        <f ca="1">IFERROR(__xludf.DUMMYFUNCTION("""COMPUTED_VALUE"""),0)</f>
        <v>0</v>
      </c>
      <c r="H2035" s="7">
        <f ca="1">IFERROR(__xludf.DUMMYFUNCTION("""COMPUTED_VALUE"""),500000)</f>
        <v>500000</v>
      </c>
    </row>
    <row r="2036" spans="1:8" ht="13" x14ac:dyDescent="0.15">
      <c r="A2036" s="5" t="str">
        <f ca="1">IFERROR(__xludf.DUMMYFUNCTION("""COMPUTED_VALUE"""),"39704")</f>
        <v>39704</v>
      </c>
      <c r="B2036" s="51">
        <f ca="1">IFERROR(__xludf.DUMMYFUNCTION("""COMPUTED_VALUE"""),44605)</f>
        <v>44605</v>
      </c>
      <c r="C2036" s="22">
        <f ca="1">IFERROR(__xludf.DUMMYFUNCTION("""COMPUTED_VALUE"""),500000)</f>
        <v>500000</v>
      </c>
      <c r="D2036" s="22">
        <f ca="1">IFERROR(__xludf.DUMMYFUNCTION("""COMPUTED_VALUE"""),0)</f>
        <v>0</v>
      </c>
      <c r="E2036" s="22">
        <f ca="1">IFERROR(__xludf.DUMMYFUNCTION("""COMPUTED_VALUE"""),500000)</f>
        <v>500000</v>
      </c>
      <c r="F2036" s="22">
        <f ca="1">IFERROR(__xludf.DUMMYFUNCTION("""COMPUTED_VALUE"""),500000)</f>
        <v>500000</v>
      </c>
      <c r="G2036" s="22">
        <f ca="1">IFERROR(__xludf.DUMMYFUNCTION("""COMPUTED_VALUE"""),0)</f>
        <v>0</v>
      </c>
      <c r="H2036" s="7">
        <f ca="1">IFERROR(__xludf.DUMMYFUNCTION("""COMPUTED_VALUE"""),500000)</f>
        <v>500000</v>
      </c>
    </row>
    <row r="2037" spans="1:8" ht="13" x14ac:dyDescent="0.15">
      <c r="A2037" s="5" t="str">
        <f ca="1">IFERROR(__xludf.DUMMYFUNCTION("""COMPUTED_VALUE"""),"39704")</f>
        <v>39704</v>
      </c>
      <c r="B2037" s="51">
        <f ca="1">IFERROR(__xludf.DUMMYFUNCTION("""COMPUTED_VALUE"""),44606)</f>
        <v>44606</v>
      </c>
      <c r="C2037" s="22">
        <f ca="1">IFERROR(__xludf.DUMMYFUNCTION("""COMPUTED_VALUE"""),500000)</f>
        <v>500000</v>
      </c>
      <c r="D2037" s="22">
        <f ca="1">IFERROR(__xludf.DUMMYFUNCTION("""COMPUTED_VALUE"""),0)</f>
        <v>0</v>
      </c>
      <c r="E2037" s="22">
        <f ca="1">IFERROR(__xludf.DUMMYFUNCTION("""COMPUTED_VALUE"""),500000)</f>
        <v>500000</v>
      </c>
      <c r="F2037" s="22">
        <f ca="1">IFERROR(__xludf.DUMMYFUNCTION("""COMPUTED_VALUE"""),500000)</f>
        <v>500000</v>
      </c>
      <c r="G2037" s="22">
        <f ca="1">IFERROR(__xludf.DUMMYFUNCTION("""COMPUTED_VALUE"""),0)</f>
        <v>0</v>
      </c>
      <c r="H2037" s="7">
        <f ca="1">IFERROR(__xludf.DUMMYFUNCTION("""COMPUTED_VALUE"""),500000)</f>
        <v>500000</v>
      </c>
    </row>
    <row r="2038" spans="1:8" ht="13" x14ac:dyDescent="0.15">
      <c r="A2038" s="5" t="str">
        <f ca="1">IFERROR(__xludf.DUMMYFUNCTION("""COMPUTED_VALUE"""),"39704")</f>
        <v>39704</v>
      </c>
      <c r="B2038" s="51">
        <f ca="1">IFERROR(__xludf.DUMMYFUNCTION("""COMPUTED_VALUE"""),44607)</f>
        <v>44607</v>
      </c>
      <c r="C2038" s="22">
        <f ca="1">IFERROR(__xludf.DUMMYFUNCTION("""COMPUTED_VALUE"""),500000)</f>
        <v>500000</v>
      </c>
      <c r="D2038" s="22">
        <f ca="1">IFERROR(__xludf.DUMMYFUNCTION("""COMPUTED_VALUE"""),0)</f>
        <v>0</v>
      </c>
      <c r="E2038" s="22">
        <f ca="1">IFERROR(__xludf.DUMMYFUNCTION("""COMPUTED_VALUE"""),500000)</f>
        <v>500000</v>
      </c>
      <c r="F2038" s="22">
        <f ca="1">IFERROR(__xludf.DUMMYFUNCTION("""COMPUTED_VALUE"""),500000)</f>
        <v>500000</v>
      </c>
      <c r="G2038" s="22">
        <f ca="1">IFERROR(__xludf.DUMMYFUNCTION("""COMPUTED_VALUE"""),0)</f>
        <v>0</v>
      </c>
      <c r="H2038" s="7">
        <f ca="1">IFERROR(__xludf.DUMMYFUNCTION("""COMPUTED_VALUE"""),500000)</f>
        <v>500000</v>
      </c>
    </row>
    <row r="2039" spans="1:8" ht="13" x14ac:dyDescent="0.15">
      <c r="A2039" s="5" t="str">
        <f ca="1">IFERROR(__xludf.DUMMYFUNCTION("""COMPUTED_VALUE"""),"39704")</f>
        <v>39704</v>
      </c>
      <c r="B2039" s="51">
        <f ca="1">IFERROR(__xludf.DUMMYFUNCTION("""COMPUTED_VALUE"""),44608)</f>
        <v>44608</v>
      </c>
      <c r="C2039" s="22">
        <f ca="1">IFERROR(__xludf.DUMMYFUNCTION("""COMPUTED_VALUE"""),500000)</f>
        <v>500000</v>
      </c>
      <c r="D2039" s="22">
        <f ca="1">IFERROR(__xludf.DUMMYFUNCTION("""COMPUTED_VALUE"""),0)</f>
        <v>0</v>
      </c>
      <c r="E2039" s="22">
        <f ca="1">IFERROR(__xludf.DUMMYFUNCTION("""COMPUTED_VALUE"""),500000)</f>
        <v>500000</v>
      </c>
      <c r="F2039" s="22">
        <f ca="1">IFERROR(__xludf.DUMMYFUNCTION("""COMPUTED_VALUE"""),500000)</f>
        <v>500000</v>
      </c>
      <c r="G2039" s="22">
        <f ca="1">IFERROR(__xludf.DUMMYFUNCTION("""COMPUTED_VALUE"""),0)</f>
        <v>0</v>
      </c>
      <c r="H2039" s="7">
        <f ca="1">IFERROR(__xludf.DUMMYFUNCTION("""COMPUTED_VALUE"""),500000)</f>
        <v>500000</v>
      </c>
    </row>
    <row r="2040" spans="1:8" ht="13" x14ac:dyDescent="0.15">
      <c r="A2040" s="5" t="str">
        <f ca="1">IFERROR(__xludf.DUMMYFUNCTION("""COMPUTED_VALUE"""),"39704")</f>
        <v>39704</v>
      </c>
      <c r="B2040" s="51">
        <f ca="1">IFERROR(__xludf.DUMMYFUNCTION("""COMPUTED_VALUE"""),44609)</f>
        <v>44609</v>
      </c>
      <c r="C2040" s="22">
        <f ca="1">IFERROR(__xludf.DUMMYFUNCTION("""COMPUTED_VALUE"""),500000)</f>
        <v>500000</v>
      </c>
      <c r="D2040" s="22">
        <f ca="1">IFERROR(__xludf.DUMMYFUNCTION("""COMPUTED_VALUE"""),0)</f>
        <v>0</v>
      </c>
      <c r="E2040" s="22">
        <f ca="1">IFERROR(__xludf.DUMMYFUNCTION("""COMPUTED_VALUE"""),500000)</f>
        <v>500000</v>
      </c>
      <c r="F2040" s="22">
        <f ca="1">IFERROR(__xludf.DUMMYFUNCTION("""COMPUTED_VALUE"""),500000)</f>
        <v>500000</v>
      </c>
      <c r="G2040" s="22">
        <f ca="1">IFERROR(__xludf.DUMMYFUNCTION("""COMPUTED_VALUE"""),0)</f>
        <v>0</v>
      </c>
      <c r="H2040" s="7">
        <f ca="1">IFERROR(__xludf.DUMMYFUNCTION("""COMPUTED_VALUE"""),500000)</f>
        <v>500000</v>
      </c>
    </row>
    <row r="2041" spans="1:8" ht="13" x14ac:dyDescent="0.15">
      <c r="A2041" s="5" t="str">
        <f ca="1">IFERROR(__xludf.DUMMYFUNCTION("""COMPUTED_VALUE"""),"39704")</f>
        <v>39704</v>
      </c>
      <c r="B2041" s="51">
        <f ca="1">IFERROR(__xludf.DUMMYFUNCTION("""COMPUTED_VALUE"""),44610)</f>
        <v>44610</v>
      </c>
      <c r="C2041" s="22">
        <f ca="1">IFERROR(__xludf.DUMMYFUNCTION("""COMPUTED_VALUE"""),500000)</f>
        <v>500000</v>
      </c>
      <c r="D2041" s="22">
        <f ca="1">IFERROR(__xludf.DUMMYFUNCTION("""COMPUTED_VALUE"""),0)</f>
        <v>0</v>
      </c>
      <c r="E2041" s="22">
        <f ca="1">IFERROR(__xludf.DUMMYFUNCTION("""COMPUTED_VALUE"""),500000)</f>
        <v>500000</v>
      </c>
      <c r="F2041" s="22">
        <f ca="1">IFERROR(__xludf.DUMMYFUNCTION("""COMPUTED_VALUE"""),500000)</f>
        <v>500000</v>
      </c>
      <c r="G2041" s="22">
        <f ca="1">IFERROR(__xludf.DUMMYFUNCTION("""COMPUTED_VALUE"""),0)</f>
        <v>0</v>
      </c>
      <c r="H2041" s="7">
        <f ca="1">IFERROR(__xludf.DUMMYFUNCTION("""COMPUTED_VALUE"""),500000)</f>
        <v>500000</v>
      </c>
    </row>
    <row r="2042" spans="1:8" ht="13" x14ac:dyDescent="0.15">
      <c r="A2042" s="5" t="str">
        <f ca="1">IFERROR(__xludf.DUMMYFUNCTION("""COMPUTED_VALUE"""),"39704")</f>
        <v>39704</v>
      </c>
      <c r="B2042" s="51">
        <f ca="1">IFERROR(__xludf.DUMMYFUNCTION("""COMPUTED_VALUE"""),44611)</f>
        <v>44611</v>
      </c>
      <c r="C2042" s="22">
        <f ca="1">IFERROR(__xludf.DUMMYFUNCTION("""COMPUTED_VALUE"""),500000)</f>
        <v>500000</v>
      </c>
      <c r="D2042" s="22">
        <f ca="1">IFERROR(__xludf.DUMMYFUNCTION("""COMPUTED_VALUE"""),0)</f>
        <v>0</v>
      </c>
      <c r="E2042" s="22">
        <f ca="1">IFERROR(__xludf.DUMMYFUNCTION("""COMPUTED_VALUE"""),500000)</f>
        <v>500000</v>
      </c>
      <c r="F2042" s="22">
        <f ca="1">IFERROR(__xludf.DUMMYFUNCTION("""COMPUTED_VALUE"""),500000)</f>
        <v>500000</v>
      </c>
      <c r="G2042" s="22">
        <f ca="1">IFERROR(__xludf.DUMMYFUNCTION("""COMPUTED_VALUE"""),0)</f>
        <v>0</v>
      </c>
      <c r="H2042" s="7">
        <f ca="1">IFERROR(__xludf.DUMMYFUNCTION("""COMPUTED_VALUE"""),500000)</f>
        <v>500000</v>
      </c>
    </row>
    <row r="2043" spans="1:8" ht="13" x14ac:dyDescent="0.15">
      <c r="A2043" s="5" t="str">
        <f ca="1">IFERROR(__xludf.DUMMYFUNCTION("""COMPUTED_VALUE"""),"39704")</f>
        <v>39704</v>
      </c>
      <c r="B2043" s="51">
        <f ca="1">IFERROR(__xludf.DUMMYFUNCTION("""COMPUTED_VALUE"""),44612)</f>
        <v>44612</v>
      </c>
      <c r="C2043" s="22">
        <f ca="1">IFERROR(__xludf.DUMMYFUNCTION("""COMPUTED_VALUE"""),500000)</f>
        <v>500000</v>
      </c>
      <c r="D2043" s="22">
        <f ca="1">IFERROR(__xludf.DUMMYFUNCTION("""COMPUTED_VALUE"""),0)</f>
        <v>0</v>
      </c>
      <c r="E2043" s="22">
        <f ca="1">IFERROR(__xludf.DUMMYFUNCTION("""COMPUTED_VALUE"""),500000)</f>
        <v>500000</v>
      </c>
      <c r="F2043" s="22">
        <f ca="1">IFERROR(__xludf.DUMMYFUNCTION("""COMPUTED_VALUE"""),500000)</f>
        <v>500000</v>
      </c>
      <c r="G2043" s="22">
        <f ca="1">IFERROR(__xludf.DUMMYFUNCTION("""COMPUTED_VALUE"""),0)</f>
        <v>0</v>
      </c>
      <c r="H2043" s="7">
        <f ca="1">IFERROR(__xludf.DUMMYFUNCTION("""COMPUTED_VALUE"""),500000)</f>
        <v>500000</v>
      </c>
    </row>
    <row r="2044" spans="1:8" ht="13" x14ac:dyDescent="0.15">
      <c r="A2044" s="5" t="str">
        <f ca="1">IFERROR(__xludf.DUMMYFUNCTION("""COMPUTED_VALUE"""),"39704")</f>
        <v>39704</v>
      </c>
      <c r="B2044" s="51">
        <f ca="1">IFERROR(__xludf.DUMMYFUNCTION("""COMPUTED_VALUE"""),44613)</f>
        <v>44613</v>
      </c>
      <c r="C2044" s="22">
        <f ca="1">IFERROR(__xludf.DUMMYFUNCTION("""COMPUTED_VALUE"""),500000)</f>
        <v>500000</v>
      </c>
      <c r="D2044" s="22">
        <f ca="1">IFERROR(__xludf.DUMMYFUNCTION("""COMPUTED_VALUE"""),0)</f>
        <v>0</v>
      </c>
      <c r="E2044" s="22">
        <f ca="1">IFERROR(__xludf.DUMMYFUNCTION("""COMPUTED_VALUE"""),500000)</f>
        <v>500000</v>
      </c>
      <c r="F2044" s="22">
        <f ca="1">IFERROR(__xludf.DUMMYFUNCTION("""COMPUTED_VALUE"""),500000)</f>
        <v>500000</v>
      </c>
      <c r="G2044" s="22">
        <f ca="1">IFERROR(__xludf.DUMMYFUNCTION("""COMPUTED_VALUE"""),0)</f>
        <v>0</v>
      </c>
      <c r="H2044" s="7">
        <f ca="1">IFERROR(__xludf.DUMMYFUNCTION("""COMPUTED_VALUE"""),500000)</f>
        <v>500000</v>
      </c>
    </row>
    <row r="2045" spans="1:8" ht="13" x14ac:dyDescent="0.15">
      <c r="A2045" s="5" t="str">
        <f ca="1">IFERROR(__xludf.DUMMYFUNCTION("""COMPUTED_VALUE"""),"39704")</f>
        <v>39704</v>
      </c>
      <c r="B2045" s="51">
        <f ca="1">IFERROR(__xludf.DUMMYFUNCTION("""COMPUTED_VALUE"""),44614)</f>
        <v>44614</v>
      </c>
      <c r="C2045" s="22">
        <f ca="1">IFERROR(__xludf.DUMMYFUNCTION("""COMPUTED_VALUE"""),500000)</f>
        <v>500000</v>
      </c>
      <c r="D2045" s="22">
        <f ca="1">IFERROR(__xludf.DUMMYFUNCTION("""COMPUTED_VALUE"""),0)</f>
        <v>0</v>
      </c>
      <c r="E2045" s="22">
        <f ca="1">IFERROR(__xludf.DUMMYFUNCTION("""COMPUTED_VALUE"""),500000)</f>
        <v>500000</v>
      </c>
      <c r="F2045" s="22">
        <f ca="1">IFERROR(__xludf.DUMMYFUNCTION("""COMPUTED_VALUE"""),500000)</f>
        <v>500000</v>
      </c>
      <c r="G2045" s="22">
        <f ca="1">IFERROR(__xludf.DUMMYFUNCTION("""COMPUTED_VALUE"""),0)</f>
        <v>0</v>
      </c>
      <c r="H2045" s="7">
        <f ca="1">IFERROR(__xludf.DUMMYFUNCTION("""COMPUTED_VALUE"""),500000)</f>
        <v>500000</v>
      </c>
    </row>
    <row r="2046" spans="1:8" ht="13" x14ac:dyDescent="0.15">
      <c r="A2046" s="5" t="str">
        <f ca="1">IFERROR(__xludf.DUMMYFUNCTION("""COMPUTED_VALUE"""),"39704")</f>
        <v>39704</v>
      </c>
      <c r="B2046" s="51">
        <f ca="1">IFERROR(__xludf.DUMMYFUNCTION("""COMPUTED_VALUE"""),44615)</f>
        <v>44615</v>
      </c>
      <c r="C2046" s="22">
        <f ca="1">IFERROR(__xludf.DUMMYFUNCTION("""COMPUTED_VALUE"""),500000)</f>
        <v>500000</v>
      </c>
      <c r="D2046" s="22">
        <f ca="1">IFERROR(__xludf.DUMMYFUNCTION("""COMPUTED_VALUE"""),0)</f>
        <v>0</v>
      </c>
      <c r="E2046" s="22">
        <f ca="1">IFERROR(__xludf.DUMMYFUNCTION("""COMPUTED_VALUE"""),500000)</f>
        <v>500000</v>
      </c>
      <c r="F2046" s="22">
        <f ca="1">IFERROR(__xludf.DUMMYFUNCTION("""COMPUTED_VALUE"""),500000)</f>
        <v>500000</v>
      </c>
      <c r="G2046" s="22">
        <f ca="1">IFERROR(__xludf.DUMMYFUNCTION("""COMPUTED_VALUE"""),0)</f>
        <v>0</v>
      </c>
      <c r="H2046" s="7">
        <f ca="1">IFERROR(__xludf.DUMMYFUNCTION("""COMPUTED_VALUE"""),500000)</f>
        <v>500000</v>
      </c>
    </row>
    <row r="2047" spans="1:8" ht="13" x14ac:dyDescent="0.15">
      <c r="A2047" s="5" t="str">
        <f ca="1">IFERROR(__xludf.DUMMYFUNCTION("""COMPUTED_VALUE"""),"39704")</f>
        <v>39704</v>
      </c>
      <c r="B2047" s="51">
        <f ca="1">IFERROR(__xludf.DUMMYFUNCTION("""COMPUTED_VALUE"""),44616)</f>
        <v>44616</v>
      </c>
      <c r="C2047" s="22">
        <f ca="1">IFERROR(__xludf.DUMMYFUNCTION("""COMPUTED_VALUE"""),500000)</f>
        <v>500000</v>
      </c>
      <c r="D2047" s="22">
        <f ca="1">IFERROR(__xludf.DUMMYFUNCTION("""COMPUTED_VALUE"""),0)</f>
        <v>0</v>
      </c>
      <c r="E2047" s="22">
        <f ca="1">IFERROR(__xludf.DUMMYFUNCTION("""COMPUTED_VALUE"""),500000)</f>
        <v>500000</v>
      </c>
      <c r="F2047" s="22">
        <f ca="1">IFERROR(__xludf.DUMMYFUNCTION("""COMPUTED_VALUE"""),500000)</f>
        <v>500000</v>
      </c>
      <c r="G2047" s="22">
        <f ca="1">IFERROR(__xludf.DUMMYFUNCTION("""COMPUTED_VALUE"""),0)</f>
        <v>0</v>
      </c>
      <c r="H2047" s="7">
        <f ca="1">IFERROR(__xludf.DUMMYFUNCTION("""COMPUTED_VALUE"""),500000)</f>
        <v>500000</v>
      </c>
    </row>
    <row r="2048" spans="1:8" ht="13" x14ac:dyDescent="0.15">
      <c r="A2048" s="5" t="str">
        <f ca="1">IFERROR(__xludf.DUMMYFUNCTION("""COMPUTED_VALUE"""),"39704")</f>
        <v>39704</v>
      </c>
      <c r="B2048" s="51">
        <f ca="1">IFERROR(__xludf.DUMMYFUNCTION("""COMPUTED_VALUE"""),44617)</f>
        <v>44617</v>
      </c>
      <c r="C2048" s="22">
        <f ca="1">IFERROR(__xludf.DUMMYFUNCTION("""COMPUTED_VALUE"""),500000)</f>
        <v>500000</v>
      </c>
      <c r="D2048" s="22">
        <f ca="1">IFERROR(__xludf.DUMMYFUNCTION("""COMPUTED_VALUE"""),0)</f>
        <v>0</v>
      </c>
      <c r="E2048" s="22">
        <f ca="1">IFERROR(__xludf.DUMMYFUNCTION("""COMPUTED_VALUE"""),500000)</f>
        <v>500000</v>
      </c>
      <c r="F2048" s="22">
        <f ca="1">IFERROR(__xludf.DUMMYFUNCTION("""COMPUTED_VALUE"""),500000)</f>
        <v>500000</v>
      </c>
      <c r="G2048" s="22">
        <f ca="1">IFERROR(__xludf.DUMMYFUNCTION("""COMPUTED_VALUE"""),0)</f>
        <v>0</v>
      </c>
      <c r="H2048" s="7">
        <f ca="1">IFERROR(__xludf.DUMMYFUNCTION("""COMPUTED_VALUE"""),500000)</f>
        <v>500000</v>
      </c>
    </row>
    <row r="2049" spans="1:8" ht="13" x14ac:dyDescent="0.15">
      <c r="A2049" s="5" t="str">
        <f ca="1">IFERROR(__xludf.DUMMYFUNCTION("""COMPUTED_VALUE"""),"39704")</f>
        <v>39704</v>
      </c>
      <c r="B2049" s="51">
        <f ca="1">IFERROR(__xludf.DUMMYFUNCTION("""COMPUTED_VALUE"""),44618)</f>
        <v>44618</v>
      </c>
      <c r="C2049" s="22">
        <f ca="1">IFERROR(__xludf.DUMMYFUNCTION("""COMPUTED_VALUE"""),500000)</f>
        <v>500000</v>
      </c>
      <c r="D2049" s="22">
        <f ca="1">IFERROR(__xludf.DUMMYFUNCTION("""COMPUTED_VALUE"""),0)</f>
        <v>0</v>
      </c>
      <c r="E2049" s="22">
        <f ca="1">IFERROR(__xludf.DUMMYFUNCTION("""COMPUTED_VALUE"""),500000)</f>
        <v>500000</v>
      </c>
      <c r="F2049" s="22">
        <f ca="1">IFERROR(__xludf.DUMMYFUNCTION("""COMPUTED_VALUE"""),500000)</f>
        <v>500000</v>
      </c>
      <c r="G2049" s="22">
        <f ca="1">IFERROR(__xludf.DUMMYFUNCTION("""COMPUTED_VALUE"""),0)</f>
        <v>0</v>
      </c>
      <c r="H2049" s="7">
        <f ca="1">IFERROR(__xludf.DUMMYFUNCTION("""COMPUTED_VALUE"""),500000)</f>
        <v>500000</v>
      </c>
    </row>
    <row r="2050" spans="1:8" ht="13" x14ac:dyDescent="0.15">
      <c r="A2050" s="5" t="str">
        <f ca="1">IFERROR(__xludf.DUMMYFUNCTION("""COMPUTED_VALUE"""),"39704")</f>
        <v>39704</v>
      </c>
      <c r="B2050" s="51">
        <f ca="1">IFERROR(__xludf.DUMMYFUNCTION("""COMPUTED_VALUE"""),44619)</f>
        <v>44619</v>
      </c>
      <c r="C2050" s="22">
        <f ca="1">IFERROR(__xludf.DUMMYFUNCTION("""COMPUTED_VALUE"""),500000)</f>
        <v>500000</v>
      </c>
      <c r="D2050" s="22">
        <f ca="1">IFERROR(__xludf.DUMMYFUNCTION("""COMPUTED_VALUE"""),0)</f>
        <v>0</v>
      </c>
      <c r="E2050" s="22">
        <f ca="1">IFERROR(__xludf.DUMMYFUNCTION("""COMPUTED_VALUE"""),500000)</f>
        <v>500000</v>
      </c>
      <c r="F2050" s="22">
        <f ca="1">IFERROR(__xludf.DUMMYFUNCTION("""COMPUTED_VALUE"""),500000)</f>
        <v>500000</v>
      </c>
      <c r="G2050" s="22">
        <f ca="1">IFERROR(__xludf.DUMMYFUNCTION("""COMPUTED_VALUE"""),0)</f>
        <v>0</v>
      </c>
      <c r="H2050" s="7">
        <f ca="1">IFERROR(__xludf.DUMMYFUNCTION("""COMPUTED_VALUE"""),500000)</f>
        <v>500000</v>
      </c>
    </row>
    <row r="2051" spans="1:8" ht="13" x14ac:dyDescent="0.15">
      <c r="A2051" s="5" t="str">
        <f ca="1">IFERROR(__xludf.DUMMYFUNCTION("""COMPUTED_VALUE"""),"39704")</f>
        <v>39704</v>
      </c>
      <c r="B2051" s="51">
        <f ca="1">IFERROR(__xludf.DUMMYFUNCTION("""COMPUTED_VALUE"""),44620)</f>
        <v>44620</v>
      </c>
      <c r="C2051" s="22">
        <f ca="1">IFERROR(__xludf.DUMMYFUNCTION("""COMPUTED_VALUE"""),500000)</f>
        <v>500000</v>
      </c>
      <c r="D2051" s="22">
        <f ca="1">IFERROR(__xludf.DUMMYFUNCTION("""COMPUTED_VALUE"""),0)</f>
        <v>0</v>
      </c>
      <c r="E2051" s="22">
        <f ca="1">IFERROR(__xludf.DUMMYFUNCTION("""COMPUTED_VALUE"""),500000)</f>
        <v>500000</v>
      </c>
      <c r="F2051" s="22">
        <f ca="1">IFERROR(__xludf.DUMMYFUNCTION("""COMPUTED_VALUE"""),500000)</f>
        <v>500000</v>
      </c>
      <c r="G2051" s="22">
        <f ca="1">IFERROR(__xludf.DUMMYFUNCTION("""COMPUTED_VALUE"""),0)</f>
        <v>0</v>
      </c>
      <c r="H2051" s="7">
        <f ca="1">IFERROR(__xludf.DUMMYFUNCTION("""COMPUTED_VALUE"""),500000)</f>
        <v>500000</v>
      </c>
    </row>
    <row r="2052" spans="1:8" ht="13" x14ac:dyDescent="0.15">
      <c r="A2052" s="5" t="str">
        <f ca="1">IFERROR(__xludf.DUMMYFUNCTION("""COMPUTED_VALUE"""),"39704")</f>
        <v>39704</v>
      </c>
      <c r="B2052" s="51">
        <f ca="1">IFERROR(__xludf.DUMMYFUNCTION("""COMPUTED_VALUE"""),44621)</f>
        <v>44621</v>
      </c>
      <c r="C2052" s="22">
        <f ca="1">IFERROR(__xludf.DUMMYFUNCTION("""COMPUTED_VALUE"""),500000)</f>
        <v>500000</v>
      </c>
      <c r="D2052" s="22">
        <f ca="1">IFERROR(__xludf.DUMMYFUNCTION("""COMPUTED_VALUE"""),0)</f>
        <v>0</v>
      </c>
      <c r="E2052" s="22">
        <f ca="1">IFERROR(__xludf.DUMMYFUNCTION("""COMPUTED_VALUE"""),500000)</f>
        <v>500000</v>
      </c>
      <c r="F2052" s="22">
        <f ca="1">IFERROR(__xludf.DUMMYFUNCTION("""COMPUTED_VALUE"""),500000)</f>
        <v>500000</v>
      </c>
      <c r="G2052" s="22">
        <f ca="1">IFERROR(__xludf.DUMMYFUNCTION("""COMPUTED_VALUE"""),0)</f>
        <v>0</v>
      </c>
      <c r="H2052" s="7">
        <f ca="1">IFERROR(__xludf.DUMMYFUNCTION("""COMPUTED_VALUE"""),500000)</f>
        <v>500000</v>
      </c>
    </row>
    <row r="2053" spans="1:8" ht="13" x14ac:dyDescent="0.15">
      <c r="A2053" s="5" t="str">
        <f ca="1">IFERROR(__xludf.DUMMYFUNCTION("""COMPUTED_VALUE"""),"39704")</f>
        <v>39704</v>
      </c>
      <c r="B2053" s="51">
        <f ca="1">IFERROR(__xludf.DUMMYFUNCTION("""COMPUTED_VALUE"""),44622)</f>
        <v>44622</v>
      </c>
      <c r="C2053" s="22">
        <f ca="1">IFERROR(__xludf.DUMMYFUNCTION("""COMPUTED_VALUE"""),500000)</f>
        <v>500000</v>
      </c>
      <c r="D2053" s="22">
        <f ca="1">IFERROR(__xludf.DUMMYFUNCTION("""COMPUTED_VALUE"""),0)</f>
        <v>0</v>
      </c>
      <c r="E2053" s="22">
        <f ca="1">IFERROR(__xludf.DUMMYFUNCTION("""COMPUTED_VALUE"""),500000)</f>
        <v>500000</v>
      </c>
      <c r="F2053" s="22">
        <f ca="1">IFERROR(__xludf.DUMMYFUNCTION("""COMPUTED_VALUE"""),500000)</f>
        <v>500000</v>
      </c>
      <c r="G2053" s="22">
        <f ca="1">IFERROR(__xludf.DUMMYFUNCTION("""COMPUTED_VALUE"""),0)</f>
        <v>0</v>
      </c>
      <c r="H2053" s="7">
        <f ca="1">IFERROR(__xludf.DUMMYFUNCTION("""COMPUTED_VALUE"""),500000)</f>
        <v>500000</v>
      </c>
    </row>
    <row r="2054" spans="1:8" ht="13" x14ac:dyDescent="0.15">
      <c r="A2054" s="5" t="str">
        <f ca="1">IFERROR(__xludf.DUMMYFUNCTION("""COMPUTED_VALUE"""),"39704")</f>
        <v>39704</v>
      </c>
      <c r="B2054" s="51">
        <f ca="1">IFERROR(__xludf.DUMMYFUNCTION("""COMPUTED_VALUE"""),44623)</f>
        <v>44623</v>
      </c>
      <c r="C2054" s="22">
        <f ca="1">IFERROR(__xludf.DUMMYFUNCTION("""COMPUTED_VALUE"""),500000)</f>
        <v>500000</v>
      </c>
      <c r="D2054" s="22">
        <f ca="1">IFERROR(__xludf.DUMMYFUNCTION("""COMPUTED_VALUE"""),0)</f>
        <v>0</v>
      </c>
      <c r="E2054" s="22">
        <f ca="1">IFERROR(__xludf.DUMMYFUNCTION("""COMPUTED_VALUE"""),500000)</f>
        <v>500000</v>
      </c>
      <c r="F2054" s="22">
        <f ca="1">IFERROR(__xludf.DUMMYFUNCTION("""COMPUTED_VALUE"""),500000)</f>
        <v>500000</v>
      </c>
      <c r="G2054" s="22">
        <f ca="1">IFERROR(__xludf.DUMMYFUNCTION("""COMPUTED_VALUE"""),0)</f>
        <v>0</v>
      </c>
      <c r="H2054" s="7">
        <f ca="1">IFERROR(__xludf.DUMMYFUNCTION("""COMPUTED_VALUE"""),500000)</f>
        <v>500000</v>
      </c>
    </row>
    <row r="2055" spans="1:8" ht="13" x14ac:dyDescent="0.15">
      <c r="A2055" s="5" t="str">
        <f ca="1">IFERROR(__xludf.DUMMYFUNCTION("""COMPUTED_VALUE"""),"39704")</f>
        <v>39704</v>
      </c>
      <c r="B2055" s="51">
        <f ca="1">IFERROR(__xludf.DUMMYFUNCTION("""COMPUTED_VALUE"""),44624)</f>
        <v>44624</v>
      </c>
      <c r="C2055" s="22">
        <f ca="1">IFERROR(__xludf.DUMMYFUNCTION("""COMPUTED_VALUE"""),500000)</f>
        <v>500000</v>
      </c>
      <c r="D2055" s="22">
        <f ca="1">IFERROR(__xludf.DUMMYFUNCTION("""COMPUTED_VALUE"""),0)</f>
        <v>0</v>
      </c>
      <c r="E2055" s="22">
        <f ca="1">IFERROR(__xludf.DUMMYFUNCTION("""COMPUTED_VALUE"""),500000)</f>
        <v>500000</v>
      </c>
      <c r="F2055" s="22">
        <f ca="1">IFERROR(__xludf.DUMMYFUNCTION("""COMPUTED_VALUE"""),500000)</f>
        <v>500000</v>
      </c>
      <c r="G2055" s="22">
        <f ca="1">IFERROR(__xludf.DUMMYFUNCTION("""COMPUTED_VALUE"""),0)</f>
        <v>0</v>
      </c>
      <c r="H2055" s="7">
        <f ca="1">IFERROR(__xludf.DUMMYFUNCTION("""COMPUTED_VALUE"""),500000)</f>
        <v>500000</v>
      </c>
    </row>
    <row r="2056" spans="1:8" ht="13" x14ac:dyDescent="0.15">
      <c r="A2056" s="5" t="str">
        <f ca="1">IFERROR(__xludf.DUMMYFUNCTION("""COMPUTED_VALUE"""),"39704")</f>
        <v>39704</v>
      </c>
      <c r="B2056" s="51">
        <f ca="1">IFERROR(__xludf.DUMMYFUNCTION("""COMPUTED_VALUE"""),44625)</f>
        <v>44625</v>
      </c>
      <c r="C2056" s="22">
        <f ca="1">IFERROR(__xludf.DUMMYFUNCTION("""COMPUTED_VALUE"""),500000)</f>
        <v>500000</v>
      </c>
      <c r="D2056" s="22">
        <f ca="1">IFERROR(__xludf.DUMMYFUNCTION("""COMPUTED_VALUE"""),0)</f>
        <v>0</v>
      </c>
      <c r="E2056" s="22">
        <f ca="1">IFERROR(__xludf.DUMMYFUNCTION("""COMPUTED_VALUE"""),500000)</f>
        <v>500000</v>
      </c>
      <c r="F2056" s="22">
        <f ca="1">IFERROR(__xludf.DUMMYFUNCTION("""COMPUTED_VALUE"""),500000)</f>
        <v>500000</v>
      </c>
      <c r="G2056" s="22">
        <f ca="1">IFERROR(__xludf.DUMMYFUNCTION("""COMPUTED_VALUE"""),0)</f>
        <v>0</v>
      </c>
      <c r="H2056" s="7">
        <f ca="1">IFERROR(__xludf.DUMMYFUNCTION("""COMPUTED_VALUE"""),500000)</f>
        <v>500000</v>
      </c>
    </row>
    <row r="2057" spans="1:8" ht="13" x14ac:dyDescent="0.15">
      <c r="A2057" s="5" t="str">
        <f ca="1">IFERROR(__xludf.DUMMYFUNCTION("""COMPUTED_VALUE"""),"39704")</f>
        <v>39704</v>
      </c>
      <c r="B2057" s="51">
        <f ca="1">IFERROR(__xludf.DUMMYFUNCTION("""COMPUTED_VALUE"""),44626)</f>
        <v>44626</v>
      </c>
      <c r="C2057" s="22">
        <f ca="1">IFERROR(__xludf.DUMMYFUNCTION("""COMPUTED_VALUE"""),500000)</f>
        <v>500000</v>
      </c>
      <c r="D2057" s="22">
        <f ca="1">IFERROR(__xludf.DUMMYFUNCTION("""COMPUTED_VALUE"""),0)</f>
        <v>0</v>
      </c>
      <c r="E2057" s="22">
        <f ca="1">IFERROR(__xludf.DUMMYFUNCTION("""COMPUTED_VALUE"""),500000)</f>
        <v>500000</v>
      </c>
      <c r="F2057" s="22">
        <f ca="1">IFERROR(__xludf.DUMMYFUNCTION("""COMPUTED_VALUE"""),500000)</f>
        <v>500000</v>
      </c>
      <c r="G2057" s="22">
        <f ca="1">IFERROR(__xludf.DUMMYFUNCTION("""COMPUTED_VALUE"""),0)</f>
        <v>0</v>
      </c>
      <c r="H2057" s="7">
        <f ca="1">IFERROR(__xludf.DUMMYFUNCTION("""COMPUTED_VALUE"""),500000)</f>
        <v>500000</v>
      </c>
    </row>
    <row r="2058" spans="1:8" ht="13" x14ac:dyDescent="0.15">
      <c r="A2058" s="5" t="str">
        <f ca="1">IFERROR(__xludf.DUMMYFUNCTION("""COMPUTED_VALUE"""),"39704")</f>
        <v>39704</v>
      </c>
      <c r="B2058" s="51">
        <f ca="1">IFERROR(__xludf.DUMMYFUNCTION("""COMPUTED_VALUE"""),44627)</f>
        <v>44627</v>
      </c>
      <c r="C2058" s="22">
        <f ca="1">IFERROR(__xludf.DUMMYFUNCTION("""COMPUTED_VALUE"""),500000)</f>
        <v>500000</v>
      </c>
      <c r="D2058" s="22">
        <f ca="1">IFERROR(__xludf.DUMMYFUNCTION("""COMPUTED_VALUE"""),0)</f>
        <v>0</v>
      </c>
      <c r="E2058" s="22">
        <f ca="1">IFERROR(__xludf.DUMMYFUNCTION("""COMPUTED_VALUE"""),500000)</f>
        <v>500000</v>
      </c>
      <c r="F2058" s="22">
        <f ca="1">IFERROR(__xludf.DUMMYFUNCTION("""COMPUTED_VALUE"""),500000)</f>
        <v>500000</v>
      </c>
      <c r="G2058" s="22">
        <f ca="1">IFERROR(__xludf.DUMMYFUNCTION("""COMPUTED_VALUE"""),0)</f>
        <v>0</v>
      </c>
      <c r="H2058" s="7">
        <f ca="1">IFERROR(__xludf.DUMMYFUNCTION("""COMPUTED_VALUE"""),500000)</f>
        <v>500000</v>
      </c>
    </row>
    <row r="2059" spans="1:8" ht="13" x14ac:dyDescent="0.15">
      <c r="A2059" s="5" t="str">
        <f ca="1">IFERROR(__xludf.DUMMYFUNCTION("""COMPUTED_VALUE"""),"39704")</f>
        <v>39704</v>
      </c>
      <c r="B2059" s="51">
        <f ca="1">IFERROR(__xludf.DUMMYFUNCTION("""COMPUTED_VALUE"""),44628)</f>
        <v>44628</v>
      </c>
      <c r="C2059" s="22">
        <f ca="1">IFERROR(__xludf.DUMMYFUNCTION("""COMPUTED_VALUE"""),500000)</f>
        <v>500000</v>
      </c>
      <c r="D2059" s="22">
        <f ca="1">IFERROR(__xludf.DUMMYFUNCTION("""COMPUTED_VALUE"""),0)</f>
        <v>0</v>
      </c>
      <c r="E2059" s="22">
        <f ca="1">IFERROR(__xludf.DUMMYFUNCTION("""COMPUTED_VALUE"""),500000)</f>
        <v>500000</v>
      </c>
      <c r="F2059" s="22">
        <f ca="1">IFERROR(__xludf.DUMMYFUNCTION("""COMPUTED_VALUE"""),500000)</f>
        <v>500000</v>
      </c>
      <c r="G2059" s="22">
        <f ca="1">IFERROR(__xludf.DUMMYFUNCTION("""COMPUTED_VALUE"""),0)</f>
        <v>0</v>
      </c>
      <c r="H2059" s="7">
        <f ca="1">IFERROR(__xludf.DUMMYFUNCTION("""COMPUTED_VALUE"""),500000)</f>
        <v>500000</v>
      </c>
    </row>
    <row r="2060" spans="1:8" ht="13" x14ac:dyDescent="0.15">
      <c r="A2060" s="5" t="str">
        <f ca="1">IFERROR(__xludf.DUMMYFUNCTION("""COMPUTED_VALUE"""),"39704")</f>
        <v>39704</v>
      </c>
      <c r="B2060" s="51">
        <f ca="1">IFERROR(__xludf.DUMMYFUNCTION("""COMPUTED_VALUE"""),44629)</f>
        <v>44629</v>
      </c>
      <c r="C2060" s="22">
        <f ca="1">IFERROR(__xludf.DUMMYFUNCTION("""COMPUTED_VALUE"""),500000)</f>
        <v>500000</v>
      </c>
      <c r="D2060" s="22">
        <f ca="1">IFERROR(__xludf.DUMMYFUNCTION("""COMPUTED_VALUE"""),0)</f>
        <v>0</v>
      </c>
      <c r="E2060" s="22">
        <f ca="1">IFERROR(__xludf.DUMMYFUNCTION("""COMPUTED_VALUE"""),500000)</f>
        <v>500000</v>
      </c>
      <c r="F2060" s="22">
        <f ca="1">IFERROR(__xludf.DUMMYFUNCTION("""COMPUTED_VALUE"""),500000)</f>
        <v>500000</v>
      </c>
      <c r="G2060" s="22">
        <f ca="1">IFERROR(__xludf.DUMMYFUNCTION("""COMPUTED_VALUE"""),0)</f>
        <v>0</v>
      </c>
      <c r="H2060" s="7">
        <f ca="1">IFERROR(__xludf.DUMMYFUNCTION("""COMPUTED_VALUE"""),500000)</f>
        <v>500000</v>
      </c>
    </row>
    <row r="2061" spans="1:8" ht="13" x14ac:dyDescent="0.15">
      <c r="A2061" s="5" t="str">
        <f ca="1">IFERROR(__xludf.DUMMYFUNCTION("""COMPUTED_VALUE"""),"39704")</f>
        <v>39704</v>
      </c>
      <c r="B2061" s="51">
        <f ca="1">IFERROR(__xludf.DUMMYFUNCTION("""COMPUTED_VALUE"""),44630)</f>
        <v>44630</v>
      </c>
      <c r="C2061" s="22">
        <f ca="1">IFERROR(__xludf.DUMMYFUNCTION("""COMPUTED_VALUE"""),500000)</f>
        <v>500000</v>
      </c>
      <c r="D2061" s="22">
        <f ca="1">IFERROR(__xludf.DUMMYFUNCTION("""COMPUTED_VALUE"""),0)</f>
        <v>0</v>
      </c>
      <c r="E2061" s="22">
        <f ca="1">IFERROR(__xludf.DUMMYFUNCTION("""COMPUTED_VALUE"""),500000)</f>
        <v>500000</v>
      </c>
      <c r="F2061" s="22">
        <f ca="1">IFERROR(__xludf.DUMMYFUNCTION("""COMPUTED_VALUE"""),500000)</f>
        <v>500000</v>
      </c>
      <c r="G2061" s="22">
        <f ca="1">IFERROR(__xludf.DUMMYFUNCTION("""COMPUTED_VALUE"""),0)</f>
        <v>0</v>
      </c>
      <c r="H2061" s="7">
        <f ca="1">IFERROR(__xludf.DUMMYFUNCTION("""COMPUTED_VALUE"""),500000)</f>
        <v>500000</v>
      </c>
    </row>
    <row r="2062" spans="1:8" ht="13" x14ac:dyDescent="0.15">
      <c r="A2062" s="5" t="str">
        <f ca="1">IFERROR(__xludf.DUMMYFUNCTION("""COMPUTED_VALUE"""),"39704")</f>
        <v>39704</v>
      </c>
      <c r="B2062" s="51">
        <f ca="1">IFERROR(__xludf.DUMMYFUNCTION("""COMPUTED_VALUE"""),44631)</f>
        <v>44631</v>
      </c>
      <c r="C2062" s="22">
        <f ca="1">IFERROR(__xludf.DUMMYFUNCTION("""COMPUTED_VALUE"""),500000)</f>
        <v>500000</v>
      </c>
      <c r="D2062" s="22">
        <f ca="1">IFERROR(__xludf.DUMMYFUNCTION("""COMPUTED_VALUE"""),0)</f>
        <v>0</v>
      </c>
      <c r="E2062" s="22">
        <f ca="1">IFERROR(__xludf.DUMMYFUNCTION("""COMPUTED_VALUE"""),500000)</f>
        <v>500000</v>
      </c>
      <c r="F2062" s="22">
        <f ca="1">IFERROR(__xludf.DUMMYFUNCTION("""COMPUTED_VALUE"""),500000)</f>
        <v>500000</v>
      </c>
      <c r="G2062" s="22">
        <f ca="1">IFERROR(__xludf.DUMMYFUNCTION("""COMPUTED_VALUE"""),0)</f>
        <v>0</v>
      </c>
      <c r="H2062" s="7">
        <f ca="1">IFERROR(__xludf.DUMMYFUNCTION("""COMPUTED_VALUE"""),500000)</f>
        <v>500000</v>
      </c>
    </row>
    <row r="2063" spans="1:8" ht="13" x14ac:dyDescent="0.15">
      <c r="A2063" s="5" t="str">
        <f ca="1">IFERROR(__xludf.DUMMYFUNCTION("""COMPUTED_VALUE"""),"39704")</f>
        <v>39704</v>
      </c>
      <c r="B2063" s="51">
        <f ca="1">IFERROR(__xludf.DUMMYFUNCTION("""COMPUTED_VALUE"""),44632)</f>
        <v>44632</v>
      </c>
      <c r="C2063" s="22">
        <f ca="1">IFERROR(__xludf.DUMMYFUNCTION("""COMPUTED_VALUE"""),500000)</f>
        <v>500000</v>
      </c>
      <c r="D2063" s="22">
        <f ca="1">IFERROR(__xludf.DUMMYFUNCTION("""COMPUTED_VALUE"""),0)</f>
        <v>0</v>
      </c>
      <c r="E2063" s="22">
        <f ca="1">IFERROR(__xludf.DUMMYFUNCTION("""COMPUTED_VALUE"""),500000)</f>
        <v>500000</v>
      </c>
      <c r="F2063" s="22">
        <f ca="1">IFERROR(__xludf.DUMMYFUNCTION("""COMPUTED_VALUE"""),500000)</f>
        <v>500000</v>
      </c>
      <c r="G2063" s="22">
        <f ca="1">IFERROR(__xludf.DUMMYFUNCTION("""COMPUTED_VALUE"""),0)</f>
        <v>0</v>
      </c>
      <c r="H2063" s="7">
        <f ca="1">IFERROR(__xludf.DUMMYFUNCTION("""COMPUTED_VALUE"""),500000)</f>
        <v>500000</v>
      </c>
    </row>
    <row r="2064" spans="1:8" ht="13" x14ac:dyDescent="0.15">
      <c r="A2064" s="5" t="str">
        <f ca="1">IFERROR(__xludf.DUMMYFUNCTION("""COMPUTED_VALUE"""),"39704")</f>
        <v>39704</v>
      </c>
      <c r="B2064" s="51">
        <f ca="1">IFERROR(__xludf.DUMMYFUNCTION("""COMPUTED_VALUE"""),44633)</f>
        <v>44633</v>
      </c>
      <c r="C2064" s="22">
        <f ca="1">IFERROR(__xludf.DUMMYFUNCTION("""COMPUTED_VALUE"""),500000)</f>
        <v>500000</v>
      </c>
      <c r="D2064" s="22">
        <f ca="1">IFERROR(__xludf.DUMMYFUNCTION("""COMPUTED_VALUE"""),0)</f>
        <v>0</v>
      </c>
      <c r="E2064" s="22">
        <f ca="1">IFERROR(__xludf.DUMMYFUNCTION("""COMPUTED_VALUE"""),500000)</f>
        <v>500000</v>
      </c>
      <c r="F2064" s="22">
        <f ca="1">IFERROR(__xludf.DUMMYFUNCTION("""COMPUTED_VALUE"""),500000)</f>
        <v>500000</v>
      </c>
      <c r="G2064" s="22">
        <f ca="1">IFERROR(__xludf.DUMMYFUNCTION("""COMPUTED_VALUE"""),0)</f>
        <v>0</v>
      </c>
      <c r="H2064" s="7">
        <f ca="1">IFERROR(__xludf.DUMMYFUNCTION("""COMPUTED_VALUE"""),500000)</f>
        <v>500000</v>
      </c>
    </row>
    <row r="2065" spans="1:8" ht="13" x14ac:dyDescent="0.15">
      <c r="A2065" s="5" t="str">
        <f ca="1">IFERROR(__xludf.DUMMYFUNCTION("""COMPUTED_VALUE"""),"39704")</f>
        <v>39704</v>
      </c>
      <c r="B2065" s="51">
        <f ca="1">IFERROR(__xludf.DUMMYFUNCTION("""COMPUTED_VALUE"""),44634)</f>
        <v>44634</v>
      </c>
      <c r="C2065" s="22">
        <f ca="1">IFERROR(__xludf.DUMMYFUNCTION("""COMPUTED_VALUE"""),500000)</f>
        <v>500000</v>
      </c>
      <c r="D2065" s="22">
        <f ca="1">IFERROR(__xludf.DUMMYFUNCTION("""COMPUTED_VALUE"""),0)</f>
        <v>0</v>
      </c>
      <c r="E2065" s="22">
        <f ca="1">IFERROR(__xludf.DUMMYFUNCTION("""COMPUTED_VALUE"""),500000)</f>
        <v>500000</v>
      </c>
      <c r="F2065" s="22">
        <f ca="1">IFERROR(__xludf.DUMMYFUNCTION("""COMPUTED_VALUE"""),500000)</f>
        <v>500000</v>
      </c>
      <c r="G2065" s="22">
        <f ca="1">IFERROR(__xludf.DUMMYFUNCTION("""COMPUTED_VALUE"""),0)</f>
        <v>0</v>
      </c>
      <c r="H2065" s="7">
        <f ca="1">IFERROR(__xludf.DUMMYFUNCTION("""COMPUTED_VALUE"""),500000)</f>
        <v>500000</v>
      </c>
    </row>
    <row r="2066" spans="1:8" ht="13" x14ac:dyDescent="0.15">
      <c r="A2066" s="5" t="str">
        <f ca="1">IFERROR(__xludf.DUMMYFUNCTION("""COMPUTED_VALUE"""),"39704")</f>
        <v>39704</v>
      </c>
      <c r="B2066" s="51">
        <f ca="1">IFERROR(__xludf.DUMMYFUNCTION("""COMPUTED_VALUE"""),44635)</f>
        <v>44635</v>
      </c>
      <c r="C2066" s="22">
        <f ca="1">IFERROR(__xludf.DUMMYFUNCTION("""COMPUTED_VALUE"""),500000)</f>
        <v>500000</v>
      </c>
      <c r="D2066" s="22">
        <f ca="1">IFERROR(__xludf.DUMMYFUNCTION("""COMPUTED_VALUE"""),0)</f>
        <v>0</v>
      </c>
      <c r="E2066" s="22">
        <f ca="1">IFERROR(__xludf.DUMMYFUNCTION("""COMPUTED_VALUE"""),500000)</f>
        <v>500000</v>
      </c>
      <c r="F2066" s="22">
        <f ca="1">IFERROR(__xludf.DUMMYFUNCTION("""COMPUTED_VALUE"""),500000)</f>
        <v>500000</v>
      </c>
      <c r="G2066" s="22">
        <f ca="1">IFERROR(__xludf.DUMMYFUNCTION("""COMPUTED_VALUE"""),0)</f>
        <v>0</v>
      </c>
      <c r="H2066" s="7">
        <f ca="1">IFERROR(__xludf.DUMMYFUNCTION("""COMPUTED_VALUE"""),500000)</f>
        <v>500000</v>
      </c>
    </row>
    <row r="2067" spans="1:8" ht="13" x14ac:dyDescent="0.15">
      <c r="A2067" s="5" t="str">
        <f ca="1">IFERROR(__xludf.DUMMYFUNCTION("""COMPUTED_VALUE"""),"39704")</f>
        <v>39704</v>
      </c>
      <c r="B2067" s="51">
        <f ca="1">IFERROR(__xludf.DUMMYFUNCTION("""COMPUTED_VALUE"""),44636)</f>
        <v>44636</v>
      </c>
      <c r="C2067" s="22">
        <f ca="1">IFERROR(__xludf.DUMMYFUNCTION("""COMPUTED_VALUE"""),425650.03115)</f>
        <v>425650.03115</v>
      </c>
      <c r="D2067" s="22">
        <f ca="1">IFERROR(__xludf.DUMMYFUNCTION("""COMPUTED_VALUE"""),74349.9688499999)</f>
        <v>74349.968849999903</v>
      </c>
      <c r="E2067" s="22">
        <f ca="1">IFERROR(__xludf.DUMMYFUNCTION("""COMPUTED_VALUE"""),500000)</f>
        <v>500000</v>
      </c>
      <c r="F2067" s="22">
        <f ca="1">IFERROR(__xludf.DUMMYFUNCTION("""COMPUTED_VALUE"""),425650.03115)</f>
        <v>425650.03115</v>
      </c>
      <c r="G2067" s="22">
        <f ca="1">IFERROR(__xludf.DUMMYFUNCTION("""COMPUTED_VALUE"""),0)</f>
        <v>0</v>
      </c>
      <c r="H2067" s="7">
        <f ca="1">IFERROR(__xludf.DUMMYFUNCTION("""COMPUTED_VALUE"""),500000)</f>
        <v>500000</v>
      </c>
    </row>
    <row r="2068" spans="1:8" ht="13" x14ac:dyDescent="0.15">
      <c r="A2068" s="5" t="str">
        <f ca="1">IFERROR(__xludf.DUMMYFUNCTION("""COMPUTED_VALUE"""),"39704")</f>
        <v>39704</v>
      </c>
      <c r="B2068" s="51">
        <f ca="1">IFERROR(__xludf.DUMMYFUNCTION("""COMPUTED_VALUE"""),44637)</f>
        <v>44637</v>
      </c>
      <c r="C2068" s="22">
        <f ca="1">IFERROR(__xludf.DUMMYFUNCTION("""COMPUTED_VALUE"""),425650.03115)</f>
        <v>425650.03115</v>
      </c>
      <c r="D2068" s="22">
        <f ca="1">IFERROR(__xludf.DUMMYFUNCTION("""COMPUTED_VALUE"""),74349.9688499999)</f>
        <v>74349.968849999903</v>
      </c>
      <c r="E2068" s="22">
        <f ca="1">IFERROR(__xludf.DUMMYFUNCTION("""COMPUTED_VALUE"""),500000)</f>
        <v>500000</v>
      </c>
      <c r="F2068" s="22">
        <f ca="1">IFERROR(__xludf.DUMMYFUNCTION("""COMPUTED_VALUE"""),425650.03115)</f>
        <v>425650.03115</v>
      </c>
      <c r="G2068" s="22">
        <f ca="1">IFERROR(__xludf.DUMMYFUNCTION("""COMPUTED_VALUE"""),0)</f>
        <v>0</v>
      </c>
      <c r="H2068" s="7">
        <f ca="1">IFERROR(__xludf.DUMMYFUNCTION("""COMPUTED_VALUE"""),499864.15445)</f>
        <v>499864.15444999997</v>
      </c>
    </row>
    <row r="2069" spans="1:8" ht="13" x14ac:dyDescent="0.15">
      <c r="A2069" s="5" t="str">
        <f ca="1">IFERROR(__xludf.DUMMYFUNCTION("""COMPUTED_VALUE"""),"39704")</f>
        <v>39704</v>
      </c>
      <c r="B2069" s="51">
        <f ca="1">IFERROR(__xludf.DUMMYFUNCTION("""COMPUTED_VALUE"""),44638)</f>
        <v>44638</v>
      </c>
      <c r="C2069" s="22">
        <f ca="1">IFERROR(__xludf.DUMMYFUNCTION("""COMPUTED_VALUE"""),425650.03115)</f>
        <v>425650.03115</v>
      </c>
      <c r="D2069" s="22">
        <f ca="1">IFERROR(__xludf.DUMMYFUNCTION("""COMPUTED_VALUE"""),74349.9688499999)</f>
        <v>74349.968849999903</v>
      </c>
      <c r="E2069" s="22">
        <f ca="1">IFERROR(__xludf.DUMMYFUNCTION("""COMPUTED_VALUE"""),500000)</f>
        <v>500000</v>
      </c>
      <c r="F2069" s="22">
        <f ca="1">IFERROR(__xludf.DUMMYFUNCTION("""COMPUTED_VALUE"""),425650.03115)</f>
        <v>425650.03115</v>
      </c>
      <c r="G2069" s="22">
        <f ca="1">IFERROR(__xludf.DUMMYFUNCTION("""COMPUTED_VALUE"""),0)</f>
        <v>0</v>
      </c>
      <c r="H2069" s="7">
        <f ca="1">IFERROR(__xludf.DUMMYFUNCTION("""COMPUTED_VALUE"""),499259.3358)</f>
        <v>499259.3358</v>
      </c>
    </row>
    <row r="2070" spans="1:8" ht="13" x14ac:dyDescent="0.15">
      <c r="A2070" s="5" t="str">
        <f ca="1">IFERROR(__xludf.DUMMYFUNCTION("""COMPUTED_VALUE"""),"39704")</f>
        <v>39704</v>
      </c>
      <c r="B2070" s="51">
        <f ca="1">IFERROR(__xludf.DUMMYFUNCTION("""COMPUTED_VALUE"""),44639)</f>
        <v>44639</v>
      </c>
      <c r="C2070" s="22">
        <f ca="1">IFERROR(__xludf.DUMMYFUNCTION("""COMPUTED_VALUE"""),425650.03115)</f>
        <v>425650.03115</v>
      </c>
      <c r="D2070" s="22">
        <f ca="1">IFERROR(__xludf.DUMMYFUNCTION("""COMPUTED_VALUE"""),74349.9688499999)</f>
        <v>74349.968849999903</v>
      </c>
      <c r="E2070" s="22">
        <f ca="1">IFERROR(__xludf.DUMMYFUNCTION("""COMPUTED_VALUE"""),500000)</f>
        <v>500000</v>
      </c>
      <c r="F2070" s="22">
        <f ca="1">IFERROR(__xludf.DUMMYFUNCTION("""COMPUTED_VALUE"""),425650.03115)</f>
        <v>425650.03115</v>
      </c>
      <c r="G2070" s="22">
        <f ca="1">IFERROR(__xludf.DUMMYFUNCTION("""COMPUTED_VALUE"""),0)</f>
        <v>0</v>
      </c>
      <c r="H2070" s="7">
        <f ca="1">IFERROR(__xludf.DUMMYFUNCTION("""COMPUTED_VALUE"""),499259.3358)</f>
        <v>499259.3358</v>
      </c>
    </row>
    <row r="2071" spans="1:8" ht="13" x14ac:dyDescent="0.15">
      <c r="A2071" s="5" t="str">
        <f ca="1">IFERROR(__xludf.DUMMYFUNCTION("""COMPUTED_VALUE"""),"39704")</f>
        <v>39704</v>
      </c>
      <c r="B2071" s="51">
        <f ca="1">IFERROR(__xludf.DUMMYFUNCTION("""COMPUTED_VALUE"""),44640)</f>
        <v>44640</v>
      </c>
      <c r="C2071" s="22">
        <f ca="1">IFERROR(__xludf.DUMMYFUNCTION("""COMPUTED_VALUE"""),425650.03115)</f>
        <v>425650.03115</v>
      </c>
      <c r="D2071" s="22">
        <f ca="1">IFERROR(__xludf.DUMMYFUNCTION("""COMPUTED_VALUE"""),74349.9688499999)</f>
        <v>74349.968849999903</v>
      </c>
      <c r="E2071" s="22">
        <f ca="1">IFERROR(__xludf.DUMMYFUNCTION("""COMPUTED_VALUE"""),500000)</f>
        <v>500000</v>
      </c>
      <c r="F2071" s="22">
        <f ca="1">IFERROR(__xludf.DUMMYFUNCTION("""COMPUTED_VALUE"""),425650.03115)</f>
        <v>425650.03115</v>
      </c>
      <c r="G2071" s="22">
        <f ca="1">IFERROR(__xludf.DUMMYFUNCTION("""COMPUTED_VALUE"""),0)</f>
        <v>0</v>
      </c>
      <c r="H2071" s="7">
        <f ca="1">IFERROR(__xludf.DUMMYFUNCTION("""COMPUTED_VALUE"""),499243.296865)</f>
        <v>499243.29686499998</v>
      </c>
    </row>
    <row r="2072" spans="1:8" ht="13" x14ac:dyDescent="0.15">
      <c r="A2072" s="5" t="str">
        <f ca="1">IFERROR(__xludf.DUMMYFUNCTION("""COMPUTED_VALUE"""),"39704")</f>
        <v>39704</v>
      </c>
      <c r="B2072" s="51">
        <f ca="1">IFERROR(__xludf.DUMMYFUNCTION("""COMPUTED_VALUE"""),44641)</f>
        <v>44641</v>
      </c>
      <c r="C2072" s="22">
        <f ca="1">IFERROR(__xludf.DUMMYFUNCTION("""COMPUTED_VALUE"""),425650.03115)</f>
        <v>425650.03115</v>
      </c>
      <c r="D2072" s="22">
        <f ca="1">IFERROR(__xludf.DUMMYFUNCTION("""COMPUTED_VALUE"""),74349.9688499999)</f>
        <v>74349.968849999903</v>
      </c>
      <c r="E2072" s="22">
        <f ca="1">IFERROR(__xludf.DUMMYFUNCTION("""COMPUTED_VALUE"""),500000)</f>
        <v>500000</v>
      </c>
      <c r="F2072" s="22">
        <f ca="1">IFERROR(__xludf.DUMMYFUNCTION("""COMPUTED_VALUE"""),425650.03115)</f>
        <v>425650.03115</v>
      </c>
      <c r="G2072" s="22">
        <f ca="1">IFERROR(__xludf.DUMMYFUNCTION("""COMPUTED_VALUE"""),0)</f>
        <v>0</v>
      </c>
      <c r="H2072" s="7">
        <f ca="1">IFERROR(__xludf.DUMMYFUNCTION("""COMPUTED_VALUE"""),499749.2172)</f>
        <v>499749.21720000001</v>
      </c>
    </row>
    <row r="2073" spans="1:8" ht="13" x14ac:dyDescent="0.15">
      <c r="A2073" s="5" t="str">
        <f ca="1">IFERROR(__xludf.DUMMYFUNCTION("""COMPUTED_VALUE"""),"39704")</f>
        <v>39704</v>
      </c>
      <c r="B2073" s="51">
        <f ca="1">IFERROR(__xludf.DUMMYFUNCTION("""COMPUTED_VALUE"""),44642)</f>
        <v>44642</v>
      </c>
      <c r="C2073" s="22">
        <f ca="1">IFERROR(__xludf.DUMMYFUNCTION("""COMPUTED_VALUE"""),425650.03115)</f>
        <v>425650.03115</v>
      </c>
      <c r="D2073" s="22">
        <f ca="1">IFERROR(__xludf.DUMMYFUNCTION("""COMPUTED_VALUE"""),74349.9688499999)</f>
        <v>74349.968849999903</v>
      </c>
      <c r="E2073" s="22">
        <f ca="1">IFERROR(__xludf.DUMMYFUNCTION("""COMPUTED_VALUE"""),500000)</f>
        <v>500000</v>
      </c>
      <c r="F2073" s="22">
        <f ca="1">IFERROR(__xludf.DUMMYFUNCTION("""COMPUTED_VALUE"""),425650.03115)</f>
        <v>425650.03115</v>
      </c>
      <c r="G2073" s="22">
        <f ca="1">IFERROR(__xludf.DUMMYFUNCTION("""COMPUTED_VALUE"""),0)</f>
        <v>0</v>
      </c>
      <c r="H2073" s="7">
        <f ca="1">IFERROR(__xludf.DUMMYFUNCTION("""COMPUTED_VALUE"""),500201.7299)</f>
        <v>500201.72989999998</v>
      </c>
    </row>
    <row r="2074" spans="1:8" ht="13" x14ac:dyDescent="0.15">
      <c r="A2074" s="5" t="str">
        <f ca="1">IFERROR(__xludf.DUMMYFUNCTION("""COMPUTED_VALUE"""),"39776")</f>
        <v>39776</v>
      </c>
      <c r="B2074" s="51">
        <f ca="1">IFERROR(__xludf.DUMMYFUNCTION("""COMPUTED_VALUE"""),44597)</f>
        <v>44597</v>
      </c>
      <c r="C2074" s="22">
        <f ca="1">IFERROR(__xludf.DUMMYFUNCTION("""COMPUTED_VALUE"""),500000)</f>
        <v>500000</v>
      </c>
      <c r="D2074" s="22">
        <f ca="1">IFERROR(__xludf.DUMMYFUNCTION("""COMPUTED_VALUE"""),0)</f>
        <v>0</v>
      </c>
      <c r="E2074" s="22">
        <f ca="1">IFERROR(__xludf.DUMMYFUNCTION("""COMPUTED_VALUE"""),500000)</f>
        <v>500000</v>
      </c>
      <c r="F2074" s="22">
        <f ca="1">IFERROR(__xludf.DUMMYFUNCTION("""COMPUTED_VALUE"""),500000)</f>
        <v>500000</v>
      </c>
      <c r="G2074" s="22">
        <f ca="1">IFERROR(__xludf.DUMMYFUNCTION("""COMPUTED_VALUE"""),0)</f>
        <v>0</v>
      </c>
      <c r="H2074" s="7">
        <f ca="1">IFERROR(__xludf.DUMMYFUNCTION("""COMPUTED_VALUE"""),500000)</f>
        <v>500000</v>
      </c>
    </row>
    <row r="2075" spans="1:8" ht="13" x14ac:dyDescent="0.15">
      <c r="A2075" s="5" t="str">
        <f ca="1">IFERROR(__xludf.DUMMYFUNCTION("""COMPUTED_VALUE"""),"39776")</f>
        <v>39776</v>
      </c>
      <c r="B2075" s="51">
        <f ca="1">IFERROR(__xludf.DUMMYFUNCTION("""COMPUTED_VALUE"""),44598)</f>
        <v>44598</v>
      </c>
      <c r="C2075" s="22">
        <f ca="1">IFERROR(__xludf.DUMMYFUNCTION("""COMPUTED_VALUE"""),500000)</f>
        <v>500000</v>
      </c>
      <c r="D2075" s="22">
        <f ca="1">IFERROR(__xludf.DUMMYFUNCTION("""COMPUTED_VALUE"""),0)</f>
        <v>0</v>
      </c>
      <c r="E2075" s="22">
        <f ca="1">IFERROR(__xludf.DUMMYFUNCTION("""COMPUTED_VALUE"""),500000)</f>
        <v>500000</v>
      </c>
      <c r="F2075" s="22">
        <f ca="1">IFERROR(__xludf.DUMMYFUNCTION("""COMPUTED_VALUE"""),500000)</f>
        <v>500000</v>
      </c>
      <c r="G2075" s="22">
        <f ca="1">IFERROR(__xludf.DUMMYFUNCTION("""COMPUTED_VALUE"""),0)</f>
        <v>0</v>
      </c>
      <c r="H2075" s="7">
        <f ca="1">IFERROR(__xludf.DUMMYFUNCTION("""COMPUTED_VALUE"""),500000)</f>
        <v>500000</v>
      </c>
    </row>
    <row r="2076" spans="1:8" ht="13" x14ac:dyDescent="0.15">
      <c r="A2076" s="5" t="str">
        <f ca="1">IFERROR(__xludf.DUMMYFUNCTION("""COMPUTED_VALUE"""),"39776")</f>
        <v>39776</v>
      </c>
      <c r="B2076" s="51">
        <f ca="1">IFERROR(__xludf.DUMMYFUNCTION("""COMPUTED_VALUE"""),44599)</f>
        <v>44599</v>
      </c>
      <c r="C2076" s="22">
        <f ca="1">IFERROR(__xludf.DUMMYFUNCTION("""COMPUTED_VALUE"""),500000)</f>
        <v>500000</v>
      </c>
      <c r="D2076" s="22">
        <f ca="1">IFERROR(__xludf.DUMMYFUNCTION("""COMPUTED_VALUE"""),0)</f>
        <v>0</v>
      </c>
      <c r="E2076" s="22">
        <f ca="1">IFERROR(__xludf.DUMMYFUNCTION("""COMPUTED_VALUE"""),500000)</f>
        <v>500000</v>
      </c>
      <c r="F2076" s="22">
        <f ca="1">IFERROR(__xludf.DUMMYFUNCTION("""COMPUTED_VALUE"""),500000)</f>
        <v>500000</v>
      </c>
      <c r="G2076" s="22">
        <f ca="1">IFERROR(__xludf.DUMMYFUNCTION("""COMPUTED_VALUE"""),0)</f>
        <v>0</v>
      </c>
      <c r="H2076" s="7">
        <f ca="1">IFERROR(__xludf.DUMMYFUNCTION("""COMPUTED_VALUE"""),500000)</f>
        <v>500000</v>
      </c>
    </row>
    <row r="2077" spans="1:8" ht="13" x14ac:dyDescent="0.15">
      <c r="A2077" s="5" t="str">
        <f ca="1">IFERROR(__xludf.DUMMYFUNCTION("""COMPUTED_VALUE"""),"39776")</f>
        <v>39776</v>
      </c>
      <c r="B2077" s="51">
        <f ca="1">IFERROR(__xludf.DUMMYFUNCTION("""COMPUTED_VALUE"""),44600)</f>
        <v>44600</v>
      </c>
      <c r="C2077" s="22">
        <f ca="1">IFERROR(__xludf.DUMMYFUNCTION("""COMPUTED_VALUE"""),500000)</f>
        <v>500000</v>
      </c>
      <c r="D2077" s="22">
        <f ca="1">IFERROR(__xludf.DUMMYFUNCTION("""COMPUTED_VALUE"""),0)</f>
        <v>0</v>
      </c>
      <c r="E2077" s="22">
        <f ca="1">IFERROR(__xludf.DUMMYFUNCTION("""COMPUTED_VALUE"""),500000)</f>
        <v>500000</v>
      </c>
      <c r="F2077" s="22">
        <f ca="1">IFERROR(__xludf.DUMMYFUNCTION("""COMPUTED_VALUE"""),500000)</f>
        <v>500000</v>
      </c>
      <c r="G2077" s="22">
        <f ca="1">IFERROR(__xludf.DUMMYFUNCTION("""COMPUTED_VALUE"""),0)</f>
        <v>0</v>
      </c>
      <c r="H2077" s="7">
        <f ca="1">IFERROR(__xludf.DUMMYFUNCTION("""COMPUTED_VALUE"""),500000)</f>
        <v>500000</v>
      </c>
    </row>
    <row r="2078" spans="1:8" ht="13" x14ac:dyDescent="0.15">
      <c r="A2078" s="5" t="str">
        <f ca="1">IFERROR(__xludf.DUMMYFUNCTION("""COMPUTED_VALUE"""),"39776")</f>
        <v>39776</v>
      </c>
      <c r="B2078" s="51">
        <f ca="1">IFERROR(__xludf.DUMMYFUNCTION("""COMPUTED_VALUE"""),44601)</f>
        <v>44601</v>
      </c>
      <c r="C2078" s="22">
        <f ca="1">IFERROR(__xludf.DUMMYFUNCTION("""COMPUTED_VALUE"""),500000)</f>
        <v>500000</v>
      </c>
      <c r="D2078" s="22">
        <f ca="1">IFERROR(__xludf.DUMMYFUNCTION("""COMPUTED_VALUE"""),0)</f>
        <v>0</v>
      </c>
      <c r="E2078" s="22">
        <f ca="1">IFERROR(__xludf.DUMMYFUNCTION("""COMPUTED_VALUE"""),500000)</f>
        <v>500000</v>
      </c>
      <c r="F2078" s="22">
        <f ca="1">IFERROR(__xludf.DUMMYFUNCTION("""COMPUTED_VALUE"""),500000)</f>
        <v>500000</v>
      </c>
      <c r="G2078" s="22">
        <f ca="1">IFERROR(__xludf.DUMMYFUNCTION("""COMPUTED_VALUE"""),0)</f>
        <v>0</v>
      </c>
      <c r="H2078" s="7">
        <f ca="1">IFERROR(__xludf.DUMMYFUNCTION("""COMPUTED_VALUE"""),500000)</f>
        <v>500000</v>
      </c>
    </row>
    <row r="2079" spans="1:8" ht="13" x14ac:dyDescent="0.15">
      <c r="A2079" s="5" t="str">
        <f ca="1">IFERROR(__xludf.DUMMYFUNCTION("""COMPUTED_VALUE"""),"39776")</f>
        <v>39776</v>
      </c>
      <c r="B2079" s="51">
        <f ca="1">IFERROR(__xludf.DUMMYFUNCTION("""COMPUTED_VALUE"""),44602)</f>
        <v>44602</v>
      </c>
      <c r="C2079" s="22">
        <f ca="1">IFERROR(__xludf.DUMMYFUNCTION("""COMPUTED_VALUE"""),500000)</f>
        <v>500000</v>
      </c>
      <c r="D2079" s="22">
        <f ca="1">IFERROR(__xludf.DUMMYFUNCTION("""COMPUTED_VALUE"""),0)</f>
        <v>0</v>
      </c>
      <c r="E2079" s="22">
        <f ca="1">IFERROR(__xludf.DUMMYFUNCTION("""COMPUTED_VALUE"""),500000)</f>
        <v>500000</v>
      </c>
      <c r="F2079" s="22">
        <f ca="1">IFERROR(__xludf.DUMMYFUNCTION("""COMPUTED_VALUE"""),500000)</f>
        <v>500000</v>
      </c>
      <c r="G2079" s="22">
        <f ca="1">IFERROR(__xludf.DUMMYFUNCTION("""COMPUTED_VALUE"""),0)</f>
        <v>0</v>
      </c>
      <c r="H2079" s="7">
        <f ca="1">IFERROR(__xludf.DUMMYFUNCTION("""COMPUTED_VALUE"""),500000)</f>
        <v>500000</v>
      </c>
    </row>
    <row r="2080" spans="1:8" ht="13" x14ac:dyDescent="0.15">
      <c r="A2080" s="5" t="str">
        <f ca="1">IFERROR(__xludf.DUMMYFUNCTION("""COMPUTED_VALUE"""),"39776")</f>
        <v>39776</v>
      </c>
      <c r="B2080" s="51">
        <f ca="1">IFERROR(__xludf.DUMMYFUNCTION("""COMPUTED_VALUE"""),44603)</f>
        <v>44603</v>
      </c>
      <c r="C2080" s="22">
        <f ca="1">IFERROR(__xludf.DUMMYFUNCTION("""COMPUTED_VALUE"""),500000)</f>
        <v>500000</v>
      </c>
      <c r="D2080" s="22">
        <f ca="1">IFERROR(__xludf.DUMMYFUNCTION("""COMPUTED_VALUE"""),0)</f>
        <v>0</v>
      </c>
      <c r="E2080" s="22">
        <f ca="1">IFERROR(__xludf.DUMMYFUNCTION("""COMPUTED_VALUE"""),500000)</f>
        <v>500000</v>
      </c>
      <c r="F2080" s="22">
        <f ca="1">IFERROR(__xludf.DUMMYFUNCTION("""COMPUTED_VALUE"""),500000)</f>
        <v>500000</v>
      </c>
      <c r="G2080" s="22">
        <f ca="1">IFERROR(__xludf.DUMMYFUNCTION("""COMPUTED_VALUE"""),0)</f>
        <v>0</v>
      </c>
      <c r="H2080" s="7">
        <f ca="1">IFERROR(__xludf.DUMMYFUNCTION("""COMPUTED_VALUE"""),500000)</f>
        <v>500000</v>
      </c>
    </row>
    <row r="2081" spans="1:8" ht="13" x14ac:dyDescent="0.15">
      <c r="A2081" s="5" t="str">
        <f ca="1">IFERROR(__xludf.DUMMYFUNCTION("""COMPUTED_VALUE"""),"39776")</f>
        <v>39776</v>
      </c>
      <c r="B2081" s="51">
        <f ca="1">IFERROR(__xludf.DUMMYFUNCTION("""COMPUTED_VALUE"""),44604)</f>
        <v>44604</v>
      </c>
      <c r="C2081" s="22">
        <f ca="1">IFERROR(__xludf.DUMMYFUNCTION("""COMPUTED_VALUE"""),500000)</f>
        <v>500000</v>
      </c>
      <c r="D2081" s="22">
        <f ca="1">IFERROR(__xludf.DUMMYFUNCTION("""COMPUTED_VALUE"""),0)</f>
        <v>0</v>
      </c>
      <c r="E2081" s="22">
        <f ca="1">IFERROR(__xludf.DUMMYFUNCTION("""COMPUTED_VALUE"""),500000)</f>
        <v>500000</v>
      </c>
      <c r="F2081" s="22">
        <f ca="1">IFERROR(__xludf.DUMMYFUNCTION("""COMPUTED_VALUE"""),500000)</f>
        <v>500000</v>
      </c>
      <c r="G2081" s="22">
        <f ca="1">IFERROR(__xludf.DUMMYFUNCTION("""COMPUTED_VALUE"""),0)</f>
        <v>0</v>
      </c>
      <c r="H2081" s="7">
        <f ca="1">IFERROR(__xludf.DUMMYFUNCTION("""COMPUTED_VALUE"""),500000)</f>
        <v>500000</v>
      </c>
    </row>
    <row r="2082" spans="1:8" ht="13" x14ac:dyDescent="0.15">
      <c r="A2082" s="5" t="str">
        <f ca="1">IFERROR(__xludf.DUMMYFUNCTION("""COMPUTED_VALUE"""),"39776")</f>
        <v>39776</v>
      </c>
      <c r="B2082" s="51">
        <f ca="1">IFERROR(__xludf.DUMMYFUNCTION("""COMPUTED_VALUE"""),44605)</f>
        <v>44605</v>
      </c>
      <c r="C2082" s="22">
        <f ca="1">IFERROR(__xludf.DUMMYFUNCTION("""COMPUTED_VALUE"""),500000)</f>
        <v>500000</v>
      </c>
      <c r="D2082" s="22">
        <f ca="1">IFERROR(__xludf.DUMMYFUNCTION("""COMPUTED_VALUE"""),0)</f>
        <v>0</v>
      </c>
      <c r="E2082" s="22">
        <f ca="1">IFERROR(__xludf.DUMMYFUNCTION("""COMPUTED_VALUE"""),500000)</f>
        <v>500000</v>
      </c>
      <c r="F2082" s="22">
        <f ca="1">IFERROR(__xludf.DUMMYFUNCTION("""COMPUTED_VALUE"""),500000)</f>
        <v>500000</v>
      </c>
      <c r="G2082" s="22">
        <f ca="1">IFERROR(__xludf.DUMMYFUNCTION("""COMPUTED_VALUE"""),0)</f>
        <v>0</v>
      </c>
      <c r="H2082" s="7">
        <f ca="1">IFERROR(__xludf.DUMMYFUNCTION("""COMPUTED_VALUE"""),500000)</f>
        <v>500000</v>
      </c>
    </row>
    <row r="2083" spans="1:8" ht="13" x14ac:dyDescent="0.15">
      <c r="A2083" s="5" t="str">
        <f ca="1">IFERROR(__xludf.DUMMYFUNCTION("""COMPUTED_VALUE"""),"39776")</f>
        <v>39776</v>
      </c>
      <c r="B2083" s="51">
        <f ca="1">IFERROR(__xludf.DUMMYFUNCTION("""COMPUTED_VALUE"""),44606)</f>
        <v>44606</v>
      </c>
      <c r="C2083" s="22">
        <f ca="1">IFERROR(__xludf.DUMMYFUNCTION("""COMPUTED_VALUE"""),500000)</f>
        <v>500000</v>
      </c>
      <c r="D2083" s="22">
        <f ca="1">IFERROR(__xludf.DUMMYFUNCTION("""COMPUTED_VALUE"""),0)</f>
        <v>0</v>
      </c>
      <c r="E2083" s="22">
        <f ca="1">IFERROR(__xludf.DUMMYFUNCTION("""COMPUTED_VALUE"""),500000)</f>
        <v>500000</v>
      </c>
      <c r="F2083" s="22">
        <f ca="1">IFERROR(__xludf.DUMMYFUNCTION("""COMPUTED_VALUE"""),500000)</f>
        <v>500000</v>
      </c>
      <c r="G2083" s="22">
        <f ca="1">IFERROR(__xludf.DUMMYFUNCTION("""COMPUTED_VALUE"""),0)</f>
        <v>0</v>
      </c>
      <c r="H2083" s="7">
        <f ca="1">IFERROR(__xludf.DUMMYFUNCTION("""COMPUTED_VALUE"""),500000)</f>
        <v>500000</v>
      </c>
    </row>
    <row r="2084" spans="1:8" ht="13" x14ac:dyDescent="0.15">
      <c r="A2084" s="5" t="str">
        <f ca="1">IFERROR(__xludf.DUMMYFUNCTION("""COMPUTED_VALUE"""),"39776")</f>
        <v>39776</v>
      </c>
      <c r="B2084" s="51">
        <f ca="1">IFERROR(__xludf.DUMMYFUNCTION("""COMPUTED_VALUE"""),44607)</f>
        <v>44607</v>
      </c>
      <c r="C2084" s="22">
        <f ca="1">IFERROR(__xludf.DUMMYFUNCTION("""COMPUTED_VALUE"""),500000)</f>
        <v>500000</v>
      </c>
      <c r="D2084" s="22">
        <f ca="1">IFERROR(__xludf.DUMMYFUNCTION("""COMPUTED_VALUE"""),0)</f>
        <v>0</v>
      </c>
      <c r="E2084" s="22">
        <f ca="1">IFERROR(__xludf.DUMMYFUNCTION("""COMPUTED_VALUE"""),500000)</f>
        <v>500000</v>
      </c>
      <c r="F2084" s="22">
        <f ca="1">IFERROR(__xludf.DUMMYFUNCTION("""COMPUTED_VALUE"""),500000)</f>
        <v>500000</v>
      </c>
      <c r="G2084" s="22">
        <f ca="1">IFERROR(__xludf.DUMMYFUNCTION("""COMPUTED_VALUE"""),0)</f>
        <v>0</v>
      </c>
      <c r="H2084" s="7">
        <f ca="1">IFERROR(__xludf.DUMMYFUNCTION("""COMPUTED_VALUE"""),500000)</f>
        <v>500000</v>
      </c>
    </row>
    <row r="2085" spans="1:8" ht="13" x14ac:dyDescent="0.15">
      <c r="A2085" s="5" t="str">
        <f ca="1">IFERROR(__xludf.DUMMYFUNCTION("""COMPUTED_VALUE"""),"39776")</f>
        <v>39776</v>
      </c>
      <c r="B2085" s="51">
        <f ca="1">IFERROR(__xludf.DUMMYFUNCTION("""COMPUTED_VALUE"""),44608)</f>
        <v>44608</v>
      </c>
      <c r="C2085" s="22">
        <f ca="1">IFERROR(__xludf.DUMMYFUNCTION("""COMPUTED_VALUE"""),500000)</f>
        <v>500000</v>
      </c>
      <c r="D2085" s="22">
        <f ca="1">IFERROR(__xludf.DUMMYFUNCTION("""COMPUTED_VALUE"""),0)</f>
        <v>0</v>
      </c>
      <c r="E2085" s="22">
        <f ca="1">IFERROR(__xludf.DUMMYFUNCTION("""COMPUTED_VALUE"""),500000)</f>
        <v>500000</v>
      </c>
      <c r="F2085" s="22">
        <f ca="1">IFERROR(__xludf.DUMMYFUNCTION("""COMPUTED_VALUE"""),500000)</f>
        <v>500000</v>
      </c>
      <c r="G2085" s="22">
        <f ca="1">IFERROR(__xludf.DUMMYFUNCTION("""COMPUTED_VALUE"""),0)</f>
        <v>0</v>
      </c>
      <c r="H2085" s="7">
        <f ca="1">IFERROR(__xludf.DUMMYFUNCTION("""COMPUTED_VALUE"""),500000)</f>
        <v>500000</v>
      </c>
    </row>
    <row r="2086" spans="1:8" ht="13" x14ac:dyDescent="0.15">
      <c r="A2086" s="5" t="str">
        <f ca="1">IFERROR(__xludf.DUMMYFUNCTION("""COMPUTED_VALUE"""),"39776")</f>
        <v>39776</v>
      </c>
      <c r="B2086" s="51">
        <f ca="1">IFERROR(__xludf.DUMMYFUNCTION("""COMPUTED_VALUE"""),44609)</f>
        <v>44609</v>
      </c>
      <c r="C2086" s="22">
        <f ca="1">IFERROR(__xludf.DUMMYFUNCTION("""COMPUTED_VALUE"""),500000)</f>
        <v>500000</v>
      </c>
      <c r="D2086" s="22">
        <f ca="1">IFERROR(__xludf.DUMMYFUNCTION("""COMPUTED_VALUE"""),0)</f>
        <v>0</v>
      </c>
      <c r="E2086" s="22">
        <f ca="1">IFERROR(__xludf.DUMMYFUNCTION("""COMPUTED_VALUE"""),500000)</f>
        <v>500000</v>
      </c>
      <c r="F2086" s="22">
        <f ca="1">IFERROR(__xludf.DUMMYFUNCTION("""COMPUTED_VALUE"""),500000)</f>
        <v>500000</v>
      </c>
      <c r="G2086" s="22">
        <f ca="1">IFERROR(__xludf.DUMMYFUNCTION("""COMPUTED_VALUE"""),0)</f>
        <v>0</v>
      </c>
      <c r="H2086" s="7">
        <f ca="1">IFERROR(__xludf.DUMMYFUNCTION("""COMPUTED_VALUE"""),500000)</f>
        <v>500000</v>
      </c>
    </row>
    <row r="2087" spans="1:8" ht="13" x14ac:dyDescent="0.15">
      <c r="A2087" s="5" t="str">
        <f ca="1">IFERROR(__xludf.DUMMYFUNCTION("""COMPUTED_VALUE"""),"39776")</f>
        <v>39776</v>
      </c>
      <c r="B2087" s="51">
        <f ca="1">IFERROR(__xludf.DUMMYFUNCTION("""COMPUTED_VALUE"""),44610)</f>
        <v>44610</v>
      </c>
      <c r="C2087" s="22">
        <f ca="1">IFERROR(__xludf.DUMMYFUNCTION("""COMPUTED_VALUE"""),500000)</f>
        <v>500000</v>
      </c>
      <c r="D2087" s="22">
        <f ca="1">IFERROR(__xludf.DUMMYFUNCTION("""COMPUTED_VALUE"""),0)</f>
        <v>0</v>
      </c>
      <c r="E2087" s="22">
        <f ca="1">IFERROR(__xludf.DUMMYFUNCTION("""COMPUTED_VALUE"""),500000)</f>
        <v>500000</v>
      </c>
      <c r="F2087" s="22">
        <f ca="1">IFERROR(__xludf.DUMMYFUNCTION("""COMPUTED_VALUE"""),500000)</f>
        <v>500000</v>
      </c>
      <c r="G2087" s="22">
        <f ca="1">IFERROR(__xludf.DUMMYFUNCTION("""COMPUTED_VALUE"""),0)</f>
        <v>0</v>
      </c>
      <c r="H2087" s="7">
        <f ca="1">IFERROR(__xludf.DUMMYFUNCTION("""COMPUTED_VALUE"""),500000)</f>
        <v>500000</v>
      </c>
    </row>
    <row r="2088" spans="1:8" ht="13" x14ac:dyDescent="0.15">
      <c r="A2088" s="5" t="str">
        <f ca="1">IFERROR(__xludf.DUMMYFUNCTION("""COMPUTED_VALUE"""),"39776")</f>
        <v>39776</v>
      </c>
      <c r="B2088" s="51">
        <f ca="1">IFERROR(__xludf.DUMMYFUNCTION("""COMPUTED_VALUE"""),44611)</f>
        <v>44611</v>
      </c>
      <c r="C2088" s="22">
        <f ca="1">IFERROR(__xludf.DUMMYFUNCTION("""COMPUTED_VALUE"""),500000)</f>
        <v>500000</v>
      </c>
      <c r="D2088" s="22">
        <f ca="1">IFERROR(__xludf.DUMMYFUNCTION("""COMPUTED_VALUE"""),0)</f>
        <v>0</v>
      </c>
      <c r="E2088" s="22">
        <f ca="1">IFERROR(__xludf.DUMMYFUNCTION("""COMPUTED_VALUE"""),500000)</f>
        <v>500000</v>
      </c>
      <c r="F2088" s="22">
        <f ca="1">IFERROR(__xludf.DUMMYFUNCTION("""COMPUTED_VALUE"""),500000)</f>
        <v>500000</v>
      </c>
      <c r="G2088" s="22">
        <f ca="1">IFERROR(__xludf.DUMMYFUNCTION("""COMPUTED_VALUE"""),0)</f>
        <v>0</v>
      </c>
      <c r="H2088" s="7">
        <f ca="1">IFERROR(__xludf.DUMMYFUNCTION("""COMPUTED_VALUE"""),500000)</f>
        <v>500000</v>
      </c>
    </row>
    <row r="2089" spans="1:8" ht="13" x14ac:dyDescent="0.15">
      <c r="A2089" s="5" t="str">
        <f ca="1">IFERROR(__xludf.DUMMYFUNCTION("""COMPUTED_VALUE"""),"39776")</f>
        <v>39776</v>
      </c>
      <c r="B2089" s="51">
        <f ca="1">IFERROR(__xludf.DUMMYFUNCTION("""COMPUTED_VALUE"""),44612)</f>
        <v>44612</v>
      </c>
      <c r="C2089" s="22">
        <f ca="1">IFERROR(__xludf.DUMMYFUNCTION("""COMPUTED_VALUE"""),500000)</f>
        <v>500000</v>
      </c>
      <c r="D2089" s="22">
        <f ca="1">IFERROR(__xludf.DUMMYFUNCTION("""COMPUTED_VALUE"""),0)</f>
        <v>0</v>
      </c>
      <c r="E2089" s="22">
        <f ca="1">IFERROR(__xludf.DUMMYFUNCTION("""COMPUTED_VALUE"""),500000)</f>
        <v>500000</v>
      </c>
      <c r="F2089" s="22">
        <f ca="1">IFERROR(__xludf.DUMMYFUNCTION("""COMPUTED_VALUE"""),500000)</f>
        <v>500000</v>
      </c>
      <c r="G2089" s="22">
        <f ca="1">IFERROR(__xludf.DUMMYFUNCTION("""COMPUTED_VALUE"""),0)</f>
        <v>0</v>
      </c>
      <c r="H2089" s="7">
        <f ca="1">IFERROR(__xludf.DUMMYFUNCTION("""COMPUTED_VALUE"""),500000)</f>
        <v>500000</v>
      </c>
    </row>
    <row r="2090" spans="1:8" ht="13" x14ac:dyDescent="0.15">
      <c r="A2090" s="5" t="str">
        <f ca="1">IFERROR(__xludf.DUMMYFUNCTION("""COMPUTED_VALUE"""),"39776")</f>
        <v>39776</v>
      </c>
      <c r="B2090" s="51">
        <f ca="1">IFERROR(__xludf.DUMMYFUNCTION("""COMPUTED_VALUE"""),44613)</f>
        <v>44613</v>
      </c>
      <c r="C2090" s="22">
        <f ca="1">IFERROR(__xludf.DUMMYFUNCTION("""COMPUTED_VALUE"""),500000)</f>
        <v>500000</v>
      </c>
      <c r="D2090" s="22">
        <f ca="1">IFERROR(__xludf.DUMMYFUNCTION("""COMPUTED_VALUE"""),0)</f>
        <v>0</v>
      </c>
      <c r="E2090" s="22">
        <f ca="1">IFERROR(__xludf.DUMMYFUNCTION("""COMPUTED_VALUE"""),500000)</f>
        <v>500000</v>
      </c>
      <c r="F2090" s="22">
        <f ca="1">IFERROR(__xludf.DUMMYFUNCTION("""COMPUTED_VALUE"""),500000)</f>
        <v>500000</v>
      </c>
      <c r="G2090" s="22">
        <f ca="1">IFERROR(__xludf.DUMMYFUNCTION("""COMPUTED_VALUE"""),0)</f>
        <v>0</v>
      </c>
      <c r="H2090" s="7">
        <f ca="1">IFERROR(__xludf.DUMMYFUNCTION("""COMPUTED_VALUE"""),500000)</f>
        <v>500000</v>
      </c>
    </row>
    <row r="2091" spans="1:8" ht="13" x14ac:dyDescent="0.15">
      <c r="A2091" s="5" t="str">
        <f ca="1">IFERROR(__xludf.DUMMYFUNCTION("""COMPUTED_VALUE"""),"39776")</f>
        <v>39776</v>
      </c>
      <c r="B2091" s="51">
        <f ca="1">IFERROR(__xludf.DUMMYFUNCTION("""COMPUTED_VALUE"""),44614)</f>
        <v>44614</v>
      </c>
      <c r="C2091" s="22">
        <f ca="1">IFERROR(__xludf.DUMMYFUNCTION("""COMPUTED_VALUE"""),500000)</f>
        <v>500000</v>
      </c>
      <c r="D2091" s="22">
        <f ca="1">IFERROR(__xludf.DUMMYFUNCTION("""COMPUTED_VALUE"""),0)</f>
        <v>0</v>
      </c>
      <c r="E2091" s="22">
        <f ca="1">IFERROR(__xludf.DUMMYFUNCTION("""COMPUTED_VALUE"""),500000)</f>
        <v>500000</v>
      </c>
      <c r="F2091" s="22">
        <f ca="1">IFERROR(__xludf.DUMMYFUNCTION("""COMPUTED_VALUE"""),500000)</f>
        <v>500000</v>
      </c>
      <c r="G2091" s="22">
        <f ca="1">IFERROR(__xludf.DUMMYFUNCTION("""COMPUTED_VALUE"""),0)</f>
        <v>0</v>
      </c>
      <c r="H2091" s="7">
        <f ca="1">IFERROR(__xludf.DUMMYFUNCTION("""COMPUTED_VALUE"""),500000)</f>
        <v>500000</v>
      </c>
    </row>
    <row r="2092" spans="1:8" ht="13" x14ac:dyDescent="0.15">
      <c r="A2092" s="5" t="str">
        <f ca="1">IFERROR(__xludf.DUMMYFUNCTION("""COMPUTED_VALUE"""),"39776")</f>
        <v>39776</v>
      </c>
      <c r="B2092" s="51">
        <f ca="1">IFERROR(__xludf.DUMMYFUNCTION("""COMPUTED_VALUE"""),44615)</f>
        <v>44615</v>
      </c>
      <c r="C2092" s="22">
        <f ca="1">IFERROR(__xludf.DUMMYFUNCTION("""COMPUTED_VALUE"""),500000)</f>
        <v>500000</v>
      </c>
      <c r="D2092" s="22">
        <f ca="1">IFERROR(__xludf.DUMMYFUNCTION("""COMPUTED_VALUE"""),0)</f>
        <v>0</v>
      </c>
      <c r="E2092" s="22">
        <f ca="1">IFERROR(__xludf.DUMMYFUNCTION("""COMPUTED_VALUE"""),500000)</f>
        <v>500000</v>
      </c>
      <c r="F2092" s="22">
        <f ca="1">IFERROR(__xludf.DUMMYFUNCTION("""COMPUTED_VALUE"""),500000)</f>
        <v>500000</v>
      </c>
      <c r="G2092" s="22">
        <f ca="1">IFERROR(__xludf.DUMMYFUNCTION("""COMPUTED_VALUE"""),0)</f>
        <v>0</v>
      </c>
      <c r="H2092" s="7">
        <f ca="1">IFERROR(__xludf.DUMMYFUNCTION("""COMPUTED_VALUE"""),500000)</f>
        <v>500000</v>
      </c>
    </row>
    <row r="2093" spans="1:8" ht="13" x14ac:dyDescent="0.15">
      <c r="A2093" s="5" t="str">
        <f ca="1">IFERROR(__xludf.DUMMYFUNCTION("""COMPUTED_VALUE"""),"39776")</f>
        <v>39776</v>
      </c>
      <c r="B2093" s="51">
        <f ca="1">IFERROR(__xludf.DUMMYFUNCTION("""COMPUTED_VALUE"""),44616)</f>
        <v>44616</v>
      </c>
      <c r="C2093" s="22">
        <f ca="1">IFERROR(__xludf.DUMMYFUNCTION("""COMPUTED_VALUE"""),500000)</f>
        <v>500000</v>
      </c>
      <c r="D2093" s="22">
        <f ca="1">IFERROR(__xludf.DUMMYFUNCTION("""COMPUTED_VALUE"""),0)</f>
        <v>0</v>
      </c>
      <c r="E2093" s="22">
        <f ca="1">IFERROR(__xludf.DUMMYFUNCTION("""COMPUTED_VALUE"""),500000)</f>
        <v>500000</v>
      </c>
      <c r="F2093" s="22">
        <f ca="1">IFERROR(__xludf.DUMMYFUNCTION("""COMPUTED_VALUE"""),500000)</f>
        <v>500000</v>
      </c>
      <c r="G2093" s="22">
        <f ca="1">IFERROR(__xludf.DUMMYFUNCTION("""COMPUTED_VALUE"""),0)</f>
        <v>0</v>
      </c>
      <c r="H2093" s="7">
        <f ca="1">IFERROR(__xludf.DUMMYFUNCTION("""COMPUTED_VALUE"""),500000)</f>
        <v>500000</v>
      </c>
    </row>
    <row r="2094" spans="1:8" ht="13" x14ac:dyDescent="0.15">
      <c r="A2094" s="5" t="str">
        <f ca="1">IFERROR(__xludf.DUMMYFUNCTION("""COMPUTED_VALUE"""),"39776")</f>
        <v>39776</v>
      </c>
      <c r="B2094" s="51">
        <f ca="1">IFERROR(__xludf.DUMMYFUNCTION("""COMPUTED_VALUE"""),44617)</f>
        <v>44617</v>
      </c>
      <c r="C2094" s="22">
        <f ca="1">IFERROR(__xludf.DUMMYFUNCTION("""COMPUTED_VALUE"""),500000)</f>
        <v>500000</v>
      </c>
      <c r="D2094" s="22">
        <f ca="1">IFERROR(__xludf.DUMMYFUNCTION("""COMPUTED_VALUE"""),0)</f>
        <v>0</v>
      </c>
      <c r="E2094" s="22">
        <f ca="1">IFERROR(__xludf.DUMMYFUNCTION("""COMPUTED_VALUE"""),500000)</f>
        <v>500000</v>
      </c>
      <c r="F2094" s="22">
        <f ca="1">IFERROR(__xludf.DUMMYFUNCTION("""COMPUTED_VALUE"""),500000)</f>
        <v>500000</v>
      </c>
      <c r="G2094" s="22">
        <f ca="1">IFERROR(__xludf.DUMMYFUNCTION("""COMPUTED_VALUE"""),0)</f>
        <v>0</v>
      </c>
      <c r="H2094" s="7">
        <f ca="1">IFERROR(__xludf.DUMMYFUNCTION("""COMPUTED_VALUE"""),500000)</f>
        <v>500000</v>
      </c>
    </row>
    <row r="2095" spans="1:8" ht="13" x14ac:dyDescent="0.15">
      <c r="A2095" s="5" t="str">
        <f ca="1">IFERROR(__xludf.DUMMYFUNCTION("""COMPUTED_VALUE"""),"39776")</f>
        <v>39776</v>
      </c>
      <c r="B2095" s="51">
        <f ca="1">IFERROR(__xludf.DUMMYFUNCTION("""COMPUTED_VALUE"""),44618)</f>
        <v>44618</v>
      </c>
      <c r="C2095" s="22">
        <f ca="1">IFERROR(__xludf.DUMMYFUNCTION("""COMPUTED_VALUE"""),500000)</f>
        <v>500000</v>
      </c>
      <c r="D2095" s="22">
        <f ca="1">IFERROR(__xludf.DUMMYFUNCTION("""COMPUTED_VALUE"""),0)</f>
        <v>0</v>
      </c>
      <c r="E2095" s="22">
        <f ca="1">IFERROR(__xludf.DUMMYFUNCTION("""COMPUTED_VALUE"""),500000)</f>
        <v>500000</v>
      </c>
      <c r="F2095" s="22">
        <f ca="1">IFERROR(__xludf.DUMMYFUNCTION("""COMPUTED_VALUE"""),500000)</f>
        <v>500000</v>
      </c>
      <c r="G2095" s="22">
        <f ca="1">IFERROR(__xludf.DUMMYFUNCTION("""COMPUTED_VALUE"""),0)</f>
        <v>0</v>
      </c>
      <c r="H2095" s="7">
        <f ca="1">IFERROR(__xludf.DUMMYFUNCTION("""COMPUTED_VALUE"""),500000)</f>
        <v>500000</v>
      </c>
    </row>
    <row r="2096" spans="1:8" ht="13" x14ac:dyDescent="0.15">
      <c r="A2096" s="5" t="str">
        <f ca="1">IFERROR(__xludf.DUMMYFUNCTION("""COMPUTED_VALUE"""),"39776")</f>
        <v>39776</v>
      </c>
      <c r="B2096" s="51">
        <f ca="1">IFERROR(__xludf.DUMMYFUNCTION("""COMPUTED_VALUE"""),44619)</f>
        <v>44619</v>
      </c>
      <c r="C2096" s="22">
        <f ca="1">IFERROR(__xludf.DUMMYFUNCTION("""COMPUTED_VALUE"""),500000)</f>
        <v>500000</v>
      </c>
      <c r="D2096" s="22">
        <f ca="1">IFERROR(__xludf.DUMMYFUNCTION("""COMPUTED_VALUE"""),0)</f>
        <v>0</v>
      </c>
      <c r="E2096" s="22">
        <f ca="1">IFERROR(__xludf.DUMMYFUNCTION("""COMPUTED_VALUE"""),500000)</f>
        <v>500000</v>
      </c>
      <c r="F2096" s="22">
        <f ca="1">IFERROR(__xludf.DUMMYFUNCTION("""COMPUTED_VALUE"""),500000)</f>
        <v>500000</v>
      </c>
      <c r="G2096" s="22">
        <f ca="1">IFERROR(__xludf.DUMMYFUNCTION("""COMPUTED_VALUE"""),0)</f>
        <v>0</v>
      </c>
      <c r="H2096" s="7">
        <f ca="1">IFERROR(__xludf.DUMMYFUNCTION("""COMPUTED_VALUE"""),500000)</f>
        <v>500000</v>
      </c>
    </row>
    <row r="2097" spans="1:8" ht="13" x14ac:dyDescent="0.15">
      <c r="A2097" s="5" t="str">
        <f ca="1">IFERROR(__xludf.DUMMYFUNCTION("""COMPUTED_VALUE"""),"39776")</f>
        <v>39776</v>
      </c>
      <c r="B2097" s="51">
        <f ca="1">IFERROR(__xludf.DUMMYFUNCTION("""COMPUTED_VALUE"""),44620)</f>
        <v>44620</v>
      </c>
      <c r="C2097" s="22">
        <f ca="1">IFERROR(__xludf.DUMMYFUNCTION("""COMPUTED_VALUE"""),500000)</f>
        <v>500000</v>
      </c>
      <c r="D2097" s="22">
        <f ca="1">IFERROR(__xludf.DUMMYFUNCTION("""COMPUTED_VALUE"""),0)</f>
        <v>0</v>
      </c>
      <c r="E2097" s="22">
        <f ca="1">IFERROR(__xludf.DUMMYFUNCTION("""COMPUTED_VALUE"""),500000)</f>
        <v>500000</v>
      </c>
      <c r="F2097" s="22">
        <f ca="1">IFERROR(__xludf.DUMMYFUNCTION("""COMPUTED_VALUE"""),500000)</f>
        <v>500000</v>
      </c>
      <c r="G2097" s="22">
        <f ca="1">IFERROR(__xludf.DUMMYFUNCTION("""COMPUTED_VALUE"""),0)</f>
        <v>0</v>
      </c>
      <c r="H2097" s="7">
        <f ca="1">IFERROR(__xludf.DUMMYFUNCTION("""COMPUTED_VALUE"""),500000)</f>
        <v>500000</v>
      </c>
    </row>
    <row r="2098" spans="1:8" ht="13" x14ac:dyDescent="0.15">
      <c r="A2098" s="5" t="str">
        <f ca="1">IFERROR(__xludf.DUMMYFUNCTION("""COMPUTED_VALUE"""),"39776")</f>
        <v>39776</v>
      </c>
      <c r="B2098" s="51">
        <f ca="1">IFERROR(__xludf.DUMMYFUNCTION("""COMPUTED_VALUE"""),44621)</f>
        <v>44621</v>
      </c>
      <c r="C2098" s="22">
        <f ca="1">IFERROR(__xludf.DUMMYFUNCTION("""COMPUTED_VALUE"""),500000)</f>
        <v>500000</v>
      </c>
      <c r="D2098" s="22">
        <f ca="1">IFERROR(__xludf.DUMMYFUNCTION("""COMPUTED_VALUE"""),0)</f>
        <v>0</v>
      </c>
      <c r="E2098" s="22">
        <f ca="1">IFERROR(__xludf.DUMMYFUNCTION("""COMPUTED_VALUE"""),500000)</f>
        <v>500000</v>
      </c>
      <c r="F2098" s="22">
        <f ca="1">IFERROR(__xludf.DUMMYFUNCTION("""COMPUTED_VALUE"""),500000)</f>
        <v>500000</v>
      </c>
      <c r="G2098" s="22">
        <f ca="1">IFERROR(__xludf.DUMMYFUNCTION("""COMPUTED_VALUE"""),0)</f>
        <v>0</v>
      </c>
      <c r="H2098" s="7">
        <f ca="1">IFERROR(__xludf.DUMMYFUNCTION("""COMPUTED_VALUE"""),500000)</f>
        <v>500000</v>
      </c>
    </row>
    <row r="2099" spans="1:8" ht="13" x14ac:dyDescent="0.15">
      <c r="A2099" s="5" t="str">
        <f ca="1">IFERROR(__xludf.DUMMYFUNCTION("""COMPUTED_VALUE"""),"39776")</f>
        <v>39776</v>
      </c>
      <c r="B2099" s="51">
        <f ca="1">IFERROR(__xludf.DUMMYFUNCTION("""COMPUTED_VALUE"""),44622)</f>
        <v>44622</v>
      </c>
      <c r="C2099" s="22">
        <f ca="1">IFERROR(__xludf.DUMMYFUNCTION("""COMPUTED_VALUE"""),500000)</f>
        <v>500000</v>
      </c>
      <c r="D2099" s="22">
        <f ca="1">IFERROR(__xludf.DUMMYFUNCTION("""COMPUTED_VALUE"""),0)</f>
        <v>0</v>
      </c>
      <c r="E2099" s="22">
        <f ca="1">IFERROR(__xludf.DUMMYFUNCTION("""COMPUTED_VALUE"""),500000)</f>
        <v>500000</v>
      </c>
      <c r="F2099" s="22">
        <f ca="1">IFERROR(__xludf.DUMMYFUNCTION("""COMPUTED_VALUE"""),500000)</f>
        <v>500000</v>
      </c>
      <c r="G2099" s="22">
        <f ca="1">IFERROR(__xludf.DUMMYFUNCTION("""COMPUTED_VALUE"""),0)</f>
        <v>0</v>
      </c>
      <c r="H2099" s="7">
        <f ca="1">IFERROR(__xludf.DUMMYFUNCTION("""COMPUTED_VALUE"""),500000)</f>
        <v>500000</v>
      </c>
    </row>
    <row r="2100" spans="1:8" ht="13" x14ac:dyDescent="0.15">
      <c r="A2100" s="5" t="str">
        <f ca="1">IFERROR(__xludf.DUMMYFUNCTION("""COMPUTED_VALUE"""),"39776")</f>
        <v>39776</v>
      </c>
      <c r="B2100" s="51">
        <f ca="1">IFERROR(__xludf.DUMMYFUNCTION("""COMPUTED_VALUE"""),44623)</f>
        <v>44623</v>
      </c>
      <c r="C2100" s="22">
        <f ca="1">IFERROR(__xludf.DUMMYFUNCTION("""COMPUTED_VALUE"""),485150)</f>
        <v>485150</v>
      </c>
      <c r="D2100" s="22">
        <f ca="1">IFERROR(__xludf.DUMMYFUNCTION("""COMPUTED_VALUE"""),14850)</f>
        <v>14850</v>
      </c>
      <c r="E2100" s="22">
        <f ca="1">IFERROR(__xludf.DUMMYFUNCTION("""COMPUTED_VALUE"""),500000)</f>
        <v>500000</v>
      </c>
      <c r="F2100" s="22">
        <f ca="1">IFERROR(__xludf.DUMMYFUNCTION("""COMPUTED_VALUE"""),485150)</f>
        <v>485150</v>
      </c>
      <c r="G2100" s="22">
        <f ca="1">IFERROR(__xludf.DUMMYFUNCTION("""COMPUTED_VALUE"""),0)</f>
        <v>0</v>
      </c>
      <c r="H2100" s="7">
        <f ca="1">IFERROR(__xludf.DUMMYFUNCTION("""COMPUTED_VALUE"""),500000)</f>
        <v>500000</v>
      </c>
    </row>
    <row r="2101" spans="1:8" ht="13" x14ac:dyDescent="0.15">
      <c r="A2101" s="5" t="str">
        <f ca="1">IFERROR(__xludf.DUMMYFUNCTION("""COMPUTED_VALUE"""),"39776")</f>
        <v>39776</v>
      </c>
      <c r="B2101" s="51">
        <f ca="1">IFERROR(__xludf.DUMMYFUNCTION("""COMPUTED_VALUE"""),44624)</f>
        <v>44624</v>
      </c>
      <c r="C2101" s="22">
        <f ca="1">IFERROR(__xludf.DUMMYFUNCTION("""COMPUTED_VALUE"""),485150)</f>
        <v>485150</v>
      </c>
      <c r="D2101" s="22">
        <f ca="1">IFERROR(__xludf.DUMMYFUNCTION("""COMPUTED_VALUE"""),14850)</f>
        <v>14850</v>
      </c>
      <c r="E2101" s="22">
        <f ca="1">IFERROR(__xludf.DUMMYFUNCTION("""COMPUTED_VALUE"""),500000)</f>
        <v>500000</v>
      </c>
      <c r="F2101" s="22">
        <f ca="1">IFERROR(__xludf.DUMMYFUNCTION("""COMPUTED_VALUE"""),485150)</f>
        <v>485150</v>
      </c>
      <c r="G2101" s="22">
        <f ca="1">IFERROR(__xludf.DUMMYFUNCTION("""COMPUTED_VALUE"""),0)</f>
        <v>0</v>
      </c>
      <c r="H2101" s="7">
        <f ca="1">IFERROR(__xludf.DUMMYFUNCTION("""COMPUTED_VALUE"""),499750)</f>
        <v>499750</v>
      </c>
    </row>
    <row r="2102" spans="1:8" ht="13" x14ac:dyDescent="0.15">
      <c r="A2102" s="5" t="str">
        <f ca="1">IFERROR(__xludf.DUMMYFUNCTION("""COMPUTED_VALUE"""),"39776")</f>
        <v>39776</v>
      </c>
      <c r="B2102" s="51">
        <f ca="1">IFERROR(__xludf.DUMMYFUNCTION("""COMPUTED_VALUE"""),44625)</f>
        <v>44625</v>
      </c>
      <c r="C2102" s="22">
        <f ca="1">IFERROR(__xludf.DUMMYFUNCTION("""COMPUTED_VALUE"""),485150)</f>
        <v>485150</v>
      </c>
      <c r="D2102" s="22">
        <f ca="1">IFERROR(__xludf.DUMMYFUNCTION("""COMPUTED_VALUE"""),14850)</f>
        <v>14850</v>
      </c>
      <c r="E2102" s="22">
        <f ca="1">IFERROR(__xludf.DUMMYFUNCTION("""COMPUTED_VALUE"""),500000)</f>
        <v>500000</v>
      </c>
      <c r="F2102" s="22">
        <f ca="1">IFERROR(__xludf.DUMMYFUNCTION("""COMPUTED_VALUE"""),485150)</f>
        <v>485150</v>
      </c>
      <c r="G2102" s="22">
        <f ca="1">IFERROR(__xludf.DUMMYFUNCTION("""COMPUTED_VALUE"""),0)</f>
        <v>0</v>
      </c>
      <c r="H2102" s="7">
        <f ca="1">IFERROR(__xludf.DUMMYFUNCTION("""COMPUTED_VALUE"""),499750)</f>
        <v>499750</v>
      </c>
    </row>
    <row r="2103" spans="1:8" ht="13" x14ac:dyDescent="0.15">
      <c r="A2103" s="5" t="str">
        <f ca="1">IFERROR(__xludf.DUMMYFUNCTION("""COMPUTED_VALUE"""),"39776")</f>
        <v>39776</v>
      </c>
      <c r="B2103" s="51">
        <f ca="1">IFERROR(__xludf.DUMMYFUNCTION("""COMPUTED_VALUE"""),44626)</f>
        <v>44626</v>
      </c>
      <c r="C2103" s="22">
        <f ca="1">IFERROR(__xludf.DUMMYFUNCTION("""COMPUTED_VALUE"""),485150)</f>
        <v>485150</v>
      </c>
      <c r="D2103" s="22">
        <f ca="1">IFERROR(__xludf.DUMMYFUNCTION("""COMPUTED_VALUE"""),14850)</f>
        <v>14850</v>
      </c>
      <c r="E2103" s="22">
        <f ca="1">IFERROR(__xludf.DUMMYFUNCTION("""COMPUTED_VALUE"""),500000)</f>
        <v>500000</v>
      </c>
      <c r="F2103" s="22">
        <f ca="1">IFERROR(__xludf.DUMMYFUNCTION("""COMPUTED_VALUE"""),485150)</f>
        <v>485150</v>
      </c>
      <c r="G2103" s="22">
        <f ca="1">IFERROR(__xludf.DUMMYFUNCTION("""COMPUTED_VALUE"""),0)</f>
        <v>0</v>
      </c>
      <c r="H2103" s="7">
        <f ca="1">IFERROR(__xludf.DUMMYFUNCTION("""COMPUTED_VALUE"""),499750)</f>
        <v>499750</v>
      </c>
    </row>
    <row r="2104" spans="1:8" ht="13" x14ac:dyDescent="0.15">
      <c r="A2104" s="5" t="str">
        <f ca="1">IFERROR(__xludf.DUMMYFUNCTION("""COMPUTED_VALUE"""),"39776")</f>
        <v>39776</v>
      </c>
      <c r="B2104" s="51">
        <f ca="1">IFERROR(__xludf.DUMMYFUNCTION("""COMPUTED_VALUE"""),44627)</f>
        <v>44627</v>
      </c>
      <c r="C2104" s="22">
        <f ca="1">IFERROR(__xludf.DUMMYFUNCTION("""COMPUTED_VALUE"""),485150)</f>
        <v>485150</v>
      </c>
      <c r="D2104" s="22">
        <f ca="1">IFERROR(__xludf.DUMMYFUNCTION("""COMPUTED_VALUE"""),14850)</f>
        <v>14850</v>
      </c>
      <c r="E2104" s="22">
        <f ca="1">IFERROR(__xludf.DUMMYFUNCTION("""COMPUTED_VALUE"""),500000)</f>
        <v>500000</v>
      </c>
      <c r="F2104" s="22">
        <f ca="1">IFERROR(__xludf.DUMMYFUNCTION("""COMPUTED_VALUE"""),485150)</f>
        <v>485150</v>
      </c>
      <c r="G2104" s="22">
        <f ca="1">IFERROR(__xludf.DUMMYFUNCTION("""COMPUTED_VALUE"""),0)</f>
        <v>0</v>
      </c>
      <c r="H2104" s="7">
        <f ca="1">IFERROR(__xludf.DUMMYFUNCTION("""COMPUTED_VALUE"""),498800)</f>
        <v>498800</v>
      </c>
    </row>
    <row r="2105" spans="1:8" ht="13" x14ac:dyDescent="0.15">
      <c r="A2105" s="5" t="str">
        <f ca="1">IFERROR(__xludf.DUMMYFUNCTION("""COMPUTED_VALUE"""),"39776")</f>
        <v>39776</v>
      </c>
      <c r="B2105" s="51">
        <f ca="1">IFERROR(__xludf.DUMMYFUNCTION("""COMPUTED_VALUE"""),44628)</f>
        <v>44628</v>
      </c>
      <c r="C2105" s="22">
        <f ca="1">IFERROR(__xludf.DUMMYFUNCTION("""COMPUTED_VALUE"""),485150)</f>
        <v>485150</v>
      </c>
      <c r="D2105" s="22">
        <f ca="1">IFERROR(__xludf.DUMMYFUNCTION("""COMPUTED_VALUE"""),14850)</f>
        <v>14850</v>
      </c>
      <c r="E2105" s="22">
        <f ca="1">IFERROR(__xludf.DUMMYFUNCTION("""COMPUTED_VALUE"""),500000)</f>
        <v>500000</v>
      </c>
      <c r="F2105" s="22">
        <f ca="1">IFERROR(__xludf.DUMMYFUNCTION("""COMPUTED_VALUE"""),485150)</f>
        <v>485150</v>
      </c>
      <c r="G2105" s="22">
        <f ca="1">IFERROR(__xludf.DUMMYFUNCTION("""COMPUTED_VALUE"""),0)</f>
        <v>0</v>
      </c>
      <c r="H2105" s="7">
        <f ca="1">IFERROR(__xludf.DUMMYFUNCTION("""COMPUTED_VALUE"""),498400)</f>
        <v>498400</v>
      </c>
    </row>
    <row r="2106" spans="1:8" ht="13" x14ac:dyDescent="0.15">
      <c r="A2106" s="5" t="str">
        <f ca="1">IFERROR(__xludf.DUMMYFUNCTION("""COMPUTED_VALUE"""),"39776")</f>
        <v>39776</v>
      </c>
      <c r="B2106" s="51">
        <f ca="1">IFERROR(__xludf.DUMMYFUNCTION("""COMPUTED_VALUE"""),44629)</f>
        <v>44629</v>
      </c>
      <c r="C2106" s="22">
        <f ca="1">IFERROR(__xludf.DUMMYFUNCTION("""COMPUTED_VALUE"""),485150)</f>
        <v>485150</v>
      </c>
      <c r="D2106" s="22">
        <f ca="1">IFERROR(__xludf.DUMMYFUNCTION("""COMPUTED_VALUE"""),14850)</f>
        <v>14850</v>
      </c>
      <c r="E2106" s="22">
        <f ca="1">IFERROR(__xludf.DUMMYFUNCTION("""COMPUTED_VALUE"""),500000)</f>
        <v>500000</v>
      </c>
      <c r="F2106" s="22">
        <f ca="1">IFERROR(__xludf.DUMMYFUNCTION("""COMPUTED_VALUE"""),485150)</f>
        <v>485150</v>
      </c>
      <c r="G2106" s="22">
        <f ca="1">IFERROR(__xludf.DUMMYFUNCTION("""COMPUTED_VALUE"""),0)</f>
        <v>0</v>
      </c>
      <c r="H2106" s="7">
        <f ca="1">IFERROR(__xludf.DUMMYFUNCTION("""COMPUTED_VALUE"""),498050)</f>
        <v>498050</v>
      </c>
    </row>
    <row r="2107" spans="1:8" ht="13" x14ac:dyDescent="0.15">
      <c r="A2107" s="5" t="str">
        <f ca="1">IFERROR(__xludf.DUMMYFUNCTION("""COMPUTED_VALUE"""),"39776")</f>
        <v>39776</v>
      </c>
      <c r="B2107" s="51">
        <f ca="1">IFERROR(__xludf.DUMMYFUNCTION("""COMPUTED_VALUE"""),44630)</f>
        <v>44630</v>
      </c>
      <c r="C2107" s="22">
        <f ca="1">IFERROR(__xludf.DUMMYFUNCTION("""COMPUTED_VALUE"""),485150)</f>
        <v>485150</v>
      </c>
      <c r="D2107" s="22">
        <f ca="1">IFERROR(__xludf.DUMMYFUNCTION("""COMPUTED_VALUE"""),14850)</f>
        <v>14850</v>
      </c>
      <c r="E2107" s="22">
        <f ca="1">IFERROR(__xludf.DUMMYFUNCTION("""COMPUTED_VALUE"""),500000)</f>
        <v>500000</v>
      </c>
      <c r="F2107" s="22">
        <f ca="1">IFERROR(__xludf.DUMMYFUNCTION("""COMPUTED_VALUE"""),485150)</f>
        <v>485150</v>
      </c>
      <c r="G2107" s="22">
        <f ca="1">IFERROR(__xludf.DUMMYFUNCTION("""COMPUTED_VALUE"""),0)</f>
        <v>0</v>
      </c>
      <c r="H2107" s="7">
        <f ca="1">IFERROR(__xludf.DUMMYFUNCTION("""COMPUTED_VALUE"""),499450)</f>
        <v>499450</v>
      </c>
    </row>
    <row r="2108" spans="1:8" ht="13" x14ac:dyDescent="0.15">
      <c r="A2108" s="5" t="str">
        <f ca="1">IFERROR(__xludf.DUMMYFUNCTION("""COMPUTED_VALUE"""),"39776")</f>
        <v>39776</v>
      </c>
      <c r="B2108" s="51">
        <f ca="1">IFERROR(__xludf.DUMMYFUNCTION("""COMPUTED_VALUE"""),44631)</f>
        <v>44631</v>
      </c>
      <c r="C2108" s="22">
        <f ca="1">IFERROR(__xludf.DUMMYFUNCTION("""COMPUTED_VALUE"""),485150)</f>
        <v>485150</v>
      </c>
      <c r="D2108" s="22">
        <f ca="1">IFERROR(__xludf.DUMMYFUNCTION("""COMPUTED_VALUE"""),14850)</f>
        <v>14850</v>
      </c>
      <c r="E2108" s="22">
        <f ca="1">IFERROR(__xludf.DUMMYFUNCTION("""COMPUTED_VALUE"""),500000)</f>
        <v>500000</v>
      </c>
      <c r="F2108" s="22">
        <f ca="1">IFERROR(__xludf.DUMMYFUNCTION("""COMPUTED_VALUE"""),485150)</f>
        <v>485150</v>
      </c>
      <c r="G2108" s="22">
        <f ca="1">IFERROR(__xludf.DUMMYFUNCTION("""COMPUTED_VALUE"""),0)</f>
        <v>0</v>
      </c>
      <c r="H2108" s="7">
        <f ca="1">IFERROR(__xludf.DUMMYFUNCTION("""COMPUTED_VALUE"""),498850)</f>
        <v>498850</v>
      </c>
    </row>
    <row r="2109" spans="1:8" ht="13" x14ac:dyDescent="0.15">
      <c r="A2109" s="5" t="str">
        <f ca="1">IFERROR(__xludf.DUMMYFUNCTION("""COMPUTED_VALUE"""),"39776")</f>
        <v>39776</v>
      </c>
      <c r="B2109" s="51">
        <f ca="1">IFERROR(__xludf.DUMMYFUNCTION("""COMPUTED_VALUE"""),44632)</f>
        <v>44632</v>
      </c>
      <c r="C2109" s="22">
        <f ca="1">IFERROR(__xludf.DUMMYFUNCTION("""COMPUTED_VALUE"""),485150)</f>
        <v>485150</v>
      </c>
      <c r="D2109" s="22">
        <f ca="1">IFERROR(__xludf.DUMMYFUNCTION("""COMPUTED_VALUE"""),14850)</f>
        <v>14850</v>
      </c>
      <c r="E2109" s="22">
        <f ca="1">IFERROR(__xludf.DUMMYFUNCTION("""COMPUTED_VALUE"""),500000)</f>
        <v>500000</v>
      </c>
      <c r="F2109" s="22">
        <f ca="1">IFERROR(__xludf.DUMMYFUNCTION("""COMPUTED_VALUE"""),485150)</f>
        <v>485150</v>
      </c>
      <c r="G2109" s="22">
        <f ca="1">IFERROR(__xludf.DUMMYFUNCTION("""COMPUTED_VALUE"""),0)</f>
        <v>0</v>
      </c>
      <c r="H2109" s="7">
        <f ca="1">IFERROR(__xludf.DUMMYFUNCTION("""COMPUTED_VALUE"""),498850)</f>
        <v>498850</v>
      </c>
    </row>
    <row r="2110" spans="1:8" ht="13" x14ac:dyDescent="0.15">
      <c r="A2110" s="5" t="str">
        <f ca="1">IFERROR(__xludf.DUMMYFUNCTION("""COMPUTED_VALUE"""),"39776")</f>
        <v>39776</v>
      </c>
      <c r="B2110" s="51">
        <f ca="1">IFERROR(__xludf.DUMMYFUNCTION("""COMPUTED_VALUE"""),44633)</f>
        <v>44633</v>
      </c>
      <c r="C2110" s="22">
        <f ca="1">IFERROR(__xludf.DUMMYFUNCTION("""COMPUTED_VALUE"""),485150)</f>
        <v>485150</v>
      </c>
      <c r="D2110" s="22">
        <f ca="1">IFERROR(__xludf.DUMMYFUNCTION("""COMPUTED_VALUE"""),14850)</f>
        <v>14850</v>
      </c>
      <c r="E2110" s="22">
        <f ca="1">IFERROR(__xludf.DUMMYFUNCTION("""COMPUTED_VALUE"""),500000)</f>
        <v>500000</v>
      </c>
      <c r="F2110" s="22">
        <f ca="1">IFERROR(__xludf.DUMMYFUNCTION("""COMPUTED_VALUE"""),485150)</f>
        <v>485150</v>
      </c>
      <c r="G2110" s="22">
        <f ca="1">IFERROR(__xludf.DUMMYFUNCTION("""COMPUTED_VALUE"""),0)</f>
        <v>0</v>
      </c>
      <c r="H2110" s="7">
        <f ca="1">IFERROR(__xludf.DUMMYFUNCTION("""COMPUTED_VALUE"""),498850)</f>
        <v>498850</v>
      </c>
    </row>
    <row r="2111" spans="1:8" ht="13" x14ac:dyDescent="0.15">
      <c r="A2111" s="5" t="str">
        <f ca="1">IFERROR(__xludf.DUMMYFUNCTION("""COMPUTED_VALUE"""),"39776")</f>
        <v>39776</v>
      </c>
      <c r="B2111" s="51">
        <f ca="1">IFERROR(__xludf.DUMMYFUNCTION("""COMPUTED_VALUE"""),44634)</f>
        <v>44634</v>
      </c>
      <c r="C2111" s="22">
        <f ca="1">IFERROR(__xludf.DUMMYFUNCTION("""COMPUTED_VALUE"""),485150)</f>
        <v>485150</v>
      </c>
      <c r="D2111" s="22">
        <f ca="1">IFERROR(__xludf.DUMMYFUNCTION("""COMPUTED_VALUE"""),14850)</f>
        <v>14850</v>
      </c>
      <c r="E2111" s="22">
        <f ca="1">IFERROR(__xludf.DUMMYFUNCTION("""COMPUTED_VALUE"""),500000)</f>
        <v>500000</v>
      </c>
      <c r="F2111" s="22">
        <f ca="1">IFERROR(__xludf.DUMMYFUNCTION("""COMPUTED_VALUE"""),485150)</f>
        <v>485150</v>
      </c>
      <c r="G2111" s="22">
        <f ca="1">IFERROR(__xludf.DUMMYFUNCTION("""COMPUTED_VALUE"""),0)</f>
        <v>0</v>
      </c>
      <c r="H2111" s="7">
        <f ca="1">IFERROR(__xludf.DUMMYFUNCTION("""COMPUTED_VALUE"""),497700)</f>
        <v>497700</v>
      </c>
    </row>
    <row r="2112" spans="1:8" ht="13" x14ac:dyDescent="0.15">
      <c r="A2112" s="5" t="str">
        <f ca="1">IFERROR(__xludf.DUMMYFUNCTION("""COMPUTED_VALUE"""),"39776")</f>
        <v>39776</v>
      </c>
      <c r="B2112" s="51">
        <f ca="1">IFERROR(__xludf.DUMMYFUNCTION("""COMPUTED_VALUE"""),44635)</f>
        <v>44635</v>
      </c>
      <c r="C2112" s="22">
        <f ca="1">IFERROR(__xludf.DUMMYFUNCTION("""COMPUTED_VALUE"""),485150)</f>
        <v>485150</v>
      </c>
      <c r="D2112" s="22">
        <f ca="1">IFERROR(__xludf.DUMMYFUNCTION("""COMPUTED_VALUE"""),14850)</f>
        <v>14850</v>
      </c>
      <c r="E2112" s="22">
        <f ca="1">IFERROR(__xludf.DUMMYFUNCTION("""COMPUTED_VALUE"""),500000)</f>
        <v>500000</v>
      </c>
      <c r="F2112" s="22">
        <f ca="1">IFERROR(__xludf.DUMMYFUNCTION("""COMPUTED_VALUE"""),485150)</f>
        <v>485150</v>
      </c>
      <c r="G2112" s="22">
        <f ca="1">IFERROR(__xludf.DUMMYFUNCTION("""COMPUTED_VALUE"""),0)</f>
        <v>0</v>
      </c>
      <c r="H2112" s="7">
        <f ca="1">IFERROR(__xludf.DUMMYFUNCTION("""COMPUTED_VALUE"""),496550)</f>
        <v>496550</v>
      </c>
    </row>
    <row r="2113" spans="1:8" ht="13" x14ac:dyDescent="0.15">
      <c r="A2113" s="5" t="str">
        <f ca="1">IFERROR(__xludf.DUMMYFUNCTION("""COMPUTED_VALUE"""),"39776")</f>
        <v>39776</v>
      </c>
      <c r="B2113" s="51">
        <f ca="1">IFERROR(__xludf.DUMMYFUNCTION("""COMPUTED_VALUE"""),44636)</f>
        <v>44636</v>
      </c>
      <c r="C2113" s="22">
        <f ca="1">IFERROR(__xludf.DUMMYFUNCTION("""COMPUTED_VALUE"""),485150)</f>
        <v>485150</v>
      </c>
      <c r="D2113" s="22">
        <f ca="1">IFERROR(__xludf.DUMMYFUNCTION("""COMPUTED_VALUE"""),14850)</f>
        <v>14850</v>
      </c>
      <c r="E2113" s="22">
        <f ca="1">IFERROR(__xludf.DUMMYFUNCTION("""COMPUTED_VALUE"""),500000)</f>
        <v>500000</v>
      </c>
      <c r="F2113" s="22">
        <f ca="1">IFERROR(__xludf.DUMMYFUNCTION("""COMPUTED_VALUE"""),485150)</f>
        <v>485150</v>
      </c>
      <c r="G2113" s="22">
        <f ca="1">IFERROR(__xludf.DUMMYFUNCTION("""COMPUTED_VALUE"""),0)</f>
        <v>0</v>
      </c>
      <c r="H2113" s="7">
        <f ca="1">IFERROR(__xludf.DUMMYFUNCTION("""COMPUTED_VALUE"""),498150)</f>
        <v>498150</v>
      </c>
    </row>
    <row r="2114" spans="1:8" ht="13" x14ac:dyDescent="0.15">
      <c r="A2114" s="5" t="str">
        <f ca="1">IFERROR(__xludf.DUMMYFUNCTION("""COMPUTED_VALUE"""),"39776")</f>
        <v>39776</v>
      </c>
      <c r="B2114" s="51">
        <f ca="1">IFERROR(__xludf.DUMMYFUNCTION("""COMPUTED_VALUE"""),44637)</f>
        <v>44637</v>
      </c>
      <c r="C2114" s="22">
        <f ca="1">IFERROR(__xludf.DUMMYFUNCTION("""COMPUTED_VALUE"""),485150)</f>
        <v>485150</v>
      </c>
      <c r="D2114" s="22">
        <f ca="1">IFERROR(__xludf.DUMMYFUNCTION("""COMPUTED_VALUE"""),14850)</f>
        <v>14850</v>
      </c>
      <c r="E2114" s="22">
        <f ca="1">IFERROR(__xludf.DUMMYFUNCTION("""COMPUTED_VALUE"""),500000)</f>
        <v>500000</v>
      </c>
      <c r="F2114" s="22">
        <f ca="1">IFERROR(__xludf.DUMMYFUNCTION("""COMPUTED_VALUE"""),485150)</f>
        <v>485150</v>
      </c>
      <c r="G2114" s="22">
        <f ca="1">IFERROR(__xludf.DUMMYFUNCTION("""COMPUTED_VALUE"""),0)</f>
        <v>0</v>
      </c>
      <c r="H2114" s="7">
        <f ca="1">IFERROR(__xludf.DUMMYFUNCTION("""COMPUTED_VALUE"""),497850)</f>
        <v>497850</v>
      </c>
    </row>
    <row r="2115" spans="1:8" ht="13" x14ac:dyDescent="0.15">
      <c r="A2115" s="5" t="str">
        <f ca="1">IFERROR(__xludf.DUMMYFUNCTION("""COMPUTED_VALUE"""),"39776")</f>
        <v>39776</v>
      </c>
      <c r="B2115" s="51">
        <f ca="1">IFERROR(__xludf.DUMMYFUNCTION("""COMPUTED_VALUE"""),44638)</f>
        <v>44638</v>
      </c>
      <c r="C2115" s="22">
        <f ca="1">IFERROR(__xludf.DUMMYFUNCTION("""COMPUTED_VALUE"""),485150)</f>
        <v>485150</v>
      </c>
      <c r="D2115" s="22">
        <f ca="1">IFERROR(__xludf.DUMMYFUNCTION("""COMPUTED_VALUE"""),13150)</f>
        <v>13150</v>
      </c>
      <c r="E2115" s="22">
        <f ca="1">IFERROR(__xludf.DUMMYFUNCTION("""COMPUTED_VALUE"""),498300)</f>
        <v>498300</v>
      </c>
      <c r="F2115" s="22">
        <f ca="1">IFERROR(__xludf.DUMMYFUNCTION("""COMPUTED_VALUE"""),485150)</f>
        <v>485150</v>
      </c>
      <c r="G2115" s="22">
        <f ca="1">IFERROR(__xludf.DUMMYFUNCTION("""COMPUTED_VALUE"""),0)</f>
        <v>0</v>
      </c>
      <c r="H2115" s="7">
        <f ca="1">IFERROR(__xludf.DUMMYFUNCTION("""COMPUTED_VALUE"""),498300)</f>
        <v>498300</v>
      </c>
    </row>
    <row r="2116" spans="1:8" ht="13" x14ac:dyDescent="0.15">
      <c r="A2116" s="5" t="str">
        <f ca="1">IFERROR(__xludf.DUMMYFUNCTION("""COMPUTED_VALUE"""),"39776")</f>
        <v>39776</v>
      </c>
      <c r="B2116" s="51">
        <f ca="1">IFERROR(__xludf.DUMMYFUNCTION("""COMPUTED_VALUE"""),44639)</f>
        <v>44639</v>
      </c>
      <c r="C2116" s="22">
        <f ca="1">IFERROR(__xludf.DUMMYFUNCTION("""COMPUTED_VALUE"""),485150)</f>
        <v>485150</v>
      </c>
      <c r="D2116" s="22">
        <f ca="1">IFERROR(__xludf.DUMMYFUNCTION("""COMPUTED_VALUE"""),13150)</f>
        <v>13150</v>
      </c>
      <c r="E2116" s="22">
        <f ca="1">IFERROR(__xludf.DUMMYFUNCTION("""COMPUTED_VALUE"""),498300)</f>
        <v>498300</v>
      </c>
      <c r="F2116" s="22">
        <f ca="1">IFERROR(__xludf.DUMMYFUNCTION("""COMPUTED_VALUE"""),485150)</f>
        <v>485150</v>
      </c>
      <c r="G2116" s="22">
        <f ca="1">IFERROR(__xludf.DUMMYFUNCTION("""COMPUTED_VALUE"""),0)</f>
        <v>0</v>
      </c>
      <c r="H2116" s="7">
        <f ca="1">IFERROR(__xludf.DUMMYFUNCTION("""COMPUTED_VALUE"""),498300)</f>
        <v>498300</v>
      </c>
    </row>
    <row r="2117" spans="1:8" ht="13" x14ac:dyDescent="0.15">
      <c r="A2117" s="5" t="str">
        <f ca="1">IFERROR(__xludf.DUMMYFUNCTION("""COMPUTED_VALUE"""),"39776")</f>
        <v>39776</v>
      </c>
      <c r="B2117" s="51">
        <f ca="1">IFERROR(__xludf.DUMMYFUNCTION("""COMPUTED_VALUE"""),44640)</f>
        <v>44640</v>
      </c>
      <c r="C2117" s="22">
        <f ca="1">IFERROR(__xludf.DUMMYFUNCTION("""COMPUTED_VALUE"""),485150)</f>
        <v>485150</v>
      </c>
      <c r="D2117" s="22">
        <f ca="1">IFERROR(__xludf.DUMMYFUNCTION("""COMPUTED_VALUE"""),13150)</f>
        <v>13150</v>
      </c>
      <c r="E2117" s="22">
        <f ca="1">IFERROR(__xludf.DUMMYFUNCTION("""COMPUTED_VALUE"""),498300)</f>
        <v>498300</v>
      </c>
      <c r="F2117" s="22">
        <f ca="1">IFERROR(__xludf.DUMMYFUNCTION("""COMPUTED_VALUE"""),485150)</f>
        <v>485150</v>
      </c>
      <c r="G2117" s="22">
        <f ca="1">IFERROR(__xludf.DUMMYFUNCTION("""COMPUTED_VALUE"""),0)</f>
        <v>0</v>
      </c>
      <c r="H2117" s="7">
        <f ca="1">IFERROR(__xludf.DUMMYFUNCTION("""COMPUTED_VALUE"""),498300)</f>
        <v>498300</v>
      </c>
    </row>
    <row r="2118" spans="1:8" ht="13" x14ac:dyDescent="0.15">
      <c r="A2118" s="5" t="str">
        <f ca="1">IFERROR(__xludf.DUMMYFUNCTION("""COMPUTED_VALUE"""),"39776")</f>
        <v>39776</v>
      </c>
      <c r="B2118" s="51">
        <f ca="1">IFERROR(__xludf.DUMMYFUNCTION("""COMPUTED_VALUE"""),44641)</f>
        <v>44641</v>
      </c>
      <c r="C2118" s="22">
        <f ca="1">IFERROR(__xludf.DUMMYFUNCTION("""COMPUTED_VALUE"""),485150)</f>
        <v>485150</v>
      </c>
      <c r="D2118" s="22">
        <f ca="1">IFERROR(__xludf.DUMMYFUNCTION("""COMPUTED_VALUE"""),12649.9999999999)</f>
        <v>12649.9999999999</v>
      </c>
      <c r="E2118" s="22">
        <f ca="1">IFERROR(__xludf.DUMMYFUNCTION("""COMPUTED_VALUE"""),497800)</f>
        <v>497800</v>
      </c>
      <c r="F2118" s="22">
        <f ca="1">IFERROR(__xludf.DUMMYFUNCTION("""COMPUTED_VALUE"""),485150)</f>
        <v>485150</v>
      </c>
      <c r="G2118" s="22">
        <f ca="1">IFERROR(__xludf.DUMMYFUNCTION("""COMPUTED_VALUE"""),0)</f>
        <v>0</v>
      </c>
      <c r="H2118" s="7">
        <f ca="1">IFERROR(__xludf.DUMMYFUNCTION("""COMPUTED_VALUE"""),497800)</f>
        <v>497800</v>
      </c>
    </row>
    <row r="2119" spans="1:8" ht="13" x14ac:dyDescent="0.15">
      <c r="A2119" s="5" t="str">
        <f ca="1">IFERROR(__xludf.DUMMYFUNCTION("""COMPUTED_VALUE"""),"39776")</f>
        <v>39776</v>
      </c>
      <c r="B2119" s="51">
        <f ca="1">IFERROR(__xludf.DUMMYFUNCTION("""COMPUTED_VALUE"""),44642)</f>
        <v>44642</v>
      </c>
      <c r="C2119" s="22">
        <f ca="1">IFERROR(__xludf.DUMMYFUNCTION("""COMPUTED_VALUE"""),485150)</f>
        <v>485150</v>
      </c>
      <c r="D2119" s="22">
        <f ca="1">IFERROR(__xludf.DUMMYFUNCTION("""COMPUTED_VALUE"""),12700)</f>
        <v>12700</v>
      </c>
      <c r="E2119" s="22">
        <f ca="1">IFERROR(__xludf.DUMMYFUNCTION("""COMPUTED_VALUE"""),497850)</f>
        <v>497850</v>
      </c>
      <c r="F2119" s="22">
        <f ca="1">IFERROR(__xludf.DUMMYFUNCTION("""COMPUTED_VALUE"""),485150)</f>
        <v>485150</v>
      </c>
      <c r="G2119" s="22">
        <f ca="1">IFERROR(__xludf.DUMMYFUNCTION("""COMPUTED_VALUE"""),0)</f>
        <v>0</v>
      </c>
      <c r="H2119" s="7">
        <f ca="1">IFERROR(__xludf.DUMMYFUNCTION("""COMPUTED_VALUE"""),497850)</f>
        <v>497850</v>
      </c>
    </row>
    <row r="2120" spans="1:8" ht="13" x14ac:dyDescent="0.15">
      <c r="A2120" s="5" t="str">
        <f ca="1">IFERROR(__xludf.DUMMYFUNCTION("""COMPUTED_VALUE"""),"39815")</f>
        <v>39815</v>
      </c>
      <c r="B2120" s="51">
        <f ca="1">IFERROR(__xludf.DUMMYFUNCTION("""COMPUTED_VALUE"""),44597)</f>
        <v>44597</v>
      </c>
      <c r="C2120" s="22">
        <f ca="1">IFERROR(__xludf.DUMMYFUNCTION("""COMPUTED_VALUE"""),500000)</f>
        <v>500000</v>
      </c>
      <c r="D2120" s="22">
        <f ca="1">IFERROR(__xludf.DUMMYFUNCTION("""COMPUTED_VALUE"""),0)</f>
        <v>0</v>
      </c>
      <c r="E2120" s="22">
        <f ca="1">IFERROR(__xludf.DUMMYFUNCTION("""COMPUTED_VALUE"""),500000)</f>
        <v>500000</v>
      </c>
      <c r="F2120" s="22">
        <f ca="1">IFERROR(__xludf.DUMMYFUNCTION("""COMPUTED_VALUE"""),500000)</f>
        <v>500000</v>
      </c>
      <c r="G2120" s="22">
        <f ca="1">IFERROR(__xludf.DUMMYFUNCTION("""COMPUTED_VALUE"""),0)</f>
        <v>0</v>
      </c>
      <c r="H2120" s="7">
        <f ca="1">IFERROR(__xludf.DUMMYFUNCTION("""COMPUTED_VALUE"""),500000)</f>
        <v>500000</v>
      </c>
    </row>
    <row r="2121" spans="1:8" ht="13" x14ac:dyDescent="0.15">
      <c r="A2121" s="5" t="str">
        <f ca="1">IFERROR(__xludf.DUMMYFUNCTION("""COMPUTED_VALUE"""),"39815")</f>
        <v>39815</v>
      </c>
      <c r="B2121" s="51">
        <f ca="1">IFERROR(__xludf.DUMMYFUNCTION("""COMPUTED_VALUE"""),44598)</f>
        <v>44598</v>
      </c>
      <c r="C2121" s="22">
        <f ca="1">IFERROR(__xludf.DUMMYFUNCTION("""COMPUTED_VALUE"""),500000)</f>
        <v>500000</v>
      </c>
      <c r="D2121" s="22">
        <f ca="1">IFERROR(__xludf.DUMMYFUNCTION("""COMPUTED_VALUE"""),0)</f>
        <v>0</v>
      </c>
      <c r="E2121" s="22">
        <f ca="1">IFERROR(__xludf.DUMMYFUNCTION("""COMPUTED_VALUE"""),500000)</f>
        <v>500000</v>
      </c>
      <c r="F2121" s="22">
        <f ca="1">IFERROR(__xludf.DUMMYFUNCTION("""COMPUTED_VALUE"""),500000)</f>
        <v>500000</v>
      </c>
      <c r="G2121" s="22">
        <f ca="1">IFERROR(__xludf.DUMMYFUNCTION("""COMPUTED_VALUE"""),0)</f>
        <v>0</v>
      </c>
      <c r="H2121" s="7">
        <f ca="1">IFERROR(__xludf.DUMMYFUNCTION("""COMPUTED_VALUE"""),500000)</f>
        <v>500000</v>
      </c>
    </row>
    <row r="2122" spans="1:8" ht="13" x14ac:dyDescent="0.15">
      <c r="A2122" s="5" t="str">
        <f ca="1">IFERROR(__xludf.DUMMYFUNCTION("""COMPUTED_VALUE"""),"39815")</f>
        <v>39815</v>
      </c>
      <c r="B2122" s="51">
        <f ca="1">IFERROR(__xludf.DUMMYFUNCTION("""COMPUTED_VALUE"""),44599)</f>
        <v>44599</v>
      </c>
      <c r="C2122" s="22">
        <f ca="1">IFERROR(__xludf.DUMMYFUNCTION("""COMPUTED_VALUE"""),500000)</f>
        <v>500000</v>
      </c>
      <c r="D2122" s="22">
        <f ca="1">IFERROR(__xludf.DUMMYFUNCTION("""COMPUTED_VALUE"""),0)</f>
        <v>0</v>
      </c>
      <c r="E2122" s="22">
        <f ca="1">IFERROR(__xludf.DUMMYFUNCTION("""COMPUTED_VALUE"""),500000)</f>
        <v>500000</v>
      </c>
      <c r="F2122" s="22">
        <f ca="1">IFERROR(__xludf.DUMMYFUNCTION("""COMPUTED_VALUE"""),500000)</f>
        <v>500000</v>
      </c>
      <c r="G2122" s="22">
        <f ca="1">IFERROR(__xludf.DUMMYFUNCTION("""COMPUTED_VALUE"""),0)</f>
        <v>0</v>
      </c>
      <c r="H2122" s="7">
        <f ca="1">IFERROR(__xludf.DUMMYFUNCTION("""COMPUTED_VALUE"""),500000)</f>
        <v>500000</v>
      </c>
    </row>
    <row r="2123" spans="1:8" ht="13" x14ac:dyDescent="0.15">
      <c r="A2123" s="5" t="str">
        <f ca="1">IFERROR(__xludf.DUMMYFUNCTION("""COMPUTED_VALUE"""),"39815")</f>
        <v>39815</v>
      </c>
      <c r="B2123" s="51">
        <f ca="1">IFERROR(__xludf.DUMMYFUNCTION("""COMPUTED_VALUE"""),44600)</f>
        <v>44600</v>
      </c>
      <c r="C2123" s="22">
        <f ca="1">IFERROR(__xludf.DUMMYFUNCTION("""COMPUTED_VALUE"""),500000)</f>
        <v>500000</v>
      </c>
      <c r="D2123" s="22">
        <f ca="1">IFERROR(__xludf.DUMMYFUNCTION("""COMPUTED_VALUE"""),0)</f>
        <v>0</v>
      </c>
      <c r="E2123" s="22">
        <f ca="1">IFERROR(__xludf.DUMMYFUNCTION("""COMPUTED_VALUE"""),500000)</f>
        <v>500000</v>
      </c>
      <c r="F2123" s="22">
        <f ca="1">IFERROR(__xludf.DUMMYFUNCTION("""COMPUTED_VALUE"""),500000)</f>
        <v>500000</v>
      </c>
      <c r="G2123" s="22">
        <f ca="1">IFERROR(__xludf.DUMMYFUNCTION("""COMPUTED_VALUE"""),0)</f>
        <v>0</v>
      </c>
      <c r="H2123" s="7">
        <f ca="1">IFERROR(__xludf.DUMMYFUNCTION("""COMPUTED_VALUE"""),500000)</f>
        <v>500000</v>
      </c>
    </row>
    <row r="2124" spans="1:8" ht="13" x14ac:dyDescent="0.15">
      <c r="A2124" s="5" t="str">
        <f ca="1">IFERROR(__xludf.DUMMYFUNCTION("""COMPUTED_VALUE"""),"39815")</f>
        <v>39815</v>
      </c>
      <c r="B2124" s="51">
        <f ca="1">IFERROR(__xludf.DUMMYFUNCTION("""COMPUTED_VALUE"""),44601)</f>
        <v>44601</v>
      </c>
      <c r="C2124" s="22">
        <f ca="1">IFERROR(__xludf.DUMMYFUNCTION("""COMPUTED_VALUE"""),500000)</f>
        <v>500000</v>
      </c>
      <c r="D2124" s="22">
        <f ca="1">IFERROR(__xludf.DUMMYFUNCTION("""COMPUTED_VALUE"""),0)</f>
        <v>0</v>
      </c>
      <c r="E2124" s="22">
        <f ca="1">IFERROR(__xludf.DUMMYFUNCTION("""COMPUTED_VALUE"""),500000)</f>
        <v>500000</v>
      </c>
      <c r="F2124" s="22">
        <f ca="1">IFERROR(__xludf.DUMMYFUNCTION("""COMPUTED_VALUE"""),500000)</f>
        <v>500000</v>
      </c>
      <c r="G2124" s="22">
        <f ca="1">IFERROR(__xludf.DUMMYFUNCTION("""COMPUTED_VALUE"""),0)</f>
        <v>0</v>
      </c>
      <c r="H2124" s="7">
        <f ca="1">IFERROR(__xludf.DUMMYFUNCTION("""COMPUTED_VALUE"""),500000)</f>
        <v>500000</v>
      </c>
    </row>
    <row r="2125" spans="1:8" ht="13" x14ac:dyDescent="0.15">
      <c r="A2125" s="5" t="str">
        <f ca="1">IFERROR(__xludf.DUMMYFUNCTION("""COMPUTED_VALUE"""),"39815")</f>
        <v>39815</v>
      </c>
      <c r="B2125" s="51">
        <f ca="1">IFERROR(__xludf.DUMMYFUNCTION("""COMPUTED_VALUE"""),44602)</f>
        <v>44602</v>
      </c>
      <c r="C2125" s="22">
        <f ca="1">IFERROR(__xludf.DUMMYFUNCTION("""COMPUTED_VALUE"""),500000)</f>
        <v>500000</v>
      </c>
      <c r="D2125" s="22">
        <f ca="1">IFERROR(__xludf.DUMMYFUNCTION("""COMPUTED_VALUE"""),0)</f>
        <v>0</v>
      </c>
      <c r="E2125" s="22">
        <f ca="1">IFERROR(__xludf.DUMMYFUNCTION("""COMPUTED_VALUE"""),500000)</f>
        <v>500000</v>
      </c>
      <c r="F2125" s="22">
        <f ca="1">IFERROR(__xludf.DUMMYFUNCTION("""COMPUTED_VALUE"""),500000)</f>
        <v>500000</v>
      </c>
      <c r="G2125" s="22">
        <f ca="1">IFERROR(__xludf.DUMMYFUNCTION("""COMPUTED_VALUE"""),0)</f>
        <v>0</v>
      </c>
      <c r="H2125" s="7">
        <f ca="1">IFERROR(__xludf.DUMMYFUNCTION("""COMPUTED_VALUE"""),500000)</f>
        <v>500000</v>
      </c>
    </row>
    <row r="2126" spans="1:8" ht="13" x14ac:dyDescent="0.15">
      <c r="A2126" s="5" t="str">
        <f ca="1">IFERROR(__xludf.DUMMYFUNCTION("""COMPUTED_VALUE"""),"39815")</f>
        <v>39815</v>
      </c>
      <c r="B2126" s="51">
        <f ca="1">IFERROR(__xludf.DUMMYFUNCTION("""COMPUTED_VALUE"""),44603)</f>
        <v>44603</v>
      </c>
      <c r="C2126" s="22">
        <f ca="1">IFERROR(__xludf.DUMMYFUNCTION("""COMPUTED_VALUE"""),500000)</f>
        <v>500000</v>
      </c>
      <c r="D2126" s="22">
        <f ca="1">IFERROR(__xludf.DUMMYFUNCTION("""COMPUTED_VALUE"""),0)</f>
        <v>0</v>
      </c>
      <c r="E2126" s="22">
        <f ca="1">IFERROR(__xludf.DUMMYFUNCTION("""COMPUTED_VALUE"""),500000)</f>
        <v>500000</v>
      </c>
      <c r="F2126" s="22">
        <f ca="1">IFERROR(__xludf.DUMMYFUNCTION("""COMPUTED_VALUE"""),500000)</f>
        <v>500000</v>
      </c>
      <c r="G2126" s="22">
        <f ca="1">IFERROR(__xludf.DUMMYFUNCTION("""COMPUTED_VALUE"""),0)</f>
        <v>0</v>
      </c>
      <c r="H2126" s="7">
        <f ca="1">IFERROR(__xludf.DUMMYFUNCTION("""COMPUTED_VALUE"""),500000)</f>
        <v>500000</v>
      </c>
    </row>
    <row r="2127" spans="1:8" ht="13" x14ac:dyDescent="0.15">
      <c r="A2127" s="5" t="str">
        <f ca="1">IFERROR(__xludf.DUMMYFUNCTION("""COMPUTED_VALUE"""),"39815")</f>
        <v>39815</v>
      </c>
      <c r="B2127" s="51">
        <f ca="1">IFERROR(__xludf.DUMMYFUNCTION("""COMPUTED_VALUE"""),44604)</f>
        <v>44604</v>
      </c>
      <c r="C2127" s="22">
        <f ca="1">IFERROR(__xludf.DUMMYFUNCTION("""COMPUTED_VALUE"""),500000)</f>
        <v>500000</v>
      </c>
      <c r="D2127" s="22">
        <f ca="1">IFERROR(__xludf.DUMMYFUNCTION("""COMPUTED_VALUE"""),0)</f>
        <v>0</v>
      </c>
      <c r="E2127" s="22">
        <f ca="1">IFERROR(__xludf.DUMMYFUNCTION("""COMPUTED_VALUE"""),500000)</f>
        <v>500000</v>
      </c>
      <c r="F2127" s="22">
        <f ca="1">IFERROR(__xludf.DUMMYFUNCTION("""COMPUTED_VALUE"""),500000)</f>
        <v>500000</v>
      </c>
      <c r="G2127" s="22">
        <f ca="1">IFERROR(__xludf.DUMMYFUNCTION("""COMPUTED_VALUE"""),0)</f>
        <v>0</v>
      </c>
      <c r="H2127" s="7">
        <f ca="1">IFERROR(__xludf.DUMMYFUNCTION("""COMPUTED_VALUE"""),500000)</f>
        <v>500000</v>
      </c>
    </row>
    <row r="2128" spans="1:8" ht="13" x14ac:dyDescent="0.15">
      <c r="A2128" s="5" t="str">
        <f ca="1">IFERROR(__xludf.DUMMYFUNCTION("""COMPUTED_VALUE"""),"39815")</f>
        <v>39815</v>
      </c>
      <c r="B2128" s="51">
        <f ca="1">IFERROR(__xludf.DUMMYFUNCTION("""COMPUTED_VALUE"""),44605)</f>
        <v>44605</v>
      </c>
      <c r="C2128" s="22">
        <f ca="1">IFERROR(__xludf.DUMMYFUNCTION("""COMPUTED_VALUE"""),500000)</f>
        <v>500000</v>
      </c>
      <c r="D2128" s="22">
        <f ca="1">IFERROR(__xludf.DUMMYFUNCTION("""COMPUTED_VALUE"""),0)</f>
        <v>0</v>
      </c>
      <c r="E2128" s="22">
        <f ca="1">IFERROR(__xludf.DUMMYFUNCTION("""COMPUTED_VALUE"""),500000)</f>
        <v>500000</v>
      </c>
      <c r="F2128" s="22">
        <f ca="1">IFERROR(__xludf.DUMMYFUNCTION("""COMPUTED_VALUE"""),500000)</f>
        <v>500000</v>
      </c>
      <c r="G2128" s="22">
        <f ca="1">IFERROR(__xludf.DUMMYFUNCTION("""COMPUTED_VALUE"""),0)</f>
        <v>0</v>
      </c>
      <c r="H2128" s="7">
        <f ca="1">IFERROR(__xludf.DUMMYFUNCTION("""COMPUTED_VALUE"""),500000)</f>
        <v>500000</v>
      </c>
    </row>
    <row r="2129" spans="1:8" ht="13" x14ac:dyDescent="0.15">
      <c r="A2129" s="5" t="str">
        <f ca="1">IFERROR(__xludf.DUMMYFUNCTION("""COMPUTED_VALUE"""),"39815")</f>
        <v>39815</v>
      </c>
      <c r="B2129" s="51">
        <f ca="1">IFERROR(__xludf.DUMMYFUNCTION("""COMPUTED_VALUE"""),44606)</f>
        <v>44606</v>
      </c>
      <c r="C2129" s="22">
        <f ca="1">IFERROR(__xludf.DUMMYFUNCTION("""COMPUTED_VALUE"""),500000)</f>
        <v>500000</v>
      </c>
      <c r="D2129" s="22">
        <f ca="1">IFERROR(__xludf.DUMMYFUNCTION("""COMPUTED_VALUE"""),0)</f>
        <v>0</v>
      </c>
      <c r="E2129" s="22">
        <f ca="1">IFERROR(__xludf.DUMMYFUNCTION("""COMPUTED_VALUE"""),500000)</f>
        <v>500000</v>
      </c>
      <c r="F2129" s="22">
        <f ca="1">IFERROR(__xludf.DUMMYFUNCTION("""COMPUTED_VALUE"""),500000)</f>
        <v>500000</v>
      </c>
      <c r="G2129" s="22">
        <f ca="1">IFERROR(__xludf.DUMMYFUNCTION("""COMPUTED_VALUE"""),0)</f>
        <v>0</v>
      </c>
      <c r="H2129" s="7">
        <f ca="1">IFERROR(__xludf.DUMMYFUNCTION("""COMPUTED_VALUE"""),500000)</f>
        <v>500000</v>
      </c>
    </row>
    <row r="2130" spans="1:8" ht="13" x14ac:dyDescent="0.15">
      <c r="A2130" s="5" t="str">
        <f ca="1">IFERROR(__xludf.DUMMYFUNCTION("""COMPUTED_VALUE"""),"39815")</f>
        <v>39815</v>
      </c>
      <c r="B2130" s="51">
        <f ca="1">IFERROR(__xludf.DUMMYFUNCTION("""COMPUTED_VALUE"""),44607)</f>
        <v>44607</v>
      </c>
      <c r="C2130" s="22">
        <f ca="1">IFERROR(__xludf.DUMMYFUNCTION("""COMPUTED_VALUE"""),500000)</f>
        <v>500000</v>
      </c>
      <c r="D2130" s="22">
        <f ca="1">IFERROR(__xludf.DUMMYFUNCTION("""COMPUTED_VALUE"""),0)</f>
        <v>0</v>
      </c>
      <c r="E2130" s="22">
        <f ca="1">IFERROR(__xludf.DUMMYFUNCTION("""COMPUTED_VALUE"""),500000)</f>
        <v>500000</v>
      </c>
      <c r="F2130" s="22">
        <f ca="1">IFERROR(__xludf.DUMMYFUNCTION("""COMPUTED_VALUE"""),500000)</f>
        <v>500000</v>
      </c>
      <c r="G2130" s="22">
        <f ca="1">IFERROR(__xludf.DUMMYFUNCTION("""COMPUTED_VALUE"""),0)</f>
        <v>0</v>
      </c>
      <c r="H2130" s="7">
        <f ca="1">IFERROR(__xludf.DUMMYFUNCTION("""COMPUTED_VALUE"""),500000)</f>
        <v>500000</v>
      </c>
    </row>
    <row r="2131" spans="1:8" ht="13" x14ac:dyDescent="0.15">
      <c r="A2131" s="5" t="str">
        <f ca="1">IFERROR(__xludf.DUMMYFUNCTION("""COMPUTED_VALUE"""),"39815")</f>
        <v>39815</v>
      </c>
      <c r="B2131" s="51">
        <f ca="1">IFERROR(__xludf.DUMMYFUNCTION("""COMPUTED_VALUE"""),44608)</f>
        <v>44608</v>
      </c>
      <c r="C2131" s="22">
        <f ca="1">IFERROR(__xludf.DUMMYFUNCTION("""COMPUTED_VALUE"""),500000)</f>
        <v>500000</v>
      </c>
      <c r="D2131" s="22">
        <f ca="1">IFERROR(__xludf.DUMMYFUNCTION("""COMPUTED_VALUE"""),0)</f>
        <v>0</v>
      </c>
      <c r="E2131" s="22">
        <f ca="1">IFERROR(__xludf.DUMMYFUNCTION("""COMPUTED_VALUE"""),500000)</f>
        <v>500000</v>
      </c>
      <c r="F2131" s="22">
        <f ca="1">IFERROR(__xludf.DUMMYFUNCTION("""COMPUTED_VALUE"""),500000)</f>
        <v>500000</v>
      </c>
      <c r="G2131" s="22">
        <f ca="1">IFERROR(__xludf.DUMMYFUNCTION("""COMPUTED_VALUE"""),0)</f>
        <v>0</v>
      </c>
      <c r="H2131" s="7">
        <f ca="1">IFERROR(__xludf.DUMMYFUNCTION("""COMPUTED_VALUE"""),500000)</f>
        <v>500000</v>
      </c>
    </row>
    <row r="2132" spans="1:8" ht="13" x14ac:dyDescent="0.15">
      <c r="A2132" s="5" t="str">
        <f ca="1">IFERROR(__xludf.DUMMYFUNCTION("""COMPUTED_VALUE"""),"39815")</f>
        <v>39815</v>
      </c>
      <c r="B2132" s="51">
        <f ca="1">IFERROR(__xludf.DUMMYFUNCTION("""COMPUTED_VALUE"""),44609)</f>
        <v>44609</v>
      </c>
      <c r="C2132" s="22">
        <f ca="1">IFERROR(__xludf.DUMMYFUNCTION("""COMPUTED_VALUE"""),500000)</f>
        <v>500000</v>
      </c>
      <c r="D2132" s="22">
        <f ca="1">IFERROR(__xludf.DUMMYFUNCTION("""COMPUTED_VALUE"""),0)</f>
        <v>0</v>
      </c>
      <c r="E2132" s="22">
        <f ca="1">IFERROR(__xludf.DUMMYFUNCTION("""COMPUTED_VALUE"""),500000)</f>
        <v>500000</v>
      </c>
      <c r="F2132" s="22">
        <f ca="1">IFERROR(__xludf.DUMMYFUNCTION("""COMPUTED_VALUE"""),500000)</f>
        <v>500000</v>
      </c>
      <c r="G2132" s="22">
        <f ca="1">IFERROR(__xludf.DUMMYFUNCTION("""COMPUTED_VALUE"""),0)</f>
        <v>0</v>
      </c>
      <c r="H2132" s="7">
        <f ca="1">IFERROR(__xludf.DUMMYFUNCTION("""COMPUTED_VALUE"""),500000)</f>
        <v>500000</v>
      </c>
    </row>
    <row r="2133" spans="1:8" ht="13" x14ac:dyDescent="0.15">
      <c r="A2133" s="5" t="str">
        <f ca="1">IFERROR(__xludf.DUMMYFUNCTION("""COMPUTED_VALUE"""),"39815")</f>
        <v>39815</v>
      </c>
      <c r="B2133" s="51">
        <f ca="1">IFERROR(__xludf.DUMMYFUNCTION("""COMPUTED_VALUE"""),44610)</f>
        <v>44610</v>
      </c>
      <c r="C2133" s="22">
        <f ca="1">IFERROR(__xludf.DUMMYFUNCTION("""COMPUTED_VALUE"""),500000)</f>
        <v>500000</v>
      </c>
      <c r="D2133" s="22">
        <f ca="1">IFERROR(__xludf.DUMMYFUNCTION("""COMPUTED_VALUE"""),0)</f>
        <v>0</v>
      </c>
      <c r="E2133" s="22">
        <f ca="1">IFERROR(__xludf.DUMMYFUNCTION("""COMPUTED_VALUE"""),500000)</f>
        <v>500000</v>
      </c>
      <c r="F2133" s="22">
        <f ca="1">IFERROR(__xludf.DUMMYFUNCTION("""COMPUTED_VALUE"""),500000)</f>
        <v>500000</v>
      </c>
      <c r="G2133" s="22">
        <f ca="1">IFERROR(__xludf.DUMMYFUNCTION("""COMPUTED_VALUE"""),0)</f>
        <v>0</v>
      </c>
      <c r="H2133" s="7">
        <f ca="1">IFERROR(__xludf.DUMMYFUNCTION("""COMPUTED_VALUE"""),500000)</f>
        <v>500000</v>
      </c>
    </row>
    <row r="2134" spans="1:8" ht="13" x14ac:dyDescent="0.15">
      <c r="A2134" s="5" t="str">
        <f ca="1">IFERROR(__xludf.DUMMYFUNCTION("""COMPUTED_VALUE"""),"39815")</f>
        <v>39815</v>
      </c>
      <c r="B2134" s="51">
        <f ca="1">IFERROR(__xludf.DUMMYFUNCTION("""COMPUTED_VALUE"""),44611)</f>
        <v>44611</v>
      </c>
      <c r="C2134" s="22">
        <f ca="1">IFERROR(__xludf.DUMMYFUNCTION("""COMPUTED_VALUE"""),500000)</f>
        <v>500000</v>
      </c>
      <c r="D2134" s="22">
        <f ca="1">IFERROR(__xludf.DUMMYFUNCTION("""COMPUTED_VALUE"""),0)</f>
        <v>0</v>
      </c>
      <c r="E2134" s="22">
        <f ca="1">IFERROR(__xludf.DUMMYFUNCTION("""COMPUTED_VALUE"""),500000)</f>
        <v>500000</v>
      </c>
      <c r="F2134" s="22">
        <f ca="1">IFERROR(__xludf.DUMMYFUNCTION("""COMPUTED_VALUE"""),500000)</f>
        <v>500000</v>
      </c>
      <c r="G2134" s="22">
        <f ca="1">IFERROR(__xludf.DUMMYFUNCTION("""COMPUTED_VALUE"""),0)</f>
        <v>0</v>
      </c>
      <c r="H2134" s="7">
        <f ca="1">IFERROR(__xludf.DUMMYFUNCTION("""COMPUTED_VALUE"""),500000)</f>
        <v>500000</v>
      </c>
    </row>
    <row r="2135" spans="1:8" ht="13" x14ac:dyDescent="0.15">
      <c r="A2135" s="5" t="str">
        <f ca="1">IFERROR(__xludf.DUMMYFUNCTION("""COMPUTED_VALUE"""),"39815")</f>
        <v>39815</v>
      </c>
      <c r="B2135" s="51">
        <f ca="1">IFERROR(__xludf.DUMMYFUNCTION("""COMPUTED_VALUE"""),44612)</f>
        <v>44612</v>
      </c>
      <c r="C2135" s="22">
        <f ca="1">IFERROR(__xludf.DUMMYFUNCTION("""COMPUTED_VALUE"""),500000)</f>
        <v>500000</v>
      </c>
      <c r="D2135" s="22">
        <f ca="1">IFERROR(__xludf.DUMMYFUNCTION("""COMPUTED_VALUE"""),0)</f>
        <v>0</v>
      </c>
      <c r="E2135" s="22">
        <f ca="1">IFERROR(__xludf.DUMMYFUNCTION("""COMPUTED_VALUE"""),500000)</f>
        <v>500000</v>
      </c>
      <c r="F2135" s="22">
        <f ca="1">IFERROR(__xludf.DUMMYFUNCTION("""COMPUTED_VALUE"""),500000)</f>
        <v>500000</v>
      </c>
      <c r="G2135" s="22">
        <f ca="1">IFERROR(__xludf.DUMMYFUNCTION("""COMPUTED_VALUE"""),0)</f>
        <v>0</v>
      </c>
      <c r="H2135" s="7">
        <f ca="1">IFERROR(__xludf.DUMMYFUNCTION("""COMPUTED_VALUE"""),500000)</f>
        <v>500000</v>
      </c>
    </row>
    <row r="2136" spans="1:8" ht="13" x14ac:dyDescent="0.15">
      <c r="A2136" s="5" t="str">
        <f ca="1">IFERROR(__xludf.DUMMYFUNCTION("""COMPUTED_VALUE"""),"39815")</f>
        <v>39815</v>
      </c>
      <c r="B2136" s="51">
        <f ca="1">IFERROR(__xludf.DUMMYFUNCTION("""COMPUTED_VALUE"""),44613)</f>
        <v>44613</v>
      </c>
      <c r="C2136" s="22">
        <f ca="1">IFERROR(__xludf.DUMMYFUNCTION("""COMPUTED_VALUE"""),500000)</f>
        <v>500000</v>
      </c>
      <c r="D2136" s="22">
        <f ca="1">IFERROR(__xludf.DUMMYFUNCTION("""COMPUTED_VALUE"""),0)</f>
        <v>0</v>
      </c>
      <c r="E2136" s="22">
        <f ca="1">IFERROR(__xludf.DUMMYFUNCTION("""COMPUTED_VALUE"""),500000)</f>
        <v>500000</v>
      </c>
      <c r="F2136" s="22">
        <f ca="1">IFERROR(__xludf.DUMMYFUNCTION("""COMPUTED_VALUE"""),500000)</f>
        <v>500000</v>
      </c>
      <c r="G2136" s="22">
        <f ca="1">IFERROR(__xludf.DUMMYFUNCTION("""COMPUTED_VALUE"""),0)</f>
        <v>0</v>
      </c>
      <c r="H2136" s="7">
        <f ca="1">IFERROR(__xludf.DUMMYFUNCTION("""COMPUTED_VALUE"""),500000)</f>
        <v>500000</v>
      </c>
    </row>
    <row r="2137" spans="1:8" ht="13" x14ac:dyDescent="0.15">
      <c r="A2137" s="5" t="str">
        <f ca="1">IFERROR(__xludf.DUMMYFUNCTION("""COMPUTED_VALUE"""),"39815")</f>
        <v>39815</v>
      </c>
      <c r="B2137" s="51">
        <f ca="1">IFERROR(__xludf.DUMMYFUNCTION("""COMPUTED_VALUE"""),44614)</f>
        <v>44614</v>
      </c>
      <c r="C2137" s="22">
        <f ca="1">IFERROR(__xludf.DUMMYFUNCTION("""COMPUTED_VALUE"""),500000)</f>
        <v>500000</v>
      </c>
      <c r="D2137" s="22">
        <f ca="1">IFERROR(__xludf.DUMMYFUNCTION("""COMPUTED_VALUE"""),0)</f>
        <v>0</v>
      </c>
      <c r="E2137" s="22">
        <f ca="1">IFERROR(__xludf.DUMMYFUNCTION("""COMPUTED_VALUE"""),500000)</f>
        <v>500000</v>
      </c>
      <c r="F2137" s="22">
        <f ca="1">IFERROR(__xludf.DUMMYFUNCTION("""COMPUTED_VALUE"""),500000)</f>
        <v>500000</v>
      </c>
      <c r="G2137" s="22">
        <f ca="1">IFERROR(__xludf.DUMMYFUNCTION("""COMPUTED_VALUE"""),0)</f>
        <v>0</v>
      </c>
      <c r="H2137" s="7">
        <f ca="1">IFERROR(__xludf.DUMMYFUNCTION("""COMPUTED_VALUE"""),500000)</f>
        <v>500000</v>
      </c>
    </row>
    <row r="2138" spans="1:8" ht="13" x14ac:dyDescent="0.15">
      <c r="A2138" s="5" t="str">
        <f ca="1">IFERROR(__xludf.DUMMYFUNCTION("""COMPUTED_VALUE"""),"39815")</f>
        <v>39815</v>
      </c>
      <c r="B2138" s="51">
        <f ca="1">IFERROR(__xludf.DUMMYFUNCTION("""COMPUTED_VALUE"""),44615)</f>
        <v>44615</v>
      </c>
      <c r="C2138" s="22">
        <f ca="1">IFERROR(__xludf.DUMMYFUNCTION("""COMPUTED_VALUE"""),500000)</f>
        <v>500000</v>
      </c>
      <c r="D2138" s="22">
        <f ca="1">IFERROR(__xludf.DUMMYFUNCTION("""COMPUTED_VALUE"""),0)</f>
        <v>0</v>
      </c>
      <c r="E2138" s="22">
        <f ca="1">IFERROR(__xludf.DUMMYFUNCTION("""COMPUTED_VALUE"""),500000)</f>
        <v>500000</v>
      </c>
      <c r="F2138" s="22">
        <f ca="1">IFERROR(__xludf.DUMMYFUNCTION("""COMPUTED_VALUE"""),500000)</f>
        <v>500000</v>
      </c>
      <c r="G2138" s="22">
        <f ca="1">IFERROR(__xludf.DUMMYFUNCTION("""COMPUTED_VALUE"""),0)</f>
        <v>0</v>
      </c>
      <c r="H2138" s="7">
        <f ca="1">IFERROR(__xludf.DUMMYFUNCTION("""COMPUTED_VALUE"""),500000)</f>
        <v>500000</v>
      </c>
    </row>
    <row r="2139" spans="1:8" ht="13" x14ac:dyDescent="0.15">
      <c r="A2139" s="5" t="str">
        <f ca="1">IFERROR(__xludf.DUMMYFUNCTION("""COMPUTED_VALUE"""),"39815")</f>
        <v>39815</v>
      </c>
      <c r="B2139" s="51">
        <f ca="1">IFERROR(__xludf.DUMMYFUNCTION("""COMPUTED_VALUE"""),44616)</f>
        <v>44616</v>
      </c>
      <c r="C2139" s="22">
        <f ca="1">IFERROR(__xludf.DUMMYFUNCTION("""COMPUTED_VALUE"""),500000)</f>
        <v>500000</v>
      </c>
      <c r="D2139" s="22">
        <f ca="1">IFERROR(__xludf.DUMMYFUNCTION("""COMPUTED_VALUE"""),0)</f>
        <v>0</v>
      </c>
      <c r="E2139" s="22">
        <f ca="1">IFERROR(__xludf.DUMMYFUNCTION("""COMPUTED_VALUE"""),500000)</f>
        <v>500000</v>
      </c>
      <c r="F2139" s="22">
        <f ca="1">IFERROR(__xludf.DUMMYFUNCTION("""COMPUTED_VALUE"""),500000)</f>
        <v>500000</v>
      </c>
      <c r="G2139" s="22">
        <f ca="1">IFERROR(__xludf.DUMMYFUNCTION("""COMPUTED_VALUE"""),0)</f>
        <v>0</v>
      </c>
      <c r="H2139" s="7">
        <f ca="1">IFERROR(__xludf.DUMMYFUNCTION("""COMPUTED_VALUE"""),500000)</f>
        <v>500000</v>
      </c>
    </row>
    <row r="2140" spans="1:8" ht="13" x14ac:dyDescent="0.15">
      <c r="A2140" s="5" t="str">
        <f ca="1">IFERROR(__xludf.DUMMYFUNCTION("""COMPUTED_VALUE"""),"39815")</f>
        <v>39815</v>
      </c>
      <c r="B2140" s="51">
        <f ca="1">IFERROR(__xludf.DUMMYFUNCTION("""COMPUTED_VALUE"""),44617)</f>
        <v>44617</v>
      </c>
      <c r="C2140" s="22">
        <f ca="1">IFERROR(__xludf.DUMMYFUNCTION("""COMPUTED_VALUE"""),500000)</f>
        <v>500000</v>
      </c>
      <c r="D2140" s="22">
        <f ca="1">IFERROR(__xludf.DUMMYFUNCTION("""COMPUTED_VALUE"""),0)</f>
        <v>0</v>
      </c>
      <c r="E2140" s="22">
        <f ca="1">IFERROR(__xludf.DUMMYFUNCTION("""COMPUTED_VALUE"""),500000)</f>
        <v>500000</v>
      </c>
      <c r="F2140" s="22">
        <f ca="1">IFERROR(__xludf.DUMMYFUNCTION("""COMPUTED_VALUE"""),500000)</f>
        <v>500000</v>
      </c>
      <c r="G2140" s="22">
        <f ca="1">IFERROR(__xludf.DUMMYFUNCTION("""COMPUTED_VALUE"""),0)</f>
        <v>0</v>
      </c>
      <c r="H2140" s="7">
        <f ca="1">IFERROR(__xludf.DUMMYFUNCTION("""COMPUTED_VALUE"""),500000)</f>
        <v>500000</v>
      </c>
    </row>
    <row r="2141" spans="1:8" ht="13" x14ac:dyDescent="0.15">
      <c r="A2141" s="5" t="str">
        <f ca="1">IFERROR(__xludf.DUMMYFUNCTION("""COMPUTED_VALUE"""),"39815")</f>
        <v>39815</v>
      </c>
      <c r="B2141" s="51">
        <f ca="1">IFERROR(__xludf.DUMMYFUNCTION("""COMPUTED_VALUE"""),44618)</f>
        <v>44618</v>
      </c>
      <c r="C2141" s="22">
        <f ca="1">IFERROR(__xludf.DUMMYFUNCTION("""COMPUTED_VALUE"""),500000)</f>
        <v>500000</v>
      </c>
      <c r="D2141" s="22">
        <f ca="1">IFERROR(__xludf.DUMMYFUNCTION("""COMPUTED_VALUE"""),0)</f>
        <v>0</v>
      </c>
      <c r="E2141" s="22">
        <f ca="1">IFERROR(__xludf.DUMMYFUNCTION("""COMPUTED_VALUE"""),500000)</f>
        <v>500000</v>
      </c>
      <c r="F2141" s="22">
        <f ca="1">IFERROR(__xludf.DUMMYFUNCTION("""COMPUTED_VALUE"""),500000)</f>
        <v>500000</v>
      </c>
      <c r="G2141" s="22">
        <f ca="1">IFERROR(__xludf.DUMMYFUNCTION("""COMPUTED_VALUE"""),0)</f>
        <v>0</v>
      </c>
      <c r="H2141" s="7">
        <f ca="1">IFERROR(__xludf.DUMMYFUNCTION("""COMPUTED_VALUE"""),500000)</f>
        <v>500000</v>
      </c>
    </row>
    <row r="2142" spans="1:8" ht="13" x14ac:dyDescent="0.15">
      <c r="A2142" s="5" t="str">
        <f ca="1">IFERROR(__xludf.DUMMYFUNCTION("""COMPUTED_VALUE"""),"39815")</f>
        <v>39815</v>
      </c>
      <c r="B2142" s="51">
        <f ca="1">IFERROR(__xludf.DUMMYFUNCTION("""COMPUTED_VALUE"""),44619)</f>
        <v>44619</v>
      </c>
      <c r="C2142" s="22">
        <f ca="1">IFERROR(__xludf.DUMMYFUNCTION("""COMPUTED_VALUE"""),500000)</f>
        <v>500000</v>
      </c>
      <c r="D2142" s="22">
        <f ca="1">IFERROR(__xludf.DUMMYFUNCTION("""COMPUTED_VALUE"""),0)</f>
        <v>0</v>
      </c>
      <c r="E2142" s="22">
        <f ca="1">IFERROR(__xludf.DUMMYFUNCTION("""COMPUTED_VALUE"""),500000)</f>
        <v>500000</v>
      </c>
      <c r="F2142" s="22">
        <f ca="1">IFERROR(__xludf.DUMMYFUNCTION("""COMPUTED_VALUE"""),500000)</f>
        <v>500000</v>
      </c>
      <c r="G2142" s="22">
        <f ca="1">IFERROR(__xludf.DUMMYFUNCTION("""COMPUTED_VALUE"""),0)</f>
        <v>0</v>
      </c>
      <c r="H2142" s="7">
        <f ca="1">IFERROR(__xludf.DUMMYFUNCTION("""COMPUTED_VALUE"""),500000)</f>
        <v>500000</v>
      </c>
    </row>
    <row r="2143" spans="1:8" ht="13" x14ac:dyDescent="0.15">
      <c r="A2143" s="5" t="str">
        <f ca="1">IFERROR(__xludf.DUMMYFUNCTION("""COMPUTED_VALUE"""),"39815")</f>
        <v>39815</v>
      </c>
      <c r="B2143" s="51">
        <f ca="1">IFERROR(__xludf.DUMMYFUNCTION("""COMPUTED_VALUE"""),44620)</f>
        <v>44620</v>
      </c>
      <c r="C2143" s="22">
        <f ca="1">IFERROR(__xludf.DUMMYFUNCTION("""COMPUTED_VALUE"""),500000)</f>
        <v>500000</v>
      </c>
      <c r="D2143" s="22">
        <f ca="1">IFERROR(__xludf.DUMMYFUNCTION("""COMPUTED_VALUE"""),0)</f>
        <v>0</v>
      </c>
      <c r="E2143" s="22">
        <f ca="1">IFERROR(__xludf.DUMMYFUNCTION("""COMPUTED_VALUE"""),500000)</f>
        <v>500000</v>
      </c>
      <c r="F2143" s="22">
        <f ca="1">IFERROR(__xludf.DUMMYFUNCTION("""COMPUTED_VALUE"""),500000)</f>
        <v>500000</v>
      </c>
      <c r="G2143" s="22">
        <f ca="1">IFERROR(__xludf.DUMMYFUNCTION("""COMPUTED_VALUE"""),0)</f>
        <v>0</v>
      </c>
      <c r="H2143" s="7">
        <f ca="1">IFERROR(__xludf.DUMMYFUNCTION("""COMPUTED_VALUE"""),500000)</f>
        <v>500000</v>
      </c>
    </row>
    <row r="2144" spans="1:8" ht="13" x14ac:dyDescent="0.15">
      <c r="A2144" s="5" t="str">
        <f ca="1">IFERROR(__xludf.DUMMYFUNCTION("""COMPUTED_VALUE"""),"39815")</f>
        <v>39815</v>
      </c>
      <c r="B2144" s="51">
        <f ca="1">IFERROR(__xludf.DUMMYFUNCTION("""COMPUTED_VALUE"""),44621)</f>
        <v>44621</v>
      </c>
      <c r="C2144" s="22">
        <f ca="1">IFERROR(__xludf.DUMMYFUNCTION("""COMPUTED_VALUE"""),500000)</f>
        <v>500000</v>
      </c>
      <c r="D2144" s="22">
        <f ca="1">IFERROR(__xludf.DUMMYFUNCTION("""COMPUTED_VALUE"""),0)</f>
        <v>0</v>
      </c>
      <c r="E2144" s="22">
        <f ca="1">IFERROR(__xludf.DUMMYFUNCTION("""COMPUTED_VALUE"""),500000)</f>
        <v>500000</v>
      </c>
      <c r="F2144" s="22">
        <f ca="1">IFERROR(__xludf.DUMMYFUNCTION("""COMPUTED_VALUE"""),500000)</f>
        <v>500000</v>
      </c>
      <c r="G2144" s="22">
        <f ca="1">IFERROR(__xludf.DUMMYFUNCTION("""COMPUTED_VALUE"""),0)</f>
        <v>0</v>
      </c>
      <c r="H2144" s="7">
        <f ca="1">IFERROR(__xludf.DUMMYFUNCTION("""COMPUTED_VALUE"""),500000)</f>
        <v>500000</v>
      </c>
    </row>
    <row r="2145" spans="1:8" ht="13" x14ac:dyDescent="0.15">
      <c r="A2145" s="5" t="str">
        <f ca="1">IFERROR(__xludf.DUMMYFUNCTION("""COMPUTED_VALUE"""),"39815")</f>
        <v>39815</v>
      </c>
      <c r="B2145" s="51">
        <f ca="1">IFERROR(__xludf.DUMMYFUNCTION("""COMPUTED_VALUE"""),44622)</f>
        <v>44622</v>
      </c>
      <c r="C2145" s="22">
        <f ca="1">IFERROR(__xludf.DUMMYFUNCTION("""COMPUTED_VALUE"""),500000)</f>
        <v>500000</v>
      </c>
      <c r="D2145" s="22">
        <f ca="1">IFERROR(__xludf.DUMMYFUNCTION("""COMPUTED_VALUE"""),0)</f>
        <v>0</v>
      </c>
      <c r="E2145" s="22">
        <f ca="1">IFERROR(__xludf.DUMMYFUNCTION("""COMPUTED_VALUE"""),500000)</f>
        <v>500000</v>
      </c>
      <c r="F2145" s="22">
        <f ca="1">IFERROR(__xludf.DUMMYFUNCTION("""COMPUTED_VALUE"""),500000)</f>
        <v>500000</v>
      </c>
      <c r="G2145" s="22">
        <f ca="1">IFERROR(__xludf.DUMMYFUNCTION("""COMPUTED_VALUE"""),0)</f>
        <v>0</v>
      </c>
      <c r="H2145" s="7">
        <f ca="1">IFERROR(__xludf.DUMMYFUNCTION("""COMPUTED_VALUE"""),500000)</f>
        <v>500000</v>
      </c>
    </row>
    <row r="2146" spans="1:8" ht="13" x14ac:dyDescent="0.15">
      <c r="A2146" s="5" t="str">
        <f ca="1">IFERROR(__xludf.DUMMYFUNCTION("""COMPUTED_VALUE"""),"39815")</f>
        <v>39815</v>
      </c>
      <c r="B2146" s="51">
        <f ca="1">IFERROR(__xludf.DUMMYFUNCTION("""COMPUTED_VALUE"""),44623)</f>
        <v>44623</v>
      </c>
      <c r="C2146" s="22">
        <f ca="1">IFERROR(__xludf.DUMMYFUNCTION("""COMPUTED_VALUE"""),500000)</f>
        <v>500000</v>
      </c>
      <c r="D2146" s="22">
        <f ca="1">IFERROR(__xludf.DUMMYFUNCTION("""COMPUTED_VALUE"""),0)</f>
        <v>0</v>
      </c>
      <c r="E2146" s="22">
        <f ca="1">IFERROR(__xludf.DUMMYFUNCTION("""COMPUTED_VALUE"""),500000)</f>
        <v>500000</v>
      </c>
      <c r="F2146" s="22">
        <f ca="1">IFERROR(__xludf.DUMMYFUNCTION("""COMPUTED_VALUE"""),500000)</f>
        <v>500000</v>
      </c>
      <c r="G2146" s="22">
        <f ca="1">IFERROR(__xludf.DUMMYFUNCTION("""COMPUTED_VALUE"""),0)</f>
        <v>0</v>
      </c>
      <c r="H2146" s="7">
        <f ca="1">IFERROR(__xludf.DUMMYFUNCTION("""COMPUTED_VALUE"""),500000)</f>
        <v>500000</v>
      </c>
    </row>
    <row r="2147" spans="1:8" ht="13" x14ac:dyDescent="0.15">
      <c r="A2147" s="5" t="str">
        <f ca="1">IFERROR(__xludf.DUMMYFUNCTION("""COMPUTED_VALUE"""),"39815")</f>
        <v>39815</v>
      </c>
      <c r="B2147" s="51">
        <f ca="1">IFERROR(__xludf.DUMMYFUNCTION("""COMPUTED_VALUE"""),44624)</f>
        <v>44624</v>
      </c>
      <c r="C2147" s="22">
        <f ca="1">IFERROR(__xludf.DUMMYFUNCTION("""COMPUTED_VALUE"""),500000)</f>
        <v>500000</v>
      </c>
      <c r="D2147" s="22">
        <f ca="1">IFERROR(__xludf.DUMMYFUNCTION("""COMPUTED_VALUE"""),0)</f>
        <v>0</v>
      </c>
      <c r="E2147" s="22">
        <f ca="1">IFERROR(__xludf.DUMMYFUNCTION("""COMPUTED_VALUE"""),500000)</f>
        <v>500000</v>
      </c>
      <c r="F2147" s="22">
        <f ca="1">IFERROR(__xludf.DUMMYFUNCTION("""COMPUTED_VALUE"""),500000)</f>
        <v>500000</v>
      </c>
      <c r="G2147" s="22">
        <f ca="1">IFERROR(__xludf.DUMMYFUNCTION("""COMPUTED_VALUE"""),0)</f>
        <v>0</v>
      </c>
      <c r="H2147" s="7">
        <f ca="1">IFERROR(__xludf.DUMMYFUNCTION("""COMPUTED_VALUE"""),500000)</f>
        <v>500000</v>
      </c>
    </row>
    <row r="2148" spans="1:8" ht="13" x14ac:dyDescent="0.15">
      <c r="A2148" s="5" t="str">
        <f ca="1">IFERROR(__xludf.DUMMYFUNCTION("""COMPUTED_VALUE"""),"39815")</f>
        <v>39815</v>
      </c>
      <c r="B2148" s="51">
        <f ca="1">IFERROR(__xludf.DUMMYFUNCTION("""COMPUTED_VALUE"""),44625)</f>
        <v>44625</v>
      </c>
      <c r="C2148" s="22">
        <f ca="1">IFERROR(__xludf.DUMMYFUNCTION("""COMPUTED_VALUE"""),500000)</f>
        <v>500000</v>
      </c>
      <c r="D2148" s="22">
        <f ca="1">IFERROR(__xludf.DUMMYFUNCTION("""COMPUTED_VALUE"""),0)</f>
        <v>0</v>
      </c>
      <c r="E2148" s="22">
        <f ca="1">IFERROR(__xludf.DUMMYFUNCTION("""COMPUTED_VALUE"""),500000)</f>
        <v>500000</v>
      </c>
      <c r="F2148" s="22">
        <f ca="1">IFERROR(__xludf.DUMMYFUNCTION("""COMPUTED_VALUE"""),500000)</f>
        <v>500000</v>
      </c>
      <c r="G2148" s="22">
        <f ca="1">IFERROR(__xludf.DUMMYFUNCTION("""COMPUTED_VALUE"""),0)</f>
        <v>0</v>
      </c>
      <c r="H2148" s="7">
        <f ca="1">IFERROR(__xludf.DUMMYFUNCTION("""COMPUTED_VALUE"""),500000)</f>
        <v>500000</v>
      </c>
    </row>
    <row r="2149" spans="1:8" ht="13" x14ac:dyDescent="0.15">
      <c r="A2149" s="5" t="str">
        <f ca="1">IFERROR(__xludf.DUMMYFUNCTION("""COMPUTED_VALUE"""),"39815")</f>
        <v>39815</v>
      </c>
      <c r="B2149" s="51">
        <f ca="1">IFERROR(__xludf.DUMMYFUNCTION("""COMPUTED_VALUE"""),44626)</f>
        <v>44626</v>
      </c>
      <c r="C2149" s="22">
        <f ca="1">IFERROR(__xludf.DUMMYFUNCTION("""COMPUTED_VALUE"""),500000)</f>
        <v>500000</v>
      </c>
      <c r="D2149" s="22">
        <f ca="1">IFERROR(__xludf.DUMMYFUNCTION("""COMPUTED_VALUE"""),0)</f>
        <v>0</v>
      </c>
      <c r="E2149" s="22">
        <f ca="1">IFERROR(__xludf.DUMMYFUNCTION("""COMPUTED_VALUE"""),500000)</f>
        <v>500000</v>
      </c>
      <c r="F2149" s="22">
        <f ca="1">IFERROR(__xludf.DUMMYFUNCTION("""COMPUTED_VALUE"""),500000)</f>
        <v>500000</v>
      </c>
      <c r="G2149" s="22">
        <f ca="1">IFERROR(__xludf.DUMMYFUNCTION("""COMPUTED_VALUE"""),0)</f>
        <v>0</v>
      </c>
      <c r="H2149" s="7">
        <f ca="1">IFERROR(__xludf.DUMMYFUNCTION("""COMPUTED_VALUE"""),500000)</f>
        <v>500000</v>
      </c>
    </row>
    <row r="2150" spans="1:8" ht="13" x14ac:dyDescent="0.15">
      <c r="A2150" s="5" t="str">
        <f ca="1">IFERROR(__xludf.DUMMYFUNCTION("""COMPUTED_VALUE"""),"39815")</f>
        <v>39815</v>
      </c>
      <c r="B2150" s="51">
        <f ca="1">IFERROR(__xludf.DUMMYFUNCTION("""COMPUTED_VALUE"""),44627)</f>
        <v>44627</v>
      </c>
      <c r="C2150" s="22">
        <f ca="1">IFERROR(__xludf.DUMMYFUNCTION("""COMPUTED_VALUE"""),500000)</f>
        <v>500000</v>
      </c>
      <c r="D2150" s="22">
        <f ca="1">IFERROR(__xludf.DUMMYFUNCTION("""COMPUTED_VALUE"""),0)</f>
        <v>0</v>
      </c>
      <c r="E2150" s="22">
        <f ca="1">IFERROR(__xludf.DUMMYFUNCTION("""COMPUTED_VALUE"""),500000)</f>
        <v>500000</v>
      </c>
      <c r="F2150" s="22">
        <f ca="1">IFERROR(__xludf.DUMMYFUNCTION("""COMPUTED_VALUE"""),500000)</f>
        <v>500000</v>
      </c>
      <c r="G2150" s="22">
        <f ca="1">IFERROR(__xludf.DUMMYFUNCTION("""COMPUTED_VALUE"""),0)</f>
        <v>0</v>
      </c>
      <c r="H2150" s="7">
        <f ca="1">IFERROR(__xludf.DUMMYFUNCTION("""COMPUTED_VALUE"""),500000)</f>
        <v>500000</v>
      </c>
    </row>
    <row r="2151" spans="1:8" ht="13" x14ac:dyDescent="0.15">
      <c r="A2151" s="5" t="str">
        <f ca="1">IFERROR(__xludf.DUMMYFUNCTION("""COMPUTED_VALUE"""),"39815")</f>
        <v>39815</v>
      </c>
      <c r="B2151" s="51">
        <f ca="1">IFERROR(__xludf.DUMMYFUNCTION("""COMPUTED_VALUE"""),44628)</f>
        <v>44628</v>
      </c>
      <c r="C2151" s="22">
        <f ca="1">IFERROR(__xludf.DUMMYFUNCTION("""COMPUTED_VALUE"""),500000)</f>
        <v>500000</v>
      </c>
      <c r="D2151" s="22">
        <f ca="1">IFERROR(__xludf.DUMMYFUNCTION("""COMPUTED_VALUE"""),0)</f>
        <v>0</v>
      </c>
      <c r="E2151" s="22">
        <f ca="1">IFERROR(__xludf.DUMMYFUNCTION("""COMPUTED_VALUE"""),500000)</f>
        <v>500000</v>
      </c>
      <c r="F2151" s="22">
        <f ca="1">IFERROR(__xludf.DUMMYFUNCTION("""COMPUTED_VALUE"""),500000)</f>
        <v>500000</v>
      </c>
      <c r="G2151" s="22">
        <f ca="1">IFERROR(__xludf.DUMMYFUNCTION("""COMPUTED_VALUE"""),0)</f>
        <v>0</v>
      </c>
      <c r="H2151" s="7">
        <f ca="1">IFERROR(__xludf.DUMMYFUNCTION("""COMPUTED_VALUE"""),500000)</f>
        <v>500000</v>
      </c>
    </row>
    <row r="2152" spans="1:8" ht="13" x14ac:dyDescent="0.15">
      <c r="A2152" s="5" t="str">
        <f ca="1">IFERROR(__xludf.DUMMYFUNCTION("""COMPUTED_VALUE"""),"39815")</f>
        <v>39815</v>
      </c>
      <c r="B2152" s="51">
        <f ca="1">IFERROR(__xludf.DUMMYFUNCTION("""COMPUTED_VALUE"""),44629)</f>
        <v>44629</v>
      </c>
      <c r="C2152" s="22">
        <f ca="1">IFERROR(__xludf.DUMMYFUNCTION("""COMPUTED_VALUE"""),500000)</f>
        <v>500000</v>
      </c>
      <c r="D2152" s="22">
        <f ca="1">IFERROR(__xludf.DUMMYFUNCTION("""COMPUTED_VALUE"""),0)</f>
        <v>0</v>
      </c>
      <c r="E2152" s="22">
        <f ca="1">IFERROR(__xludf.DUMMYFUNCTION("""COMPUTED_VALUE"""),500000)</f>
        <v>500000</v>
      </c>
      <c r="F2152" s="22">
        <f ca="1">IFERROR(__xludf.DUMMYFUNCTION("""COMPUTED_VALUE"""),500000)</f>
        <v>500000</v>
      </c>
      <c r="G2152" s="22">
        <f ca="1">IFERROR(__xludf.DUMMYFUNCTION("""COMPUTED_VALUE"""),0)</f>
        <v>0</v>
      </c>
      <c r="H2152" s="7">
        <f ca="1">IFERROR(__xludf.DUMMYFUNCTION("""COMPUTED_VALUE"""),500000)</f>
        <v>500000</v>
      </c>
    </row>
    <row r="2153" spans="1:8" ht="13" x14ac:dyDescent="0.15">
      <c r="A2153" s="5" t="str">
        <f ca="1">IFERROR(__xludf.DUMMYFUNCTION("""COMPUTED_VALUE"""),"39815")</f>
        <v>39815</v>
      </c>
      <c r="B2153" s="51">
        <f ca="1">IFERROR(__xludf.DUMMYFUNCTION("""COMPUTED_VALUE"""),44630)</f>
        <v>44630</v>
      </c>
      <c r="C2153" s="22">
        <f ca="1">IFERROR(__xludf.DUMMYFUNCTION("""COMPUTED_VALUE"""),500000)</f>
        <v>500000</v>
      </c>
      <c r="D2153" s="22">
        <f ca="1">IFERROR(__xludf.DUMMYFUNCTION("""COMPUTED_VALUE"""),0)</f>
        <v>0</v>
      </c>
      <c r="E2153" s="22">
        <f ca="1">IFERROR(__xludf.DUMMYFUNCTION("""COMPUTED_VALUE"""),500000)</f>
        <v>500000</v>
      </c>
      <c r="F2153" s="22">
        <f ca="1">IFERROR(__xludf.DUMMYFUNCTION("""COMPUTED_VALUE"""),500000)</f>
        <v>500000</v>
      </c>
      <c r="G2153" s="22">
        <f ca="1">IFERROR(__xludf.DUMMYFUNCTION("""COMPUTED_VALUE"""),0)</f>
        <v>0</v>
      </c>
      <c r="H2153" s="7">
        <f ca="1">IFERROR(__xludf.DUMMYFUNCTION("""COMPUTED_VALUE"""),500000)</f>
        <v>500000</v>
      </c>
    </row>
    <row r="2154" spans="1:8" ht="13" x14ac:dyDescent="0.15">
      <c r="A2154" s="5" t="str">
        <f ca="1">IFERROR(__xludf.DUMMYFUNCTION("""COMPUTED_VALUE"""),"39815")</f>
        <v>39815</v>
      </c>
      <c r="B2154" s="51">
        <f ca="1">IFERROR(__xludf.DUMMYFUNCTION("""COMPUTED_VALUE"""),44631)</f>
        <v>44631</v>
      </c>
      <c r="C2154" s="22">
        <f ca="1">IFERROR(__xludf.DUMMYFUNCTION("""COMPUTED_VALUE"""),500000)</f>
        <v>500000</v>
      </c>
      <c r="D2154" s="22">
        <f ca="1">IFERROR(__xludf.DUMMYFUNCTION("""COMPUTED_VALUE"""),0)</f>
        <v>0</v>
      </c>
      <c r="E2154" s="22">
        <f ca="1">IFERROR(__xludf.DUMMYFUNCTION("""COMPUTED_VALUE"""),500000)</f>
        <v>500000</v>
      </c>
      <c r="F2154" s="22">
        <f ca="1">IFERROR(__xludf.DUMMYFUNCTION("""COMPUTED_VALUE"""),500000)</f>
        <v>500000</v>
      </c>
      <c r="G2154" s="22">
        <f ca="1">IFERROR(__xludf.DUMMYFUNCTION("""COMPUTED_VALUE"""),0)</f>
        <v>0</v>
      </c>
      <c r="H2154" s="7">
        <f ca="1">IFERROR(__xludf.DUMMYFUNCTION("""COMPUTED_VALUE"""),500000)</f>
        <v>500000</v>
      </c>
    </row>
    <row r="2155" spans="1:8" ht="13" x14ac:dyDescent="0.15">
      <c r="A2155" s="5" t="str">
        <f ca="1">IFERROR(__xludf.DUMMYFUNCTION("""COMPUTED_VALUE"""),"39815")</f>
        <v>39815</v>
      </c>
      <c r="B2155" s="51">
        <f ca="1">IFERROR(__xludf.DUMMYFUNCTION("""COMPUTED_VALUE"""),44632)</f>
        <v>44632</v>
      </c>
      <c r="C2155" s="22">
        <f ca="1">IFERROR(__xludf.DUMMYFUNCTION("""COMPUTED_VALUE"""),500000)</f>
        <v>500000</v>
      </c>
      <c r="D2155" s="22">
        <f ca="1">IFERROR(__xludf.DUMMYFUNCTION("""COMPUTED_VALUE"""),0)</f>
        <v>0</v>
      </c>
      <c r="E2155" s="22">
        <f ca="1">IFERROR(__xludf.DUMMYFUNCTION("""COMPUTED_VALUE"""),500000)</f>
        <v>500000</v>
      </c>
      <c r="F2155" s="22">
        <f ca="1">IFERROR(__xludf.DUMMYFUNCTION("""COMPUTED_VALUE"""),500000)</f>
        <v>500000</v>
      </c>
      <c r="G2155" s="22">
        <f ca="1">IFERROR(__xludf.DUMMYFUNCTION("""COMPUTED_VALUE"""),0)</f>
        <v>0</v>
      </c>
      <c r="H2155" s="7">
        <f ca="1">IFERROR(__xludf.DUMMYFUNCTION("""COMPUTED_VALUE"""),500000)</f>
        <v>500000</v>
      </c>
    </row>
    <row r="2156" spans="1:8" ht="13" x14ac:dyDescent="0.15">
      <c r="A2156" s="5" t="str">
        <f ca="1">IFERROR(__xludf.DUMMYFUNCTION("""COMPUTED_VALUE"""),"39815")</f>
        <v>39815</v>
      </c>
      <c r="B2156" s="51">
        <f ca="1">IFERROR(__xludf.DUMMYFUNCTION("""COMPUTED_VALUE"""),44633)</f>
        <v>44633</v>
      </c>
      <c r="C2156" s="22">
        <f ca="1">IFERROR(__xludf.DUMMYFUNCTION("""COMPUTED_VALUE"""),500000)</f>
        <v>500000</v>
      </c>
      <c r="D2156" s="22">
        <f ca="1">IFERROR(__xludf.DUMMYFUNCTION("""COMPUTED_VALUE"""),0)</f>
        <v>0</v>
      </c>
      <c r="E2156" s="22">
        <f ca="1">IFERROR(__xludf.DUMMYFUNCTION("""COMPUTED_VALUE"""),500000)</f>
        <v>500000</v>
      </c>
      <c r="F2156" s="22">
        <f ca="1">IFERROR(__xludf.DUMMYFUNCTION("""COMPUTED_VALUE"""),500000)</f>
        <v>500000</v>
      </c>
      <c r="G2156" s="22">
        <f ca="1">IFERROR(__xludf.DUMMYFUNCTION("""COMPUTED_VALUE"""),0)</f>
        <v>0</v>
      </c>
      <c r="H2156" s="7">
        <f ca="1">IFERROR(__xludf.DUMMYFUNCTION("""COMPUTED_VALUE"""),500000)</f>
        <v>500000</v>
      </c>
    </row>
    <row r="2157" spans="1:8" ht="13" x14ac:dyDescent="0.15">
      <c r="A2157" s="5" t="str">
        <f ca="1">IFERROR(__xludf.DUMMYFUNCTION("""COMPUTED_VALUE"""),"39815")</f>
        <v>39815</v>
      </c>
      <c r="B2157" s="51">
        <f ca="1">IFERROR(__xludf.DUMMYFUNCTION("""COMPUTED_VALUE"""),44634)</f>
        <v>44634</v>
      </c>
      <c r="C2157" s="22">
        <f ca="1">IFERROR(__xludf.DUMMYFUNCTION("""COMPUTED_VALUE"""),500000)</f>
        <v>500000</v>
      </c>
      <c r="D2157" s="22">
        <f ca="1">IFERROR(__xludf.DUMMYFUNCTION("""COMPUTED_VALUE"""),0)</f>
        <v>0</v>
      </c>
      <c r="E2157" s="22">
        <f ca="1">IFERROR(__xludf.DUMMYFUNCTION("""COMPUTED_VALUE"""),500000)</f>
        <v>500000</v>
      </c>
      <c r="F2157" s="22">
        <f ca="1">IFERROR(__xludf.DUMMYFUNCTION("""COMPUTED_VALUE"""),500000)</f>
        <v>500000</v>
      </c>
      <c r="G2157" s="22">
        <f ca="1">IFERROR(__xludf.DUMMYFUNCTION("""COMPUTED_VALUE"""),0)</f>
        <v>0</v>
      </c>
      <c r="H2157" s="7">
        <f ca="1">IFERROR(__xludf.DUMMYFUNCTION("""COMPUTED_VALUE"""),500000)</f>
        <v>500000</v>
      </c>
    </row>
    <row r="2158" spans="1:8" ht="13" x14ac:dyDescent="0.15">
      <c r="A2158" s="5" t="str">
        <f ca="1">IFERROR(__xludf.DUMMYFUNCTION("""COMPUTED_VALUE"""),"39815")</f>
        <v>39815</v>
      </c>
      <c r="B2158" s="51">
        <f ca="1">IFERROR(__xludf.DUMMYFUNCTION("""COMPUTED_VALUE"""),44635)</f>
        <v>44635</v>
      </c>
      <c r="C2158" s="22">
        <f ca="1">IFERROR(__xludf.DUMMYFUNCTION("""COMPUTED_VALUE"""),500000)</f>
        <v>500000</v>
      </c>
      <c r="D2158" s="22">
        <f ca="1">IFERROR(__xludf.DUMMYFUNCTION("""COMPUTED_VALUE"""),0)</f>
        <v>0</v>
      </c>
      <c r="E2158" s="22">
        <f ca="1">IFERROR(__xludf.DUMMYFUNCTION("""COMPUTED_VALUE"""),500000)</f>
        <v>500000</v>
      </c>
      <c r="F2158" s="22">
        <f ca="1">IFERROR(__xludf.DUMMYFUNCTION("""COMPUTED_VALUE"""),500000)</f>
        <v>500000</v>
      </c>
      <c r="G2158" s="22">
        <f ca="1">IFERROR(__xludf.DUMMYFUNCTION("""COMPUTED_VALUE"""),0)</f>
        <v>0</v>
      </c>
      <c r="H2158" s="7">
        <f ca="1">IFERROR(__xludf.DUMMYFUNCTION("""COMPUTED_VALUE"""),500000)</f>
        <v>500000</v>
      </c>
    </row>
    <row r="2159" spans="1:8" ht="13" x14ac:dyDescent="0.15">
      <c r="A2159" s="5" t="str">
        <f ca="1">IFERROR(__xludf.DUMMYFUNCTION("""COMPUTED_VALUE"""),"39815")</f>
        <v>39815</v>
      </c>
      <c r="B2159" s="51">
        <f ca="1">IFERROR(__xludf.DUMMYFUNCTION("""COMPUTED_VALUE"""),44636)</f>
        <v>44636</v>
      </c>
      <c r="C2159" s="22">
        <f ca="1">IFERROR(__xludf.DUMMYFUNCTION("""COMPUTED_VALUE"""),500000)</f>
        <v>500000</v>
      </c>
      <c r="D2159" s="22">
        <f ca="1">IFERROR(__xludf.DUMMYFUNCTION("""COMPUTED_VALUE"""),0)</f>
        <v>0</v>
      </c>
      <c r="E2159" s="22">
        <f ca="1">IFERROR(__xludf.DUMMYFUNCTION("""COMPUTED_VALUE"""),500000)</f>
        <v>500000</v>
      </c>
      <c r="F2159" s="22">
        <f ca="1">IFERROR(__xludf.DUMMYFUNCTION("""COMPUTED_VALUE"""),500000)</f>
        <v>500000</v>
      </c>
      <c r="G2159" s="22">
        <f ca="1">IFERROR(__xludf.DUMMYFUNCTION("""COMPUTED_VALUE"""),0)</f>
        <v>0</v>
      </c>
      <c r="H2159" s="7">
        <f ca="1">IFERROR(__xludf.DUMMYFUNCTION("""COMPUTED_VALUE"""),500000)</f>
        <v>500000</v>
      </c>
    </row>
    <row r="2160" spans="1:8" ht="13" x14ac:dyDescent="0.15">
      <c r="A2160" s="5" t="str">
        <f ca="1">IFERROR(__xludf.DUMMYFUNCTION("""COMPUTED_VALUE"""),"39815")</f>
        <v>39815</v>
      </c>
      <c r="B2160" s="51">
        <f ca="1">IFERROR(__xludf.DUMMYFUNCTION("""COMPUTED_VALUE"""),44637)</f>
        <v>44637</v>
      </c>
      <c r="C2160" s="22">
        <f ca="1">IFERROR(__xludf.DUMMYFUNCTION("""COMPUTED_VALUE"""),500000)</f>
        <v>500000</v>
      </c>
      <c r="D2160" s="22">
        <f ca="1">IFERROR(__xludf.DUMMYFUNCTION("""COMPUTED_VALUE"""),0)</f>
        <v>0</v>
      </c>
      <c r="E2160" s="22">
        <f ca="1">IFERROR(__xludf.DUMMYFUNCTION("""COMPUTED_VALUE"""),500000)</f>
        <v>500000</v>
      </c>
      <c r="F2160" s="22">
        <f ca="1">IFERROR(__xludf.DUMMYFUNCTION("""COMPUTED_VALUE"""),500000)</f>
        <v>500000</v>
      </c>
      <c r="G2160" s="22">
        <f ca="1">IFERROR(__xludf.DUMMYFUNCTION("""COMPUTED_VALUE"""),0)</f>
        <v>0</v>
      </c>
      <c r="H2160" s="7">
        <f ca="1">IFERROR(__xludf.DUMMYFUNCTION("""COMPUTED_VALUE"""),500000)</f>
        <v>500000</v>
      </c>
    </row>
    <row r="2161" spans="1:8" ht="13" x14ac:dyDescent="0.15">
      <c r="A2161" s="5" t="str">
        <f ca="1">IFERROR(__xludf.DUMMYFUNCTION("""COMPUTED_VALUE"""),"39815")</f>
        <v>39815</v>
      </c>
      <c r="B2161" s="51">
        <f ca="1">IFERROR(__xludf.DUMMYFUNCTION("""COMPUTED_VALUE"""),44638)</f>
        <v>44638</v>
      </c>
      <c r="C2161" s="22">
        <f ca="1">IFERROR(__xludf.DUMMYFUNCTION("""COMPUTED_VALUE"""),500000)</f>
        <v>500000</v>
      </c>
      <c r="D2161" s="22">
        <f ca="1">IFERROR(__xludf.DUMMYFUNCTION("""COMPUTED_VALUE"""),0)</f>
        <v>0</v>
      </c>
      <c r="E2161" s="22">
        <f ca="1">IFERROR(__xludf.DUMMYFUNCTION("""COMPUTED_VALUE"""),500000)</f>
        <v>500000</v>
      </c>
      <c r="F2161" s="22">
        <f ca="1">IFERROR(__xludf.DUMMYFUNCTION("""COMPUTED_VALUE"""),500000)</f>
        <v>500000</v>
      </c>
      <c r="G2161" s="22">
        <f ca="1">IFERROR(__xludf.DUMMYFUNCTION("""COMPUTED_VALUE"""),0)</f>
        <v>0</v>
      </c>
      <c r="H2161" s="7">
        <f ca="1">IFERROR(__xludf.DUMMYFUNCTION("""COMPUTED_VALUE"""),500000)</f>
        <v>500000</v>
      </c>
    </row>
    <row r="2162" spans="1:8" ht="13" x14ac:dyDescent="0.15">
      <c r="A2162" s="5" t="str">
        <f ca="1">IFERROR(__xludf.DUMMYFUNCTION("""COMPUTED_VALUE"""),"39815")</f>
        <v>39815</v>
      </c>
      <c r="B2162" s="51">
        <f ca="1">IFERROR(__xludf.DUMMYFUNCTION("""COMPUTED_VALUE"""),44639)</f>
        <v>44639</v>
      </c>
      <c r="C2162" s="22">
        <f ca="1">IFERROR(__xludf.DUMMYFUNCTION("""COMPUTED_VALUE"""),500000)</f>
        <v>500000</v>
      </c>
      <c r="D2162" s="22">
        <f ca="1">IFERROR(__xludf.DUMMYFUNCTION("""COMPUTED_VALUE"""),0)</f>
        <v>0</v>
      </c>
      <c r="E2162" s="22">
        <f ca="1">IFERROR(__xludf.DUMMYFUNCTION("""COMPUTED_VALUE"""),500000)</f>
        <v>500000</v>
      </c>
      <c r="F2162" s="22">
        <f ca="1">IFERROR(__xludf.DUMMYFUNCTION("""COMPUTED_VALUE"""),500000)</f>
        <v>500000</v>
      </c>
      <c r="G2162" s="22">
        <f ca="1">IFERROR(__xludf.DUMMYFUNCTION("""COMPUTED_VALUE"""),0)</f>
        <v>0</v>
      </c>
      <c r="H2162" s="7">
        <f ca="1">IFERROR(__xludf.DUMMYFUNCTION("""COMPUTED_VALUE"""),500000)</f>
        <v>500000</v>
      </c>
    </row>
    <row r="2163" spans="1:8" ht="13" x14ac:dyDescent="0.15">
      <c r="A2163" s="5" t="str">
        <f ca="1">IFERROR(__xludf.DUMMYFUNCTION("""COMPUTED_VALUE"""),"39815")</f>
        <v>39815</v>
      </c>
      <c r="B2163" s="51">
        <f ca="1">IFERROR(__xludf.DUMMYFUNCTION("""COMPUTED_VALUE"""),44640)</f>
        <v>44640</v>
      </c>
      <c r="C2163" s="22">
        <f ca="1">IFERROR(__xludf.DUMMYFUNCTION("""COMPUTED_VALUE"""),500000)</f>
        <v>500000</v>
      </c>
      <c r="D2163" s="22">
        <f ca="1">IFERROR(__xludf.DUMMYFUNCTION("""COMPUTED_VALUE"""),0)</f>
        <v>0</v>
      </c>
      <c r="E2163" s="22">
        <f ca="1">IFERROR(__xludf.DUMMYFUNCTION("""COMPUTED_VALUE"""),500000)</f>
        <v>500000</v>
      </c>
      <c r="F2163" s="22">
        <f ca="1">IFERROR(__xludf.DUMMYFUNCTION("""COMPUTED_VALUE"""),500000)</f>
        <v>500000</v>
      </c>
      <c r="G2163" s="22">
        <f ca="1">IFERROR(__xludf.DUMMYFUNCTION("""COMPUTED_VALUE"""),0)</f>
        <v>0</v>
      </c>
      <c r="H2163" s="7">
        <f ca="1">IFERROR(__xludf.DUMMYFUNCTION("""COMPUTED_VALUE"""),500000)</f>
        <v>500000</v>
      </c>
    </row>
    <row r="2164" spans="1:8" ht="13" x14ac:dyDescent="0.15">
      <c r="A2164" s="5" t="str">
        <f ca="1">IFERROR(__xludf.DUMMYFUNCTION("""COMPUTED_VALUE"""),"39815")</f>
        <v>39815</v>
      </c>
      <c r="B2164" s="51">
        <f ca="1">IFERROR(__xludf.DUMMYFUNCTION("""COMPUTED_VALUE"""),44641)</f>
        <v>44641</v>
      </c>
      <c r="C2164" s="22">
        <f ca="1">IFERROR(__xludf.DUMMYFUNCTION("""COMPUTED_VALUE"""),500000)</f>
        <v>500000</v>
      </c>
      <c r="D2164" s="22">
        <f ca="1">IFERROR(__xludf.DUMMYFUNCTION("""COMPUTED_VALUE"""),0)</f>
        <v>0</v>
      </c>
      <c r="E2164" s="22">
        <f ca="1">IFERROR(__xludf.DUMMYFUNCTION("""COMPUTED_VALUE"""),500000)</f>
        <v>500000</v>
      </c>
      <c r="F2164" s="22">
        <f ca="1">IFERROR(__xludf.DUMMYFUNCTION("""COMPUTED_VALUE"""),500000)</f>
        <v>500000</v>
      </c>
      <c r="G2164" s="22">
        <f ca="1">IFERROR(__xludf.DUMMYFUNCTION("""COMPUTED_VALUE"""),0)</f>
        <v>0</v>
      </c>
      <c r="H2164" s="7">
        <f ca="1">IFERROR(__xludf.DUMMYFUNCTION("""COMPUTED_VALUE"""),500000)</f>
        <v>500000</v>
      </c>
    </row>
    <row r="2165" spans="1:8" ht="13" x14ac:dyDescent="0.15">
      <c r="A2165" s="5" t="str">
        <f ca="1">IFERROR(__xludf.DUMMYFUNCTION("""COMPUTED_VALUE"""),"39815")</f>
        <v>39815</v>
      </c>
      <c r="B2165" s="51">
        <f ca="1">IFERROR(__xludf.DUMMYFUNCTION("""COMPUTED_VALUE"""),44642)</f>
        <v>44642</v>
      </c>
      <c r="C2165" s="22">
        <f ca="1">IFERROR(__xludf.DUMMYFUNCTION("""COMPUTED_VALUE"""),500000)</f>
        <v>500000</v>
      </c>
      <c r="D2165" s="22">
        <f ca="1">IFERROR(__xludf.DUMMYFUNCTION("""COMPUTED_VALUE"""),0)</f>
        <v>0</v>
      </c>
      <c r="E2165" s="22">
        <f ca="1">IFERROR(__xludf.DUMMYFUNCTION("""COMPUTED_VALUE"""),500000)</f>
        <v>500000</v>
      </c>
      <c r="F2165" s="22">
        <f ca="1">IFERROR(__xludf.DUMMYFUNCTION("""COMPUTED_VALUE"""),500000)</f>
        <v>500000</v>
      </c>
      <c r="G2165" s="22">
        <f ca="1">IFERROR(__xludf.DUMMYFUNCTION("""COMPUTED_VALUE"""),0)</f>
        <v>0</v>
      </c>
      <c r="H2165" s="7">
        <f ca="1">IFERROR(__xludf.DUMMYFUNCTION("""COMPUTED_VALUE"""),500000)</f>
        <v>500000</v>
      </c>
    </row>
    <row r="2166" spans="1:8" ht="13" x14ac:dyDescent="0.15">
      <c r="A2166" s="5" t="str">
        <f ca="1">IFERROR(__xludf.DUMMYFUNCTION("""COMPUTED_VALUE"""),"39857")</f>
        <v>39857</v>
      </c>
      <c r="B2166" s="51">
        <f ca="1">IFERROR(__xludf.DUMMYFUNCTION("""COMPUTED_VALUE"""),44597)</f>
        <v>44597</v>
      </c>
      <c r="C2166" s="22">
        <f ca="1">IFERROR(__xludf.DUMMYFUNCTION("""COMPUTED_VALUE"""),500000)</f>
        <v>500000</v>
      </c>
      <c r="D2166" s="22">
        <f ca="1">IFERROR(__xludf.DUMMYFUNCTION("""COMPUTED_VALUE"""),0)</f>
        <v>0</v>
      </c>
      <c r="E2166" s="22">
        <f ca="1">IFERROR(__xludf.DUMMYFUNCTION("""COMPUTED_VALUE"""),500000)</f>
        <v>500000</v>
      </c>
      <c r="F2166" s="22">
        <f ca="1">IFERROR(__xludf.DUMMYFUNCTION("""COMPUTED_VALUE"""),500000)</f>
        <v>500000</v>
      </c>
      <c r="G2166" s="22">
        <f ca="1">IFERROR(__xludf.DUMMYFUNCTION("""COMPUTED_VALUE"""),0)</f>
        <v>0</v>
      </c>
      <c r="H2166" s="7">
        <f ca="1">IFERROR(__xludf.DUMMYFUNCTION("""COMPUTED_VALUE"""),500000)</f>
        <v>500000</v>
      </c>
    </row>
    <row r="2167" spans="1:8" ht="13" x14ac:dyDescent="0.15">
      <c r="A2167" s="5" t="str">
        <f ca="1">IFERROR(__xludf.DUMMYFUNCTION("""COMPUTED_VALUE"""),"39857")</f>
        <v>39857</v>
      </c>
      <c r="B2167" s="51">
        <f ca="1">IFERROR(__xludf.DUMMYFUNCTION("""COMPUTED_VALUE"""),44598)</f>
        <v>44598</v>
      </c>
      <c r="C2167" s="22">
        <f ca="1">IFERROR(__xludf.DUMMYFUNCTION("""COMPUTED_VALUE"""),500000)</f>
        <v>500000</v>
      </c>
      <c r="D2167" s="22">
        <f ca="1">IFERROR(__xludf.DUMMYFUNCTION("""COMPUTED_VALUE"""),0)</f>
        <v>0</v>
      </c>
      <c r="E2167" s="22">
        <f ca="1">IFERROR(__xludf.DUMMYFUNCTION("""COMPUTED_VALUE"""),500000)</f>
        <v>500000</v>
      </c>
      <c r="F2167" s="22">
        <f ca="1">IFERROR(__xludf.DUMMYFUNCTION("""COMPUTED_VALUE"""),500000)</f>
        <v>500000</v>
      </c>
      <c r="G2167" s="22">
        <f ca="1">IFERROR(__xludf.DUMMYFUNCTION("""COMPUTED_VALUE"""),0)</f>
        <v>0</v>
      </c>
      <c r="H2167" s="7">
        <f ca="1">IFERROR(__xludf.DUMMYFUNCTION("""COMPUTED_VALUE"""),500000)</f>
        <v>500000</v>
      </c>
    </row>
    <row r="2168" spans="1:8" ht="13" x14ac:dyDescent="0.15">
      <c r="A2168" s="5" t="str">
        <f ca="1">IFERROR(__xludf.DUMMYFUNCTION("""COMPUTED_VALUE"""),"39857")</f>
        <v>39857</v>
      </c>
      <c r="B2168" s="51">
        <f ca="1">IFERROR(__xludf.DUMMYFUNCTION("""COMPUTED_VALUE"""),44599)</f>
        <v>44599</v>
      </c>
      <c r="C2168" s="22">
        <f ca="1">IFERROR(__xludf.DUMMYFUNCTION("""COMPUTED_VALUE"""),500000)</f>
        <v>500000</v>
      </c>
      <c r="D2168" s="22">
        <f ca="1">IFERROR(__xludf.DUMMYFUNCTION("""COMPUTED_VALUE"""),0)</f>
        <v>0</v>
      </c>
      <c r="E2168" s="22">
        <f ca="1">IFERROR(__xludf.DUMMYFUNCTION("""COMPUTED_VALUE"""),500000)</f>
        <v>500000</v>
      </c>
      <c r="F2168" s="22">
        <f ca="1">IFERROR(__xludf.DUMMYFUNCTION("""COMPUTED_VALUE"""),500000)</f>
        <v>500000</v>
      </c>
      <c r="G2168" s="22">
        <f ca="1">IFERROR(__xludf.DUMMYFUNCTION("""COMPUTED_VALUE"""),0)</f>
        <v>0</v>
      </c>
      <c r="H2168" s="7">
        <f ca="1">IFERROR(__xludf.DUMMYFUNCTION("""COMPUTED_VALUE"""),500000)</f>
        <v>500000</v>
      </c>
    </row>
    <row r="2169" spans="1:8" ht="13" x14ac:dyDescent="0.15">
      <c r="A2169" s="5" t="str">
        <f ca="1">IFERROR(__xludf.DUMMYFUNCTION("""COMPUTED_VALUE"""),"39857")</f>
        <v>39857</v>
      </c>
      <c r="B2169" s="51">
        <f ca="1">IFERROR(__xludf.DUMMYFUNCTION("""COMPUTED_VALUE"""),44600)</f>
        <v>44600</v>
      </c>
      <c r="C2169" s="22">
        <f ca="1">IFERROR(__xludf.DUMMYFUNCTION("""COMPUTED_VALUE"""),500000)</f>
        <v>500000</v>
      </c>
      <c r="D2169" s="22">
        <f ca="1">IFERROR(__xludf.DUMMYFUNCTION("""COMPUTED_VALUE"""),0)</f>
        <v>0</v>
      </c>
      <c r="E2169" s="22">
        <f ca="1">IFERROR(__xludf.DUMMYFUNCTION("""COMPUTED_VALUE"""),500000)</f>
        <v>500000</v>
      </c>
      <c r="F2169" s="22">
        <f ca="1">IFERROR(__xludf.DUMMYFUNCTION("""COMPUTED_VALUE"""),500000)</f>
        <v>500000</v>
      </c>
      <c r="G2169" s="22">
        <f ca="1">IFERROR(__xludf.DUMMYFUNCTION("""COMPUTED_VALUE"""),0)</f>
        <v>0</v>
      </c>
      <c r="H2169" s="7">
        <f ca="1">IFERROR(__xludf.DUMMYFUNCTION("""COMPUTED_VALUE"""),500000)</f>
        <v>500000</v>
      </c>
    </row>
    <row r="2170" spans="1:8" ht="13" x14ac:dyDescent="0.15">
      <c r="A2170" s="5" t="str">
        <f ca="1">IFERROR(__xludf.DUMMYFUNCTION("""COMPUTED_VALUE"""),"39857")</f>
        <v>39857</v>
      </c>
      <c r="B2170" s="51">
        <f ca="1">IFERROR(__xludf.DUMMYFUNCTION("""COMPUTED_VALUE"""),44601)</f>
        <v>44601</v>
      </c>
      <c r="C2170" s="22">
        <f ca="1">IFERROR(__xludf.DUMMYFUNCTION("""COMPUTED_VALUE"""),500000)</f>
        <v>500000</v>
      </c>
      <c r="D2170" s="22">
        <f ca="1">IFERROR(__xludf.DUMMYFUNCTION("""COMPUTED_VALUE"""),0)</f>
        <v>0</v>
      </c>
      <c r="E2170" s="22">
        <f ca="1">IFERROR(__xludf.DUMMYFUNCTION("""COMPUTED_VALUE"""),500000)</f>
        <v>500000</v>
      </c>
      <c r="F2170" s="22">
        <f ca="1">IFERROR(__xludf.DUMMYFUNCTION("""COMPUTED_VALUE"""),500000)</f>
        <v>500000</v>
      </c>
      <c r="G2170" s="22">
        <f ca="1">IFERROR(__xludf.DUMMYFUNCTION("""COMPUTED_VALUE"""),0)</f>
        <v>0</v>
      </c>
      <c r="H2170" s="7">
        <f ca="1">IFERROR(__xludf.DUMMYFUNCTION("""COMPUTED_VALUE"""),500000)</f>
        <v>500000</v>
      </c>
    </row>
    <row r="2171" spans="1:8" ht="13" x14ac:dyDescent="0.15">
      <c r="A2171" s="5" t="str">
        <f ca="1">IFERROR(__xludf.DUMMYFUNCTION("""COMPUTED_VALUE"""),"39857")</f>
        <v>39857</v>
      </c>
      <c r="B2171" s="51">
        <f ca="1">IFERROR(__xludf.DUMMYFUNCTION("""COMPUTED_VALUE"""),44602)</f>
        <v>44602</v>
      </c>
      <c r="C2171" s="22">
        <f ca="1">IFERROR(__xludf.DUMMYFUNCTION("""COMPUTED_VALUE"""),500000)</f>
        <v>500000</v>
      </c>
      <c r="D2171" s="22">
        <f ca="1">IFERROR(__xludf.DUMMYFUNCTION("""COMPUTED_VALUE"""),0)</f>
        <v>0</v>
      </c>
      <c r="E2171" s="22">
        <f ca="1">IFERROR(__xludf.DUMMYFUNCTION("""COMPUTED_VALUE"""),500000)</f>
        <v>500000</v>
      </c>
      <c r="F2171" s="22">
        <f ca="1">IFERROR(__xludf.DUMMYFUNCTION("""COMPUTED_VALUE"""),500000)</f>
        <v>500000</v>
      </c>
      <c r="G2171" s="22">
        <f ca="1">IFERROR(__xludf.DUMMYFUNCTION("""COMPUTED_VALUE"""),0)</f>
        <v>0</v>
      </c>
      <c r="H2171" s="7">
        <f ca="1">IFERROR(__xludf.DUMMYFUNCTION("""COMPUTED_VALUE"""),500000)</f>
        <v>500000</v>
      </c>
    </row>
    <row r="2172" spans="1:8" ht="13" x14ac:dyDescent="0.15">
      <c r="A2172" s="5" t="str">
        <f ca="1">IFERROR(__xludf.DUMMYFUNCTION("""COMPUTED_VALUE"""),"39857")</f>
        <v>39857</v>
      </c>
      <c r="B2172" s="51">
        <f ca="1">IFERROR(__xludf.DUMMYFUNCTION("""COMPUTED_VALUE"""),44603)</f>
        <v>44603</v>
      </c>
      <c r="C2172" s="22">
        <f ca="1">IFERROR(__xludf.DUMMYFUNCTION("""COMPUTED_VALUE"""),500000)</f>
        <v>500000</v>
      </c>
      <c r="D2172" s="22">
        <f ca="1">IFERROR(__xludf.DUMMYFUNCTION("""COMPUTED_VALUE"""),0)</f>
        <v>0</v>
      </c>
      <c r="E2172" s="22">
        <f ca="1">IFERROR(__xludf.DUMMYFUNCTION("""COMPUTED_VALUE"""),500000)</f>
        <v>500000</v>
      </c>
      <c r="F2172" s="22">
        <f ca="1">IFERROR(__xludf.DUMMYFUNCTION("""COMPUTED_VALUE"""),500000)</f>
        <v>500000</v>
      </c>
      <c r="G2172" s="22">
        <f ca="1">IFERROR(__xludf.DUMMYFUNCTION("""COMPUTED_VALUE"""),0)</f>
        <v>0</v>
      </c>
      <c r="H2172" s="7">
        <f ca="1">IFERROR(__xludf.DUMMYFUNCTION("""COMPUTED_VALUE"""),500000)</f>
        <v>500000</v>
      </c>
    </row>
    <row r="2173" spans="1:8" ht="13" x14ac:dyDescent="0.15">
      <c r="A2173" s="5" t="str">
        <f ca="1">IFERROR(__xludf.DUMMYFUNCTION("""COMPUTED_VALUE"""),"39857")</f>
        <v>39857</v>
      </c>
      <c r="B2173" s="51">
        <f ca="1">IFERROR(__xludf.DUMMYFUNCTION("""COMPUTED_VALUE"""),44604)</f>
        <v>44604</v>
      </c>
      <c r="C2173" s="22">
        <f ca="1">IFERROR(__xludf.DUMMYFUNCTION("""COMPUTED_VALUE"""),500000)</f>
        <v>500000</v>
      </c>
      <c r="D2173" s="22">
        <f ca="1">IFERROR(__xludf.DUMMYFUNCTION("""COMPUTED_VALUE"""),0)</f>
        <v>0</v>
      </c>
      <c r="E2173" s="22">
        <f ca="1">IFERROR(__xludf.DUMMYFUNCTION("""COMPUTED_VALUE"""),500000)</f>
        <v>500000</v>
      </c>
      <c r="F2173" s="22">
        <f ca="1">IFERROR(__xludf.DUMMYFUNCTION("""COMPUTED_VALUE"""),500000)</f>
        <v>500000</v>
      </c>
      <c r="G2173" s="22">
        <f ca="1">IFERROR(__xludf.DUMMYFUNCTION("""COMPUTED_VALUE"""),0)</f>
        <v>0</v>
      </c>
      <c r="H2173" s="7">
        <f ca="1">IFERROR(__xludf.DUMMYFUNCTION("""COMPUTED_VALUE"""),500000)</f>
        <v>500000</v>
      </c>
    </row>
    <row r="2174" spans="1:8" ht="13" x14ac:dyDescent="0.15">
      <c r="A2174" s="5" t="str">
        <f ca="1">IFERROR(__xludf.DUMMYFUNCTION("""COMPUTED_VALUE"""),"39857")</f>
        <v>39857</v>
      </c>
      <c r="B2174" s="51">
        <f ca="1">IFERROR(__xludf.DUMMYFUNCTION("""COMPUTED_VALUE"""),44605)</f>
        <v>44605</v>
      </c>
      <c r="C2174" s="22">
        <f ca="1">IFERROR(__xludf.DUMMYFUNCTION("""COMPUTED_VALUE"""),500000)</f>
        <v>500000</v>
      </c>
      <c r="D2174" s="22">
        <f ca="1">IFERROR(__xludf.DUMMYFUNCTION("""COMPUTED_VALUE"""),0)</f>
        <v>0</v>
      </c>
      <c r="E2174" s="22">
        <f ca="1">IFERROR(__xludf.DUMMYFUNCTION("""COMPUTED_VALUE"""),500000)</f>
        <v>500000</v>
      </c>
      <c r="F2174" s="22">
        <f ca="1">IFERROR(__xludf.DUMMYFUNCTION("""COMPUTED_VALUE"""),500000)</f>
        <v>500000</v>
      </c>
      <c r="G2174" s="22">
        <f ca="1">IFERROR(__xludf.DUMMYFUNCTION("""COMPUTED_VALUE"""),0)</f>
        <v>0</v>
      </c>
      <c r="H2174" s="7">
        <f ca="1">IFERROR(__xludf.DUMMYFUNCTION("""COMPUTED_VALUE"""),500000)</f>
        <v>500000</v>
      </c>
    </row>
    <row r="2175" spans="1:8" ht="13" x14ac:dyDescent="0.15">
      <c r="A2175" s="5" t="str">
        <f ca="1">IFERROR(__xludf.DUMMYFUNCTION("""COMPUTED_VALUE"""),"39857")</f>
        <v>39857</v>
      </c>
      <c r="B2175" s="51">
        <f ca="1">IFERROR(__xludf.DUMMYFUNCTION("""COMPUTED_VALUE"""),44606)</f>
        <v>44606</v>
      </c>
      <c r="C2175" s="22">
        <f ca="1">IFERROR(__xludf.DUMMYFUNCTION("""COMPUTED_VALUE"""),500000)</f>
        <v>500000</v>
      </c>
      <c r="D2175" s="22">
        <f ca="1">IFERROR(__xludf.DUMMYFUNCTION("""COMPUTED_VALUE"""),0)</f>
        <v>0</v>
      </c>
      <c r="E2175" s="22">
        <f ca="1">IFERROR(__xludf.DUMMYFUNCTION("""COMPUTED_VALUE"""),500000)</f>
        <v>500000</v>
      </c>
      <c r="F2175" s="22">
        <f ca="1">IFERROR(__xludf.DUMMYFUNCTION("""COMPUTED_VALUE"""),500000)</f>
        <v>500000</v>
      </c>
      <c r="G2175" s="22">
        <f ca="1">IFERROR(__xludf.DUMMYFUNCTION("""COMPUTED_VALUE"""),0)</f>
        <v>0</v>
      </c>
      <c r="H2175" s="7">
        <f ca="1">IFERROR(__xludf.DUMMYFUNCTION("""COMPUTED_VALUE"""),500000)</f>
        <v>500000</v>
      </c>
    </row>
    <row r="2176" spans="1:8" ht="13" x14ac:dyDescent="0.15">
      <c r="A2176" s="5" t="str">
        <f ca="1">IFERROR(__xludf.DUMMYFUNCTION("""COMPUTED_VALUE"""),"39857")</f>
        <v>39857</v>
      </c>
      <c r="B2176" s="51">
        <f ca="1">IFERROR(__xludf.DUMMYFUNCTION("""COMPUTED_VALUE"""),44607)</f>
        <v>44607</v>
      </c>
      <c r="C2176" s="22">
        <f ca="1">IFERROR(__xludf.DUMMYFUNCTION("""COMPUTED_VALUE"""),514392.4077853)</f>
        <v>514392.40778529999</v>
      </c>
      <c r="D2176" s="22">
        <f ca="1">IFERROR(__xludf.DUMMYFUNCTION("""COMPUTED_VALUE"""),-14392.4077853)</f>
        <v>-14392.4077853</v>
      </c>
      <c r="E2176" s="22">
        <f ca="1">IFERROR(__xludf.DUMMYFUNCTION("""COMPUTED_VALUE"""),500000)</f>
        <v>500000</v>
      </c>
      <c r="F2176" s="22">
        <f ca="1">IFERROR(__xludf.DUMMYFUNCTION("""COMPUTED_VALUE"""),485607.5922147)</f>
        <v>485607.59221470001</v>
      </c>
      <c r="G2176" s="22">
        <f ca="1">IFERROR(__xludf.DUMMYFUNCTION("""COMPUTED_VALUE"""),0)</f>
        <v>0</v>
      </c>
      <c r="H2176" s="7">
        <f ca="1">IFERROR(__xludf.DUMMYFUNCTION("""COMPUTED_VALUE"""),500000)</f>
        <v>500000</v>
      </c>
    </row>
    <row r="2177" spans="1:8" ht="13" x14ac:dyDescent="0.15">
      <c r="A2177" s="5" t="str">
        <f ca="1">IFERROR(__xludf.DUMMYFUNCTION("""COMPUTED_VALUE"""),"39857")</f>
        <v>39857</v>
      </c>
      <c r="B2177" s="51">
        <f ca="1">IFERROR(__xludf.DUMMYFUNCTION("""COMPUTED_VALUE"""),44608)</f>
        <v>44608</v>
      </c>
      <c r="C2177" s="22">
        <f ca="1">IFERROR(__xludf.DUMMYFUNCTION("""COMPUTED_VALUE"""),270470.7727853)</f>
        <v>270470.77278529998</v>
      </c>
      <c r="D2177" s="22">
        <f ca="1">IFERROR(__xludf.DUMMYFUNCTION("""COMPUTED_VALUE"""),229515.82761)</f>
        <v>229515.82761000001</v>
      </c>
      <c r="E2177" s="22">
        <f ca="1">IFERROR(__xludf.DUMMYFUNCTION("""COMPUTED_VALUE"""),499986.600395299)</f>
        <v>499986.60039529903</v>
      </c>
      <c r="F2177" s="22">
        <f ca="1">IFERROR(__xludf.DUMMYFUNCTION("""COMPUTED_VALUE"""),241685.9572147)</f>
        <v>241685.9572147</v>
      </c>
      <c r="G2177" s="22">
        <f ca="1">IFERROR(__xludf.DUMMYFUNCTION("""COMPUTED_VALUE"""),0)</f>
        <v>0</v>
      </c>
      <c r="H2177" s="7">
        <f ca="1">IFERROR(__xludf.DUMMYFUNCTION("""COMPUTED_VALUE"""),499986.600395299)</f>
        <v>499986.60039529903</v>
      </c>
    </row>
    <row r="2178" spans="1:8" ht="13" x14ac:dyDescent="0.15">
      <c r="A2178" s="5" t="str">
        <f ca="1">IFERROR(__xludf.DUMMYFUNCTION("""COMPUTED_VALUE"""),"39857")</f>
        <v>39857</v>
      </c>
      <c r="B2178" s="51">
        <f ca="1">IFERROR(__xludf.DUMMYFUNCTION("""COMPUTED_VALUE"""),44609)</f>
        <v>44609</v>
      </c>
      <c r="C2178" s="22">
        <f ca="1">IFERROR(__xludf.DUMMYFUNCTION("""COMPUTED_VALUE"""),-87391.6189896999)</f>
        <v>-87391.618989699899</v>
      </c>
      <c r="D2178" s="22">
        <f ca="1">IFERROR(__xludf.DUMMYFUNCTION("""COMPUTED_VALUE"""),582767.810764499)</f>
        <v>582767.81076449901</v>
      </c>
      <c r="E2178" s="22">
        <f ca="1">IFERROR(__xludf.DUMMYFUNCTION("""COMPUTED_VALUE"""),495376.191774799)</f>
        <v>495376.19177479902</v>
      </c>
      <c r="F2178" s="22">
        <f ca="1">IFERROR(__xludf.DUMMYFUNCTION("""COMPUTED_VALUE"""),-116176.434560299)</f>
        <v>-116176.43456029901</v>
      </c>
      <c r="G2178" s="22">
        <f ca="1">IFERROR(__xludf.DUMMYFUNCTION("""COMPUTED_VALUE"""),116176.434560299)</f>
        <v>116176.43456029901</v>
      </c>
      <c r="H2178" s="7">
        <f ca="1">IFERROR(__xludf.DUMMYFUNCTION("""COMPUTED_VALUE"""),495376.1917748)</f>
        <v>495376.19177480001</v>
      </c>
    </row>
    <row r="2179" spans="1:8" ht="13" x14ac:dyDescent="0.15">
      <c r="A2179" s="5" t="str">
        <f ca="1">IFERROR(__xludf.DUMMYFUNCTION("""COMPUTED_VALUE"""),"39857")</f>
        <v>39857</v>
      </c>
      <c r="B2179" s="51">
        <f ca="1">IFERROR(__xludf.DUMMYFUNCTION("""COMPUTED_VALUE"""),44610)</f>
        <v>44610</v>
      </c>
      <c r="C2179" s="22">
        <f ca="1">IFERROR(__xludf.DUMMYFUNCTION("""COMPUTED_VALUE"""),-100761.381109299)</f>
        <v>-100761.38110929901</v>
      </c>
      <c r="D2179" s="22">
        <f ca="1">IFERROR(__xludf.DUMMYFUNCTION("""COMPUTED_VALUE"""),590342.596799999)</f>
        <v>590342.59679999901</v>
      </c>
      <c r="E2179" s="22">
        <f ca="1">IFERROR(__xludf.DUMMYFUNCTION("""COMPUTED_VALUE"""),489581.2156907)</f>
        <v>489581.21569069999</v>
      </c>
      <c r="F2179" s="22">
        <f ca="1">IFERROR(__xludf.DUMMYFUNCTION("""COMPUTED_VALUE"""),-102806.672440699)</f>
        <v>-102806.672440699</v>
      </c>
      <c r="G2179" s="22">
        <f ca="1">IFERROR(__xludf.DUMMYFUNCTION("""COMPUTED_VALUE"""),102806.672440699)</f>
        <v>102806.672440699</v>
      </c>
      <c r="H2179" s="7">
        <f ca="1">IFERROR(__xludf.DUMMYFUNCTION("""COMPUTED_VALUE"""),489581.2156907)</f>
        <v>489581.21569069999</v>
      </c>
    </row>
    <row r="2180" spans="1:8" ht="13" x14ac:dyDescent="0.15">
      <c r="A2180" s="5" t="str">
        <f ca="1">IFERROR(__xludf.DUMMYFUNCTION("""COMPUTED_VALUE"""),"39857")</f>
        <v>39857</v>
      </c>
      <c r="B2180" s="51">
        <f ca="1">IFERROR(__xludf.DUMMYFUNCTION("""COMPUTED_VALUE"""),44611)</f>
        <v>44611</v>
      </c>
      <c r="C2180" s="22">
        <f ca="1">IFERROR(__xludf.DUMMYFUNCTION("""COMPUTED_VALUE"""),-100761.381109299)</f>
        <v>-100761.38110929901</v>
      </c>
      <c r="D2180" s="22">
        <f ca="1">IFERROR(__xludf.DUMMYFUNCTION("""COMPUTED_VALUE"""),590342.596799999)</f>
        <v>590342.59679999901</v>
      </c>
      <c r="E2180" s="22">
        <f ca="1">IFERROR(__xludf.DUMMYFUNCTION("""COMPUTED_VALUE"""),489581.2156907)</f>
        <v>489581.21569069999</v>
      </c>
      <c r="F2180" s="22">
        <f ca="1">IFERROR(__xludf.DUMMYFUNCTION("""COMPUTED_VALUE"""),-102806.672440699)</f>
        <v>-102806.672440699</v>
      </c>
      <c r="G2180" s="22">
        <f ca="1">IFERROR(__xludf.DUMMYFUNCTION("""COMPUTED_VALUE"""),102806.672440699)</f>
        <v>102806.672440699</v>
      </c>
      <c r="H2180" s="7">
        <f ca="1">IFERROR(__xludf.DUMMYFUNCTION("""COMPUTED_VALUE"""),489581.2156907)</f>
        <v>489581.21569069999</v>
      </c>
    </row>
    <row r="2181" spans="1:8" ht="13" x14ac:dyDescent="0.15">
      <c r="A2181" s="5" t="str">
        <f ca="1">IFERROR(__xludf.DUMMYFUNCTION("""COMPUTED_VALUE"""),"39857")</f>
        <v>39857</v>
      </c>
      <c r="B2181" s="51">
        <f ca="1">IFERROR(__xludf.DUMMYFUNCTION("""COMPUTED_VALUE"""),44612)</f>
        <v>44612</v>
      </c>
      <c r="C2181" s="22">
        <f ca="1">IFERROR(__xludf.DUMMYFUNCTION("""COMPUTED_VALUE"""),-100761.381109299)</f>
        <v>-100761.38110929901</v>
      </c>
      <c r="D2181" s="22">
        <f ca="1">IFERROR(__xludf.DUMMYFUNCTION("""COMPUTED_VALUE"""),590322.5416)</f>
        <v>590322.5416</v>
      </c>
      <c r="E2181" s="22">
        <f ca="1">IFERROR(__xludf.DUMMYFUNCTION("""COMPUTED_VALUE"""),489561.1604907)</f>
        <v>489561.16049069999</v>
      </c>
      <c r="F2181" s="22">
        <f ca="1">IFERROR(__xludf.DUMMYFUNCTION("""COMPUTED_VALUE"""),-102806.672440699)</f>
        <v>-102806.672440699</v>
      </c>
      <c r="G2181" s="22">
        <f ca="1">IFERROR(__xludf.DUMMYFUNCTION("""COMPUTED_VALUE"""),102806.672440699)</f>
        <v>102806.672440699</v>
      </c>
      <c r="H2181" s="7">
        <f ca="1">IFERROR(__xludf.DUMMYFUNCTION("""COMPUTED_VALUE"""),489561.1604907)</f>
        <v>489561.16049069999</v>
      </c>
    </row>
    <row r="2182" spans="1:8" ht="13" x14ac:dyDescent="0.15">
      <c r="A2182" s="5" t="str">
        <f ca="1">IFERROR(__xludf.DUMMYFUNCTION("""COMPUTED_VALUE"""),"39857")</f>
        <v>39857</v>
      </c>
      <c r="B2182" s="51">
        <f ca="1">IFERROR(__xludf.DUMMYFUNCTION("""COMPUTED_VALUE"""),44613)</f>
        <v>44613</v>
      </c>
      <c r="C2182" s="22">
        <f ca="1">IFERROR(__xludf.DUMMYFUNCTION("""COMPUTED_VALUE"""),-100761.381109299)</f>
        <v>-100761.38110929901</v>
      </c>
      <c r="D2182" s="22">
        <f ca="1">IFERROR(__xludf.DUMMYFUNCTION("""COMPUTED_VALUE"""),590380.0584)</f>
        <v>590380.05839999998</v>
      </c>
      <c r="E2182" s="22">
        <f ca="1">IFERROR(__xludf.DUMMYFUNCTION("""COMPUTED_VALUE"""),489618.6772907)</f>
        <v>489618.67729070003</v>
      </c>
      <c r="F2182" s="22">
        <f ca="1">IFERROR(__xludf.DUMMYFUNCTION("""COMPUTED_VALUE"""),-102806.672440699)</f>
        <v>-102806.672440699</v>
      </c>
      <c r="G2182" s="22">
        <f ca="1">IFERROR(__xludf.DUMMYFUNCTION("""COMPUTED_VALUE"""),102806.672440699)</f>
        <v>102806.672440699</v>
      </c>
      <c r="H2182" s="7">
        <f ca="1">IFERROR(__xludf.DUMMYFUNCTION("""COMPUTED_VALUE"""),489618.6772907)</f>
        <v>489618.67729070003</v>
      </c>
    </row>
    <row r="2183" spans="1:8" ht="13" x14ac:dyDescent="0.15">
      <c r="A2183" s="5" t="str">
        <f ca="1">IFERROR(__xludf.DUMMYFUNCTION("""COMPUTED_VALUE"""),"39857")</f>
        <v>39857</v>
      </c>
      <c r="B2183" s="51">
        <f ca="1">IFERROR(__xludf.DUMMYFUNCTION("""COMPUTED_VALUE"""),44614)</f>
        <v>44614</v>
      </c>
      <c r="C2183" s="22">
        <f ca="1">IFERROR(__xludf.DUMMYFUNCTION("""COMPUTED_VALUE"""),-100761.381109299)</f>
        <v>-100761.38110929901</v>
      </c>
      <c r="D2183" s="22">
        <f ca="1">IFERROR(__xludf.DUMMYFUNCTION("""COMPUTED_VALUE"""),577680.57875)</f>
        <v>577680.57874999999</v>
      </c>
      <c r="E2183" s="22">
        <f ca="1">IFERROR(__xludf.DUMMYFUNCTION("""COMPUTED_VALUE"""),476919.1976407)</f>
        <v>476919.19764069997</v>
      </c>
      <c r="F2183" s="22">
        <f ca="1">IFERROR(__xludf.DUMMYFUNCTION("""COMPUTED_VALUE"""),-102806.672440699)</f>
        <v>-102806.672440699</v>
      </c>
      <c r="G2183" s="22">
        <f ca="1">IFERROR(__xludf.DUMMYFUNCTION("""COMPUTED_VALUE"""),102806.672440699)</f>
        <v>102806.672440699</v>
      </c>
      <c r="H2183" s="7">
        <f ca="1">IFERROR(__xludf.DUMMYFUNCTION("""COMPUTED_VALUE"""),476919.1976407)</f>
        <v>476919.19764069997</v>
      </c>
    </row>
    <row r="2184" spans="1:8" ht="13" x14ac:dyDescent="0.15">
      <c r="A2184" s="5" t="str">
        <f ca="1">IFERROR(__xludf.DUMMYFUNCTION("""COMPUTED_VALUE"""),"39857")</f>
        <v>39857</v>
      </c>
      <c r="B2184" s="51">
        <f ca="1">IFERROR(__xludf.DUMMYFUNCTION("""COMPUTED_VALUE"""),44615)</f>
        <v>44615</v>
      </c>
      <c r="C2184" s="22">
        <f ca="1">IFERROR(__xludf.DUMMYFUNCTION("""COMPUTED_VALUE"""),-100761.381109299)</f>
        <v>-100761.38110929901</v>
      </c>
      <c r="D2184" s="22">
        <f ca="1">IFERROR(__xludf.DUMMYFUNCTION("""COMPUTED_VALUE"""),569290.49575)</f>
        <v>569290.49575</v>
      </c>
      <c r="E2184" s="22">
        <f ca="1">IFERROR(__xludf.DUMMYFUNCTION("""COMPUTED_VALUE"""),468529.1146407)</f>
        <v>468529.11464069999</v>
      </c>
      <c r="F2184" s="22">
        <f ca="1">IFERROR(__xludf.DUMMYFUNCTION("""COMPUTED_VALUE"""),-102806.672440699)</f>
        <v>-102806.672440699</v>
      </c>
      <c r="G2184" s="22">
        <f ca="1">IFERROR(__xludf.DUMMYFUNCTION("""COMPUTED_VALUE"""),102806.672440699)</f>
        <v>102806.672440699</v>
      </c>
      <c r="H2184" s="7">
        <f ca="1">IFERROR(__xludf.DUMMYFUNCTION("""COMPUTED_VALUE"""),468529.1146407)</f>
        <v>468529.11464069999</v>
      </c>
    </row>
    <row r="2185" spans="1:8" ht="13" x14ac:dyDescent="0.15">
      <c r="A2185" s="5" t="str">
        <f ca="1">IFERROR(__xludf.DUMMYFUNCTION("""COMPUTED_VALUE"""),"39857")</f>
        <v>39857</v>
      </c>
      <c r="B2185" s="51">
        <f ca="1">IFERROR(__xludf.DUMMYFUNCTION("""COMPUTED_VALUE"""),44616)</f>
        <v>44616</v>
      </c>
      <c r="C2185" s="22">
        <f ca="1">IFERROR(__xludf.DUMMYFUNCTION("""COMPUTED_VALUE"""),-100761.381109299)</f>
        <v>-100761.38110929901</v>
      </c>
      <c r="D2185" s="22">
        <f ca="1">IFERROR(__xludf.DUMMYFUNCTION("""COMPUTED_VALUE"""),583238.925)</f>
        <v>583238.92500000005</v>
      </c>
      <c r="E2185" s="22">
        <f ca="1">IFERROR(__xludf.DUMMYFUNCTION("""COMPUTED_VALUE"""),482477.5438907)</f>
        <v>482477.54389069998</v>
      </c>
      <c r="F2185" s="22">
        <f ca="1">IFERROR(__xludf.DUMMYFUNCTION("""COMPUTED_VALUE"""),-102806.672440699)</f>
        <v>-102806.672440699</v>
      </c>
      <c r="G2185" s="22">
        <f ca="1">IFERROR(__xludf.DUMMYFUNCTION("""COMPUTED_VALUE"""),102806.672440699)</f>
        <v>102806.672440699</v>
      </c>
      <c r="H2185" s="7">
        <f ca="1">IFERROR(__xludf.DUMMYFUNCTION("""COMPUTED_VALUE"""),482477.5438907)</f>
        <v>482477.54389069998</v>
      </c>
    </row>
    <row r="2186" spans="1:8" ht="13" x14ac:dyDescent="0.15">
      <c r="A2186" s="5" t="str">
        <f ca="1">IFERROR(__xludf.DUMMYFUNCTION("""COMPUTED_VALUE"""),"39857")</f>
        <v>39857</v>
      </c>
      <c r="B2186" s="51">
        <f ca="1">IFERROR(__xludf.DUMMYFUNCTION("""COMPUTED_VALUE"""),44617)</f>
        <v>44617</v>
      </c>
      <c r="C2186" s="22">
        <f ca="1">IFERROR(__xludf.DUMMYFUNCTION("""COMPUTED_VALUE"""),799222.5139982)</f>
        <v>799222.51399819995</v>
      </c>
      <c r="D2186" s="22">
        <f ca="1">IFERROR(__xludf.DUMMYFUNCTION("""COMPUTED_VALUE"""),-316189.2429325)</f>
        <v>-316189.24293250003</v>
      </c>
      <c r="E2186" s="22">
        <f ca="1">IFERROR(__xludf.DUMMYFUNCTION("""COMPUTED_VALUE"""),483033.2710657)</f>
        <v>483033.27106569998</v>
      </c>
      <c r="F2186" s="22">
        <f ca="1">IFERROR(__xludf.DUMMYFUNCTION("""COMPUTED_VALUE"""),164798.7368018)</f>
        <v>164798.7368018</v>
      </c>
      <c r="G2186" s="22">
        <f ca="1">IFERROR(__xludf.DUMMYFUNCTION("""COMPUTED_VALUE"""),0)</f>
        <v>0</v>
      </c>
      <c r="H2186" s="7">
        <f ca="1">IFERROR(__xludf.DUMMYFUNCTION("""COMPUTED_VALUE"""),483033.2710657)</f>
        <v>483033.27106569998</v>
      </c>
    </row>
    <row r="2187" spans="1:8" ht="13" x14ac:dyDescent="0.15">
      <c r="A2187" s="5" t="str">
        <f ca="1">IFERROR(__xludf.DUMMYFUNCTION("""COMPUTED_VALUE"""),"39857")</f>
        <v>39857</v>
      </c>
      <c r="B2187" s="51">
        <f ca="1">IFERROR(__xludf.DUMMYFUNCTION("""COMPUTED_VALUE"""),44618)</f>
        <v>44618</v>
      </c>
      <c r="C2187" s="22">
        <f ca="1">IFERROR(__xludf.DUMMYFUNCTION("""COMPUTED_VALUE"""),799222.5139982)</f>
        <v>799222.51399819995</v>
      </c>
      <c r="D2187" s="22">
        <f ca="1">IFERROR(__xludf.DUMMYFUNCTION("""COMPUTED_VALUE"""),-316189.2429325)</f>
        <v>-316189.24293250003</v>
      </c>
      <c r="E2187" s="22">
        <f ca="1">IFERROR(__xludf.DUMMYFUNCTION("""COMPUTED_VALUE"""),483033.2710657)</f>
        <v>483033.27106569998</v>
      </c>
      <c r="F2187" s="22">
        <f ca="1">IFERROR(__xludf.DUMMYFUNCTION("""COMPUTED_VALUE"""),164798.7368018)</f>
        <v>164798.7368018</v>
      </c>
      <c r="G2187" s="22">
        <f ca="1">IFERROR(__xludf.DUMMYFUNCTION("""COMPUTED_VALUE"""),0)</f>
        <v>0</v>
      </c>
      <c r="H2187" s="7">
        <f ca="1">IFERROR(__xludf.DUMMYFUNCTION("""COMPUTED_VALUE"""),483027.1970407)</f>
        <v>483027.1970407</v>
      </c>
    </row>
    <row r="2188" spans="1:8" ht="13" x14ac:dyDescent="0.15">
      <c r="A2188" s="5" t="str">
        <f ca="1">IFERROR(__xludf.DUMMYFUNCTION("""COMPUTED_VALUE"""),"39857")</f>
        <v>39857</v>
      </c>
      <c r="B2188" s="51">
        <f ca="1">IFERROR(__xludf.DUMMYFUNCTION("""COMPUTED_VALUE"""),44619)</f>
        <v>44619</v>
      </c>
      <c r="C2188" s="22">
        <f ca="1">IFERROR(__xludf.DUMMYFUNCTION("""COMPUTED_VALUE"""),799222.5139982)</f>
        <v>799222.51399819995</v>
      </c>
      <c r="D2188" s="22">
        <f ca="1">IFERROR(__xludf.DUMMYFUNCTION("""COMPUTED_VALUE"""),-316189.2429325)</f>
        <v>-316189.24293250003</v>
      </c>
      <c r="E2188" s="22">
        <f ca="1">IFERROR(__xludf.DUMMYFUNCTION("""COMPUTED_VALUE"""),483033.2710657)</f>
        <v>483033.27106569998</v>
      </c>
      <c r="F2188" s="22">
        <f ca="1">IFERROR(__xludf.DUMMYFUNCTION("""COMPUTED_VALUE"""),164798.7368018)</f>
        <v>164798.7368018</v>
      </c>
      <c r="G2188" s="22">
        <f ca="1">IFERROR(__xludf.DUMMYFUNCTION("""COMPUTED_VALUE"""),0)</f>
        <v>0</v>
      </c>
      <c r="H2188" s="7">
        <f ca="1">IFERROR(__xludf.DUMMYFUNCTION("""COMPUTED_VALUE"""),483041.1672982)</f>
        <v>483041.16729820002</v>
      </c>
    </row>
    <row r="2189" spans="1:8" ht="13" x14ac:dyDescent="0.15">
      <c r="A2189" s="5" t="str">
        <f ca="1">IFERROR(__xludf.DUMMYFUNCTION("""COMPUTED_VALUE"""),"39857")</f>
        <v>39857</v>
      </c>
      <c r="B2189" s="51">
        <f ca="1">IFERROR(__xludf.DUMMYFUNCTION("""COMPUTED_VALUE"""),44620)</f>
        <v>44620</v>
      </c>
      <c r="C2189" s="22">
        <f ca="1">IFERROR(__xludf.DUMMYFUNCTION("""COMPUTED_VALUE"""),391158.8369882)</f>
        <v>391158.83698820003</v>
      </c>
      <c r="D2189" s="22">
        <f ca="1">IFERROR(__xludf.DUMMYFUNCTION("""COMPUTED_VALUE"""),68010.6128350001)</f>
        <v>68010.612835000094</v>
      </c>
      <c r="E2189" s="22">
        <f ca="1">IFERROR(__xludf.DUMMYFUNCTION("""COMPUTED_VALUE"""),459169.4498232)</f>
        <v>459169.4498232</v>
      </c>
      <c r="F2189" s="22">
        <f ca="1">IFERROR(__xludf.DUMMYFUNCTION("""COMPUTED_VALUE"""),436841.1881418)</f>
        <v>436841.1881418</v>
      </c>
      <c r="G2189" s="22">
        <f ca="1">IFERROR(__xludf.DUMMYFUNCTION("""COMPUTED_VALUE"""),0)</f>
        <v>0</v>
      </c>
      <c r="H2189" s="7">
        <f ca="1">IFERROR(__xludf.DUMMYFUNCTION("""COMPUTED_VALUE"""),459169.4498232)</f>
        <v>459169.4498232</v>
      </c>
    </row>
    <row r="2190" spans="1:8" ht="13" x14ac:dyDescent="0.15">
      <c r="A2190" s="5" t="str">
        <f ca="1">IFERROR(__xludf.DUMMYFUNCTION("""COMPUTED_VALUE"""),"39857")</f>
        <v>39857</v>
      </c>
      <c r="B2190" s="51">
        <f ca="1">IFERROR(__xludf.DUMMYFUNCTION("""COMPUTED_VALUE"""),44621)</f>
        <v>44621</v>
      </c>
      <c r="C2190" s="22">
        <f ca="1">IFERROR(__xludf.DUMMYFUNCTION("""COMPUTED_VALUE"""),391158.8369882)</f>
        <v>391158.83698820003</v>
      </c>
      <c r="D2190" s="22">
        <f ca="1">IFERROR(__xludf.DUMMYFUNCTION("""COMPUTED_VALUE"""),70276.3086175)</f>
        <v>70276.308617500006</v>
      </c>
      <c r="E2190" s="22">
        <f ca="1">IFERROR(__xludf.DUMMYFUNCTION("""COMPUTED_VALUE"""),461435.1456057)</f>
        <v>461435.14560569997</v>
      </c>
      <c r="F2190" s="22">
        <f ca="1">IFERROR(__xludf.DUMMYFUNCTION("""COMPUTED_VALUE"""),436841.1881418)</f>
        <v>436841.1881418</v>
      </c>
      <c r="G2190" s="22">
        <f ca="1">IFERROR(__xludf.DUMMYFUNCTION("""COMPUTED_VALUE"""),0)</f>
        <v>0</v>
      </c>
      <c r="H2190" s="7">
        <f ca="1">IFERROR(__xludf.DUMMYFUNCTION("""COMPUTED_VALUE"""),458716.3106667)</f>
        <v>458716.31066670001</v>
      </c>
    </row>
    <row r="2191" spans="1:8" ht="13" x14ac:dyDescent="0.15">
      <c r="A2191" s="5" t="str">
        <f ca="1">IFERROR(__xludf.DUMMYFUNCTION("""COMPUTED_VALUE"""),"39857")</f>
        <v>39857</v>
      </c>
      <c r="B2191" s="51">
        <f ca="1">IFERROR(__xludf.DUMMYFUNCTION("""COMPUTED_VALUE"""),44622)</f>
        <v>44622</v>
      </c>
      <c r="C2191" s="22">
        <f ca="1">IFERROR(__xludf.DUMMYFUNCTION("""COMPUTED_VALUE"""),391158.8369882)</f>
        <v>391158.83698820003</v>
      </c>
      <c r="D2191" s="22">
        <f ca="1">IFERROR(__xludf.DUMMYFUNCTION("""COMPUTED_VALUE"""),64292.8537349999)</f>
        <v>64292.853734999902</v>
      </c>
      <c r="E2191" s="22">
        <f ca="1">IFERROR(__xludf.DUMMYFUNCTION("""COMPUTED_VALUE"""),455451.6907232)</f>
        <v>455451.69072319998</v>
      </c>
      <c r="F2191" s="22">
        <f ca="1">IFERROR(__xludf.DUMMYFUNCTION("""COMPUTED_VALUE"""),436841.1881418)</f>
        <v>436841.1881418</v>
      </c>
      <c r="G2191" s="22">
        <f ca="1">IFERROR(__xludf.DUMMYFUNCTION("""COMPUTED_VALUE"""),0)</f>
        <v>0</v>
      </c>
      <c r="H2191" s="7">
        <f ca="1">IFERROR(__xludf.DUMMYFUNCTION("""COMPUTED_VALUE"""),459913.0016432)</f>
        <v>459913.0016432</v>
      </c>
    </row>
    <row r="2192" spans="1:8" ht="13" x14ac:dyDescent="0.15">
      <c r="A2192" s="5" t="str">
        <f ca="1">IFERROR(__xludf.DUMMYFUNCTION("""COMPUTED_VALUE"""),"39857")</f>
        <v>39857</v>
      </c>
      <c r="B2192" s="51">
        <f ca="1">IFERROR(__xludf.DUMMYFUNCTION("""COMPUTED_VALUE"""),44623)</f>
        <v>44623</v>
      </c>
      <c r="C2192" s="22">
        <f ca="1">IFERROR(__xludf.DUMMYFUNCTION("""COMPUTED_VALUE"""),391158.8369882)</f>
        <v>391158.83698820003</v>
      </c>
      <c r="D2192" s="22">
        <f ca="1">IFERROR(__xludf.DUMMYFUNCTION("""COMPUTED_VALUE"""),80075.4396849999)</f>
        <v>80075.439684999903</v>
      </c>
      <c r="E2192" s="22">
        <f ca="1">IFERROR(__xludf.DUMMYFUNCTION("""COMPUTED_VALUE"""),471234.2766732)</f>
        <v>471234.27667320002</v>
      </c>
      <c r="F2192" s="22">
        <f ca="1">IFERROR(__xludf.DUMMYFUNCTION("""COMPUTED_VALUE"""),436841.1881418)</f>
        <v>436841.1881418</v>
      </c>
      <c r="G2192" s="22">
        <f ca="1">IFERROR(__xludf.DUMMYFUNCTION("""COMPUTED_VALUE"""),0)</f>
        <v>0</v>
      </c>
      <c r="H2192" s="7">
        <f ca="1">IFERROR(__xludf.DUMMYFUNCTION("""COMPUTED_VALUE"""),456756.4844532)</f>
        <v>456756.48445320001</v>
      </c>
    </row>
    <row r="2193" spans="1:8" ht="13" x14ac:dyDescent="0.15">
      <c r="A2193" s="5" t="str">
        <f ca="1">IFERROR(__xludf.DUMMYFUNCTION("""COMPUTED_VALUE"""),"39857")</f>
        <v>39857</v>
      </c>
      <c r="B2193" s="51">
        <f ca="1">IFERROR(__xludf.DUMMYFUNCTION("""COMPUTED_VALUE"""),44624)</f>
        <v>44624</v>
      </c>
      <c r="C2193" s="22">
        <f ca="1">IFERROR(__xludf.DUMMYFUNCTION("""COMPUTED_VALUE"""),391158.8369882)</f>
        <v>391158.83698820003</v>
      </c>
      <c r="D2193" s="22">
        <f ca="1">IFERROR(__xludf.DUMMYFUNCTION("""COMPUTED_VALUE"""),80532.0379499999)</f>
        <v>80532.037949999896</v>
      </c>
      <c r="E2193" s="22">
        <f ca="1">IFERROR(__xludf.DUMMYFUNCTION("""COMPUTED_VALUE"""),471690.8749382)</f>
        <v>471690.8749382</v>
      </c>
      <c r="F2193" s="22">
        <f ca="1">IFERROR(__xludf.DUMMYFUNCTION("""COMPUTED_VALUE"""),436841.1881418)</f>
        <v>436841.1881418</v>
      </c>
      <c r="G2193" s="22">
        <f ca="1">IFERROR(__xludf.DUMMYFUNCTION("""COMPUTED_VALUE"""),0)</f>
        <v>0</v>
      </c>
      <c r="H2193" s="7">
        <f ca="1">IFERROR(__xludf.DUMMYFUNCTION("""COMPUTED_VALUE"""),456665.1648002)</f>
        <v>456665.16480019997</v>
      </c>
    </row>
    <row r="2194" spans="1:8" ht="13" x14ac:dyDescent="0.15">
      <c r="A2194" s="5" t="str">
        <f ca="1">IFERROR(__xludf.DUMMYFUNCTION("""COMPUTED_VALUE"""),"39857")</f>
        <v>39857</v>
      </c>
      <c r="B2194" s="51">
        <f ca="1">IFERROR(__xludf.DUMMYFUNCTION("""COMPUTED_VALUE"""),44625)</f>
        <v>44625</v>
      </c>
      <c r="C2194" s="22">
        <f ca="1">IFERROR(__xludf.DUMMYFUNCTION("""COMPUTED_VALUE"""),391158.8369882)</f>
        <v>391158.83698820003</v>
      </c>
      <c r="D2194" s="22">
        <f ca="1">IFERROR(__xludf.DUMMYFUNCTION("""COMPUTED_VALUE"""),80532.0379499999)</f>
        <v>80532.037949999896</v>
      </c>
      <c r="E2194" s="22">
        <f ca="1">IFERROR(__xludf.DUMMYFUNCTION("""COMPUTED_VALUE"""),471690.8749382)</f>
        <v>471690.8749382</v>
      </c>
      <c r="F2194" s="22">
        <f ca="1">IFERROR(__xludf.DUMMYFUNCTION("""COMPUTED_VALUE"""),436841.1881418)</f>
        <v>436841.1881418</v>
      </c>
      <c r="G2194" s="22">
        <f ca="1">IFERROR(__xludf.DUMMYFUNCTION("""COMPUTED_VALUE"""),0)</f>
        <v>0</v>
      </c>
      <c r="H2194" s="7">
        <f ca="1">IFERROR(__xludf.DUMMYFUNCTION("""COMPUTED_VALUE"""),456665.1648002)</f>
        <v>456665.16480019997</v>
      </c>
    </row>
    <row r="2195" spans="1:8" ht="13" x14ac:dyDescent="0.15">
      <c r="A2195" s="5" t="str">
        <f ca="1">IFERROR(__xludf.DUMMYFUNCTION("""COMPUTED_VALUE"""),"39857")</f>
        <v>39857</v>
      </c>
      <c r="B2195" s="51">
        <f ca="1">IFERROR(__xludf.DUMMYFUNCTION("""COMPUTED_VALUE"""),44626)</f>
        <v>44626</v>
      </c>
      <c r="C2195" s="22">
        <f ca="1">IFERROR(__xludf.DUMMYFUNCTION("""COMPUTED_VALUE"""),391158.8369882)</f>
        <v>391158.83698820003</v>
      </c>
      <c r="D2195" s="22">
        <f ca="1">IFERROR(__xludf.DUMMYFUNCTION("""COMPUTED_VALUE"""),80486.9798624999)</f>
        <v>80486.979862499895</v>
      </c>
      <c r="E2195" s="22">
        <f ca="1">IFERROR(__xludf.DUMMYFUNCTION("""COMPUTED_VALUE"""),471645.8168507)</f>
        <v>471645.81685070001</v>
      </c>
      <c r="F2195" s="22">
        <f ca="1">IFERROR(__xludf.DUMMYFUNCTION("""COMPUTED_VALUE"""),436841.1881418)</f>
        <v>436841.1881418</v>
      </c>
      <c r="G2195" s="22">
        <f ca="1">IFERROR(__xludf.DUMMYFUNCTION("""COMPUTED_VALUE"""),0)</f>
        <v>0</v>
      </c>
      <c r="H2195" s="7">
        <f ca="1">IFERROR(__xludf.DUMMYFUNCTION("""COMPUTED_VALUE"""),456674.1764177)</f>
        <v>456674.17641770002</v>
      </c>
    </row>
    <row r="2196" spans="1:8" ht="13" x14ac:dyDescent="0.15">
      <c r="A2196" s="5" t="str">
        <f ca="1">IFERROR(__xludf.DUMMYFUNCTION("""COMPUTED_VALUE"""),"39857")</f>
        <v>39857</v>
      </c>
      <c r="B2196" s="51">
        <f ca="1">IFERROR(__xludf.DUMMYFUNCTION("""COMPUTED_VALUE"""),44627)</f>
        <v>44627</v>
      </c>
      <c r="C2196" s="22">
        <f ca="1">IFERROR(__xludf.DUMMYFUNCTION("""COMPUTED_VALUE"""),391158.8369882)</f>
        <v>391158.83698820003</v>
      </c>
      <c r="D2196" s="22">
        <f ca="1">IFERROR(__xludf.DUMMYFUNCTION("""COMPUTED_VALUE"""),93531.2290599999)</f>
        <v>93531.229059999896</v>
      </c>
      <c r="E2196" s="22">
        <f ca="1">IFERROR(__xludf.DUMMYFUNCTION("""COMPUTED_VALUE"""),484690.0660482)</f>
        <v>484690.06604820001</v>
      </c>
      <c r="F2196" s="22">
        <f ca="1">IFERROR(__xludf.DUMMYFUNCTION("""COMPUTED_VALUE"""),436841.1881418)</f>
        <v>436841.1881418</v>
      </c>
      <c r="G2196" s="22">
        <f ca="1">IFERROR(__xludf.DUMMYFUNCTION("""COMPUTED_VALUE"""),0)</f>
        <v>0</v>
      </c>
      <c r="H2196" s="7">
        <f ca="1">IFERROR(__xludf.DUMMYFUNCTION("""COMPUTED_VALUE"""),454065.3265782)</f>
        <v>454065.32657819998</v>
      </c>
    </row>
    <row r="2197" spans="1:8" ht="13" x14ac:dyDescent="0.15">
      <c r="A2197" s="5" t="str">
        <f ca="1">IFERROR(__xludf.DUMMYFUNCTION("""COMPUTED_VALUE"""),"39857")</f>
        <v>39857</v>
      </c>
      <c r="B2197" s="51">
        <f ca="1">IFERROR(__xludf.DUMMYFUNCTION("""COMPUTED_VALUE"""),44628)</f>
        <v>44628</v>
      </c>
      <c r="C2197" s="22">
        <f ca="1">IFERROR(__xludf.DUMMYFUNCTION("""COMPUTED_VALUE"""),391158.8369882)</f>
        <v>391158.83698820003</v>
      </c>
      <c r="D2197" s="22">
        <f ca="1">IFERROR(__xludf.DUMMYFUNCTION("""COMPUTED_VALUE"""),85765.5275099999)</f>
        <v>85765.527509999898</v>
      </c>
      <c r="E2197" s="22">
        <f ca="1">IFERROR(__xludf.DUMMYFUNCTION("""COMPUTED_VALUE"""),476924.3644982)</f>
        <v>476924.36449820001</v>
      </c>
      <c r="F2197" s="22">
        <f ca="1">IFERROR(__xludf.DUMMYFUNCTION("""COMPUTED_VALUE"""),436841.1881418)</f>
        <v>436841.1881418</v>
      </c>
      <c r="G2197" s="22">
        <f ca="1">IFERROR(__xludf.DUMMYFUNCTION("""COMPUTED_VALUE"""),0)</f>
        <v>0</v>
      </c>
      <c r="H2197" s="7">
        <f ca="1">IFERROR(__xludf.DUMMYFUNCTION("""COMPUTED_VALUE"""),455618.4668882)</f>
        <v>455618.46688820003</v>
      </c>
    </row>
    <row r="2198" spans="1:8" ht="13" x14ac:dyDescent="0.15">
      <c r="A2198" s="5" t="str">
        <f ca="1">IFERROR(__xludf.DUMMYFUNCTION("""COMPUTED_VALUE"""),"39857")</f>
        <v>39857</v>
      </c>
      <c r="B2198" s="51">
        <f ca="1">IFERROR(__xludf.DUMMYFUNCTION("""COMPUTED_VALUE"""),44629)</f>
        <v>44629</v>
      </c>
      <c r="C2198" s="22">
        <f ca="1">IFERROR(__xludf.DUMMYFUNCTION("""COMPUTED_VALUE"""),391158.8369882)</f>
        <v>391158.83698820003</v>
      </c>
      <c r="D2198" s="22">
        <f ca="1">IFERROR(__xludf.DUMMYFUNCTION("""COMPUTED_VALUE"""),72234.3235349999)</f>
        <v>72234.323534999901</v>
      </c>
      <c r="E2198" s="22">
        <f ca="1">IFERROR(__xludf.DUMMYFUNCTION("""COMPUTED_VALUE"""),463393.1605232)</f>
        <v>463393.1605232</v>
      </c>
      <c r="F2198" s="22">
        <f ca="1">IFERROR(__xludf.DUMMYFUNCTION("""COMPUTED_VALUE"""),436841.1881418)</f>
        <v>436841.1881418</v>
      </c>
      <c r="G2198" s="22">
        <f ca="1">IFERROR(__xludf.DUMMYFUNCTION("""COMPUTED_VALUE"""),0)</f>
        <v>0</v>
      </c>
      <c r="H2198" s="7">
        <f ca="1">IFERROR(__xludf.DUMMYFUNCTION("""COMPUTED_VALUE"""),458324.7076832)</f>
        <v>458324.70768320002</v>
      </c>
    </row>
    <row r="2199" spans="1:8" ht="13" x14ac:dyDescent="0.15">
      <c r="A2199" s="5" t="str">
        <f ca="1">IFERROR(__xludf.DUMMYFUNCTION("""COMPUTED_VALUE"""),"39857")</f>
        <v>39857</v>
      </c>
      <c r="B2199" s="51">
        <f ca="1">IFERROR(__xludf.DUMMYFUNCTION("""COMPUTED_VALUE"""),44630)</f>
        <v>44630</v>
      </c>
      <c r="C2199" s="22">
        <f ca="1">IFERROR(__xludf.DUMMYFUNCTION("""COMPUTED_VALUE"""),391158.8369882)</f>
        <v>391158.83698820003</v>
      </c>
      <c r="D2199" s="22">
        <f ca="1">IFERROR(__xludf.DUMMYFUNCTION("""COMPUTED_VALUE"""),72084.003785)</f>
        <v>72084.003784999994</v>
      </c>
      <c r="E2199" s="22">
        <f ca="1">IFERROR(__xludf.DUMMYFUNCTION("""COMPUTED_VALUE"""),463242.8407732)</f>
        <v>463242.84077319998</v>
      </c>
      <c r="F2199" s="22">
        <f ca="1">IFERROR(__xludf.DUMMYFUNCTION("""COMPUTED_VALUE"""),436841.1881418)</f>
        <v>436841.1881418</v>
      </c>
      <c r="G2199" s="22">
        <f ca="1">IFERROR(__xludf.DUMMYFUNCTION("""COMPUTED_VALUE"""),0)</f>
        <v>0</v>
      </c>
      <c r="H2199" s="7">
        <f ca="1">IFERROR(__xludf.DUMMYFUNCTION("""COMPUTED_VALUE"""),458354.7716332)</f>
        <v>458354.7716332</v>
      </c>
    </row>
    <row r="2200" spans="1:8" ht="13" x14ac:dyDescent="0.15">
      <c r="A2200" s="5" t="str">
        <f ca="1">IFERROR(__xludf.DUMMYFUNCTION("""COMPUTED_VALUE"""),"39857")</f>
        <v>39857</v>
      </c>
      <c r="B2200" s="51">
        <f ca="1">IFERROR(__xludf.DUMMYFUNCTION("""COMPUTED_VALUE"""),44631)</f>
        <v>44631</v>
      </c>
      <c r="C2200" s="22">
        <f ca="1">IFERROR(__xludf.DUMMYFUNCTION("""COMPUTED_VALUE"""),391158.8369882)</f>
        <v>391158.83698820003</v>
      </c>
      <c r="D2200" s="22">
        <f ca="1">IFERROR(__xludf.DUMMYFUNCTION("""COMPUTED_VALUE"""),96704.0357599999)</f>
        <v>96704.035759999897</v>
      </c>
      <c r="E2200" s="22">
        <f ca="1">IFERROR(__xludf.DUMMYFUNCTION("""COMPUTED_VALUE"""),487862.8727482)</f>
        <v>487862.87274820002</v>
      </c>
      <c r="F2200" s="22">
        <f ca="1">IFERROR(__xludf.DUMMYFUNCTION("""COMPUTED_VALUE"""),436841.1881418)</f>
        <v>436841.1881418</v>
      </c>
      <c r="G2200" s="22">
        <f ca="1">IFERROR(__xludf.DUMMYFUNCTION("""COMPUTED_VALUE"""),0)</f>
        <v>0</v>
      </c>
      <c r="H2200" s="7">
        <f ca="1">IFERROR(__xludf.DUMMYFUNCTION("""COMPUTED_VALUE"""),453430.7652382)</f>
        <v>453430.76523820002</v>
      </c>
    </row>
    <row r="2201" spans="1:8" ht="13" x14ac:dyDescent="0.15">
      <c r="A2201" s="5" t="str">
        <f ca="1">IFERROR(__xludf.DUMMYFUNCTION("""COMPUTED_VALUE"""),"39857")</f>
        <v>39857</v>
      </c>
      <c r="B2201" s="51">
        <f ca="1">IFERROR(__xludf.DUMMYFUNCTION("""COMPUTED_VALUE"""),44632)</f>
        <v>44632</v>
      </c>
      <c r="C2201" s="22">
        <f ca="1">IFERROR(__xludf.DUMMYFUNCTION("""COMPUTED_VALUE"""),391158.8369882)</f>
        <v>391158.83698820003</v>
      </c>
      <c r="D2201" s="22">
        <f ca="1">IFERROR(__xludf.DUMMYFUNCTION("""COMPUTED_VALUE"""),96704.0357599999)</f>
        <v>96704.035759999897</v>
      </c>
      <c r="E2201" s="22">
        <f ca="1">IFERROR(__xludf.DUMMYFUNCTION("""COMPUTED_VALUE"""),487862.8727482)</f>
        <v>487862.87274820002</v>
      </c>
      <c r="F2201" s="22">
        <f ca="1">IFERROR(__xludf.DUMMYFUNCTION("""COMPUTED_VALUE"""),436841.1881418)</f>
        <v>436841.1881418</v>
      </c>
      <c r="G2201" s="22">
        <f ca="1">IFERROR(__xludf.DUMMYFUNCTION("""COMPUTED_VALUE"""),0)</f>
        <v>0</v>
      </c>
      <c r="H2201" s="7">
        <f ca="1">IFERROR(__xludf.DUMMYFUNCTION("""COMPUTED_VALUE"""),453430.7652382)</f>
        <v>453430.76523820002</v>
      </c>
    </row>
    <row r="2202" spans="1:8" ht="13" x14ac:dyDescent="0.15">
      <c r="A2202" s="5" t="str">
        <f ca="1">IFERROR(__xludf.DUMMYFUNCTION("""COMPUTED_VALUE"""),"39857")</f>
        <v>39857</v>
      </c>
      <c r="B2202" s="51">
        <f ca="1">IFERROR(__xludf.DUMMYFUNCTION("""COMPUTED_VALUE"""),44633)</f>
        <v>44633</v>
      </c>
      <c r="C2202" s="22">
        <f ca="1">IFERROR(__xludf.DUMMYFUNCTION("""COMPUTED_VALUE"""),391158.8369882)</f>
        <v>391158.83698820003</v>
      </c>
      <c r="D2202" s="22">
        <f ca="1">IFERROR(__xludf.DUMMYFUNCTION("""COMPUTED_VALUE"""),96730.679985)</f>
        <v>96730.679984999995</v>
      </c>
      <c r="E2202" s="22">
        <f ca="1">IFERROR(__xludf.DUMMYFUNCTION("""COMPUTED_VALUE"""),487889.5169732)</f>
        <v>487889.51697320002</v>
      </c>
      <c r="F2202" s="22">
        <f ca="1">IFERROR(__xludf.DUMMYFUNCTION("""COMPUTED_VALUE"""),436841.1881418)</f>
        <v>436841.1881418</v>
      </c>
      <c r="G2202" s="22">
        <f ca="1">IFERROR(__xludf.DUMMYFUNCTION("""COMPUTED_VALUE"""),0)</f>
        <v>0</v>
      </c>
      <c r="H2202" s="7">
        <f ca="1">IFERROR(__xludf.DUMMYFUNCTION("""COMPUTED_VALUE"""),453425.4363932)</f>
        <v>453425.43639320001</v>
      </c>
    </row>
    <row r="2203" spans="1:8" ht="13" x14ac:dyDescent="0.15">
      <c r="A2203" s="5" t="str">
        <f ca="1">IFERROR(__xludf.DUMMYFUNCTION("""COMPUTED_VALUE"""),"39857")</f>
        <v>39857</v>
      </c>
      <c r="B2203" s="51">
        <f ca="1">IFERROR(__xludf.DUMMYFUNCTION("""COMPUTED_VALUE"""),44634)</f>
        <v>44634</v>
      </c>
      <c r="C2203" s="22">
        <f ca="1">IFERROR(__xludf.DUMMYFUNCTION("""COMPUTED_VALUE"""),391158.8369882)</f>
        <v>391158.83698820003</v>
      </c>
      <c r="D2203" s="22">
        <f ca="1">IFERROR(__xludf.DUMMYFUNCTION("""COMPUTED_VALUE"""),108058.560884999)</f>
        <v>108058.56088499899</v>
      </c>
      <c r="E2203" s="22">
        <f ca="1">IFERROR(__xludf.DUMMYFUNCTION("""COMPUTED_VALUE"""),499217.3978732)</f>
        <v>499217.39787320001</v>
      </c>
      <c r="F2203" s="22">
        <f ca="1">IFERROR(__xludf.DUMMYFUNCTION("""COMPUTED_VALUE"""),436841.1881418)</f>
        <v>436841.1881418</v>
      </c>
      <c r="G2203" s="22">
        <f ca="1">IFERROR(__xludf.DUMMYFUNCTION("""COMPUTED_VALUE"""),0)</f>
        <v>0</v>
      </c>
      <c r="H2203" s="7">
        <f ca="1">IFERROR(__xludf.DUMMYFUNCTION("""COMPUTED_VALUE"""),451159.8602132)</f>
        <v>451159.86021319998</v>
      </c>
    </row>
    <row r="2204" spans="1:8" ht="13" x14ac:dyDescent="0.15">
      <c r="A2204" s="5" t="str">
        <f ca="1">IFERROR(__xludf.DUMMYFUNCTION("""COMPUTED_VALUE"""),"39857")</f>
        <v>39857</v>
      </c>
      <c r="B2204" s="51">
        <f ca="1">IFERROR(__xludf.DUMMYFUNCTION("""COMPUTED_VALUE"""),44635)</f>
        <v>44635</v>
      </c>
      <c r="C2204" s="22">
        <f ca="1">IFERROR(__xludf.DUMMYFUNCTION("""COMPUTED_VALUE"""),391158.8369882)</f>
        <v>391158.83698820003</v>
      </c>
      <c r="D2204" s="22">
        <f ca="1">IFERROR(__xludf.DUMMYFUNCTION("""COMPUTED_VALUE"""),94246.0302349999)</f>
        <v>94246.030234999896</v>
      </c>
      <c r="E2204" s="22">
        <f ca="1">IFERROR(__xludf.DUMMYFUNCTION("""COMPUTED_VALUE"""),485404.8672232)</f>
        <v>485404.86722319998</v>
      </c>
      <c r="F2204" s="22">
        <f ca="1">IFERROR(__xludf.DUMMYFUNCTION("""COMPUTED_VALUE"""),436841.1881418)</f>
        <v>436841.1881418</v>
      </c>
      <c r="G2204" s="22">
        <f ca="1">IFERROR(__xludf.DUMMYFUNCTION("""COMPUTED_VALUE"""),0)</f>
        <v>0</v>
      </c>
      <c r="H2204" s="7">
        <f ca="1">IFERROR(__xludf.DUMMYFUNCTION("""COMPUTED_VALUE"""),453922.3663432)</f>
        <v>453922.36634319997</v>
      </c>
    </row>
    <row r="2205" spans="1:8" ht="13" x14ac:dyDescent="0.15">
      <c r="A2205" s="5" t="str">
        <f ca="1">IFERROR(__xludf.DUMMYFUNCTION("""COMPUTED_VALUE"""),"39857")</f>
        <v>39857</v>
      </c>
      <c r="B2205" s="51">
        <f ca="1">IFERROR(__xludf.DUMMYFUNCTION("""COMPUTED_VALUE"""),44636)</f>
        <v>44636</v>
      </c>
      <c r="C2205" s="22">
        <f ca="1">IFERROR(__xludf.DUMMYFUNCTION("""COMPUTED_VALUE"""),391158.8369882)</f>
        <v>391158.83698820003</v>
      </c>
      <c r="D2205" s="22">
        <f ca="1">IFERROR(__xludf.DUMMYFUNCTION("""COMPUTED_VALUE"""),79510.6406849998)</f>
        <v>79510.640684999802</v>
      </c>
      <c r="E2205" s="22">
        <f ca="1">IFERROR(__xludf.DUMMYFUNCTION("""COMPUTED_VALUE"""),470669.4776732)</f>
        <v>470669.47767320002</v>
      </c>
      <c r="F2205" s="22">
        <f ca="1">IFERROR(__xludf.DUMMYFUNCTION("""COMPUTED_VALUE"""),436841.1881418)</f>
        <v>436841.1881418</v>
      </c>
      <c r="G2205" s="22">
        <f ca="1">IFERROR(__xludf.DUMMYFUNCTION("""COMPUTED_VALUE"""),0)</f>
        <v>0</v>
      </c>
      <c r="H2205" s="7">
        <f ca="1">IFERROR(__xludf.DUMMYFUNCTION("""COMPUTED_VALUE"""),456869.4442532)</f>
        <v>456869.44425320002</v>
      </c>
    </row>
    <row r="2206" spans="1:8" ht="13" x14ac:dyDescent="0.15">
      <c r="A2206" s="5" t="str">
        <f ca="1">IFERROR(__xludf.DUMMYFUNCTION("""COMPUTED_VALUE"""),"39857")</f>
        <v>39857</v>
      </c>
      <c r="B2206" s="51">
        <f ca="1">IFERROR(__xludf.DUMMYFUNCTION("""COMPUTED_VALUE"""),44637)</f>
        <v>44637</v>
      </c>
      <c r="C2206" s="22">
        <f ca="1">IFERROR(__xludf.DUMMYFUNCTION("""COMPUTED_VALUE"""),391158.8369882)</f>
        <v>391158.83698820003</v>
      </c>
      <c r="D2206" s="22">
        <f ca="1">IFERROR(__xludf.DUMMYFUNCTION("""COMPUTED_VALUE"""),67400.9960099999)</f>
        <v>67400.996009999901</v>
      </c>
      <c r="E2206" s="22">
        <f ca="1">IFERROR(__xludf.DUMMYFUNCTION("""COMPUTED_VALUE"""),458559.8329982)</f>
        <v>458559.83299820003</v>
      </c>
      <c r="F2206" s="22">
        <f ca="1">IFERROR(__xludf.DUMMYFUNCTION("""COMPUTED_VALUE"""),436841.1881418)</f>
        <v>436841.1881418</v>
      </c>
      <c r="G2206" s="22">
        <f ca="1">IFERROR(__xludf.DUMMYFUNCTION("""COMPUTED_VALUE"""),0)</f>
        <v>0</v>
      </c>
      <c r="H2206" s="7">
        <f ca="1">IFERROR(__xludf.DUMMYFUNCTION("""COMPUTED_VALUE"""),459291.3731882)</f>
        <v>459291.3731882</v>
      </c>
    </row>
    <row r="2207" spans="1:8" ht="13" x14ac:dyDescent="0.15">
      <c r="A2207" s="5" t="str">
        <f ca="1">IFERROR(__xludf.DUMMYFUNCTION("""COMPUTED_VALUE"""),"39857")</f>
        <v>39857</v>
      </c>
      <c r="B2207" s="51">
        <f ca="1">IFERROR(__xludf.DUMMYFUNCTION("""COMPUTED_VALUE"""),44638)</f>
        <v>44638</v>
      </c>
      <c r="C2207" s="22">
        <f ca="1">IFERROR(__xludf.DUMMYFUNCTION("""COMPUTED_VALUE"""),391158.8369882)</f>
        <v>391158.83698820003</v>
      </c>
      <c r="D2207" s="22">
        <f ca="1">IFERROR(__xludf.DUMMYFUNCTION("""COMPUTED_VALUE"""),53832.102985)</f>
        <v>53832.102984999998</v>
      </c>
      <c r="E2207" s="22">
        <f ca="1">IFERROR(__xludf.DUMMYFUNCTION("""COMPUTED_VALUE"""),444990.9399732)</f>
        <v>444990.93997319997</v>
      </c>
      <c r="F2207" s="22">
        <f ca="1">IFERROR(__xludf.DUMMYFUNCTION("""COMPUTED_VALUE"""),436841.1881418)</f>
        <v>436841.1881418</v>
      </c>
      <c r="G2207" s="22">
        <f ca="1">IFERROR(__xludf.DUMMYFUNCTION("""COMPUTED_VALUE"""),0)</f>
        <v>0</v>
      </c>
      <c r="H2207" s="7">
        <f ca="1">IFERROR(__xludf.DUMMYFUNCTION("""COMPUTED_VALUE"""),462005.1517932)</f>
        <v>462005.1517932</v>
      </c>
    </row>
    <row r="2208" spans="1:8" ht="13" x14ac:dyDescent="0.15">
      <c r="A2208" s="5" t="str">
        <f ca="1">IFERROR(__xludf.DUMMYFUNCTION("""COMPUTED_VALUE"""),"39857")</f>
        <v>39857</v>
      </c>
      <c r="B2208" s="51">
        <f ca="1">IFERROR(__xludf.DUMMYFUNCTION("""COMPUTED_VALUE"""),44639)</f>
        <v>44639</v>
      </c>
      <c r="C2208" s="22">
        <f ca="1">IFERROR(__xludf.DUMMYFUNCTION("""COMPUTED_VALUE"""),391158.8369882)</f>
        <v>391158.83698820003</v>
      </c>
      <c r="D2208" s="22">
        <f ca="1">IFERROR(__xludf.DUMMYFUNCTION("""COMPUTED_VALUE"""),53832.102985)</f>
        <v>53832.102984999998</v>
      </c>
      <c r="E2208" s="22">
        <f ca="1">IFERROR(__xludf.DUMMYFUNCTION("""COMPUTED_VALUE"""),444990.9399732)</f>
        <v>444990.93997319997</v>
      </c>
      <c r="F2208" s="22">
        <f ca="1">IFERROR(__xludf.DUMMYFUNCTION("""COMPUTED_VALUE"""),436841.1881418)</f>
        <v>436841.1881418</v>
      </c>
      <c r="G2208" s="22">
        <f ca="1">IFERROR(__xludf.DUMMYFUNCTION("""COMPUTED_VALUE"""),0)</f>
        <v>0</v>
      </c>
      <c r="H2208" s="7">
        <f ca="1">IFERROR(__xludf.DUMMYFUNCTION("""COMPUTED_VALUE"""),462005.1517932)</f>
        <v>462005.1517932</v>
      </c>
    </row>
    <row r="2209" spans="1:8" ht="13" x14ac:dyDescent="0.15">
      <c r="A2209" s="5" t="str">
        <f ca="1">IFERROR(__xludf.DUMMYFUNCTION("""COMPUTED_VALUE"""),"39857")</f>
        <v>39857</v>
      </c>
      <c r="B2209" s="51">
        <f ca="1">IFERROR(__xludf.DUMMYFUNCTION("""COMPUTED_VALUE"""),44640)</f>
        <v>44640</v>
      </c>
      <c r="C2209" s="22">
        <f ca="1">IFERROR(__xludf.DUMMYFUNCTION("""COMPUTED_VALUE"""),391158.8369882)</f>
        <v>391158.83698820003</v>
      </c>
      <c r="D2209" s="22">
        <f ca="1">IFERROR(__xludf.DUMMYFUNCTION("""COMPUTED_VALUE"""),53909.2874825)</f>
        <v>53909.287482500004</v>
      </c>
      <c r="E2209" s="22">
        <f ca="1">IFERROR(__xludf.DUMMYFUNCTION("""COMPUTED_VALUE"""),445068.1244707)</f>
        <v>445068.12447069999</v>
      </c>
      <c r="F2209" s="22">
        <f ca="1">IFERROR(__xludf.DUMMYFUNCTION("""COMPUTED_VALUE"""),436841.1881418)</f>
        <v>436841.1881418</v>
      </c>
      <c r="G2209" s="22">
        <f ca="1">IFERROR(__xludf.DUMMYFUNCTION("""COMPUTED_VALUE"""),0)</f>
        <v>0</v>
      </c>
      <c r="H2209" s="7">
        <f ca="1">IFERROR(__xludf.DUMMYFUNCTION("""COMPUTED_VALUE"""),461989.7148937)</f>
        <v>461989.71489369997</v>
      </c>
    </row>
    <row r="2210" spans="1:8" ht="13" x14ac:dyDescent="0.15">
      <c r="A2210" s="5" t="str">
        <f ca="1">IFERROR(__xludf.DUMMYFUNCTION("""COMPUTED_VALUE"""),"39857")</f>
        <v>39857</v>
      </c>
      <c r="B2210" s="51">
        <f ca="1">IFERROR(__xludf.DUMMYFUNCTION("""COMPUTED_VALUE"""),44641)</f>
        <v>44641</v>
      </c>
      <c r="C2210" s="22">
        <f ca="1">IFERROR(__xludf.DUMMYFUNCTION("""COMPUTED_VALUE"""),391158.8369882)</f>
        <v>391158.83698820003</v>
      </c>
      <c r="D2210" s="22">
        <f ca="1">IFERROR(__xludf.DUMMYFUNCTION("""COMPUTED_VALUE"""),47639.1009099999)</f>
        <v>47639.100909999899</v>
      </c>
      <c r="E2210" s="22">
        <f ca="1">IFERROR(__xludf.DUMMYFUNCTION("""COMPUTED_VALUE"""),438797.9378982)</f>
        <v>438797.93789820001</v>
      </c>
      <c r="F2210" s="22">
        <f ca="1">IFERROR(__xludf.DUMMYFUNCTION("""COMPUTED_VALUE"""),436841.1881418)</f>
        <v>436841.1881418</v>
      </c>
      <c r="G2210" s="22">
        <f ca="1">IFERROR(__xludf.DUMMYFUNCTION("""COMPUTED_VALUE"""),0)</f>
        <v>0</v>
      </c>
      <c r="H2210" s="7">
        <f ca="1">IFERROR(__xludf.DUMMYFUNCTION("""COMPUTED_VALUE"""),463243.7522082)</f>
        <v>463243.75220819999</v>
      </c>
    </row>
    <row r="2211" spans="1:8" ht="13" x14ac:dyDescent="0.15">
      <c r="A2211" s="5" t="str">
        <f ca="1">IFERROR(__xludf.DUMMYFUNCTION("""COMPUTED_VALUE"""),"39857")</f>
        <v>39857</v>
      </c>
      <c r="B2211" s="51">
        <f ca="1">IFERROR(__xludf.DUMMYFUNCTION("""COMPUTED_VALUE"""),44642)</f>
        <v>44642</v>
      </c>
      <c r="C2211" s="22">
        <f ca="1">IFERROR(__xludf.DUMMYFUNCTION("""COMPUTED_VALUE"""),391158.8369882)</f>
        <v>391158.83698820003</v>
      </c>
      <c r="D2211" s="22">
        <f ca="1">IFERROR(__xludf.DUMMYFUNCTION("""COMPUTED_VALUE"""),19072.0889599999)</f>
        <v>19072.088959999899</v>
      </c>
      <c r="E2211" s="22">
        <f ca="1">IFERROR(__xludf.DUMMYFUNCTION("""COMPUTED_VALUE"""),410230.9259482)</f>
        <v>410230.92594819999</v>
      </c>
      <c r="F2211" s="22">
        <f ca="1">IFERROR(__xludf.DUMMYFUNCTION("""COMPUTED_VALUE"""),436841.1881418)</f>
        <v>436841.1881418</v>
      </c>
      <c r="G2211" s="22">
        <f ca="1">IFERROR(__xludf.DUMMYFUNCTION("""COMPUTED_VALUE"""),0)</f>
        <v>0</v>
      </c>
      <c r="H2211" s="7">
        <f ca="1">IFERROR(__xludf.DUMMYFUNCTION("""COMPUTED_VALUE"""),468957.1545982)</f>
        <v>468957.1545982</v>
      </c>
    </row>
    <row r="2212" spans="1:8" ht="13" x14ac:dyDescent="0.15">
      <c r="A2212" s="5" t="str">
        <f ca="1">IFERROR(__xludf.DUMMYFUNCTION("""COMPUTED_VALUE"""),"40105")</f>
        <v>40105</v>
      </c>
      <c r="B2212" s="51">
        <f ca="1">IFERROR(__xludf.DUMMYFUNCTION("""COMPUTED_VALUE"""),44597)</f>
        <v>44597</v>
      </c>
      <c r="C2212" s="22">
        <f ca="1">IFERROR(__xludf.DUMMYFUNCTION("""COMPUTED_VALUE"""),500000)</f>
        <v>500000</v>
      </c>
      <c r="D2212" s="22">
        <f ca="1">IFERROR(__xludf.DUMMYFUNCTION("""COMPUTED_VALUE"""),0)</f>
        <v>0</v>
      </c>
      <c r="E2212" s="22">
        <f ca="1">IFERROR(__xludf.DUMMYFUNCTION("""COMPUTED_VALUE"""),500000)</f>
        <v>500000</v>
      </c>
      <c r="F2212" s="22">
        <f ca="1">IFERROR(__xludf.DUMMYFUNCTION("""COMPUTED_VALUE"""),500000)</f>
        <v>500000</v>
      </c>
      <c r="G2212" s="22">
        <f ca="1">IFERROR(__xludf.DUMMYFUNCTION("""COMPUTED_VALUE"""),0)</f>
        <v>0</v>
      </c>
      <c r="H2212" s="7">
        <f ca="1">IFERROR(__xludf.DUMMYFUNCTION("""COMPUTED_VALUE"""),500000)</f>
        <v>500000</v>
      </c>
    </row>
    <row r="2213" spans="1:8" ht="13" x14ac:dyDescent="0.15">
      <c r="A2213" s="5" t="str">
        <f ca="1">IFERROR(__xludf.DUMMYFUNCTION("""COMPUTED_VALUE"""),"40105")</f>
        <v>40105</v>
      </c>
      <c r="B2213" s="51">
        <f ca="1">IFERROR(__xludf.DUMMYFUNCTION("""COMPUTED_VALUE"""),44598)</f>
        <v>44598</v>
      </c>
      <c r="C2213" s="22">
        <f ca="1">IFERROR(__xludf.DUMMYFUNCTION("""COMPUTED_VALUE"""),500000)</f>
        <v>500000</v>
      </c>
      <c r="D2213" s="22">
        <f ca="1">IFERROR(__xludf.DUMMYFUNCTION("""COMPUTED_VALUE"""),0)</f>
        <v>0</v>
      </c>
      <c r="E2213" s="22">
        <f ca="1">IFERROR(__xludf.DUMMYFUNCTION("""COMPUTED_VALUE"""),500000)</f>
        <v>500000</v>
      </c>
      <c r="F2213" s="22">
        <f ca="1">IFERROR(__xludf.DUMMYFUNCTION("""COMPUTED_VALUE"""),500000)</f>
        <v>500000</v>
      </c>
      <c r="G2213" s="22">
        <f ca="1">IFERROR(__xludf.DUMMYFUNCTION("""COMPUTED_VALUE"""),0)</f>
        <v>0</v>
      </c>
      <c r="H2213" s="7">
        <f ca="1">IFERROR(__xludf.DUMMYFUNCTION("""COMPUTED_VALUE"""),500000)</f>
        <v>500000</v>
      </c>
    </row>
    <row r="2214" spans="1:8" ht="13" x14ac:dyDescent="0.15">
      <c r="A2214" s="5" t="str">
        <f ca="1">IFERROR(__xludf.DUMMYFUNCTION("""COMPUTED_VALUE"""),"40105")</f>
        <v>40105</v>
      </c>
      <c r="B2214" s="51">
        <f ca="1">IFERROR(__xludf.DUMMYFUNCTION("""COMPUTED_VALUE"""),44599)</f>
        <v>44599</v>
      </c>
      <c r="C2214" s="22">
        <f ca="1">IFERROR(__xludf.DUMMYFUNCTION("""COMPUTED_VALUE"""),500000)</f>
        <v>500000</v>
      </c>
      <c r="D2214" s="22">
        <f ca="1">IFERROR(__xludf.DUMMYFUNCTION("""COMPUTED_VALUE"""),0)</f>
        <v>0</v>
      </c>
      <c r="E2214" s="22">
        <f ca="1">IFERROR(__xludf.DUMMYFUNCTION("""COMPUTED_VALUE"""),500000)</f>
        <v>500000</v>
      </c>
      <c r="F2214" s="22">
        <f ca="1">IFERROR(__xludf.DUMMYFUNCTION("""COMPUTED_VALUE"""),500000)</f>
        <v>500000</v>
      </c>
      <c r="G2214" s="22">
        <f ca="1">IFERROR(__xludf.DUMMYFUNCTION("""COMPUTED_VALUE"""),0)</f>
        <v>0</v>
      </c>
      <c r="H2214" s="7">
        <f ca="1">IFERROR(__xludf.DUMMYFUNCTION("""COMPUTED_VALUE"""),500000)</f>
        <v>500000</v>
      </c>
    </row>
    <row r="2215" spans="1:8" ht="13" x14ac:dyDescent="0.15">
      <c r="A2215" s="5" t="str">
        <f ca="1">IFERROR(__xludf.DUMMYFUNCTION("""COMPUTED_VALUE"""),"40105")</f>
        <v>40105</v>
      </c>
      <c r="B2215" s="51">
        <f ca="1">IFERROR(__xludf.DUMMYFUNCTION("""COMPUTED_VALUE"""),44600)</f>
        <v>44600</v>
      </c>
      <c r="C2215" s="22">
        <f ca="1">IFERROR(__xludf.DUMMYFUNCTION("""COMPUTED_VALUE"""),500000)</f>
        <v>500000</v>
      </c>
      <c r="D2215" s="22">
        <f ca="1">IFERROR(__xludf.DUMMYFUNCTION("""COMPUTED_VALUE"""),0)</f>
        <v>0</v>
      </c>
      <c r="E2215" s="22">
        <f ca="1">IFERROR(__xludf.DUMMYFUNCTION("""COMPUTED_VALUE"""),500000)</f>
        <v>500000</v>
      </c>
      <c r="F2215" s="22">
        <f ca="1">IFERROR(__xludf.DUMMYFUNCTION("""COMPUTED_VALUE"""),500000)</f>
        <v>500000</v>
      </c>
      <c r="G2215" s="22">
        <f ca="1">IFERROR(__xludf.DUMMYFUNCTION("""COMPUTED_VALUE"""),0)</f>
        <v>0</v>
      </c>
      <c r="H2215" s="7">
        <f ca="1">IFERROR(__xludf.DUMMYFUNCTION("""COMPUTED_VALUE"""),500000)</f>
        <v>500000</v>
      </c>
    </row>
    <row r="2216" spans="1:8" ht="13" x14ac:dyDescent="0.15">
      <c r="A2216" s="5" t="str">
        <f ca="1">IFERROR(__xludf.DUMMYFUNCTION("""COMPUTED_VALUE"""),"40105")</f>
        <v>40105</v>
      </c>
      <c r="B2216" s="51">
        <f ca="1">IFERROR(__xludf.DUMMYFUNCTION("""COMPUTED_VALUE"""),44601)</f>
        <v>44601</v>
      </c>
      <c r="C2216" s="22">
        <f ca="1">IFERROR(__xludf.DUMMYFUNCTION("""COMPUTED_VALUE"""),500000)</f>
        <v>500000</v>
      </c>
      <c r="D2216" s="22">
        <f ca="1">IFERROR(__xludf.DUMMYFUNCTION("""COMPUTED_VALUE"""),0)</f>
        <v>0</v>
      </c>
      <c r="E2216" s="22">
        <f ca="1">IFERROR(__xludf.DUMMYFUNCTION("""COMPUTED_VALUE"""),500000)</f>
        <v>500000</v>
      </c>
      <c r="F2216" s="22">
        <f ca="1">IFERROR(__xludf.DUMMYFUNCTION("""COMPUTED_VALUE"""),500000)</f>
        <v>500000</v>
      </c>
      <c r="G2216" s="22">
        <f ca="1">IFERROR(__xludf.DUMMYFUNCTION("""COMPUTED_VALUE"""),0)</f>
        <v>0</v>
      </c>
      <c r="H2216" s="7">
        <f ca="1">IFERROR(__xludf.DUMMYFUNCTION("""COMPUTED_VALUE"""),500000)</f>
        <v>500000</v>
      </c>
    </row>
    <row r="2217" spans="1:8" ht="13" x14ac:dyDescent="0.15">
      <c r="A2217" s="5" t="str">
        <f ca="1">IFERROR(__xludf.DUMMYFUNCTION("""COMPUTED_VALUE"""),"40105")</f>
        <v>40105</v>
      </c>
      <c r="B2217" s="51">
        <f ca="1">IFERROR(__xludf.DUMMYFUNCTION("""COMPUTED_VALUE"""),44602)</f>
        <v>44602</v>
      </c>
      <c r="C2217" s="22">
        <f ca="1">IFERROR(__xludf.DUMMYFUNCTION("""COMPUTED_VALUE"""),500000)</f>
        <v>500000</v>
      </c>
      <c r="D2217" s="22">
        <f ca="1">IFERROR(__xludf.DUMMYFUNCTION("""COMPUTED_VALUE"""),0)</f>
        <v>0</v>
      </c>
      <c r="E2217" s="22">
        <f ca="1">IFERROR(__xludf.DUMMYFUNCTION("""COMPUTED_VALUE"""),500000)</f>
        <v>500000</v>
      </c>
      <c r="F2217" s="22">
        <f ca="1">IFERROR(__xludf.DUMMYFUNCTION("""COMPUTED_VALUE"""),500000)</f>
        <v>500000</v>
      </c>
      <c r="G2217" s="22">
        <f ca="1">IFERROR(__xludf.DUMMYFUNCTION("""COMPUTED_VALUE"""),0)</f>
        <v>0</v>
      </c>
      <c r="H2217" s="7">
        <f ca="1">IFERROR(__xludf.DUMMYFUNCTION("""COMPUTED_VALUE"""),500000)</f>
        <v>500000</v>
      </c>
    </row>
    <row r="2218" spans="1:8" ht="13" x14ac:dyDescent="0.15">
      <c r="A2218" s="5" t="str">
        <f ca="1">IFERROR(__xludf.DUMMYFUNCTION("""COMPUTED_VALUE"""),"40105")</f>
        <v>40105</v>
      </c>
      <c r="B2218" s="51">
        <f ca="1">IFERROR(__xludf.DUMMYFUNCTION("""COMPUTED_VALUE"""),44603)</f>
        <v>44603</v>
      </c>
      <c r="C2218" s="22">
        <f ca="1">IFERROR(__xludf.DUMMYFUNCTION("""COMPUTED_VALUE"""),500000)</f>
        <v>500000</v>
      </c>
      <c r="D2218" s="22">
        <f ca="1">IFERROR(__xludf.DUMMYFUNCTION("""COMPUTED_VALUE"""),0)</f>
        <v>0</v>
      </c>
      <c r="E2218" s="22">
        <f ca="1">IFERROR(__xludf.DUMMYFUNCTION("""COMPUTED_VALUE"""),500000)</f>
        <v>500000</v>
      </c>
      <c r="F2218" s="22">
        <f ca="1">IFERROR(__xludf.DUMMYFUNCTION("""COMPUTED_VALUE"""),500000)</f>
        <v>500000</v>
      </c>
      <c r="G2218" s="22">
        <f ca="1">IFERROR(__xludf.DUMMYFUNCTION("""COMPUTED_VALUE"""),0)</f>
        <v>0</v>
      </c>
      <c r="H2218" s="7">
        <f ca="1">IFERROR(__xludf.DUMMYFUNCTION("""COMPUTED_VALUE"""),500000)</f>
        <v>500000</v>
      </c>
    </row>
    <row r="2219" spans="1:8" ht="13" x14ac:dyDescent="0.15">
      <c r="A2219" s="5" t="str">
        <f ca="1">IFERROR(__xludf.DUMMYFUNCTION("""COMPUTED_VALUE"""),"40105")</f>
        <v>40105</v>
      </c>
      <c r="B2219" s="51">
        <f ca="1">IFERROR(__xludf.DUMMYFUNCTION("""COMPUTED_VALUE"""),44604)</f>
        <v>44604</v>
      </c>
      <c r="C2219" s="22">
        <f ca="1">IFERROR(__xludf.DUMMYFUNCTION("""COMPUTED_VALUE"""),500000)</f>
        <v>500000</v>
      </c>
      <c r="D2219" s="22">
        <f ca="1">IFERROR(__xludf.DUMMYFUNCTION("""COMPUTED_VALUE"""),0)</f>
        <v>0</v>
      </c>
      <c r="E2219" s="22">
        <f ca="1">IFERROR(__xludf.DUMMYFUNCTION("""COMPUTED_VALUE"""),500000)</f>
        <v>500000</v>
      </c>
      <c r="F2219" s="22">
        <f ca="1">IFERROR(__xludf.DUMMYFUNCTION("""COMPUTED_VALUE"""),500000)</f>
        <v>500000</v>
      </c>
      <c r="G2219" s="22">
        <f ca="1">IFERROR(__xludf.DUMMYFUNCTION("""COMPUTED_VALUE"""),0)</f>
        <v>0</v>
      </c>
      <c r="H2219" s="7">
        <f ca="1">IFERROR(__xludf.DUMMYFUNCTION("""COMPUTED_VALUE"""),500000)</f>
        <v>500000</v>
      </c>
    </row>
    <row r="2220" spans="1:8" ht="13" x14ac:dyDescent="0.15">
      <c r="A2220" s="5" t="str">
        <f ca="1">IFERROR(__xludf.DUMMYFUNCTION("""COMPUTED_VALUE"""),"40105")</f>
        <v>40105</v>
      </c>
      <c r="B2220" s="51">
        <f ca="1">IFERROR(__xludf.DUMMYFUNCTION("""COMPUTED_VALUE"""),44605)</f>
        <v>44605</v>
      </c>
      <c r="C2220" s="22">
        <f ca="1">IFERROR(__xludf.DUMMYFUNCTION("""COMPUTED_VALUE"""),400000)</f>
        <v>400000</v>
      </c>
      <c r="D2220" s="22">
        <f ca="1">IFERROR(__xludf.DUMMYFUNCTION("""COMPUTED_VALUE"""),100000)</f>
        <v>100000</v>
      </c>
      <c r="E2220" s="22">
        <f ca="1">IFERROR(__xludf.DUMMYFUNCTION("""COMPUTED_VALUE"""),500000)</f>
        <v>500000</v>
      </c>
      <c r="F2220" s="22">
        <f ca="1">IFERROR(__xludf.DUMMYFUNCTION("""COMPUTED_VALUE"""),400000)</f>
        <v>400000</v>
      </c>
      <c r="G2220" s="22">
        <f ca="1">IFERROR(__xludf.DUMMYFUNCTION("""COMPUTED_VALUE"""),0)</f>
        <v>0</v>
      </c>
      <c r="H2220" s="7">
        <f ca="1">IFERROR(__xludf.DUMMYFUNCTION("""COMPUTED_VALUE"""),500000)</f>
        <v>500000</v>
      </c>
    </row>
    <row r="2221" spans="1:8" ht="13" x14ac:dyDescent="0.15">
      <c r="A2221" s="5" t="str">
        <f ca="1">IFERROR(__xludf.DUMMYFUNCTION("""COMPUTED_VALUE"""),"40105")</f>
        <v>40105</v>
      </c>
      <c r="B2221" s="51">
        <f ca="1">IFERROR(__xludf.DUMMYFUNCTION("""COMPUTED_VALUE"""),44606)</f>
        <v>44606</v>
      </c>
      <c r="C2221" s="22">
        <f ca="1">IFERROR(__xludf.DUMMYFUNCTION("""COMPUTED_VALUE"""),400000)</f>
        <v>400000</v>
      </c>
      <c r="D2221" s="22">
        <f ca="1">IFERROR(__xludf.DUMMYFUNCTION("""COMPUTED_VALUE"""),100000)</f>
        <v>100000</v>
      </c>
      <c r="E2221" s="22">
        <f ca="1">IFERROR(__xludf.DUMMYFUNCTION("""COMPUTED_VALUE"""),500000)</f>
        <v>500000</v>
      </c>
      <c r="F2221" s="22">
        <f ca="1">IFERROR(__xludf.DUMMYFUNCTION("""COMPUTED_VALUE"""),400000)</f>
        <v>400000</v>
      </c>
      <c r="G2221" s="22">
        <f ca="1">IFERROR(__xludf.DUMMYFUNCTION("""COMPUTED_VALUE"""),0)</f>
        <v>0</v>
      </c>
      <c r="H2221" s="7">
        <f ca="1">IFERROR(__xludf.DUMMYFUNCTION("""COMPUTED_VALUE"""),500000)</f>
        <v>500000</v>
      </c>
    </row>
    <row r="2222" spans="1:8" ht="13" x14ac:dyDescent="0.15">
      <c r="A2222" s="5" t="str">
        <f ca="1">IFERROR(__xludf.DUMMYFUNCTION("""COMPUTED_VALUE"""),"40105")</f>
        <v>40105</v>
      </c>
      <c r="B2222" s="51">
        <f ca="1">IFERROR(__xludf.DUMMYFUNCTION("""COMPUTED_VALUE"""),44607)</f>
        <v>44607</v>
      </c>
      <c r="C2222" s="22">
        <f ca="1">IFERROR(__xludf.DUMMYFUNCTION("""COMPUTED_VALUE"""),400000)</f>
        <v>400000</v>
      </c>
      <c r="D2222" s="22">
        <f ca="1">IFERROR(__xludf.DUMMYFUNCTION("""COMPUTED_VALUE"""),100000)</f>
        <v>100000</v>
      </c>
      <c r="E2222" s="22">
        <f ca="1">IFERROR(__xludf.DUMMYFUNCTION("""COMPUTED_VALUE"""),500000)</f>
        <v>500000</v>
      </c>
      <c r="F2222" s="22">
        <f ca="1">IFERROR(__xludf.DUMMYFUNCTION("""COMPUTED_VALUE"""),400000)</f>
        <v>400000</v>
      </c>
      <c r="G2222" s="22">
        <f ca="1">IFERROR(__xludf.DUMMYFUNCTION("""COMPUTED_VALUE"""),0)</f>
        <v>0</v>
      </c>
      <c r="H2222" s="7">
        <f ca="1">IFERROR(__xludf.DUMMYFUNCTION("""COMPUTED_VALUE"""),500000)</f>
        <v>500000</v>
      </c>
    </row>
    <row r="2223" spans="1:8" ht="13" x14ac:dyDescent="0.15">
      <c r="A2223" s="5" t="str">
        <f ca="1">IFERROR(__xludf.DUMMYFUNCTION("""COMPUTED_VALUE"""),"40105")</f>
        <v>40105</v>
      </c>
      <c r="B2223" s="51">
        <f ca="1">IFERROR(__xludf.DUMMYFUNCTION("""COMPUTED_VALUE"""),44608)</f>
        <v>44608</v>
      </c>
      <c r="C2223" s="22">
        <f ca="1">IFERROR(__xludf.DUMMYFUNCTION("""COMPUTED_VALUE"""),400000)</f>
        <v>400000</v>
      </c>
      <c r="D2223" s="22">
        <f ca="1">IFERROR(__xludf.DUMMYFUNCTION("""COMPUTED_VALUE"""),100000)</f>
        <v>100000</v>
      </c>
      <c r="E2223" s="22">
        <f ca="1">IFERROR(__xludf.DUMMYFUNCTION("""COMPUTED_VALUE"""),500000)</f>
        <v>500000</v>
      </c>
      <c r="F2223" s="22">
        <f ca="1">IFERROR(__xludf.DUMMYFUNCTION("""COMPUTED_VALUE"""),400000)</f>
        <v>400000</v>
      </c>
      <c r="G2223" s="22">
        <f ca="1">IFERROR(__xludf.DUMMYFUNCTION("""COMPUTED_VALUE"""),0)</f>
        <v>0</v>
      </c>
      <c r="H2223" s="7">
        <f ca="1">IFERROR(__xludf.DUMMYFUNCTION("""COMPUTED_VALUE"""),500000)</f>
        <v>500000</v>
      </c>
    </row>
    <row r="2224" spans="1:8" ht="13" x14ac:dyDescent="0.15">
      <c r="A2224" s="5" t="str">
        <f ca="1">IFERROR(__xludf.DUMMYFUNCTION("""COMPUTED_VALUE"""),"40105")</f>
        <v>40105</v>
      </c>
      <c r="B2224" s="51">
        <f ca="1">IFERROR(__xludf.DUMMYFUNCTION("""COMPUTED_VALUE"""),44609)</f>
        <v>44609</v>
      </c>
      <c r="C2224" s="22">
        <f ca="1">IFERROR(__xludf.DUMMYFUNCTION("""COMPUTED_VALUE"""),42137.608225)</f>
        <v>42137.608225000004</v>
      </c>
      <c r="D2224" s="22">
        <f ca="1">IFERROR(__xludf.DUMMYFUNCTION("""COMPUTED_VALUE"""),457862.391774999)</f>
        <v>457862.39177499898</v>
      </c>
      <c r="E2224" s="22">
        <f ca="1">IFERROR(__xludf.DUMMYFUNCTION("""COMPUTED_VALUE"""),500000)</f>
        <v>500000</v>
      </c>
      <c r="F2224" s="22">
        <f ca="1">IFERROR(__xludf.DUMMYFUNCTION("""COMPUTED_VALUE"""),42137.608225)</f>
        <v>42137.608225000004</v>
      </c>
      <c r="G2224" s="22">
        <f ca="1">IFERROR(__xludf.DUMMYFUNCTION("""COMPUTED_VALUE"""),0)</f>
        <v>0</v>
      </c>
      <c r="H2224" s="7">
        <f ca="1">IFERROR(__xludf.DUMMYFUNCTION("""COMPUTED_VALUE"""),500000)</f>
        <v>500000</v>
      </c>
    </row>
    <row r="2225" spans="1:8" ht="13" x14ac:dyDescent="0.15">
      <c r="A2225" s="5" t="str">
        <f ca="1">IFERROR(__xludf.DUMMYFUNCTION("""COMPUTED_VALUE"""),"40105")</f>
        <v>40105</v>
      </c>
      <c r="B2225" s="51">
        <f ca="1">IFERROR(__xludf.DUMMYFUNCTION("""COMPUTED_VALUE"""),44610)</f>
        <v>44610</v>
      </c>
      <c r="C2225" s="22">
        <f ca="1">IFERROR(__xludf.DUMMYFUNCTION("""COMPUTED_VALUE"""),42137.608225)</f>
        <v>42137.608225000004</v>
      </c>
      <c r="D2225" s="22">
        <f ca="1">IFERROR(__xludf.DUMMYFUNCTION("""COMPUTED_VALUE"""),457862.391774999)</f>
        <v>457862.39177499898</v>
      </c>
      <c r="E2225" s="22">
        <f ca="1">IFERROR(__xludf.DUMMYFUNCTION("""COMPUTED_VALUE"""),500000)</f>
        <v>500000</v>
      </c>
      <c r="F2225" s="22">
        <f ca="1">IFERROR(__xludf.DUMMYFUNCTION("""COMPUTED_VALUE"""),42137.608225)</f>
        <v>42137.608225000004</v>
      </c>
      <c r="G2225" s="22">
        <f ca="1">IFERROR(__xludf.DUMMYFUNCTION("""COMPUTED_VALUE"""),0)</f>
        <v>0</v>
      </c>
      <c r="H2225" s="7">
        <f ca="1">IFERROR(__xludf.DUMMYFUNCTION("""COMPUTED_VALUE"""),496343.166305)</f>
        <v>496343.16630500002</v>
      </c>
    </row>
    <row r="2226" spans="1:8" ht="13" x14ac:dyDescent="0.15">
      <c r="A2226" s="5" t="str">
        <f ca="1">IFERROR(__xludf.DUMMYFUNCTION("""COMPUTED_VALUE"""),"40105")</f>
        <v>40105</v>
      </c>
      <c r="B2226" s="51">
        <f ca="1">IFERROR(__xludf.DUMMYFUNCTION("""COMPUTED_VALUE"""),44611)</f>
        <v>44611</v>
      </c>
      <c r="C2226" s="22">
        <f ca="1">IFERROR(__xludf.DUMMYFUNCTION("""COMPUTED_VALUE"""),42137.608225)</f>
        <v>42137.608225000004</v>
      </c>
      <c r="D2226" s="22">
        <f ca="1">IFERROR(__xludf.DUMMYFUNCTION("""COMPUTED_VALUE"""),457862.391774999)</f>
        <v>457862.39177499898</v>
      </c>
      <c r="E2226" s="22">
        <f ca="1">IFERROR(__xludf.DUMMYFUNCTION("""COMPUTED_VALUE"""),500000)</f>
        <v>500000</v>
      </c>
      <c r="F2226" s="22">
        <f ca="1">IFERROR(__xludf.DUMMYFUNCTION("""COMPUTED_VALUE"""),42137.608225)</f>
        <v>42137.608225000004</v>
      </c>
      <c r="G2226" s="22">
        <f ca="1">IFERROR(__xludf.DUMMYFUNCTION("""COMPUTED_VALUE"""),0)</f>
        <v>0</v>
      </c>
      <c r="H2226" s="7">
        <f ca="1">IFERROR(__xludf.DUMMYFUNCTION("""COMPUTED_VALUE"""),496343.166305)</f>
        <v>496343.16630500002</v>
      </c>
    </row>
    <row r="2227" spans="1:8" ht="13" x14ac:dyDescent="0.15">
      <c r="A2227" s="5" t="str">
        <f ca="1">IFERROR(__xludf.DUMMYFUNCTION("""COMPUTED_VALUE"""),"40105")</f>
        <v>40105</v>
      </c>
      <c r="B2227" s="51">
        <f ca="1">IFERROR(__xludf.DUMMYFUNCTION("""COMPUTED_VALUE"""),44612)</f>
        <v>44612</v>
      </c>
      <c r="C2227" s="22">
        <f ca="1">IFERROR(__xludf.DUMMYFUNCTION("""COMPUTED_VALUE"""),42137.608225)</f>
        <v>42137.608225000004</v>
      </c>
      <c r="D2227" s="22">
        <f ca="1">IFERROR(__xludf.DUMMYFUNCTION("""COMPUTED_VALUE"""),457862.391774999)</f>
        <v>457862.39177499898</v>
      </c>
      <c r="E2227" s="22">
        <f ca="1">IFERROR(__xludf.DUMMYFUNCTION("""COMPUTED_VALUE"""),500000)</f>
        <v>500000</v>
      </c>
      <c r="F2227" s="22">
        <f ca="1">IFERROR(__xludf.DUMMYFUNCTION("""COMPUTED_VALUE"""),42137.608225)</f>
        <v>42137.608225000004</v>
      </c>
      <c r="G2227" s="22">
        <f ca="1">IFERROR(__xludf.DUMMYFUNCTION("""COMPUTED_VALUE"""),0)</f>
        <v>0</v>
      </c>
      <c r="H2227" s="7">
        <f ca="1">IFERROR(__xludf.DUMMYFUNCTION("""COMPUTED_VALUE"""),496331.133185)</f>
        <v>496331.13318499998</v>
      </c>
    </row>
    <row r="2228" spans="1:8" ht="13" x14ac:dyDescent="0.15">
      <c r="A2228" s="5" t="str">
        <f ca="1">IFERROR(__xludf.DUMMYFUNCTION("""COMPUTED_VALUE"""),"40105")</f>
        <v>40105</v>
      </c>
      <c r="B2228" s="51">
        <f ca="1">IFERROR(__xludf.DUMMYFUNCTION("""COMPUTED_VALUE"""),44613)</f>
        <v>44613</v>
      </c>
      <c r="C2228" s="22">
        <f ca="1">IFERROR(__xludf.DUMMYFUNCTION("""COMPUTED_VALUE"""),42137.608225)</f>
        <v>42137.608225000004</v>
      </c>
      <c r="D2228" s="22">
        <f ca="1">IFERROR(__xludf.DUMMYFUNCTION("""COMPUTED_VALUE"""),457862.391774999)</f>
        <v>457862.39177499898</v>
      </c>
      <c r="E2228" s="22">
        <f ca="1">IFERROR(__xludf.DUMMYFUNCTION("""COMPUTED_VALUE"""),500000)</f>
        <v>500000</v>
      </c>
      <c r="F2228" s="22">
        <f ca="1">IFERROR(__xludf.DUMMYFUNCTION("""COMPUTED_VALUE"""),42137.608225)</f>
        <v>42137.608225000004</v>
      </c>
      <c r="G2228" s="22">
        <f ca="1">IFERROR(__xludf.DUMMYFUNCTION("""COMPUTED_VALUE"""),0)</f>
        <v>0</v>
      </c>
      <c r="H2228" s="7">
        <f ca="1">IFERROR(__xludf.DUMMYFUNCTION("""COMPUTED_VALUE"""),496365.643265)</f>
        <v>496365.64326500002</v>
      </c>
    </row>
    <row r="2229" spans="1:8" ht="13" x14ac:dyDescent="0.15">
      <c r="A2229" s="5" t="str">
        <f ca="1">IFERROR(__xludf.DUMMYFUNCTION("""COMPUTED_VALUE"""),"40105")</f>
        <v>40105</v>
      </c>
      <c r="B2229" s="51">
        <f ca="1">IFERROR(__xludf.DUMMYFUNCTION("""COMPUTED_VALUE"""),44614)</f>
        <v>44614</v>
      </c>
      <c r="C2229" s="22">
        <f ca="1">IFERROR(__xludf.DUMMYFUNCTION("""COMPUTED_VALUE"""),42137.608225)</f>
        <v>42137.608225000004</v>
      </c>
      <c r="D2229" s="22">
        <f ca="1">IFERROR(__xludf.DUMMYFUNCTION("""COMPUTED_VALUE"""),457862.391774999)</f>
        <v>457862.39177499898</v>
      </c>
      <c r="E2229" s="22">
        <f ca="1">IFERROR(__xludf.DUMMYFUNCTION("""COMPUTED_VALUE"""),500000)</f>
        <v>500000</v>
      </c>
      <c r="F2229" s="22">
        <f ca="1">IFERROR(__xludf.DUMMYFUNCTION("""COMPUTED_VALUE"""),42137.608225)</f>
        <v>42137.608225000004</v>
      </c>
      <c r="G2229" s="22">
        <f ca="1">IFERROR(__xludf.DUMMYFUNCTION("""COMPUTED_VALUE"""),0)</f>
        <v>0</v>
      </c>
      <c r="H2229" s="7">
        <f ca="1">IFERROR(__xludf.DUMMYFUNCTION("""COMPUTED_VALUE"""),488745.955475)</f>
        <v>488745.95547500002</v>
      </c>
    </row>
    <row r="2230" spans="1:8" ht="13" x14ac:dyDescent="0.15">
      <c r="A2230" s="5" t="str">
        <f ca="1">IFERROR(__xludf.DUMMYFUNCTION("""COMPUTED_VALUE"""),"40105")</f>
        <v>40105</v>
      </c>
      <c r="B2230" s="51">
        <f ca="1">IFERROR(__xludf.DUMMYFUNCTION("""COMPUTED_VALUE"""),44615)</f>
        <v>44615</v>
      </c>
      <c r="C2230" s="22">
        <f ca="1">IFERROR(__xludf.DUMMYFUNCTION("""COMPUTED_VALUE"""),42137.608225)</f>
        <v>42137.608225000004</v>
      </c>
      <c r="D2230" s="22">
        <f ca="1">IFERROR(__xludf.DUMMYFUNCTION("""COMPUTED_VALUE"""),457862.391774999)</f>
        <v>457862.39177499898</v>
      </c>
      <c r="E2230" s="22">
        <f ca="1">IFERROR(__xludf.DUMMYFUNCTION("""COMPUTED_VALUE"""),500000)</f>
        <v>500000</v>
      </c>
      <c r="F2230" s="22">
        <f ca="1">IFERROR(__xludf.DUMMYFUNCTION("""COMPUTED_VALUE"""),42137.608225)</f>
        <v>42137.608225000004</v>
      </c>
      <c r="G2230" s="22">
        <f ca="1">IFERROR(__xludf.DUMMYFUNCTION("""COMPUTED_VALUE"""),0)</f>
        <v>0</v>
      </c>
      <c r="H2230" s="7">
        <f ca="1">IFERROR(__xludf.DUMMYFUNCTION("""COMPUTED_VALUE"""),483711.905675)</f>
        <v>483711.90567499999</v>
      </c>
    </row>
    <row r="2231" spans="1:8" ht="13" x14ac:dyDescent="0.15">
      <c r="A2231" s="5" t="str">
        <f ca="1">IFERROR(__xludf.DUMMYFUNCTION("""COMPUTED_VALUE"""),"40105")</f>
        <v>40105</v>
      </c>
      <c r="B2231" s="51">
        <f ca="1">IFERROR(__xludf.DUMMYFUNCTION("""COMPUTED_VALUE"""),44616)</f>
        <v>44616</v>
      </c>
      <c r="C2231" s="22">
        <f ca="1">IFERROR(__xludf.DUMMYFUNCTION("""COMPUTED_VALUE"""),42137.608225)</f>
        <v>42137.608225000004</v>
      </c>
      <c r="D2231" s="22">
        <f ca="1">IFERROR(__xludf.DUMMYFUNCTION("""COMPUTED_VALUE"""),457862.391774999)</f>
        <v>457862.39177499898</v>
      </c>
      <c r="E2231" s="22">
        <f ca="1">IFERROR(__xludf.DUMMYFUNCTION("""COMPUTED_VALUE"""),500000)</f>
        <v>500000</v>
      </c>
      <c r="F2231" s="22">
        <f ca="1">IFERROR(__xludf.DUMMYFUNCTION("""COMPUTED_VALUE"""),42137.608225)</f>
        <v>42137.608225000004</v>
      </c>
      <c r="G2231" s="22">
        <f ca="1">IFERROR(__xludf.DUMMYFUNCTION("""COMPUTED_VALUE"""),0)</f>
        <v>0</v>
      </c>
      <c r="H2231" s="7">
        <f ca="1">IFERROR(__xludf.DUMMYFUNCTION("""COMPUTED_VALUE"""),492080.963225)</f>
        <v>492080.96322500001</v>
      </c>
    </row>
    <row r="2232" spans="1:8" ht="13" x14ac:dyDescent="0.15">
      <c r="A2232" s="5" t="str">
        <f ca="1">IFERROR(__xludf.DUMMYFUNCTION("""COMPUTED_VALUE"""),"40105")</f>
        <v>40105</v>
      </c>
      <c r="B2232" s="51">
        <f ca="1">IFERROR(__xludf.DUMMYFUNCTION("""COMPUTED_VALUE"""),44617)</f>
        <v>44617</v>
      </c>
      <c r="C2232" s="22">
        <f ca="1">IFERROR(__xludf.DUMMYFUNCTION("""COMPUTED_VALUE"""),42137.608225)</f>
        <v>42137.608225000004</v>
      </c>
      <c r="D2232" s="22">
        <f ca="1">IFERROR(__xludf.DUMMYFUNCTION("""COMPUTED_VALUE"""),457862.391774999)</f>
        <v>457862.39177499898</v>
      </c>
      <c r="E2232" s="22">
        <f ca="1">IFERROR(__xludf.DUMMYFUNCTION("""COMPUTED_VALUE"""),500000)</f>
        <v>500000</v>
      </c>
      <c r="F2232" s="22">
        <f ca="1">IFERROR(__xludf.DUMMYFUNCTION("""COMPUTED_VALUE"""),42137.608225)</f>
        <v>42137.608225000004</v>
      </c>
      <c r="G2232" s="22">
        <f ca="1">IFERROR(__xludf.DUMMYFUNCTION("""COMPUTED_VALUE"""),0)</f>
        <v>0</v>
      </c>
      <c r="H2232" s="7">
        <f ca="1">IFERROR(__xludf.DUMMYFUNCTION("""COMPUTED_VALUE"""),492414.39953)</f>
        <v>492414.39953</v>
      </c>
    </row>
    <row r="2233" spans="1:8" ht="13" x14ac:dyDescent="0.15">
      <c r="A2233" s="5" t="str">
        <f ca="1">IFERROR(__xludf.DUMMYFUNCTION("""COMPUTED_VALUE"""),"40105")</f>
        <v>40105</v>
      </c>
      <c r="B2233" s="51">
        <f ca="1">IFERROR(__xludf.DUMMYFUNCTION("""COMPUTED_VALUE"""),44618)</f>
        <v>44618</v>
      </c>
      <c r="C2233" s="22">
        <f ca="1">IFERROR(__xludf.DUMMYFUNCTION("""COMPUTED_VALUE"""),42137.608225)</f>
        <v>42137.608225000004</v>
      </c>
      <c r="D2233" s="22">
        <f ca="1">IFERROR(__xludf.DUMMYFUNCTION("""COMPUTED_VALUE"""),457862.391774999)</f>
        <v>457862.39177499898</v>
      </c>
      <c r="E2233" s="22">
        <f ca="1">IFERROR(__xludf.DUMMYFUNCTION("""COMPUTED_VALUE"""),500000)</f>
        <v>500000</v>
      </c>
      <c r="F2233" s="22">
        <f ca="1">IFERROR(__xludf.DUMMYFUNCTION("""COMPUTED_VALUE"""),42137.608225)</f>
        <v>42137.608225000004</v>
      </c>
      <c r="G2233" s="22">
        <f ca="1">IFERROR(__xludf.DUMMYFUNCTION("""COMPUTED_VALUE"""),0)</f>
        <v>0</v>
      </c>
      <c r="H2233" s="7">
        <f ca="1">IFERROR(__xludf.DUMMYFUNCTION("""COMPUTED_VALUE"""),492421.12838)</f>
        <v>492421.12838000001</v>
      </c>
    </row>
    <row r="2234" spans="1:8" ht="13" x14ac:dyDescent="0.15">
      <c r="A2234" s="5" t="str">
        <f ca="1">IFERROR(__xludf.DUMMYFUNCTION("""COMPUTED_VALUE"""),"40105")</f>
        <v>40105</v>
      </c>
      <c r="B2234" s="51">
        <f ca="1">IFERROR(__xludf.DUMMYFUNCTION("""COMPUTED_VALUE"""),44619)</f>
        <v>44619</v>
      </c>
      <c r="C2234" s="22">
        <f ca="1">IFERROR(__xludf.DUMMYFUNCTION("""COMPUTED_VALUE"""),42137.608225)</f>
        <v>42137.608225000004</v>
      </c>
      <c r="D2234" s="22">
        <f ca="1">IFERROR(__xludf.DUMMYFUNCTION("""COMPUTED_VALUE"""),457862.391774999)</f>
        <v>457862.39177499898</v>
      </c>
      <c r="E2234" s="22">
        <f ca="1">IFERROR(__xludf.DUMMYFUNCTION("""COMPUTED_VALUE"""),500000)</f>
        <v>500000</v>
      </c>
      <c r="F2234" s="22">
        <f ca="1">IFERROR(__xludf.DUMMYFUNCTION("""COMPUTED_VALUE"""),42137.608225)</f>
        <v>42137.608225000004</v>
      </c>
      <c r="G2234" s="22">
        <f ca="1">IFERROR(__xludf.DUMMYFUNCTION("""COMPUTED_VALUE"""),0)</f>
        <v>0</v>
      </c>
      <c r="H2234" s="7">
        <f ca="1">IFERROR(__xludf.DUMMYFUNCTION("""COMPUTED_VALUE"""),492405.652025)</f>
        <v>492405.65202500002</v>
      </c>
    </row>
    <row r="2235" spans="1:8" ht="13" x14ac:dyDescent="0.15">
      <c r="A2235" s="5" t="str">
        <f ca="1">IFERROR(__xludf.DUMMYFUNCTION("""COMPUTED_VALUE"""),"40105")</f>
        <v>40105</v>
      </c>
      <c r="B2235" s="51">
        <f ca="1">IFERROR(__xludf.DUMMYFUNCTION("""COMPUTED_VALUE"""),44620)</f>
        <v>44620</v>
      </c>
      <c r="C2235" s="22">
        <f ca="1">IFERROR(__xludf.DUMMYFUNCTION("""COMPUTED_VALUE"""),42137.608225)</f>
        <v>42137.608225000004</v>
      </c>
      <c r="D2235" s="22">
        <f ca="1">IFERROR(__xludf.DUMMYFUNCTION("""COMPUTED_VALUE"""),457862.391774999)</f>
        <v>457862.39177499898</v>
      </c>
      <c r="E2235" s="22">
        <f ca="1">IFERROR(__xludf.DUMMYFUNCTION("""COMPUTED_VALUE"""),500000)</f>
        <v>500000</v>
      </c>
      <c r="F2235" s="22">
        <f ca="1">IFERROR(__xludf.DUMMYFUNCTION("""COMPUTED_VALUE"""),42137.608225)</f>
        <v>42137.608225000004</v>
      </c>
      <c r="G2235" s="22">
        <f ca="1">IFERROR(__xludf.DUMMYFUNCTION("""COMPUTED_VALUE"""),0)</f>
        <v>0</v>
      </c>
      <c r="H2235" s="7">
        <f ca="1">IFERROR(__xludf.DUMMYFUNCTION("""COMPUTED_VALUE"""),490133.044325)</f>
        <v>490133.04432500002</v>
      </c>
    </row>
    <row r="2236" spans="1:8" ht="13" x14ac:dyDescent="0.15">
      <c r="A2236" s="5" t="str">
        <f ca="1">IFERROR(__xludf.DUMMYFUNCTION("""COMPUTED_VALUE"""),"40105")</f>
        <v>40105</v>
      </c>
      <c r="B2236" s="51">
        <f ca="1">IFERROR(__xludf.DUMMYFUNCTION("""COMPUTED_VALUE"""),44621)</f>
        <v>44621</v>
      </c>
      <c r="C2236" s="22">
        <f ca="1">IFERROR(__xludf.DUMMYFUNCTION("""COMPUTED_VALUE"""),42137.608225)</f>
        <v>42137.608225000004</v>
      </c>
      <c r="D2236" s="22">
        <f ca="1">IFERROR(__xludf.DUMMYFUNCTION("""COMPUTED_VALUE"""),457862.391774999)</f>
        <v>457862.39177499898</v>
      </c>
      <c r="E2236" s="22">
        <f ca="1">IFERROR(__xludf.DUMMYFUNCTION("""COMPUTED_VALUE"""),500000)</f>
        <v>500000</v>
      </c>
      <c r="F2236" s="22">
        <f ca="1">IFERROR(__xludf.DUMMYFUNCTION("""COMPUTED_VALUE"""),42137.608225)</f>
        <v>42137.608225000004</v>
      </c>
      <c r="G2236" s="22">
        <f ca="1">IFERROR(__xludf.DUMMYFUNCTION("""COMPUTED_VALUE"""),0)</f>
        <v>0</v>
      </c>
      <c r="H2236" s="7">
        <f ca="1">IFERROR(__xludf.DUMMYFUNCTION("""COMPUTED_VALUE"""),483766.444775)</f>
        <v>483766.44477499998</v>
      </c>
    </row>
    <row r="2237" spans="1:8" ht="13" x14ac:dyDescent="0.15">
      <c r="A2237" s="5" t="str">
        <f ca="1">IFERROR(__xludf.DUMMYFUNCTION("""COMPUTED_VALUE"""),"40105")</f>
        <v>40105</v>
      </c>
      <c r="B2237" s="51">
        <f ca="1">IFERROR(__xludf.DUMMYFUNCTION("""COMPUTED_VALUE"""),44622)</f>
        <v>44622</v>
      </c>
      <c r="C2237" s="22">
        <f ca="1">IFERROR(__xludf.DUMMYFUNCTION("""COMPUTED_VALUE"""),42137.608225)</f>
        <v>42137.608225000004</v>
      </c>
      <c r="D2237" s="22">
        <f ca="1">IFERROR(__xludf.DUMMYFUNCTION("""COMPUTED_VALUE"""),457862.391774999)</f>
        <v>457862.39177499898</v>
      </c>
      <c r="E2237" s="22">
        <f ca="1">IFERROR(__xludf.DUMMYFUNCTION("""COMPUTED_VALUE"""),500000)</f>
        <v>500000</v>
      </c>
      <c r="F2237" s="22">
        <f ca="1">IFERROR(__xludf.DUMMYFUNCTION("""COMPUTED_VALUE"""),42137.608225)</f>
        <v>42137.608225000004</v>
      </c>
      <c r="G2237" s="22">
        <f ca="1">IFERROR(__xludf.DUMMYFUNCTION("""COMPUTED_VALUE"""),0)</f>
        <v>0</v>
      </c>
      <c r="H2237" s="7">
        <f ca="1">IFERROR(__xludf.DUMMYFUNCTION("""COMPUTED_VALUE"""),487529.826125)</f>
        <v>487529.82612500002</v>
      </c>
    </row>
    <row r="2238" spans="1:8" ht="13" x14ac:dyDescent="0.15">
      <c r="A2238" s="5" t="str">
        <f ca="1">IFERROR(__xludf.DUMMYFUNCTION("""COMPUTED_VALUE"""),"40105")</f>
        <v>40105</v>
      </c>
      <c r="B2238" s="51">
        <f ca="1">IFERROR(__xludf.DUMMYFUNCTION("""COMPUTED_VALUE"""),44623)</f>
        <v>44623</v>
      </c>
      <c r="C2238" s="22">
        <f ca="1">IFERROR(__xludf.DUMMYFUNCTION("""COMPUTED_VALUE"""),42137.608225)</f>
        <v>42137.608225000004</v>
      </c>
      <c r="D2238" s="22">
        <f ca="1">IFERROR(__xludf.DUMMYFUNCTION("""COMPUTED_VALUE"""),457862.391774999)</f>
        <v>457862.39177499898</v>
      </c>
      <c r="E2238" s="22">
        <f ca="1">IFERROR(__xludf.DUMMYFUNCTION("""COMPUTED_VALUE"""),500000)</f>
        <v>500000</v>
      </c>
      <c r="F2238" s="22">
        <f ca="1">IFERROR(__xludf.DUMMYFUNCTION("""COMPUTED_VALUE"""),42137.608225)</f>
        <v>42137.608225000004</v>
      </c>
      <c r="G2238" s="22">
        <f ca="1">IFERROR(__xludf.DUMMYFUNCTION("""COMPUTED_VALUE"""),0)</f>
        <v>0</v>
      </c>
      <c r="H2238" s="7">
        <f ca="1">IFERROR(__xludf.DUMMYFUNCTION("""COMPUTED_VALUE"""),483463.593575)</f>
        <v>483463.59357500001</v>
      </c>
    </row>
    <row r="2239" spans="1:8" ht="13" x14ac:dyDescent="0.15">
      <c r="A2239" s="5" t="str">
        <f ca="1">IFERROR(__xludf.DUMMYFUNCTION("""COMPUTED_VALUE"""),"40105")</f>
        <v>40105</v>
      </c>
      <c r="B2239" s="51">
        <f ca="1">IFERROR(__xludf.DUMMYFUNCTION("""COMPUTED_VALUE"""),44624)</f>
        <v>44624</v>
      </c>
      <c r="C2239" s="22">
        <f ca="1">IFERROR(__xludf.DUMMYFUNCTION("""COMPUTED_VALUE"""),42137.608225)</f>
        <v>42137.608225000004</v>
      </c>
      <c r="D2239" s="22">
        <f ca="1">IFERROR(__xludf.DUMMYFUNCTION("""COMPUTED_VALUE"""),457862.391774999)</f>
        <v>457862.39177499898</v>
      </c>
      <c r="E2239" s="22">
        <f ca="1">IFERROR(__xludf.DUMMYFUNCTION("""COMPUTED_VALUE"""),500000)</f>
        <v>500000</v>
      </c>
      <c r="F2239" s="22">
        <f ca="1">IFERROR(__xludf.DUMMYFUNCTION("""COMPUTED_VALUE"""),42137.608225)</f>
        <v>42137.608225000004</v>
      </c>
      <c r="G2239" s="22">
        <f ca="1">IFERROR(__xludf.DUMMYFUNCTION("""COMPUTED_VALUE"""),0)</f>
        <v>0</v>
      </c>
      <c r="H2239" s="7">
        <f ca="1">IFERROR(__xludf.DUMMYFUNCTION("""COMPUTED_VALUE"""),472025.252705)</f>
        <v>472025.25270499999</v>
      </c>
    </row>
    <row r="2240" spans="1:8" ht="13" x14ac:dyDescent="0.15">
      <c r="A2240" s="5" t="str">
        <f ca="1">IFERROR(__xludf.DUMMYFUNCTION("""COMPUTED_VALUE"""),"40105")</f>
        <v>40105</v>
      </c>
      <c r="B2240" s="51">
        <f ca="1">IFERROR(__xludf.DUMMYFUNCTION("""COMPUTED_VALUE"""),44625)</f>
        <v>44625</v>
      </c>
      <c r="C2240" s="22">
        <f ca="1">IFERROR(__xludf.DUMMYFUNCTION("""COMPUTED_VALUE"""),42137.608225)</f>
        <v>42137.608225000004</v>
      </c>
      <c r="D2240" s="22">
        <f ca="1">IFERROR(__xludf.DUMMYFUNCTION("""COMPUTED_VALUE"""),457862.391774999)</f>
        <v>457862.39177499898</v>
      </c>
      <c r="E2240" s="22">
        <f ca="1">IFERROR(__xludf.DUMMYFUNCTION("""COMPUTED_VALUE"""),500000)</f>
        <v>500000</v>
      </c>
      <c r="F2240" s="22">
        <f ca="1">IFERROR(__xludf.DUMMYFUNCTION("""COMPUTED_VALUE"""),42137.608225)</f>
        <v>42137.608225000004</v>
      </c>
      <c r="G2240" s="22">
        <f ca="1">IFERROR(__xludf.DUMMYFUNCTION("""COMPUTED_VALUE"""),0)</f>
        <v>0</v>
      </c>
      <c r="H2240" s="7">
        <f ca="1">IFERROR(__xludf.DUMMYFUNCTION("""COMPUTED_VALUE"""),472025.252705)</f>
        <v>472025.25270499999</v>
      </c>
    </row>
    <row r="2241" spans="1:8" ht="13" x14ac:dyDescent="0.15">
      <c r="A2241" s="5" t="str">
        <f ca="1">IFERROR(__xludf.DUMMYFUNCTION("""COMPUTED_VALUE"""),"40105")</f>
        <v>40105</v>
      </c>
      <c r="B2241" s="51">
        <f ca="1">IFERROR(__xludf.DUMMYFUNCTION("""COMPUTED_VALUE"""),44626)</f>
        <v>44626</v>
      </c>
      <c r="C2241" s="22">
        <f ca="1">IFERROR(__xludf.DUMMYFUNCTION("""COMPUTED_VALUE"""),42137.608225)</f>
        <v>42137.608225000004</v>
      </c>
      <c r="D2241" s="22">
        <f ca="1">IFERROR(__xludf.DUMMYFUNCTION("""COMPUTED_VALUE"""),457862.391774999)</f>
        <v>457862.39177499898</v>
      </c>
      <c r="E2241" s="22">
        <f ca="1">IFERROR(__xludf.DUMMYFUNCTION("""COMPUTED_VALUE"""),500000)</f>
        <v>500000</v>
      </c>
      <c r="F2241" s="22">
        <f ca="1">IFERROR(__xludf.DUMMYFUNCTION("""COMPUTED_VALUE"""),42137.608225)</f>
        <v>42137.608225000004</v>
      </c>
      <c r="G2241" s="22">
        <f ca="1">IFERROR(__xludf.DUMMYFUNCTION("""COMPUTED_VALUE"""),0)</f>
        <v>0</v>
      </c>
      <c r="H2241" s="7">
        <f ca="1">IFERROR(__xludf.DUMMYFUNCTION("""COMPUTED_VALUE"""),472070.634905)</f>
        <v>472070.63490499998</v>
      </c>
    </row>
    <row r="2242" spans="1:8" ht="13" x14ac:dyDescent="0.15">
      <c r="A2242" s="5" t="str">
        <f ca="1">IFERROR(__xludf.DUMMYFUNCTION("""COMPUTED_VALUE"""),"40105")</f>
        <v>40105</v>
      </c>
      <c r="B2242" s="51">
        <f ca="1">IFERROR(__xludf.DUMMYFUNCTION("""COMPUTED_VALUE"""),44627)</f>
        <v>44627</v>
      </c>
      <c r="C2242" s="22">
        <f ca="1">IFERROR(__xludf.DUMMYFUNCTION("""COMPUTED_VALUE"""),42137.608225)</f>
        <v>42137.608225000004</v>
      </c>
      <c r="D2242" s="22">
        <f ca="1">IFERROR(__xludf.DUMMYFUNCTION("""COMPUTED_VALUE"""),457862.391774999)</f>
        <v>457862.39177499898</v>
      </c>
      <c r="E2242" s="22">
        <f ca="1">IFERROR(__xludf.DUMMYFUNCTION("""COMPUTED_VALUE"""),500000)</f>
        <v>500000</v>
      </c>
      <c r="F2242" s="22">
        <f ca="1">IFERROR(__xludf.DUMMYFUNCTION("""COMPUTED_VALUE"""),42137.608225)</f>
        <v>42137.608225000004</v>
      </c>
      <c r="G2242" s="22">
        <f ca="1">IFERROR(__xludf.DUMMYFUNCTION("""COMPUTED_VALUE"""),0)</f>
        <v>0</v>
      </c>
      <c r="H2242" s="7">
        <f ca="1">IFERROR(__xludf.DUMMYFUNCTION("""COMPUTED_VALUE"""),455270.535725)</f>
        <v>455270.53572500002</v>
      </c>
    </row>
    <row r="2243" spans="1:8" ht="13" x14ac:dyDescent="0.15">
      <c r="A2243" s="5" t="str">
        <f ca="1">IFERROR(__xludf.DUMMYFUNCTION("""COMPUTED_VALUE"""),"40105")</f>
        <v>40105</v>
      </c>
      <c r="B2243" s="51">
        <f ca="1">IFERROR(__xludf.DUMMYFUNCTION("""COMPUTED_VALUE"""),44628)</f>
        <v>44628</v>
      </c>
      <c r="C2243" s="22">
        <f ca="1">IFERROR(__xludf.DUMMYFUNCTION("""COMPUTED_VALUE"""),42137.608225)</f>
        <v>42137.608225000004</v>
      </c>
      <c r="D2243" s="22">
        <f ca="1">IFERROR(__xludf.DUMMYFUNCTION("""COMPUTED_VALUE"""),457862.391774999)</f>
        <v>457862.39177499898</v>
      </c>
      <c r="E2243" s="22">
        <f ca="1">IFERROR(__xludf.DUMMYFUNCTION("""COMPUTED_VALUE"""),500000)</f>
        <v>500000</v>
      </c>
      <c r="F2243" s="22">
        <f ca="1">IFERROR(__xludf.DUMMYFUNCTION("""COMPUTED_VALUE"""),42137.608225)</f>
        <v>42137.608225000004</v>
      </c>
      <c r="G2243" s="22">
        <f ca="1">IFERROR(__xludf.DUMMYFUNCTION("""COMPUTED_VALUE"""),0)</f>
        <v>0</v>
      </c>
      <c r="H2243" s="7">
        <f ca="1">IFERROR(__xludf.DUMMYFUNCTION("""COMPUTED_VALUE"""),451182.5951)</f>
        <v>451182.59509999998</v>
      </c>
    </row>
    <row r="2244" spans="1:8" ht="13" x14ac:dyDescent="0.15">
      <c r="A2244" s="5" t="str">
        <f ca="1">IFERROR(__xludf.DUMMYFUNCTION("""COMPUTED_VALUE"""),"40105")</f>
        <v>40105</v>
      </c>
      <c r="B2244" s="51">
        <f ca="1">IFERROR(__xludf.DUMMYFUNCTION("""COMPUTED_VALUE"""),44629)</f>
        <v>44629</v>
      </c>
      <c r="C2244" s="22">
        <f ca="1">IFERROR(__xludf.DUMMYFUNCTION("""COMPUTED_VALUE"""),42137.608225)</f>
        <v>42137.608225000004</v>
      </c>
      <c r="D2244" s="22">
        <f ca="1">IFERROR(__xludf.DUMMYFUNCTION("""COMPUTED_VALUE"""),457862.391774999)</f>
        <v>457862.39177499898</v>
      </c>
      <c r="E2244" s="22">
        <f ca="1">IFERROR(__xludf.DUMMYFUNCTION("""COMPUTED_VALUE"""),500000)</f>
        <v>500000</v>
      </c>
      <c r="F2244" s="22">
        <f ca="1">IFERROR(__xludf.DUMMYFUNCTION("""COMPUTED_VALUE"""),42137.608225)</f>
        <v>42137.608225000004</v>
      </c>
      <c r="G2244" s="22">
        <f ca="1">IFERROR(__xludf.DUMMYFUNCTION("""COMPUTED_VALUE"""),0)</f>
        <v>0</v>
      </c>
      <c r="H2244" s="7">
        <f ca="1">IFERROR(__xludf.DUMMYFUNCTION("""COMPUTED_VALUE"""),455630.988425)</f>
        <v>455630.98842499999</v>
      </c>
    </row>
    <row r="2245" spans="1:8" ht="13" x14ac:dyDescent="0.15">
      <c r="A2245" s="5" t="str">
        <f ca="1">IFERROR(__xludf.DUMMYFUNCTION("""COMPUTED_VALUE"""),"40105")</f>
        <v>40105</v>
      </c>
      <c r="B2245" s="51">
        <f ca="1">IFERROR(__xludf.DUMMYFUNCTION("""COMPUTED_VALUE"""),44630)</f>
        <v>44630</v>
      </c>
      <c r="C2245" s="22">
        <f ca="1">IFERROR(__xludf.DUMMYFUNCTION("""COMPUTED_VALUE"""),42137.608225)</f>
        <v>42137.608225000004</v>
      </c>
      <c r="D2245" s="22">
        <f ca="1">IFERROR(__xludf.DUMMYFUNCTION("""COMPUTED_VALUE"""),457862.391774999)</f>
        <v>457862.39177499898</v>
      </c>
      <c r="E2245" s="22">
        <f ca="1">IFERROR(__xludf.DUMMYFUNCTION("""COMPUTED_VALUE"""),500000)</f>
        <v>500000</v>
      </c>
      <c r="F2245" s="22">
        <f ca="1">IFERROR(__xludf.DUMMYFUNCTION("""COMPUTED_VALUE"""),42137.608225)</f>
        <v>42137.608225000004</v>
      </c>
      <c r="G2245" s="22">
        <f ca="1">IFERROR(__xludf.DUMMYFUNCTION("""COMPUTED_VALUE"""),0)</f>
        <v>0</v>
      </c>
      <c r="H2245" s="7">
        <f ca="1">IFERROR(__xludf.DUMMYFUNCTION("""COMPUTED_VALUE"""),455794.778975)</f>
        <v>455794.77897500002</v>
      </c>
    </row>
    <row r="2246" spans="1:8" ht="13" x14ac:dyDescent="0.15">
      <c r="A2246" s="5" t="str">
        <f ca="1">IFERROR(__xludf.DUMMYFUNCTION("""COMPUTED_VALUE"""),"40105")</f>
        <v>40105</v>
      </c>
      <c r="B2246" s="51">
        <f ca="1">IFERROR(__xludf.DUMMYFUNCTION("""COMPUTED_VALUE"""),44631)</f>
        <v>44631</v>
      </c>
      <c r="C2246" s="22">
        <f ca="1">IFERROR(__xludf.DUMMYFUNCTION("""COMPUTED_VALUE"""),42137.608225)</f>
        <v>42137.608225000004</v>
      </c>
      <c r="D2246" s="22">
        <f ca="1">IFERROR(__xludf.DUMMYFUNCTION("""COMPUTED_VALUE"""),457862.391774999)</f>
        <v>457862.39177499898</v>
      </c>
      <c r="E2246" s="22">
        <f ca="1">IFERROR(__xludf.DUMMYFUNCTION("""COMPUTED_VALUE"""),500000)</f>
        <v>500000</v>
      </c>
      <c r="F2246" s="22">
        <f ca="1">IFERROR(__xludf.DUMMYFUNCTION("""COMPUTED_VALUE"""),42137.608225)</f>
        <v>42137.608225000004</v>
      </c>
      <c r="G2246" s="22">
        <f ca="1">IFERROR(__xludf.DUMMYFUNCTION("""COMPUTED_VALUE"""),0)</f>
        <v>0</v>
      </c>
      <c r="H2246" s="7">
        <f ca="1">IFERROR(__xludf.DUMMYFUNCTION("""COMPUTED_VALUE"""),451598.595725)</f>
        <v>451598.59572500002</v>
      </c>
    </row>
    <row r="2247" spans="1:8" ht="13" x14ac:dyDescent="0.15">
      <c r="A2247" s="5" t="str">
        <f ca="1">IFERROR(__xludf.DUMMYFUNCTION("""COMPUTED_VALUE"""),"40105")</f>
        <v>40105</v>
      </c>
      <c r="B2247" s="51">
        <f ca="1">IFERROR(__xludf.DUMMYFUNCTION("""COMPUTED_VALUE"""),44632)</f>
        <v>44632</v>
      </c>
      <c r="C2247" s="22">
        <f ca="1">IFERROR(__xludf.DUMMYFUNCTION("""COMPUTED_VALUE"""),42137.608225)</f>
        <v>42137.608225000004</v>
      </c>
      <c r="D2247" s="22">
        <f ca="1">IFERROR(__xludf.DUMMYFUNCTION("""COMPUTED_VALUE"""),457862.391774999)</f>
        <v>457862.39177499898</v>
      </c>
      <c r="E2247" s="22">
        <f ca="1">IFERROR(__xludf.DUMMYFUNCTION("""COMPUTED_VALUE"""),500000)</f>
        <v>500000</v>
      </c>
      <c r="F2247" s="22">
        <f ca="1">IFERROR(__xludf.DUMMYFUNCTION("""COMPUTED_VALUE"""),42137.608225)</f>
        <v>42137.608225000004</v>
      </c>
      <c r="G2247" s="22">
        <f ca="1">IFERROR(__xludf.DUMMYFUNCTION("""COMPUTED_VALUE"""),0)</f>
        <v>0</v>
      </c>
      <c r="H2247" s="7">
        <f ca="1">IFERROR(__xludf.DUMMYFUNCTION("""COMPUTED_VALUE"""),451598.595725)</f>
        <v>451598.59572500002</v>
      </c>
    </row>
    <row r="2248" spans="1:8" ht="13" x14ac:dyDescent="0.15">
      <c r="A2248" s="5" t="str">
        <f ca="1">IFERROR(__xludf.DUMMYFUNCTION("""COMPUTED_VALUE"""),"40105")</f>
        <v>40105</v>
      </c>
      <c r="B2248" s="51">
        <f ca="1">IFERROR(__xludf.DUMMYFUNCTION("""COMPUTED_VALUE"""),44633)</f>
        <v>44633</v>
      </c>
      <c r="C2248" s="22">
        <f ca="1">IFERROR(__xludf.DUMMYFUNCTION("""COMPUTED_VALUE"""),42137.608225)</f>
        <v>42137.608225000004</v>
      </c>
      <c r="D2248" s="22">
        <f ca="1">IFERROR(__xludf.DUMMYFUNCTION("""COMPUTED_VALUE"""),457862.391774999)</f>
        <v>457862.39177499898</v>
      </c>
      <c r="E2248" s="22">
        <f ca="1">IFERROR(__xludf.DUMMYFUNCTION("""COMPUTED_VALUE"""),500000)</f>
        <v>500000</v>
      </c>
      <c r="F2248" s="22">
        <f ca="1">IFERROR(__xludf.DUMMYFUNCTION("""COMPUTED_VALUE"""),42137.608225)</f>
        <v>42137.608225000004</v>
      </c>
      <c r="G2248" s="22">
        <f ca="1">IFERROR(__xludf.DUMMYFUNCTION("""COMPUTED_VALUE"""),0)</f>
        <v>0</v>
      </c>
      <c r="H2248" s="7">
        <f ca="1">IFERROR(__xludf.DUMMYFUNCTION("""COMPUTED_VALUE"""),451572.113975)</f>
        <v>451572.11397499999</v>
      </c>
    </row>
    <row r="2249" spans="1:8" ht="13" x14ac:dyDescent="0.15">
      <c r="A2249" s="5" t="str">
        <f ca="1">IFERROR(__xludf.DUMMYFUNCTION("""COMPUTED_VALUE"""),"40105")</f>
        <v>40105</v>
      </c>
      <c r="B2249" s="51">
        <f ca="1">IFERROR(__xludf.DUMMYFUNCTION("""COMPUTED_VALUE"""),44634)</f>
        <v>44634</v>
      </c>
      <c r="C2249" s="22">
        <f ca="1">IFERROR(__xludf.DUMMYFUNCTION("""COMPUTED_VALUE"""),42137.608225)</f>
        <v>42137.608225000004</v>
      </c>
      <c r="D2249" s="22">
        <f ca="1">IFERROR(__xludf.DUMMYFUNCTION("""COMPUTED_VALUE"""),457862.391774999)</f>
        <v>457862.39177499898</v>
      </c>
      <c r="E2249" s="22">
        <f ca="1">IFERROR(__xludf.DUMMYFUNCTION("""COMPUTED_VALUE"""),500000)</f>
        <v>500000</v>
      </c>
      <c r="F2249" s="22">
        <f ca="1">IFERROR(__xludf.DUMMYFUNCTION("""COMPUTED_VALUE"""),42137.608225)</f>
        <v>42137.608225000004</v>
      </c>
      <c r="G2249" s="22">
        <f ca="1">IFERROR(__xludf.DUMMYFUNCTION("""COMPUTED_VALUE"""),0)</f>
        <v>0</v>
      </c>
      <c r="H2249" s="7">
        <f ca="1">IFERROR(__xludf.DUMMYFUNCTION("""COMPUTED_VALUE"""),445200.046475)</f>
        <v>445200.04647499998</v>
      </c>
    </row>
    <row r="2250" spans="1:8" ht="13" x14ac:dyDescent="0.15">
      <c r="A2250" s="5" t="str">
        <f ca="1">IFERROR(__xludf.DUMMYFUNCTION("""COMPUTED_VALUE"""),"40105")</f>
        <v>40105</v>
      </c>
      <c r="B2250" s="51">
        <f ca="1">IFERROR(__xludf.DUMMYFUNCTION("""COMPUTED_VALUE"""),44635)</f>
        <v>44635</v>
      </c>
      <c r="C2250" s="22">
        <f ca="1">IFERROR(__xludf.DUMMYFUNCTION("""COMPUTED_VALUE"""),42137.608225)</f>
        <v>42137.608225000004</v>
      </c>
      <c r="D2250" s="22">
        <f ca="1">IFERROR(__xludf.DUMMYFUNCTION("""COMPUTED_VALUE"""),457862.391774999)</f>
        <v>457862.39177499898</v>
      </c>
      <c r="E2250" s="22">
        <f ca="1">IFERROR(__xludf.DUMMYFUNCTION("""COMPUTED_VALUE"""),500000)</f>
        <v>500000</v>
      </c>
      <c r="F2250" s="22">
        <f ca="1">IFERROR(__xludf.DUMMYFUNCTION("""COMPUTED_VALUE"""),42137.608225)</f>
        <v>42137.608225000004</v>
      </c>
      <c r="G2250" s="22">
        <f ca="1">IFERROR(__xludf.DUMMYFUNCTION("""COMPUTED_VALUE"""),0)</f>
        <v>0</v>
      </c>
      <c r="H2250" s="7">
        <f ca="1">IFERROR(__xludf.DUMMYFUNCTION("""COMPUTED_VALUE"""),457250.615225)</f>
        <v>457250.61522500002</v>
      </c>
    </row>
    <row r="2251" spans="1:8" ht="13" x14ac:dyDescent="0.15">
      <c r="A2251" s="5" t="str">
        <f ca="1">IFERROR(__xludf.DUMMYFUNCTION("""COMPUTED_VALUE"""),"40105")</f>
        <v>40105</v>
      </c>
      <c r="B2251" s="51">
        <f ca="1">IFERROR(__xludf.DUMMYFUNCTION("""COMPUTED_VALUE"""),44636)</f>
        <v>44636</v>
      </c>
      <c r="C2251" s="22">
        <f ca="1">IFERROR(__xludf.DUMMYFUNCTION("""COMPUTED_VALUE"""),42137.608225)</f>
        <v>42137.608225000004</v>
      </c>
      <c r="D2251" s="22">
        <f ca="1">IFERROR(__xludf.DUMMYFUNCTION("""COMPUTED_VALUE"""),457862.391774999)</f>
        <v>457862.39177499898</v>
      </c>
      <c r="E2251" s="22">
        <f ca="1">IFERROR(__xludf.DUMMYFUNCTION("""COMPUTED_VALUE"""),500000)</f>
        <v>500000</v>
      </c>
      <c r="F2251" s="22">
        <f ca="1">IFERROR(__xludf.DUMMYFUNCTION("""COMPUTED_VALUE"""),42137.608225)</f>
        <v>42137.608225000004</v>
      </c>
      <c r="G2251" s="22">
        <f ca="1">IFERROR(__xludf.DUMMYFUNCTION("""COMPUTED_VALUE"""),0)</f>
        <v>0</v>
      </c>
      <c r="H2251" s="7">
        <f ca="1">IFERROR(__xludf.DUMMYFUNCTION("""COMPUTED_VALUE"""),466236.841325)</f>
        <v>466236.84132499999</v>
      </c>
    </row>
    <row r="2252" spans="1:8" ht="13" x14ac:dyDescent="0.15">
      <c r="A2252" s="5" t="str">
        <f ca="1">IFERROR(__xludf.DUMMYFUNCTION("""COMPUTED_VALUE"""),"40105")</f>
        <v>40105</v>
      </c>
      <c r="B2252" s="51">
        <f ca="1">IFERROR(__xludf.DUMMYFUNCTION("""COMPUTED_VALUE"""),44637)</f>
        <v>44637</v>
      </c>
      <c r="C2252" s="22">
        <f ca="1">IFERROR(__xludf.DUMMYFUNCTION("""COMPUTED_VALUE"""),42137.608225)</f>
        <v>42137.608225000004</v>
      </c>
      <c r="D2252" s="22">
        <f ca="1">IFERROR(__xludf.DUMMYFUNCTION("""COMPUTED_VALUE"""),457862.391774999)</f>
        <v>457862.39177499898</v>
      </c>
      <c r="E2252" s="22">
        <f ca="1">IFERROR(__xludf.DUMMYFUNCTION("""COMPUTED_VALUE"""),500000)</f>
        <v>500000</v>
      </c>
      <c r="F2252" s="22">
        <f ca="1">IFERROR(__xludf.DUMMYFUNCTION("""COMPUTED_VALUE"""),42137.608225)</f>
        <v>42137.608225000004</v>
      </c>
      <c r="G2252" s="22">
        <f ca="1">IFERROR(__xludf.DUMMYFUNCTION("""COMPUTED_VALUE"""),0)</f>
        <v>0</v>
      </c>
      <c r="H2252" s="7">
        <f ca="1">IFERROR(__xludf.DUMMYFUNCTION("""COMPUTED_VALUE"""),469206.613175)</f>
        <v>469206.61317500001</v>
      </c>
    </row>
    <row r="2253" spans="1:8" ht="13" x14ac:dyDescent="0.15">
      <c r="A2253" s="5" t="str">
        <f ca="1">IFERROR(__xludf.DUMMYFUNCTION("""COMPUTED_VALUE"""),"40105")</f>
        <v>40105</v>
      </c>
      <c r="B2253" s="51">
        <f ca="1">IFERROR(__xludf.DUMMYFUNCTION("""COMPUTED_VALUE"""),44638)</f>
        <v>44638</v>
      </c>
      <c r="C2253" s="22">
        <f ca="1">IFERROR(__xludf.DUMMYFUNCTION("""COMPUTED_VALUE"""),42137.608225)</f>
        <v>42137.608225000004</v>
      </c>
      <c r="D2253" s="22">
        <f ca="1">IFERROR(__xludf.DUMMYFUNCTION("""COMPUTED_VALUE"""),457862.391774999)</f>
        <v>457862.39177499898</v>
      </c>
      <c r="E2253" s="22">
        <f ca="1">IFERROR(__xludf.DUMMYFUNCTION("""COMPUTED_VALUE"""),500000)</f>
        <v>500000</v>
      </c>
      <c r="F2253" s="22">
        <f ca="1">IFERROR(__xludf.DUMMYFUNCTION("""COMPUTED_VALUE"""),42137.608225)</f>
        <v>42137.608225000004</v>
      </c>
      <c r="G2253" s="22">
        <f ca="1">IFERROR(__xludf.DUMMYFUNCTION("""COMPUTED_VALUE"""),0)</f>
        <v>0</v>
      </c>
      <c r="H2253" s="7">
        <f ca="1">IFERROR(__xludf.DUMMYFUNCTION("""COMPUTED_VALUE"""),471489.753725)</f>
        <v>471489.75372500002</v>
      </c>
    </row>
    <row r="2254" spans="1:8" ht="13" x14ac:dyDescent="0.15">
      <c r="A2254" s="5" t="str">
        <f ca="1">IFERROR(__xludf.DUMMYFUNCTION("""COMPUTED_VALUE"""),"40105")</f>
        <v>40105</v>
      </c>
      <c r="B2254" s="51">
        <f ca="1">IFERROR(__xludf.DUMMYFUNCTION("""COMPUTED_VALUE"""),44639)</f>
        <v>44639</v>
      </c>
      <c r="C2254" s="22">
        <f ca="1">IFERROR(__xludf.DUMMYFUNCTION("""COMPUTED_VALUE"""),42137.608225)</f>
        <v>42137.608225000004</v>
      </c>
      <c r="D2254" s="22">
        <f ca="1">IFERROR(__xludf.DUMMYFUNCTION("""COMPUTED_VALUE"""),457862.391774999)</f>
        <v>457862.39177499898</v>
      </c>
      <c r="E2254" s="22">
        <f ca="1">IFERROR(__xludf.DUMMYFUNCTION("""COMPUTED_VALUE"""),500000)</f>
        <v>500000</v>
      </c>
      <c r="F2254" s="22">
        <f ca="1">IFERROR(__xludf.DUMMYFUNCTION("""COMPUTED_VALUE"""),42137.608225)</f>
        <v>42137.608225000004</v>
      </c>
      <c r="G2254" s="22">
        <f ca="1">IFERROR(__xludf.DUMMYFUNCTION("""COMPUTED_VALUE"""),0)</f>
        <v>0</v>
      </c>
      <c r="H2254" s="7">
        <f ca="1">IFERROR(__xludf.DUMMYFUNCTION("""COMPUTED_VALUE"""),471489.753725)</f>
        <v>471489.75372500002</v>
      </c>
    </row>
    <row r="2255" spans="1:8" ht="13" x14ac:dyDescent="0.15">
      <c r="A2255" s="5" t="str">
        <f ca="1">IFERROR(__xludf.DUMMYFUNCTION("""COMPUTED_VALUE"""),"40105")</f>
        <v>40105</v>
      </c>
      <c r="B2255" s="51">
        <f ca="1">IFERROR(__xludf.DUMMYFUNCTION("""COMPUTED_VALUE"""),44640)</f>
        <v>44640</v>
      </c>
      <c r="C2255" s="22">
        <f ca="1">IFERROR(__xludf.DUMMYFUNCTION("""COMPUTED_VALUE"""),42137.608225)</f>
        <v>42137.608225000004</v>
      </c>
      <c r="D2255" s="22">
        <f ca="1">IFERROR(__xludf.DUMMYFUNCTION("""COMPUTED_VALUE"""),457862.391774999)</f>
        <v>457862.39177499898</v>
      </c>
      <c r="E2255" s="22">
        <f ca="1">IFERROR(__xludf.DUMMYFUNCTION("""COMPUTED_VALUE"""),500000)</f>
        <v>500000</v>
      </c>
      <c r="F2255" s="22">
        <f ca="1">IFERROR(__xludf.DUMMYFUNCTION("""COMPUTED_VALUE"""),42137.608225)</f>
        <v>42137.608225000004</v>
      </c>
      <c r="G2255" s="22">
        <f ca="1">IFERROR(__xludf.DUMMYFUNCTION("""COMPUTED_VALUE"""),0)</f>
        <v>0</v>
      </c>
      <c r="H2255" s="7">
        <f ca="1">IFERROR(__xludf.DUMMYFUNCTION("""COMPUTED_VALUE"""),471417.990275)</f>
        <v>471417.99027499999</v>
      </c>
    </row>
    <row r="2256" spans="1:8" ht="13" x14ac:dyDescent="0.15">
      <c r="A2256" s="5" t="str">
        <f ca="1">IFERROR(__xludf.DUMMYFUNCTION("""COMPUTED_VALUE"""),"40105")</f>
        <v>40105</v>
      </c>
      <c r="B2256" s="51">
        <f ca="1">IFERROR(__xludf.DUMMYFUNCTION("""COMPUTED_VALUE"""),44641)</f>
        <v>44641</v>
      </c>
      <c r="C2256" s="22">
        <f ca="1">IFERROR(__xludf.DUMMYFUNCTION("""COMPUTED_VALUE"""),42137.608225)</f>
        <v>42137.608225000004</v>
      </c>
      <c r="D2256" s="22">
        <f ca="1">IFERROR(__xludf.DUMMYFUNCTION("""COMPUTED_VALUE"""),425429.1637)</f>
        <v>425429.16369999998</v>
      </c>
      <c r="E2256" s="22">
        <f ca="1">IFERROR(__xludf.DUMMYFUNCTION("""COMPUTED_VALUE"""),467566.771925)</f>
        <v>467566.77192500001</v>
      </c>
      <c r="F2256" s="22">
        <f ca="1">IFERROR(__xludf.DUMMYFUNCTION("""COMPUTED_VALUE"""),42137.608225)</f>
        <v>42137.608225000004</v>
      </c>
      <c r="G2256" s="22">
        <f ca="1">IFERROR(__xludf.DUMMYFUNCTION("""COMPUTED_VALUE"""),0)</f>
        <v>0</v>
      </c>
      <c r="H2256" s="7">
        <f ca="1">IFERROR(__xludf.DUMMYFUNCTION("""COMPUTED_VALUE"""),467566.771925)</f>
        <v>467566.77192500001</v>
      </c>
    </row>
    <row r="2257" spans="1:8" ht="13" x14ac:dyDescent="0.15">
      <c r="A2257" s="5" t="str">
        <f ca="1">IFERROR(__xludf.DUMMYFUNCTION("""COMPUTED_VALUE"""),"40105")</f>
        <v>40105</v>
      </c>
      <c r="B2257" s="51">
        <f ca="1">IFERROR(__xludf.DUMMYFUNCTION("""COMPUTED_VALUE"""),44642)</f>
        <v>44642</v>
      </c>
      <c r="C2257" s="22">
        <f ca="1">IFERROR(__xludf.DUMMYFUNCTION("""COMPUTED_VALUE"""),42137.608225)</f>
        <v>42137.608225000004</v>
      </c>
      <c r="D2257" s="22">
        <f ca="1">IFERROR(__xludf.DUMMYFUNCTION("""COMPUTED_VALUE"""),428990.18935)</f>
        <v>428990.18935</v>
      </c>
      <c r="E2257" s="22">
        <f ca="1">IFERROR(__xludf.DUMMYFUNCTION("""COMPUTED_VALUE"""),471127.797575)</f>
        <v>471127.79757499998</v>
      </c>
      <c r="F2257" s="22">
        <f ca="1">IFERROR(__xludf.DUMMYFUNCTION("""COMPUTED_VALUE"""),42137.608225)</f>
        <v>42137.608225000004</v>
      </c>
      <c r="G2257" s="22">
        <f ca="1">IFERROR(__xludf.DUMMYFUNCTION("""COMPUTED_VALUE"""),0)</f>
        <v>0</v>
      </c>
      <c r="H2257" s="7">
        <f ca="1">IFERROR(__xludf.DUMMYFUNCTION("""COMPUTED_VALUE"""),471127.797575)</f>
        <v>471127.79757499998</v>
      </c>
    </row>
    <row r="2258" spans="1:8" ht="13" x14ac:dyDescent="0.15">
      <c r="A2258" s="5" t="str">
        <f ca="1">IFERROR(__xludf.DUMMYFUNCTION("""COMPUTED_VALUE"""),"40158")</f>
        <v>40158</v>
      </c>
      <c r="B2258" s="51">
        <f ca="1">IFERROR(__xludf.DUMMYFUNCTION("""COMPUTED_VALUE"""),44597)</f>
        <v>44597</v>
      </c>
      <c r="C2258" s="22">
        <f ca="1">IFERROR(__xludf.DUMMYFUNCTION("""COMPUTED_VALUE"""),500000)</f>
        <v>500000</v>
      </c>
      <c r="D2258" s="22">
        <f ca="1">IFERROR(__xludf.DUMMYFUNCTION("""COMPUTED_VALUE"""),0)</f>
        <v>0</v>
      </c>
      <c r="E2258" s="22">
        <f ca="1">IFERROR(__xludf.DUMMYFUNCTION("""COMPUTED_VALUE"""),500000)</f>
        <v>500000</v>
      </c>
      <c r="F2258" s="22">
        <f ca="1">IFERROR(__xludf.DUMMYFUNCTION("""COMPUTED_VALUE"""),500000)</f>
        <v>500000</v>
      </c>
      <c r="G2258" s="22">
        <f ca="1">IFERROR(__xludf.DUMMYFUNCTION("""COMPUTED_VALUE"""),0)</f>
        <v>0</v>
      </c>
      <c r="H2258" s="7">
        <f ca="1">IFERROR(__xludf.DUMMYFUNCTION("""COMPUTED_VALUE"""),500000)</f>
        <v>500000</v>
      </c>
    </row>
    <row r="2259" spans="1:8" ht="13" x14ac:dyDescent="0.15">
      <c r="A2259" s="5" t="str">
        <f ca="1">IFERROR(__xludf.DUMMYFUNCTION("""COMPUTED_VALUE"""),"40158")</f>
        <v>40158</v>
      </c>
      <c r="B2259" s="51">
        <f ca="1">IFERROR(__xludf.DUMMYFUNCTION("""COMPUTED_VALUE"""),44598)</f>
        <v>44598</v>
      </c>
      <c r="C2259" s="22">
        <f ca="1">IFERROR(__xludf.DUMMYFUNCTION("""COMPUTED_VALUE"""),500000)</f>
        <v>500000</v>
      </c>
      <c r="D2259" s="22">
        <f ca="1">IFERROR(__xludf.DUMMYFUNCTION("""COMPUTED_VALUE"""),0)</f>
        <v>0</v>
      </c>
      <c r="E2259" s="22">
        <f ca="1">IFERROR(__xludf.DUMMYFUNCTION("""COMPUTED_VALUE"""),500000)</f>
        <v>500000</v>
      </c>
      <c r="F2259" s="22">
        <f ca="1">IFERROR(__xludf.DUMMYFUNCTION("""COMPUTED_VALUE"""),500000)</f>
        <v>500000</v>
      </c>
      <c r="G2259" s="22">
        <f ca="1">IFERROR(__xludf.DUMMYFUNCTION("""COMPUTED_VALUE"""),0)</f>
        <v>0</v>
      </c>
      <c r="H2259" s="7">
        <f ca="1">IFERROR(__xludf.DUMMYFUNCTION("""COMPUTED_VALUE"""),500000)</f>
        <v>500000</v>
      </c>
    </row>
    <row r="2260" spans="1:8" ht="13" x14ac:dyDescent="0.15">
      <c r="A2260" s="5" t="str">
        <f ca="1">IFERROR(__xludf.DUMMYFUNCTION("""COMPUTED_VALUE"""),"40158")</f>
        <v>40158</v>
      </c>
      <c r="B2260" s="51">
        <f ca="1">IFERROR(__xludf.DUMMYFUNCTION("""COMPUTED_VALUE"""),44599)</f>
        <v>44599</v>
      </c>
      <c r="C2260" s="22">
        <f ca="1">IFERROR(__xludf.DUMMYFUNCTION("""COMPUTED_VALUE"""),500000)</f>
        <v>500000</v>
      </c>
      <c r="D2260" s="22">
        <f ca="1">IFERROR(__xludf.DUMMYFUNCTION("""COMPUTED_VALUE"""),0)</f>
        <v>0</v>
      </c>
      <c r="E2260" s="22">
        <f ca="1">IFERROR(__xludf.DUMMYFUNCTION("""COMPUTED_VALUE"""),500000)</f>
        <v>500000</v>
      </c>
      <c r="F2260" s="22">
        <f ca="1">IFERROR(__xludf.DUMMYFUNCTION("""COMPUTED_VALUE"""),500000)</f>
        <v>500000</v>
      </c>
      <c r="G2260" s="22">
        <f ca="1">IFERROR(__xludf.DUMMYFUNCTION("""COMPUTED_VALUE"""),0)</f>
        <v>0</v>
      </c>
      <c r="H2260" s="7">
        <f ca="1">IFERROR(__xludf.DUMMYFUNCTION("""COMPUTED_VALUE"""),500000)</f>
        <v>500000</v>
      </c>
    </row>
    <row r="2261" spans="1:8" ht="13" x14ac:dyDescent="0.15">
      <c r="A2261" s="5" t="str">
        <f ca="1">IFERROR(__xludf.DUMMYFUNCTION("""COMPUTED_VALUE"""),"40158")</f>
        <v>40158</v>
      </c>
      <c r="B2261" s="51">
        <f ca="1">IFERROR(__xludf.DUMMYFUNCTION("""COMPUTED_VALUE"""),44600)</f>
        <v>44600</v>
      </c>
      <c r="C2261" s="22">
        <f ca="1">IFERROR(__xludf.DUMMYFUNCTION("""COMPUTED_VALUE"""),500000)</f>
        <v>500000</v>
      </c>
      <c r="D2261" s="22">
        <f ca="1">IFERROR(__xludf.DUMMYFUNCTION("""COMPUTED_VALUE"""),0)</f>
        <v>0</v>
      </c>
      <c r="E2261" s="22">
        <f ca="1">IFERROR(__xludf.DUMMYFUNCTION("""COMPUTED_VALUE"""),500000)</f>
        <v>500000</v>
      </c>
      <c r="F2261" s="22">
        <f ca="1">IFERROR(__xludf.DUMMYFUNCTION("""COMPUTED_VALUE"""),500000)</f>
        <v>500000</v>
      </c>
      <c r="G2261" s="22">
        <f ca="1">IFERROR(__xludf.DUMMYFUNCTION("""COMPUTED_VALUE"""),0)</f>
        <v>0</v>
      </c>
      <c r="H2261" s="7">
        <f ca="1">IFERROR(__xludf.DUMMYFUNCTION("""COMPUTED_VALUE"""),500000)</f>
        <v>500000</v>
      </c>
    </row>
    <row r="2262" spans="1:8" ht="13" x14ac:dyDescent="0.15">
      <c r="A2262" s="5" t="str">
        <f ca="1">IFERROR(__xludf.DUMMYFUNCTION("""COMPUTED_VALUE"""),"40158")</f>
        <v>40158</v>
      </c>
      <c r="B2262" s="51">
        <f ca="1">IFERROR(__xludf.DUMMYFUNCTION("""COMPUTED_VALUE"""),44601)</f>
        <v>44601</v>
      </c>
      <c r="C2262" s="22">
        <f ca="1">IFERROR(__xludf.DUMMYFUNCTION("""COMPUTED_VALUE"""),500000)</f>
        <v>500000</v>
      </c>
      <c r="D2262" s="22">
        <f ca="1">IFERROR(__xludf.DUMMYFUNCTION("""COMPUTED_VALUE"""),0)</f>
        <v>0</v>
      </c>
      <c r="E2262" s="22">
        <f ca="1">IFERROR(__xludf.DUMMYFUNCTION("""COMPUTED_VALUE"""),500000)</f>
        <v>500000</v>
      </c>
      <c r="F2262" s="22">
        <f ca="1">IFERROR(__xludf.DUMMYFUNCTION("""COMPUTED_VALUE"""),500000)</f>
        <v>500000</v>
      </c>
      <c r="G2262" s="22">
        <f ca="1">IFERROR(__xludf.DUMMYFUNCTION("""COMPUTED_VALUE"""),0)</f>
        <v>0</v>
      </c>
      <c r="H2262" s="7">
        <f ca="1">IFERROR(__xludf.DUMMYFUNCTION("""COMPUTED_VALUE"""),500000)</f>
        <v>500000</v>
      </c>
    </row>
    <row r="2263" spans="1:8" ht="13" x14ac:dyDescent="0.15">
      <c r="A2263" s="5" t="str">
        <f ca="1">IFERROR(__xludf.DUMMYFUNCTION("""COMPUTED_VALUE"""),"40158")</f>
        <v>40158</v>
      </c>
      <c r="B2263" s="51">
        <f ca="1">IFERROR(__xludf.DUMMYFUNCTION("""COMPUTED_VALUE"""),44602)</f>
        <v>44602</v>
      </c>
      <c r="C2263" s="22">
        <f ca="1">IFERROR(__xludf.DUMMYFUNCTION("""COMPUTED_VALUE"""),500000)</f>
        <v>500000</v>
      </c>
      <c r="D2263" s="22">
        <f ca="1">IFERROR(__xludf.DUMMYFUNCTION("""COMPUTED_VALUE"""),0)</f>
        <v>0</v>
      </c>
      <c r="E2263" s="22">
        <f ca="1">IFERROR(__xludf.DUMMYFUNCTION("""COMPUTED_VALUE"""),500000)</f>
        <v>500000</v>
      </c>
      <c r="F2263" s="22">
        <f ca="1">IFERROR(__xludf.DUMMYFUNCTION("""COMPUTED_VALUE"""),500000)</f>
        <v>500000</v>
      </c>
      <c r="G2263" s="22">
        <f ca="1">IFERROR(__xludf.DUMMYFUNCTION("""COMPUTED_VALUE"""),0)</f>
        <v>0</v>
      </c>
      <c r="H2263" s="7">
        <f ca="1">IFERROR(__xludf.DUMMYFUNCTION("""COMPUTED_VALUE"""),500000)</f>
        <v>500000</v>
      </c>
    </row>
    <row r="2264" spans="1:8" ht="13" x14ac:dyDescent="0.15">
      <c r="A2264" s="5" t="str">
        <f ca="1">IFERROR(__xludf.DUMMYFUNCTION("""COMPUTED_VALUE"""),"40158")</f>
        <v>40158</v>
      </c>
      <c r="B2264" s="51">
        <f ca="1">IFERROR(__xludf.DUMMYFUNCTION("""COMPUTED_VALUE"""),44603)</f>
        <v>44603</v>
      </c>
      <c r="C2264" s="22">
        <f ca="1">IFERROR(__xludf.DUMMYFUNCTION("""COMPUTED_VALUE"""),500000)</f>
        <v>500000</v>
      </c>
      <c r="D2264" s="22">
        <f ca="1">IFERROR(__xludf.DUMMYFUNCTION("""COMPUTED_VALUE"""),0)</f>
        <v>0</v>
      </c>
      <c r="E2264" s="22">
        <f ca="1">IFERROR(__xludf.DUMMYFUNCTION("""COMPUTED_VALUE"""),500000)</f>
        <v>500000</v>
      </c>
      <c r="F2264" s="22">
        <f ca="1">IFERROR(__xludf.DUMMYFUNCTION("""COMPUTED_VALUE"""),500000)</f>
        <v>500000</v>
      </c>
      <c r="G2264" s="22">
        <f ca="1">IFERROR(__xludf.DUMMYFUNCTION("""COMPUTED_VALUE"""),0)</f>
        <v>0</v>
      </c>
      <c r="H2264" s="7">
        <f ca="1">IFERROR(__xludf.DUMMYFUNCTION("""COMPUTED_VALUE"""),500000)</f>
        <v>500000</v>
      </c>
    </row>
    <row r="2265" spans="1:8" ht="13" x14ac:dyDescent="0.15">
      <c r="A2265" s="5" t="str">
        <f ca="1">IFERROR(__xludf.DUMMYFUNCTION("""COMPUTED_VALUE"""),"40158")</f>
        <v>40158</v>
      </c>
      <c r="B2265" s="51">
        <f ca="1">IFERROR(__xludf.DUMMYFUNCTION("""COMPUTED_VALUE"""),44604)</f>
        <v>44604</v>
      </c>
      <c r="C2265" s="22">
        <f ca="1">IFERROR(__xludf.DUMMYFUNCTION("""COMPUTED_VALUE"""),500000)</f>
        <v>500000</v>
      </c>
      <c r="D2265" s="22">
        <f ca="1">IFERROR(__xludf.DUMMYFUNCTION("""COMPUTED_VALUE"""),0)</f>
        <v>0</v>
      </c>
      <c r="E2265" s="22">
        <f ca="1">IFERROR(__xludf.DUMMYFUNCTION("""COMPUTED_VALUE"""),500000)</f>
        <v>500000</v>
      </c>
      <c r="F2265" s="22">
        <f ca="1">IFERROR(__xludf.DUMMYFUNCTION("""COMPUTED_VALUE"""),500000)</f>
        <v>500000</v>
      </c>
      <c r="G2265" s="22">
        <f ca="1">IFERROR(__xludf.DUMMYFUNCTION("""COMPUTED_VALUE"""),0)</f>
        <v>0</v>
      </c>
      <c r="H2265" s="7">
        <f ca="1">IFERROR(__xludf.DUMMYFUNCTION("""COMPUTED_VALUE"""),500000)</f>
        <v>500000</v>
      </c>
    </row>
    <row r="2266" spans="1:8" ht="13" x14ac:dyDescent="0.15">
      <c r="A2266" s="5" t="str">
        <f ca="1">IFERROR(__xludf.DUMMYFUNCTION("""COMPUTED_VALUE"""),"40158")</f>
        <v>40158</v>
      </c>
      <c r="B2266" s="51">
        <f ca="1">IFERROR(__xludf.DUMMYFUNCTION("""COMPUTED_VALUE"""),44605)</f>
        <v>44605</v>
      </c>
      <c r="C2266" s="22">
        <f ca="1">IFERROR(__xludf.DUMMYFUNCTION("""COMPUTED_VALUE"""),500000)</f>
        <v>500000</v>
      </c>
      <c r="D2266" s="22">
        <f ca="1">IFERROR(__xludf.DUMMYFUNCTION("""COMPUTED_VALUE"""),0)</f>
        <v>0</v>
      </c>
      <c r="E2266" s="22">
        <f ca="1">IFERROR(__xludf.DUMMYFUNCTION("""COMPUTED_VALUE"""),500000)</f>
        <v>500000</v>
      </c>
      <c r="F2266" s="22">
        <f ca="1">IFERROR(__xludf.DUMMYFUNCTION("""COMPUTED_VALUE"""),500000)</f>
        <v>500000</v>
      </c>
      <c r="G2266" s="22">
        <f ca="1">IFERROR(__xludf.DUMMYFUNCTION("""COMPUTED_VALUE"""),0)</f>
        <v>0</v>
      </c>
      <c r="H2266" s="7">
        <f ca="1">IFERROR(__xludf.DUMMYFUNCTION("""COMPUTED_VALUE"""),500000)</f>
        <v>500000</v>
      </c>
    </row>
    <row r="2267" spans="1:8" ht="13" x14ac:dyDescent="0.15">
      <c r="A2267" s="5" t="str">
        <f ca="1">IFERROR(__xludf.DUMMYFUNCTION("""COMPUTED_VALUE"""),"40158")</f>
        <v>40158</v>
      </c>
      <c r="B2267" s="51">
        <f ca="1">IFERROR(__xludf.DUMMYFUNCTION("""COMPUTED_VALUE"""),44606)</f>
        <v>44606</v>
      </c>
      <c r="C2267" s="22">
        <f ca="1">IFERROR(__xludf.DUMMYFUNCTION("""COMPUTED_VALUE"""),500000)</f>
        <v>500000</v>
      </c>
      <c r="D2267" s="22">
        <f ca="1">IFERROR(__xludf.DUMMYFUNCTION("""COMPUTED_VALUE"""),0)</f>
        <v>0</v>
      </c>
      <c r="E2267" s="22">
        <f ca="1">IFERROR(__xludf.DUMMYFUNCTION("""COMPUTED_VALUE"""),500000)</f>
        <v>500000</v>
      </c>
      <c r="F2267" s="22">
        <f ca="1">IFERROR(__xludf.DUMMYFUNCTION("""COMPUTED_VALUE"""),500000)</f>
        <v>500000</v>
      </c>
      <c r="G2267" s="22">
        <f ca="1">IFERROR(__xludf.DUMMYFUNCTION("""COMPUTED_VALUE"""),0)</f>
        <v>0</v>
      </c>
      <c r="H2267" s="7">
        <f ca="1">IFERROR(__xludf.DUMMYFUNCTION("""COMPUTED_VALUE"""),500000)</f>
        <v>500000</v>
      </c>
    </row>
    <row r="2268" spans="1:8" ht="13" x14ac:dyDescent="0.15">
      <c r="A2268" s="5" t="str">
        <f ca="1">IFERROR(__xludf.DUMMYFUNCTION("""COMPUTED_VALUE"""),"40158")</f>
        <v>40158</v>
      </c>
      <c r="B2268" s="51">
        <f ca="1">IFERROR(__xludf.DUMMYFUNCTION("""COMPUTED_VALUE"""),44607)</f>
        <v>44607</v>
      </c>
      <c r="C2268" s="22">
        <f ca="1">IFERROR(__xludf.DUMMYFUNCTION("""COMPUTED_VALUE"""),410960)</f>
        <v>410960</v>
      </c>
      <c r="D2268" s="22">
        <f ca="1">IFERROR(__xludf.DUMMYFUNCTION("""COMPUTED_VALUE"""),89040)</f>
        <v>89040</v>
      </c>
      <c r="E2268" s="22">
        <f ca="1">IFERROR(__xludf.DUMMYFUNCTION("""COMPUTED_VALUE"""),500000)</f>
        <v>500000</v>
      </c>
      <c r="F2268" s="22">
        <f ca="1">IFERROR(__xludf.DUMMYFUNCTION("""COMPUTED_VALUE"""),410960)</f>
        <v>410960</v>
      </c>
      <c r="G2268" s="22">
        <f ca="1">IFERROR(__xludf.DUMMYFUNCTION("""COMPUTED_VALUE"""),0)</f>
        <v>0</v>
      </c>
      <c r="H2268" s="7">
        <f ca="1">IFERROR(__xludf.DUMMYFUNCTION("""COMPUTED_VALUE"""),500000)</f>
        <v>500000</v>
      </c>
    </row>
    <row r="2269" spans="1:8" ht="13" x14ac:dyDescent="0.15">
      <c r="A2269" s="5" t="str">
        <f ca="1">IFERROR(__xludf.DUMMYFUNCTION("""COMPUTED_VALUE"""),"40158")</f>
        <v>40158</v>
      </c>
      <c r="B2269" s="51">
        <f ca="1">IFERROR(__xludf.DUMMYFUNCTION("""COMPUTED_VALUE"""),44608)</f>
        <v>44608</v>
      </c>
      <c r="C2269" s="22">
        <f ca="1">IFERROR(__xludf.DUMMYFUNCTION("""COMPUTED_VALUE"""),410051.4)</f>
        <v>410051.4</v>
      </c>
      <c r="D2269" s="22">
        <f ca="1">IFERROR(__xludf.DUMMYFUNCTION("""COMPUTED_VALUE"""),91768.6)</f>
        <v>91768.6</v>
      </c>
      <c r="E2269" s="22">
        <f ca="1">IFERROR(__xludf.DUMMYFUNCTION("""COMPUTED_VALUE"""),501820)</f>
        <v>501820</v>
      </c>
      <c r="F2269" s="22">
        <f ca="1">IFERROR(__xludf.DUMMYFUNCTION("""COMPUTED_VALUE"""),410051.4)</f>
        <v>410051.4</v>
      </c>
      <c r="G2269" s="22">
        <f ca="1">IFERROR(__xludf.DUMMYFUNCTION("""COMPUTED_VALUE"""),0)</f>
        <v>0</v>
      </c>
      <c r="H2269" s="7">
        <f ca="1">IFERROR(__xludf.DUMMYFUNCTION("""COMPUTED_VALUE"""),501820)</f>
        <v>501820</v>
      </c>
    </row>
    <row r="2270" spans="1:8" ht="13" x14ac:dyDescent="0.15">
      <c r="A2270" s="5" t="str">
        <f ca="1">IFERROR(__xludf.DUMMYFUNCTION("""COMPUTED_VALUE"""),"40158")</f>
        <v>40158</v>
      </c>
      <c r="B2270" s="51">
        <f ca="1">IFERROR(__xludf.DUMMYFUNCTION("""COMPUTED_VALUE"""),44609)</f>
        <v>44609</v>
      </c>
      <c r="C2270" s="22">
        <f ca="1">IFERROR(__xludf.DUMMYFUNCTION("""COMPUTED_VALUE"""),369042.8734185)</f>
        <v>369042.87341850001</v>
      </c>
      <c r="D2270" s="22">
        <f ca="1">IFERROR(__xludf.DUMMYFUNCTION("""COMPUTED_VALUE"""),132847.8265815)</f>
        <v>132847.8265815</v>
      </c>
      <c r="E2270" s="22">
        <f ca="1">IFERROR(__xludf.DUMMYFUNCTION("""COMPUTED_VALUE"""),501890.7)</f>
        <v>501890.7</v>
      </c>
      <c r="F2270" s="22">
        <f ca="1">IFERROR(__xludf.DUMMYFUNCTION("""COMPUTED_VALUE"""),369042.8734185)</f>
        <v>369042.87341850001</v>
      </c>
      <c r="G2270" s="22">
        <f ca="1">IFERROR(__xludf.DUMMYFUNCTION("""COMPUTED_VALUE"""),0)</f>
        <v>0</v>
      </c>
      <c r="H2270" s="7">
        <f ca="1">IFERROR(__xludf.DUMMYFUNCTION("""COMPUTED_VALUE"""),501890.7)</f>
        <v>501890.7</v>
      </c>
    </row>
    <row r="2271" spans="1:8" ht="13" x14ac:dyDescent="0.15">
      <c r="A2271" s="5" t="str">
        <f ca="1">IFERROR(__xludf.DUMMYFUNCTION("""COMPUTED_VALUE"""),"40158")</f>
        <v>40158</v>
      </c>
      <c r="B2271" s="51">
        <f ca="1">IFERROR(__xludf.DUMMYFUNCTION("""COMPUTED_VALUE"""),44610)</f>
        <v>44610</v>
      </c>
      <c r="C2271" s="22">
        <f ca="1">IFERROR(__xludf.DUMMYFUNCTION("""COMPUTED_VALUE"""),369042.8734185)</f>
        <v>369042.87341850001</v>
      </c>
      <c r="D2271" s="22">
        <f ca="1">IFERROR(__xludf.DUMMYFUNCTION("""COMPUTED_VALUE"""),128817.9265815)</f>
        <v>128817.9265815</v>
      </c>
      <c r="E2271" s="22">
        <f ca="1">IFERROR(__xludf.DUMMYFUNCTION("""COMPUTED_VALUE"""),497860.8)</f>
        <v>497860.8</v>
      </c>
      <c r="F2271" s="22">
        <f ca="1">IFERROR(__xludf.DUMMYFUNCTION("""COMPUTED_VALUE"""),369042.8734185)</f>
        <v>369042.87341850001</v>
      </c>
      <c r="G2271" s="22">
        <f ca="1">IFERROR(__xludf.DUMMYFUNCTION("""COMPUTED_VALUE"""),0)</f>
        <v>0</v>
      </c>
      <c r="H2271" s="7">
        <f ca="1">IFERROR(__xludf.DUMMYFUNCTION("""COMPUTED_VALUE"""),496961.5597773)</f>
        <v>496961.55977729999</v>
      </c>
    </row>
    <row r="2272" spans="1:8" ht="13" x14ac:dyDescent="0.15">
      <c r="A2272" s="5" t="str">
        <f ca="1">IFERROR(__xludf.DUMMYFUNCTION("""COMPUTED_VALUE"""),"40158")</f>
        <v>40158</v>
      </c>
      <c r="B2272" s="51">
        <f ca="1">IFERROR(__xludf.DUMMYFUNCTION("""COMPUTED_VALUE"""),44611)</f>
        <v>44611</v>
      </c>
      <c r="C2272" s="22">
        <f ca="1">IFERROR(__xludf.DUMMYFUNCTION("""COMPUTED_VALUE"""),369042.8734185)</f>
        <v>369042.87341850001</v>
      </c>
      <c r="D2272" s="22">
        <f ca="1">IFERROR(__xludf.DUMMYFUNCTION("""COMPUTED_VALUE"""),128817.9265815)</f>
        <v>128817.9265815</v>
      </c>
      <c r="E2272" s="22">
        <f ca="1">IFERROR(__xludf.DUMMYFUNCTION("""COMPUTED_VALUE"""),497860.8)</f>
        <v>497860.8</v>
      </c>
      <c r="F2272" s="22">
        <f ca="1">IFERROR(__xludf.DUMMYFUNCTION("""COMPUTED_VALUE"""),369042.8734185)</f>
        <v>369042.87341850001</v>
      </c>
      <c r="G2272" s="22">
        <f ca="1">IFERROR(__xludf.DUMMYFUNCTION("""COMPUTED_VALUE"""),0)</f>
        <v>0</v>
      </c>
      <c r="H2272" s="7">
        <f ca="1">IFERROR(__xludf.DUMMYFUNCTION("""COMPUTED_VALUE"""),496961.5597773)</f>
        <v>496961.55977729999</v>
      </c>
    </row>
    <row r="2273" spans="1:8" ht="13" x14ac:dyDescent="0.15">
      <c r="A2273" s="5" t="str">
        <f ca="1">IFERROR(__xludf.DUMMYFUNCTION("""COMPUTED_VALUE"""),"40158")</f>
        <v>40158</v>
      </c>
      <c r="B2273" s="51">
        <f ca="1">IFERROR(__xludf.DUMMYFUNCTION("""COMPUTED_VALUE"""),44612)</f>
        <v>44612</v>
      </c>
      <c r="C2273" s="22">
        <f ca="1">IFERROR(__xludf.DUMMYFUNCTION("""COMPUTED_VALUE"""),369042.8734185)</f>
        <v>369042.87341850001</v>
      </c>
      <c r="D2273" s="22">
        <f ca="1">IFERROR(__xludf.DUMMYFUNCTION("""COMPUTED_VALUE"""),128817.9265815)</f>
        <v>128817.9265815</v>
      </c>
      <c r="E2273" s="22">
        <f ca="1">IFERROR(__xludf.DUMMYFUNCTION("""COMPUTED_VALUE"""),497860.8)</f>
        <v>497860.8</v>
      </c>
      <c r="F2273" s="22">
        <f ca="1">IFERROR(__xludf.DUMMYFUNCTION("""COMPUTED_VALUE"""),369042.8734185)</f>
        <v>369042.87341850001</v>
      </c>
      <c r="G2273" s="22">
        <f ca="1">IFERROR(__xludf.DUMMYFUNCTION("""COMPUTED_VALUE"""),0)</f>
        <v>0</v>
      </c>
      <c r="H2273" s="7">
        <f ca="1">IFERROR(__xludf.DUMMYFUNCTION("""COMPUTED_VALUE"""),496960.1971791)</f>
        <v>496960.19717910001</v>
      </c>
    </row>
    <row r="2274" spans="1:8" ht="13" x14ac:dyDescent="0.15">
      <c r="A2274" s="5" t="str">
        <f ca="1">IFERROR(__xludf.DUMMYFUNCTION("""COMPUTED_VALUE"""),"40158")</f>
        <v>40158</v>
      </c>
      <c r="B2274" s="51">
        <f ca="1">IFERROR(__xludf.DUMMYFUNCTION("""COMPUTED_VALUE"""),44613)</f>
        <v>44613</v>
      </c>
      <c r="C2274" s="22">
        <f ca="1">IFERROR(__xludf.DUMMYFUNCTION("""COMPUTED_VALUE"""),369042.8734185)</f>
        <v>369042.87341850001</v>
      </c>
      <c r="D2274" s="22">
        <f ca="1">IFERROR(__xludf.DUMMYFUNCTION("""COMPUTED_VALUE"""),130797.5265815)</f>
        <v>130797.5265815</v>
      </c>
      <c r="E2274" s="22">
        <f ca="1">IFERROR(__xludf.DUMMYFUNCTION("""COMPUTED_VALUE"""),499840.4)</f>
        <v>499840.4</v>
      </c>
      <c r="F2274" s="22">
        <f ca="1">IFERROR(__xludf.DUMMYFUNCTION("""COMPUTED_VALUE"""),369042.8734185)</f>
        <v>369042.87341850001</v>
      </c>
      <c r="G2274" s="22">
        <f ca="1">IFERROR(__xludf.DUMMYFUNCTION("""COMPUTED_VALUE"""),0)</f>
        <v>0</v>
      </c>
      <c r="H2274" s="7">
        <f ca="1">IFERROR(__xludf.DUMMYFUNCTION("""COMPUTED_VALUE"""),498943.7050079)</f>
        <v>498943.70500790002</v>
      </c>
    </row>
    <row r="2275" spans="1:8" ht="13" x14ac:dyDescent="0.15">
      <c r="A2275" s="5" t="str">
        <f ca="1">IFERROR(__xludf.DUMMYFUNCTION("""COMPUTED_VALUE"""),"40158")</f>
        <v>40158</v>
      </c>
      <c r="B2275" s="51">
        <f ca="1">IFERROR(__xludf.DUMMYFUNCTION("""COMPUTED_VALUE"""),44614)</f>
        <v>44614</v>
      </c>
      <c r="C2275" s="22">
        <f ca="1">IFERROR(__xludf.DUMMYFUNCTION("""COMPUTED_VALUE"""),369042.8734185)</f>
        <v>369042.87341850001</v>
      </c>
      <c r="D2275" s="22">
        <f ca="1">IFERROR(__xludf.DUMMYFUNCTION("""COMPUTED_VALUE"""),127898.8265815)</f>
        <v>127898.8265815</v>
      </c>
      <c r="E2275" s="22">
        <f ca="1">IFERROR(__xludf.DUMMYFUNCTION("""COMPUTED_VALUE"""),496941.7)</f>
        <v>496941.7</v>
      </c>
      <c r="F2275" s="22">
        <f ca="1">IFERROR(__xludf.DUMMYFUNCTION("""COMPUTED_VALUE"""),369042.8734185)</f>
        <v>369042.87341850001</v>
      </c>
      <c r="G2275" s="22">
        <f ca="1">IFERROR(__xludf.DUMMYFUNCTION("""COMPUTED_VALUE"""),0)</f>
        <v>0</v>
      </c>
      <c r="H2275" s="7">
        <f ca="1">IFERROR(__xludf.DUMMYFUNCTION("""COMPUTED_VALUE"""),494389.4034835)</f>
        <v>494389.40348350001</v>
      </c>
    </row>
    <row r="2276" spans="1:8" ht="13" x14ac:dyDescent="0.15">
      <c r="A2276" s="5" t="str">
        <f ca="1">IFERROR(__xludf.DUMMYFUNCTION("""COMPUTED_VALUE"""),"40158")</f>
        <v>40158</v>
      </c>
      <c r="B2276" s="51">
        <f ca="1">IFERROR(__xludf.DUMMYFUNCTION("""COMPUTED_VALUE"""),44615)</f>
        <v>44615</v>
      </c>
      <c r="C2276" s="22">
        <f ca="1">IFERROR(__xludf.DUMMYFUNCTION("""COMPUTED_VALUE"""),369042.8734185)</f>
        <v>369042.87341850001</v>
      </c>
      <c r="D2276" s="22">
        <f ca="1">IFERROR(__xludf.DUMMYFUNCTION("""COMPUTED_VALUE"""),127262.5265815)</f>
        <v>127262.5265815</v>
      </c>
      <c r="E2276" s="22">
        <f ca="1">IFERROR(__xludf.DUMMYFUNCTION("""COMPUTED_VALUE"""),496305.4)</f>
        <v>496305.4</v>
      </c>
      <c r="F2276" s="22">
        <f ca="1">IFERROR(__xludf.DUMMYFUNCTION("""COMPUTED_VALUE"""),369042.8734185)</f>
        <v>369042.87341850001</v>
      </c>
      <c r="G2276" s="22">
        <f ca="1">IFERROR(__xludf.DUMMYFUNCTION("""COMPUTED_VALUE"""),0)</f>
        <v>0</v>
      </c>
      <c r="H2276" s="7">
        <f ca="1">IFERROR(__xludf.DUMMYFUNCTION("""COMPUTED_VALUE"""),491078.9295265)</f>
        <v>491078.9295265</v>
      </c>
    </row>
    <row r="2277" spans="1:8" ht="13" x14ac:dyDescent="0.15">
      <c r="A2277" s="5" t="str">
        <f ca="1">IFERROR(__xludf.DUMMYFUNCTION("""COMPUTED_VALUE"""),"40158")</f>
        <v>40158</v>
      </c>
      <c r="B2277" s="51">
        <f ca="1">IFERROR(__xludf.DUMMYFUNCTION("""COMPUTED_VALUE"""),44616)</f>
        <v>44616</v>
      </c>
      <c r="C2277" s="22">
        <f ca="1">IFERROR(__xludf.DUMMYFUNCTION("""COMPUTED_VALUE"""),369042.8734185)</f>
        <v>369042.87341850001</v>
      </c>
      <c r="D2277" s="22">
        <f ca="1">IFERROR(__xludf.DUMMYFUNCTION("""COMPUTED_VALUE"""),123939.6265815)</f>
        <v>123939.62658149999</v>
      </c>
      <c r="E2277" s="22">
        <f ca="1">IFERROR(__xludf.DUMMYFUNCTION("""COMPUTED_VALUE"""),492982.5)</f>
        <v>492982.5</v>
      </c>
      <c r="F2277" s="22">
        <f ca="1">IFERROR(__xludf.DUMMYFUNCTION("""COMPUTED_VALUE"""),369042.8734185)</f>
        <v>369042.87341850001</v>
      </c>
      <c r="G2277" s="22">
        <f ca="1">IFERROR(__xludf.DUMMYFUNCTION("""COMPUTED_VALUE"""),0)</f>
        <v>0</v>
      </c>
      <c r="H2277" s="7">
        <f ca="1">IFERROR(__xludf.DUMMYFUNCTION("""COMPUTED_VALUE"""),489487.2452235)</f>
        <v>489487.24522350001</v>
      </c>
    </row>
    <row r="2278" spans="1:8" ht="13" x14ac:dyDescent="0.15">
      <c r="A2278" s="5" t="str">
        <f ca="1">IFERROR(__xludf.DUMMYFUNCTION("""COMPUTED_VALUE"""),"40158")</f>
        <v>40158</v>
      </c>
      <c r="B2278" s="51">
        <f ca="1">IFERROR(__xludf.DUMMYFUNCTION("""COMPUTED_VALUE"""),44617)</f>
        <v>44617</v>
      </c>
      <c r="C2278" s="22">
        <f ca="1">IFERROR(__xludf.DUMMYFUNCTION("""COMPUTED_VALUE"""),369042.8734185)</f>
        <v>369042.87341850001</v>
      </c>
      <c r="D2278" s="22">
        <f ca="1">IFERROR(__xludf.DUMMYFUNCTION("""COMPUTED_VALUE"""),125636.4265815)</f>
        <v>125636.4265815</v>
      </c>
      <c r="E2278" s="22">
        <f ca="1">IFERROR(__xludf.DUMMYFUNCTION("""COMPUTED_VALUE"""),494679.3)</f>
        <v>494679.3</v>
      </c>
      <c r="F2278" s="22">
        <f ca="1">IFERROR(__xludf.DUMMYFUNCTION("""COMPUTED_VALUE"""),369042.8734185)</f>
        <v>369042.87341850001</v>
      </c>
      <c r="G2278" s="22">
        <f ca="1">IFERROR(__xludf.DUMMYFUNCTION("""COMPUTED_VALUE"""),0)</f>
        <v>0</v>
      </c>
      <c r="H2278" s="7">
        <f ca="1">IFERROR(__xludf.DUMMYFUNCTION("""COMPUTED_VALUE"""),491613.4825704)</f>
        <v>491613.4825704</v>
      </c>
    </row>
    <row r="2279" spans="1:8" ht="13" x14ac:dyDescent="0.15">
      <c r="A2279" s="5" t="str">
        <f ca="1">IFERROR(__xludf.DUMMYFUNCTION("""COMPUTED_VALUE"""),"40158")</f>
        <v>40158</v>
      </c>
      <c r="B2279" s="51">
        <f ca="1">IFERROR(__xludf.DUMMYFUNCTION("""COMPUTED_VALUE"""),44618)</f>
        <v>44618</v>
      </c>
      <c r="C2279" s="22">
        <f ca="1">IFERROR(__xludf.DUMMYFUNCTION("""COMPUTED_VALUE"""),369042.8734185)</f>
        <v>369042.87341850001</v>
      </c>
      <c r="D2279" s="22">
        <f ca="1">IFERROR(__xludf.DUMMYFUNCTION("""COMPUTED_VALUE"""),125636.4265815)</f>
        <v>125636.4265815</v>
      </c>
      <c r="E2279" s="22">
        <f ca="1">IFERROR(__xludf.DUMMYFUNCTION("""COMPUTED_VALUE"""),494679.3)</f>
        <v>494679.3</v>
      </c>
      <c r="F2279" s="22">
        <f ca="1">IFERROR(__xludf.DUMMYFUNCTION("""COMPUTED_VALUE"""),369042.8734185)</f>
        <v>369042.87341850001</v>
      </c>
      <c r="G2279" s="22">
        <f ca="1">IFERROR(__xludf.DUMMYFUNCTION("""COMPUTED_VALUE"""),0)</f>
        <v>0</v>
      </c>
      <c r="H2279" s="7">
        <f ca="1">IFERROR(__xludf.DUMMYFUNCTION("""COMPUTED_VALUE"""),491614.2114534)</f>
        <v>491614.21145340003</v>
      </c>
    </row>
    <row r="2280" spans="1:8" ht="13" x14ac:dyDescent="0.15">
      <c r="A2280" s="5" t="str">
        <f ca="1">IFERROR(__xludf.DUMMYFUNCTION("""COMPUTED_VALUE"""),"40158")</f>
        <v>40158</v>
      </c>
      <c r="B2280" s="51">
        <f ca="1">IFERROR(__xludf.DUMMYFUNCTION("""COMPUTED_VALUE"""),44619)</f>
        <v>44619</v>
      </c>
      <c r="C2280" s="22">
        <f ca="1">IFERROR(__xludf.DUMMYFUNCTION("""COMPUTED_VALUE"""),369042.8734185)</f>
        <v>369042.87341850001</v>
      </c>
      <c r="D2280" s="22">
        <f ca="1">IFERROR(__xludf.DUMMYFUNCTION("""COMPUTED_VALUE"""),125636.4265815)</f>
        <v>125636.4265815</v>
      </c>
      <c r="E2280" s="22">
        <f ca="1">IFERROR(__xludf.DUMMYFUNCTION("""COMPUTED_VALUE"""),494679.3)</f>
        <v>494679.3</v>
      </c>
      <c r="F2280" s="22">
        <f ca="1">IFERROR(__xludf.DUMMYFUNCTION("""COMPUTED_VALUE"""),369042.8734185)</f>
        <v>369042.87341850001</v>
      </c>
      <c r="G2280" s="22">
        <f ca="1">IFERROR(__xludf.DUMMYFUNCTION("""COMPUTED_VALUE"""),0)</f>
        <v>0</v>
      </c>
      <c r="H2280" s="7">
        <f ca="1">IFERROR(__xludf.DUMMYFUNCTION("""COMPUTED_VALUE"""),491612.5350225)</f>
        <v>491612.53502249997</v>
      </c>
    </row>
    <row r="2281" spans="1:8" ht="13" x14ac:dyDescent="0.15">
      <c r="A2281" s="5" t="str">
        <f ca="1">IFERROR(__xludf.DUMMYFUNCTION("""COMPUTED_VALUE"""),"40158")</f>
        <v>40158</v>
      </c>
      <c r="B2281" s="51">
        <f ca="1">IFERROR(__xludf.DUMMYFUNCTION("""COMPUTED_VALUE"""),44620)</f>
        <v>44620</v>
      </c>
      <c r="C2281" s="22">
        <f ca="1">IFERROR(__xludf.DUMMYFUNCTION("""COMPUTED_VALUE"""),369042.8734185)</f>
        <v>369042.87341850001</v>
      </c>
      <c r="D2281" s="22">
        <f ca="1">IFERROR(__xludf.DUMMYFUNCTION("""COMPUTED_VALUE"""),125070.8265815)</f>
        <v>125070.8265815</v>
      </c>
      <c r="E2281" s="22">
        <f ca="1">IFERROR(__xludf.DUMMYFUNCTION("""COMPUTED_VALUE"""),494113.7)</f>
        <v>494113.7</v>
      </c>
      <c r="F2281" s="22">
        <f ca="1">IFERROR(__xludf.DUMMYFUNCTION("""COMPUTED_VALUE"""),369042.8734185)</f>
        <v>369042.87341850001</v>
      </c>
      <c r="G2281" s="22">
        <f ca="1">IFERROR(__xludf.DUMMYFUNCTION("""COMPUTED_VALUE"""),0)</f>
        <v>0</v>
      </c>
      <c r="H2281" s="7">
        <f ca="1">IFERROR(__xludf.DUMMYFUNCTION("""COMPUTED_VALUE"""),493911.5411195)</f>
        <v>493911.54111950001</v>
      </c>
    </row>
    <row r="2282" spans="1:8" ht="13" x14ac:dyDescent="0.15">
      <c r="A2282" s="5" t="str">
        <f ca="1">IFERROR(__xludf.DUMMYFUNCTION("""COMPUTED_VALUE"""),"40158")</f>
        <v>40158</v>
      </c>
      <c r="B2282" s="51">
        <f ca="1">IFERROR(__xludf.DUMMYFUNCTION("""COMPUTED_VALUE"""),44621)</f>
        <v>44621</v>
      </c>
      <c r="C2282" s="22">
        <f ca="1">IFERROR(__xludf.DUMMYFUNCTION("""COMPUTED_VALUE"""),369042.8734185)</f>
        <v>369042.87341850001</v>
      </c>
      <c r="D2282" s="22">
        <f ca="1">IFERROR(__xludf.DUMMYFUNCTION("""COMPUTED_VALUE"""),126060.6265815)</f>
        <v>126060.62658149999</v>
      </c>
      <c r="E2282" s="22">
        <f ca="1">IFERROR(__xludf.DUMMYFUNCTION("""COMPUTED_VALUE"""),495103.5)</f>
        <v>495103.5</v>
      </c>
      <c r="F2282" s="22">
        <f ca="1">IFERROR(__xludf.DUMMYFUNCTION("""COMPUTED_VALUE"""),369042.8734185)</f>
        <v>369042.87341850001</v>
      </c>
      <c r="G2282" s="22">
        <f ca="1">IFERROR(__xludf.DUMMYFUNCTION("""COMPUTED_VALUE"""),0)</f>
        <v>0</v>
      </c>
      <c r="H2282" s="7">
        <f ca="1">IFERROR(__xludf.DUMMYFUNCTION("""COMPUTED_VALUE"""),494629.4576256)</f>
        <v>494629.45762559999</v>
      </c>
    </row>
    <row r="2283" spans="1:8" ht="13" x14ac:dyDescent="0.15">
      <c r="A2283" s="5" t="str">
        <f ca="1">IFERROR(__xludf.DUMMYFUNCTION("""COMPUTED_VALUE"""),"40158")</f>
        <v>40158</v>
      </c>
      <c r="B2283" s="51">
        <f ca="1">IFERROR(__xludf.DUMMYFUNCTION("""COMPUTED_VALUE"""),44622)</f>
        <v>44622</v>
      </c>
      <c r="C2283" s="22">
        <f ca="1">IFERROR(__xludf.DUMMYFUNCTION("""COMPUTED_VALUE"""),369042.8734185)</f>
        <v>369042.87341850001</v>
      </c>
      <c r="D2283" s="22">
        <f ca="1">IFERROR(__xludf.DUMMYFUNCTION("""COMPUTED_VALUE"""),122737.7265815)</f>
        <v>122737.7265815</v>
      </c>
      <c r="E2283" s="22">
        <f ca="1">IFERROR(__xludf.DUMMYFUNCTION("""COMPUTED_VALUE"""),491780.6)</f>
        <v>491780.6</v>
      </c>
      <c r="F2283" s="22">
        <f ca="1">IFERROR(__xludf.DUMMYFUNCTION("""COMPUTED_VALUE"""),369042.8734185)</f>
        <v>369042.87341850001</v>
      </c>
      <c r="G2283" s="22">
        <f ca="1">IFERROR(__xludf.DUMMYFUNCTION("""COMPUTED_VALUE"""),0)</f>
        <v>0</v>
      </c>
      <c r="H2283" s="7">
        <f ca="1">IFERROR(__xludf.DUMMYFUNCTION("""COMPUTED_VALUE"""),492024.5722115)</f>
        <v>492024.57221150002</v>
      </c>
    </row>
    <row r="2284" spans="1:8" ht="13" x14ac:dyDescent="0.15">
      <c r="A2284" s="5" t="str">
        <f ca="1">IFERROR(__xludf.DUMMYFUNCTION("""COMPUTED_VALUE"""),"40158")</f>
        <v>40158</v>
      </c>
      <c r="B2284" s="51">
        <f ca="1">IFERROR(__xludf.DUMMYFUNCTION("""COMPUTED_VALUE"""),44623)</f>
        <v>44623</v>
      </c>
      <c r="C2284" s="22">
        <f ca="1">IFERROR(__xludf.DUMMYFUNCTION("""COMPUTED_VALUE"""),369042.8734185)</f>
        <v>369042.87341850001</v>
      </c>
      <c r="D2284" s="22">
        <f ca="1">IFERROR(__xludf.DUMMYFUNCTION("""COMPUTED_VALUE"""),122949.8265815)</f>
        <v>122949.8265815</v>
      </c>
      <c r="E2284" s="22">
        <f ca="1">IFERROR(__xludf.DUMMYFUNCTION("""COMPUTED_VALUE"""),491992.7)</f>
        <v>491992.7</v>
      </c>
      <c r="F2284" s="22">
        <f ca="1">IFERROR(__xludf.DUMMYFUNCTION("""COMPUTED_VALUE"""),369042.8734185)</f>
        <v>369042.87341850001</v>
      </c>
      <c r="G2284" s="22">
        <f ca="1">IFERROR(__xludf.DUMMYFUNCTION("""COMPUTED_VALUE"""),0)</f>
        <v>0</v>
      </c>
      <c r="H2284" s="7">
        <f ca="1">IFERROR(__xludf.DUMMYFUNCTION("""COMPUTED_VALUE"""),490342.7618975)</f>
        <v>490342.76189750002</v>
      </c>
    </row>
    <row r="2285" spans="1:8" ht="13" x14ac:dyDescent="0.15">
      <c r="A2285" s="5" t="str">
        <f ca="1">IFERROR(__xludf.DUMMYFUNCTION("""COMPUTED_VALUE"""),"40158")</f>
        <v>40158</v>
      </c>
      <c r="B2285" s="51">
        <f ca="1">IFERROR(__xludf.DUMMYFUNCTION("""COMPUTED_VALUE"""),44624)</f>
        <v>44624</v>
      </c>
      <c r="C2285" s="22">
        <f ca="1">IFERROR(__xludf.DUMMYFUNCTION("""COMPUTED_VALUE"""),369042.8734185)</f>
        <v>369042.87341850001</v>
      </c>
      <c r="D2285" s="22">
        <f ca="1">IFERROR(__xludf.DUMMYFUNCTION("""COMPUTED_VALUE"""),121606.5265815)</f>
        <v>121606.5265815</v>
      </c>
      <c r="E2285" s="22">
        <f ca="1">IFERROR(__xludf.DUMMYFUNCTION("""COMPUTED_VALUE"""),490649.4)</f>
        <v>490649.4</v>
      </c>
      <c r="F2285" s="22">
        <f ca="1">IFERROR(__xludf.DUMMYFUNCTION("""COMPUTED_VALUE"""),369042.8734185)</f>
        <v>369042.87341850001</v>
      </c>
      <c r="G2285" s="22">
        <f ca="1">IFERROR(__xludf.DUMMYFUNCTION("""COMPUTED_VALUE"""),0)</f>
        <v>0</v>
      </c>
      <c r="H2285" s="7">
        <f ca="1">IFERROR(__xludf.DUMMYFUNCTION("""COMPUTED_VALUE"""),488944.6701057)</f>
        <v>488944.67010569997</v>
      </c>
    </row>
    <row r="2286" spans="1:8" ht="13" x14ac:dyDescent="0.15">
      <c r="A2286" s="5" t="str">
        <f ca="1">IFERROR(__xludf.DUMMYFUNCTION("""COMPUTED_VALUE"""),"40158")</f>
        <v>40158</v>
      </c>
      <c r="B2286" s="51">
        <f ca="1">IFERROR(__xludf.DUMMYFUNCTION("""COMPUTED_VALUE"""),44625)</f>
        <v>44625</v>
      </c>
      <c r="C2286" s="22">
        <f ca="1">IFERROR(__xludf.DUMMYFUNCTION("""COMPUTED_VALUE"""),369042.8734185)</f>
        <v>369042.87341850001</v>
      </c>
      <c r="D2286" s="22">
        <f ca="1">IFERROR(__xludf.DUMMYFUNCTION("""COMPUTED_VALUE"""),121606.5265815)</f>
        <v>121606.5265815</v>
      </c>
      <c r="E2286" s="22">
        <f ca="1">IFERROR(__xludf.DUMMYFUNCTION("""COMPUTED_VALUE"""),490649.4)</f>
        <v>490649.4</v>
      </c>
      <c r="F2286" s="22">
        <f ca="1">IFERROR(__xludf.DUMMYFUNCTION("""COMPUTED_VALUE"""),369042.8734185)</f>
        <v>369042.87341850001</v>
      </c>
      <c r="G2286" s="22">
        <f ca="1">IFERROR(__xludf.DUMMYFUNCTION("""COMPUTED_VALUE"""),0)</f>
        <v>0</v>
      </c>
      <c r="H2286" s="7">
        <f ca="1">IFERROR(__xludf.DUMMYFUNCTION("""COMPUTED_VALUE"""),488944.6701057)</f>
        <v>488944.67010569997</v>
      </c>
    </row>
    <row r="2287" spans="1:8" ht="13" x14ac:dyDescent="0.15">
      <c r="A2287" s="5" t="str">
        <f ca="1">IFERROR(__xludf.DUMMYFUNCTION("""COMPUTED_VALUE"""),"40158")</f>
        <v>40158</v>
      </c>
      <c r="B2287" s="51">
        <f ca="1">IFERROR(__xludf.DUMMYFUNCTION("""COMPUTED_VALUE"""),44626)</f>
        <v>44626</v>
      </c>
      <c r="C2287" s="22">
        <f ca="1">IFERROR(__xludf.DUMMYFUNCTION("""COMPUTED_VALUE"""),369042.8734185)</f>
        <v>369042.87341850001</v>
      </c>
      <c r="D2287" s="22">
        <f ca="1">IFERROR(__xludf.DUMMYFUNCTION("""COMPUTED_VALUE"""),121606.5265815)</f>
        <v>121606.5265815</v>
      </c>
      <c r="E2287" s="22">
        <f ca="1">IFERROR(__xludf.DUMMYFUNCTION("""COMPUTED_VALUE"""),490649.4)</f>
        <v>490649.4</v>
      </c>
      <c r="F2287" s="22">
        <f ca="1">IFERROR(__xludf.DUMMYFUNCTION("""COMPUTED_VALUE"""),369042.8734185)</f>
        <v>369042.87341850001</v>
      </c>
      <c r="G2287" s="22">
        <f ca="1">IFERROR(__xludf.DUMMYFUNCTION("""COMPUTED_VALUE"""),0)</f>
        <v>0</v>
      </c>
      <c r="H2287" s="7">
        <f ca="1">IFERROR(__xludf.DUMMYFUNCTION("""COMPUTED_VALUE"""),488950.0770762)</f>
        <v>488950.07707619999</v>
      </c>
    </row>
    <row r="2288" spans="1:8" ht="13" x14ac:dyDescent="0.15">
      <c r="A2288" s="5" t="str">
        <f ca="1">IFERROR(__xludf.DUMMYFUNCTION("""COMPUTED_VALUE"""),"40158")</f>
        <v>40158</v>
      </c>
      <c r="B2288" s="51">
        <f ca="1">IFERROR(__xludf.DUMMYFUNCTION("""COMPUTED_VALUE"""),44627)</f>
        <v>44627</v>
      </c>
      <c r="C2288" s="22">
        <f ca="1">IFERROR(__xludf.DUMMYFUNCTION("""COMPUTED_VALUE"""),369042.8734185)</f>
        <v>369042.87341850001</v>
      </c>
      <c r="D2288" s="22">
        <f ca="1">IFERROR(__xludf.DUMMYFUNCTION("""COMPUTED_VALUE"""),117930.1265815)</f>
        <v>117930.12658149999</v>
      </c>
      <c r="E2288" s="22">
        <f ca="1">IFERROR(__xludf.DUMMYFUNCTION("""COMPUTED_VALUE"""),486973)</f>
        <v>486973</v>
      </c>
      <c r="F2288" s="22">
        <f ca="1">IFERROR(__xludf.DUMMYFUNCTION("""COMPUTED_VALUE"""),369042.8734185)</f>
        <v>369042.87341850001</v>
      </c>
      <c r="G2288" s="22">
        <f ca="1">IFERROR(__xludf.DUMMYFUNCTION("""COMPUTED_VALUE"""),0)</f>
        <v>0</v>
      </c>
      <c r="H2288" s="7">
        <f ca="1">IFERROR(__xludf.DUMMYFUNCTION("""COMPUTED_VALUE"""),483708.3671725)</f>
        <v>483708.3671725</v>
      </c>
    </row>
    <row r="2289" spans="1:8" ht="13" x14ac:dyDescent="0.15">
      <c r="A2289" s="5" t="str">
        <f ca="1">IFERROR(__xludf.DUMMYFUNCTION("""COMPUTED_VALUE"""),"40158")</f>
        <v>40158</v>
      </c>
      <c r="B2289" s="51">
        <f ca="1">IFERROR(__xludf.DUMMYFUNCTION("""COMPUTED_VALUE"""),44628)</f>
        <v>44628</v>
      </c>
      <c r="C2289" s="22">
        <f ca="1">IFERROR(__xludf.DUMMYFUNCTION("""COMPUTED_VALUE"""),369042.8734185)</f>
        <v>369042.87341850001</v>
      </c>
      <c r="D2289" s="22">
        <f ca="1">IFERROR(__xludf.DUMMYFUNCTION("""COMPUTED_VALUE"""),114960.7265815)</f>
        <v>114960.7265815</v>
      </c>
      <c r="E2289" s="22">
        <f ca="1">IFERROR(__xludf.DUMMYFUNCTION("""COMPUTED_VALUE"""),484003.6)</f>
        <v>484003.6</v>
      </c>
      <c r="F2289" s="22">
        <f ca="1">IFERROR(__xludf.DUMMYFUNCTION("""COMPUTED_VALUE"""),369042.8734185)</f>
        <v>369042.87341850001</v>
      </c>
      <c r="G2289" s="22">
        <f ca="1">IFERROR(__xludf.DUMMYFUNCTION("""COMPUTED_VALUE"""),0)</f>
        <v>0</v>
      </c>
      <c r="H2289" s="7">
        <f ca="1">IFERROR(__xludf.DUMMYFUNCTION("""COMPUTED_VALUE"""),481670.8513585)</f>
        <v>481670.85135850002</v>
      </c>
    </row>
    <row r="2290" spans="1:8" ht="13" x14ac:dyDescent="0.15">
      <c r="A2290" s="5" t="str">
        <f ca="1">IFERROR(__xludf.DUMMYFUNCTION("""COMPUTED_VALUE"""),"40158")</f>
        <v>40158</v>
      </c>
      <c r="B2290" s="51">
        <f ca="1">IFERROR(__xludf.DUMMYFUNCTION("""COMPUTED_VALUE"""),44629)</f>
        <v>44629</v>
      </c>
      <c r="C2290" s="22">
        <f ca="1">IFERROR(__xludf.DUMMYFUNCTION("""COMPUTED_VALUE"""),369042.8734185)</f>
        <v>369042.87341850001</v>
      </c>
      <c r="D2290" s="22">
        <f ca="1">IFERROR(__xludf.DUMMYFUNCTION("""COMPUTED_VALUE"""),109481.4765815)</f>
        <v>109481.4765815</v>
      </c>
      <c r="E2290" s="22">
        <f ca="1">IFERROR(__xludf.DUMMYFUNCTION("""COMPUTED_VALUE"""),478524.35)</f>
        <v>478524.35</v>
      </c>
      <c r="F2290" s="22">
        <f ca="1">IFERROR(__xludf.DUMMYFUNCTION("""COMPUTED_VALUE"""),369042.8734185)</f>
        <v>369042.87341850001</v>
      </c>
      <c r="G2290" s="22">
        <f ca="1">IFERROR(__xludf.DUMMYFUNCTION("""COMPUTED_VALUE"""),0)</f>
        <v>0</v>
      </c>
      <c r="H2290" s="7">
        <f ca="1">IFERROR(__xludf.DUMMYFUNCTION("""COMPUTED_VALUE"""),477815.3458355)</f>
        <v>477815.34583549999</v>
      </c>
    </row>
    <row r="2291" spans="1:8" ht="13" x14ac:dyDescent="0.15">
      <c r="A2291" s="5" t="str">
        <f ca="1">IFERROR(__xludf.DUMMYFUNCTION("""COMPUTED_VALUE"""),"40158")</f>
        <v>40158</v>
      </c>
      <c r="B2291" s="51">
        <f ca="1">IFERROR(__xludf.DUMMYFUNCTION("""COMPUTED_VALUE"""),44630)</f>
        <v>44630</v>
      </c>
      <c r="C2291" s="22">
        <f ca="1">IFERROR(__xludf.DUMMYFUNCTION("""COMPUTED_VALUE"""),369042.8734185)</f>
        <v>369042.87341850001</v>
      </c>
      <c r="D2291" s="22">
        <f ca="1">IFERROR(__xludf.DUMMYFUNCTION("""COMPUTED_VALUE"""),111991.3265815)</f>
        <v>111991.3265815</v>
      </c>
      <c r="E2291" s="22">
        <f ca="1">IFERROR(__xludf.DUMMYFUNCTION("""COMPUTED_VALUE"""),481034.2)</f>
        <v>481034.2</v>
      </c>
      <c r="F2291" s="22">
        <f ca="1">IFERROR(__xludf.DUMMYFUNCTION("""COMPUTED_VALUE"""),369042.8734185)</f>
        <v>369042.87341850001</v>
      </c>
      <c r="G2291" s="22">
        <f ca="1">IFERROR(__xludf.DUMMYFUNCTION("""COMPUTED_VALUE"""),0)</f>
        <v>0</v>
      </c>
      <c r="H2291" s="7">
        <f ca="1">IFERROR(__xludf.DUMMYFUNCTION("""COMPUTED_VALUE"""),480343.2342055)</f>
        <v>480343.23420549999</v>
      </c>
    </row>
    <row r="2292" spans="1:8" ht="13" x14ac:dyDescent="0.15">
      <c r="A2292" s="5" t="str">
        <f ca="1">IFERROR(__xludf.DUMMYFUNCTION("""COMPUTED_VALUE"""),"40158")</f>
        <v>40158</v>
      </c>
      <c r="B2292" s="51">
        <f ca="1">IFERROR(__xludf.DUMMYFUNCTION("""COMPUTED_VALUE"""),44631)</f>
        <v>44631</v>
      </c>
      <c r="C2292" s="22">
        <f ca="1">IFERROR(__xludf.DUMMYFUNCTION("""COMPUTED_VALUE"""),369042.8734185)</f>
        <v>369042.87341850001</v>
      </c>
      <c r="D2292" s="22">
        <f ca="1">IFERROR(__xludf.DUMMYFUNCTION("""COMPUTED_VALUE"""),110188.4765815)</f>
        <v>110188.4765815</v>
      </c>
      <c r="E2292" s="22">
        <f ca="1">IFERROR(__xludf.DUMMYFUNCTION("""COMPUTED_VALUE"""),479231.35)</f>
        <v>479231.35</v>
      </c>
      <c r="F2292" s="22">
        <f ca="1">IFERROR(__xludf.DUMMYFUNCTION("""COMPUTED_VALUE"""),369042.8734185)</f>
        <v>369042.87341850001</v>
      </c>
      <c r="G2292" s="22">
        <f ca="1">IFERROR(__xludf.DUMMYFUNCTION("""COMPUTED_VALUE"""),0)</f>
        <v>0</v>
      </c>
      <c r="H2292" s="7">
        <f ca="1">IFERROR(__xludf.DUMMYFUNCTION("""COMPUTED_VALUE"""),475585.9803685)</f>
        <v>475585.98036849999</v>
      </c>
    </row>
    <row r="2293" spans="1:8" ht="13" x14ac:dyDescent="0.15">
      <c r="A2293" s="5" t="str">
        <f ca="1">IFERROR(__xludf.DUMMYFUNCTION("""COMPUTED_VALUE"""),"40158")</f>
        <v>40158</v>
      </c>
      <c r="B2293" s="51">
        <f ca="1">IFERROR(__xludf.DUMMYFUNCTION("""COMPUTED_VALUE"""),44632)</f>
        <v>44632</v>
      </c>
      <c r="C2293" s="22">
        <f ca="1">IFERROR(__xludf.DUMMYFUNCTION("""COMPUTED_VALUE"""),369042.8734185)</f>
        <v>369042.87341850001</v>
      </c>
      <c r="D2293" s="22">
        <f ca="1">IFERROR(__xludf.DUMMYFUNCTION("""COMPUTED_VALUE"""),110188.4765815)</f>
        <v>110188.4765815</v>
      </c>
      <c r="E2293" s="22">
        <f ca="1">IFERROR(__xludf.DUMMYFUNCTION("""COMPUTED_VALUE"""),479231.35)</f>
        <v>479231.35</v>
      </c>
      <c r="F2293" s="22">
        <f ca="1">IFERROR(__xludf.DUMMYFUNCTION("""COMPUTED_VALUE"""),369042.8734185)</f>
        <v>369042.87341850001</v>
      </c>
      <c r="G2293" s="22">
        <f ca="1">IFERROR(__xludf.DUMMYFUNCTION("""COMPUTED_VALUE"""),0)</f>
        <v>0</v>
      </c>
      <c r="H2293" s="7">
        <f ca="1">IFERROR(__xludf.DUMMYFUNCTION("""COMPUTED_VALUE"""),475585.9803685)</f>
        <v>475585.98036849999</v>
      </c>
    </row>
    <row r="2294" spans="1:8" ht="13" x14ac:dyDescent="0.15">
      <c r="A2294" s="5" t="str">
        <f ca="1">IFERROR(__xludf.DUMMYFUNCTION("""COMPUTED_VALUE"""),"40158")</f>
        <v>40158</v>
      </c>
      <c r="B2294" s="51">
        <f ca="1">IFERROR(__xludf.DUMMYFUNCTION("""COMPUTED_VALUE"""),44633)</f>
        <v>44633</v>
      </c>
      <c r="C2294" s="22">
        <f ca="1">IFERROR(__xludf.DUMMYFUNCTION("""COMPUTED_VALUE"""),369042.8734185)</f>
        <v>369042.87341850001</v>
      </c>
      <c r="D2294" s="22">
        <f ca="1">IFERROR(__xludf.DUMMYFUNCTION("""COMPUTED_VALUE"""),110188.4765815)</f>
        <v>110188.4765815</v>
      </c>
      <c r="E2294" s="22">
        <f ca="1">IFERROR(__xludf.DUMMYFUNCTION("""COMPUTED_VALUE"""),479231.35)</f>
        <v>479231.35</v>
      </c>
      <c r="F2294" s="22">
        <f ca="1">IFERROR(__xludf.DUMMYFUNCTION("""COMPUTED_VALUE"""),369042.8734185)</f>
        <v>369042.87341850001</v>
      </c>
      <c r="G2294" s="22">
        <f ca="1">IFERROR(__xludf.DUMMYFUNCTION("""COMPUTED_VALUE"""),0)</f>
        <v>0</v>
      </c>
      <c r="H2294" s="7">
        <f ca="1">IFERROR(__xludf.DUMMYFUNCTION("""COMPUTED_VALUE"""),475582.7830615)</f>
        <v>475582.7830615</v>
      </c>
    </row>
    <row r="2295" spans="1:8" ht="13" x14ac:dyDescent="0.15">
      <c r="A2295" s="5" t="str">
        <f ca="1">IFERROR(__xludf.DUMMYFUNCTION("""COMPUTED_VALUE"""),"40158")</f>
        <v>40158</v>
      </c>
      <c r="B2295" s="51">
        <f ca="1">IFERROR(__xludf.DUMMYFUNCTION("""COMPUTED_VALUE"""),44634)</f>
        <v>44634</v>
      </c>
      <c r="C2295" s="22">
        <f ca="1">IFERROR(__xludf.DUMMYFUNCTION("""COMPUTED_VALUE"""),369042.8734185)</f>
        <v>369042.87341850001</v>
      </c>
      <c r="D2295" s="22">
        <f ca="1">IFERROR(__xludf.DUMMYFUNCTION("""COMPUTED_VALUE"""),102234.7265815)</f>
        <v>102234.7265815</v>
      </c>
      <c r="E2295" s="22">
        <f ca="1">IFERROR(__xludf.DUMMYFUNCTION("""COMPUTED_VALUE"""),471277.6)</f>
        <v>471277.6</v>
      </c>
      <c r="F2295" s="22">
        <f ca="1">IFERROR(__xludf.DUMMYFUNCTION("""COMPUTED_VALUE"""),369042.8734185)</f>
        <v>369042.87341850001</v>
      </c>
      <c r="G2295" s="22">
        <f ca="1">IFERROR(__xludf.DUMMYFUNCTION("""COMPUTED_VALUE"""),0)</f>
        <v>0</v>
      </c>
      <c r="H2295" s="7">
        <f ca="1">IFERROR(__xludf.DUMMYFUNCTION("""COMPUTED_VALUE"""),466269.6873535)</f>
        <v>466269.68735349999</v>
      </c>
    </row>
    <row r="2296" spans="1:8" ht="13" x14ac:dyDescent="0.15">
      <c r="A2296" s="5" t="str">
        <f ca="1">IFERROR(__xludf.DUMMYFUNCTION("""COMPUTED_VALUE"""),"40158")</f>
        <v>40158</v>
      </c>
      <c r="B2296" s="51">
        <f ca="1">IFERROR(__xludf.DUMMYFUNCTION("""COMPUTED_VALUE"""),44635)</f>
        <v>44635</v>
      </c>
      <c r="C2296" s="22">
        <f ca="1">IFERROR(__xludf.DUMMYFUNCTION("""COMPUTED_VALUE"""),369042.8734185)</f>
        <v>369042.87341850001</v>
      </c>
      <c r="D2296" s="22">
        <f ca="1">IFERROR(__xludf.DUMMYFUNCTION("""COMPUTED_VALUE"""),102906.3765815)</f>
        <v>102906.37658149999</v>
      </c>
      <c r="E2296" s="22">
        <f ca="1">IFERROR(__xludf.DUMMYFUNCTION("""COMPUTED_VALUE"""),471949.25)</f>
        <v>471949.25</v>
      </c>
      <c r="F2296" s="22">
        <f ca="1">IFERROR(__xludf.DUMMYFUNCTION("""COMPUTED_VALUE"""),369042.8734185)</f>
        <v>369042.87341850001</v>
      </c>
      <c r="G2296" s="22">
        <f ca="1">IFERROR(__xludf.DUMMYFUNCTION("""COMPUTED_VALUE"""),0)</f>
        <v>0</v>
      </c>
      <c r="H2296" s="7">
        <f ca="1">IFERROR(__xludf.DUMMYFUNCTION("""COMPUTED_VALUE"""),468598.8410315)</f>
        <v>468598.84103150002</v>
      </c>
    </row>
    <row r="2297" spans="1:8" ht="13" x14ac:dyDescent="0.15">
      <c r="A2297" s="5" t="str">
        <f ca="1">IFERROR(__xludf.DUMMYFUNCTION("""COMPUTED_VALUE"""),"40158")</f>
        <v>40158</v>
      </c>
      <c r="B2297" s="51">
        <f ca="1">IFERROR(__xludf.DUMMYFUNCTION("""COMPUTED_VALUE"""),44636)</f>
        <v>44636</v>
      </c>
      <c r="C2297" s="22">
        <f ca="1">IFERROR(__xludf.DUMMYFUNCTION("""COMPUTED_VALUE"""),369042.8734185)</f>
        <v>369042.87341850001</v>
      </c>
      <c r="D2297" s="22">
        <f ca="1">IFERROR(__xludf.DUMMYFUNCTION("""COMPUTED_VALUE"""),111673.1765815)</f>
        <v>111673.1765815</v>
      </c>
      <c r="E2297" s="22">
        <f ca="1">IFERROR(__xludf.DUMMYFUNCTION("""COMPUTED_VALUE"""),480716.05)</f>
        <v>480716.05</v>
      </c>
      <c r="F2297" s="22">
        <f ca="1">IFERROR(__xludf.DUMMYFUNCTION("""COMPUTED_VALUE"""),369042.8734185)</f>
        <v>369042.87341850001</v>
      </c>
      <c r="G2297" s="22">
        <f ca="1">IFERROR(__xludf.DUMMYFUNCTION("""COMPUTED_VALUE"""),0)</f>
        <v>0</v>
      </c>
      <c r="H2297" s="7">
        <f ca="1">IFERROR(__xludf.DUMMYFUNCTION("""COMPUTED_VALUE"""),479133.8877775)</f>
        <v>479133.88777749997</v>
      </c>
    </row>
    <row r="2298" spans="1:8" ht="13" x14ac:dyDescent="0.15">
      <c r="A2298" s="5" t="str">
        <f ca="1">IFERROR(__xludf.DUMMYFUNCTION("""COMPUTED_VALUE"""),"40158")</f>
        <v>40158</v>
      </c>
      <c r="B2298" s="51">
        <f ca="1">IFERROR(__xludf.DUMMYFUNCTION("""COMPUTED_VALUE"""),44637)</f>
        <v>44637</v>
      </c>
      <c r="C2298" s="22">
        <f ca="1">IFERROR(__xludf.DUMMYFUNCTION("""COMPUTED_VALUE"""),369042.8734185)</f>
        <v>369042.87341850001</v>
      </c>
      <c r="D2298" s="22">
        <f ca="1">IFERROR(__xludf.DUMMYFUNCTION("""COMPUTED_VALUE"""),114890.0265815)</f>
        <v>114890.0265815</v>
      </c>
      <c r="E2298" s="22">
        <f ca="1">IFERROR(__xludf.DUMMYFUNCTION("""COMPUTED_VALUE"""),483932.9)</f>
        <v>483932.9</v>
      </c>
      <c r="F2298" s="22">
        <f ca="1">IFERROR(__xludf.DUMMYFUNCTION("""COMPUTED_VALUE"""),369042.8734185)</f>
        <v>369042.87341850001</v>
      </c>
      <c r="G2298" s="22">
        <f ca="1">IFERROR(__xludf.DUMMYFUNCTION("""COMPUTED_VALUE"""),0)</f>
        <v>0</v>
      </c>
      <c r="H2298" s="7">
        <f ca="1">IFERROR(__xludf.DUMMYFUNCTION("""COMPUTED_VALUE"""),483803.8951385)</f>
        <v>483803.89513850003</v>
      </c>
    </row>
    <row r="2299" spans="1:8" ht="13" x14ac:dyDescent="0.15">
      <c r="A2299" s="5" t="str">
        <f ca="1">IFERROR(__xludf.DUMMYFUNCTION("""COMPUTED_VALUE"""),"40158")</f>
        <v>40158</v>
      </c>
      <c r="B2299" s="51">
        <f ca="1">IFERROR(__xludf.DUMMYFUNCTION("""COMPUTED_VALUE"""),44638)</f>
        <v>44638</v>
      </c>
      <c r="C2299" s="22">
        <f ca="1">IFERROR(__xludf.DUMMYFUNCTION("""COMPUTED_VALUE"""),369042.8734185)</f>
        <v>369042.87341850001</v>
      </c>
      <c r="D2299" s="22">
        <f ca="1">IFERROR(__xludf.DUMMYFUNCTION("""COMPUTED_VALUE"""),112274.1265815)</f>
        <v>112274.12658149999</v>
      </c>
      <c r="E2299" s="22">
        <f ca="1">IFERROR(__xludf.DUMMYFUNCTION("""COMPUTED_VALUE"""),481317)</f>
        <v>481317</v>
      </c>
      <c r="F2299" s="22">
        <f ca="1">IFERROR(__xludf.DUMMYFUNCTION("""COMPUTED_VALUE"""),369042.8734185)</f>
        <v>369042.87341850001</v>
      </c>
      <c r="G2299" s="22">
        <f ca="1">IFERROR(__xludf.DUMMYFUNCTION("""COMPUTED_VALUE"""),0)</f>
        <v>0</v>
      </c>
      <c r="H2299" s="7">
        <f ca="1">IFERROR(__xludf.DUMMYFUNCTION("""COMPUTED_VALUE"""),482816.2623015)</f>
        <v>482816.26230150001</v>
      </c>
    </row>
    <row r="2300" spans="1:8" ht="13" x14ac:dyDescent="0.15">
      <c r="A2300" s="5" t="str">
        <f ca="1">IFERROR(__xludf.DUMMYFUNCTION("""COMPUTED_VALUE"""),"40158")</f>
        <v>40158</v>
      </c>
      <c r="B2300" s="51">
        <f ca="1">IFERROR(__xludf.DUMMYFUNCTION("""COMPUTED_VALUE"""),44639)</f>
        <v>44639</v>
      </c>
      <c r="C2300" s="22">
        <f ca="1">IFERROR(__xludf.DUMMYFUNCTION("""COMPUTED_VALUE"""),369042.8734185)</f>
        <v>369042.87341850001</v>
      </c>
      <c r="D2300" s="22">
        <f ca="1">IFERROR(__xludf.DUMMYFUNCTION("""COMPUTED_VALUE"""),112274.1265815)</f>
        <v>112274.12658149999</v>
      </c>
      <c r="E2300" s="22">
        <f ca="1">IFERROR(__xludf.DUMMYFUNCTION("""COMPUTED_VALUE"""),481317)</f>
        <v>481317</v>
      </c>
      <c r="F2300" s="22">
        <f ca="1">IFERROR(__xludf.DUMMYFUNCTION("""COMPUTED_VALUE"""),369042.8734185)</f>
        <v>369042.87341850001</v>
      </c>
      <c r="G2300" s="22">
        <f ca="1">IFERROR(__xludf.DUMMYFUNCTION("""COMPUTED_VALUE"""),0)</f>
        <v>0</v>
      </c>
      <c r="H2300" s="7">
        <f ca="1">IFERROR(__xludf.DUMMYFUNCTION("""COMPUTED_VALUE"""),482816.2623015)</f>
        <v>482816.26230150001</v>
      </c>
    </row>
    <row r="2301" spans="1:8" ht="13" x14ac:dyDescent="0.15">
      <c r="A2301" s="5" t="str">
        <f ca="1">IFERROR(__xludf.DUMMYFUNCTION("""COMPUTED_VALUE"""),"40158")</f>
        <v>40158</v>
      </c>
      <c r="B2301" s="51">
        <f ca="1">IFERROR(__xludf.DUMMYFUNCTION("""COMPUTED_VALUE"""),44640)</f>
        <v>44640</v>
      </c>
      <c r="C2301" s="22">
        <f ca="1">IFERROR(__xludf.DUMMYFUNCTION("""COMPUTED_VALUE"""),369042.8734185)</f>
        <v>369042.87341850001</v>
      </c>
      <c r="D2301" s="22">
        <f ca="1">IFERROR(__xludf.DUMMYFUNCTION("""COMPUTED_VALUE"""),112274.1265815)</f>
        <v>112274.12658149999</v>
      </c>
      <c r="E2301" s="22">
        <f ca="1">IFERROR(__xludf.DUMMYFUNCTION("""COMPUTED_VALUE"""),481317)</f>
        <v>481317</v>
      </c>
      <c r="F2301" s="22">
        <f ca="1">IFERROR(__xludf.DUMMYFUNCTION("""COMPUTED_VALUE"""),369042.8734185)</f>
        <v>369042.87341850001</v>
      </c>
      <c r="G2301" s="22">
        <f ca="1">IFERROR(__xludf.DUMMYFUNCTION("""COMPUTED_VALUE"""),0)</f>
        <v>0</v>
      </c>
      <c r="H2301" s="7">
        <f ca="1">IFERROR(__xludf.DUMMYFUNCTION("""COMPUTED_VALUE"""),482807.0001618)</f>
        <v>482807.00016180001</v>
      </c>
    </row>
    <row r="2302" spans="1:8" ht="13" x14ac:dyDescent="0.15">
      <c r="A2302" s="5" t="str">
        <f ca="1">IFERROR(__xludf.DUMMYFUNCTION("""COMPUTED_VALUE"""),"40158")</f>
        <v>40158</v>
      </c>
      <c r="B2302" s="51">
        <f ca="1">IFERROR(__xludf.DUMMYFUNCTION("""COMPUTED_VALUE"""),44641)</f>
        <v>44641</v>
      </c>
      <c r="C2302" s="22">
        <f ca="1">IFERROR(__xludf.DUMMYFUNCTION("""COMPUTED_VALUE"""),369042.8734185)</f>
        <v>369042.87341850001</v>
      </c>
      <c r="D2302" s="22">
        <f ca="1">IFERROR(__xludf.DUMMYFUNCTION("""COMPUTED_VALUE"""),112062.0265815)</f>
        <v>112062.0265815</v>
      </c>
      <c r="E2302" s="22">
        <f ca="1">IFERROR(__xludf.DUMMYFUNCTION("""COMPUTED_VALUE"""),481104.9)</f>
        <v>481104.9</v>
      </c>
      <c r="F2302" s="22">
        <f ca="1">IFERROR(__xludf.DUMMYFUNCTION("""COMPUTED_VALUE"""),369042.8734185)</f>
        <v>369042.87341850001</v>
      </c>
      <c r="G2302" s="22">
        <f ca="1">IFERROR(__xludf.DUMMYFUNCTION("""COMPUTED_VALUE"""),0)</f>
        <v>0</v>
      </c>
      <c r="H2302" s="7">
        <f ca="1">IFERROR(__xludf.DUMMYFUNCTION("""COMPUTED_VALUE"""),483347.3225505)</f>
        <v>483347.32255049999</v>
      </c>
    </row>
    <row r="2303" spans="1:8" ht="13" x14ac:dyDescent="0.15">
      <c r="A2303" s="5" t="str">
        <f ca="1">IFERROR(__xludf.DUMMYFUNCTION("""COMPUTED_VALUE"""),"40158")</f>
        <v>40158</v>
      </c>
      <c r="B2303" s="51">
        <f ca="1">IFERROR(__xludf.DUMMYFUNCTION("""COMPUTED_VALUE"""),44642)</f>
        <v>44642</v>
      </c>
      <c r="C2303" s="22">
        <f ca="1">IFERROR(__xludf.DUMMYFUNCTION("""COMPUTED_VALUE"""),369042.8734185)</f>
        <v>369042.87341850001</v>
      </c>
      <c r="D2303" s="22">
        <f ca="1">IFERROR(__xludf.DUMMYFUNCTION("""COMPUTED_VALUE"""),115526.3265815)</f>
        <v>115526.3265815</v>
      </c>
      <c r="E2303" s="22">
        <f ca="1">IFERROR(__xludf.DUMMYFUNCTION("""COMPUTED_VALUE"""),484569.2)</f>
        <v>484569.2</v>
      </c>
      <c r="F2303" s="22">
        <f ca="1">IFERROR(__xludf.DUMMYFUNCTION("""COMPUTED_VALUE"""),369042.8734185)</f>
        <v>369042.87341850001</v>
      </c>
      <c r="G2303" s="22">
        <f ca="1">IFERROR(__xludf.DUMMYFUNCTION("""COMPUTED_VALUE"""),0)</f>
        <v>0</v>
      </c>
      <c r="H2303" s="7">
        <f ca="1">IFERROR(__xludf.DUMMYFUNCTION("""COMPUTED_VALUE"""),490239.6639845)</f>
        <v>490239.66398449999</v>
      </c>
    </row>
    <row r="2304" spans="1:8" ht="13" x14ac:dyDescent="0.15">
      <c r="A2304" s="5" t="str">
        <f ca="1">IFERROR(__xludf.DUMMYFUNCTION("""COMPUTED_VALUE"""),"40318")</f>
        <v>40318</v>
      </c>
      <c r="B2304" s="51">
        <f ca="1">IFERROR(__xludf.DUMMYFUNCTION("""COMPUTED_VALUE"""),44597)</f>
        <v>44597</v>
      </c>
      <c r="C2304" s="22">
        <f ca="1">IFERROR(__xludf.DUMMYFUNCTION("""COMPUTED_VALUE"""),500000)</f>
        <v>500000</v>
      </c>
      <c r="D2304" s="22">
        <f ca="1">IFERROR(__xludf.DUMMYFUNCTION("""COMPUTED_VALUE"""),0)</f>
        <v>0</v>
      </c>
      <c r="E2304" s="22">
        <f ca="1">IFERROR(__xludf.DUMMYFUNCTION("""COMPUTED_VALUE"""),500000)</f>
        <v>500000</v>
      </c>
      <c r="F2304" s="22">
        <f ca="1">IFERROR(__xludf.DUMMYFUNCTION("""COMPUTED_VALUE"""),500000)</f>
        <v>500000</v>
      </c>
      <c r="G2304" s="22">
        <f ca="1">IFERROR(__xludf.DUMMYFUNCTION("""COMPUTED_VALUE"""),0)</f>
        <v>0</v>
      </c>
      <c r="H2304" s="7">
        <f ca="1">IFERROR(__xludf.DUMMYFUNCTION("""COMPUTED_VALUE"""),500000)</f>
        <v>500000</v>
      </c>
    </row>
    <row r="2305" spans="1:8" ht="13" x14ac:dyDescent="0.15">
      <c r="A2305" s="5" t="str">
        <f ca="1">IFERROR(__xludf.DUMMYFUNCTION("""COMPUTED_VALUE"""),"40318")</f>
        <v>40318</v>
      </c>
      <c r="B2305" s="51">
        <f ca="1">IFERROR(__xludf.DUMMYFUNCTION("""COMPUTED_VALUE"""),44598)</f>
        <v>44598</v>
      </c>
      <c r="C2305" s="22">
        <f ca="1">IFERROR(__xludf.DUMMYFUNCTION("""COMPUTED_VALUE"""),500000)</f>
        <v>500000</v>
      </c>
      <c r="D2305" s="22">
        <f ca="1">IFERROR(__xludf.DUMMYFUNCTION("""COMPUTED_VALUE"""),0)</f>
        <v>0</v>
      </c>
      <c r="E2305" s="22">
        <f ca="1">IFERROR(__xludf.DUMMYFUNCTION("""COMPUTED_VALUE"""),500000)</f>
        <v>500000</v>
      </c>
      <c r="F2305" s="22">
        <f ca="1">IFERROR(__xludf.DUMMYFUNCTION("""COMPUTED_VALUE"""),500000)</f>
        <v>500000</v>
      </c>
      <c r="G2305" s="22">
        <f ca="1">IFERROR(__xludf.DUMMYFUNCTION("""COMPUTED_VALUE"""),0)</f>
        <v>0</v>
      </c>
      <c r="H2305" s="7">
        <f ca="1">IFERROR(__xludf.DUMMYFUNCTION("""COMPUTED_VALUE"""),500000)</f>
        <v>500000</v>
      </c>
    </row>
    <row r="2306" spans="1:8" ht="13" x14ac:dyDescent="0.15">
      <c r="A2306" s="5" t="str">
        <f ca="1">IFERROR(__xludf.DUMMYFUNCTION("""COMPUTED_VALUE"""),"40318")</f>
        <v>40318</v>
      </c>
      <c r="B2306" s="51">
        <f ca="1">IFERROR(__xludf.DUMMYFUNCTION("""COMPUTED_VALUE"""),44599)</f>
        <v>44599</v>
      </c>
      <c r="C2306" s="22">
        <f ca="1">IFERROR(__xludf.DUMMYFUNCTION("""COMPUTED_VALUE"""),500000)</f>
        <v>500000</v>
      </c>
      <c r="D2306" s="22">
        <f ca="1">IFERROR(__xludf.DUMMYFUNCTION("""COMPUTED_VALUE"""),0)</f>
        <v>0</v>
      </c>
      <c r="E2306" s="22">
        <f ca="1">IFERROR(__xludf.DUMMYFUNCTION("""COMPUTED_VALUE"""),500000)</f>
        <v>500000</v>
      </c>
      <c r="F2306" s="22">
        <f ca="1">IFERROR(__xludf.DUMMYFUNCTION("""COMPUTED_VALUE"""),500000)</f>
        <v>500000</v>
      </c>
      <c r="G2306" s="22">
        <f ca="1">IFERROR(__xludf.DUMMYFUNCTION("""COMPUTED_VALUE"""),0)</f>
        <v>0</v>
      </c>
      <c r="H2306" s="7">
        <f ca="1">IFERROR(__xludf.DUMMYFUNCTION("""COMPUTED_VALUE"""),500000)</f>
        <v>500000</v>
      </c>
    </row>
    <row r="2307" spans="1:8" ht="13" x14ac:dyDescent="0.15">
      <c r="A2307" s="5" t="str">
        <f ca="1">IFERROR(__xludf.DUMMYFUNCTION("""COMPUTED_VALUE"""),"40318")</f>
        <v>40318</v>
      </c>
      <c r="B2307" s="51">
        <f ca="1">IFERROR(__xludf.DUMMYFUNCTION("""COMPUTED_VALUE"""),44600)</f>
        <v>44600</v>
      </c>
      <c r="C2307" s="22">
        <f ca="1">IFERROR(__xludf.DUMMYFUNCTION("""COMPUTED_VALUE"""),500000)</f>
        <v>500000</v>
      </c>
      <c r="D2307" s="22">
        <f ca="1">IFERROR(__xludf.DUMMYFUNCTION("""COMPUTED_VALUE"""),0)</f>
        <v>0</v>
      </c>
      <c r="E2307" s="22">
        <f ca="1">IFERROR(__xludf.DUMMYFUNCTION("""COMPUTED_VALUE"""),500000)</f>
        <v>500000</v>
      </c>
      <c r="F2307" s="22">
        <f ca="1">IFERROR(__xludf.DUMMYFUNCTION("""COMPUTED_VALUE"""),500000)</f>
        <v>500000</v>
      </c>
      <c r="G2307" s="22">
        <f ca="1">IFERROR(__xludf.DUMMYFUNCTION("""COMPUTED_VALUE"""),0)</f>
        <v>0</v>
      </c>
      <c r="H2307" s="7">
        <f ca="1">IFERROR(__xludf.DUMMYFUNCTION("""COMPUTED_VALUE"""),500000)</f>
        <v>500000</v>
      </c>
    </row>
    <row r="2308" spans="1:8" ht="13" x14ac:dyDescent="0.15">
      <c r="A2308" s="5" t="str">
        <f ca="1">IFERROR(__xludf.DUMMYFUNCTION("""COMPUTED_VALUE"""),"40318")</f>
        <v>40318</v>
      </c>
      <c r="B2308" s="51">
        <f ca="1">IFERROR(__xludf.DUMMYFUNCTION("""COMPUTED_VALUE"""),44601)</f>
        <v>44601</v>
      </c>
      <c r="C2308" s="22">
        <f ca="1">IFERROR(__xludf.DUMMYFUNCTION("""COMPUTED_VALUE"""),500000)</f>
        <v>500000</v>
      </c>
      <c r="D2308" s="22">
        <f ca="1">IFERROR(__xludf.DUMMYFUNCTION("""COMPUTED_VALUE"""),0)</f>
        <v>0</v>
      </c>
      <c r="E2308" s="22">
        <f ca="1">IFERROR(__xludf.DUMMYFUNCTION("""COMPUTED_VALUE"""),500000)</f>
        <v>500000</v>
      </c>
      <c r="F2308" s="22">
        <f ca="1">IFERROR(__xludf.DUMMYFUNCTION("""COMPUTED_VALUE"""),500000)</f>
        <v>500000</v>
      </c>
      <c r="G2308" s="22">
        <f ca="1">IFERROR(__xludf.DUMMYFUNCTION("""COMPUTED_VALUE"""),0)</f>
        <v>0</v>
      </c>
      <c r="H2308" s="7">
        <f ca="1">IFERROR(__xludf.DUMMYFUNCTION("""COMPUTED_VALUE"""),500000)</f>
        <v>500000</v>
      </c>
    </row>
    <row r="2309" spans="1:8" ht="13" x14ac:dyDescent="0.15">
      <c r="A2309" s="5" t="str">
        <f ca="1">IFERROR(__xludf.DUMMYFUNCTION("""COMPUTED_VALUE"""),"40318")</f>
        <v>40318</v>
      </c>
      <c r="B2309" s="51">
        <f ca="1">IFERROR(__xludf.DUMMYFUNCTION("""COMPUTED_VALUE"""),44602)</f>
        <v>44602</v>
      </c>
      <c r="C2309" s="22">
        <f ca="1">IFERROR(__xludf.DUMMYFUNCTION("""COMPUTED_VALUE"""),500000)</f>
        <v>500000</v>
      </c>
      <c r="D2309" s="22">
        <f ca="1">IFERROR(__xludf.DUMMYFUNCTION("""COMPUTED_VALUE"""),0)</f>
        <v>0</v>
      </c>
      <c r="E2309" s="22">
        <f ca="1">IFERROR(__xludf.DUMMYFUNCTION("""COMPUTED_VALUE"""),500000)</f>
        <v>500000</v>
      </c>
      <c r="F2309" s="22">
        <f ca="1">IFERROR(__xludf.DUMMYFUNCTION("""COMPUTED_VALUE"""),500000)</f>
        <v>500000</v>
      </c>
      <c r="G2309" s="22">
        <f ca="1">IFERROR(__xludf.DUMMYFUNCTION("""COMPUTED_VALUE"""),0)</f>
        <v>0</v>
      </c>
      <c r="H2309" s="7">
        <f ca="1">IFERROR(__xludf.DUMMYFUNCTION("""COMPUTED_VALUE"""),500000)</f>
        <v>500000</v>
      </c>
    </row>
    <row r="2310" spans="1:8" ht="13" x14ac:dyDescent="0.15">
      <c r="A2310" s="5" t="str">
        <f ca="1">IFERROR(__xludf.DUMMYFUNCTION("""COMPUTED_VALUE"""),"40318")</f>
        <v>40318</v>
      </c>
      <c r="B2310" s="51">
        <f ca="1">IFERROR(__xludf.DUMMYFUNCTION("""COMPUTED_VALUE"""),44603)</f>
        <v>44603</v>
      </c>
      <c r="C2310" s="22">
        <f ca="1">IFERROR(__xludf.DUMMYFUNCTION("""COMPUTED_VALUE"""),500000)</f>
        <v>500000</v>
      </c>
      <c r="D2310" s="22">
        <f ca="1">IFERROR(__xludf.DUMMYFUNCTION("""COMPUTED_VALUE"""),0)</f>
        <v>0</v>
      </c>
      <c r="E2310" s="22">
        <f ca="1">IFERROR(__xludf.DUMMYFUNCTION("""COMPUTED_VALUE"""),500000)</f>
        <v>500000</v>
      </c>
      <c r="F2310" s="22">
        <f ca="1">IFERROR(__xludf.DUMMYFUNCTION("""COMPUTED_VALUE"""),500000)</f>
        <v>500000</v>
      </c>
      <c r="G2310" s="22">
        <f ca="1">IFERROR(__xludf.DUMMYFUNCTION("""COMPUTED_VALUE"""),0)</f>
        <v>0</v>
      </c>
      <c r="H2310" s="7">
        <f ca="1">IFERROR(__xludf.DUMMYFUNCTION("""COMPUTED_VALUE"""),500000)</f>
        <v>500000</v>
      </c>
    </row>
    <row r="2311" spans="1:8" ht="13" x14ac:dyDescent="0.15">
      <c r="A2311" s="5" t="str">
        <f ca="1">IFERROR(__xludf.DUMMYFUNCTION("""COMPUTED_VALUE"""),"40318")</f>
        <v>40318</v>
      </c>
      <c r="B2311" s="51">
        <f ca="1">IFERROR(__xludf.DUMMYFUNCTION("""COMPUTED_VALUE"""),44604)</f>
        <v>44604</v>
      </c>
      <c r="C2311" s="22">
        <f ca="1">IFERROR(__xludf.DUMMYFUNCTION("""COMPUTED_VALUE"""),500000)</f>
        <v>500000</v>
      </c>
      <c r="D2311" s="22">
        <f ca="1">IFERROR(__xludf.DUMMYFUNCTION("""COMPUTED_VALUE"""),0)</f>
        <v>0</v>
      </c>
      <c r="E2311" s="22">
        <f ca="1">IFERROR(__xludf.DUMMYFUNCTION("""COMPUTED_VALUE"""),500000)</f>
        <v>500000</v>
      </c>
      <c r="F2311" s="22">
        <f ca="1">IFERROR(__xludf.DUMMYFUNCTION("""COMPUTED_VALUE"""),500000)</f>
        <v>500000</v>
      </c>
      <c r="G2311" s="22">
        <f ca="1">IFERROR(__xludf.DUMMYFUNCTION("""COMPUTED_VALUE"""),0)</f>
        <v>0</v>
      </c>
      <c r="H2311" s="7">
        <f ca="1">IFERROR(__xludf.DUMMYFUNCTION("""COMPUTED_VALUE"""),500000)</f>
        <v>500000</v>
      </c>
    </row>
    <row r="2312" spans="1:8" ht="13" x14ac:dyDescent="0.15">
      <c r="A2312" s="5" t="str">
        <f ca="1">IFERROR(__xludf.DUMMYFUNCTION("""COMPUTED_VALUE"""),"40318")</f>
        <v>40318</v>
      </c>
      <c r="B2312" s="51">
        <f ca="1">IFERROR(__xludf.DUMMYFUNCTION("""COMPUTED_VALUE"""),44605)</f>
        <v>44605</v>
      </c>
      <c r="C2312" s="22">
        <f ca="1">IFERROR(__xludf.DUMMYFUNCTION("""COMPUTED_VALUE"""),500000)</f>
        <v>500000</v>
      </c>
      <c r="D2312" s="22">
        <f ca="1">IFERROR(__xludf.DUMMYFUNCTION("""COMPUTED_VALUE"""),0)</f>
        <v>0</v>
      </c>
      <c r="E2312" s="22">
        <f ca="1">IFERROR(__xludf.DUMMYFUNCTION("""COMPUTED_VALUE"""),500000)</f>
        <v>500000</v>
      </c>
      <c r="F2312" s="22">
        <f ca="1">IFERROR(__xludf.DUMMYFUNCTION("""COMPUTED_VALUE"""),500000)</f>
        <v>500000</v>
      </c>
      <c r="G2312" s="22">
        <f ca="1">IFERROR(__xludf.DUMMYFUNCTION("""COMPUTED_VALUE"""),0)</f>
        <v>0</v>
      </c>
      <c r="H2312" s="7">
        <f ca="1">IFERROR(__xludf.DUMMYFUNCTION("""COMPUTED_VALUE"""),500000)</f>
        <v>500000</v>
      </c>
    </row>
    <row r="2313" spans="1:8" ht="13" x14ac:dyDescent="0.15">
      <c r="A2313" s="5" t="str">
        <f ca="1">IFERROR(__xludf.DUMMYFUNCTION("""COMPUTED_VALUE"""),"40318")</f>
        <v>40318</v>
      </c>
      <c r="B2313" s="51">
        <f ca="1">IFERROR(__xludf.DUMMYFUNCTION("""COMPUTED_VALUE"""),44606)</f>
        <v>44606</v>
      </c>
      <c r="C2313" s="22">
        <f ca="1">IFERROR(__xludf.DUMMYFUNCTION("""COMPUTED_VALUE"""),500000)</f>
        <v>500000</v>
      </c>
      <c r="D2313" s="22">
        <f ca="1">IFERROR(__xludf.DUMMYFUNCTION("""COMPUTED_VALUE"""),0)</f>
        <v>0</v>
      </c>
      <c r="E2313" s="22">
        <f ca="1">IFERROR(__xludf.DUMMYFUNCTION("""COMPUTED_VALUE"""),500000)</f>
        <v>500000</v>
      </c>
      <c r="F2313" s="22">
        <f ca="1">IFERROR(__xludf.DUMMYFUNCTION("""COMPUTED_VALUE"""),500000)</f>
        <v>500000</v>
      </c>
      <c r="G2313" s="22">
        <f ca="1">IFERROR(__xludf.DUMMYFUNCTION("""COMPUTED_VALUE"""),0)</f>
        <v>0</v>
      </c>
      <c r="H2313" s="7">
        <f ca="1">IFERROR(__xludf.DUMMYFUNCTION("""COMPUTED_VALUE"""),500000)</f>
        <v>500000</v>
      </c>
    </row>
    <row r="2314" spans="1:8" ht="13" x14ac:dyDescent="0.15">
      <c r="A2314" s="5" t="str">
        <f ca="1">IFERROR(__xludf.DUMMYFUNCTION("""COMPUTED_VALUE"""),"40318")</f>
        <v>40318</v>
      </c>
      <c r="B2314" s="51">
        <f ca="1">IFERROR(__xludf.DUMMYFUNCTION("""COMPUTED_VALUE"""),44607)</f>
        <v>44607</v>
      </c>
      <c r="C2314" s="22">
        <f ca="1">IFERROR(__xludf.DUMMYFUNCTION("""COMPUTED_VALUE"""),500000)</f>
        <v>500000</v>
      </c>
      <c r="D2314" s="22">
        <f ca="1">IFERROR(__xludf.DUMMYFUNCTION("""COMPUTED_VALUE"""),0)</f>
        <v>0</v>
      </c>
      <c r="E2314" s="22">
        <f ca="1">IFERROR(__xludf.DUMMYFUNCTION("""COMPUTED_VALUE"""),500000)</f>
        <v>500000</v>
      </c>
      <c r="F2314" s="22">
        <f ca="1">IFERROR(__xludf.DUMMYFUNCTION("""COMPUTED_VALUE"""),500000)</f>
        <v>500000</v>
      </c>
      <c r="G2314" s="22">
        <f ca="1">IFERROR(__xludf.DUMMYFUNCTION("""COMPUTED_VALUE"""),0)</f>
        <v>0</v>
      </c>
      <c r="H2314" s="7">
        <f ca="1">IFERROR(__xludf.DUMMYFUNCTION("""COMPUTED_VALUE"""),500000)</f>
        <v>500000</v>
      </c>
    </row>
    <row r="2315" spans="1:8" ht="13" x14ac:dyDescent="0.15">
      <c r="A2315" s="5" t="str">
        <f ca="1">IFERROR(__xludf.DUMMYFUNCTION("""COMPUTED_VALUE"""),"40318")</f>
        <v>40318</v>
      </c>
      <c r="B2315" s="51">
        <f ca="1">IFERROR(__xludf.DUMMYFUNCTION("""COMPUTED_VALUE"""),44608)</f>
        <v>44608</v>
      </c>
      <c r="C2315" s="22">
        <f ca="1">IFERROR(__xludf.DUMMYFUNCTION("""COMPUTED_VALUE"""),500000)</f>
        <v>500000</v>
      </c>
      <c r="D2315" s="22">
        <f ca="1">IFERROR(__xludf.DUMMYFUNCTION("""COMPUTED_VALUE"""),0)</f>
        <v>0</v>
      </c>
      <c r="E2315" s="22">
        <f ca="1">IFERROR(__xludf.DUMMYFUNCTION("""COMPUTED_VALUE"""),500000)</f>
        <v>500000</v>
      </c>
      <c r="F2315" s="22">
        <f ca="1">IFERROR(__xludf.DUMMYFUNCTION("""COMPUTED_VALUE"""),500000)</f>
        <v>500000</v>
      </c>
      <c r="G2315" s="22">
        <f ca="1">IFERROR(__xludf.DUMMYFUNCTION("""COMPUTED_VALUE"""),0)</f>
        <v>0</v>
      </c>
      <c r="H2315" s="7">
        <f ca="1">IFERROR(__xludf.DUMMYFUNCTION("""COMPUTED_VALUE"""),500000)</f>
        <v>500000</v>
      </c>
    </row>
    <row r="2316" spans="1:8" ht="13" x14ac:dyDescent="0.15">
      <c r="A2316" s="5" t="str">
        <f ca="1">IFERROR(__xludf.DUMMYFUNCTION("""COMPUTED_VALUE"""),"40318")</f>
        <v>40318</v>
      </c>
      <c r="B2316" s="51">
        <f ca="1">IFERROR(__xludf.DUMMYFUNCTION("""COMPUTED_VALUE"""),44609)</f>
        <v>44609</v>
      </c>
      <c r="C2316" s="22">
        <f ca="1">IFERROR(__xludf.DUMMYFUNCTION("""COMPUTED_VALUE"""),500000)</f>
        <v>500000</v>
      </c>
      <c r="D2316" s="22">
        <f ca="1">IFERROR(__xludf.DUMMYFUNCTION("""COMPUTED_VALUE"""),0)</f>
        <v>0</v>
      </c>
      <c r="E2316" s="22">
        <f ca="1">IFERROR(__xludf.DUMMYFUNCTION("""COMPUTED_VALUE"""),500000)</f>
        <v>500000</v>
      </c>
      <c r="F2316" s="22">
        <f ca="1">IFERROR(__xludf.DUMMYFUNCTION("""COMPUTED_VALUE"""),500000)</f>
        <v>500000</v>
      </c>
      <c r="G2316" s="22">
        <f ca="1">IFERROR(__xludf.DUMMYFUNCTION("""COMPUTED_VALUE"""),0)</f>
        <v>0</v>
      </c>
      <c r="H2316" s="7">
        <f ca="1">IFERROR(__xludf.DUMMYFUNCTION("""COMPUTED_VALUE"""),500000)</f>
        <v>500000</v>
      </c>
    </row>
    <row r="2317" spans="1:8" ht="13" x14ac:dyDescent="0.15">
      <c r="A2317" s="5" t="str">
        <f ca="1">IFERROR(__xludf.DUMMYFUNCTION("""COMPUTED_VALUE"""),"40318")</f>
        <v>40318</v>
      </c>
      <c r="B2317" s="51">
        <f ca="1">IFERROR(__xludf.DUMMYFUNCTION("""COMPUTED_VALUE"""),44610)</f>
        <v>44610</v>
      </c>
      <c r="C2317" s="22">
        <f ca="1">IFERROR(__xludf.DUMMYFUNCTION("""COMPUTED_VALUE"""),500000)</f>
        <v>500000</v>
      </c>
      <c r="D2317" s="22">
        <f ca="1">IFERROR(__xludf.DUMMYFUNCTION("""COMPUTED_VALUE"""),0)</f>
        <v>0</v>
      </c>
      <c r="E2317" s="22">
        <f ca="1">IFERROR(__xludf.DUMMYFUNCTION("""COMPUTED_VALUE"""),500000)</f>
        <v>500000</v>
      </c>
      <c r="F2317" s="22">
        <f ca="1">IFERROR(__xludf.DUMMYFUNCTION("""COMPUTED_VALUE"""),500000)</f>
        <v>500000</v>
      </c>
      <c r="G2317" s="22">
        <f ca="1">IFERROR(__xludf.DUMMYFUNCTION("""COMPUTED_VALUE"""),0)</f>
        <v>0</v>
      </c>
      <c r="H2317" s="7">
        <f ca="1">IFERROR(__xludf.DUMMYFUNCTION("""COMPUTED_VALUE"""),500000)</f>
        <v>500000</v>
      </c>
    </row>
    <row r="2318" spans="1:8" ht="13" x14ac:dyDescent="0.15">
      <c r="A2318" s="5" t="str">
        <f ca="1">IFERROR(__xludf.DUMMYFUNCTION("""COMPUTED_VALUE"""),"40318")</f>
        <v>40318</v>
      </c>
      <c r="B2318" s="51">
        <f ca="1">IFERROR(__xludf.DUMMYFUNCTION("""COMPUTED_VALUE"""),44611)</f>
        <v>44611</v>
      </c>
      <c r="C2318" s="22">
        <f ca="1">IFERROR(__xludf.DUMMYFUNCTION("""COMPUTED_VALUE"""),500000)</f>
        <v>500000</v>
      </c>
      <c r="D2318" s="22">
        <f ca="1">IFERROR(__xludf.DUMMYFUNCTION("""COMPUTED_VALUE"""),0)</f>
        <v>0</v>
      </c>
      <c r="E2318" s="22">
        <f ca="1">IFERROR(__xludf.DUMMYFUNCTION("""COMPUTED_VALUE"""),500000)</f>
        <v>500000</v>
      </c>
      <c r="F2318" s="22">
        <f ca="1">IFERROR(__xludf.DUMMYFUNCTION("""COMPUTED_VALUE"""),500000)</f>
        <v>500000</v>
      </c>
      <c r="G2318" s="22">
        <f ca="1">IFERROR(__xludf.DUMMYFUNCTION("""COMPUTED_VALUE"""),0)</f>
        <v>0</v>
      </c>
      <c r="H2318" s="7">
        <f ca="1">IFERROR(__xludf.DUMMYFUNCTION("""COMPUTED_VALUE"""),500000)</f>
        <v>500000</v>
      </c>
    </row>
    <row r="2319" spans="1:8" ht="13" x14ac:dyDescent="0.15">
      <c r="A2319" s="5" t="str">
        <f ca="1">IFERROR(__xludf.DUMMYFUNCTION("""COMPUTED_VALUE"""),"40318")</f>
        <v>40318</v>
      </c>
      <c r="B2319" s="51">
        <f ca="1">IFERROR(__xludf.DUMMYFUNCTION("""COMPUTED_VALUE"""),44612)</f>
        <v>44612</v>
      </c>
      <c r="C2319" s="22">
        <f ca="1">IFERROR(__xludf.DUMMYFUNCTION("""COMPUTED_VALUE"""),500000)</f>
        <v>500000</v>
      </c>
      <c r="D2319" s="22">
        <f ca="1">IFERROR(__xludf.DUMMYFUNCTION("""COMPUTED_VALUE"""),0)</f>
        <v>0</v>
      </c>
      <c r="E2319" s="22">
        <f ca="1">IFERROR(__xludf.DUMMYFUNCTION("""COMPUTED_VALUE"""),500000)</f>
        <v>500000</v>
      </c>
      <c r="F2319" s="22">
        <f ca="1">IFERROR(__xludf.DUMMYFUNCTION("""COMPUTED_VALUE"""),500000)</f>
        <v>500000</v>
      </c>
      <c r="G2319" s="22">
        <f ca="1">IFERROR(__xludf.DUMMYFUNCTION("""COMPUTED_VALUE"""),0)</f>
        <v>0</v>
      </c>
      <c r="H2319" s="7">
        <f ca="1">IFERROR(__xludf.DUMMYFUNCTION("""COMPUTED_VALUE"""),500000)</f>
        <v>500000</v>
      </c>
    </row>
    <row r="2320" spans="1:8" ht="13" x14ac:dyDescent="0.15">
      <c r="A2320" s="5" t="str">
        <f ca="1">IFERROR(__xludf.DUMMYFUNCTION("""COMPUTED_VALUE"""),"40318")</f>
        <v>40318</v>
      </c>
      <c r="B2320" s="51">
        <f ca="1">IFERROR(__xludf.DUMMYFUNCTION("""COMPUTED_VALUE"""),44613)</f>
        <v>44613</v>
      </c>
      <c r="C2320" s="22">
        <f ca="1">IFERROR(__xludf.DUMMYFUNCTION("""COMPUTED_VALUE"""),500000)</f>
        <v>500000</v>
      </c>
      <c r="D2320" s="22">
        <f ca="1">IFERROR(__xludf.DUMMYFUNCTION("""COMPUTED_VALUE"""),0)</f>
        <v>0</v>
      </c>
      <c r="E2320" s="22">
        <f ca="1">IFERROR(__xludf.DUMMYFUNCTION("""COMPUTED_VALUE"""),500000)</f>
        <v>500000</v>
      </c>
      <c r="F2320" s="22">
        <f ca="1">IFERROR(__xludf.DUMMYFUNCTION("""COMPUTED_VALUE"""),500000)</f>
        <v>500000</v>
      </c>
      <c r="G2320" s="22">
        <f ca="1">IFERROR(__xludf.DUMMYFUNCTION("""COMPUTED_VALUE"""),0)</f>
        <v>0</v>
      </c>
      <c r="H2320" s="7">
        <f ca="1">IFERROR(__xludf.DUMMYFUNCTION("""COMPUTED_VALUE"""),500000)</f>
        <v>500000</v>
      </c>
    </row>
    <row r="2321" spans="1:8" ht="13" x14ac:dyDescent="0.15">
      <c r="A2321" s="5" t="str">
        <f ca="1">IFERROR(__xludf.DUMMYFUNCTION("""COMPUTED_VALUE"""),"40318")</f>
        <v>40318</v>
      </c>
      <c r="B2321" s="51">
        <f ca="1">IFERROR(__xludf.DUMMYFUNCTION("""COMPUTED_VALUE"""),44614)</f>
        <v>44614</v>
      </c>
      <c r="C2321" s="22">
        <f ca="1">IFERROR(__xludf.DUMMYFUNCTION("""COMPUTED_VALUE"""),500000)</f>
        <v>500000</v>
      </c>
      <c r="D2321" s="22">
        <f ca="1">IFERROR(__xludf.DUMMYFUNCTION("""COMPUTED_VALUE"""),0)</f>
        <v>0</v>
      </c>
      <c r="E2321" s="22">
        <f ca="1">IFERROR(__xludf.DUMMYFUNCTION("""COMPUTED_VALUE"""),500000)</f>
        <v>500000</v>
      </c>
      <c r="F2321" s="22">
        <f ca="1">IFERROR(__xludf.DUMMYFUNCTION("""COMPUTED_VALUE"""),500000)</f>
        <v>500000</v>
      </c>
      <c r="G2321" s="22">
        <f ca="1">IFERROR(__xludf.DUMMYFUNCTION("""COMPUTED_VALUE"""),0)</f>
        <v>0</v>
      </c>
      <c r="H2321" s="7">
        <f ca="1">IFERROR(__xludf.DUMMYFUNCTION("""COMPUTED_VALUE"""),500000)</f>
        <v>500000</v>
      </c>
    </row>
    <row r="2322" spans="1:8" ht="13" x14ac:dyDescent="0.15">
      <c r="A2322" s="5" t="str">
        <f ca="1">IFERROR(__xludf.DUMMYFUNCTION("""COMPUTED_VALUE"""),"40318")</f>
        <v>40318</v>
      </c>
      <c r="B2322" s="51">
        <f ca="1">IFERROR(__xludf.DUMMYFUNCTION("""COMPUTED_VALUE"""),44615)</f>
        <v>44615</v>
      </c>
      <c r="C2322" s="22">
        <f ca="1">IFERROR(__xludf.DUMMYFUNCTION("""COMPUTED_VALUE"""),500000)</f>
        <v>500000</v>
      </c>
      <c r="D2322" s="22">
        <f ca="1">IFERROR(__xludf.DUMMYFUNCTION("""COMPUTED_VALUE"""),0)</f>
        <v>0</v>
      </c>
      <c r="E2322" s="22">
        <f ca="1">IFERROR(__xludf.DUMMYFUNCTION("""COMPUTED_VALUE"""),500000)</f>
        <v>500000</v>
      </c>
      <c r="F2322" s="22">
        <f ca="1">IFERROR(__xludf.DUMMYFUNCTION("""COMPUTED_VALUE"""),500000)</f>
        <v>500000</v>
      </c>
      <c r="G2322" s="22">
        <f ca="1">IFERROR(__xludf.DUMMYFUNCTION("""COMPUTED_VALUE"""),0)</f>
        <v>0</v>
      </c>
      <c r="H2322" s="7">
        <f ca="1">IFERROR(__xludf.DUMMYFUNCTION("""COMPUTED_VALUE"""),500000)</f>
        <v>500000</v>
      </c>
    </row>
    <row r="2323" spans="1:8" ht="13" x14ac:dyDescent="0.15">
      <c r="A2323" s="5" t="str">
        <f ca="1">IFERROR(__xludf.DUMMYFUNCTION("""COMPUTED_VALUE"""),"40318")</f>
        <v>40318</v>
      </c>
      <c r="B2323" s="51">
        <f ca="1">IFERROR(__xludf.DUMMYFUNCTION("""COMPUTED_VALUE"""),44616)</f>
        <v>44616</v>
      </c>
      <c r="C2323" s="22">
        <f ca="1">IFERROR(__xludf.DUMMYFUNCTION("""COMPUTED_VALUE"""),500000)</f>
        <v>500000</v>
      </c>
      <c r="D2323" s="22">
        <f ca="1">IFERROR(__xludf.DUMMYFUNCTION("""COMPUTED_VALUE"""),0)</f>
        <v>0</v>
      </c>
      <c r="E2323" s="22">
        <f ca="1">IFERROR(__xludf.DUMMYFUNCTION("""COMPUTED_VALUE"""),500000)</f>
        <v>500000</v>
      </c>
      <c r="F2323" s="22">
        <f ca="1">IFERROR(__xludf.DUMMYFUNCTION("""COMPUTED_VALUE"""),500000)</f>
        <v>500000</v>
      </c>
      <c r="G2323" s="22">
        <f ca="1">IFERROR(__xludf.DUMMYFUNCTION("""COMPUTED_VALUE"""),0)</f>
        <v>0</v>
      </c>
      <c r="H2323" s="7">
        <f ca="1">IFERROR(__xludf.DUMMYFUNCTION("""COMPUTED_VALUE"""),500000)</f>
        <v>500000</v>
      </c>
    </row>
    <row r="2324" spans="1:8" ht="13" x14ac:dyDescent="0.15">
      <c r="A2324" s="5" t="str">
        <f ca="1">IFERROR(__xludf.DUMMYFUNCTION("""COMPUTED_VALUE"""),"40318")</f>
        <v>40318</v>
      </c>
      <c r="B2324" s="51">
        <f ca="1">IFERROR(__xludf.DUMMYFUNCTION("""COMPUTED_VALUE"""),44617)</f>
        <v>44617</v>
      </c>
      <c r="C2324" s="22">
        <f ca="1">IFERROR(__xludf.DUMMYFUNCTION("""COMPUTED_VALUE"""),500000)</f>
        <v>500000</v>
      </c>
      <c r="D2324" s="22">
        <f ca="1">IFERROR(__xludf.DUMMYFUNCTION("""COMPUTED_VALUE"""),0)</f>
        <v>0</v>
      </c>
      <c r="E2324" s="22">
        <f ca="1">IFERROR(__xludf.DUMMYFUNCTION("""COMPUTED_VALUE"""),500000)</f>
        <v>500000</v>
      </c>
      <c r="F2324" s="22">
        <f ca="1">IFERROR(__xludf.DUMMYFUNCTION("""COMPUTED_VALUE"""),500000)</f>
        <v>500000</v>
      </c>
      <c r="G2324" s="22">
        <f ca="1">IFERROR(__xludf.DUMMYFUNCTION("""COMPUTED_VALUE"""),0)</f>
        <v>0</v>
      </c>
      <c r="H2324" s="7">
        <f ca="1">IFERROR(__xludf.DUMMYFUNCTION("""COMPUTED_VALUE"""),500000)</f>
        <v>500000</v>
      </c>
    </row>
    <row r="2325" spans="1:8" ht="13" x14ac:dyDescent="0.15">
      <c r="A2325" s="5" t="str">
        <f ca="1">IFERROR(__xludf.DUMMYFUNCTION("""COMPUTED_VALUE"""),"40318")</f>
        <v>40318</v>
      </c>
      <c r="B2325" s="51">
        <f ca="1">IFERROR(__xludf.DUMMYFUNCTION("""COMPUTED_VALUE"""),44618)</f>
        <v>44618</v>
      </c>
      <c r="C2325" s="22">
        <f ca="1">IFERROR(__xludf.DUMMYFUNCTION("""COMPUTED_VALUE"""),500000)</f>
        <v>500000</v>
      </c>
      <c r="D2325" s="22">
        <f ca="1">IFERROR(__xludf.DUMMYFUNCTION("""COMPUTED_VALUE"""),0)</f>
        <v>0</v>
      </c>
      <c r="E2325" s="22">
        <f ca="1">IFERROR(__xludf.DUMMYFUNCTION("""COMPUTED_VALUE"""),500000)</f>
        <v>500000</v>
      </c>
      <c r="F2325" s="22">
        <f ca="1">IFERROR(__xludf.DUMMYFUNCTION("""COMPUTED_VALUE"""),500000)</f>
        <v>500000</v>
      </c>
      <c r="G2325" s="22">
        <f ca="1">IFERROR(__xludf.DUMMYFUNCTION("""COMPUTED_VALUE"""),0)</f>
        <v>0</v>
      </c>
      <c r="H2325" s="7">
        <f ca="1">IFERROR(__xludf.DUMMYFUNCTION("""COMPUTED_VALUE"""),500000)</f>
        <v>500000</v>
      </c>
    </row>
    <row r="2326" spans="1:8" ht="13" x14ac:dyDescent="0.15">
      <c r="A2326" s="5" t="str">
        <f ca="1">IFERROR(__xludf.DUMMYFUNCTION("""COMPUTED_VALUE"""),"40318")</f>
        <v>40318</v>
      </c>
      <c r="B2326" s="51">
        <f ca="1">IFERROR(__xludf.DUMMYFUNCTION("""COMPUTED_VALUE"""),44619)</f>
        <v>44619</v>
      </c>
      <c r="C2326" s="22">
        <f ca="1">IFERROR(__xludf.DUMMYFUNCTION("""COMPUTED_VALUE"""),500000)</f>
        <v>500000</v>
      </c>
      <c r="D2326" s="22">
        <f ca="1">IFERROR(__xludf.DUMMYFUNCTION("""COMPUTED_VALUE"""),0)</f>
        <v>0</v>
      </c>
      <c r="E2326" s="22">
        <f ca="1">IFERROR(__xludf.DUMMYFUNCTION("""COMPUTED_VALUE"""),500000)</f>
        <v>500000</v>
      </c>
      <c r="F2326" s="22">
        <f ca="1">IFERROR(__xludf.DUMMYFUNCTION("""COMPUTED_VALUE"""),500000)</f>
        <v>500000</v>
      </c>
      <c r="G2326" s="22">
        <f ca="1">IFERROR(__xludf.DUMMYFUNCTION("""COMPUTED_VALUE"""),0)</f>
        <v>0</v>
      </c>
      <c r="H2326" s="7">
        <f ca="1">IFERROR(__xludf.DUMMYFUNCTION("""COMPUTED_VALUE"""),500000)</f>
        <v>500000</v>
      </c>
    </row>
    <row r="2327" spans="1:8" ht="13" x14ac:dyDescent="0.15">
      <c r="A2327" s="5" t="str">
        <f ca="1">IFERROR(__xludf.DUMMYFUNCTION("""COMPUTED_VALUE"""),"40318")</f>
        <v>40318</v>
      </c>
      <c r="B2327" s="51">
        <f ca="1">IFERROR(__xludf.DUMMYFUNCTION("""COMPUTED_VALUE"""),44620)</f>
        <v>44620</v>
      </c>
      <c r="C2327" s="22">
        <f ca="1">IFERROR(__xludf.DUMMYFUNCTION("""COMPUTED_VALUE"""),500000)</f>
        <v>500000</v>
      </c>
      <c r="D2327" s="22">
        <f ca="1">IFERROR(__xludf.DUMMYFUNCTION("""COMPUTED_VALUE"""),0)</f>
        <v>0</v>
      </c>
      <c r="E2327" s="22">
        <f ca="1">IFERROR(__xludf.DUMMYFUNCTION("""COMPUTED_VALUE"""),500000)</f>
        <v>500000</v>
      </c>
      <c r="F2327" s="22">
        <f ca="1">IFERROR(__xludf.DUMMYFUNCTION("""COMPUTED_VALUE"""),500000)</f>
        <v>500000</v>
      </c>
      <c r="G2327" s="22">
        <f ca="1">IFERROR(__xludf.DUMMYFUNCTION("""COMPUTED_VALUE"""),0)</f>
        <v>0</v>
      </c>
      <c r="H2327" s="7">
        <f ca="1">IFERROR(__xludf.DUMMYFUNCTION("""COMPUTED_VALUE"""),500000)</f>
        <v>500000</v>
      </c>
    </row>
    <row r="2328" spans="1:8" ht="13" x14ac:dyDescent="0.15">
      <c r="A2328" s="5" t="str">
        <f ca="1">IFERROR(__xludf.DUMMYFUNCTION("""COMPUTED_VALUE"""),"40318")</f>
        <v>40318</v>
      </c>
      <c r="B2328" s="51">
        <f ca="1">IFERROR(__xludf.DUMMYFUNCTION("""COMPUTED_VALUE"""),44621)</f>
        <v>44621</v>
      </c>
      <c r="C2328" s="22">
        <f ca="1">IFERROR(__xludf.DUMMYFUNCTION("""COMPUTED_VALUE"""),500000)</f>
        <v>500000</v>
      </c>
      <c r="D2328" s="22">
        <f ca="1">IFERROR(__xludf.DUMMYFUNCTION("""COMPUTED_VALUE"""),0)</f>
        <v>0</v>
      </c>
      <c r="E2328" s="22">
        <f ca="1">IFERROR(__xludf.DUMMYFUNCTION("""COMPUTED_VALUE"""),500000)</f>
        <v>500000</v>
      </c>
      <c r="F2328" s="22">
        <f ca="1">IFERROR(__xludf.DUMMYFUNCTION("""COMPUTED_VALUE"""),500000)</f>
        <v>500000</v>
      </c>
      <c r="G2328" s="22">
        <f ca="1">IFERROR(__xludf.DUMMYFUNCTION("""COMPUTED_VALUE"""),0)</f>
        <v>0</v>
      </c>
      <c r="H2328" s="7">
        <f ca="1">IFERROR(__xludf.DUMMYFUNCTION("""COMPUTED_VALUE"""),500000)</f>
        <v>500000</v>
      </c>
    </row>
    <row r="2329" spans="1:8" ht="13" x14ac:dyDescent="0.15">
      <c r="A2329" s="5" t="str">
        <f ca="1">IFERROR(__xludf.DUMMYFUNCTION("""COMPUTED_VALUE"""),"40318")</f>
        <v>40318</v>
      </c>
      <c r="B2329" s="51">
        <f ca="1">IFERROR(__xludf.DUMMYFUNCTION("""COMPUTED_VALUE"""),44622)</f>
        <v>44622</v>
      </c>
      <c r="C2329" s="22">
        <f ca="1">IFERROR(__xludf.DUMMYFUNCTION("""COMPUTED_VALUE"""),500000)</f>
        <v>500000</v>
      </c>
      <c r="D2329" s="22">
        <f ca="1">IFERROR(__xludf.DUMMYFUNCTION("""COMPUTED_VALUE"""),0)</f>
        <v>0</v>
      </c>
      <c r="E2329" s="22">
        <f ca="1">IFERROR(__xludf.DUMMYFUNCTION("""COMPUTED_VALUE"""),500000)</f>
        <v>500000</v>
      </c>
      <c r="F2329" s="22">
        <f ca="1">IFERROR(__xludf.DUMMYFUNCTION("""COMPUTED_VALUE"""),500000)</f>
        <v>500000</v>
      </c>
      <c r="G2329" s="22">
        <f ca="1">IFERROR(__xludf.DUMMYFUNCTION("""COMPUTED_VALUE"""),0)</f>
        <v>0</v>
      </c>
      <c r="H2329" s="7">
        <f ca="1">IFERROR(__xludf.DUMMYFUNCTION("""COMPUTED_VALUE"""),500000)</f>
        <v>500000</v>
      </c>
    </row>
    <row r="2330" spans="1:8" ht="13" x14ac:dyDescent="0.15">
      <c r="A2330" s="5" t="str">
        <f ca="1">IFERROR(__xludf.DUMMYFUNCTION("""COMPUTED_VALUE"""),"40318")</f>
        <v>40318</v>
      </c>
      <c r="B2330" s="51">
        <f ca="1">IFERROR(__xludf.DUMMYFUNCTION("""COMPUTED_VALUE"""),44623)</f>
        <v>44623</v>
      </c>
      <c r="C2330" s="22">
        <f ca="1">IFERROR(__xludf.DUMMYFUNCTION("""COMPUTED_VALUE"""),500000)</f>
        <v>500000</v>
      </c>
      <c r="D2330" s="22">
        <f ca="1">IFERROR(__xludf.DUMMYFUNCTION("""COMPUTED_VALUE"""),0)</f>
        <v>0</v>
      </c>
      <c r="E2330" s="22">
        <f ca="1">IFERROR(__xludf.DUMMYFUNCTION("""COMPUTED_VALUE"""),500000)</f>
        <v>500000</v>
      </c>
      <c r="F2330" s="22">
        <f ca="1">IFERROR(__xludf.DUMMYFUNCTION("""COMPUTED_VALUE"""),500000)</f>
        <v>500000</v>
      </c>
      <c r="G2330" s="22">
        <f ca="1">IFERROR(__xludf.DUMMYFUNCTION("""COMPUTED_VALUE"""),0)</f>
        <v>0</v>
      </c>
      <c r="H2330" s="7">
        <f ca="1">IFERROR(__xludf.DUMMYFUNCTION("""COMPUTED_VALUE"""),500000)</f>
        <v>500000</v>
      </c>
    </row>
    <row r="2331" spans="1:8" ht="13" x14ac:dyDescent="0.15">
      <c r="A2331" s="5" t="str">
        <f ca="1">IFERROR(__xludf.DUMMYFUNCTION("""COMPUTED_VALUE"""),"40318")</f>
        <v>40318</v>
      </c>
      <c r="B2331" s="51">
        <f ca="1">IFERROR(__xludf.DUMMYFUNCTION("""COMPUTED_VALUE"""),44624)</f>
        <v>44624</v>
      </c>
      <c r="C2331" s="22">
        <f ca="1">IFERROR(__xludf.DUMMYFUNCTION("""COMPUTED_VALUE"""),500000)</f>
        <v>500000</v>
      </c>
      <c r="D2331" s="22">
        <f ca="1">IFERROR(__xludf.DUMMYFUNCTION("""COMPUTED_VALUE"""),0)</f>
        <v>0</v>
      </c>
      <c r="E2331" s="22">
        <f ca="1">IFERROR(__xludf.DUMMYFUNCTION("""COMPUTED_VALUE"""),500000)</f>
        <v>500000</v>
      </c>
      <c r="F2331" s="22">
        <f ca="1">IFERROR(__xludf.DUMMYFUNCTION("""COMPUTED_VALUE"""),500000)</f>
        <v>500000</v>
      </c>
      <c r="G2331" s="22">
        <f ca="1">IFERROR(__xludf.DUMMYFUNCTION("""COMPUTED_VALUE"""),0)</f>
        <v>0</v>
      </c>
      <c r="H2331" s="7">
        <f ca="1">IFERROR(__xludf.DUMMYFUNCTION("""COMPUTED_VALUE"""),500000)</f>
        <v>500000</v>
      </c>
    </row>
    <row r="2332" spans="1:8" ht="13" x14ac:dyDescent="0.15">
      <c r="A2332" s="5" t="str">
        <f ca="1">IFERROR(__xludf.DUMMYFUNCTION("""COMPUTED_VALUE"""),"40318")</f>
        <v>40318</v>
      </c>
      <c r="B2332" s="51">
        <f ca="1">IFERROR(__xludf.DUMMYFUNCTION("""COMPUTED_VALUE"""),44625)</f>
        <v>44625</v>
      </c>
      <c r="C2332" s="22">
        <f ca="1">IFERROR(__xludf.DUMMYFUNCTION("""COMPUTED_VALUE"""),500000)</f>
        <v>500000</v>
      </c>
      <c r="D2332" s="22">
        <f ca="1">IFERROR(__xludf.DUMMYFUNCTION("""COMPUTED_VALUE"""),0)</f>
        <v>0</v>
      </c>
      <c r="E2332" s="22">
        <f ca="1">IFERROR(__xludf.DUMMYFUNCTION("""COMPUTED_VALUE"""),500000)</f>
        <v>500000</v>
      </c>
      <c r="F2332" s="22">
        <f ca="1">IFERROR(__xludf.DUMMYFUNCTION("""COMPUTED_VALUE"""),500000)</f>
        <v>500000</v>
      </c>
      <c r="G2332" s="22">
        <f ca="1">IFERROR(__xludf.DUMMYFUNCTION("""COMPUTED_VALUE"""),0)</f>
        <v>0</v>
      </c>
      <c r="H2332" s="7">
        <f ca="1">IFERROR(__xludf.DUMMYFUNCTION("""COMPUTED_VALUE"""),500000)</f>
        <v>500000</v>
      </c>
    </row>
    <row r="2333" spans="1:8" ht="13" x14ac:dyDescent="0.15">
      <c r="A2333" s="5" t="str">
        <f ca="1">IFERROR(__xludf.DUMMYFUNCTION("""COMPUTED_VALUE"""),"40318")</f>
        <v>40318</v>
      </c>
      <c r="B2333" s="51">
        <f ca="1">IFERROR(__xludf.DUMMYFUNCTION("""COMPUTED_VALUE"""),44626)</f>
        <v>44626</v>
      </c>
      <c r="C2333" s="22">
        <f ca="1">IFERROR(__xludf.DUMMYFUNCTION("""COMPUTED_VALUE"""),500000)</f>
        <v>500000</v>
      </c>
      <c r="D2333" s="22">
        <f ca="1">IFERROR(__xludf.DUMMYFUNCTION("""COMPUTED_VALUE"""),0)</f>
        <v>0</v>
      </c>
      <c r="E2333" s="22">
        <f ca="1">IFERROR(__xludf.DUMMYFUNCTION("""COMPUTED_VALUE"""),500000)</f>
        <v>500000</v>
      </c>
      <c r="F2333" s="22">
        <f ca="1">IFERROR(__xludf.DUMMYFUNCTION("""COMPUTED_VALUE"""),500000)</f>
        <v>500000</v>
      </c>
      <c r="G2333" s="22">
        <f ca="1">IFERROR(__xludf.DUMMYFUNCTION("""COMPUTED_VALUE"""),0)</f>
        <v>0</v>
      </c>
      <c r="H2333" s="7">
        <f ca="1">IFERROR(__xludf.DUMMYFUNCTION("""COMPUTED_VALUE"""),500000)</f>
        <v>500000</v>
      </c>
    </row>
    <row r="2334" spans="1:8" ht="13" x14ac:dyDescent="0.15">
      <c r="A2334" s="5" t="str">
        <f ca="1">IFERROR(__xludf.DUMMYFUNCTION("""COMPUTED_VALUE"""),"40318")</f>
        <v>40318</v>
      </c>
      <c r="B2334" s="51">
        <f ca="1">IFERROR(__xludf.DUMMYFUNCTION("""COMPUTED_VALUE"""),44627)</f>
        <v>44627</v>
      </c>
      <c r="C2334" s="22">
        <f ca="1">IFERROR(__xludf.DUMMYFUNCTION("""COMPUTED_VALUE"""),500000)</f>
        <v>500000</v>
      </c>
      <c r="D2334" s="22">
        <f ca="1">IFERROR(__xludf.DUMMYFUNCTION("""COMPUTED_VALUE"""),0)</f>
        <v>0</v>
      </c>
      <c r="E2334" s="22">
        <f ca="1">IFERROR(__xludf.DUMMYFUNCTION("""COMPUTED_VALUE"""),500000)</f>
        <v>500000</v>
      </c>
      <c r="F2334" s="22">
        <f ca="1">IFERROR(__xludf.DUMMYFUNCTION("""COMPUTED_VALUE"""),500000)</f>
        <v>500000</v>
      </c>
      <c r="G2334" s="22">
        <f ca="1">IFERROR(__xludf.DUMMYFUNCTION("""COMPUTED_VALUE"""),0)</f>
        <v>0</v>
      </c>
      <c r="H2334" s="7">
        <f ca="1">IFERROR(__xludf.DUMMYFUNCTION("""COMPUTED_VALUE"""),500000)</f>
        <v>500000</v>
      </c>
    </row>
    <row r="2335" spans="1:8" ht="13" x14ac:dyDescent="0.15">
      <c r="A2335" s="5" t="str">
        <f ca="1">IFERROR(__xludf.DUMMYFUNCTION("""COMPUTED_VALUE"""),"40318")</f>
        <v>40318</v>
      </c>
      <c r="B2335" s="51">
        <f ca="1">IFERROR(__xludf.DUMMYFUNCTION("""COMPUTED_VALUE"""),44628)</f>
        <v>44628</v>
      </c>
      <c r="C2335" s="22">
        <f ca="1">IFERROR(__xludf.DUMMYFUNCTION("""COMPUTED_VALUE"""),500000)</f>
        <v>500000</v>
      </c>
      <c r="D2335" s="22">
        <f ca="1">IFERROR(__xludf.DUMMYFUNCTION("""COMPUTED_VALUE"""),0)</f>
        <v>0</v>
      </c>
      <c r="E2335" s="22">
        <f ca="1">IFERROR(__xludf.DUMMYFUNCTION("""COMPUTED_VALUE"""),500000)</f>
        <v>500000</v>
      </c>
      <c r="F2335" s="22">
        <f ca="1">IFERROR(__xludf.DUMMYFUNCTION("""COMPUTED_VALUE"""),500000)</f>
        <v>500000</v>
      </c>
      <c r="G2335" s="22">
        <f ca="1">IFERROR(__xludf.DUMMYFUNCTION("""COMPUTED_VALUE"""),0)</f>
        <v>0</v>
      </c>
      <c r="H2335" s="7">
        <f ca="1">IFERROR(__xludf.DUMMYFUNCTION("""COMPUTED_VALUE"""),500000)</f>
        <v>500000</v>
      </c>
    </row>
    <row r="2336" spans="1:8" ht="13" x14ac:dyDescent="0.15">
      <c r="A2336" s="5" t="str">
        <f ca="1">IFERROR(__xludf.DUMMYFUNCTION("""COMPUTED_VALUE"""),"40318")</f>
        <v>40318</v>
      </c>
      <c r="B2336" s="51">
        <f ca="1">IFERROR(__xludf.DUMMYFUNCTION("""COMPUTED_VALUE"""),44629)</f>
        <v>44629</v>
      </c>
      <c r="C2336" s="22">
        <f ca="1">IFERROR(__xludf.DUMMYFUNCTION("""COMPUTED_VALUE"""),327892.978759999)</f>
        <v>327892.97875999898</v>
      </c>
      <c r="D2336" s="22">
        <f ca="1">IFERROR(__xludf.DUMMYFUNCTION("""COMPUTED_VALUE"""),172107.02124)</f>
        <v>172107.02124</v>
      </c>
      <c r="E2336" s="22">
        <f ca="1">IFERROR(__xludf.DUMMYFUNCTION("""COMPUTED_VALUE"""),500000)</f>
        <v>500000</v>
      </c>
      <c r="F2336" s="22">
        <f ca="1">IFERROR(__xludf.DUMMYFUNCTION("""COMPUTED_VALUE"""),327892.978759999)</f>
        <v>327892.97875999898</v>
      </c>
      <c r="G2336" s="22">
        <f ca="1">IFERROR(__xludf.DUMMYFUNCTION("""COMPUTED_VALUE"""),0)</f>
        <v>0</v>
      </c>
      <c r="H2336" s="7">
        <f ca="1">IFERROR(__xludf.DUMMYFUNCTION("""COMPUTED_VALUE"""),500000)</f>
        <v>500000</v>
      </c>
    </row>
    <row r="2337" spans="1:8" ht="13" x14ac:dyDescent="0.15">
      <c r="A2337" s="5" t="str">
        <f ca="1">IFERROR(__xludf.DUMMYFUNCTION("""COMPUTED_VALUE"""),"40318")</f>
        <v>40318</v>
      </c>
      <c r="B2337" s="51">
        <f ca="1">IFERROR(__xludf.DUMMYFUNCTION("""COMPUTED_VALUE"""),44630)</f>
        <v>44630</v>
      </c>
      <c r="C2337" s="22">
        <f ca="1">IFERROR(__xludf.DUMMYFUNCTION("""COMPUTED_VALUE"""),258311.710849999)</f>
        <v>258311.71084999901</v>
      </c>
      <c r="D2337" s="22">
        <f ca="1">IFERROR(__xludf.DUMMYFUNCTION("""COMPUTED_VALUE"""),241765.32555)</f>
        <v>241765.32555000001</v>
      </c>
      <c r="E2337" s="22">
        <f ca="1">IFERROR(__xludf.DUMMYFUNCTION("""COMPUTED_VALUE"""),500077.0364)</f>
        <v>500077.03639999998</v>
      </c>
      <c r="F2337" s="22">
        <f ca="1">IFERROR(__xludf.DUMMYFUNCTION("""COMPUTED_VALUE"""),258311.710849999)</f>
        <v>258311.71084999901</v>
      </c>
      <c r="G2337" s="22">
        <f ca="1">IFERROR(__xludf.DUMMYFUNCTION("""COMPUTED_VALUE"""),0)</f>
        <v>0</v>
      </c>
      <c r="H2337" s="7">
        <f ca="1">IFERROR(__xludf.DUMMYFUNCTION("""COMPUTED_VALUE"""),501746.286289999)</f>
        <v>501746.28628999903</v>
      </c>
    </row>
    <row r="2338" spans="1:8" ht="13" x14ac:dyDescent="0.15">
      <c r="A2338" s="5" t="str">
        <f ca="1">IFERROR(__xludf.DUMMYFUNCTION("""COMPUTED_VALUE"""),"40318")</f>
        <v>40318</v>
      </c>
      <c r="B2338" s="51">
        <f ca="1">IFERROR(__xludf.DUMMYFUNCTION("""COMPUTED_VALUE"""),44631)</f>
        <v>44631</v>
      </c>
      <c r="C2338" s="22">
        <f ca="1">IFERROR(__xludf.DUMMYFUNCTION("""COMPUTED_VALUE"""),258311.710849999)</f>
        <v>258311.71084999901</v>
      </c>
      <c r="D2338" s="22">
        <f ca="1">IFERROR(__xludf.DUMMYFUNCTION("""COMPUTED_VALUE"""),235247.22431)</f>
        <v>235247.22430999999</v>
      </c>
      <c r="E2338" s="22">
        <f ca="1">IFERROR(__xludf.DUMMYFUNCTION("""COMPUTED_VALUE"""),493558.93516)</f>
        <v>493558.93515999999</v>
      </c>
      <c r="F2338" s="22">
        <f ca="1">IFERROR(__xludf.DUMMYFUNCTION("""COMPUTED_VALUE"""),258311.710849999)</f>
        <v>258311.71084999901</v>
      </c>
      <c r="G2338" s="22">
        <f ca="1">IFERROR(__xludf.DUMMYFUNCTION("""COMPUTED_VALUE"""),0)</f>
        <v>0</v>
      </c>
      <c r="H2338" s="7">
        <f ca="1">IFERROR(__xludf.DUMMYFUNCTION("""COMPUTED_VALUE"""),492160.08505)</f>
        <v>492160.08504999999</v>
      </c>
    </row>
    <row r="2339" spans="1:8" ht="13" x14ac:dyDescent="0.15">
      <c r="A2339" s="5" t="str">
        <f ca="1">IFERROR(__xludf.DUMMYFUNCTION("""COMPUTED_VALUE"""),"40318")</f>
        <v>40318</v>
      </c>
      <c r="B2339" s="51">
        <f ca="1">IFERROR(__xludf.DUMMYFUNCTION("""COMPUTED_VALUE"""),44632)</f>
        <v>44632</v>
      </c>
      <c r="C2339" s="22">
        <f ca="1">IFERROR(__xludf.DUMMYFUNCTION("""COMPUTED_VALUE"""),258311.710849999)</f>
        <v>258311.71084999901</v>
      </c>
      <c r="D2339" s="22">
        <f ca="1">IFERROR(__xludf.DUMMYFUNCTION("""COMPUTED_VALUE"""),235247.22431)</f>
        <v>235247.22430999999</v>
      </c>
      <c r="E2339" s="22">
        <f ca="1">IFERROR(__xludf.DUMMYFUNCTION("""COMPUTED_VALUE"""),493558.93516)</f>
        <v>493558.93515999999</v>
      </c>
      <c r="F2339" s="22">
        <f ca="1">IFERROR(__xludf.DUMMYFUNCTION("""COMPUTED_VALUE"""),258311.710849999)</f>
        <v>258311.71084999901</v>
      </c>
      <c r="G2339" s="22">
        <f ca="1">IFERROR(__xludf.DUMMYFUNCTION("""COMPUTED_VALUE"""),0)</f>
        <v>0</v>
      </c>
      <c r="H2339" s="7">
        <f ca="1">IFERROR(__xludf.DUMMYFUNCTION("""COMPUTED_VALUE"""),492160.08505)</f>
        <v>492160.08504999999</v>
      </c>
    </row>
    <row r="2340" spans="1:8" ht="13" x14ac:dyDescent="0.15">
      <c r="A2340" s="5" t="str">
        <f ca="1">IFERROR(__xludf.DUMMYFUNCTION("""COMPUTED_VALUE"""),"40318")</f>
        <v>40318</v>
      </c>
      <c r="B2340" s="51">
        <f ca="1">IFERROR(__xludf.DUMMYFUNCTION("""COMPUTED_VALUE"""),44633)</f>
        <v>44633</v>
      </c>
      <c r="C2340" s="22">
        <f ca="1">IFERROR(__xludf.DUMMYFUNCTION("""COMPUTED_VALUE"""),258311.710849999)</f>
        <v>258311.71084999901</v>
      </c>
      <c r="D2340" s="22">
        <f ca="1">IFERROR(__xludf.DUMMYFUNCTION("""COMPUTED_VALUE"""),235233.047646)</f>
        <v>235233.04764599999</v>
      </c>
      <c r="E2340" s="22">
        <f ca="1">IFERROR(__xludf.DUMMYFUNCTION("""COMPUTED_VALUE"""),493544.758495999)</f>
        <v>493544.75849599898</v>
      </c>
      <c r="F2340" s="22">
        <f ca="1">IFERROR(__xludf.DUMMYFUNCTION("""COMPUTED_VALUE"""),258311.710849999)</f>
        <v>258311.71084999901</v>
      </c>
      <c r="G2340" s="22">
        <f ca="1">IFERROR(__xludf.DUMMYFUNCTION("""COMPUTED_VALUE"""),0)</f>
        <v>0</v>
      </c>
      <c r="H2340" s="7">
        <f ca="1">IFERROR(__xludf.DUMMYFUNCTION("""COMPUTED_VALUE"""),492140.073758)</f>
        <v>492140.07375799998</v>
      </c>
    </row>
    <row r="2341" spans="1:8" ht="13" x14ac:dyDescent="0.15">
      <c r="A2341" s="5" t="str">
        <f ca="1">IFERROR(__xludf.DUMMYFUNCTION("""COMPUTED_VALUE"""),"40318")</f>
        <v>40318</v>
      </c>
      <c r="B2341" s="51">
        <f ca="1">IFERROR(__xludf.DUMMYFUNCTION("""COMPUTED_VALUE"""),44634)</f>
        <v>44634</v>
      </c>
      <c r="C2341" s="22">
        <f ca="1">IFERROR(__xludf.DUMMYFUNCTION("""COMPUTED_VALUE"""),258311.710849999)</f>
        <v>258311.71084999901</v>
      </c>
      <c r="D2341" s="22">
        <f ca="1">IFERROR(__xludf.DUMMYFUNCTION("""COMPUTED_VALUE"""),233514.80196)</f>
        <v>233514.80196000001</v>
      </c>
      <c r="E2341" s="22">
        <f ca="1">IFERROR(__xludf.DUMMYFUNCTION("""COMPUTED_VALUE"""),491826.51281)</f>
        <v>491826.51280999999</v>
      </c>
      <c r="F2341" s="22">
        <f ca="1">IFERROR(__xludf.DUMMYFUNCTION("""COMPUTED_VALUE"""),258311.710849999)</f>
        <v>258311.71084999901</v>
      </c>
      <c r="G2341" s="22">
        <f ca="1">IFERROR(__xludf.DUMMYFUNCTION("""COMPUTED_VALUE"""),0)</f>
        <v>0</v>
      </c>
      <c r="H2341" s="7">
        <f ca="1">IFERROR(__xludf.DUMMYFUNCTION("""COMPUTED_VALUE"""),487306.3124)</f>
        <v>487306.3124</v>
      </c>
    </row>
    <row r="2342" spans="1:8" ht="13" x14ac:dyDescent="0.15">
      <c r="A2342" s="5" t="str">
        <f ca="1">IFERROR(__xludf.DUMMYFUNCTION("""COMPUTED_VALUE"""),"40318")</f>
        <v>40318</v>
      </c>
      <c r="B2342" s="51">
        <f ca="1">IFERROR(__xludf.DUMMYFUNCTION("""COMPUTED_VALUE"""),44635)</f>
        <v>44635</v>
      </c>
      <c r="C2342" s="22">
        <f ca="1">IFERROR(__xludf.DUMMYFUNCTION("""COMPUTED_VALUE"""),258311.710849999)</f>
        <v>258311.71084999901</v>
      </c>
      <c r="D2342" s="22">
        <f ca="1">IFERROR(__xludf.DUMMYFUNCTION("""COMPUTED_VALUE"""),236926.15508)</f>
        <v>236926.15508</v>
      </c>
      <c r="E2342" s="22">
        <f ca="1">IFERROR(__xludf.DUMMYFUNCTION("""COMPUTED_VALUE"""),495237.865929999)</f>
        <v>495237.86592999898</v>
      </c>
      <c r="F2342" s="22">
        <f ca="1">IFERROR(__xludf.DUMMYFUNCTION("""COMPUTED_VALUE"""),258311.710849999)</f>
        <v>258311.71084999901</v>
      </c>
      <c r="G2342" s="22">
        <f ca="1">IFERROR(__xludf.DUMMYFUNCTION("""COMPUTED_VALUE"""),0)</f>
        <v>0</v>
      </c>
      <c r="H2342" s="7">
        <f ca="1">IFERROR(__xludf.DUMMYFUNCTION("""COMPUTED_VALUE"""),493257.96517)</f>
        <v>493257.96516999998</v>
      </c>
    </row>
    <row r="2343" spans="1:8" ht="13" x14ac:dyDescent="0.15">
      <c r="A2343" s="5" t="str">
        <f ca="1">IFERROR(__xludf.DUMMYFUNCTION("""COMPUTED_VALUE"""),"40318")</f>
        <v>40318</v>
      </c>
      <c r="B2343" s="51">
        <f ca="1">IFERROR(__xludf.DUMMYFUNCTION("""COMPUTED_VALUE"""),44636)</f>
        <v>44636</v>
      </c>
      <c r="C2343" s="22">
        <f ca="1">IFERROR(__xludf.DUMMYFUNCTION("""COMPUTED_VALUE"""),258311.710849999)</f>
        <v>258311.71084999901</v>
      </c>
      <c r="D2343" s="22">
        <f ca="1">IFERROR(__xludf.DUMMYFUNCTION("""COMPUTED_VALUE"""),235330.00461)</f>
        <v>235330.00461</v>
      </c>
      <c r="E2343" s="22">
        <f ca="1">IFERROR(__xludf.DUMMYFUNCTION("""COMPUTED_VALUE"""),493641.71546)</f>
        <v>493641.71545999998</v>
      </c>
      <c r="F2343" s="22">
        <f ca="1">IFERROR(__xludf.DUMMYFUNCTION("""COMPUTED_VALUE"""),258311.710849999)</f>
        <v>258311.71084999901</v>
      </c>
      <c r="G2343" s="22">
        <f ca="1">IFERROR(__xludf.DUMMYFUNCTION("""COMPUTED_VALUE"""),0)</f>
        <v>0</v>
      </c>
      <c r="H2343" s="7">
        <f ca="1">IFERROR(__xludf.DUMMYFUNCTION("""COMPUTED_VALUE"""),497143.4873)</f>
        <v>497143.48729999998</v>
      </c>
    </row>
    <row r="2344" spans="1:8" ht="13" x14ac:dyDescent="0.15">
      <c r="A2344" s="5" t="str">
        <f ca="1">IFERROR(__xludf.DUMMYFUNCTION("""COMPUTED_VALUE"""),"40318")</f>
        <v>40318</v>
      </c>
      <c r="B2344" s="51">
        <f ca="1">IFERROR(__xludf.DUMMYFUNCTION("""COMPUTED_VALUE"""),44637)</f>
        <v>44637</v>
      </c>
      <c r="C2344" s="22">
        <f ca="1">IFERROR(__xludf.DUMMYFUNCTION("""COMPUTED_VALUE"""),358756.39157)</f>
        <v>358756.39156999998</v>
      </c>
      <c r="D2344" s="22">
        <f ca="1">IFERROR(__xludf.DUMMYFUNCTION("""COMPUTED_VALUE"""),140898.96036)</f>
        <v>140898.96036</v>
      </c>
      <c r="E2344" s="22">
        <f ca="1">IFERROR(__xludf.DUMMYFUNCTION("""COMPUTED_VALUE"""),499655.35193)</f>
        <v>499655.35193</v>
      </c>
      <c r="F2344" s="22">
        <f ca="1">IFERROR(__xludf.DUMMYFUNCTION("""COMPUTED_VALUE"""),358756.39157)</f>
        <v>358756.39156999998</v>
      </c>
      <c r="G2344" s="22">
        <f ca="1">IFERROR(__xludf.DUMMYFUNCTION("""COMPUTED_VALUE"""),0)</f>
        <v>0</v>
      </c>
      <c r="H2344" s="7">
        <f ca="1">IFERROR(__xludf.DUMMYFUNCTION("""COMPUTED_VALUE"""),499655.35193)</f>
        <v>499655.35193</v>
      </c>
    </row>
    <row r="2345" spans="1:8" ht="13" x14ac:dyDescent="0.15">
      <c r="A2345" s="5" t="str">
        <f ca="1">IFERROR(__xludf.DUMMYFUNCTION("""COMPUTED_VALUE"""),"40318")</f>
        <v>40318</v>
      </c>
      <c r="B2345" s="51">
        <f ca="1">IFERROR(__xludf.DUMMYFUNCTION("""COMPUTED_VALUE"""),44638)</f>
        <v>44638</v>
      </c>
      <c r="C2345" s="22">
        <f ca="1">IFERROR(__xludf.DUMMYFUNCTION("""COMPUTED_VALUE"""),358776.822434)</f>
        <v>358776.82243399997</v>
      </c>
      <c r="D2345" s="22">
        <f ca="1">IFERROR(__xludf.DUMMYFUNCTION("""COMPUTED_VALUE"""),147288.455316)</f>
        <v>147288.45531600001</v>
      </c>
      <c r="E2345" s="22">
        <f ca="1">IFERROR(__xludf.DUMMYFUNCTION("""COMPUTED_VALUE"""),506065.27775)</f>
        <v>506065.27775000001</v>
      </c>
      <c r="F2345" s="22">
        <f ca="1">IFERROR(__xludf.DUMMYFUNCTION("""COMPUTED_VALUE"""),358776.822434)</f>
        <v>358776.82243399997</v>
      </c>
      <c r="G2345" s="22">
        <f ca="1">IFERROR(__xludf.DUMMYFUNCTION("""COMPUTED_VALUE"""),0)</f>
        <v>0</v>
      </c>
      <c r="H2345" s="7">
        <f ca="1">IFERROR(__xludf.DUMMYFUNCTION("""COMPUTED_VALUE"""),503879.565253999)</f>
        <v>503879.56525399903</v>
      </c>
    </row>
    <row r="2346" spans="1:8" ht="13" x14ac:dyDescent="0.15">
      <c r="A2346" s="5" t="str">
        <f ca="1">IFERROR(__xludf.DUMMYFUNCTION("""COMPUTED_VALUE"""),"40318")</f>
        <v>40318</v>
      </c>
      <c r="B2346" s="51">
        <f ca="1">IFERROR(__xludf.DUMMYFUNCTION("""COMPUTED_VALUE"""),44639)</f>
        <v>44639</v>
      </c>
      <c r="C2346" s="22">
        <f ca="1">IFERROR(__xludf.DUMMYFUNCTION("""COMPUTED_VALUE"""),358776.822434)</f>
        <v>358776.82243399997</v>
      </c>
      <c r="D2346" s="22">
        <f ca="1">IFERROR(__xludf.DUMMYFUNCTION("""COMPUTED_VALUE"""),147288.455316)</f>
        <v>147288.45531600001</v>
      </c>
      <c r="E2346" s="22">
        <f ca="1">IFERROR(__xludf.DUMMYFUNCTION("""COMPUTED_VALUE"""),506065.27775)</f>
        <v>506065.27775000001</v>
      </c>
      <c r="F2346" s="22">
        <f ca="1">IFERROR(__xludf.DUMMYFUNCTION("""COMPUTED_VALUE"""),358776.822434)</f>
        <v>358776.82243399997</v>
      </c>
      <c r="G2346" s="22">
        <f ca="1">IFERROR(__xludf.DUMMYFUNCTION("""COMPUTED_VALUE"""),0)</f>
        <v>0</v>
      </c>
      <c r="H2346" s="7">
        <f ca="1">IFERROR(__xludf.DUMMYFUNCTION("""COMPUTED_VALUE"""),503879.565253999)</f>
        <v>503879.56525399903</v>
      </c>
    </row>
    <row r="2347" spans="1:8" ht="13" x14ac:dyDescent="0.15">
      <c r="A2347" s="5" t="str">
        <f ca="1">IFERROR(__xludf.DUMMYFUNCTION("""COMPUTED_VALUE"""),"40318")</f>
        <v>40318</v>
      </c>
      <c r="B2347" s="51">
        <f ca="1">IFERROR(__xludf.DUMMYFUNCTION("""COMPUTED_VALUE"""),44640)</f>
        <v>44640</v>
      </c>
      <c r="C2347" s="22">
        <f ca="1">IFERROR(__xludf.DUMMYFUNCTION("""COMPUTED_VALUE"""),358776.822434)</f>
        <v>358776.82243399997</v>
      </c>
      <c r="D2347" s="22">
        <f ca="1">IFERROR(__xludf.DUMMYFUNCTION("""COMPUTED_VALUE"""),147234.471606)</f>
        <v>147234.47160600001</v>
      </c>
      <c r="E2347" s="22">
        <f ca="1">IFERROR(__xludf.DUMMYFUNCTION("""COMPUTED_VALUE"""),506011.294039999)</f>
        <v>506011.29403999902</v>
      </c>
      <c r="F2347" s="22">
        <f ca="1">IFERROR(__xludf.DUMMYFUNCTION("""COMPUTED_VALUE"""),358776.822434)</f>
        <v>358776.82243399997</v>
      </c>
      <c r="G2347" s="22">
        <f ca="1">IFERROR(__xludf.DUMMYFUNCTION("""COMPUTED_VALUE"""),0)</f>
        <v>0</v>
      </c>
      <c r="H2347" s="7">
        <f ca="1">IFERROR(__xludf.DUMMYFUNCTION("""COMPUTED_VALUE"""),503847.948416)</f>
        <v>503847.948416</v>
      </c>
    </row>
    <row r="2348" spans="1:8" ht="13" x14ac:dyDescent="0.15">
      <c r="A2348" s="5" t="str">
        <f ca="1">IFERROR(__xludf.DUMMYFUNCTION("""COMPUTED_VALUE"""),"40318")</f>
        <v>40318</v>
      </c>
      <c r="B2348" s="51">
        <f ca="1">IFERROR(__xludf.DUMMYFUNCTION("""COMPUTED_VALUE"""),44641)</f>
        <v>44641</v>
      </c>
      <c r="C2348" s="22">
        <f ca="1">IFERROR(__xludf.DUMMYFUNCTION("""COMPUTED_VALUE"""),358776.822434)</f>
        <v>358776.82243399997</v>
      </c>
      <c r="D2348" s="22">
        <f ca="1">IFERROR(__xludf.DUMMYFUNCTION("""COMPUTED_VALUE"""),144833.428599999)</f>
        <v>144833.428599999</v>
      </c>
      <c r="E2348" s="22">
        <f ca="1">IFERROR(__xludf.DUMMYFUNCTION("""COMPUTED_VALUE"""),503610.251033999)</f>
        <v>503610.25103399903</v>
      </c>
      <c r="F2348" s="22">
        <f ca="1">IFERROR(__xludf.DUMMYFUNCTION("""COMPUTED_VALUE"""),358776.822434)</f>
        <v>358776.82243399997</v>
      </c>
      <c r="G2348" s="22">
        <f ca="1">IFERROR(__xludf.DUMMYFUNCTION("""COMPUTED_VALUE"""),0)</f>
        <v>0</v>
      </c>
      <c r="H2348" s="7">
        <f ca="1">IFERROR(__xludf.DUMMYFUNCTION("""COMPUTED_VALUE"""),503610.251033999)</f>
        <v>503610.25103399903</v>
      </c>
    </row>
    <row r="2349" spans="1:8" ht="13" x14ac:dyDescent="0.15">
      <c r="A2349" s="5" t="str">
        <f ca="1">IFERROR(__xludf.DUMMYFUNCTION("""COMPUTED_VALUE"""),"40318")</f>
        <v>40318</v>
      </c>
      <c r="B2349" s="51">
        <f ca="1">IFERROR(__xludf.DUMMYFUNCTION("""COMPUTED_VALUE"""),44642)</f>
        <v>44642</v>
      </c>
      <c r="C2349" s="22">
        <f ca="1">IFERROR(__xludf.DUMMYFUNCTION("""COMPUTED_VALUE"""),358776.822434)</f>
        <v>358776.82243399997</v>
      </c>
      <c r="D2349" s="22">
        <f ca="1">IFERROR(__xludf.DUMMYFUNCTION("""COMPUTED_VALUE"""),147132.57149)</f>
        <v>147132.57149</v>
      </c>
      <c r="E2349" s="22">
        <f ca="1">IFERROR(__xludf.DUMMYFUNCTION("""COMPUTED_VALUE"""),505909.393924)</f>
        <v>505909.39392399997</v>
      </c>
      <c r="F2349" s="22">
        <f ca="1">IFERROR(__xludf.DUMMYFUNCTION("""COMPUTED_VALUE"""),358776.822434)</f>
        <v>358776.82243399997</v>
      </c>
      <c r="G2349" s="22">
        <f ca="1">IFERROR(__xludf.DUMMYFUNCTION("""COMPUTED_VALUE"""),0)</f>
        <v>0</v>
      </c>
      <c r="H2349" s="7">
        <f ca="1">IFERROR(__xludf.DUMMYFUNCTION("""COMPUTED_VALUE"""),505909.393924)</f>
        <v>505909.39392399997</v>
      </c>
    </row>
    <row r="2350" spans="1:8" ht="13" x14ac:dyDescent="0.15">
      <c r="A2350" s="5" t="str">
        <f ca="1">IFERROR(__xludf.DUMMYFUNCTION("""COMPUTED_VALUE"""),"40433")</f>
        <v>40433</v>
      </c>
      <c r="B2350" s="51">
        <f ca="1">IFERROR(__xludf.DUMMYFUNCTION("""COMPUTED_VALUE"""),44597)</f>
        <v>44597</v>
      </c>
      <c r="C2350" s="22">
        <f ca="1">IFERROR(__xludf.DUMMYFUNCTION("""COMPUTED_VALUE"""),500000)</f>
        <v>500000</v>
      </c>
      <c r="D2350" s="22">
        <f ca="1">IFERROR(__xludf.DUMMYFUNCTION("""COMPUTED_VALUE"""),0)</f>
        <v>0</v>
      </c>
      <c r="E2350" s="22">
        <f ca="1">IFERROR(__xludf.DUMMYFUNCTION("""COMPUTED_VALUE"""),500000)</f>
        <v>500000</v>
      </c>
      <c r="F2350" s="22">
        <f ca="1">IFERROR(__xludf.DUMMYFUNCTION("""COMPUTED_VALUE"""),500000)</f>
        <v>500000</v>
      </c>
      <c r="G2350" s="22">
        <f ca="1">IFERROR(__xludf.DUMMYFUNCTION("""COMPUTED_VALUE"""),0)</f>
        <v>0</v>
      </c>
      <c r="H2350" s="7">
        <f ca="1">IFERROR(__xludf.DUMMYFUNCTION("""COMPUTED_VALUE"""),500000)</f>
        <v>500000</v>
      </c>
    </row>
    <row r="2351" spans="1:8" ht="13" x14ac:dyDescent="0.15">
      <c r="A2351" s="5" t="str">
        <f ca="1">IFERROR(__xludf.DUMMYFUNCTION("""COMPUTED_VALUE"""),"40433")</f>
        <v>40433</v>
      </c>
      <c r="B2351" s="51">
        <f ca="1">IFERROR(__xludf.DUMMYFUNCTION("""COMPUTED_VALUE"""),44598)</f>
        <v>44598</v>
      </c>
      <c r="C2351" s="22">
        <f ca="1">IFERROR(__xludf.DUMMYFUNCTION("""COMPUTED_VALUE"""),500000)</f>
        <v>500000</v>
      </c>
      <c r="D2351" s="22">
        <f ca="1">IFERROR(__xludf.DUMMYFUNCTION("""COMPUTED_VALUE"""),0)</f>
        <v>0</v>
      </c>
      <c r="E2351" s="22">
        <f ca="1">IFERROR(__xludf.DUMMYFUNCTION("""COMPUTED_VALUE"""),500000)</f>
        <v>500000</v>
      </c>
      <c r="F2351" s="22">
        <f ca="1">IFERROR(__xludf.DUMMYFUNCTION("""COMPUTED_VALUE"""),500000)</f>
        <v>500000</v>
      </c>
      <c r="G2351" s="22">
        <f ca="1">IFERROR(__xludf.DUMMYFUNCTION("""COMPUTED_VALUE"""),0)</f>
        <v>0</v>
      </c>
      <c r="H2351" s="7">
        <f ca="1">IFERROR(__xludf.DUMMYFUNCTION("""COMPUTED_VALUE"""),500000)</f>
        <v>500000</v>
      </c>
    </row>
    <row r="2352" spans="1:8" ht="13" x14ac:dyDescent="0.15">
      <c r="A2352" s="5" t="str">
        <f ca="1">IFERROR(__xludf.DUMMYFUNCTION("""COMPUTED_VALUE"""),"40433")</f>
        <v>40433</v>
      </c>
      <c r="B2352" s="51">
        <f ca="1">IFERROR(__xludf.DUMMYFUNCTION("""COMPUTED_VALUE"""),44599)</f>
        <v>44599</v>
      </c>
      <c r="C2352" s="22">
        <f ca="1">IFERROR(__xludf.DUMMYFUNCTION("""COMPUTED_VALUE"""),500000)</f>
        <v>500000</v>
      </c>
      <c r="D2352" s="22">
        <f ca="1">IFERROR(__xludf.DUMMYFUNCTION("""COMPUTED_VALUE"""),0)</f>
        <v>0</v>
      </c>
      <c r="E2352" s="22">
        <f ca="1">IFERROR(__xludf.DUMMYFUNCTION("""COMPUTED_VALUE"""),500000)</f>
        <v>500000</v>
      </c>
      <c r="F2352" s="22">
        <f ca="1">IFERROR(__xludf.DUMMYFUNCTION("""COMPUTED_VALUE"""),500000)</f>
        <v>500000</v>
      </c>
      <c r="G2352" s="22">
        <f ca="1">IFERROR(__xludf.DUMMYFUNCTION("""COMPUTED_VALUE"""),0)</f>
        <v>0</v>
      </c>
      <c r="H2352" s="7">
        <f ca="1">IFERROR(__xludf.DUMMYFUNCTION("""COMPUTED_VALUE"""),500000)</f>
        <v>500000</v>
      </c>
    </row>
    <row r="2353" spans="1:8" ht="13" x14ac:dyDescent="0.15">
      <c r="A2353" s="5" t="str">
        <f ca="1">IFERROR(__xludf.DUMMYFUNCTION("""COMPUTED_VALUE"""),"40433")</f>
        <v>40433</v>
      </c>
      <c r="B2353" s="51">
        <f ca="1">IFERROR(__xludf.DUMMYFUNCTION("""COMPUTED_VALUE"""),44600)</f>
        <v>44600</v>
      </c>
      <c r="C2353" s="22">
        <f ca="1">IFERROR(__xludf.DUMMYFUNCTION("""COMPUTED_VALUE"""),500000)</f>
        <v>500000</v>
      </c>
      <c r="D2353" s="22">
        <f ca="1">IFERROR(__xludf.DUMMYFUNCTION("""COMPUTED_VALUE"""),0)</f>
        <v>0</v>
      </c>
      <c r="E2353" s="22">
        <f ca="1">IFERROR(__xludf.DUMMYFUNCTION("""COMPUTED_VALUE"""),500000)</f>
        <v>500000</v>
      </c>
      <c r="F2353" s="22">
        <f ca="1">IFERROR(__xludf.DUMMYFUNCTION("""COMPUTED_VALUE"""),500000)</f>
        <v>500000</v>
      </c>
      <c r="G2353" s="22">
        <f ca="1">IFERROR(__xludf.DUMMYFUNCTION("""COMPUTED_VALUE"""),0)</f>
        <v>0</v>
      </c>
      <c r="H2353" s="7">
        <f ca="1">IFERROR(__xludf.DUMMYFUNCTION("""COMPUTED_VALUE"""),500000)</f>
        <v>500000</v>
      </c>
    </row>
    <row r="2354" spans="1:8" ht="13" x14ac:dyDescent="0.15">
      <c r="A2354" s="5" t="str">
        <f ca="1">IFERROR(__xludf.DUMMYFUNCTION("""COMPUTED_VALUE"""),"40433")</f>
        <v>40433</v>
      </c>
      <c r="B2354" s="51">
        <f ca="1">IFERROR(__xludf.DUMMYFUNCTION("""COMPUTED_VALUE"""),44601)</f>
        <v>44601</v>
      </c>
      <c r="C2354" s="22">
        <f ca="1">IFERROR(__xludf.DUMMYFUNCTION("""COMPUTED_VALUE"""),500000)</f>
        <v>500000</v>
      </c>
      <c r="D2354" s="22">
        <f ca="1">IFERROR(__xludf.DUMMYFUNCTION("""COMPUTED_VALUE"""),0)</f>
        <v>0</v>
      </c>
      <c r="E2354" s="22">
        <f ca="1">IFERROR(__xludf.DUMMYFUNCTION("""COMPUTED_VALUE"""),500000)</f>
        <v>500000</v>
      </c>
      <c r="F2354" s="22">
        <f ca="1">IFERROR(__xludf.DUMMYFUNCTION("""COMPUTED_VALUE"""),500000)</f>
        <v>500000</v>
      </c>
      <c r="G2354" s="22">
        <f ca="1">IFERROR(__xludf.DUMMYFUNCTION("""COMPUTED_VALUE"""),0)</f>
        <v>0</v>
      </c>
      <c r="H2354" s="7">
        <f ca="1">IFERROR(__xludf.DUMMYFUNCTION("""COMPUTED_VALUE"""),500000)</f>
        <v>500000</v>
      </c>
    </row>
    <row r="2355" spans="1:8" ht="13" x14ac:dyDescent="0.15">
      <c r="A2355" s="5" t="str">
        <f ca="1">IFERROR(__xludf.DUMMYFUNCTION("""COMPUTED_VALUE"""),"40433")</f>
        <v>40433</v>
      </c>
      <c r="B2355" s="51">
        <f ca="1">IFERROR(__xludf.DUMMYFUNCTION("""COMPUTED_VALUE"""),44602)</f>
        <v>44602</v>
      </c>
      <c r="C2355" s="22">
        <f ca="1">IFERROR(__xludf.DUMMYFUNCTION("""COMPUTED_VALUE"""),500000)</f>
        <v>500000</v>
      </c>
      <c r="D2355" s="22">
        <f ca="1">IFERROR(__xludf.DUMMYFUNCTION("""COMPUTED_VALUE"""),0)</f>
        <v>0</v>
      </c>
      <c r="E2355" s="22">
        <f ca="1">IFERROR(__xludf.DUMMYFUNCTION("""COMPUTED_VALUE"""),500000)</f>
        <v>500000</v>
      </c>
      <c r="F2355" s="22">
        <f ca="1">IFERROR(__xludf.DUMMYFUNCTION("""COMPUTED_VALUE"""),500000)</f>
        <v>500000</v>
      </c>
      <c r="G2355" s="22">
        <f ca="1">IFERROR(__xludf.DUMMYFUNCTION("""COMPUTED_VALUE"""),0)</f>
        <v>0</v>
      </c>
      <c r="H2355" s="7">
        <f ca="1">IFERROR(__xludf.DUMMYFUNCTION("""COMPUTED_VALUE"""),500000)</f>
        <v>500000</v>
      </c>
    </row>
    <row r="2356" spans="1:8" ht="13" x14ac:dyDescent="0.15">
      <c r="A2356" s="5" t="str">
        <f ca="1">IFERROR(__xludf.DUMMYFUNCTION("""COMPUTED_VALUE"""),"40433")</f>
        <v>40433</v>
      </c>
      <c r="B2356" s="51">
        <f ca="1">IFERROR(__xludf.DUMMYFUNCTION("""COMPUTED_VALUE"""),44603)</f>
        <v>44603</v>
      </c>
      <c r="C2356" s="22">
        <f ca="1">IFERROR(__xludf.DUMMYFUNCTION("""COMPUTED_VALUE"""),500000)</f>
        <v>500000</v>
      </c>
      <c r="D2356" s="22">
        <f ca="1">IFERROR(__xludf.DUMMYFUNCTION("""COMPUTED_VALUE"""),0)</f>
        <v>0</v>
      </c>
      <c r="E2356" s="22">
        <f ca="1">IFERROR(__xludf.DUMMYFUNCTION("""COMPUTED_VALUE"""),500000)</f>
        <v>500000</v>
      </c>
      <c r="F2356" s="22">
        <f ca="1">IFERROR(__xludf.DUMMYFUNCTION("""COMPUTED_VALUE"""),500000)</f>
        <v>500000</v>
      </c>
      <c r="G2356" s="22">
        <f ca="1">IFERROR(__xludf.DUMMYFUNCTION("""COMPUTED_VALUE"""),0)</f>
        <v>0</v>
      </c>
      <c r="H2356" s="7">
        <f ca="1">IFERROR(__xludf.DUMMYFUNCTION("""COMPUTED_VALUE"""),500000)</f>
        <v>500000</v>
      </c>
    </row>
    <row r="2357" spans="1:8" ht="13" x14ac:dyDescent="0.15">
      <c r="A2357" s="5" t="str">
        <f ca="1">IFERROR(__xludf.DUMMYFUNCTION("""COMPUTED_VALUE"""),"40433")</f>
        <v>40433</v>
      </c>
      <c r="B2357" s="51">
        <f ca="1">IFERROR(__xludf.DUMMYFUNCTION("""COMPUTED_VALUE"""),44604)</f>
        <v>44604</v>
      </c>
      <c r="C2357" s="22">
        <f ca="1">IFERROR(__xludf.DUMMYFUNCTION("""COMPUTED_VALUE"""),500000)</f>
        <v>500000</v>
      </c>
      <c r="D2357" s="22">
        <f ca="1">IFERROR(__xludf.DUMMYFUNCTION("""COMPUTED_VALUE"""),0)</f>
        <v>0</v>
      </c>
      <c r="E2357" s="22">
        <f ca="1">IFERROR(__xludf.DUMMYFUNCTION("""COMPUTED_VALUE"""),500000)</f>
        <v>500000</v>
      </c>
      <c r="F2357" s="22">
        <f ca="1">IFERROR(__xludf.DUMMYFUNCTION("""COMPUTED_VALUE"""),500000)</f>
        <v>500000</v>
      </c>
      <c r="G2357" s="22">
        <f ca="1">IFERROR(__xludf.DUMMYFUNCTION("""COMPUTED_VALUE"""),0)</f>
        <v>0</v>
      </c>
      <c r="H2357" s="7">
        <f ca="1">IFERROR(__xludf.DUMMYFUNCTION("""COMPUTED_VALUE"""),500000)</f>
        <v>500000</v>
      </c>
    </row>
    <row r="2358" spans="1:8" ht="13" x14ac:dyDescent="0.15">
      <c r="A2358" s="5" t="str">
        <f ca="1">IFERROR(__xludf.DUMMYFUNCTION("""COMPUTED_VALUE"""),"40433")</f>
        <v>40433</v>
      </c>
      <c r="B2358" s="51">
        <f ca="1">IFERROR(__xludf.DUMMYFUNCTION("""COMPUTED_VALUE"""),44605)</f>
        <v>44605</v>
      </c>
      <c r="C2358" s="22">
        <f ca="1">IFERROR(__xludf.DUMMYFUNCTION("""COMPUTED_VALUE"""),500000)</f>
        <v>500000</v>
      </c>
      <c r="D2358" s="22">
        <f ca="1">IFERROR(__xludf.DUMMYFUNCTION("""COMPUTED_VALUE"""),0)</f>
        <v>0</v>
      </c>
      <c r="E2358" s="22">
        <f ca="1">IFERROR(__xludf.DUMMYFUNCTION("""COMPUTED_VALUE"""),500000)</f>
        <v>500000</v>
      </c>
      <c r="F2358" s="22">
        <f ca="1">IFERROR(__xludf.DUMMYFUNCTION("""COMPUTED_VALUE"""),500000)</f>
        <v>500000</v>
      </c>
      <c r="G2358" s="22">
        <f ca="1">IFERROR(__xludf.DUMMYFUNCTION("""COMPUTED_VALUE"""),0)</f>
        <v>0</v>
      </c>
      <c r="H2358" s="7">
        <f ca="1">IFERROR(__xludf.DUMMYFUNCTION("""COMPUTED_VALUE"""),500000)</f>
        <v>500000</v>
      </c>
    </row>
    <row r="2359" spans="1:8" ht="13" x14ac:dyDescent="0.15">
      <c r="A2359" s="5" t="str">
        <f ca="1">IFERROR(__xludf.DUMMYFUNCTION("""COMPUTED_VALUE"""),"40433")</f>
        <v>40433</v>
      </c>
      <c r="B2359" s="51">
        <f ca="1">IFERROR(__xludf.DUMMYFUNCTION("""COMPUTED_VALUE"""),44606)</f>
        <v>44606</v>
      </c>
      <c r="C2359" s="22">
        <f ca="1">IFERROR(__xludf.DUMMYFUNCTION("""COMPUTED_VALUE"""),500000)</f>
        <v>500000</v>
      </c>
      <c r="D2359" s="22">
        <f ca="1">IFERROR(__xludf.DUMMYFUNCTION("""COMPUTED_VALUE"""),0)</f>
        <v>0</v>
      </c>
      <c r="E2359" s="22">
        <f ca="1">IFERROR(__xludf.DUMMYFUNCTION("""COMPUTED_VALUE"""),500000)</f>
        <v>500000</v>
      </c>
      <c r="F2359" s="22">
        <f ca="1">IFERROR(__xludf.DUMMYFUNCTION("""COMPUTED_VALUE"""),500000)</f>
        <v>500000</v>
      </c>
      <c r="G2359" s="22">
        <f ca="1">IFERROR(__xludf.DUMMYFUNCTION("""COMPUTED_VALUE"""),0)</f>
        <v>0</v>
      </c>
      <c r="H2359" s="7">
        <f ca="1">IFERROR(__xludf.DUMMYFUNCTION("""COMPUTED_VALUE"""),500000)</f>
        <v>500000</v>
      </c>
    </row>
    <row r="2360" spans="1:8" ht="13" x14ac:dyDescent="0.15">
      <c r="A2360" s="5" t="str">
        <f ca="1">IFERROR(__xludf.DUMMYFUNCTION("""COMPUTED_VALUE"""),"40433")</f>
        <v>40433</v>
      </c>
      <c r="B2360" s="51">
        <f ca="1">IFERROR(__xludf.DUMMYFUNCTION("""COMPUTED_VALUE"""),44607)</f>
        <v>44607</v>
      </c>
      <c r="C2360" s="22">
        <f ca="1">IFERROR(__xludf.DUMMYFUNCTION("""COMPUTED_VALUE"""),500000)</f>
        <v>500000</v>
      </c>
      <c r="D2360" s="22">
        <f ca="1">IFERROR(__xludf.DUMMYFUNCTION("""COMPUTED_VALUE"""),0)</f>
        <v>0</v>
      </c>
      <c r="E2360" s="22">
        <f ca="1">IFERROR(__xludf.DUMMYFUNCTION("""COMPUTED_VALUE"""),500000)</f>
        <v>500000</v>
      </c>
      <c r="F2360" s="22">
        <f ca="1">IFERROR(__xludf.DUMMYFUNCTION("""COMPUTED_VALUE"""),500000)</f>
        <v>500000</v>
      </c>
      <c r="G2360" s="22">
        <f ca="1">IFERROR(__xludf.DUMMYFUNCTION("""COMPUTED_VALUE"""),0)</f>
        <v>0</v>
      </c>
      <c r="H2360" s="7">
        <f ca="1">IFERROR(__xludf.DUMMYFUNCTION("""COMPUTED_VALUE"""),500000)</f>
        <v>500000</v>
      </c>
    </row>
    <row r="2361" spans="1:8" ht="13" x14ac:dyDescent="0.15">
      <c r="A2361" s="5" t="str">
        <f ca="1">IFERROR(__xludf.DUMMYFUNCTION("""COMPUTED_VALUE"""),"40433")</f>
        <v>40433</v>
      </c>
      <c r="B2361" s="51">
        <f ca="1">IFERROR(__xludf.DUMMYFUNCTION("""COMPUTED_VALUE"""),44608)</f>
        <v>44608</v>
      </c>
      <c r="C2361" s="22">
        <f ca="1">IFERROR(__xludf.DUMMYFUNCTION("""COMPUTED_VALUE"""),500000)</f>
        <v>500000</v>
      </c>
      <c r="D2361" s="22">
        <f ca="1">IFERROR(__xludf.DUMMYFUNCTION("""COMPUTED_VALUE"""),0)</f>
        <v>0</v>
      </c>
      <c r="E2361" s="22">
        <f ca="1">IFERROR(__xludf.DUMMYFUNCTION("""COMPUTED_VALUE"""),500000)</f>
        <v>500000</v>
      </c>
      <c r="F2361" s="22">
        <f ca="1">IFERROR(__xludf.DUMMYFUNCTION("""COMPUTED_VALUE"""),500000)</f>
        <v>500000</v>
      </c>
      <c r="G2361" s="22">
        <f ca="1">IFERROR(__xludf.DUMMYFUNCTION("""COMPUTED_VALUE"""),0)</f>
        <v>0</v>
      </c>
      <c r="H2361" s="7">
        <f ca="1">IFERROR(__xludf.DUMMYFUNCTION("""COMPUTED_VALUE"""),500000)</f>
        <v>500000</v>
      </c>
    </row>
    <row r="2362" spans="1:8" ht="13" x14ac:dyDescent="0.15">
      <c r="A2362" s="5" t="str">
        <f ca="1">IFERROR(__xludf.DUMMYFUNCTION("""COMPUTED_VALUE"""),"40433")</f>
        <v>40433</v>
      </c>
      <c r="B2362" s="51">
        <f ca="1">IFERROR(__xludf.DUMMYFUNCTION("""COMPUTED_VALUE"""),44609)</f>
        <v>44609</v>
      </c>
      <c r="C2362" s="22">
        <f ca="1">IFERROR(__xludf.DUMMYFUNCTION("""COMPUTED_VALUE"""),500000)</f>
        <v>500000</v>
      </c>
      <c r="D2362" s="22">
        <f ca="1">IFERROR(__xludf.DUMMYFUNCTION("""COMPUTED_VALUE"""),0)</f>
        <v>0</v>
      </c>
      <c r="E2362" s="22">
        <f ca="1">IFERROR(__xludf.DUMMYFUNCTION("""COMPUTED_VALUE"""),500000)</f>
        <v>500000</v>
      </c>
      <c r="F2362" s="22">
        <f ca="1">IFERROR(__xludf.DUMMYFUNCTION("""COMPUTED_VALUE"""),500000)</f>
        <v>500000</v>
      </c>
      <c r="G2362" s="22">
        <f ca="1">IFERROR(__xludf.DUMMYFUNCTION("""COMPUTED_VALUE"""),0)</f>
        <v>0</v>
      </c>
      <c r="H2362" s="7">
        <f ca="1">IFERROR(__xludf.DUMMYFUNCTION("""COMPUTED_VALUE"""),500000)</f>
        <v>500000</v>
      </c>
    </row>
    <row r="2363" spans="1:8" ht="13" x14ac:dyDescent="0.15">
      <c r="A2363" s="5" t="str">
        <f ca="1">IFERROR(__xludf.DUMMYFUNCTION("""COMPUTED_VALUE"""),"40433")</f>
        <v>40433</v>
      </c>
      <c r="B2363" s="51">
        <f ca="1">IFERROR(__xludf.DUMMYFUNCTION("""COMPUTED_VALUE"""),44610)</f>
        <v>44610</v>
      </c>
      <c r="C2363" s="22">
        <f ca="1">IFERROR(__xludf.DUMMYFUNCTION("""COMPUTED_VALUE"""),468578.2976384)</f>
        <v>468578.29763839999</v>
      </c>
      <c r="D2363" s="22">
        <f ca="1">IFERROR(__xludf.DUMMYFUNCTION("""COMPUTED_VALUE"""),31421.7023616)</f>
        <v>31421.702361600001</v>
      </c>
      <c r="E2363" s="22">
        <f ca="1">IFERROR(__xludf.DUMMYFUNCTION("""COMPUTED_VALUE"""),500000)</f>
        <v>500000</v>
      </c>
      <c r="F2363" s="22">
        <f ca="1">IFERROR(__xludf.DUMMYFUNCTION("""COMPUTED_VALUE"""),468578.2976384)</f>
        <v>468578.29763839999</v>
      </c>
      <c r="G2363" s="22">
        <f ca="1">IFERROR(__xludf.DUMMYFUNCTION("""COMPUTED_VALUE"""),0)</f>
        <v>0</v>
      </c>
      <c r="H2363" s="7">
        <f ca="1">IFERROR(__xludf.DUMMYFUNCTION("""COMPUTED_VALUE"""),500000)</f>
        <v>500000</v>
      </c>
    </row>
    <row r="2364" spans="1:8" ht="13" x14ac:dyDescent="0.15">
      <c r="A2364" s="5" t="str">
        <f ca="1">IFERROR(__xludf.DUMMYFUNCTION("""COMPUTED_VALUE"""),"40433")</f>
        <v>40433</v>
      </c>
      <c r="B2364" s="51">
        <f ca="1">IFERROR(__xludf.DUMMYFUNCTION("""COMPUTED_VALUE"""),44611)</f>
        <v>44611</v>
      </c>
      <c r="C2364" s="22">
        <f ca="1">IFERROR(__xludf.DUMMYFUNCTION("""COMPUTED_VALUE"""),468578.2976384)</f>
        <v>468578.29763839999</v>
      </c>
      <c r="D2364" s="22">
        <f ca="1">IFERROR(__xludf.DUMMYFUNCTION("""COMPUTED_VALUE"""),31421.7023616)</f>
        <v>31421.702361600001</v>
      </c>
      <c r="E2364" s="22">
        <f ca="1">IFERROR(__xludf.DUMMYFUNCTION("""COMPUTED_VALUE"""),500000)</f>
        <v>500000</v>
      </c>
      <c r="F2364" s="22">
        <f ca="1">IFERROR(__xludf.DUMMYFUNCTION("""COMPUTED_VALUE"""),468578.2976384)</f>
        <v>468578.29763839999</v>
      </c>
      <c r="G2364" s="22">
        <f ca="1">IFERROR(__xludf.DUMMYFUNCTION("""COMPUTED_VALUE"""),0)</f>
        <v>0</v>
      </c>
      <c r="H2364" s="7">
        <f ca="1">IFERROR(__xludf.DUMMYFUNCTION("""COMPUTED_VALUE"""),500000)</f>
        <v>500000</v>
      </c>
    </row>
    <row r="2365" spans="1:8" ht="13" x14ac:dyDescent="0.15">
      <c r="A2365" s="5" t="str">
        <f ca="1">IFERROR(__xludf.DUMMYFUNCTION("""COMPUTED_VALUE"""),"40433")</f>
        <v>40433</v>
      </c>
      <c r="B2365" s="51">
        <f ca="1">IFERROR(__xludf.DUMMYFUNCTION("""COMPUTED_VALUE"""),44612)</f>
        <v>44612</v>
      </c>
      <c r="C2365" s="22">
        <f ca="1">IFERROR(__xludf.DUMMYFUNCTION("""COMPUTED_VALUE"""),468578.2976384)</f>
        <v>468578.29763839999</v>
      </c>
      <c r="D2365" s="22">
        <f ca="1">IFERROR(__xludf.DUMMYFUNCTION("""COMPUTED_VALUE"""),31420.8755615999)</f>
        <v>31420.8755615999</v>
      </c>
      <c r="E2365" s="22">
        <f ca="1">IFERROR(__xludf.DUMMYFUNCTION("""COMPUTED_VALUE"""),499999.173199999)</f>
        <v>499999.17319999897</v>
      </c>
      <c r="F2365" s="22">
        <f ca="1">IFERROR(__xludf.DUMMYFUNCTION("""COMPUTED_VALUE"""),468578.2976384)</f>
        <v>468578.29763839999</v>
      </c>
      <c r="G2365" s="22">
        <f ca="1">IFERROR(__xludf.DUMMYFUNCTION("""COMPUTED_VALUE"""),0)</f>
        <v>0</v>
      </c>
      <c r="H2365" s="7">
        <f ca="1">IFERROR(__xludf.DUMMYFUNCTION("""COMPUTED_VALUE"""),499998.9325376)</f>
        <v>499998.93253759999</v>
      </c>
    </row>
    <row r="2366" spans="1:8" ht="13" x14ac:dyDescent="0.15">
      <c r="A2366" s="5" t="str">
        <f ca="1">IFERROR(__xludf.DUMMYFUNCTION("""COMPUTED_VALUE"""),"40433")</f>
        <v>40433</v>
      </c>
      <c r="B2366" s="51">
        <f ca="1">IFERROR(__xludf.DUMMYFUNCTION("""COMPUTED_VALUE"""),44613)</f>
        <v>44613</v>
      </c>
      <c r="C2366" s="22">
        <f ca="1">IFERROR(__xludf.DUMMYFUNCTION("""COMPUTED_VALUE"""),468578.2976384)</f>
        <v>468578.29763839999</v>
      </c>
      <c r="D2366" s="22">
        <f ca="1">IFERROR(__xludf.DUMMYFUNCTION("""COMPUTED_VALUE"""),31423.2467616)</f>
        <v>31423.246761599999</v>
      </c>
      <c r="E2366" s="22">
        <f ca="1">IFERROR(__xludf.DUMMYFUNCTION("""COMPUTED_VALUE"""),500001.5444)</f>
        <v>500001.54440000001</v>
      </c>
      <c r="F2366" s="22">
        <f ca="1">IFERROR(__xludf.DUMMYFUNCTION("""COMPUTED_VALUE"""),468578.2976384)</f>
        <v>468578.29763839999</v>
      </c>
      <c r="G2366" s="22">
        <f ca="1">IFERROR(__xludf.DUMMYFUNCTION("""COMPUTED_VALUE"""),0)</f>
        <v>0</v>
      </c>
      <c r="H2366" s="7">
        <f ca="1">IFERROR(__xludf.DUMMYFUNCTION("""COMPUTED_VALUE"""),500001.9939392)</f>
        <v>500001.99393920001</v>
      </c>
    </row>
    <row r="2367" spans="1:8" ht="13" x14ac:dyDescent="0.15">
      <c r="A2367" s="5" t="str">
        <f ca="1">IFERROR(__xludf.DUMMYFUNCTION("""COMPUTED_VALUE"""),"40433")</f>
        <v>40433</v>
      </c>
      <c r="B2367" s="51">
        <f ca="1">IFERROR(__xludf.DUMMYFUNCTION("""COMPUTED_VALUE"""),44614)</f>
        <v>44614</v>
      </c>
      <c r="C2367" s="22">
        <f ca="1">IFERROR(__xludf.DUMMYFUNCTION("""COMPUTED_VALUE"""),468578.2976384)</f>
        <v>468578.29763839999</v>
      </c>
      <c r="D2367" s="22">
        <f ca="1">IFERROR(__xludf.DUMMYFUNCTION("""COMPUTED_VALUE"""),30616.6857216)</f>
        <v>30616.685721599999</v>
      </c>
      <c r="E2367" s="22">
        <f ca="1">IFERROR(__xludf.DUMMYFUNCTION("""COMPUTED_VALUE"""),499194.98336)</f>
        <v>499194.98336000001</v>
      </c>
      <c r="F2367" s="22">
        <f ca="1">IFERROR(__xludf.DUMMYFUNCTION("""COMPUTED_VALUE"""),468578.2976384)</f>
        <v>468578.29763839999</v>
      </c>
      <c r="G2367" s="22">
        <f ca="1">IFERROR(__xludf.DUMMYFUNCTION("""COMPUTED_VALUE"""),0)</f>
        <v>0</v>
      </c>
      <c r="H2367" s="7">
        <f ca="1">IFERROR(__xludf.DUMMYFUNCTION("""COMPUTED_VALUE"""),499043.0391434)</f>
        <v>499043.03914339998</v>
      </c>
    </row>
    <row r="2368" spans="1:8" ht="13" x14ac:dyDescent="0.15">
      <c r="A2368" s="5" t="str">
        <f ca="1">IFERROR(__xludf.DUMMYFUNCTION("""COMPUTED_VALUE"""),"40433")</f>
        <v>40433</v>
      </c>
      <c r="B2368" s="51">
        <f ca="1">IFERROR(__xludf.DUMMYFUNCTION("""COMPUTED_VALUE"""),44615)</f>
        <v>44615</v>
      </c>
      <c r="C2368" s="22">
        <f ca="1">IFERROR(__xludf.DUMMYFUNCTION("""COMPUTED_VALUE"""),468578.2976384)</f>
        <v>468578.29763839999</v>
      </c>
      <c r="D2368" s="22">
        <f ca="1">IFERROR(__xludf.DUMMYFUNCTION("""COMPUTED_VALUE"""),30656.5701616)</f>
        <v>30656.570161600001</v>
      </c>
      <c r="E2368" s="22">
        <f ca="1">IFERROR(__xludf.DUMMYFUNCTION("""COMPUTED_VALUE"""),499234.8678)</f>
        <v>499234.86780000001</v>
      </c>
      <c r="F2368" s="22">
        <f ca="1">IFERROR(__xludf.DUMMYFUNCTION("""COMPUTED_VALUE"""),468578.2976384)</f>
        <v>468578.29763839999</v>
      </c>
      <c r="G2368" s="22">
        <f ca="1">IFERROR(__xludf.DUMMYFUNCTION("""COMPUTED_VALUE"""),0)</f>
        <v>0</v>
      </c>
      <c r="H2368" s="7">
        <f ca="1">IFERROR(__xludf.DUMMYFUNCTION("""COMPUTED_VALUE"""),498982.2425874)</f>
        <v>498982.24258740002</v>
      </c>
    </row>
    <row r="2369" spans="1:8" ht="13" x14ac:dyDescent="0.15">
      <c r="A2369" s="5" t="str">
        <f ca="1">IFERROR(__xludf.DUMMYFUNCTION("""COMPUTED_VALUE"""),"40433")</f>
        <v>40433</v>
      </c>
      <c r="B2369" s="51">
        <f ca="1">IFERROR(__xludf.DUMMYFUNCTION("""COMPUTED_VALUE"""),44616)</f>
        <v>44616</v>
      </c>
      <c r="C2369" s="22">
        <f ca="1">IFERROR(__xludf.DUMMYFUNCTION("""COMPUTED_VALUE"""),468578.2976384)</f>
        <v>468578.29763839999</v>
      </c>
      <c r="D2369" s="22">
        <f ca="1">IFERROR(__xludf.DUMMYFUNCTION("""COMPUTED_VALUE"""),29942.7046816)</f>
        <v>29942.7046816</v>
      </c>
      <c r="E2369" s="22">
        <f ca="1">IFERROR(__xludf.DUMMYFUNCTION("""COMPUTED_VALUE"""),498521.002319999)</f>
        <v>498521.00231999898</v>
      </c>
      <c r="F2369" s="22">
        <f ca="1">IFERROR(__xludf.DUMMYFUNCTION("""COMPUTED_VALUE"""),468578.2976384)</f>
        <v>468578.29763839999</v>
      </c>
      <c r="G2369" s="22">
        <f ca="1">IFERROR(__xludf.DUMMYFUNCTION("""COMPUTED_VALUE"""),0)</f>
        <v>0</v>
      </c>
      <c r="H2369" s="7">
        <f ca="1">IFERROR(__xludf.DUMMYFUNCTION("""COMPUTED_VALUE"""),498435.7582584)</f>
        <v>498435.75825840002</v>
      </c>
    </row>
    <row r="2370" spans="1:8" ht="13" x14ac:dyDescent="0.15">
      <c r="A2370" s="5" t="str">
        <f ca="1">IFERROR(__xludf.DUMMYFUNCTION("""COMPUTED_VALUE"""),"40433")</f>
        <v>40433</v>
      </c>
      <c r="B2370" s="51">
        <f ca="1">IFERROR(__xludf.DUMMYFUNCTION("""COMPUTED_VALUE"""),44617)</f>
        <v>44617</v>
      </c>
      <c r="C2370" s="22">
        <f ca="1">IFERROR(__xludf.DUMMYFUNCTION("""COMPUTED_VALUE"""),468578.2976384)</f>
        <v>468578.29763839999</v>
      </c>
      <c r="D2370" s="22">
        <f ca="1">IFERROR(__xludf.DUMMYFUNCTION("""COMPUTED_VALUE"""),30665.4640616)</f>
        <v>30665.4640616</v>
      </c>
      <c r="E2370" s="22">
        <f ca="1">IFERROR(__xludf.DUMMYFUNCTION("""COMPUTED_VALUE"""),499243.7617)</f>
        <v>499243.76169999997</v>
      </c>
      <c r="F2370" s="22">
        <f ca="1">IFERROR(__xludf.DUMMYFUNCTION("""COMPUTED_VALUE"""),468578.2976384)</f>
        <v>468578.29763839999</v>
      </c>
      <c r="G2370" s="22">
        <f ca="1">IFERROR(__xludf.DUMMYFUNCTION("""COMPUTED_VALUE"""),0)</f>
        <v>0</v>
      </c>
      <c r="H2370" s="7">
        <f ca="1">IFERROR(__xludf.DUMMYFUNCTION("""COMPUTED_VALUE"""),499165.186364499)</f>
        <v>499165.18636449898</v>
      </c>
    </row>
    <row r="2371" spans="1:8" ht="13" x14ac:dyDescent="0.15">
      <c r="A2371" s="5" t="str">
        <f ca="1">IFERROR(__xludf.DUMMYFUNCTION("""COMPUTED_VALUE"""),"40433")</f>
        <v>40433</v>
      </c>
      <c r="B2371" s="51">
        <f ca="1">IFERROR(__xludf.DUMMYFUNCTION("""COMPUTED_VALUE"""),44618)</f>
        <v>44618</v>
      </c>
      <c r="C2371" s="22">
        <f ca="1">IFERROR(__xludf.DUMMYFUNCTION("""COMPUTED_VALUE"""),468578.2976384)</f>
        <v>468578.29763839999</v>
      </c>
      <c r="D2371" s="22">
        <f ca="1">IFERROR(__xludf.DUMMYFUNCTION("""COMPUTED_VALUE"""),30665.9170615999)</f>
        <v>30665.917061599899</v>
      </c>
      <c r="E2371" s="22">
        <f ca="1">IFERROR(__xludf.DUMMYFUNCTION("""COMPUTED_VALUE"""),499244.2147)</f>
        <v>499244.21470000001</v>
      </c>
      <c r="F2371" s="22">
        <f ca="1">IFERROR(__xludf.DUMMYFUNCTION("""COMPUTED_VALUE"""),468578.2976384)</f>
        <v>468578.29763839999</v>
      </c>
      <c r="G2371" s="22">
        <f ca="1">IFERROR(__xludf.DUMMYFUNCTION("""COMPUTED_VALUE"""),0)</f>
        <v>0</v>
      </c>
      <c r="H2371" s="7">
        <f ca="1">IFERROR(__xludf.DUMMYFUNCTION("""COMPUTED_VALUE"""),499165.7739415)</f>
        <v>499165.7739415</v>
      </c>
    </row>
    <row r="2372" spans="1:8" ht="13" x14ac:dyDescent="0.15">
      <c r="A2372" s="5" t="str">
        <f ca="1">IFERROR(__xludf.DUMMYFUNCTION("""COMPUTED_VALUE"""),"40433")</f>
        <v>40433</v>
      </c>
      <c r="B2372" s="51">
        <f ca="1">IFERROR(__xludf.DUMMYFUNCTION("""COMPUTED_VALUE"""),44619)</f>
        <v>44619</v>
      </c>
      <c r="C2372" s="22">
        <f ca="1">IFERROR(__xludf.DUMMYFUNCTION("""COMPUTED_VALUE"""),468578.2976384)</f>
        <v>468578.29763839999</v>
      </c>
      <c r="D2372" s="22">
        <f ca="1">IFERROR(__xludf.DUMMYFUNCTION("""COMPUTED_VALUE"""),30664.8751616)</f>
        <v>30664.875161600001</v>
      </c>
      <c r="E2372" s="22">
        <f ca="1">IFERROR(__xludf.DUMMYFUNCTION("""COMPUTED_VALUE"""),499243.1728)</f>
        <v>499243.1728</v>
      </c>
      <c r="F2372" s="22">
        <f ca="1">IFERROR(__xludf.DUMMYFUNCTION("""COMPUTED_VALUE"""),468578.2976384)</f>
        <v>468578.29763839999</v>
      </c>
      <c r="G2372" s="22">
        <f ca="1">IFERROR(__xludf.DUMMYFUNCTION("""COMPUTED_VALUE"""),0)</f>
        <v>0</v>
      </c>
      <c r="H2372" s="7">
        <f ca="1">IFERROR(__xludf.DUMMYFUNCTION("""COMPUTED_VALUE"""),499164.4225144)</f>
        <v>499164.42251439998</v>
      </c>
    </row>
    <row r="2373" spans="1:8" ht="13" x14ac:dyDescent="0.15">
      <c r="A2373" s="5" t="str">
        <f ca="1">IFERROR(__xludf.DUMMYFUNCTION("""COMPUTED_VALUE"""),"40433")</f>
        <v>40433</v>
      </c>
      <c r="B2373" s="51">
        <f ca="1">IFERROR(__xludf.DUMMYFUNCTION("""COMPUTED_VALUE"""),44620)</f>
        <v>44620</v>
      </c>
      <c r="C2373" s="22">
        <f ca="1">IFERROR(__xludf.DUMMYFUNCTION("""COMPUTED_VALUE"""),468578.2976384)</f>
        <v>468578.29763839999</v>
      </c>
      <c r="D2373" s="22">
        <f ca="1">IFERROR(__xludf.DUMMYFUNCTION("""COMPUTED_VALUE"""),29868.1313615999)</f>
        <v>29868.131361599899</v>
      </c>
      <c r="E2373" s="22">
        <f ca="1">IFERROR(__xludf.DUMMYFUNCTION("""COMPUTED_VALUE"""),498446.429)</f>
        <v>498446.429</v>
      </c>
      <c r="F2373" s="22">
        <f ca="1">IFERROR(__xludf.DUMMYFUNCTION("""COMPUTED_VALUE"""),468578.2976384)</f>
        <v>468578.29763839999</v>
      </c>
      <c r="G2373" s="22">
        <f ca="1">IFERROR(__xludf.DUMMYFUNCTION("""COMPUTED_VALUE"""),0)</f>
        <v>0</v>
      </c>
      <c r="H2373" s="7">
        <f ca="1">IFERROR(__xludf.DUMMYFUNCTION("""COMPUTED_VALUE"""),498322.2265604)</f>
        <v>498322.22656039998</v>
      </c>
    </row>
    <row r="2374" spans="1:8" ht="13" x14ac:dyDescent="0.15">
      <c r="A2374" s="5" t="str">
        <f ca="1">IFERROR(__xludf.DUMMYFUNCTION("""COMPUTED_VALUE"""),"40433")</f>
        <v>40433</v>
      </c>
      <c r="B2374" s="51">
        <f ca="1">IFERROR(__xludf.DUMMYFUNCTION("""COMPUTED_VALUE"""),44621)</f>
        <v>44621</v>
      </c>
      <c r="C2374" s="22">
        <f ca="1">IFERROR(__xludf.DUMMYFUNCTION("""COMPUTED_VALUE"""),468578.2976384)</f>
        <v>468578.29763839999</v>
      </c>
      <c r="D2374" s="22">
        <f ca="1">IFERROR(__xludf.DUMMYFUNCTION("""COMPUTED_VALUE"""),28626.9707992)</f>
        <v>28626.9707992</v>
      </c>
      <c r="E2374" s="22">
        <f ca="1">IFERROR(__xludf.DUMMYFUNCTION("""COMPUTED_VALUE"""),497205.2684376)</f>
        <v>497205.2684376</v>
      </c>
      <c r="F2374" s="22">
        <f ca="1">IFERROR(__xludf.DUMMYFUNCTION("""COMPUTED_VALUE"""),468578.2976384)</f>
        <v>468578.29763839999</v>
      </c>
      <c r="G2374" s="22">
        <f ca="1">IFERROR(__xludf.DUMMYFUNCTION("""COMPUTED_VALUE"""),0)</f>
        <v>0</v>
      </c>
      <c r="H2374" s="7">
        <f ca="1">IFERROR(__xludf.DUMMYFUNCTION("""COMPUTED_VALUE"""),496953.734007)</f>
        <v>496953.73400699999</v>
      </c>
    </row>
    <row r="2375" spans="1:8" ht="13" x14ac:dyDescent="0.15">
      <c r="A2375" s="5" t="str">
        <f ca="1">IFERROR(__xludf.DUMMYFUNCTION("""COMPUTED_VALUE"""),"40433")</f>
        <v>40433</v>
      </c>
      <c r="B2375" s="51">
        <f ca="1">IFERROR(__xludf.DUMMYFUNCTION("""COMPUTED_VALUE"""),44622)</f>
        <v>44622</v>
      </c>
      <c r="C2375" s="22">
        <f ca="1">IFERROR(__xludf.DUMMYFUNCTION("""COMPUTED_VALUE"""),468578.2976384)</f>
        <v>468578.29763839999</v>
      </c>
      <c r="D2375" s="22">
        <f ca="1">IFERROR(__xludf.DUMMYFUNCTION("""COMPUTED_VALUE"""),29215.7180256)</f>
        <v>29215.718025599999</v>
      </c>
      <c r="E2375" s="22">
        <f ca="1">IFERROR(__xludf.DUMMYFUNCTION("""COMPUTED_VALUE"""),497794.015664)</f>
        <v>497794.01566400001</v>
      </c>
      <c r="F2375" s="22">
        <f ca="1">IFERROR(__xludf.DUMMYFUNCTION("""COMPUTED_VALUE"""),468578.2976384)</f>
        <v>468578.29763839999</v>
      </c>
      <c r="G2375" s="22">
        <f ca="1">IFERROR(__xludf.DUMMYFUNCTION("""COMPUTED_VALUE"""),0)</f>
        <v>0</v>
      </c>
      <c r="H2375" s="7">
        <f ca="1">IFERROR(__xludf.DUMMYFUNCTION("""COMPUTED_VALUE"""),497617.7488604)</f>
        <v>497617.7488604</v>
      </c>
    </row>
    <row r="2376" spans="1:8" ht="13" x14ac:dyDescent="0.15">
      <c r="A2376" s="5" t="str">
        <f ca="1">IFERROR(__xludf.DUMMYFUNCTION("""COMPUTED_VALUE"""),"40433")</f>
        <v>40433</v>
      </c>
      <c r="B2376" s="51">
        <f ca="1">IFERROR(__xludf.DUMMYFUNCTION("""COMPUTED_VALUE"""),44623)</f>
        <v>44623</v>
      </c>
      <c r="C2376" s="22">
        <f ca="1">IFERROR(__xludf.DUMMYFUNCTION("""COMPUTED_VALUE"""),468578.2976384)</f>
        <v>468578.29763839999</v>
      </c>
      <c r="D2376" s="22">
        <f ca="1">IFERROR(__xludf.DUMMYFUNCTION("""COMPUTED_VALUE"""),28648.6665796)</f>
        <v>28648.666579600002</v>
      </c>
      <c r="E2376" s="22">
        <f ca="1">IFERROR(__xludf.DUMMYFUNCTION("""COMPUTED_VALUE"""),497226.964218)</f>
        <v>497226.96421800001</v>
      </c>
      <c r="F2376" s="22">
        <f ca="1">IFERROR(__xludf.DUMMYFUNCTION("""COMPUTED_VALUE"""),468578.2976384)</f>
        <v>468578.29763839999</v>
      </c>
      <c r="G2376" s="22">
        <f ca="1">IFERROR(__xludf.DUMMYFUNCTION("""COMPUTED_VALUE"""),0)</f>
        <v>0</v>
      </c>
      <c r="H2376" s="7">
        <f ca="1">IFERROR(__xludf.DUMMYFUNCTION("""COMPUTED_VALUE"""),496969.372763399)</f>
        <v>496969.37276339898</v>
      </c>
    </row>
    <row r="2377" spans="1:8" ht="13" x14ac:dyDescent="0.15">
      <c r="A2377" s="5" t="str">
        <f ca="1">IFERROR(__xludf.DUMMYFUNCTION("""COMPUTED_VALUE"""),"40433")</f>
        <v>40433</v>
      </c>
      <c r="B2377" s="51">
        <f ca="1">IFERROR(__xludf.DUMMYFUNCTION("""COMPUTED_VALUE"""),44624)</f>
        <v>44624</v>
      </c>
      <c r="C2377" s="22">
        <f ca="1">IFERROR(__xludf.DUMMYFUNCTION("""COMPUTED_VALUE"""),468578.2976384)</f>
        <v>468578.29763839999</v>
      </c>
      <c r="D2377" s="22">
        <f ca="1">IFERROR(__xludf.DUMMYFUNCTION("""COMPUTED_VALUE"""),27148.681632)</f>
        <v>27148.681632</v>
      </c>
      <c r="E2377" s="22">
        <f ca="1">IFERROR(__xludf.DUMMYFUNCTION("""COMPUTED_VALUE"""),495726.9792704)</f>
        <v>495726.97927040001</v>
      </c>
      <c r="F2377" s="22">
        <f ca="1">IFERROR(__xludf.DUMMYFUNCTION("""COMPUTED_VALUE"""),468578.2976384)</f>
        <v>468578.29763839999</v>
      </c>
      <c r="G2377" s="22">
        <f ca="1">IFERROR(__xludf.DUMMYFUNCTION("""COMPUTED_VALUE"""),0)</f>
        <v>0</v>
      </c>
      <c r="H2377" s="7">
        <f ca="1">IFERROR(__xludf.DUMMYFUNCTION("""COMPUTED_VALUE"""),495240.6209984)</f>
        <v>495240.62099839997</v>
      </c>
    </row>
    <row r="2378" spans="1:8" ht="13" x14ac:dyDescent="0.15">
      <c r="A2378" s="5" t="str">
        <f ca="1">IFERROR(__xludf.DUMMYFUNCTION("""COMPUTED_VALUE"""),"40433")</f>
        <v>40433</v>
      </c>
      <c r="B2378" s="51">
        <f ca="1">IFERROR(__xludf.DUMMYFUNCTION("""COMPUTED_VALUE"""),44625)</f>
        <v>44625</v>
      </c>
      <c r="C2378" s="22">
        <f ca="1">IFERROR(__xludf.DUMMYFUNCTION("""COMPUTED_VALUE"""),468578.2976384)</f>
        <v>468578.29763839999</v>
      </c>
      <c r="D2378" s="22">
        <f ca="1">IFERROR(__xludf.DUMMYFUNCTION("""COMPUTED_VALUE"""),27148.681632)</f>
        <v>27148.681632</v>
      </c>
      <c r="E2378" s="22">
        <f ca="1">IFERROR(__xludf.DUMMYFUNCTION("""COMPUTED_VALUE"""),495726.9792704)</f>
        <v>495726.97927040001</v>
      </c>
      <c r="F2378" s="22">
        <f ca="1">IFERROR(__xludf.DUMMYFUNCTION("""COMPUTED_VALUE"""),468578.2976384)</f>
        <v>468578.29763839999</v>
      </c>
      <c r="G2378" s="22">
        <f ca="1">IFERROR(__xludf.DUMMYFUNCTION("""COMPUTED_VALUE"""),0)</f>
        <v>0</v>
      </c>
      <c r="H2378" s="7">
        <f ca="1">IFERROR(__xludf.DUMMYFUNCTION("""COMPUTED_VALUE"""),495240.6209984)</f>
        <v>495240.62099839997</v>
      </c>
    </row>
    <row r="2379" spans="1:8" ht="13" x14ac:dyDescent="0.15">
      <c r="A2379" s="5" t="str">
        <f ca="1">IFERROR(__xludf.DUMMYFUNCTION("""COMPUTED_VALUE"""),"40433")</f>
        <v>40433</v>
      </c>
      <c r="B2379" s="51">
        <f ca="1">IFERROR(__xludf.DUMMYFUNCTION("""COMPUTED_VALUE"""),44626)</f>
        <v>44626</v>
      </c>
      <c r="C2379" s="22">
        <f ca="1">IFERROR(__xludf.DUMMYFUNCTION("""COMPUTED_VALUE"""),468578.2976384)</f>
        <v>468578.29763839999</v>
      </c>
      <c r="D2379" s="22">
        <f ca="1">IFERROR(__xludf.DUMMYFUNCTION("""COMPUTED_VALUE"""),27151.441888)</f>
        <v>27151.441888000001</v>
      </c>
      <c r="E2379" s="22">
        <f ca="1">IFERROR(__xludf.DUMMYFUNCTION("""COMPUTED_VALUE"""),495729.7395264)</f>
        <v>495729.73952639999</v>
      </c>
      <c r="F2379" s="22">
        <f ca="1">IFERROR(__xludf.DUMMYFUNCTION("""COMPUTED_VALUE"""),468578.2976384)</f>
        <v>468578.29763839999</v>
      </c>
      <c r="G2379" s="22">
        <f ca="1">IFERROR(__xludf.DUMMYFUNCTION("""COMPUTED_VALUE"""),0)</f>
        <v>0</v>
      </c>
      <c r="H2379" s="7">
        <f ca="1">IFERROR(__xludf.DUMMYFUNCTION("""COMPUTED_VALUE"""),495244.2888984)</f>
        <v>495244.28889839997</v>
      </c>
    </row>
    <row r="2380" spans="1:8" ht="13" x14ac:dyDescent="0.15">
      <c r="A2380" s="5" t="str">
        <f ca="1">IFERROR(__xludf.DUMMYFUNCTION("""COMPUTED_VALUE"""),"40433")</f>
        <v>40433</v>
      </c>
      <c r="B2380" s="51">
        <f ca="1">IFERROR(__xludf.DUMMYFUNCTION("""COMPUTED_VALUE"""),44627)</f>
        <v>44627</v>
      </c>
      <c r="C2380" s="22">
        <f ca="1">IFERROR(__xludf.DUMMYFUNCTION("""COMPUTED_VALUE"""),468578.2976384)</f>
        <v>468578.29763839999</v>
      </c>
      <c r="D2380" s="22">
        <f ca="1">IFERROR(__xludf.DUMMYFUNCTION("""COMPUTED_VALUE"""),26142.6086415999)</f>
        <v>26142.608641599902</v>
      </c>
      <c r="E2380" s="22">
        <f ca="1">IFERROR(__xludf.DUMMYFUNCTION("""COMPUTED_VALUE"""),494720.90628)</f>
        <v>494720.90628</v>
      </c>
      <c r="F2380" s="22">
        <f ca="1">IFERROR(__xludf.DUMMYFUNCTION("""COMPUTED_VALUE"""),468578.2976384)</f>
        <v>468578.29763839999</v>
      </c>
      <c r="G2380" s="22">
        <f ca="1">IFERROR(__xludf.DUMMYFUNCTION("""COMPUTED_VALUE"""),0)</f>
        <v>0</v>
      </c>
      <c r="H2380" s="7">
        <f ca="1">IFERROR(__xludf.DUMMYFUNCTION("""COMPUTED_VALUE"""),493899.4536684)</f>
        <v>493899.4536684</v>
      </c>
    </row>
    <row r="2381" spans="1:8" ht="13" x14ac:dyDescent="0.15">
      <c r="A2381" s="5" t="str">
        <f ca="1">IFERROR(__xludf.DUMMYFUNCTION("""COMPUTED_VALUE"""),"40433")</f>
        <v>40433</v>
      </c>
      <c r="B2381" s="51">
        <f ca="1">IFERROR(__xludf.DUMMYFUNCTION("""COMPUTED_VALUE"""),44628)</f>
        <v>44628</v>
      </c>
      <c r="C2381" s="22">
        <f ca="1">IFERROR(__xludf.DUMMYFUNCTION("""COMPUTED_VALUE"""),468578.2976384)</f>
        <v>468578.29763839999</v>
      </c>
      <c r="D2381" s="22">
        <f ca="1">IFERROR(__xludf.DUMMYFUNCTION("""COMPUTED_VALUE"""),26436.2306660999)</f>
        <v>26436.230666099898</v>
      </c>
      <c r="E2381" s="22">
        <f ca="1">IFERROR(__xludf.DUMMYFUNCTION("""COMPUTED_VALUE"""),495014.5283045)</f>
        <v>495014.52830449998</v>
      </c>
      <c r="F2381" s="22">
        <f ca="1">IFERROR(__xludf.DUMMYFUNCTION("""COMPUTED_VALUE"""),468578.2976384)</f>
        <v>468578.29763839999</v>
      </c>
      <c r="G2381" s="22">
        <f ca="1">IFERROR(__xludf.DUMMYFUNCTION("""COMPUTED_VALUE"""),0)</f>
        <v>0</v>
      </c>
      <c r="H2381" s="7">
        <f ca="1">IFERROR(__xludf.DUMMYFUNCTION("""COMPUTED_VALUE"""),494111.3168804)</f>
        <v>494111.3168804</v>
      </c>
    </row>
    <row r="2382" spans="1:8" ht="13" x14ac:dyDescent="0.15">
      <c r="A2382" s="5" t="str">
        <f ca="1">IFERROR(__xludf.DUMMYFUNCTION("""COMPUTED_VALUE"""),"40433")</f>
        <v>40433</v>
      </c>
      <c r="B2382" s="51">
        <f ca="1">IFERROR(__xludf.DUMMYFUNCTION("""COMPUTED_VALUE"""),44629)</f>
        <v>44629</v>
      </c>
      <c r="C2382" s="22">
        <f ca="1">IFERROR(__xludf.DUMMYFUNCTION("""COMPUTED_VALUE"""),468578.2976384)</f>
        <v>468578.29763839999</v>
      </c>
      <c r="D2382" s="22">
        <f ca="1">IFERROR(__xludf.DUMMYFUNCTION("""COMPUTED_VALUE"""),27924.2427815999)</f>
        <v>27924.2427815999</v>
      </c>
      <c r="E2382" s="22">
        <f ca="1">IFERROR(__xludf.DUMMYFUNCTION("""COMPUTED_VALUE"""),496502.54042)</f>
        <v>496502.54041999998</v>
      </c>
      <c r="F2382" s="22">
        <f ca="1">IFERROR(__xludf.DUMMYFUNCTION("""COMPUTED_VALUE"""),468578.2976384)</f>
        <v>468578.29763839999</v>
      </c>
      <c r="G2382" s="22">
        <f ca="1">IFERROR(__xludf.DUMMYFUNCTION("""COMPUTED_VALUE"""),0)</f>
        <v>0</v>
      </c>
      <c r="H2382" s="7">
        <f ca="1">IFERROR(__xludf.DUMMYFUNCTION("""COMPUTED_VALUE"""),495688.2968624)</f>
        <v>495688.29686240002</v>
      </c>
    </row>
    <row r="2383" spans="1:8" ht="13" x14ac:dyDescent="0.15">
      <c r="A2383" s="5" t="str">
        <f ca="1">IFERROR(__xludf.DUMMYFUNCTION("""COMPUTED_VALUE"""),"40433")</f>
        <v>40433</v>
      </c>
      <c r="B2383" s="51">
        <f ca="1">IFERROR(__xludf.DUMMYFUNCTION("""COMPUTED_VALUE"""),44630)</f>
        <v>44630</v>
      </c>
      <c r="C2383" s="22">
        <f ca="1">IFERROR(__xludf.DUMMYFUNCTION("""COMPUTED_VALUE"""),468578.2976384)</f>
        <v>468578.29763839999</v>
      </c>
      <c r="D2383" s="22">
        <f ca="1">IFERROR(__xludf.DUMMYFUNCTION("""COMPUTED_VALUE"""),27548.9996755999)</f>
        <v>27548.999675599898</v>
      </c>
      <c r="E2383" s="22">
        <f ca="1">IFERROR(__xludf.DUMMYFUNCTION("""COMPUTED_VALUE"""),496127.297313999)</f>
        <v>496127.29731399898</v>
      </c>
      <c r="F2383" s="22">
        <f ca="1">IFERROR(__xludf.DUMMYFUNCTION("""COMPUTED_VALUE"""),468578.2976384)</f>
        <v>468578.29763839999</v>
      </c>
      <c r="G2383" s="22">
        <f ca="1">IFERROR(__xludf.DUMMYFUNCTION("""COMPUTED_VALUE"""),0)</f>
        <v>0</v>
      </c>
      <c r="H2383" s="7">
        <f ca="1">IFERROR(__xludf.DUMMYFUNCTION("""COMPUTED_VALUE"""),495316.3295674)</f>
        <v>495316.32956739998</v>
      </c>
    </row>
    <row r="2384" spans="1:8" ht="13" x14ac:dyDescent="0.15">
      <c r="A2384" s="5" t="str">
        <f ca="1">IFERROR(__xludf.DUMMYFUNCTION("""COMPUTED_VALUE"""),"40433")</f>
        <v>40433</v>
      </c>
      <c r="B2384" s="51">
        <f ca="1">IFERROR(__xludf.DUMMYFUNCTION("""COMPUTED_VALUE"""),44631)</f>
        <v>44631</v>
      </c>
      <c r="C2384" s="22">
        <f ca="1">IFERROR(__xludf.DUMMYFUNCTION("""COMPUTED_VALUE"""),468578.2976384)</f>
        <v>468578.29763839999</v>
      </c>
      <c r="D2384" s="22">
        <f ca="1">IFERROR(__xludf.DUMMYFUNCTION("""COMPUTED_VALUE"""),27472.1291616)</f>
        <v>27472.129161600002</v>
      </c>
      <c r="E2384" s="22">
        <f ca="1">IFERROR(__xludf.DUMMYFUNCTION("""COMPUTED_VALUE"""),496050.4268)</f>
        <v>496050.42680000002</v>
      </c>
      <c r="F2384" s="22">
        <f ca="1">IFERROR(__xludf.DUMMYFUNCTION("""COMPUTED_VALUE"""),468578.2976384)</f>
        <v>468578.29763839999</v>
      </c>
      <c r="G2384" s="22">
        <f ca="1">IFERROR(__xludf.DUMMYFUNCTION("""COMPUTED_VALUE"""),0)</f>
        <v>0</v>
      </c>
      <c r="H2384" s="7">
        <f ca="1">IFERROR(__xludf.DUMMYFUNCTION("""COMPUTED_VALUE"""),495155.535388399)</f>
        <v>495155.53538839897</v>
      </c>
    </row>
    <row r="2385" spans="1:8" ht="13" x14ac:dyDescent="0.15">
      <c r="A2385" s="5" t="str">
        <f ca="1">IFERROR(__xludf.DUMMYFUNCTION("""COMPUTED_VALUE"""),"40433")</f>
        <v>40433</v>
      </c>
      <c r="B2385" s="51">
        <f ca="1">IFERROR(__xludf.DUMMYFUNCTION("""COMPUTED_VALUE"""),44632)</f>
        <v>44632</v>
      </c>
      <c r="C2385" s="22">
        <f ca="1">IFERROR(__xludf.DUMMYFUNCTION("""COMPUTED_VALUE"""),468578.2976384)</f>
        <v>468578.29763839999</v>
      </c>
      <c r="D2385" s="22">
        <f ca="1">IFERROR(__xludf.DUMMYFUNCTION("""COMPUTED_VALUE"""),27472.1291616)</f>
        <v>27472.129161600002</v>
      </c>
      <c r="E2385" s="22">
        <f ca="1">IFERROR(__xludf.DUMMYFUNCTION("""COMPUTED_VALUE"""),496050.4268)</f>
        <v>496050.42680000002</v>
      </c>
      <c r="F2385" s="22">
        <f ca="1">IFERROR(__xludf.DUMMYFUNCTION("""COMPUTED_VALUE"""),468578.2976384)</f>
        <v>468578.29763839999</v>
      </c>
      <c r="G2385" s="22">
        <f ca="1">IFERROR(__xludf.DUMMYFUNCTION("""COMPUTED_VALUE"""),0)</f>
        <v>0</v>
      </c>
      <c r="H2385" s="7">
        <f ca="1">IFERROR(__xludf.DUMMYFUNCTION("""COMPUTED_VALUE"""),495155.535388399)</f>
        <v>495155.53538839897</v>
      </c>
    </row>
    <row r="2386" spans="1:8" ht="13" x14ac:dyDescent="0.15">
      <c r="A2386" s="5" t="str">
        <f ca="1">IFERROR(__xludf.DUMMYFUNCTION("""COMPUTED_VALUE"""),"40433")</f>
        <v>40433</v>
      </c>
      <c r="B2386" s="51">
        <f ca="1">IFERROR(__xludf.DUMMYFUNCTION("""COMPUTED_VALUE"""),44633)</f>
        <v>44633</v>
      </c>
      <c r="C2386" s="22">
        <f ca="1">IFERROR(__xludf.DUMMYFUNCTION("""COMPUTED_VALUE"""),468578.2976384)</f>
        <v>468578.29763839999</v>
      </c>
      <c r="D2386" s="22">
        <f ca="1">IFERROR(__xludf.DUMMYFUNCTION("""COMPUTED_VALUE"""),27470.3844816)</f>
        <v>27470.384481599998</v>
      </c>
      <c r="E2386" s="22">
        <f ca="1">IFERROR(__xludf.DUMMYFUNCTION("""COMPUTED_VALUE"""),496048.68212)</f>
        <v>496048.68212000001</v>
      </c>
      <c r="F2386" s="22">
        <f ca="1">IFERROR(__xludf.DUMMYFUNCTION("""COMPUTED_VALUE"""),468578.2976384)</f>
        <v>468578.29763839999</v>
      </c>
      <c r="G2386" s="22">
        <f ca="1">IFERROR(__xludf.DUMMYFUNCTION("""COMPUTED_VALUE"""),0)</f>
        <v>0</v>
      </c>
      <c r="H2386" s="7">
        <f ca="1">IFERROR(__xludf.DUMMYFUNCTION("""COMPUTED_VALUE"""),495153.2610734)</f>
        <v>495153.26107339998</v>
      </c>
    </row>
    <row r="2387" spans="1:8" ht="13" x14ac:dyDescent="0.15">
      <c r="A2387" s="5" t="str">
        <f ca="1">IFERROR(__xludf.DUMMYFUNCTION("""COMPUTED_VALUE"""),"40433")</f>
        <v>40433</v>
      </c>
      <c r="B2387" s="51">
        <f ca="1">IFERROR(__xludf.DUMMYFUNCTION("""COMPUTED_VALUE"""),44634)</f>
        <v>44634</v>
      </c>
      <c r="C2387" s="22">
        <f ca="1">IFERROR(__xludf.DUMMYFUNCTION("""COMPUTED_VALUE"""),468578.2976384)</f>
        <v>468578.29763839999</v>
      </c>
      <c r="D2387" s="22">
        <f ca="1">IFERROR(__xludf.DUMMYFUNCTION("""COMPUTED_VALUE"""),27051.2040216)</f>
        <v>27051.204021599999</v>
      </c>
      <c r="E2387" s="22">
        <f ca="1">IFERROR(__xludf.DUMMYFUNCTION("""COMPUTED_VALUE"""),495629.50166)</f>
        <v>495629.50166000001</v>
      </c>
      <c r="F2387" s="22">
        <f ca="1">IFERROR(__xludf.DUMMYFUNCTION("""COMPUTED_VALUE"""),468578.2976384)</f>
        <v>468578.29763839999</v>
      </c>
      <c r="G2387" s="22">
        <f ca="1">IFERROR(__xludf.DUMMYFUNCTION("""COMPUTED_VALUE"""),0)</f>
        <v>0</v>
      </c>
      <c r="H2387" s="7">
        <f ca="1">IFERROR(__xludf.DUMMYFUNCTION("""COMPUTED_VALUE"""),494606.6392634)</f>
        <v>494606.63926339999</v>
      </c>
    </row>
    <row r="2388" spans="1:8" ht="13" x14ac:dyDescent="0.15">
      <c r="A2388" s="5" t="str">
        <f ca="1">IFERROR(__xludf.DUMMYFUNCTION("""COMPUTED_VALUE"""),"40433")</f>
        <v>40433</v>
      </c>
      <c r="B2388" s="51">
        <f ca="1">IFERROR(__xludf.DUMMYFUNCTION("""COMPUTED_VALUE"""),44635)</f>
        <v>44635</v>
      </c>
      <c r="C2388" s="22">
        <f ca="1">IFERROR(__xludf.DUMMYFUNCTION("""COMPUTED_VALUE"""),468578.2976384)</f>
        <v>468578.29763839999</v>
      </c>
      <c r="D2388" s="22">
        <f ca="1">IFERROR(__xludf.DUMMYFUNCTION("""COMPUTED_VALUE"""),27295.1745296)</f>
        <v>27295.174529600001</v>
      </c>
      <c r="E2388" s="22">
        <f ca="1">IFERROR(__xludf.DUMMYFUNCTION("""COMPUTED_VALUE"""),495873.472168)</f>
        <v>495873.47216800001</v>
      </c>
      <c r="F2388" s="22">
        <f ca="1">IFERROR(__xludf.DUMMYFUNCTION("""COMPUTED_VALUE"""),468578.2976384)</f>
        <v>468578.29763839999</v>
      </c>
      <c r="G2388" s="22">
        <f ca="1">IFERROR(__xludf.DUMMYFUNCTION("""COMPUTED_VALUE"""),0)</f>
        <v>0</v>
      </c>
      <c r="H2388" s="7">
        <f ca="1">IFERROR(__xludf.DUMMYFUNCTION("""COMPUTED_VALUE"""),495091.6211464)</f>
        <v>495091.62114639999</v>
      </c>
    </row>
    <row r="2389" spans="1:8" ht="13" x14ac:dyDescent="0.15">
      <c r="A2389" s="5" t="str">
        <f ca="1">IFERROR(__xludf.DUMMYFUNCTION("""COMPUTED_VALUE"""),"40433")</f>
        <v>40433</v>
      </c>
      <c r="B2389" s="51">
        <f ca="1">IFERROR(__xludf.DUMMYFUNCTION("""COMPUTED_VALUE"""),44636)</f>
        <v>44636</v>
      </c>
      <c r="C2389" s="22">
        <f ca="1">IFERROR(__xludf.DUMMYFUNCTION("""COMPUTED_VALUE"""),468578.2976384)</f>
        <v>468578.29763839999</v>
      </c>
      <c r="D2389" s="22">
        <f ca="1">IFERROR(__xludf.DUMMYFUNCTION("""COMPUTED_VALUE"""),29029.5129276)</f>
        <v>29029.512927600001</v>
      </c>
      <c r="E2389" s="22">
        <f ca="1">IFERROR(__xludf.DUMMYFUNCTION("""COMPUTED_VALUE"""),497607.810566)</f>
        <v>497607.810566</v>
      </c>
      <c r="F2389" s="22">
        <f ca="1">IFERROR(__xludf.DUMMYFUNCTION("""COMPUTED_VALUE"""),468578.2976384)</f>
        <v>468578.29763839999</v>
      </c>
      <c r="G2389" s="22">
        <f ca="1">IFERROR(__xludf.DUMMYFUNCTION("""COMPUTED_VALUE"""),0)</f>
        <v>0</v>
      </c>
      <c r="H2389" s="7">
        <f ca="1">IFERROR(__xludf.DUMMYFUNCTION("""COMPUTED_VALUE"""),497005.6840664)</f>
        <v>497005.68406639999</v>
      </c>
    </row>
    <row r="2390" spans="1:8" ht="13" x14ac:dyDescent="0.15">
      <c r="A2390" s="5" t="str">
        <f ca="1">IFERROR(__xludf.DUMMYFUNCTION("""COMPUTED_VALUE"""),"40433")</f>
        <v>40433</v>
      </c>
      <c r="B2390" s="51">
        <f ca="1">IFERROR(__xludf.DUMMYFUNCTION("""COMPUTED_VALUE"""),44637)</f>
        <v>44637</v>
      </c>
      <c r="C2390" s="22">
        <f ca="1">IFERROR(__xludf.DUMMYFUNCTION("""COMPUTED_VALUE"""),468578.2976384)</f>
        <v>468578.29763839999</v>
      </c>
      <c r="D2390" s="22">
        <f ca="1">IFERROR(__xludf.DUMMYFUNCTION("""COMPUTED_VALUE"""),29069.7520536)</f>
        <v>29069.752053600001</v>
      </c>
      <c r="E2390" s="22">
        <f ca="1">IFERROR(__xludf.DUMMYFUNCTION("""COMPUTED_VALUE"""),497648.049692)</f>
        <v>497648.04969199997</v>
      </c>
      <c r="F2390" s="22">
        <f ca="1">IFERROR(__xludf.DUMMYFUNCTION("""COMPUTED_VALUE"""),468578.2976384)</f>
        <v>468578.29763839999</v>
      </c>
      <c r="G2390" s="22">
        <f ca="1">IFERROR(__xludf.DUMMYFUNCTION("""COMPUTED_VALUE"""),0)</f>
        <v>0</v>
      </c>
      <c r="H2390" s="7">
        <f ca="1">IFERROR(__xludf.DUMMYFUNCTION("""COMPUTED_VALUE"""),497105.3186294)</f>
        <v>497105.31862939999</v>
      </c>
    </row>
    <row r="2391" spans="1:8" ht="13" x14ac:dyDescent="0.15">
      <c r="A2391" s="5" t="str">
        <f ca="1">IFERROR(__xludf.DUMMYFUNCTION("""COMPUTED_VALUE"""),"40433")</f>
        <v>40433</v>
      </c>
      <c r="B2391" s="51">
        <f ca="1">IFERROR(__xludf.DUMMYFUNCTION("""COMPUTED_VALUE"""),44638)</f>
        <v>44638</v>
      </c>
      <c r="C2391" s="22">
        <f ca="1">IFERROR(__xludf.DUMMYFUNCTION("""COMPUTED_VALUE"""),468578.2976384)</f>
        <v>468578.29763839999</v>
      </c>
      <c r="D2391" s="22">
        <f ca="1">IFERROR(__xludf.DUMMYFUNCTION("""COMPUTED_VALUE"""),29429.6643776)</f>
        <v>29429.664377599998</v>
      </c>
      <c r="E2391" s="22">
        <f ca="1">IFERROR(__xludf.DUMMYFUNCTION("""COMPUTED_VALUE"""),498007.962016)</f>
        <v>498007.962016</v>
      </c>
      <c r="F2391" s="22">
        <f ca="1">IFERROR(__xludf.DUMMYFUNCTION("""COMPUTED_VALUE"""),468578.2976384)</f>
        <v>468578.29763839999</v>
      </c>
      <c r="G2391" s="22">
        <f ca="1">IFERROR(__xludf.DUMMYFUNCTION("""COMPUTED_VALUE"""),0)</f>
        <v>0</v>
      </c>
      <c r="H2391" s="7">
        <f ca="1">IFERROR(__xludf.DUMMYFUNCTION("""COMPUTED_VALUE"""),497510.8937644)</f>
        <v>497510.89376439998</v>
      </c>
    </row>
    <row r="2392" spans="1:8" ht="13" x14ac:dyDescent="0.15">
      <c r="A2392" s="5" t="str">
        <f ca="1">IFERROR(__xludf.DUMMYFUNCTION("""COMPUTED_VALUE"""),"40433")</f>
        <v>40433</v>
      </c>
      <c r="B2392" s="51">
        <f ca="1">IFERROR(__xludf.DUMMYFUNCTION("""COMPUTED_VALUE"""),44639)</f>
        <v>44639</v>
      </c>
      <c r="C2392" s="22">
        <f ca="1">IFERROR(__xludf.DUMMYFUNCTION("""COMPUTED_VALUE"""),468578.2976384)</f>
        <v>468578.29763839999</v>
      </c>
      <c r="D2392" s="22">
        <f ca="1">IFERROR(__xludf.DUMMYFUNCTION("""COMPUTED_VALUE"""),29429.6643776)</f>
        <v>29429.664377599998</v>
      </c>
      <c r="E2392" s="22">
        <f ca="1">IFERROR(__xludf.DUMMYFUNCTION("""COMPUTED_VALUE"""),498007.962016)</f>
        <v>498007.962016</v>
      </c>
      <c r="F2392" s="22">
        <f ca="1">IFERROR(__xludf.DUMMYFUNCTION("""COMPUTED_VALUE"""),468578.2976384)</f>
        <v>468578.29763839999</v>
      </c>
      <c r="G2392" s="22">
        <f ca="1">IFERROR(__xludf.DUMMYFUNCTION("""COMPUTED_VALUE"""),0)</f>
        <v>0</v>
      </c>
      <c r="H2392" s="7">
        <f ca="1">IFERROR(__xludf.DUMMYFUNCTION("""COMPUTED_VALUE"""),497510.8937644)</f>
        <v>497510.89376439998</v>
      </c>
    </row>
    <row r="2393" spans="1:8" ht="13" x14ac:dyDescent="0.15">
      <c r="A2393" s="5" t="str">
        <f ca="1">IFERROR(__xludf.DUMMYFUNCTION("""COMPUTED_VALUE"""),"40433")</f>
        <v>40433</v>
      </c>
      <c r="B2393" s="51">
        <f ca="1">IFERROR(__xludf.DUMMYFUNCTION("""COMPUTED_VALUE"""),44640)</f>
        <v>44640</v>
      </c>
      <c r="C2393" s="22">
        <f ca="1">IFERROR(__xludf.DUMMYFUNCTION("""COMPUTED_VALUE"""),468578.2976384)</f>
        <v>468578.29763839999</v>
      </c>
      <c r="D2393" s="22">
        <f ca="1">IFERROR(__xludf.DUMMYFUNCTION("""COMPUTED_VALUE"""),29424.7954431999)</f>
        <v>29424.795443199899</v>
      </c>
      <c r="E2393" s="22">
        <f ca="1">IFERROR(__xludf.DUMMYFUNCTION("""COMPUTED_VALUE"""),498003.0930816)</f>
        <v>498003.09308159997</v>
      </c>
      <c r="F2393" s="22">
        <f ca="1">IFERROR(__xludf.DUMMYFUNCTION("""COMPUTED_VALUE"""),468578.2976384)</f>
        <v>468578.29763839999</v>
      </c>
      <c r="G2393" s="22">
        <f ca="1">IFERROR(__xludf.DUMMYFUNCTION("""COMPUTED_VALUE"""),0)</f>
        <v>0</v>
      </c>
      <c r="H2393" s="7">
        <f ca="1">IFERROR(__xludf.DUMMYFUNCTION("""COMPUTED_VALUE"""),497504.589561)</f>
        <v>497504.589561</v>
      </c>
    </row>
    <row r="2394" spans="1:8" ht="13" x14ac:dyDescent="0.15">
      <c r="A2394" s="5" t="str">
        <f ca="1">IFERROR(__xludf.DUMMYFUNCTION("""COMPUTED_VALUE"""),"40433")</f>
        <v>40433</v>
      </c>
      <c r="B2394" s="51">
        <f ca="1">IFERROR(__xludf.DUMMYFUNCTION("""COMPUTED_VALUE"""),44641)</f>
        <v>44641</v>
      </c>
      <c r="C2394" s="22">
        <f ca="1">IFERROR(__xludf.DUMMYFUNCTION("""COMPUTED_VALUE"""),464939.76030575)</f>
        <v>464939.76030575001</v>
      </c>
      <c r="D2394" s="22">
        <f ca="1">IFERROR(__xludf.DUMMYFUNCTION("""COMPUTED_VALUE"""),31720.94720265)</f>
        <v>31720.947202650001</v>
      </c>
      <c r="E2394" s="22">
        <f ca="1">IFERROR(__xludf.DUMMYFUNCTION("""COMPUTED_VALUE"""),496660.7075084)</f>
        <v>496660.70750840002</v>
      </c>
      <c r="F2394" s="22">
        <f ca="1">IFERROR(__xludf.DUMMYFUNCTION("""COMPUTED_VALUE"""),464939.76030575)</f>
        <v>464939.76030575001</v>
      </c>
      <c r="G2394" s="22">
        <f ca="1">IFERROR(__xludf.DUMMYFUNCTION("""COMPUTED_VALUE"""),0)</f>
        <v>0</v>
      </c>
      <c r="H2394" s="7">
        <f ca="1">IFERROR(__xludf.DUMMYFUNCTION("""COMPUTED_VALUE"""),496660.7075084)</f>
        <v>496660.70750840002</v>
      </c>
    </row>
    <row r="2395" spans="1:8" ht="13" x14ac:dyDescent="0.15">
      <c r="A2395" s="5" t="str">
        <f ca="1">IFERROR(__xludf.DUMMYFUNCTION("""COMPUTED_VALUE"""),"40433")</f>
        <v>40433</v>
      </c>
      <c r="B2395" s="51">
        <f ca="1">IFERROR(__xludf.DUMMYFUNCTION("""COMPUTED_VALUE"""),44642)</f>
        <v>44642</v>
      </c>
      <c r="C2395" s="22">
        <f ca="1">IFERROR(__xludf.DUMMYFUNCTION("""COMPUTED_VALUE"""),464939.76030575)</f>
        <v>464939.76030575001</v>
      </c>
      <c r="D2395" s="22">
        <f ca="1">IFERROR(__xludf.DUMMYFUNCTION("""COMPUTED_VALUE"""),32454.298397295)</f>
        <v>32454.298397294999</v>
      </c>
      <c r="E2395" s="22">
        <f ca="1">IFERROR(__xludf.DUMMYFUNCTION("""COMPUTED_VALUE"""),497394.058703045)</f>
        <v>497394.05870304501</v>
      </c>
      <c r="F2395" s="22">
        <f ca="1">IFERROR(__xludf.DUMMYFUNCTION("""COMPUTED_VALUE"""),464939.76030575)</f>
        <v>464939.76030575001</v>
      </c>
      <c r="G2395" s="22">
        <f ca="1">IFERROR(__xludf.DUMMYFUNCTION("""COMPUTED_VALUE"""),0)</f>
        <v>0</v>
      </c>
      <c r="H2395" s="7">
        <f ca="1">IFERROR(__xludf.DUMMYFUNCTION("""COMPUTED_VALUE"""),497391.501520545)</f>
        <v>497391.50152054499</v>
      </c>
    </row>
    <row r="2396" spans="1:8" ht="13" x14ac:dyDescent="0.15">
      <c r="A2396" s="5" t="str">
        <f ca="1">IFERROR(__xludf.DUMMYFUNCTION("""COMPUTED_VALUE"""),"40658")</f>
        <v>40658</v>
      </c>
      <c r="B2396" s="51">
        <f ca="1">IFERROR(__xludf.DUMMYFUNCTION("""COMPUTED_VALUE"""),44597)</f>
        <v>44597</v>
      </c>
      <c r="C2396" s="22">
        <f ca="1">IFERROR(__xludf.DUMMYFUNCTION("""COMPUTED_VALUE"""),500000)</f>
        <v>500000</v>
      </c>
      <c r="D2396" s="22">
        <f ca="1">IFERROR(__xludf.DUMMYFUNCTION("""COMPUTED_VALUE"""),0)</f>
        <v>0</v>
      </c>
      <c r="E2396" s="22">
        <f ca="1">IFERROR(__xludf.DUMMYFUNCTION("""COMPUTED_VALUE"""),500000)</f>
        <v>500000</v>
      </c>
      <c r="F2396" s="22">
        <f ca="1">IFERROR(__xludf.DUMMYFUNCTION("""COMPUTED_VALUE"""),500000)</f>
        <v>500000</v>
      </c>
      <c r="G2396" s="22">
        <f ca="1">IFERROR(__xludf.DUMMYFUNCTION("""COMPUTED_VALUE"""),0)</f>
        <v>0</v>
      </c>
      <c r="H2396" s="7">
        <f ca="1">IFERROR(__xludf.DUMMYFUNCTION("""COMPUTED_VALUE"""),500000)</f>
        <v>500000</v>
      </c>
    </row>
    <row r="2397" spans="1:8" ht="13" x14ac:dyDescent="0.15">
      <c r="A2397" s="5" t="str">
        <f ca="1">IFERROR(__xludf.DUMMYFUNCTION("""COMPUTED_VALUE"""),"40658")</f>
        <v>40658</v>
      </c>
      <c r="B2397" s="51">
        <f ca="1">IFERROR(__xludf.DUMMYFUNCTION("""COMPUTED_VALUE"""),44598)</f>
        <v>44598</v>
      </c>
      <c r="C2397" s="22">
        <f ca="1">IFERROR(__xludf.DUMMYFUNCTION("""COMPUTED_VALUE"""),500000)</f>
        <v>500000</v>
      </c>
      <c r="D2397" s="22">
        <f ca="1">IFERROR(__xludf.DUMMYFUNCTION("""COMPUTED_VALUE"""),0)</f>
        <v>0</v>
      </c>
      <c r="E2397" s="22">
        <f ca="1">IFERROR(__xludf.DUMMYFUNCTION("""COMPUTED_VALUE"""),500000)</f>
        <v>500000</v>
      </c>
      <c r="F2397" s="22">
        <f ca="1">IFERROR(__xludf.DUMMYFUNCTION("""COMPUTED_VALUE"""),500000)</f>
        <v>500000</v>
      </c>
      <c r="G2397" s="22">
        <f ca="1">IFERROR(__xludf.DUMMYFUNCTION("""COMPUTED_VALUE"""),0)</f>
        <v>0</v>
      </c>
      <c r="H2397" s="7">
        <f ca="1">IFERROR(__xludf.DUMMYFUNCTION("""COMPUTED_VALUE"""),500000)</f>
        <v>500000</v>
      </c>
    </row>
    <row r="2398" spans="1:8" ht="13" x14ac:dyDescent="0.15">
      <c r="A2398" s="5" t="str">
        <f ca="1">IFERROR(__xludf.DUMMYFUNCTION("""COMPUTED_VALUE"""),"40658")</f>
        <v>40658</v>
      </c>
      <c r="B2398" s="51">
        <f ca="1">IFERROR(__xludf.DUMMYFUNCTION("""COMPUTED_VALUE"""),44599)</f>
        <v>44599</v>
      </c>
      <c r="C2398" s="22">
        <f ca="1">IFERROR(__xludf.DUMMYFUNCTION("""COMPUTED_VALUE"""),500000)</f>
        <v>500000</v>
      </c>
      <c r="D2398" s="22">
        <f ca="1">IFERROR(__xludf.DUMMYFUNCTION("""COMPUTED_VALUE"""),0)</f>
        <v>0</v>
      </c>
      <c r="E2398" s="22">
        <f ca="1">IFERROR(__xludf.DUMMYFUNCTION("""COMPUTED_VALUE"""),500000)</f>
        <v>500000</v>
      </c>
      <c r="F2398" s="22">
        <f ca="1">IFERROR(__xludf.DUMMYFUNCTION("""COMPUTED_VALUE"""),500000)</f>
        <v>500000</v>
      </c>
      <c r="G2398" s="22">
        <f ca="1">IFERROR(__xludf.DUMMYFUNCTION("""COMPUTED_VALUE"""),0)</f>
        <v>0</v>
      </c>
      <c r="H2398" s="7">
        <f ca="1">IFERROR(__xludf.DUMMYFUNCTION("""COMPUTED_VALUE"""),500000)</f>
        <v>500000</v>
      </c>
    </row>
    <row r="2399" spans="1:8" ht="13" x14ac:dyDescent="0.15">
      <c r="A2399" s="5" t="str">
        <f ca="1">IFERROR(__xludf.DUMMYFUNCTION("""COMPUTED_VALUE"""),"40658")</f>
        <v>40658</v>
      </c>
      <c r="B2399" s="51">
        <f ca="1">IFERROR(__xludf.DUMMYFUNCTION("""COMPUTED_VALUE"""),44600)</f>
        <v>44600</v>
      </c>
      <c r="C2399" s="22">
        <f ca="1">IFERROR(__xludf.DUMMYFUNCTION("""COMPUTED_VALUE"""),500000)</f>
        <v>500000</v>
      </c>
      <c r="D2399" s="22">
        <f ca="1">IFERROR(__xludf.DUMMYFUNCTION("""COMPUTED_VALUE"""),0)</f>
        <v>0</v>
      </c>
      <c r="E2399" s="22">
        <f ca="1">IFERROR(__xludf.DUMMYFUNCTION("""COMPUTED_VALUE"""),500000)</f>
        <v>500000</v>
      </c>
      <c r="F2399" s="22">
        <f ca="1">IFERROR(__xludf.DUMMYFUNCTION("""COMPUTED_VALUE"""),500000)</f>
        <v>500000</v>
      </c>
      <c r="G2399" s="22">
        <f ca="1">IFERROR(__xludf.DUMMYFUNCTION("""COMPUTED_VALUE"""),0)</f>
        <v>0</v>
      </c>
      <c r="H2399" s="7">
        <f ca="1">IFERROR(__xludf.DUMMYFUNCTION("""COMPUTED_VALUE"""),500000)</f>
        <v>500000</v>
      </c>
    </row>
    <row r="2400" spans="1:8" ht="13" x14ac:dyDescent="0.15">
      <c r="A2400" s="5" t="str">
        <f ca="1">IFERROR(__xludf.DUMMYFUNCTION("""COMPUTED_VALUE"""),"40658")</f>
        <v>40658</v>
      </c>
      <c r="B2400" s="51">
        <f ca="1">IFERROR(__xludf.DUMMYFUNCTION("""COMPUTED_VALUE"""),44601)</f>
        <v>44601</v>
      </c>
      <c r="C2400" s="22">
        <f ca="1">IFERROR(__xludf.DUMMYFUNCTION("""COMPUTED_VALUE"""),500000)</f>
        <v>500000</v>
      </c>
      <c r="D2400" s="22">
        <f ca="1">IFERROR(__xludf.DUMMYFUNCTION("""COMPUTED_VALUE"""),0)</f>
        <v>0</v>
      </c>
      <c r="E2400" s="22">
        <f ca="1">IFERROR(__xludf.DUMMYFUNCTION("""COMPUTED_VALUE"""),500000)</f>
        <v>500000</v>
      </c>
      <c r="F2400" s="22">
        <f ca="1">IFERROR(__xludf.DUMMYFUNCTION("""COMPUTED_VALUE"""),500000)</f>
        <v>500000</v>
      </c>
      <c r="G2400" s="22">
        <f ca="1">IFERROR(__xludf.DUMMYFUNCTION("""COMPUTED_VALUE"""),0)</f>
        <v>0</v>
      </c>
      <c r="H2400" s="7">
        <f ca="1">IFERROR(__xludf.DUMMYFUNCTION("""COMPUTED_VALUE"""),500000)</f>
        <v>500000</v>
      </c>
    </row>
    <row r="2401" spans="1:8" ht="13" x14ac:dyDescent="0.15">
      <c r="A2401" s="5" t="str">
        <f ca="1">IFERROR(__xludf.DUMMYFUNCTION("""COMPUTED_VALUE"""),"40658")</f>
        <v>40658</v>
      </c>
      <c r="B2401" s="51">
        <f ca="1">IFERROR(__xludf.DUMMYFUNCTION("""COMPUTED_VALUE"""),44602)</f>
        <v>44602</v>
      </c>
      <c r="C2401" s="22">
        <f ca="1">IFERROR(__xludf.DUMMYFUNCTION("""COMPUTED_VALUE"""),500000)</f>
        <v>500000</v>
      </c>
      <c r="D2401" s="22">
        <f ca="1">IFERROR(__xludf.DUMMYFUNCTION("""COMPUTED_VALUE"""),0)</f>
        <v>0</v>
      </c>
      <c r="E2401" s="22">
        <f ca="1">IFERROR(__xludf.DUMMYFUNCTION("""COMPUTED_VALUE"""),500000)</f>
        <v>500000</v>
      </c>
      <c r="F2401" s="22">
        <f ca="1">IFERROR(__xludf.DUMMYFUNCTION("""COMPUTED_VALUE"""),500000)</f>
        <v>500000</v>
      </c>
      <c r="G2401" s="22">
        <f ca="1">IFERROR(__xludf.DUMMYFUNCTION("""COMPUTED_VALUE"""),0)</f>
        <v>0</v>
      </c>
      <c r="H2401" s="7">
        <f ca="1">IFERROR(__xludf.DUMMYFUNCTION("""COMPUTED_VALUE"""),500000)</f>
        <v>500000</v>
      </c>
    </row>
    <row r="2402" spans="1:8" ht="13" x14ac:dyDescent="0.15">
      <c r="A2402" s="5" t="str">
        <f ca="1">IFERROR(__xludf.DUMMYFUNCTION("""COMPUTED_VALUE"""),"40658")</f>
        <v>40658</v>
      </c>
      <c r="B2402" s="51">
        <f ca="1">IFERROR(__xludf.DUMMYFUNCTION("""COMPUTED_VALUE"""),44603)</f>
        <v>44603</v>
      </c>
      <c r="C2402" s="22">
        <f ca="1">IFERROR(__xludf.DUMMYFUNCTION("""COMPUTED_VALUE"""),500000)</f>
        <v>500000</v>
      </c>
      <c r="D2402" s="22">
        <f ca="1">IFERROR(__xludf.DUMMYFUNCTION("""COMPUTED_VALUE"""),0)</f>
        <v>0</v>
      </c>
      <c r="E2402" s="22">
        <f ca="1">IFERROR(__xludf.DUMMYFUNCTION("""COMPUTED_VALUE"""),500000)</f>
        <v>500000</v>
      </c>
      <c r="F2402" s="22">
        <f ca="1">IFERROR(__xludf.DUMMYFUNCTION("""COMPUTED_VALUE"""),500000)</f>
        <v>500000</v>
      </c>
      <c r="G2402" s="22">
        <f ca="1">IFERROR(__xludf.DUMMYFUNCTION("""COMPUTED_VALUE"""),0)</f>
        <v>0</v>
      </c>
      <c r="H2402" s="7">
        <f ca="1">IFERROR(__xludf.DUMMYFUNCTION("""COMPUTED_VALUE"""),500000)</f>
        <v>500000</v>
      </c>
    </row>
    <row r="2403" spans="1:8" ht="13" x14ac:dyDescent="0.15">
      <c r="A2403" s="5" t="str">
        <f ca="1">IFERROR(__xludf.DUMMYFUNCTION("""COMPUTED_VALUE"""),"40658")</f>
        <v>40658</v>
      </c>
      <c r="B2403" s="51">
        <f ca="1">IFERROR(__xludf.DUMMYFUNCTION("""COMPUTED_VALUE"""),44604)</f>
        <v>44604</v>
      </c>
      <c r="C2403" s="22">
        <f ca="1">IFERROR(__xludf.DUMMYFUNCTION("""COMPUTED_VALUE"""),500000)</f>
        <v>500000</v>
      </c>
      <c r="D2403" s="22">
        <f ca="1">IFERROR(__xludf.DUMMYFUNCTION("""COMPUTED_VALUE"""),0)</f>
        <v>0</v>
      </c>
      <c r="E2403" s="22">
        <f ca="1">IFERROR(__xludf.DUMMYFUNCTION("""COMPUTED_VALUE"""),500000)</f>
        <v>500000</v>
      </c>
      <c r="F2403" s="22">
        <f ca="1">IFERROR(__xludf.DUMMYFUNCTION("""COMPUTED_VALUE"""),500000)</f>
        <v>500000</v>
      </c>
      <c r="G2403" s="22">
        <f ca="1">IFERROR(__xludf.DUMMYFUNCTION("""COMPUTED_VALUE"""),0)</f>
        <v>0</v>
      </c>
      <c r="H2403" s="7">
        <f ca="1">IFERROR(__xludf.DUMMYFUNCTION("""COMPUTED_VALUE"""),500000)</f>
        <v>500000</v>
      </c>
    </row>
    <row r="2404" spans="1:8" ht="13" x14ac:dyDescent="0.15">
      <c r="A2404" s="5" t="str">
        <f ca="1">IFERROR(__xludf.DUMMYFUNCTION("""COMPUTED_VALUE"""),"40658")</f>
        <v>40658</v>
      </c>
      <c r="B2404" s="51">
        <f ca="1">IFERROR(__xludf.DUMMYFUNCTION("""COMPUTED_VALUE"""),44605)</f>
        <v>44605</v>
      </c>
      <c r="C2404" s="22">
        <f ca="1">IFERROR(__xludf.DUMMYFUNCTION("""COMPUTED_VALUE"""),500000)</f>
        <v>500000</v>
      </c>
      <c r="D2404" s="22">
        <f ca="1">IFERROR(__xludf.DUMMYFUNCTION("""COMPUTED_VALUE"""),0)</f>
        <v>0</v>
      </c>
      <c r="E2404" s="22">
        <f ca="1">IFERROR(__xludf.DUMMYFUNCTION("""COMPUTED_VALUE"""),500000)</f>
        <v>500000</v>
      </c>
      <c r="F2404" s="22">
        <f ca="1">IFERROR(__xludf.DUMMYFUNCTION("""COMPUTED_VALUE"""),500000)</f>
        <v>500000</v>
      </c>
      <c r="G2404" s="22">
        <f ca="1">IFERROR(__xludf.DUMMYFUNCTION("""COMPUTED_VALUE"""),0)</f>
        <v>0</v>
      </c>
      <c r="H2404" s="7">
        <f ca="1">IFERROR(__xludf.DUMMYFUNCTION("""COMPUTED_VALUE"""),500000)</f>
        <v>500000</v>
      </c>
    </row>
    <row r="2405" spans="1:8" ht="13" x14ac:dyDescent="0.15">
      <c r="A2405" s="5" t="str">
        <f ca="1">IFERROR(__xludf.DUMMYFUNCTION("""COMPUTED_VALUE"""),"40658")</f>
        <v>40658</v>
      </c>
      <c r="B2405" s="51">
        <f ca="1">IFERROR(__xludf.DUMMYFUNCTION("""COMPUTED_VALUE"""),44606)</f>
        <v>44606</v>
      </c>
      <c r="C2405" s="22">
        <f ca="1">IFERROR(__xludf.DUMMYFUNCTION("""COMPUTED_VALUE"""),500000)</f>
        <v>500000</v>
      </c>
      <c r="D2405" s="22">
        <f ca="1">IFERROR(__xludf.DUMMYFUNCTION("""COMPUTED_VALUE"""),0)</f>
        <v>0</v>
      </c>
      <c r="E2405" s="22">
        <f ca="1">IFERROR(__xludf.DUMMYFUNCTION("""COMPUTED_VALUE"""),500000)</f>
        <v>500000</v>
      </c>
      <c r="F2405" s="22">
        <f ca="1">IFERROR(__xludf.DUMMYFUNCTION("""COMPUTED_VALUE"""),500000)</f>
        <v>500000</v>
      </c>
      <c r="G2405" s="22">
        <f ca="1">IFERROR(__xludf.DUMMYFUNCTION("""COMPUTED_VALUE"""),0)</f>
        <v>0</v>
      </c>
      <c r="H2405" s="7">
        <f ca="1">IFERROR(__xludf.DUMMYFUNCTION("""COMPUTED_VALUE"""),500000)</f>
        <v>500000</v>
      </c>
    </row>
    <row r="2406" spans="1:8" ht="13" x14ac:dyDescent="0.15">
      <c r="A2406" s="5" t="str">
        <f ca="1">IFERROR(__xludf.DUMMYFUNCTION("""COMPUTED_VALUE"""),"40658")</f>
        <v>40658</v>
      </c>
      <c r="B2406" s="51">
        <f ca="1">IFERROR(__xludf.DUMMYFUNCTION("""COMPUTED_VALUE"""),44607)</f>
        <v>44607</v>
      </c>
      <c r="C2406" s="22">
        <f ca="1">IFERROR(__xludf.DUMMYFUNCTION("""COMPUTED_VALUE"""),500000)</f>
        <v>500000</v>
      </c>
      <c r="D2406" s="22">
        <f ca="1">IFERROR(__xludf.DUMMYFUNCTION("""COMPUTED_VALUE"""),0)</f>
        <v>0</v>
      </c>
      <c r="E2406" s="22">
        <f ca="1">IFERROR(__xludf.DUMMYFUNCTION("""COMPUTED_VALUE"""),500000)</f>
        <v>500000</v>
      </c>
      <c r="F2406" s="22">
        <f ca="1">IFERROR(__xludf.DUMMYFUNCTION("""COMPUTED_VALUE"""),500000)</f>
        <v>500000</v>
      </c>
      <c r="G2406" s="22">
        <f ca="1">IFERROR(__xludf.DUMMYFUNCTION("""COMPUTED_VALUE"""),0)</f>
        <v>0</v>
      </c>
      <c r="H2406" s="7">
        <f ca="1">IFERROR(__xludf.DUMMYFUNCTION("""COMPUTED_VALUE"""),500000)</f>
        <v>500000</v>
      </c>
    </row>
    <row r="2407" spans="1:8" ht="13" x14ac:dyDescent="0.15">
      <c r="A2407" s="5" t="str">
        <f ca="1">IFERROR(__xludf.DUMMYFUNCTION("""COMPUTED_VALUE"""),"40658")</f>
        <v>40658</v>
      </c>
      <c r="B2407" s="51">
        <f ca="1">IFERROR(__xludf.DUMMYFUNCTION("""COMPUTED_VALUE"""),44608)</f>
        <v>44608</v>
      </c>
      <c r="C2407" s="22">
        <f ca="1">IFERROR(__xludf.DUMMYFUNCTION("""COMPUTED_VALUE"""),500000)</f>
        <v>500000</v>
      </c>
      <c r="D2407" s="22">
        <f ca="1">IFERROR(__xludf.DUMMYFUNCTION("""COMPUTED_VALUE"""),0)</f>
        <v>0</v>
      </c>
      <c r="E2407" s="22">
        <f ca="1">IFERROR(__xludf.DUMMYFUNCTION("""COMPUTED_VALUE"""),500000)</f>
        <v>500000</v>
      </c>
      <c r="F2407" s="22">
        <f ca="1">IFERROR(__xludf.DUMMYFUNCTION("""COMPUTED_VALUE"""),500000)</f>
        <v>500000</v>
      </c>
      <c r="G2407" s="22">
        <f ca="1">IFERROR(__xludf.DUMMYFUNCTION("""COMPUTED_VALUE"""),0)</f>
        <v>0</v>
      </c>
      <c r="H2407" s="7">
        <f ca="1">IFERROR(__xludf.DUMMYFUNCTION("""COMPUTED_VALUE"""),500000)</f>
        <v>500000</v>
      </c>
    </row>
    <row r="2408" spans="1:8" ht="13" x14ac:dyDescent="0.15">
      <c r="A2408" s="5" t="str">
        <f ca="1">IFERROR(__xludf.DUMMYFUNCTION("""COMPUTED_VALUE"""),"40658")</f>
        <v>40658</v>
      </c>
      <c r="B2408" s="51">
        <f ca="1">IFERROR(__xludf.DUMMYFUNCTION("""COMPUTED_VALUE"""),44609)</f>
        <v>44609</v>
      </c>
      <c r="C2408" s="22">
        <f ca="1">IFERROR(__xludf.DUMMYFUNCTION("""COMPUTED_VALUE"""),500000)</f>
        <v>500000</v>
      </c>
      <c r="D2408" s="22">
        <f ca="1">IFERROR(__xludf.DUMMYFUNCTION("""COMPUTED_VALUE"""),0)</f>
        <v>0</v>
      </c>
      <c r="E2408" s="22">
        <f ca="1">IFERROR(__xludf.DUMMYFUNCTION("""COMPUTED_VALUE"""),500000)</f>
        <v>500000</v>
      </c>
      <c r="F2408" s="22">
        <f ca="1">IFERROR(__xludf.DUMMYFUNCTION("""COMPUTED_VALUE"""),500000)</f>
        <v>500000</v>
      </c>
      <c r="G2408" s="22">
        <f ca="1">IFERROR(__xludf.DUMMYFUNCTION("""COMPUTED_VALUE"""),0)</f>
        <v>0</v>
      </c>
      <c r="H2408" s="7">
        <f ca="1">IFERROR(__xludf.DUMMYFUNCTION("""COMPUTED_VALUE"""),500000)</f>
        <v>500000</v>
      </c>
    </row>
    <row r="2409" spans="1:8" ht="13" x14ac:dyDescent="0.15">
      <c r="A2409" s="5" t="str">
        <f ca="1">IFERROR(__xludf.DUMMYFUNCTION("""COMPUTED_VALUE"""),"40658")</f>
        <v>40658</v>
      </c>
      <c r="B2409" s="51">
        <f ca="1">IFERROR(__xludf.DUMMYFUNCTION("""COMPUTED_VALUE"""),44610)</f>
        <v>44610</v>
      </c>
      <c r="C2409" s="22">
        <f ca="1">IFERROR(__xludf.DUMMYFUNCTION("""COMPUTED_VALUE"""),500000)</f>
        <v>500000</v>
      </c>
      <c r="D2409" s="22">
        <f ca="1">IFERROR(__xludf.DUMMYFUNCTION("""COMPUTED_VALUE"""),0)</f>
        <v>0</v>
      </c>
      <c r="E2409" s="22">
        <f ca="1">IFERROR(__xludf.DUMMYFUNCTION("""COMPUTED_VALUE"""),500000)</f>
        <v>500000</v>
      </c>
      <c r="F2409" s="22">
        <f ca="1">IFERROR(__xludf.DUMMYFUNCTION("""COMPUTED_VALUE"""),500000)</f>
        <v>500000</v>
      </c>
      <c r="G2409" s="22">
        <f ca="1">IFERROR(__xludf.DUMMYFUNCTION("""COMPUTED_VALUE"""),0)</f>
        <v>0</v>
      </c>
      <c r="H2409" s="7">
        <f ca="1">IFERROR(__xludf.DUMMYFUNCTION("""COMPUTED_VALUE"""),500000)</f>
        <v>500000</v>
      </c>
    </row>
    <row r="2410" spans="1:8" ht="13" x14ac:dyDescent="0.15">
      <c r="A2410" s="5" t="str">
        <f ca="1">IFERROR(__xludf.DUMMYFUNCTION("""COMPUTED_VALUE"""),"40658")</f>
        <v>40658</v>
      </c>
      <c r="B2410" s="51">
        <f ca="1">IFERROR(__xludf.DUMMYFUNCTION("""COMPUTED_VALUE"""),44611)</f>
        <v>44611</v>
      </c>
      <c r="C2410" s="22">
        <f ca="1">IFERROR(__xludf.DUMMYFUNCTION("""COMPUTED_VALUE"""),500000)</f>
        <v>500000</v>
      </c>
      <c r="D2410" s="22">
        <f ca="1">IFERROR(__xludf.DUMMYFUNCTION("""COMPUTED_VALUE"""),0)</f>
        <v>0</v>
      </c>
      <c r="E2410" s="22">
        <f ca="1">IFERROR(__xludf.DUMMYFUNCTION("""COMPUTED_VALUE"""),500000)</f>
        <v>500000</v>
      </c>
      <c r="F2410" s="22">
        <f ca="1">IFERROR(__xludf.DUMMYFUNCTION("""COMPUTED_VALUE"""),500000)</f>
        <v>500000</v>
      </c>
      <c r="G2410" s="22">
        <f ca="1">IFERROR(__xludf.DUMMYFUNCTION("""COMPUTED_VALUE"""),0)</f>
        <v>0</v>
      </c>
      <c r="H2410" s="7">
        <f ca="1">IFERROR(__xludf.DUMMYFUNCTION("""COMPUTED_VALUE"""),500000)</f>
        <v>500000</v>
      </c>
    </row>
    <row r="2411" spans="1:8" ht="13" x14ac:dyDescent="0.15">
      <c r="A2411" s="5" t="str">
        <f ca="1">IFERROR(__xludf.DUMMYFUNCTION("""COMPUTED_VALUE"""),"40658")</f>
        <v>40658</v>
      </c>
      <c r="B2411" s="51">
        <f ca="1">IFERROR(__xludf.DUMMYFUNCTION("""COMPUTED_VALUE"""),44612)</f>
        <v>44612</v>
      </c>
      <c r="C2411" s="22">
        <f ca="1">IFERROR(__xludf.DUMMYFUNCTION("""COMPUTED_VALUE"""),500000)</f>
        <v>500000</v>
      </c>
      <c r="D2411" s="22">
        <f ca="1">IFERROR(__xludf.DUMMYFUNCTION("""COMPUTED_VALUE"""),0)</f>
        <v>0</v>
      </c>
      <c r="E2411" s="22">
        <f ca="1">IFERROR(__xludf.DUMMYFUNCTION("""COMPUTED_VALUE"""),500000)</f>
        <v>500000</v>
      </c>
      <c r="F2411" s="22">
        <f ca="1">IFERROR(__xludf.DUMMYFUNCTION("""COMPUTED_VALUE"""),500000)</f>
        <v>500000</v>
      </c>
      <c r="G2411" s="22">
        <f ca="1">IFERROR(__xludf.DUMMYFUNCTION("""COMPUTED_VALUE"""),0)</f>
        <v>0</v>
      </c>
      <c r="H2411" s="7">
        <f ca="1">IFERROR(__xludf.DUMMYFUNCTION("""COMPUTED_VALUE"""),500000)</f>
        <v>500000</v>
      </c>
    </row>
    <row r="2412" spans="1:8" ht="13" x14ac:dyDescent="0.15">
      <c r="A2412" s="5" t="str">
        <f ca="1">IFERROR(__xludf.DUMMYFUNCTION("""COMPUTED_VALUE"""),"40658")</f>
        <v>40658</v>
      </c>
      <c r="B2412" s="51">
        <f ca="1">IFERROR(__xludf.DUMMYFUNCTION("""COMPUTED_VALUE"""),44613)</f>
        <v>44613</v>
      </c>
      <c r="C2412" s="22">
        <f ca="1">IFERROR(__xludf.DUMMYFUNCTION("""COMPUTED_VALUE"""),500000)</f>
        <v>500000</v>
      </c>
      <c r="D2412" s="22">
        <f ca="1">IFERROR(__xludf.DUMMYFUNCTION("""COMPUTED_VALUE"""),0)</f>
        <v>0</v>
      </c>
      <c r="E2412" s="22">
        <f ca="1">IFERROR(__xludf.DUMMYFUNCTION("""COMPUTED_VALUE"""),500000)</f>
        <v>500000</v>
      </c>
      <c r="F2412" s="22">
        <f ca="1">IFERROR(__xludf.DUMMYFUNCTION("""COMPUTED_VALUE"""),500000)</f>
        <v>500000</v>
      </c>
      <c r="G2412" s="22">
        <f ca="1">IFERROR(__xludf.DUMMYFUNCTION("""COMPUTED_VALUE"""),0)</f>
        <v>0</v>
      </c>
      <c r="H2412" s="7">
        <f ca="1">IFERROR(__xludf.DUMMYFUNCTION("""COMPUTED_VALUE"""),500000)</f>
        <v>500000</v>
      </c>
    </row>
    <row r="2413" spans="1:8" ht="13" x14ac:dyDescent="0.15">
      <c r="A2413" s="5" t="str">
        <f ca="1">IFERROR(__xludf.DUMMYFUNCTION("""COMPUTED_VALUE"""),"40658")</f>
        <v>40658</v>
      </c>
      <c r="B2413" s="51">
        <f ca="1">IFERROR(__xludf.DUMMYFUNCTION("""COMPUTED_VALUE"""),44614)</f>
        <v>44614</v>
      </c>
      <c r="C2413" s="22">
        <f ca="1">IFERROR(__xludf.DUMMYFUNCTION("""COMPUTED_VALUE"""),500000)</f>
        <v>500000</v>
      </c>
      <c r="D2413" s="22">
        <f ca="1">IFERROR(__xludf.DUMMYFUNCTION("""COMPUTED_VALUE"""),0)</f>
        <v>0</v>
      </c>
      <c r="E2413" s="22">
        <f ca="1">IFERROR(__xludf.DUMMYFUNCTION("""COMPUTED_VALUE"""),500000)</f>
        <v>500000</v>
      </c>
      <c r="F2413" s="22">
        <f ca="1">IFERROR(__xludf.DUMMYFUNCTION("""COMPUTED_VALUE"""),500000)</f>
        <v>500000</v>
      </c>
      <c r="G2413" s="22">
        <f ca="1">IFERROR(__xludf.DUMMYFUNCTION("""COMPUTED_VALUE"""),0)</f>
        <v>0</v>
      </c>
      <c r="H2413" s="7">
        <f ca="1">IFERROR(__xludf.DUMMYFUNCTION("""COMPUTED_VALUE"""),500000)</f>
        <v>500000</v>
      </c>
    </row>
    <row r="2414" spans="1:8" ht="13" x14ac:dyDescent="0.15">
      <c r="A2414" s="5" t="str">
        <f ca="1">IFERROR(__xludf.DUMMYFUNCTION("""COMPUTED_VALUE"""),"40658")</f>
        <v>40658</v>
      </c>
      <c r="B2414" s="51">
        <f ca="1">IFERROR(__xludf.DUMMYFUNCTION("""COMPUTED_VALUE"""),44615)</f>
        <v>44615</v>
      </c>
      <c r="C2414" s="22">
        <f ca="1">IFERROR(__xludf.DUMMYFUNCTION("""COMPUTED_VALUE"""),500000)</f>
        <v>500000</v>
      </c>
      <c r="D2414" s="22">
        <f ca="1">IFERROR(__xludf.DUMMYFUNCTION("""COMPUTED_VALUE"""),0)</f>
        <v>0</v>
      </c>
      <c r="E2414" s="22">
        <f ca="1">IFERROR(__xludf.DUMMYFUNCTION("""COMPUTED_VALUE"""),500000)</f>
        <v>500000</v>
      </c>
      <c r="F2414" s="22">
        <f ca="1">IFERROR(__xludf.DUMMYFUNCTION("""COMPUTED_VALUE"""),500000)</f>
        <v>500000</v>
      </c>
      <c r="G2414" s="22">
        <f ca="1">IFERROR(__xludf.DUMMYFUNCTION("""COMPUTED_VALUE"""),0)</f>
        <v>0</v>
      </c>
      <c r="H2414" s="7">
        <f ca="1">IFERROR(__xludf.DUMMYFUNCTION("""COMPUTED_VALUE"""),500000)</f>
        <v>500000</v>
      </c>
    </row>
    <row r="2415" spans="1:8" ht="13" x14ac:dyDescent="0.15">
      <c r="A2415" s="5" t="str">
        <f ca="1">IFERROR(__xludf.DUMMYFUNCTION("""COMPUTED_VALUE"""),"40658")</f>
        <v>40658</v>
      </c>
      <c r="B2415" s="51">
        <f ca="1">IFERROR(__xludf.DUMMYFUNCTION("""COMPUTED_VALUE"""),44616)</f>
        <v>44616</v>
      </c>
      <c r="C2415" s="22">
        <f ca="1">IFERROR(__xludf.DUMMYFUNCTION("""COMPUTED_VALUE"""),500000)</f>
        <v>500000</v>
      </c>
      <c r="D2415" s="22">
        <f ca="1">IFERROR(__xludf.DUMMYFUNCTION("""COMPUTED_VALUE"""),0)</f>
        <v>0</v>
      </c>
      <c r="E2415" s="22">
        <f ca="1">IFERROR(__xludf.DUMMYFUNCTION("""COMPUTED_VALUE"""),500000)</f>
        <v>500000</v>
      </c>
      <c r="F2415" s="22">
        <f ca="1">IFERROR(__xludf.DUMMYFUNCTION("""COMPUTED_VALUE"""),500000)</f>
        <v>500000</v>
      </c>
      <c r="G2415" s="22">
        <f ca="1">IFERROR(__xludf.DUMMYFUNCTION("""COMPUTED_VALUE"""),0)</f>
        <v>0</v>
      </c>
      <c r="H2415" s="7">
        <f ca="1">IFERROR(__xludf.DUMMYFUNCTION("""COMPUTED_VALUE"""),500000)</f>
        <v>500000</v>
      </c>
    </row>
    <row r="2416" spans="1:8" ht="13" x14ac:dyDescent="0.15">
      <c r="A2416" s="5" t="str">
        <f ca="1">IFERROR(__xludf.DUMMYFUNCTION("""COMPUTED_VALUE"""),"40658")</f>
        <v>40658</v>
      </c>
      <c r="B2416" s="51">
        <f ca="1">IFERROR(__xludf.DUMMYFUNCTION("""COMPUTED_VALUE"""),44617)</f>
        <v>44617</v>
      </c>
      <c r="C2416" s="22">
        <f ca="1">IFERROR(__xludf.DUMMYFUNCTION("""COMPUTED_VALUE"""),500000)</f>
        <v>500000</v>
      </c>
      <c r="D2416" s="22">
        <f ca="1">IFERROR(__xludf.DUMMYFUNCTION("""COMPUTED_VALUE"""),0)</f>
        <v>0</v>
      </c>
      <c r="E2416" s="22">
        <f ca="1">IFERROR(__xludf.DUMMYFUNCTION("""COMPUTED_VALUE"""),500000)</f>
        <v>500000</v>
      </c>
      <c r="F2416" s="22">
        <f ca="1">IFERROR(__xludf.DUMMYFUNCTION("""COMPUTED_VALUE"""),500000)</f>
        <v>500000</v>
      </c>
      <c r="G2416" s="22">
        <f ca="1">IFERROR(__xludf.DUMMYFUNCTION("""COMPUTED_VALUE"""),0)</f>
        <v>0</v>
      </c>
      <c r="H2416" s="7">
        <f ca="1">IFERROR(__xludf.DUMMYFUNCTION("""COMPUTED_VALUE"""),500000)</f>
        <v>500000</v>
      </c>
    </row>
    <row r="2417" spans="1:8" ht="13" x14ac:dyDescent="0.15">
      <c r="A2417" s="5" t="str">
        <f ca="1">IFERROR(__xludf.DUMMYFUNCTION("""COMPUTED_VALUE"""),"40658")</f>
        <v>40658</v>
      </c>
      <c r="B2417" s="51">
        <f ca="1">IFERROR(__xludf.DUMMYFUNCTION("""COMPUTED_VALUE"""),44618)</f>
        <v>44618</v>
      </c>
      <c r="C2417" s="22">
        <f ca="1">IFERROR(__xludf.DUMMYFUNCTION("""COMPUTED_VALUE"""),500000)</f>
        <v>500000</v>
      </c>
      <c r="D2417" s="22">
        <f ca="1">IFERROR(__xludf.DUMMYFUNCTION("""COMPUTED_VALUE"""),0)</f>
        <v>0</v>
      </c>
      <c r="E2417" s="22">
        <f ca="1">IFERROR(__xludf.DUMMYFUNCTION("""COMPUTED_VALUE"""),500000)</f>
        <v>500000</v>
      </c>
      <c r="F2417" s="22">
        <f ca="1">IFERROR(__xludf.DUMMYFUNCTION("""COMPUTED_VALUE"""),500000)</f>
        <v>500000</v>
      </c>
      <c r="G2417" s="22">
        <f ca="1">IFERROR(__xludf.DUMMYFUNCTION("""COMPUTED_VALUE"""),0)</f>
        <v>0</v>
      </c>
      <c r="H2417" s="7">
        <f ca="1">IFERROR(__xludf.DUMMYFUNCTION("""COMPUTED_VALUE"""),500000)</f>
        <v>500000</v>
      </c>
    </row>
    <row r="2418" spans="1:8" ht="13" x14ac:dyDescent="0.15">
      <c r="A2418" s="5" t="str">
        <f ca="1">IFERROR(__xludf.DUMMYFUNCTION("""COMPUTED_VALUE"""),"40658")</f>
        <v>40658</v>
      </c>
      <c r="B2418" s="51">
        <f ca="1">IFERROR(__xludf.DUMMYFUNCTION("""COMPUTED_VALUE"""),44619)</f>
        <v>44619</v>
      </c>
      <c r="C2418" s="22">
        <f ca="1">IFERROR(__xludf.DUMMYFUNCTION("""COMPUTED_VALUE"""),500000)</f>
        <v>500000</v>
      </c>
      <c r="D2418" s="22">
        <f ca="1">IFERROR(__xludf.DUMMYFUNCTION("""COMPUTED_VALUE"""),0)</f>
        <v>0</v>
      </c>
      <c r="E2418" s="22">
        <f ca="1">IFERROR(__xludf.DUMMYFUNCTION("""COMPUTED_VALUE"""),500000)</f>
        <v>500000</v>
      </c>
      <c r="F2418" s="22">
        <f ca="1">IFERROR(__xludf.DUMMYFUNCTION("""COMPUTED_VALUE"""),500000)</f>
        <v>500000</v>
      </c>
      <c r="G2418" s="22">
        <f ca="1">IFERROR(__xludf.DUMMYFUNCTION("""COMPUTED_VALUE"""),0)</f>
        <v>0</v>
      </c>
      <c r="H2418" s="7">
        <f ca="1">IFERROR(__xludf.DUMMYFUNCTION("""COMPUTED_VALUE"""),500000)</f>
        <v>500000</v>
      </c>
    </row>
    <row r="2419" spans="1:8" ht="13" x14ac:dyDescent="0.15">
      <c r="A2419" s="5" t="str">
        <f ca="1">IFERROR(__xludf.DUMMYFUNCTION("""COMPUTED_VALUE"""),"40658")</f>
        <v>40658</v>
      </c>
      <c r="B2419" s="51">
        <f ca="1">IFERROR(__xludf.DUMMYFUNCTION("""COMPUTED_VALUE"""),44620)</f>
        <v>44620</v>
      </c>
      <c r="C2419" s="22">
        <f ca="1">IFERROR(__xludf.DUMMYFUNCTION("""COMPUTED_VALUE"""),500000)</f>
        <v>500000</v>
      </c>
      <c r="D2419" s="22">
        <f ca="1">IFERROR(__xludf.DUMMYFUNCTION("""COMPUTED_VALUE"""),0)</f>
        <v>0</v>
      </c>
      <c r="E2419" s="22">
        <f ca="1">IFERROR(__xludf.DUMMYFUNCTION("""COMPUTED_VALUE"""),500000)</f>
        <v>500000</v>
      </c>
      <c r="F2419" s="22">
        <f ca="1">IFERROR(__xludf.DUMMYFUNCTION("""COMPUTED_VALUE"""),500000)</f>
        <v>500000</v>
      </c>
      <c r="G2419" s="22">
        <f ca="1">IFERROR(__xludf.DUMMYFUNCTION("""COMPUTED_VALUE"""),0)</f>
        <v>0</v>
      </c>
      <c r="H2419" s="7">
        <f ca="1">IFERROR(__xludf.DUMMYFUNCTION("""COMPUTED_VALUE"""),500000)</f>
        <v>500000</v>
      </c>
    </row>
    <row r="2420" spans="1:8" ht="13" x14ac:dyDescent="0.15">
      <c r="A2420" s="5" t="str">
        <f ca="1">IFERROR(__xludf.DUMMYFUNCTION("""COMPUTED_VALUE"""),"40658")</f>
        <v>40658</v>
      </c>
      <c r="B2420" s="51">
        <f ca="1">IFERROR(__xludf.DUMMYFUNCTION("""COMPUTED_VALUE"""),44621)</f>
        <v>44621</v>
      </c>
      <c r="C2420" s="22">
        <f ca="1">IFERROR(__xludf.DUMMYFUNCTION("""COMPUTED_VALUE"""),500000)</f>
        <v>500000</v>
      </c>
      <c r="D2420" s="22">
        <f ca="1">IFERROR(__xludf.DUMMYFUNCTION("""COMPUTED_VALUE"""),0)</f>
        <v>0</v>
      </c>
      <c r="E2420" s="22">
        <f ca="1">IFERROR(__xludf.DUMMYFUNCTION("""COMPUTED_VALUE"""),500000)</f>
        <v>500000</v>
      </c>
      <c r="F2420" s="22">
        <f ca="1">IFERROR(__xludf.DUMMYFUNCTION("""COMPUTED_VALUE"""),500000)</f>
        <v>500000</v>
      </c>
      <c r="G2420" s="22">
        <f ca="1">IFERROR(__xludf.DUMMYFUNCTION("""COMPUTED_VALUE"""),0)</f>
        <v>0</v>
      </c>
      <c r="H2420" s="7">
        <f ca="1">IFERROR(__xludf.DUMMYFUNCTION("""COMPUTED_VALUE"""),500000)</f>
        <v>500000</v>
      </c>
    </row>
    <row r="2421" spans="1:8" ht="13" x14ac:dyDescent="0.15">
      <c r="A2421" s="5" t="str">
        <f ca="1">IFERROR(__xludf.DUMMYFUNCTION("""COMPUTED_VALUE"""),"40658")</f>
        <v>40658</v>
      </c>
      <c r="B2421" s="51">
        <f ca="1">IFERROR(__xludf.DUMMYFUNCTION("""COMPUTED_VALUE"""),44622)</f>
        <v>44622</v>
      </c>
      <c r="C2421" s="22">
        <f ca="1">IFERROR(__xludf.DUMMYFUNCTION("""COMPUTED_VALUE"""),500000)</f>
        <v>500000</v>
      </c>
      <c r="D2421" s="22">
        <f ca="1">IFERROR(__xludf.DUMMYFUNCTION("""COMPUTED_VALUE"""),0)</f>
        <v>0</v>
      </c>
      <c r="E2421" s="22">
        <f ca="1">IFERROR(__xludf.DUMMYFUNCTION("""COMPUTED_VALUE"""),500000)</f>
        <v>500000</v>
      </c>
      <c r="F2421" s="22">
        <f ca="1">IFERROR(__xludf.DUMMYFUNCTION("""COMPUTED_VALUE"""),500000)</f>
        <v>500000</v>
      </c>
      <c r="G2421" s="22">
        <f ca="1">IFERROR(__xludf.DUMMYFUNCTION("""COMPUTED_VALUE"""),0)</f>
        <v>0</v>
      </c>
      <c r="H2421" s="7">
        <f ca="1">IFERROR(__xludf.DUMMYFUNCTION("""COMPUTED_VALUE"""),500000)</f>
        <v>500000</v>
      </c>
    </row>
    <row r="2422" spans="1:8" ht="13" x14ac:dyDescent="0.15">
      <c r="A2422" s="5" t="str">
        <f ca="1">IFERROR(__xludf.DUMMYFUNCTION("""COMPUTED_VALUE"""),"40658")</f>
        <v>40658</v>
      </c>
      <c r="B2422" s="51">
        <f ca="1">IFERROR(__xludf.DUMMYFUNCTION("""COMPUTED_VALUE"""),44623)</f>
        <v>44623</v>
      </c>
      <c r="C2422" s="22">
        <f ca="1">IFERROR(__xludf.DUMMYFUNCTION("""COMPUTED_VALUE"""),500000)</f>
        <v>500000</v>
      </c>
      <c r="D2422" s="22">
        <f ca="1">IFERROR(__xludf.DUMMYFUNCTION("""COMPUTED_VALUE"""),0)</f>
        <v>0</v>
      </c>
      <c r="E2422" s="22">
        <f ca="1">IFERROR(__xludf.DUMMYFUNCTION("""COMPUTED_VALUE"""),500000)</f>
        <v>500000</v>
      </c>
      <c r="F2422" s="22">
        <f ca="1">IFERROR(__xludf.DUMMYFUNCTION("""COMPUTED_VALUE"""),500000)</f>
        <v>500000</v>
      </c>
      <c r="G2422" s="22">
        <f ca="1">IFERROR(__xludf.DUMMYFUNCTION("""COMPUTED_VALUE"""),0)</f>
        <v>0</v>
      </c>
      <c r="H2422" s="7">
        <f ca="1">IFERROR(__xludf.DUMMYFUNCTION("""COMPUTED_VALUE"""),500000)</f>
        <v>500000</v>
      </c>
    </row>
    <row r="2423" spans="1:8" ht="13" x14ac:dyDescent="0.15">
      <c r="A2423" s="5" t="str">
        <f ca="1">IFERROR(__xludf.DUMMYFUNCTION("""COMPUTED_VALUE"""),"40658")</f>
        <v>40658</v>
      </c>
      <c r="B2423" s="51">
        <f ca="1">IFERROR(__xludf.DUMMYFUNCTION("""COMPUTED_VALUE"""),44624)</f>
        <v>44624</v>
      </c>
      <c r="C2423" s="22">
        <f ca="1">IFERROR(__xludf.DUMMYFUNCTION("""COMPUTED_VALUE"""),500000)</f>
        <v>500000</v>
      </c>
      <c r="D2423" s="22">
        <f ca="1">IFERROR(__xludf.DUMMYFUNCTION("""COMPUTED_VALUE"""),0)</f>
        <v>0</v>
      </c>
      <c r="E2423" s="22">
        <f ca="1">IFERROR(__xludf.DUMMYFUNCTION("""COMPUTED_VALUE"""),500000)</f>
        <v>500000</v>
      </c>
      <c r="F2423" s="22">
        <f ca="1">IFERROR(__xludf.DUMMYFUNCTION("""COMPUTED_VALUE"""),500000)</f>
        <v>500000</v>
      </c>
      <c r="G2423" s="22">
        <f ca="1">IFERROR(__xludf.DUMMYFUNCTION("""COMPUTED_VALUE"""),0)</f>
        <v>0</v>
      </c>
      <c r="H2423" s="7">
        <f ca="1">IFERROR(__xludf.DUMMYFUNCTION("""COMPUTED_VALUE"""),500000)</f>
        <v>500000</v>
      </c>
    </row>
    <row r="2424" spans="1:8" ht="13" x14ac:dyDescent="0.15">
      <c r="A2424" s="5" t="str">
        <f ca="1">IFERROR(__xludf.DUMMYFUNCTION("""COMPUTED_VALUE"""),"40658")</f>
        <v>40658</v>
      </c>
      <c r="B2424" s="51">
        <f ca="1">IFERROR(__xludf.DUMMYFUNCTION("""COMPUTED_VALUE"""),44625)</f>
        <v>44625</v>
      </c>
      <c r="C2424" s="22">
        <f ca="1">IFERROR(__xludf.DUMMYFUNCTION("""COMPUTED_VALUE"""),500000)</f>
        <v>500000</v>
      </c>
      <c r="D2424" s="22">
        <f ca="1">IFERROR(__xludf.DUMMYFUNCTION("""COMPUTED_VALUE"""),0)</f>
        <v>0</v>
      </c>
      <c r="E2424" s="22">
        <f ca="1">IFERROR(__xludf.DUMMYFUNCTION("""COMPUTED_VALUE"""),500000)</f>
        <v>500000</v>
      </c>
      <c r="F2424" s="22">
        <f ca="1">IFERROR(__xludf.DUMMYFUNCTION("""COMPUTED_VALUE"""),500000)</f>
        <v>500000</v>
      </c>
      <c r="G2424" s="22">
        <f ca="1">IFERROR(__xludf.DUMMYFUNCTION("""COMPUTED_VALUE"""),0)</f>
        <v>0</v>
      </c>
      <c r="H2424" s="7">
        <f ca="1">IFERROR(__xludf.DUMMYFUNCTION("""COMPUTED_VALUE"""),500000)</f>
        <v>500000</v>
      </c>
    </row>
    <row r="2425" spans="1:8" ht="13" x14ac:dyDescent="0.15">
      <c r="A2425" s="5" t="str">
        <f ca="1">IFERROR(__xludf.DUMMYFUNCTION("""COMPUTED_VALUE"""),"40658")</f>
        <v>40658</v>
      </c>
      <c r="B2425" s="51">
        <f ca="1">IFERROR(__xludf.DUMMYFUNCTION("""COMPUTED_VALUE"""),44626)</f>
        <v>44626</v>
      </c>
      <c r="C2425" s="22">
        <f ca="1">IFERROR(__xludf.DUMMYFUNCTION("""COMPUTED_VALUE"""),500000)</f>
        <v>500000</v>
      </c>
      <c r="D2425" s="22">
        <f ca="1">IFERROR(__xludf.DUMMYFUNCTION("""COMPUTED_VALUE"""),0)</f>
        <v>0</v>
      </c>
      <c r="E2425" s="22">
        <f ca="1">IFERROR(__xludf.DUMMYFUNCTION("""COMPUTED_VALUE"""),500000)</f>
        <v>500000</v>
      </c>
      <c r="F2425" s="22">
        <f ca="1">IFERROR(__xludf.DUMMYFUNCTION("""COMPUTED_VALUE"""),500000)</f>
        <v>500000</v>
      </c>
      <c r="G2425" s="22">
        <f ca="1">IFERROR(__xludf.DUMMYFUNCTION("""COMPUTED_VALUE"""),0)</f>
        <v>0</v>
      </c>
      <c r="H2425" s="7">
        <f ca="1">IFERROR(__xludf.DUMMYFUNCTION("""COMPUTED_VALUE"""),500000)</f>
        <v>500000</v>
      </c>
    </row>
    <row r="2426" spans="1:8" ht="13" x14ac:dyDescent="0.15">
      <c r="A2426" s="5" t="str">
        <f ca="1">IFERROR(__xludf.DUMMYFUNCTION("""COMPUTED_VALUE"""),"40658")</f>
        <v>40658</v>
      </c>
      <c r="B2426" s="51">
        <f ca="1">IFERROR(__xludf.DUMMYFUNCTION("""COMPUTED_VALUE"""),44627)</f>
        <v>44627</v>
      </c>
      <c r="C2426" s="22">
        <f ca="1">IFERROR(__xludf.DUMMYFUNCTION("""COMPUTED_VALUE"""),500000)</f>
        <v>500000</v>
      </c>
      <c r="D2426" s="22">
        <f ca="1">IFERROR(__xludf.DUMMYFUNCTION("""COMPUTED_VALUE"""),0)</f>
        <v>0</v>
      </c>
      <c r="E2426" s="22">
        <f ca="1">IFERROR(__xludf.DUMMYFUNCTION("""COMPUTED_VALUE"""),500000)</f>
        <v>500000</v>
      </c>
      <c r="F2426" s="22">
        <f ca="1">IFERROR(__xludf.DUMMYFUNCTION("""COMPUTED_VALUE"""),500000)</f>
        <v>500000</v>
      </c>
      <c r="G2426" s="22">
        <f ca="1">IFERROR(__xludf.DUMMYFUNCTION("""COMPUTED_VALUE"""),0)</f>
        <v>0</v>
      </c>
      <c r="H2426" s="7">
        <f ca="1">IFERROR(__xludf.DUMMYFUNCTION("""COMPUTED_VALUE"""),500000)</f>
        <v>500000</v>
      </c>
    </row>
    <row r="2427" spans="1:8" ht="13" x14ac:dyDescent="0.15">
      <c r="A2427" s="5" t="str">
        <f ca="1">IFERROR(__xludf.DUMMYFUNCTION("""COMPUTED_VALUE"""),"40658")</f>
        <v>40658</v>
      </c>
      <c r="B2427" s="51">
        <f ca="1">IFERROR(__xludf.DUMMYFUNCTION("""COMPUTED_VALUE"""),44628)</f>
        <v>44628</v>
      </c>
      <c r="C2427" s="22">
        <f ca="1">IFERROR(__xludf.DUMMYFUNCTION("""COMPUTED_VALUE"""),500000)</f>
        <v>500000</v>
      </c>
      <c r="D2427" s="22">
        <f ca="1">IFERROR(__xludf.DUMMYFUNCTION("""COMPUTED_VALUE"""),0)</f>
        <v>0</v>
      </c>
      <c r="E2427" s="22">
        <f ca="1">IFERROR(__xludf.DUMMYFUNCTION("""COMPUTED_VALUE"""),500000)</f>
        <v>500000</v>
      </c>
      <c r="F2427" s="22">
        <f ca="1">IFERROR(__xludf.DUMMYFUNCTION("""COMPUTED_VALUE"""),500000)</f>
        <v>500000</v>
      </c>
      <c r="G2427" s="22">
        <f ca="1">IFERROR(__xludf.DUMMYFUNCTION("""COMPUTED_VALUE"""),0)</f>
        <v>0</v>
      </c>
      <c r="H2427" s="7">
        <f ca="1">IFERROR(__xludf.DUMMYFUNCTION("""COMPUTED_VALUE"""),500000)</f>
        <v>500000</v>
      </c>
    </row>
    <row r="2428" spans="1:8" ht="13" x14ac:dyDescent="0.15">
      <c r="A2428" s="5" t="str">
        <f ca="1">IFERROR(__xludf.DUMMYFUNCTION("""COMPUTED_VALUE"""),"40658")</f>
        <v>40658</v>
      </c>
      <c r="B2428" s="51">
        <f ca="1">IFERROR(__xludf.DUMMYFUNCTION("""COMPUTED_VALUE"""),44629)</f>
        <v>44629</v>
      </c>
      <c r="C2428" s="22">
        <f ca="1">IFERROR(__xludf.DUMMYFUNCTION("""COMPUTED_VALUE"""),500000)</f>
        <v>500000</v>
      </c>
      <c r="D2428" s="22">
        <f ca="1">IFERROR(__xludf.DUMMYFUNCTION("""COMPUTED_VALUE"""),0)</f>
        <v>0</v>
      </c>
      <c r="E2428" s="22">
        <f ca="1">IFERROR(__xludf.DUMMYFUNCTION("""COMPUTED_VALUE"""),500000)</f>
        <v>500000</v>
      </c>
      <c r="F2428" s="22">
        <f ca="1">IFERROR(__xludf.DUMMYFUNCTION("""COMPUTED_VALUE"""),500000)</f>
        <v>500000</v>
      </c>
      <c r="G2428" s="22">
        <f ca="1">IFERROR(__xludf.DUMMYFUNCTION("""COMPUTED_VALUE"""),0)</f>
        <v>0</v>
      </c>
      <c r="H2428" s="7">
        <f ca="1">IFERROR(__xludf.DUMMYFUNCTION("""COMPUTED_VALUE"""),500000)</f>
        <v>500000</v>
      </c>
    </row>
    <row r="2429" spans="1:8" ht="13" x14ac:dyDescent="0.15">
      <c r="A2429" s="5" t="str">
        <f ca="1">IFERROR(__xludf.DUMMYFUNCTION("""COMPUTED_VALUE"""),"40658")</f>
        <v>40658</v>
      </c>
      <c r="B2429" s="51">
        <f ca="1">IFERROR(__xludf.DUMMYFUNCTION("""COMPUTED_VALUE"""),44630)</f>
        <v>44630</v>
      </c>
      <c r="C2429" s="22">
        <f ca="1">IFERROR(__xludf.DUMMYFUNCTION("""COMPUTED_VALUE"""),500000)</f>
        <v>500000</v>
      </c>
      <c r="D2429" s="22">
        <f ca="1">IFERROR(__xludf.DUMMYFUNCTION("""COMPUTED_VALUE"""),0)</f>
        <v>0</v>
      </c>
      <c r="E2429" s="22">
        <f ca="1">IFERROR(__xludf.DUMMYFUNCTION("""COMPUTED_VALUE"""),500000)</f>
        <v>500000</v>
      </c>
      <c r="F2429" s="22">
        <f ca="1">IFERROR(__xludf.DUMMYFUNCTION("""COMPUTED_VALUE"""),500000)</f>
        <v>500000</v>
      </c>
      <c r="G2429" s="22">
        <f ca="1">IFERROR(__xludf.DUMMYFUNCTION("""COMPUTED_VALUE"""),0)</f>
        <v>0</v>
      </c>
      <c r="H2429" s="7">
        <f ca="1">IFERROR(__xludf.DUMMYFUNCTION("""COMPUTED_VALUE"""),500000)</f>
        <v>500000</v>
      </c>
    </row>
    <row r="2430" spans="1:8" ht="13" x14ac:dyDescent="0.15">
      <c r="A2430" s="5" t="str">
        <f ca="1">IFERROR(__xludf.DUMMYFUNCTION("""COMPUTED_VALUE"""),"40658")</f>
        <v>40658</v>
      </c>
      <c r="B2430" s="51">
        <f ca="1">IFERROR(__xludf.DUMMYFUNCTION("""COMPUTED_VALUE"""),44631)</f>
        <v>44631</v>
      </c>
      <c r="C2430" s="22">
        <f ca="1">IFERROR(__xludf.DUMMYFUNCTION("""COMPUTED_VALUE"""),500000)</f>
        <v>500000</v>
      </c>
      <c r="D2430" s="22">
        <f ca="1">IFERROR(__xludf.DUMMYFUNCTION("""COMPUTED_VALUE"""),0)</f>
        <v>0</v>
      </c>
      <c r="E2430" s="22">
        <f ca="1">IFERROR(__xludf.DUMMYFUNCTION("""COMPUTED_VALUE"""),500000)</f>
        <v>500000</v>
      </c>
      <c r="F2430" s="22">
        <f ca="1">IFERROR(__xludf.DUMMYFUNCTION("""COMPUTED_VALUE"""),500000)</f>
        <v>500000</v>
      </c>
      <c r="G2430" s="22">
        <f ca="1">IFERROR(__xludf.DUMMYFUNCTION("""COMPUTED_VALUE"""),0)</f>
        <v>0</v>
      </c>
      <c r="H2430" s="7">
        <f ca="1">IFERROR(__xludf.DUMMYFUNCTION("""COMPUTED_VALUE"""),500000)</f>
        <v>500000</v>
      </c>
    </row>
    <row r="2431" spans="1:8" ht="13" x14ac:dyDescent="0.15">
      <c r="A2431" s="5" t="str">
        <f ca="1">IFERROR(__xludf.DUMMYFUNCTION("""COMPUTED_VALUE"""),"40658")</f>
        <v>40658</v>
      </c>
      <c r="B2431" s="51">
        <f ca="1">IFERROR(__xludf.DUMMYFUNCTION("""COMPUTED_VALUE"""),44632)</f>
        <v>44632</v>
      </c>
      <c r="C2431" s="22">
        <f ca="1">IFERROR(__xludf.DUMMYFUNCTION("""COMPUTED_VALUE"""),500000)</f>
        <v>500000</v>
      </c>
      <c r="D2431" s="22">
        <f ca="1">IFERROR(__xludf.DUMMYFUNCTION("""COMPUTED_VALUE"""),0)</f>
        <v>0</v>
      </c>
      <c r="E2431" s="22">
        <f ca="1">IFERROR(__xludf.DUMMYFUNCTION("""COMPUTED_VALUE"""),500000)</f>
        <v>500000</v>
      </c>
      <c r="F2431" s="22">
        <f ca="1">IFERROR(__xludf.DUMMYFUNCTION("""COMPUTED_VALUE"""),500000)</f>
        <v>500000</v>
      </c>
      <c r="G2431" s="22">
        <f ca="1">IFERROR(__xludf.DUMMYFUNCTION("""COMPUTED_VALUE"""),0)</f>
        <v>0</v>
      </c>
      <c r="H2431" s="7">
        <f ca="1">IFERROR(__xludf.DUMMYFUNCTION("""COMPUTED_VALUE"""),500000)</f>
        <v>500000</v>
      </c>
    </row>
    <row r="2432" spans="1:8" ht="13" x14ac:dyDescent="0.15">
      <c r="A2432" s="5" t="str">
        <f ca="1">IFERROR(__xludf.DUMMYFUNCTION("""COMPUTED_VALUE"""),"40658")</f>
        <v>40658</v>
      </c>
      <c r="B2432" s="51">
        <f ca="1">IFERROR(__xludf.DUMMYFUNCTION("""COMPUTED_VALUE"""),44633)</f>
        <v>44633</v>
      </c>
      <c r="C2432" s="22">
        <f ca="1">IFERROR(__xludf.DUMMYFUNCTION("""COMPUTED_VALUE"""),500000)</f>
        <v>500000</v>
      </c>
      <c r="D2432" s="22">
        <f ca="1">IFERROR(__xludf.DUMMYFUNCTION("""COMPUTED_VALUE"""),0)</f>
        <v>0</v>
      </c>
      <c r="E2432" s="22">
        <f ca="1">IFERROR(__xludf.DUMMYFUNCTION("""COMPUTED_VALUE"""),500000)</f>
        <v>500000</v>
      </c>
      <c r="F2432" s="22">
        <f ca="1">IFERROR(__xludf.DUMMYFUNCTION("""COMPUTED_VALUE"""),500000)</f>
        <v>500000</v>
      </c>
      <c r="G2432" s="22">
        <f ca="1">IFERROR(__xludf.DUMMYFUNCTION("""COMPUTED_VALUE"""),0)</f>
        <v>0</v>
      </c>
      <c r="H2432" s="7">
        <f ca="1">IFERROR(__xludf.DUMMYFUNCTION("""COMPUTED_VALUE"""),500000)</f>
        <v>500000</v>
      </c>
    </row>
    <row r="2433" spans="1:8" ht="13" x14ac:dyDescent="0.15">
      <c r="A2433" s="5" t="str">
        <f ca="1">IFERROR(__xludf.DUMMYFUNCTION("""COMPUTED_VALUE"""),"40658")</f>
        <v>40658</v>
      </c>
      <c r="B2433" s="51">
        <f ca="1">IFERROR(__xludf.DUMMYFUNCTION("""COMPUTED_VALUE"""),44634)</f>
        <v>44634</v>
      </c>
      <c r="C2433" s="22">
        <f ca="1">IFERROR(__xludf.DUMMYFUNCTION("""COMPUTED_VALUE"""),500000)</f>
        <v>500000</v>
      </c>
      <c r="D2433" s="22">
        <f ca="1">IFERROR(__xludf.DUMMYFUNCTION("""COMPUTED_VALUE"""),0)</f>
        <v>0</v>
      </c>
      <c r="E2433" s="22">
        <f ca="1">IFERROR(__xludf.DUMMYFUNCTION("""COMPUTED_VALUE"""),500000)</f>
        <v>500000</v>
      </c>
      <c r="F2433" s="22">
        <f ca="1">IFERROR(__xludf.DUMMYFUNCTION("""COMPUTED_VALUE"""),500000)</f>
        <v>500000</v>
      </c>
      <c r="G2433" s="22">
        <f ca="1">IFERROR(__xludf.DUMMYFUNCTION("""COMPUTED_VALUE"""),0)</f>
        <v>0</v>
      </c>
      <c r="H2433" s="7">
        <f ca="1">IFERROR(__xludf.DUMMYFUNCTION("""COMPUTED_VALUE"""),500000)</f>
        <v>500000</v>
      </c>
    </row>
    <row r="2434" spans="1:8" ht="13" x14ac:dyDescent="0.15">
      <c r="A2434" s="5" t="str">
        <f ca="1">IFERROR(__xludf.DUMMYFUNCTION("""COMPUTED_VALUE"""),"40658")</f>
        <v>40658</v>
      </c>
      <c r="B2434" s="51">
        <f ca="1">IFERROR(__xludf.DUMMYFUNCTION("""COMPUTED_VALUE"""),44635)</f>
        <v>44635</v>
      </c>
      <c r="C2434" s="22">
        <f ca="1">IFERROR(__xludf.DUMMYFUNCTION("""COMPUTED_VALUE"""),500000)</f>
        <v>500000</v>
      </c>
      <c r="D2434" s="22">
        <f ca="1">IFERROR(__xludf.DUMMYFUNCTION("""COMPUTED_VALUE"""),0)</f>
        <v>0</v>
      </c>
      <c r="E2434" s="22">
        <f ca="1">IFERROR(__xludf.DUMMYFUNCTION("""COMPUTED_VALUE"""),500000)</f>
        <v>500000</v>
      </c>
      <c r="F2434" s="22">
        <f ca="1">IFERROR(__xludf.DUMMYFUNCTION("""COMPUTED_VALUE"""),500000)</f>
        <v>500000</v>
      </c>
      <c r="G2434" s="22">
        <f ca="1">IFERROR(__xludf.DUMMYFUNCTION("""COMPUTED_VALUE"""),0)</f>
        <v>0</v>
      </c>
      <c r="H2434" s="7">
        <f ca="1">IFERROR(__xludf.DUMMYFUNCTION("""COMPUTED_VALUE"""),500000)</f>
        <v>500000</v>
      </c>
    </row>
    <row r="2435" spans="1:8" ht="13" x14ac:dyDescent="0.15">
      <c r="A2435" s="5" t="str">
        <f ca="1">IFERROR(__xludf.DUMMYFUNCTION("""COMPUTED_VALUE"""),"40658")</f>
        <v>40658</v>
      </c>
      <c r="B2435" s="51">
        <f ca="1">IFERROR(__xludf.DUMMYFUNCTION("""COMPUTED_VALUE"""),44636)</f>
        <v>44636</v>
      </c>
      <c r="C2435" s="22">
        <f ca="1">IFERROR(__xludf.DUMMYFUNCTION("""COMPUTED_VALUE"""),500000)</f>
        <v>500000</v>
      </c>
      <c r="D2435" s="22">
        <f ca="1">IFERROR(__xludf.DUMMYFUNCTION("""COMPUTED_VALUE"""),0)</f>
        <v>0</v>
      </c>
      <c r="E2435" s="22">
        <f ca="1">IFERROR(__xludf.DUMMYFUNCTION("""COMPUTED_VALUE"""),500000)</f>
        <v>500000</v>
      </c>
      <c r="F2435" s="22">
        <f ca="1">IFERROR(__xludf.DUMMYFUNCTION("""COMPUTED_VALUE"""),500000)</f>
        <v>500000</v>
      </c>
      <c r="G2435" s="22">
        <f ca="1">IFERROR(__xludf.DUMMYFUNCTION("""COMPUTED_VALUE"""),0)</f>
        <v>0</v>
      </c>
      <c r="H2435" s="7">
        <f ca="1">IFERROR(__xludf.DUMMYFUNCTION("""COMPUTED_VALUE"""),500000)</f>
        <v>500000</v>
      </c>
    </row>
    <row r="2436" spans="1:8" ht="13" x14ac:dyDescent="0.15">
      <c r="A2436" s="5" t="str">
        <f ca="1">IFERROR(__xludf.DUMMYFUNCTION("""COMPUTED_VALUE"""),"40658")</f>
        <v>40658</v>
      </c>
      <c r="B2436" s="51">
        <f ca="1">IFERROR(__xludf.DUMMYFUNCTION("""COMPUTED_VALUE"""),44637)</f>
        <v>44637</v>
      </c>
      <c r="C2436" s="22">
        <f ca="1">IFERROR(__xludf.DUMMYFUNCTION("""COMPUTED_VALUE"""),500000)</f>
        <v>500000</v>
      </c>
      <c r="D2436" s="22">
        <f ca="1">IFERROR(__xludf.DUMMYFUNCTION("""COMPUTED_VALUE"""),0)</f>
        <v>0</v>
      </c>
      <c r="E2436" s="22">
        <f ca="1">IFERROR(__xludf.DUMMYFUNCTION("""COMPUTED_VALUE"""),500000)</f>
        <v>500000</v>
      </c>
      <c r="F2436" s="22">
        <f ca="1">IFERROR(__xludf.DUMMYFUNCTION("""COMPUTED_VALUE"""),500000)</f>
        <v>500000</v>
      </c>
      <c r="G2436" s="22">
        <f ca="1">IFERROR(__xludf.DUMMYFUNCTION("""COMPUTED_VALUE"""),0)</f>
        <v>0</v>
      </c>
      <c r="H2436" s="7">
        <f ca="1">IFERROR(__xludf.DUMMYFUNCTION("""COMPUTED_VALUE"""),500000)</f>
        <v>500000</v>
      </c>
    </row>
    <row r="2437" spans="1:8" ht="13" x14ac:dyDescent="0.15">
      <c r="A2437" s="5" t="str">
        <f ca="1">IFERROR(__xludf.DUMMYFUNCTION("""COMPUTED_VALUE"""),"40658")</f>
        <v>40658</v>
      </c>
      <c r="B2437" s="51">
        <f ca="1">IFERROR(__xludf.DUMMYFUNCTION("""COMPUTED_VALUE"""),44638)</f>
        <v>44638</v>
      </c>
      <c r="C2437" s="22">
        <f ca="1">IFERROR(__xludf.DUMMYFUNCTION("""COMPUTED_VALUE"""),500000)</f>
        <v>500000</v>
      </c>
      <c r="D2437" s="22">
        <f ca="1">IFERROR(__xludf.DUMMYFUNCTION("""COMPUTED_VALUE"""),0)</f>
        <v>0</v>
      </c>
      <c r="E2437" s="22">
        <f ca="1">IFERROR(__xludf.DUMMYFUNCTION("""COMPUTED_VALUE"""),500000)</f>
        <v>500000</v>
      </c>
      <c r="F2437" s="22">
        <f ca="1">IFERROR(__xludf.DUMMYFUNCTION("""COMPUTED_VALUE"""),500000)</f>
        <v>500000</v>
      </c>
      <c r="G2437" s="22">
        <f ca="1">IFERROR(__xludf.DUMMYFUNCTION("""COMPUTED_VALUE"""),0)</f>
        <v>0</v>
      </c>
      <c r="H2437" s="7">
        <f ca="1">IFERROR(__xludf.DUMMYFUNCTION("""COMPUTED_VALUE"""),500000)</f>
        <v>500000</v>
      </c>
    </row>
    <row r="2438" spans="1:8" ht="13" x14ac:dyDescent="0.15">
      <c r="A2438" s="5" t="str">
        <f ca="1">IFERROR(__xludf.DUMMYFUNCTION("""COMPUTED_VALUE"""),"40658")</f>
        <v>40658</v>
      </c>
      <c r="B2438" s="51">
        <f ca="1">IFERROR(__xludf.DUMMYFUNCTION("""COMPUTED_VALUE"""),44639)</f>
        <v>44639</v>
      </c>
      <c r="C2438" s="22">
        <f ca="1">IFERROR(__xludf.DUMMYFUNCTION("""COMPUTED_VALUE"""),500000)</f>
        <v>500000</v>
      </c>
      <c r="D2438" s="22">
        <f ca="1">IFERROR(__xludf.DUMMYFUNCTION("""COMPUTED_VALUE"""),0)</f>
        <v>0</v>
      </c>
      <c r="E2438" s="22">
        <f ca="1">IFERROR(__xludf.DUMMYFUNCTION("""COMPUTED_VALUE"""),500000)</f>
        <v>500000</v>
      </c>
      <c r="F2438" s="22">
        <f ca="1">IFERROR(__xludf.DUMMYFUNCTION("""COMPUTED_VALUE"""),500000)</f>
        <v>500000</v>
      </c>
      <c r="G2438" s="22">
        <f ca="1">IFERROR(__xludf.DUMMYFUNCTION("""COMPUTED_VALUE"""),0)</f>
        <v>0</v>
      </c>
      <c r="H2438" s="7">
        <f ca="1">IFERROR(__xludf.DUMMYFUNCTION("""COMPUTED_VALUE"""),500000)</f>
        <v>500000</v>
      </c>
    </row>
    <row r="2439" spans="1:8" ht="13" x14ac:dyDescent="0.15">
      <c r="A2439" s="5" t="str">
        <f ca="1">IFERROR(__xludf.DUMMYFUNCTION("""COMPUTED_VALUE"""),"40658")</f>
        <v>40658</v>
      </c>
      <c r="B2439" s="51">
        <f ca="1">IFERROR(__xludf.DUMMYFUNCTION("""COMPUTED_VALUE"""),44640)</f>
        <v>44640</v>
      </c>
      <c r="C2439" s="22">
        <f ca="1">IFERROR(__xludf.DUMMYFUNCTION("""COMPUTED_VALUE"""),500000)</f>
        <v>500000</v>
      </c>
      <c r="D2439" s="22">
        <f ca="1">IFERROR(__xludf.DUMMYFUNCTION("""COMPUTED_VALUE"""),0)</f>
        <v>0</v>
      </c>
      <c r="E2439" s="22">
        <f ca="1">IFERROR(__xludf.DUMMYFUNCTION("""COMPUTED_VALUE"""),500000)</f>
        <v>500000</v>
      </c>
      <c r="F2439" s="22">
        <f ca="1">IFERROR(__xludf.DUMMYFUNCTION("""COMPUTED_VALUE"""),500000)</f>
        <v>500000</v>
      </c>
      <c r="G2439" s="22">
        <f ca="1">IFERROR(__xludf.DUMMYFUNCTION("""COMPUTED_VALUE"""),0)</f>
        <v>0</v>
      </c>
      <c r="H2439" s="7">
        <f ca="1">IFERROR(__xludf.DUMMYFUNCTION("""COMPUTED_VALUE"""),500000)</f>
        <v>500000</v>
      </c>
    </row>
    <row r="2440" spans="1:8" ht="13" x14ac:dyDescent="0.15">
      <c r="A2440" s="5" t="str">
        <f ca="1">IFERROR(__xludf.DUMMYFUNCTION("""COMPUTED_VALUE"""),"40658")</f>
        <v>40658</v>
      </c>
      <c r="B2440" s="51">
        <f ca="1">IFERROR(__xludf.DUMMYFUNCTION("""COMPUTED_VALUE"""),44641)</f>
        <v>44641</v>
      </c>
      <c r="C2440" s="22">
        <f ca="1">IFERROR(__xludf.DUMMYFUNCTION("""COMPUTED_VALUE"""),500000)</f>
        <v>500000</v>
      </c>
      <c r="D2440" s="22">
        <f ca="1">IFERROR(__xludf.DUMMYFUNCTION("""COMPUTED_VALUE"""),0)</f>
        <v>0</v>
      </c>
      <c r="E2440" s="22">
        <f ca="1">IFERROR(__xludf.DUMMYFUNCTION("""COMPUTED_VALUE"""),500000)</f>
        <v>500000</v>
      </c>
      <c r="F2440" s="22">
        <f ca="1">IFERROR(__xludf.DUMMYFUNCTION("""COMPUTED_VALUE"""),500000)</f>
        <v>500000</v>
      </c>
      <c r="G2440" s="22">
        <f ca="1">IFERROR(__xludf.DUMMYFUNCTION("""COMPUTED_VALUE"""),0)</f>
        <v>0</v>
      </c>
      <c r="H2440" s="7">
        <f ca="1">IFERROR(__xludf.DUMMYFUNCTION("""COMPUTED_VALUE"""),500000)</f>
        <v>500000</v>
      </c>
    </row>
    <row r="2441" spans="1:8" ht="13" x14ac:dyDescent="0.15">
      <c r="A2441" s="5" t="str">
        <f ca="1">IFERROR(__xludf.DUMMYFUNCTION("""COMPUTED_VALUE"""),"40658")</f>
        <v>40658</v>
      </c>
      <c r="B2441" s="51">
        <f ca="1">IFERROR(__xludf.DUMMYFUNCTION("""COMPUTED_VALUE"""),44642)</f>
        <v>44642</v>
      </c>
      <c r="C2441" s="22">
        <f ca="1">IFERROR(__xludf.DUMMYFUNCTION("""COMPUTED_VALUE"""),500000)</f>
        <v>500000</v>
      </c>
      <c r="D2441" s="22">
        <f ca="1">IFERROR(__xludf.DUMMYFUNCTION("""COMPUTED_VALUE"""),0)</f>
        <v>0</v>
      </c>
      <c r="E2441" s="22">
        <f ca="1">IFERROR(__xludf.DUMMYFUNCTION("""COMPUTED_VALUE"""),500000)</f>
        <v>500000</v>
      </c>
      <c r="F2441" s="22">
        <f ca="1">IFERROR(__xludf.DUMMYFUNCTION("""COMPUTED_VALUE"""),500000)</f>
        <v>500000</v>
      </c>
      <c r="G2441" s="22">
        <f ca="1">IFERROR(__xludf.DUMMYFUNCTION("""COMPUTED_VALUE"""),0)</f>
        <v>0</v>
      </c>
      <c r="H2441" s="7">
        <f ca="1">IFERROR(__xludf.DUMMYFUNCTION("""COMPUTED_VALUE"""),500000)</f>
        <v>500000</v>
      </c>
    </row>
    <row r="2442" spans="1:8" ht="13" x14ac:dyDescent="0.15">
      <c r="A2442" s="5" t="str">
        <f ca="1">IFERROR(__xludf.DUMMYFUNCTION("""COMPUTED_VALUE"""),"40776")</f>
        <v>40776</v>
      </c>
      <c r="B2442" s="51">
        <f ca="1">IFERROR(__xludf.DUMMYFUNCTION("""COMPUTED_VALUE"""),44597)</f>
        <v>44597</v>
      </c>
      <c r="C2442" s="22">
        <f ca="1">IFERROR(__xludf.DUMMYFUNCTION("""COMPUTED_VALUE"""),500000)</f>
        <v>500000</v>
      </c>
      <c r="D2442" s="22">
        <f ca="1">IFERROR(__xludf.DUMMYFUNCTION("""COMPUTED_VALUE"""),0)</f>
        <v>0</v>
      </c>
      <c r="E2442" s="22">
        <f ca="1">IFERROR(__xludf.DUMMYFUNCTION("""COMPUTED_VALUE"""),500000)</f>
        <v>500000</v>
      </c>
      <c r="F2442" s="22">
        <f ca="1">IFERROR(__xludf.DUMMYFUNCTION("""COMPUTED_VALUE"""),500000)</f>
        <v>500000</v>
      </c>
      <c r="G2442" s="22">
        <f ca="1">IFERROR(__xludf.DUMMYFUNCTION("""COMPUTED_VALUE"""),0)</f>
        <v>0</v>
      </c>
      <c r="H2442" s="7">
        <f ca="1">IFERROR(__xludf.DUMMYFUNCTION("""COMPUTED_VALUE"""),500000)</f>
        <v>500000</v>
      </c>
    </row>
    <row r="2443" spans="1:8" ht="13" x14ac:dyDescent="0.15">
      <c r="A2443" s="5" t="str">
        <f ca="1">IFERROR(__xludf.DUMMYFUNCTION("""COMPUTED_VALUE"""),"40776")</f>
        <v>40776</v>
      </c>
      <c r="B2443" s="51">
        <f ca="1">IFERROR(__xludf.DUMMYFUNCTION("""COMPUTED_VALUE"""),44598)</f>
        <v>44598</v>
      </c>
      <c r="C2443" s="22">
        <f ca="1">IFERROR(__xludf.DUMMYFUNCTION("""COMPUTED_VALUE"""),500000)</f>
        <v>500000</v>
      </c>
      <c r="D2443" s="22">
        <f ca="1">IFERROR(__xludf.DUMMYFUNCTION("""COMPUTED_VALUE"""),0)</f>
        <v>0</v>
      </c>
      <c r="E2443" s="22">
        <f ca="1">IFERROR(__xludf.DUMMYFUNCTION("""COMPUTED_VALUE"""),500000)</f>
        <v>500000</v>
      </c>
      <c r="F2443" s="22">
        <f ca="1">IFERROR(__xludf.DUMMYFUNCTION("""COMPUTED_VALUE"""),500000)</f>
        <v>500000</v>
      </c>
      <c r="G2443" s="22">
        <f ca="1">IFERROR(__xludf.DUMMYFUNCTION("""COMPUTED_VALUE"""),0)</f>
        <v>0</v>
      </c>
      <c r="H2443" s="7">
        <f ca="1">IFERROR(__xludf.DUMMYFUNCTION("""COMPUTED_VALUE"""),500000)</f>
        <v>500000</v>
      </c>
    </row>
    <row r="2444" spans="1:8" ht="13" x14ac:dyDescent="0.15">
      <c r="A2444" s="5" t="str">
        <f ca="1">IFERROR(__xludf.DUMMYFUNCTION("""COMPUTED_VALUE"""),"40776")</f>
        <v>40776</v>
      </c>
      <c r="B2444" s="51">
        <f ca="1">IFERROR(__xludf.DUMMYFUNCTION("""COMPUTED_VALUE"""),44599)</f>
        <v>44599</v>
      </c>
      <c r="C2444" s="22">
        <f ca="1">IFERROR(__xludf.DUMMYFUNCTION("""COMPUTED_VALUE"""),500000)</f>
        <v>500000</v>
      </c>
      <c r="D2444" s="22">
        <f ca="1">IFERROR(__xludf.DUMMYFUNCTION("""COMPUTED_VALUE"""),0)</f>
        <v>0</v>
      </c>
      <c r="E2444" s="22">
        <f ca="1">IFERROR(__xludf.DUMMYFUNCTION("""COMPUTED_VALUE"""),500000)</f>
        <v>500000</v>
      </c>
      <c r="F2444" s="22">
        <f ca="1">IFERROR(__xludf.DUMMYFUNCTION("""COMPUTED_VALUE"""),500000)</f>
        <v>500000</v>
      </c>
      <c r="G2444" s="22">
        <f ca="1">IFERROR(__xludf.DUMMYFUNCTION("""COMPUTED_VALUE"""),0)</f>
        <v>0</v>
      </c>
      <c r="H2444" s="7">
        <f ca="1">IFERROR(__xludf.DUMMYFUNCTION("""COMPUTED_VALUE"""),500000)</f>
        <v>500000</v>
      </c>
    </row>
    <row r="2445" spans="1:8" ht="13" x14ac:dyDescent="0.15">
      <c r="A2445" s="5" t="str">
        <f ca="1">IFERROR(__xludf.DUMMYFUNCTION("""COMPUTED_VALUE"""),"40776")</f>
        <v>40776</v>
      </c>
      <c r="B2445" s="51">
        <f ca="1">IFERROR(__xludf.DUMMYFUNCTION("""COMPUTED_VALUE"""),44600)</f>
        <v>44600</v>
      </c>
      <c r="C2445" s="22">
        <f ca="1">IFERROR(__xludf.DUMMYFUNCTION("""COMPUTED_VALUE"""),500000)</f>
        <v>500000</v>
      </c>
      <c r="D2445" s="22">
        <f ca="1">IFERROR(__xludf.DUMMYFUNCTION("""COMPUTED_VALUE"""),0)</f>
        <v>0</v>
      </c>
      <c r="E2445" s="22">
        <f ca="1">IFERROR(__xludf.DUMMYFUNCTION("""COMPUTED_VALUE"""),500000)</f>
        <v>500000</v>
      </c>
      <c r="F2445" s="22">
        <f ca="1">IFERROR(__xludf.DUMMYFUNCTION("""COMPUTED_VALUE"""),500000)</f>
        <v>500000</v>
      </c>
      <c r="G2445" s="22">
        <f ca="1">IFERROR(__xludf.DUMMYFUNCTION("""COMPUTED_VALUE"""),0)</f>
        <v>0</v>
      </c>
      <c r="H2445" s="7">
        <f ca="1">IFERROR(__xludf.DUMMYFUNCTION("""COMPUTED_VALUE"""),500000)</f>
        <v>500000</v>
      </c>
    </row>
    <row r="2446" spans="1:8" ht="13" x14ac:dyDescent="0.15">
      <c r="A2446" s="5" t="str">
        <f ca="1">IFERROR(__xludf.DUMMYFUNCTION("""COMPUTED_VALUE"""),"40776")</f>
        <v>40776</v>
      </c>
      <c r="B2446" s="51">
        <f ca="1">IFERROR(__xludf.DUMMYFUNCTION("""COMPUTED_VALUE"""),44601)</f>
        <v>44601</v>
      </c>
      <c r="C2446" s="22">
        <f ca="1">IFERROR(__xludf.DUMMYFUNCTION("""COMPUTED_VALUE"""),500000)</f>
        <v>500000</v>
      </c>
      <c r="D2446" s="22">
        <f ca="1">IFERROR(__xludf.DUMMYFUNCTION("""COMPUTED_VALUE"""),0)</f>
        <v>0</v>
      </c>
      <c r="E2446" s="22">
        <f ca="1">IFERROR(__xludf.DUMMYFUNCTION("""COMPUTED_VALUE"""),500000)</f>
        <v>500000</v>
      </c>
      <c r="F2446" s="22">
        <f ca="1">IFERROR(__xludf.DUMMYFUNCTION("""COMPUTED_VALUE"""),500000)</f>
        <v>500000</v>
      </c>
      <c r="G2446" s="22">
        <f ca="1">IFERROR(__xludf.DUMMYFUNCTION("""COMPUTED_VALUE"""),0)</f>
        <v>0</v>
      </c>
      <c r="H2446" s="7">
        <f ca="1">IFERROR(__xludf.DUMMYFUNCTION("""COMPUTED_VALUE"""),500000)</f>
        <v>500000</v>
      </c>
    </row>
    <row r="2447" spans="1:8" ht="13" x14ac:dyDescent="0.15">
      <c r="A2447" s="5" t="str">
        <f ca="1">IFERROR(__xludf.DUMMYFUNCTION("""COMPUTED_VALUE"""),"40776")</f>
        <v>40776</v>
      </c>
      <c r="B2447" s="51">
        <f ca="1">IFERROR(__xludf.DUMMYFUNCTION("""COMPUTED_VALUE"""),44602)</f>
        <v>44602</v>
      </c>
      <c r="C2447" s="22">
        <f ca="1">IFERROR(__xludf.DUMMYFUNCTION("""COMPUTED_VALUE"""),500000)</f>
        <v>500000</v>
      </c>
      <c r="D2447" s="22">
        <f ca="1">IFERROR(__xludf.DUMMYFUNCTION("""COMPUTED_VALUE"""),0)</f>
        <v>0</v>
      </c>
      <c r="E2447" s="22">
        <f ca="1">IFERROR(__xludf.DUMMYFUNCTION("""COMPUTED_VALUE"""),500000)</f>
        <v>500000</v>
      </c>
      <c r="F2447" s="22">
        <f ca="1">IFERROR(__xludf.DUMMYFUNCTION("""COMPUTED_VALUE"""),500000)</f>
        <v>500000</v>
      </c>
      <c r="G2447" s="22">
        <f ca="1">IFERROR(__xludf.DUMMYFUNCTION("""COMPUTED_VALUE"""),0)</f>
        <v>0</v>
      </c>
      <c r="H2447" s="7">
        <f ca="1">IFERROR(__xludf.DUMMYFUNCTION("""COMPUTED_VALUE"""),500000)</f>
        <v>500000</v>
      </c>
    </row>
    <row r="2448" spans="1:8" ht="13" x14ac:dyDescent="0.15">
      <c r="A2448" s="5" t="str">
        <f ca="1">IFERROR(__xludf.DUMMYFUNCTION("""COMPUTED_VALUE"""),"40776")</f>
        <v>40776</v>
      </c>
      <c r="B2448" s="51">
        <f ca="1">IFERROR(__xludf.DUMMYFUNCTION("""COMPUTED_VALUE"""),44603)</f>
        <v>44603</v>
      </c>
      <c r="C2448" s="22">
        <f ca="1">IFERROR(__xludf.DUMMYFUNCTION("""COMPUTED_VALUE"""),500000)</f>
        <v>500000</v>
      </c>
      <c r="D2448" s="22">
        <f ca="1">IFERROR(__xludf.DUMMYFUNCTION("""COMPUTED_VALUE"""),0)</f>
        <v>0</v>
      </c>
      <c r="E2448" s="22">
        <f ca="1">IFERROR(__xludf.DUMMYFUNCTION("""COMPUTED_VALUE"""),500000)</f>
        <v>500000</v>
      </c>
      <c r="F2448" s="22">
        <f ca="1">IFERROR(__xludf.DUMMYFUNCTION("""COMPUTED_VALUE"""),500000)</f>
        <v>500000</v>
      </c>
      <c r="G2448" s="22">
        <f ca="1">IFERROR(__xludf.DUMMYFUNCTION("""COMPUTED_VALUE"""),0)</f>
        <v>0</v>
      </c>
      <c r="H2448" s="7">
        <f ca="1">IFERROR(__xludf.DUMMYFUNCTION("""COMPUTED_VALUE"""),500000)</f>
        <v>500000</v>
      </c>
    </row>
    <row r="2449" spans="1:8" ht="13" x14ac:dyDescent="0.15">
      <c r="A2449" s="5" t="str">
        <f ca="1">IFERROR(__xludf.DUMMYFUNCTION("""COMPUTED_VALUE"""),"40776")</f>
        <v>40776</v>
      </c>
      <c r="B2449" s="51">
        <f ca="1">IFERROR(__xludf.DUMMYFUNCTION("""COMPUTED_VALUE"""),44604)</f>
        <v>44604</v>
      </c>
      <c r="C2449" s="22">
        <f ca="1">IFERROR(__xludf.DUMMYFUNCTION("""COMPUTED_VALUE"""),500000)</f>
        <v>500000</v>
      </c>
      <c r="D2449" s="22">
        <f ca="1">IFERROR(__xludf.DUMMYFUNCTION("""COMPUTED_VALUE"""),0)</f>
        <v>0</v>
      </c>
      <c r="E2449" s="22">
        <f ca="1">IFERROR(__xludf.DUMMYFUNCTION("""COMPUTED_VALUE"""),500000)</f>
        <v>500000</v>
      </c>
      <c r="F2449" s="22">
        <f ca="1">IFERROR(__xludf.DUMMYFUNCTION("""COMPUTED_VALUE"""),500000)</f>
        <v>500000</v>
      </c>
      <c r="G2449" s="22">
        <f ca="1">IFERROR(__xludf.DUMMYFUNCTION("""COMPUTED_VALUE"""),0)</f>
        <v>0</v>
      </c>
      <c r="H2449" s="7">
        <f ca="1">IFERROR(__xludf.DUMMYFUNCTION("""COMPUTED_VALUE"""),500000)</f>
        <v>500000</v>
      </c>
    </row>
    <row r="2450" spans="1:8" ht="13" x14ac:dyDescent="0.15">
      <c r="A2450" s="5" t="str">
        <f ca="1">IFERROR(__xludf.DUMMYFUNCTION("""COMPUTED_VALUE"""),"40776")</f>
        <v>40776</v>
      </c>
      <c r="B2450" s="51">
        <f ca="1">IFERROR(__xludf.DUMMYFUNCTION("""COMPUTED_VALUE"""),44605)</f>
        <v>44605</v>
      </c>
      <c r="C2450" s="22">
        <f ca="1">IFERROR(__xludf.DUMMYFUNCTION("""COMPUTED_VALUE"""),500000)</f>
        <v>500000</v>
      </c>
      <c r="D2450" s="22">
        <f ca="1">IFERROR(__xludf.DUMMYFUNCTION("""COMPUTED_VALUE"""),0)</f>
        <v>0</v>
      </c>
      <c r="E2450" s="22">
        <f ca="1">IFERROR(__xludf.DUMMYFUNCTION("""COMPUTED_VALUE"""),500000)</f>
        <v>500000</v>
      </c>
      <c r="F2450" s="22">
        <f ca="1">IFERROR(__xludf.DUMMYFUNCTION("""COMPUTED_VALUE"""),500000)</f>
        <v>500000</v>
      </c>
      <c r="G2450" s="22">
        <f ca="1">IFERROR(__xludf.DUMMYFUNCTION("""COMPUTED_VALUE"""),0)</f>
        <v>0</v>
      </c>
      <c r="H2450" s="7">
        <f ca="1">IFERROR(__xludf.DUMMYFUNCTION("""COMPUTED_VALUE"""),500000)</f>
        <v>500000</v>
      </c>
    </row>
    <row r="2451" spans="1:8" ht="13" x14ac:dyDescent="0.15">
      <c r="A2451" s="5" t="str">
        <f ca="1">IFERROR(__xludf.DUMMYFUNCTION("""COMPUTED_VALUE"""),"40776")</f>
        <v>40776</v>
      </c>
      <c r="B2451" s="51">
        <f ca="1">IFERROR(__xludf.DUMMYFUNCTION("""COMPUTED_VALUE"""),44606)</f>
        <v>44606</v>
      </c>
      <c r="C2451" s="22">
        <f ca="1">IFERROR(__xludf.DUMMYFUNCTION("""COMPUTED_VALUE"""),500000)</f>
        <v>500000</v>
      </c>
      <c r="D2451" s="22">
        <f ca="1">IFERROR(__xludf.DUMMYFUNCTION("""COMPUTED_VALUE"""),0)</f>
        <v>0</v>
      </c>
      <c r="E2451" s="22">
        <f ca="1">IFERROR(__xludf.DUMMYFUNCTION("""COMPUTED_VALUE"""),500000)</f>
        <v>500000</v>
      </c>
      <c r="F2451" s="22">
        <f ca="1">IFERROR(__xludf.DUMMYFUNCTION("""COMPUTED_VALUE"""),500000)</f>
        <v>500000</v>
      </c>
      <c r="G2451" s="22">
        <f ca="1">IFERROR(__xludf.DUMMYFUNCTION("""COMPUTED_VALUE"""),0)</f>
        <v>0</v>
      </c>
      <c r="H2451" s="7">
        <f ca="1">IFERROR(__xludf.DUMMYFUNCTION("""COMPUTED_VALUE"""),500000)</f>
        <v>500000</v>
      </c>
    </row>
    <row r="2452" spans="1:8" ht="13" x14ac:dyDescent="0.15">
      <c r="A2452" s="5" t="str">
        <f ca="1">IFERROR(__xludf.DUMMYFUNCTION("""COMPUTED_VALUE"""),"40776")</f>
        <v>40776</v>
      </c>
      <c r="B2452" s="51">
        <f ca="1">IFERROR(__xludf.DUMMYFUNCTION("""COMPUTED_VALUE"""),44607)</f>
        <v>44607</v>
      </c>
      <c r="C2452" s="22">
        <f ca="1">IFERROR(__xludf.DUMMYFUNCTION("""COMPUTED_VALUE"""),500000)</f>
        <v>500000</v>
      </c>
      <c r="D2452" s="22">
        <f ca="1">IFERROR(__xludf.DUMMYFUNCTION("""COMPUTED_VALUE"""),0)</f>
        <v>0</v>
      </c>
      <c r="E2452" s="22">
        <f ca="1">IFERROR(__xludf.DUMMYFUNCTION("""COMPUTED_VALUE"""),500000)</f>
        <v>500000</v>
      </c>
      <c r="F2452" s="22">
        <f ca="1">IFERROR(__xludf.DUMMYFUNCTION("""COMPUTED_VALUE"""),500000)</f>
        <v>500000</v>
      </c>
      <c r="G2452" s="22">
        <f ca="1">IFERROR(__xludf.DUMMYFUNCTION("""COMPUTED_VALUE"""),0)</f>
        <v>0</v>
      </c>
      <c r="H2452" s="7">
        <f ca="1">IFERROR(__xludf.DUMMYFUNCTION("""COMPUTED_VALUE"""),500000)</f>
        <v>500000</v>
      </c>
    </row>
    <row r="2453" spans="1:8" ht="13" x14ac:dyDescent="0.15">
      <c r="A2453" s="5" t="str">
        <f ca="1">IFERROR(__xludf.DUMMYFUNCTION("""COMPUTED_VALUE"""),"40776")</f>
        <v>40776</v>
      </c>
      <c r="B2453" s="51">
        <f ca="1">IFERROR(__xludf.DUMMYFUNCTION("""COMPUTED_VALUE"""),44608)</f>
        <v>44608</v>
      </c>
      <c r="C2453" s="22">
        <f ca="1">IFERROR(__xludf.DUMMYFUNCTION("""COMPUTED_VALUE"""),500000)</f>
        <v>500000</v>
      </c>
      <c r="D2453" s="22">
        <f ca="1">IFERROR(__xludf.DUMMYFUNCTION("""COMPUTED_VALUE"""),0)</f>
        <v>0</v>
      </c>
      <c r="E2453" s="22">
        <f ca="1">IFERROR(__xludf.DUMMYFUNCTION("""COMPUTED_VALUE"""),500000)</f>
        <v>500000</v>
      </c>
      <c r="F2453" s="22">
        <f ca="1">IFERROR(__xludf.DUMMYFUNCTION("""COMPUTED_VALUE"""),500000)</f>
        <v>500000</v>
      </c>
      <c r="G2453" s="22">
        <f ca="1">IFERROR(__xludf.DUMMYFUNCTION("""COMPUTED_VALUE"""),0)</f>
        <v>0</v>
      </c>
      <c r="H2453" s="7">
        <f ca="1">IFERROR(__xludf.DUMMYFUNCTION("""COMPUTED_VALUE"""),500000)</f>
        <v>500000</v>
      </c>
    </row>
    <row r="2454" spans="1:8" ht="13" x14ac:dyDescent="0.15">
      <c r="A2454" s="5" t="str">
        <f ca="1">IFERROR(__xludf.DUMMYFUNCTION("""COMPUTED_VALUE"""),"40776")</f>
        <v>40776</v>
      </c>
      <c r="B2454" s="51">
        <f ca="1">IFERROR(__xludf.DUMMYFUNCTION("""COMPUTED_VALUE"""),44609)</f>
        <v>44609</v>
      </c>
      <c r="C2454" s="22">
        <f ca="1">IFERROR(__xludf.DUMMYFUNCTION("""COMPUTED_VALUE"""),500000)</f>
        <v>500000</v>
      </c>
      <c r="D2454" s="22">
        <f ca="1">IFERROR(__xludf.DUMMYFUNCTION("""COMPUTED_VALUE"""),0)</f>
        <v>0</v>
      </c>
      <c r="E2454" s="22">
        <f ca="1">IFERROR(__xludf.DUMMYFUNCTION("""COMPUTED_VALUE"""),500000)</f>
        <v>500000</v>
      </c>
      <c r="F2454" s="22">
        <f ca="1">IFERROR(__xludf.DUMMYFUNCTION("""COMPUTED_VALUE"""),500000)</f>
        <v>500000</v>
      </c>
      <c r="G2454" s="22">
        <f ca="1">IFERROR(__xludf.DUMMYFUNCTION("""COMPUTED_VALUE"""),0)</f>
        <v>0</v>
      </c>
      <c r="H2454" s="7">
        <f ca="1">IFERROR(__xludf.DUMMYFUNCTION("""COMPUTED_VALUE"""),500000)</f>
        <v>500000</v>
      </c>
    </row>
    <row r="2455" spans="1:8" ht="13" x14ac:dyDescent="0.15">
      <c r="A2455" s="5" t="str">
        <f ca="1">IFERROR(__xludf.DUMMYFUNCTION("""COMPUTED_VALUE"""),"40776")</f>
        <v>40776</v>
      </c>
      <c r="B2455" s="51">
        <f ca="1">IFERROR(__xludf.DUMMYFUNCTION("""COMPUTED_VALUE"""),44610)</f>
        <v>44610</v>
      </c>
      <c r="C2455" s="22">
        <f ca="1">IFERROR(__xludf.DUMMYFUNCTION("""COMPUTED_VALUE"""),500000)</f>
        <v>500000</v>
      </c>
      <c r="D2455" s="22">
        <f ca="1">IFERROR(__xludf.DUMMYFUNCTION("""COMPUTED_VALUE"""),0)</f>
        <v>0</v>
      </c>
      <c r="E2455" s="22">
        <f ca="1">IFERROR(__xludf.DUMMYFUNCTION("""COMPUTED_VALUE"""),500000)</f>
        <v>500000</v>
      </c>
      <c r="F2455" s="22">
        <f ca="1">IFERROR(__xludf.DUMMYFUNCTION("""COMPUTED_VALUE"""),500000)</f>
        <v>500000</v>
      </c>
      <c r="G2455" s="22">
        <f ca="1">IFERROR(__xludf.DUMMYFUNCTION("""COMPUTED_VALUE"""),0)</f>
        <v>0</v>
      </c>
      <c r="H2455" s="7">
        <f ca="1">IFERROR(__xludf.DUMMYFUNCTION("""COMPUTED_VALUE"""),500000)</f>
        <v>500000</v>
      </c>
    </row>
    <row r="2456" spans="1:8" ht="13" x14ac:dyDescent="0.15">
      <c r="A2456" s="5" t="str">
        <f ca="1">IFERROR(__xludf.DUMMYFUNCTION("""COMPUTED_VALUE"""),"40776")</f>
        <v>40776</v>
      </c>
      <c r="B2456" s="51">
        <f ca="1">IFERROR(__xludf.DUMMYFUNCTION("""COMPUTED_VALUE"""),44611)</f>
        <v>44611</v>
      </c>
      <c r="C2456" s="22">
        <f ca="1">IFERROR(__xludf.DUMMYFUNCTION("""COMPUTED_VALUE"""),500000)</f>
        <v>500000</v>
      </c>
      <c r="D2456" s="22">
        <f ca="1">IFERROR(__xludf.DUMMYFUNCTION("""COMPUTED_VALUE"""),0)</f>
        <v>0</v>
      </c>
      <c r="E2456" s="22">
        <f ca="1">IFERROR(__xludf.DUMMYFUNCTION("""COMPUTED_VALUE"""),500000)</f>
        <v>500000</v>
      </c>
      <c r="F2456" s="22">
        <f ca="1">IFERROR(__xludf.DUMMYFUNCTION("""COMPUTED_VALUE"""),500000)</f>
        <v>500000</v>
      </c>
      <c r="G2456" s="22">
        <f ca="1">IFERROR(__xludf.DUMMYFUNCTION("""COMPUTED_VALUE"""),0)</f>
        <v>0</v>
      </c>
      <c r="H2456" s="7">
        <f ca="1">IFERROR(__xludf.DUMMYFUNCTION("""COMPUTED_VALUE"""),500000)</f>
        <v>500000</v>
      </c>
    </row>
    <row r="2457" spans="1:8" ht="13" x14ac:dyDescent="0.15">
      <c r="A2457" s="5" t="str">
        <f ca="1">IFERROR(__xludf.DUMMYFUNCTION("""COMPUTED_VALUE"""),"40776")</f>
        <v>40776</v>
      </c>
      <c r="B2457" s="51">
        <f ca="1">IFERROR(__xludf.DUMMYFUNCTION("""COMPUTED_VALUE"""),44612)</f>
        <v>44612</v>
      </c>
      <c r="C2457" s="22">
        <f ca="1">IFERROR(__xludf.DUMMYFUNCTION("""COMPUTED_VALUE"""),500000)</f>
        <v>500000</v>
      </c>
      <c r="D2457" s="22">
        <f ca="1">IFERROR(__xludf.DUMMYFUNCTION("""COMPUTED_VALUE"""),0)</f>
        <v>0</v>
      </c>
      <c r="E2457" s="22">
        <f ca="1">IFERROR(__xludf.DUMMYFUNCTION("""COMPUTED_VALUE"""),500000)</f>
        <v>500000</v>
      </c>
      <c r="F2457" s="22">
        <f ca="1">IFERROR(__xludf.DUMMYFUNCTION("""COMPUTED_VALUE"""),500000)</f>
        <v>500000</v>
      </c>
      <c r="G2457" s="22">
        <f ca="1">IFERROR(__xludf.DUMMYFUNCTION("""COMPUTED_VALUE"""),0)</f>
        <v>0</v>
      </c>
      <c r="H2457" s="7">
        <f ca="1">IFERROR(__xludf.DUMMYFUNCTION("""COMPUTED_VALUE"""),500000)</f>
        <v>500000</v>
      </c>
    </row>
    <row r="2458" spans="1:8" ht="13" x14ac:dyDescent="0.15">
      <c r="A2458" s="5" t="str">
        <f ca="1">IFERROR(__xludf.DUMMYFUNCTION("""COMPUTED_VALUE"""),"40776")</f>
        <v>40776</v>
      </c>
      <c r="B2458" s="51">
        <f ca="1">IFERROR(__xludf.DUMMYFUNCTION("""COMPUTED_VALUE"""),44613)</f>
        <v>44613</v>
      </c>
      <c r="C2458" s="22">
        <f ca="1">IFERROR(__xludf.DUMMYFUNCTION("""COMPUTED_VALUE"""),500000)</f>
        <v>500000</v>
      </c>
      <c r="D2458" s="22">
        <f ca="1">IFERROR(__xludf.DUMMYFUNCTION("""COMPUTED_VALUE"""),0)</f>
        <v>0</v>
      </c>
      <c r="E2458" s="22">
        <f ca="1">IFERROR(__xludf.DUMMYFUNCTION("""COMPUTED_VALUE"""),500000)</f>
        <v>500000</v>
      </c>
      <c r="F2458" s="22">
        <f ca="1">IFERROR(__xludf.DUMMYFUNCTION("""COMPUTED_VALUE"""),500000)</f>
        <v>500000</v>
      </c>
      <c r="G2458" s="22">
        <f ca="1">IFERROR(__xludf.DUMMYFUNCTION("""COMPUTED_VALUE"""),0)</f>
        <v>0</v>
      </c>
      <c r="H2458" s="7">
        <f ca="1">IFERROR(__xludf.DUMMYFUNCTION("""COMPUTED_VALUE"""),500000)</f>
        <v>500000</v>
      </c>
    </row>
    <row r="2459" spans="1:8" ht="13" x14ac:dyDescent="0.15">
      <c r="A2459" s="5" t="str">
        <f ca="1">IFERROR(__xludf.DUMMYFUNCTION("""COMPUTED_VALUE"""),"40776")</f>
        <v>40776</v>
      </c>
      <c r="B2459" s="51">
        <f ca="1">IFERROR(__xludf.DUMMYFUNCTION("""COMPUTED_VALUE"""),44614)</f>
        <v>44614</v>
      </c>
      <c r="C2459" s="22">
        <f ca="1">IFERROR(__xludf.DUMMYFUNCTION("""COMPUTED_VALUE"""),500000)</f>
        <v>500000</v>
      </c>
      <c r="D2459" s="22">
        <f ca="1">IFERROR(__xludf.DUMMYFUNCTION("""COMPUTED_VALUE"""),0)</f>
        <v>0</v>
      </c>
      <c r="E2459" s="22">
        <f ca="1">IFERROR(__xludf.DUMMYFUNCTION("""COMPUTED_VALUE"""),500000)</f>
        <v>500000</v>
      </c>
      <c r="F2459" s="22">
        <f ca="1">IFERROR(__xludf.DUMMYFUNCTION("""COMPUTED_VALUE"""),500000)</f>
        <v>500000</v>
      </c>
      <c r="G2459" s="22">
        <f ca="1">IFERROR(__xludf.DUMMYFUNCTION("""COMPUTED_VALUE"""),0)</f>
        <v>0</v>
      </c>
      <c r="H2459" s="7">
        <f ca="1">IFERROR(__xludf.DUMMYFUNCTION("""COMPUTED_VALUE"""),500000)</f>
        <v>500000</v>
      </c>
    </row>
    <row r="2460" spans="1:8" ht="13" x14ac:dyDescent="0.15">
      <c r="A2460" s="5" t="str">
        <f ca="1">IFERROR(__xludf.DUMMYFUNCTION("""COMPUTED_VALUE"""),"40776")</f>
        <v>40776</v>
      </c>
      <c r="B2460" s="51">
        <f ca="1">IFERROR(__xludf.DUMMYFUNCTION("""COMPUTED_VALUE"""),44615)</f>
        <v>44615</v>
      </c>
      <c r="C2460" s="22">
        <f ca="1">IFERROR(__xludf.DUMMYFUNCTION("""COMPUTED_VALUE"""),500000)</f>
        <v>500000</v>
      </c>
      <c r="D2460" s="22">
        <f ca="1">IFERROR(__xludf.DUMMYFUNCTION("""COMPUTED_VALUE"""),0)</f>
        <v>0</v>
      </c>
      <c r="E2460" s="22">
        <f ca="1">IFERROR(__xludf.DUMMYFUNCTION("""COMPUTED_VALUE"""),500000)</f>
        <v>500000</v>
      </c>
      <c r="F2460" s="22">
        <f ca="1">IFERROR(__xludf.DUMMYFUNCTION("""COMPUTED_VALUE"""),500000)</f>
        <v>500000</v>
      </c>
      <c r="G2460" s="22">
        <f ca="1">IFERROR(__xludf.DUMMYFUNCTION("""COMPUTED_VALUE"""),0)</f>
        <v>0</v>
      </c>
      <c r="H2460" s="7">
        <f ca="1">IFERROR(__xludf.DUMMYFUNCTION("""COMPUTED_VALUE"""),500000)</f>
        <v>500000</v>
      </c>
    </row>
    <row r="2461" spans="1:8" ht="13" x14ac:dyDescent="0.15">
      <c r="A2461" s="5" t="str">
        <f ca="1">IFERROR(__xludf.DUMMYFUNCTION("""COMPUTED_VALUE"""),"40776")</f>
        <v>40776</v>
      </c>
      <c r="B2461" s="51">
        <f ca="1">IFERROR(__xludf.DUMMYFUNCTION("""COMPUTED_VALUE"""),44616)</f>
        <v>44616</v>
      </c>
      <c r="C2461" s="22">
        <f ca="1">IFERROR(__xludf.DUMMYFUNCTION("""COMPUTED_VALUE"""),500000)</f>
        <v>500000</v>
      </c>
      <c r="D2461" s="22">
        <f ca="1">IFERROR(__xludf.DUMMYFUNCTION("""COMPUTED_VALUE"""),0)</f>
        <v>0</v>
      </c>
      <c r="E2461" s="22">
        <f ca="1">IFERROR(__xludf.DUMMYFUNCTION("""COMPUTED_VALUE"""),500000)</f>
        <v>500000</v>
      </c>
      <c r="F2461" s="22">
        <f ca="1">IFERROR(__xludf.DUMMYFUNCTION("""COMPUTED_VALUE"""),500000)</f>
        <v>500000</v>
      </c>
      <c r="G2461" s="22">
        <f ca="1">IFERROR(__xludf.DUMMYFUNCTION("""COMPUTED_VALUE"""),0)</f>
        <v>0</v>
      </c>
      <c r="H2461" s="7">
        <f ca="1">IFERROR(__xludf.DUMMYFUNCTION("""COMPUTED_VALUE"""),500000)</f>
        <v>500000</v>
      </c>
    </row>
    <row r="2462" spans="1:8" ht="13" x14ac:dyDescent="0.15">
      <c r="A2462" s="5" t="str">
        <f ca="1">IFERROR(__xludf.DUMMYFUNCTION("""COMPUTED_VALUE"""),"40776")</f>
        <v>40776</v>
      </c>
      <c r="B2462" s="51">
        <f ca="1">IFERROR(__xludf.DUMMYFUNCTION("""COMPUTED_VALUE"""),44617)</f>
        <v>44617</v>
      </c>
      <c r="C2462" s="22">
        <f ca="1">IFERROR(__xludf.DUMMYFUNCTION("""COMPUTED_VALUE"""),500000)</f>
        <v>500000</v>
      </c>
      <c r="D2462" s="22">
        <f ca="1">IFERROR(__xludf.DUMMYFUNCTION("""COMPUTED_VALUE"""),0)</f>
        <v>0</v>
      </c>
      <c r="E2462" s="22">
        <f ca="1">IFERROR(__xludf.DUMMYFUNCTION("""COMPUTED_VALUE"""),500000)</f>
        <v>500000</v>
      </c>
      <c r="F2462" s="22">
        <f ca="1">IFERROR(__xludf.DUMMYFUNCTION("""COMPUTED_VALUE"""),500000)</f>
        <v>500000</v>
      </c>
      <c r="G2462" s="22">
        <f ca="1">IFERROR(__xludf.DUMMYFUNCTION("""COMPUTED_VALUE"""),0)</f>
        <v>0</v>
      </c>
      <c r="H2462" s="7">
        <f ca="1">IFERROR(__xludf.DUMMYFUNCTION("""COMPUTED_VALUE"""),500000)</f>
        <v>500000</v>
      </c>
    </row>
    <row r="2463" spans="1:8" ht="13" x14ac:dyDescent="0.15">
      <c r="A2463" s="5" t="str">
        <f ca="1">IFERROR(__xludf.DUMMYFUNCTION("""COMPUTED_VALUE"""),"40776")</f>
        <v>40776</v>
      </c>
      <c r="B2463" s="51">
        <f ca="1">IFERROR(__xludf.DUMMYFUNCTION("""COMPUTED_VALUE"""),44618)</f>
        <v>44618</v>
      </c>
      <c r="C2463" s="22">
        <f ca="1">IFERROR(__xludf.DUMMYFUNCTION("""COMPUTED_VALUE"""),500000)</f>
        <v>500000</v>
      </c>
      <c r="D2463" s="22">
        <f ca="1">IFERROR(__xludf.DUMMYFUNCTION("""COMPUTED_VALUE"""),0)</f>
        <v>0</v>
      </c>
      <c r="E2463" s="22">
        <f ca="1">IFERROR(__xludf.DUMMYFUNCTION("""COMPUTED_VALUE"""),500000)</f>
        <v>500000</v>
      </c>
      <c r="F2463" s="22">
        <f ca="1">IFERROR(__xludf.DUMMYFUNCTION("""COMPUTED_VALUE"""),500000)</f>
        <v>500000</v>
      </c>
      <c r="G2463" s="22">
        <f ca="1">IFERROR(__xludf.DUMMYFUNCTION("""COMPUTED_VALUE"""),0)</f>
        <v>0</v>
      </c>
      <c r="H2463" s="7">
        <f ca="1">IFERROR(__xludf.DUMMYFUNCTION("""COMPUTED_VALUE"""),500000)</f>
        <v>500000</v>
      </c>
    </row>
    <row r="2464" spans="1:8" ht="13" x14ac:dyDescent="0.15">
      <c r="A2464" s="5" t="str">
        <f ca="1">IFERROR(__xludf.DUMMYFUNCTION("""COMPUTED_VALUE"""),"40776")</f>
        <v>40776</v>
      </c>
      <c r="B2464" s="51">
        <f ca="1">IFERROR(__xludf.DUMMYFUNCTION("""COMPUTED_VALUE"""),44619)</f>
        <v>44619</v>
      </c>
      <c r="C2464" s="22">
        <f ca="1">IFERROR(__xludf.DUMMYFUNCTION("""COMPUTED_VALUE"""),500000)</f>
        <v>500000</v>
      </c>
      <c r="D2464" s="22">
        <f ca="1">IFERROR(__xludf.DUMMYFUNCTION("""COMPUTED_VALUE"""),0)</f>
        <v>0</v>
      </c>
      <c r="E2464" s="22">
        <f ca="1">IFERROR(__xludf.DUMMYFUNCTION("""COMPUTED_VALUE"""),500000)</f>
        <v>500000</v>
      </c>
      <c r="F2464" s="22">
        <f ca="1">IFERROR(__xludf.DUMMYFUNCTION("""COMPUTED_VALUE"""),500000)</f>
        <v>500000</v>
      </c>
      <c r="G2464" s="22">
        <f ca="1">IFERROR(__xludf.DUMMYFUNCTION("""COMPUTED_VALUE"""),0)</f>
        <v>0</v>
      </c>
      <c r="H2464" s="7">
        <f ca="1">IFERROR(__xludf.DUMMYFUNCTION("""COMPUTED_VALUE"""),500000)</f>
        <v>500000</v>
      </c>
    </row>
    <row r="2465" spans="1:8" ht="13" x14ac:dyDescent="0.15">
      <c r="A2465" s="5" t="str">
        <f ca="1">IFERROR(__xludf.DUMMYFUNCTION("""COMPUTED_VALUE"""),"40776")</f>
        <v>40776</v>
      </c>
      <c r="B2465" s="51">
        <f ca="1">IFERROR(__xludf.DUMMYFUNCTION("""COMPUTED_VALUE"""),44620)</f>
        <v>44620</v>
      </c>
      <c r="C2465" s="22">
        <f ca="1">IFERROR(__xludf.DUMMYFUNCTION("""COMPUTED_VALUE"""),500000)</f>
        <v>500000</v>
      </c>
      <c r="D2465" s="22">
        <f ca="1">IFERROR(__xludf.DUMMYFUNCTION("""COMPUTED_VALUE"""),0)</f>
        <v>0</v>
      </c>
      <c r="E2465" s="22">
        <f ca="1">IFERROR(__xludf.DUMMYFUNCTION("""COMPUTED_VALUE"""),500000)</f>
        <v>500000</v>
      </c>
      <c r="F2465" s="22">
        <f ca="1">IFERROR(__xludf.DUMMYFUNCTION("""COMPUTED_VALUE"""),500000)</f>
        <v>500000</v>
      </c>
      <c r="G2465" s="22">
        <f ca="1">IFERROR(__xludf.DUMMYFUNCTION("""COMPUTED_VALUE"""),0)</f>
        <v>0</v>
      </c>
      <c r="H2465" s="7">
        <f ca="1">IFERROR(__xludf.DUMMYFUNCTION("""COMPUTED_VALUE"""),500000)</f>
        <v>500000</v>
      </c>
    </row>
    <row r="2466" spans="1:8" ht="13" x14ac:dyDescent="0.15">
      <c r="A2466" s="5" t="str">
        <f ca="1">IFERROR(__xludf.DUMMYFUNCTION("""COMPUTED_VALUE"""),"40776")</f>
        <v>40776</v>
      </c>
      <c r="B2466" s="51">
        <f ca="1">IFERROR(__xludf.DUMMYFUNCTION("""COMPUTED_VALUE"""),44621)</f>
        <v>44621</v>
      </c>
      <c r="C2466" s="22">
        <f ca="1">IFERROR(__xludf.DUMMYFUNCTION("""COMPUTED_VALUE"""),500000)</f>
        <v>500000</v>
      </c>
      <c r="D2466" s="22">
        <f ca="1">IFERROR(__xludf.DUMMYFUNCTION("""COMPUTED_VALUE"""),0)</f>
        <v>0</v>
      </c>
      <c r="E2466" s="22">
        <f ca="1">IFERROR(__xludf.DUMMYFUNCTION("""COMPUTED_VALUE"""),500000)</f>
        <v>500000</v>
      </c>
      <c r="F2466" s="22">
        <f ca="1">IFERROR(__xludf.DUMMYFUNCTION("""COMPUTED_VALUE"""),500000)</f>
        <v>500000</v>
      </c>
      <c r="G2466" s="22">
        <f ca="1">IFERROR(__xludf.DUMMYFUNCTION("""COMPUTED_VALUE"""),0)</f>
        <v>0</v>
      </c>
      <c r="H2466" s="7">
        <f ca="1">IFERROR(__xludf.DUMMYFUNCTION("""COMPUTED_VALUE"""),500000)</f>
        <v>500000</v>
      </c>
    </row>
    <row r="2467" spans="1:8" ht="13" x14ac:dyDescent="0.15">
      <c r="A2467" s="5" t="str">
        <f ca="1">IFERROR(__xludf.DUMMYFUNCTION("""COMPUTED_VALUE"""),"40776")</f>
        <v>40776</v>
      </c>
      <c r="B2467" s="51">
        <f ca="1">IFERROR(__xludf.DUMMYFUNCTION("""COMPUTED_VALUE"""),44622)</f>
        <v>44622</v>
      </c>
      <c r="C2467" s="22">
        <f ca="1">IFERROR(__xludf.DUMMYFUNCTION("""COMPUTED_VALUE"""),500000)</f>
        <v>500000</v>
      </c>
      <c r="D2467" s="22">
        <f ca="1">IFERROR(__xludf.DUMMYFUNCTION("""COMPUTED_VALUE"""),0)</f>
        <v>0</v>
      </c>
      <c r="E2467" s="22">
        <f ca="1">IFERROR(__xludf.DUMMYFUNCTION("""COMPUTED_VALUE"""),500000)</f>
        <v>500000</v>
      </c>
      <c r="F2467" s="22">
        <f ca="1">IFERROR(__xludf.DUMMYFUNCTION("""COMPUTED_VALUE"""),500000)</f>
        <v>500000</v>
      </c>
      <c r="G2467" s="22">
        <f ca="1">IFERROR(__xludf.DUMMYFUNCTION("""COMPUTED_VALUE"""),0)</f>
        <v>0</v>
      </c>
      <c r="H2467" s="7">
        <f ca="1">IFERROR(__xludf.DUMMYFUNCTION("""COMPUTED_VALUE"""),500000)</f>
        <v>500000</v>
      </c>
    </row>
    <row r="2468" spans="1:8" ht="13" x14ac:dyDescent="0.15">
      <c r="A2468" s="5" t="str">
        <f ca="1">IFERROR(__xludf.DUMMYFUNCTION("""COMPUTED_VALUE"""),"40776")</f>
        <v>40776</v>
      </c>
      <c r="B2468" s="51">
        <f ca="1">IFERROR(__xludf.DUMMYFUNCTION("""COMPUTED_VALUE"""),44623)</f>
        <v>44623</v>
      </c>
      <c r="C2468" s="22">
        <f ca="1">IFERROR(__xludf.DUMMYFUNCTION("""COMPUTED_VALUE"""),500000)</f>
        <v>500000</v>
      </c>
      <c r="D2468" s="22">
        <f ca="1">IFERROR(__xludf.DUMMYFUNCTION("""COMPUTED_VALUE"""),0)</f>
        <v>0</v>
      </c>
      <c r="E2468" s="22">
        <f ca="1">IFERROR(__xludf.DUMMYFUNCTION("""COMPUTED_VALUE"""),500000)</f>
        <v>500000</v>
      </c>
      <c r="F2468" s="22">
        <f ca="1">IFERROR(__xludf.DUMMYFUNCTION("""COMPUTED_VALUE"""),500000)</f>
        <v>500000</v>
      </c>
      <c r="G2468" s="22">
        <f ca="1">IFERROR(__xludf.DUMMYFUNCTION("""COMPUTED_VALUE"""),0)</f>
        <v>0</v>
      </c>
      <c r="H2468" s="7">
        <f ca="1">IFERROR(__xludf.DUMMYFUNCTION("""COMPUTED_VALUE"""),500000)</f>
        <v>500000</v>
      </c>
    </row>
    <row r="2469" spans="1:8" ht="13" x14ac:dyDescent="0.15">
      <c r="A2469" s="5" t="str">
        <f ca="1">IFERROR(__xludf.DUMMYFUNCTION("""COMPUTED_VALUE"""),"40776")</f>
        <v>40776</v>
      </c>
      <c r="B2469" s="51">
        <f ca="1">IFERROR(__xludf.DUMMYFUNCTION("""COMPUTED_VALUE"""),44624)</f>
        <v>44624</v>
      </c>
      <c r="C2469" s="22">
        <f ca="1">IFERROR(__xludf.DUMMYFUNCTION("""COMPUTED_VALUE"""),500000)</f>
        <v>500000</v>
      </c>
      <c r="D2469" s="22">
        <f ca="1">IFERROR(__xludf.DUMMYFUNCTION("""COMPUTED_VALUE"""),0)</f>
        <v>0</v>
      </c>
      <c r="E2469" s="22">
        <f ca="1">IFERROR(__xludf.DUMMYFUNCTION("""COMPUTED_VALUE"""),500000)</f>
        <v>500000</v>
      </c>
      <c r="F2469" s="22">
        <f ca="1">IFERROR(__xludf.DUMMYFUNCTION("""COMPUTED_VALUE"""),500000)</f>
        <v>500000</v>
      </c>
      <c r="G2469" s="22">
        <f ca="1">IFERROR(__xludf.DUMMYFUNCTION("""COMPUTED_VALUE"""),0)</f>
        <v>0</v>
      </c>
      <c r="H2469" s="7">
        <f ca="1">IFERROR(__xludf.DUMMYFUNCTION("""COMPUTED_VALUE"""),500000)</f>
        <v>500000</v>
      </c>
    </row>
    <row r="2470" spans="1:8" ht="13" x14ac:dyDescent="0.15">
      <c r="A2470" s="5" t="str">
        <f ca="1">IFERROR(__xludf.DUMMYFUNCTION("""COMPUTED_VALUE"""),"40776")</f>
        <v>40776</v>
      </c>
      <c r="B2470" s="51">
        <f ca="1">IFERROR(__xludf.DUMMYFUNCTION("""COMPUTED_VALUE"""),44625)</f>
        <v>44625</v>
      </c>
      <c r="C2470" s="22">
        <f ca="1">IFERROR(__xludf.DUMMYFUNCTION("""COMPUTED_VALUE"""),500000)</f>
        <v>500000</v>
      </c>
      <c r="D2470" s="22">
        <f ca="1">IFERROR(__xludf.DUMMYFUNCTION("""COMPUTED_VALUE"""),0)</f>
        <v>0</v>
      </c>
      <c r="E2470" s="22">
        <f ca="1">IFERROR(__xludf.DUMMYFUNCTION("""COMPUTED_VALUE"""),500000)</f>
        <v>500000</v>
      </c>
      <c r="F2470" s="22">
        <f ca="1">IFERROR(__xludf.DUMMYFUNCTION("""COMPUTED_VALUE"""),500000)</f>
        <v>500000</v>
      </c>
      <c r="G2470" s="22">
        <f ca="1">IFERROR(__xludf.DUMMYFUNCTION("""COMPUTED_VALUE"""),0)</f>
        <v>0</v>
      </c>
      <c r="H2470" s="7">
        <f ca="1">IFERROR(__xludf.DUMMYFUNCTION("""COMPUTED_VALUE"""),500000)</f>
        <v>500000</v>
      </c>
    </row>
    <row r="2471" spans="1:8" ht="13" x14ac:dyDescent="0.15">
      <c r="A2471" s="5" t="str">
        <f ca="1">IFERROR(__xludf.DUMMYFUNCTION("""COMPUTED_VALUE"""),"40776")</f>
        <v>40776</v>
      </c>
      <c r="B2471" s="51">
        <f ca="1">IFERROR(__xludf.DUMMYFUNCTION("""COMPUTED_VALUE"""),44626)</f>
        <v>44626</v>
      </c>
      <c r="C2471" s="22">
        <f ca="1">IFERROR(__xludf.DUMMYFUNCTION("""COMPUTED_VALUE"""),500000)</f>
        <v>500000</v>
      </c>
      <c r="D2471" s="22">
        <f ca="1">IFERROR(__xludf.DUMMYFUNCTION("""COMPUTED_VALUE"""),0)</f>
        <v>0</v>
      </c>
      <c r="E2471" s="22">
        <f ca="1">IFERROR(__xludf.DUMMYFUNCTION("""COMPUTED_VALUE"""),500000)</f>
        <v>500000</v>
      </c>
      <c r="F2471" s="22">
        <f ca="1">IFERROR(__xludf.DUMMYFUNCTION("""COMPUTED_VALUE"""),500000)</f>
        <v>500000</v>
      </c>
      <c r="G2471" s="22">
        <f ca="1">IFERROR(__xludf.DUMMYFUNCTION("""COMPUTED_VALUE"""),0)</f>
        <v>0</v>
      </c>
      <c r="H2471" s="7">
        <f ca="1">IFERROR(__xludf.DUMMYFUNCTION("""COMPUTED_VALUE"""),500000)</f>
        <v>500000</v>
      </c>
    </row>
    <row r="2472" spans="1:8" ht="13" x14ac:dyDescent="0.15">
      <c r="A2472" s="5" t="str">
        <f ca="1">IFERROR(__xludf.DUMMYFUNCTION("""COMPUTED_VALUE"""),"40776")</f>
        <v>40776</v>
      </c>
      <c r="B2472" s="51">
        <f ca="1">IFERROR(__xludf.DUMMYFUNCTION("""COMPUTED_VALUE"""),44627)</f>
        <v>44627</v>
      </c>
      <c r="C2472" s="22">
        <f ca="1">IFERROR(__xludf.DUMMYFUNCTION("""COMPUTED_VALUE"""),500000)</f>
        <v>500000</v>
      </c>
      <c r="D2472" s="22">
        <f ca="1">IFERROR(__xludf.DUMMYFUNCTION("""COMPUTED_VALUE"""),0)</f>
        <v>0</v>
      </c>
      <c r="E2472" s="22">
        <f ca="1">IFERROR(__xludf.DUMMYFUNCTION("""COMPUTED_VALUE"""),500000)</f>
        <v>500000</v>
      </c>
      <c r="F2472" s="22">
        <f ca="1">IFERROR(__xludf.DUMMYFUNCTION("""COMPUTED_VALUE"""),500000)</f>
        <v>500000</v>
      </c>
      <c r="G2472" s="22">
        <f ca="1">IFERROR(__xludf.DUMMYFUNCTION("""COMPUTED_VALUE"""),0)</f>
        <v>0</v>
      </c>
      <c r="H2472" s="7">
        <f ca="1">IFERROR(__xludf.DUMMYFUNCTION("""COMPUTED_VALUE"""),500000)</f>
        <v>500000</v>
      </c>
    </row>
    <row r="2473" spans="1:8" ht="13" x14ac:dyDescent="0.15">
      <c r="A2473" s="5" t="str">
        <f ca="1">IFERROR(__xludf.DUMMYFUNCTION("""COMPUTED_VALUE"""),"40776")</f>
        <v>40776</v>
      </c>
      <c r="B2473" s="51">
        <f ca="1">IFERROR(__xludf.DUMMYFUNCTION("""COMPUTED_VALUE"""),44628)</f>
        <v>44628</v>
      </c>
      <c r="C2473" s="22">
        <f ca="1">IFERROR(__xludf.DUMMYFUNCTION("""COMPUTED_VALUE"""),500000)</f>
        <v>500000</v>
      </c>
      <c r="D2473" s="22">
        <f ca="1">IFERROR(__xludf.DUMMYFUNCTION("""COMPUTED_VALUE"""),0)</f>
        <v>0</v>
      </c>
      <c r="E2473" s="22">
        <f ca="1">IFERROR(__xludf.DUMMYFUNCTION("""COMPUTED_VALUE"""),500000)</f>
        <v>500000</v>
      </c>
      <c r="F2473" s="22">
        <f ca="1">IFERROR(__xludf.DUMMYFUNCTION("""COMPUTED_VALUE"""),500000)</f>
        <v>500000</v>
      </c>
      <c r="G2473" s="22">
        <f ca="1">IFERROR(__xludf.DUMMYFUNCTION("""COMPUTED_VALUE"""),0)</f>
        <v>0</v>
      </c>
      <c r="H2473" s="7">
        <f ca="1">IFERROR(__xludf.DUMMYFUNCTION("""COMPUTED_VALUE"""),500000)</f>
        <v>500000</v>
      </c>
    </row>
    <row r="2474" spans="1:8" ht="13" x14ac:dyDescent="0.15">
      <c r="A2474" s="5" t="str">
        <f ca="1">IFERROR(__xludf.DUMMYFUNCTION("""COMPUTED_VALUE"""),"40776")</f>
        <v>40776</v>
      </c>
      <c r="B2474" s="51">
        <f ca="1">IFERROR(__xludf.DUMMYFUNCTION("""COMPUTED_VALUE"""),44629)</f>
        <v>44629</v>
      </c>
      <c r="C2474" s="22">
        <f ca="1">IFERROR(__xludf.DUMMYFUNCTION("""COMPUTED_VALUE"""),500000)</f>
        <v>500000</v>
      </c>
      <c r="D2474" s="22">
        <f ca="1">IFERROR(__xludf.DUMMYFUNCTION("""COMPUTED_VALUE"""),0)</f>
        <v>0</v>
      </c>
      <c r="E2474" s="22">
        <f ca="1">IFERROR(__xludf.DUMMYFUNCTION("""COMPUTED_VALUE"""),500000)</f>
        <v>500000</v>
      </c>
      <c r="F2474" s="22">
        <f ca="1">IFERROR(__xludf.DUMMYFUNCTION("""COMPUTED_VALUE"""),500000)</f>
        <v>500000</v>
      </c>
      <c r="G2474" s="22">
        <f ca="1">IFERROR(__xludf.DUMMYFUNCTION("""COMPUTED_VALUE"""),0)</f>
        <v>0</v>
      </c>
      <c r="H2474" s="7">
        <f ca="1">IFERROR(__xludf.DUMMYFUNCTION("""COMPUTED_VALUE"""),500000)</f>
        <v>500000</v>
      </c>
    </row>
    <row r="2475" spans="1:8" ht="13" x14ac:dyDescent="0.15">
      <c r="A2475" s="5" t="str">
        <f ca="1">IFERROR(__xludf.DUMMYFUNCTION("""COMPUTED_VALUE"""),"40776")</f>
        <v>40776</v>
      </c>
      <c r="B2475" s="51">
        <f ca="1">IFERROR(__xludf.DUMMYFUNCTION("""COMPUTED_VALUE"""),44630)</f>
        <v>44630</v>
      </c>
      <c r="C2475" s="22">
        <f ca="1">IFERROR(__xludf.DUMMYFUNCTION("""COMPUTED_VALUE"""),500000)</f>
        <v>500000</v>
      </c>
      <c r="D2475" s="22">
        <f ca="1">IFERROR(__xludf.DUMMYFUNCTION("""COMPUTED_VALUE"""),0)</f>
        <v>0</v>
      </c>
      <c r="E2475" s="22">
        <f ca="1">IFERROR(__xludf.DUMMYFUNCTION("""COMPUTED_VALUE"""),500000)</f>
        <v>500000</v>
      </c>
      <c r="F2475" s="22">
        <f ca="1">IFERROR(__xludf.DUMMYFUNCTION("""COMPUTED_VALUE"""),500000)</f>
        <v>500000</v>
      </c>
      <c r="G2475" s="22">
        <f ca="1">IFERROR(__xludf.DUMMYFUNCTION("""COMPUTED_VALUE"""),0)</f>
        <v>0</v>
      </c>
      <c r="H2475" s="7">
        <f ca="1">IFERROR(__xludf.DUMMYFUNCTION("""COMPUTED_VALUE"""),500000)</f>
        <v>500000</v>
      </c>
    </row>
    <row r="2476" spans="1:8" ht="13" x14ac:dyDescent="0.15">
      <c r="A2476" s="5" t="str">
        <f ca="1">IFERROR(__xludf.DUMMYFUNCTION("""COMPUTED_VALUE"""),"40776")</f>
        <v>40776</v>
      </c>
      <c r="B2476" s="51">
        <f ca="1">IFERROR(__xludf.DUMMYFUNCTION("""COMPUTED_VALUE"""),44631)</f>
        <v>44631</v>
      </c>
      <c r="C2476" s="22">
        <f ca="1">IFERROR(__xludf.DUMMYFUNCTION("""COMPUTED_VALUE"""),500000)</f>
        <v>500000</v>
      </c>
      <c r="D2476" s="22">
        <f ca="1">IFERROR(__xludf.DUMMYFUNCTION("""COMPUTED_VALUE"""),0)</f>
        <v>0</v>
      </c>
      <c r="E2476" s="22">
        <f ca="1">IFERROR(__xludf.DUMMYFUNCTION("""COMPUTED_VALUE"""),500000)</f>
        <v>500000</v>
      </c>
      <c r="F2476" s="22">
        <f ca="1">IFERROR(__xludf.DUMMYFUNCTION("""COMPUTED_VALUE"""),500000)</f>
        <v>500000</v>
      </c>
      <c r="G2476" s="22">
        <f ca="1">IFERROR(__xludf.DUMMYFUNCTION("""COMPUTED_VALUE"""),0)</f>
        <v>0</v>
      </c>
      <c r="H2476" s="7">
        <f ca="1">IFERROR(__xludf.DUMMYFUNCTION("""COMPUTED_VALUE"""),500000)</f>
        <v>500000</v>
      </c>
    </row>
    <row r="2477" spans="1:8" ht="13" x14ac:dyDescent="0.15">
      <c r="A2477" s="5" t="str">
        <f ca="1">IFERROR(__xludf.DUMMYFUNCTION("""COMPUTED_VALUE"""),"40776")</f>
        <v>40776</v>
      </c>
      <c r="B2477" s="51">
        <f ca="1">IFERROR(__xludf.DUMMYFUNCTION("""COMPUTED_VALUE"""),44632)</f>
        <v>44632</v>
      </c>
      <c r="C2477" s="22">
        <f ca="1">IFERROR(__xludf.DUMMYFUNCTION("""COMPUTED_VALUE"""),500000)</f>
        <v>500000</v>
      </c>
      <c r="D2477" s="22">
        <f ca="1">IFERROR(__xludf.DUMMYFUNCTION("""COMPUTED_VALUE"""),0)</f>
        <v>0</v>
      </c>
      <c r="E2477" s="22">
        <f ca="1">IFERROR(__xludf.DUMMYFUNCTION("""COMPUTED_VALUE"""),500000)</f>
        <v>500000</v>
      </c>
      <c r="F2477" s="22">
        <f ca="1">IFERROR(__xludf.DUMMYFUNCTION("""COMPUTED_VALUE"""),500000)</f>
        <v>500000</v>
      </c>
      <c r="G2477" s="22">
        <f ca="1">IFERROR(__xludf.DUMMYFUNCTION("""COMPUTED_VALUE"""),0)</f>
        <v>0</v>
      </c>
      <c r="H2477" s="7">
        <f ca="1">IFERROR(__xludf.DUMMYFUNCTION("""COMPUTED_VALUE"""),500000)</f>
        <v>500000</v>
      </c>
    </row>
    <row r="2478" spans="1:8" ht="13" x14ac:dyDescent="0.15">
      <c r="A2478" s="5" t="str">
        <f ca="1">IFERROR(__xludf.DUMMYFUNCTION("""COMPUTED_VALUE"""),"40776")</f>
        <v>40776</v>
      </c>
      <c r="B2478" s="51">
        <f ca="1">IFERROR(__xludf.DUMMYFUNCTION("""COMPUTED_VALUE"""),44633)</f>
        <v>44633</v>
      </c>
      <c r="C2478" s="22">
        <f ca="1">IFERROR(__xludf.DUMMYFUNCTION("""COMPUTED_VALUE"""),500000)</f>
        <v>500000</v>
      </c>
      <c r="D2478" s="22">
        <f ca="1">IFERROR(__xludf.DUMMYFUNCTION("""COMPUTED_VALUE"""),0)</f>
        <v>0</v>
      </c>
      <c r="E2478" s="22">
        <f ca="1">IFERROR(__xludf.DUMMYFUNCTION("""COMPUTED_VALUE"""),500000)</f>
        <v>500000</v>
      </c>
      <c r="F2478" s="22">
        <f ca="1">IFERROR(__xludf.DUMMYFUNCTION("""COMPUTED_VALUE"""),500000)</f>
        <v>500000</v>
      </c>
      <c r="G2478" s="22">
        <f ca="1">IFERROR(__xludf.DUMMYFUNCTION("""COMPUTED_VALUE"""),0)</f>
        <v>0</v>
      </c>
      <c r="H2478" s="7">
        <f ca="1">IFERROR(__xludf.DUMMYFUNCTION("""COMPUTED_VALUE"""),500000)</f>
        <v>500000</v>
      </c>
    </row>
    <row r="2479" spans="1:8" ht="13" x14ac:dyDescent="0.15">
      <c r="A2479" s="5" t="str">
        <f ca="1">IFERROR(__xludf.DUMMYFUNCTION("""COMPUTED_VALUE"""),"40776")</f>
        <v>40776</v>
      </c>
      <c r="B2479" s="51">
        <f ca="1">IFERROR(__xludf.DUMMYFUNCTION("""COMPUTED_VALUE"""),44634)</f>
        <v>44634</v>
      </c>
      <c r="C2479" s="22">
        <f ca="1">IFERROR(__xludf.DUMMYFUNCTION("""COMPUTED_VALUE"""),500000)</f>
        <v>500000</v>
      </c>
      <c r="D2479" s="22">
        <f ca="1">IFERROR(__xludf.DUMMYFUNCTION("""COMPUTED_VALUE"""),0)</f>
        <v>0</v>
      </c>
      <c r="E2479" s="22">
        <f ca="1">IFERROR(__xludf.DUMMYFUNCTION("""COMPUTED_VALUE"""),500000)</f>
        <v>500000</v>
      </c>
      <c r="F2479" s="22">
        <f ca="1">IFERROR(__xludf.DUMMYFUNCTION("""COMPUTED_VALUE"""),500000)</f>
        <v>500000</v>
      </c>
      <c r="G2479" s="22">
        <f ca="1">IFERROR(__xludf.DUMMYFUNCTION("""COMPUTED_VALUE"""),0)</f>
        <v>0</v>
      </c>
      <c r="H2479" s="7">
        <f ca="1">IFERROR(__xludf.DUMMYFUNCTION("""COMPUTED_VALUE"""),500000)</f>
        <v>500000</v>
      </c>
    </row>
    <row r="2480" spans="1:8" ht="13" x14ac:dyDescent="0.15">
      <c r="A2480" s="5" t="str">
        <f ca="1">IFERROR(__xludf.DUMMYFUNCTION("""COMPUTED_VALUE"""),"40776")</f>
        <v>40776</v>
      </c>
      <c r="B2480" s="51">
        <f ca="1">IFERROR(__xludf.DUMMYFUNCTION("""COMPUTED_VALUE"""),44635)</f>
        <v>44635</v>
      </c>
      <c r="C2480" s="22">
        <f ca="1">IFERROR(__xludf.DUMMYFUNCTION("""COMPUTED_VALUE"""),500000)</f>
        <v>500000</v>
      </c>
      <c r="D2480" s="22">
        <f ca="1">IFERROR(__xludf.DUMMYFUNCTION("""COMPUTED_VALUE"""),0)</f>
        <v>0</v>
      </c>
      <c r="E2480" s="22">
        <f ca="1">IFERROR(__xludf.DUMMYFUNCTION("""COMPUTED_VALUE"""),500000)</f>
        <v>500000</v>
      </c>
      <c r="F2480" s="22">
        <f ca="1">IFERROR(__xludf.DUMMYFUNCTION("""COMPUTED_VALUE"""),500000)</f>
        <v>500000</v>
      </c>
      <c r="G2480" s="22">
        <f ca="1">IFERROR(__xludf.DUMMYFUNCTION("""COMPUTED_VALUE"""),0)</f>
        <v>0</v>
      </c>
      <c r="H2480" s="7">
        <f ca="1">IFERROR(__xludf.DUMMYFUNCTION("""COMPUTED_VALUE"""),500000)</f>
        <v>500000</v>
      </c>
    </row>
    <row r="2481" spans="1:8" ht="13" x14ac:dyDescent="0.15">
      <c r="A2481" s="5" t="str">
        <f ca="1">IFERROR(__xludf.DUMMYFUNCTION("""COMPUTED_VALUE"""),"40776")</f>
        <v>40776</v>
      </c>
      <c r="B2481" s="51">
        <f ca="1">IFERROR(__xludf.DUMMYFUNCTION("""COMPUTED_VALUE"""),44636)</f>
        <v>44636</v>
      </c>
      <c r="C2481" s="22">
        <f ca="1">IFERROR(__xludf.DUMMYFUNCTION("""COMPUTED_VALUE"""),500000)</f>
        <v>500000</v>
      </c>
      <c r="D2481" s="22">
        <f ca="1">IFERROR(__xludf.DUMMYFUNCTION("""COMPUTED_VALUE"""),0)</f>
        <v>0</v>
      </c>
      <c r="E2481" s="22">
        <f ca="1">IFERROR(__xludf.DUMMYFUNCTION("""COMPUTED_VALUE"""),500000)</f>
        <v>500000</v>
      </c>
      <c r="F2481" s="22">
        <f ca="1">IFERROR(__xludf.DUMMYFUNCTION("""COMPUTED_VALUE"""),500000)</f>
        <v>500000</v>
      </c>
      <c r="G2481" s="22">
        <f ca="1">IFERROR(__xludf.DUMMYFUNCTION("""COMPUTED_VALUE"""),0)</f>
        <v>0</v>
      </c>
      <c r="H2481" s="7">
        <f ca="1">IFERROR(__xludf.DUMMYFUNCTION("""COMPUTED_VALUE"""),500000)</f>
        <v>500000</v>
      </c>
    </row>
    <row r="2482" spans="1:8" ht="13" x14ac:dyDescent="0.15">
      <c r="A2482" s="5" t="str">
        <f ca="1">IFERROR(__xludf.DUMMYFUNCTION("""COMPUTED_VALUE"""),"40776")</f>
        <v>40776</v>
      </c>
      <c r="B2482" s="51">
        <f ca="1">IFERROR(__xludf.DUMMYFUNCTION("""COMPUTED_VALUE"""),44637)</f>
        <v>44637</v>
      </c>
      <c r="C2482" s="22">
        <f ca="1">IFERROR(__xludf.DUMMYFUNCTION("""COMPUTED_VALUE"""),500000)</f>
        <v>500000</v>
      </c>
      <c r="D2482" s="22">
        <f ca="1">IFERROR(__xludf.DUMMYFUNCTION("""COMPUTED_VALUE"""),0)</f>
        <v>0</v>
      </c>
      <c r="E2482" s="22">
        <f ca="1">IFERROR(__xludf.DUMMYFUNCTION("""COMPUTED_VALUE"""),500000)</f>
        <v>500000</v>
      </c>
      <c r="F2482" s="22">
        <f ca="1">IFERROR(__xludf.DUMMYFUNCTION("""COMPUTED_VALUE"""),500000)</f>
        <v>500000</v>
      </c>
      <c r="G2482" s="22">
        <f ca="1">IFERROR(__xludf.DUMMYFUNCTION("""COMPUTED_VALUE"""),0)</f>
        <v>0</v>
      </c>
      <c r="H2482" s="7">
        <f ca="1">IFERROR(__xludf.DUMMYFUNCTION("""COMPUTED_VALUE"""),500000)</f>
        <v>500000</v>
      </c>
    </row>
    <row r="2483" spans="1:8" ht="13" x14ac:dyDescent="0.15">
      <c r="A2483" s="5" t="str">
        <f ca="1">IFERROR(__xludf.DUMMYFUNCTION("""COMPUTED_VALUE"""),"40776")</f>
        <v>40776</v>
      </c>
      <c r="B2483" s="51">
        <f ca="1">IFERROR(__xludf.DUMMYFUNCTION("""COMPUTED_VALUE"""),44638)</f>
        <v>44638</v>
      </c>
      <c r="C2483" s="22">
        <f ca="1">IFERROR(__xludf.DUMMYFUNCTION("""COMPUTED_VALUE"""),500000)</f>
        <v>500000</v>
      </c>
      <c r="D2483" s="22">
        <f ca="1">IFERROR(__xludf.DUMMYFUNCTION("""COMPUTED_VALUE"""),0)</f>
        <v>0</v>
      </c>
      <c r="E2483" s="22">
        <f ca="1">IFERROR(__xludf.DUMMYFUNCTION("""COMPUTED_VALUE"""),500000)</f>
        <v>500000</v>
      </c>
      <c r="F2483" s="22">
        <f ca="1">IFERROR(__xludf.DUMMYFUNCTION("""COMPUTED_VALUE"""),500000)</f>
        <v>500000</v>
      </c>
      <c r="G2483" s="22">
        <f ca="1">IFERROR(__xludf.DUMMYFUNCTION("""COMPUTED_VALUE"""),0)</f>
        <v>0</v>
      </c>
      <c r="H2483" s="7">
        <f ca="1">IFERROR(__xludf.DUMMYFUNCTION("""COMPUTED_VALUE"""),500000)</f>
        <v>500000</v>
      </c>
    </row>
    <row r="2484" spans="1:8" ht="13" x14ac:dyDescent="0.15">
      <c r="A2484" s="5" t="str">
        <f ca="1">IFERROR(__xludf.DUMMYFUNCTION("""COMPUTED_VALUE"""),"40776")</f>
        <v>40776</v>
      </c>
      <c r="B2484" s="51">
        <f ca="1">IFERROR(__xludf.DUMMYFUNCTION("""COMPUTED_VALUE"""),44639)</f>
        <v>44639</v>
      </c>
      <c r="C2484" s="22">
        <f ca="1">IFERROR(__xludf.DUMMYFUNCTION("""COMPUTED_VALUE"""),500000)</f>
        <v>500000</v>
      </c>
      <c r="D2484" s="22">
        <f ca="1">IFERROR(__xludf.DUMMYFUNCTION("""COMPUTED_VALUE"""),0)</f>
        <v>0</v>
      </c>
      <c r="E2484" s="22">
        <f ca="1">IFERROR(__xludf.DUMMYFUNCTION("""COMPUTED_VALUE"""),500000)</f>
        <v>500000</v>
      </c>
      <c r="F2484" s="22">
        <f ca="1">IFERROR(__xludf.DUMMYFUNCTION("""COMPUTED_VALUE"""),500000)</f>
        <v>500000</v>
      </c>
      <c r="G2484" s="22">
        <f ca="1">IFERROR(__xludf.DUMMYFUNCTION("""COMPUTED_VALUE"""),0)</f>
        <v>0</v>
      </c>
      <c r="H2484" s="7">
        <f ca="1">IFERROR(__xludf.DUMMYFUNCTION("""COMPUTED_VALUE"""),500000)</f>
        <v>500000</v>
      </c>
    </row>
    <row r="2485" spans="1:8" ht="13" x14ac:dyDescent="0.15">
      <c r="A2485" s="5" t="str">
        <f ca="1">IFERROR(__xludf.DUMMYFUNCTION("""COMPUTED_VALUE"""),"40776")</f>
        <v>40776</v>
      </c>
      <c r="B2485" s="51">
        <f ca="1">IFERROR(__xludf.DUMMYFUNCTION("""COMPUTED_VALUE"""),44640)</f>
        <v>44640</v>
      </c>
      <c r="C2485" s="22">
        <f ca="1">IFERROR(__xludf.DUMMYFUNCTION("""COMPUTED_VALUE"""),500000)</f>
        <v>500000</v>
      </c>
      <c r="D2485" s="22">
        <f ca="1">IFERROR(__xludf.DUMMYFUNCTION("""COMPUTED_VALUE"""),0)</f>
        <v>0</v>
      </c>
      <c r="E2485" s="22">
        <f ca="1">IFERROR(__xludf.DUMMYFUNCTION("""COMPUTED_VALUE"""),500000)</f>
        <v>500000</v>
      </c>
      <c r="F2485" s="22">
        <f ca="1">IFERROR(__xludf.DUMMYFUNCTION("""COMPUTED_VALUE"""),500000)</f>
        <v>500000</v>
      </c>
      <c r="G2485" s="22">
        <f ca="1">IFERROR(__xludf.DUMMYFUNCTION("""COMPUTED_VALUE"""),0)</f>
        <v>0</v>
      </c>
      <c r="H2485" s="7">
        <f ca="1">IFERROR(__xludf.DUMMYFUNCTION("""COMPUTED_VALUE"""),500000)</f>
        <v>500000</v>
      </c>
    </row>
    <row r="2486" spans="1:8" ht="13" x14ac:dyDescent="0.15">
      <c r="A2486" s="5" t="str">
        <f ca="1">IFERROR(__xludf.DUMMYFUNCTION("""COMPUTED_VALUE"""),"40776")</f>
        <v>40776</v>
      </c>
      <c r="B2486" s="51">
        <f ca="1">IFERROR(__xludf.DUMMYFUNCTION("""COMPUTED_VALUE"""),44641)</f>
        <v>44641</v>
      </c>
      <c r="C2486" s="22">
        <f ca="1">IFERROR(__xludf.DUMMYFUNCTION("""COMPUTED_VALUE"""),500000)</f>
        <v>500000</v>
      </c>
      <c r="D2486" s="22">
        <f ca="1">IFERROR(__xludf.DUMMYFUNCTION("""COMPUTED_VALUE"""),0)</f>
        <v>0</v>
      </c>
      <c r="E2486" s="22">
        <f ca="1">IFERROR(__xludf.DUMMYFUNCTION("""COMPUTED_VALUE"""),500000)</f>
        <v>500000</v>
      </c>
      <c r="F2486" s="22">
        <f ca="1">IFERROR(__xludf.DUMMYFUNCTION("""COMPUTED_VALUE"""),500000)</f>
        <v>500000</v>
      </c>
      <c r="G2486" s="22">
        <f ca="1">IFERROR(__xludf.DUMMYFUNCTION("""COMPUTED_VALUE"""),0)</f>
        <v>0</v>
      </c>
      <c r="H2486" s="7">
        <f ca="1">IFERROR(__xludf.DUMMYFUNCTION("""COMPUTED_VALUE"""),500000)</f>
        <v>500000</v>
      </c>
    </row>
    <row r="2487" spans="1:8" ht="13" x14ac:dyDescent="0.15">
      <c r="A2487" s="5" t="str">
        <f ca="1">IFERROR(__xludf.DUMMYFUNCTION("""COMPUTED_VALUE"""),"40776")</f>
        <v>40776</v>
      </c>
      <c r="B2487" s="51">
        <f ca="1">IFERROR(__xludf.DUMMYFUNCTION("""COMPUTED_VALUE"""),44642)</f>
        <v>44642</v>
      </c>
      <c r="C2487" s="22">
        <f ca="1">IFERROR(__xludf.DUMMYFUNCTION("""COMPUTED_VALUE"""),500000)</f>
        <v>500000</v>
      </c>
      <c r="D2487" s="22">
        <f ca="1">IFERROR(__xludf.DUMMYFUNCTION("""COMPUTED_VALUE"""),0)</f>
        <v>0</v>
      </c>
      <c r="E2487" s="22">
        <f ca="1">IFERROR(__xludf.DUMMYFUNCTION("""COMPUTED_VALUE"""),500000)</f>
        <v>500000</v>
      </c>
      <c r="F2487" s="22">
        <f ca="1">IFERROR(__xludf.DUMMYFUNCTION("""COMPUTED_VALUE"""),500000)</f>
        <v>500000</v>
      </c>
      <c r="G2487" s="22">
        <f ca="1">IFERROR(__xludf.DUMMYFUNCTION("""COMPUTED_VALUE"""),0)</f>
        <v>0</v>
      </c>
      <c r="H2487" s="7">
        <f ca="1">IFERROR(__xludf.DUMMYFUNCTION("""COMPUTED_VALUE"""),500000)</f>
        <v>500000</v>
      </c>
    </row>
    <row r="2488" spans="1:8" ht="13" x14ac:dyDescent="0.15">
      <c r="A2488" s="5" t="str">
        <f ca="1">IFERROR(__xludf.DUMMYFUNCTION("""COMPUTED_VALUE"""),"45962")</f>
        <v>45962</v>
      </c>
      <c r="B2488" s="51">
        <f ca="1">IFERROR(__xludf.DUMMYFUNCTION("""COMPUTED_VALUE"""),44597)</f>
        <v>44597</v>
      </c>
      <c r="C2488" s="22">
        <f ca="1">IFERROR(__xludf.DUMMYFUNCTION("""COMPUTED_VALUE"""),500000)</f>
        <v>500000</v>
      </c>
      <c r="D2488" s="22">
        <f ca="1">IFERROR(__xludf.DUMMYFUNCTION("""COMPUTED_VALUE"""),0)</f>
        <v>0</v>
      </c>
      <c r="E2488" s="22">
        <f ca="1">IFERROR(__xludf.DUMMYFUNCTION("""COMPUTED_VALUE"""),500000)</f>
        <v>500000</v>
      </c>
      <c r="F2488" s="22">
        <f ca="1">IFERROR(__xludf.DUMMYFUNCTION("""COMPUTED_VALUE"""),500000)</f>
        <v>500000</v>
      </c>
      <c r="G2488" s="22">
        <f ca="1">IFERROR(__xludf.DUMMYFUNCTION("""COMPUTED_VALUE"""),0)</f>
        <v>0</v>
      </c>
      <c r="H2488" s="7">
        <f ca="1">IFERROR(__xludf.DUMMYFUNCTION("""COMPUTED_VALUE"""),500000)</f>
        <v>500000</v>
      </c>
    </row>
    <row r="2489" spans="1:8" ht="13" x14ac:dyDescent="0.15">
      <c r="A2489" s="5" t="str">
        <f ca="1">IFERROR(__xludf.DUMMYFUNCTION("""COMPUTED_VALUE"""),"45962")</f>
        <v>45962</v>
      </c>
      <c r="B2489" s="51">
        <f ca="1">IFERROR(__xludf.DUMMYFUNCTION("""COMPUTED_VALUE"""),44598)</f>
        <v>44598</v>
      </c>
      <c r="C2489" s="22">
        <f ca="1">IFERROR(__xludf.DUMMYFUNCTION("""COMPUTED_VALUE"""),500000)</f>
        <v>500000</v>
      </c>
      <c r="D2489" s="22">
        <f ca="1">IFERROR(__xludf.DUMMYFUNCTION("""COMPUTED_VALUE"""),0)</f>
        <v>0</v>
      </c>
      <c r="E2489" s="22">
        <f ca="1">IFERROR(__xludf.DUMMYFUNCTION("""COMPUTED_VALUE"""),500000)</f>
        <v>500000</v>
      </c>
      <c r="F2489" s="22">
        <f ca="1">IFERROR(__xludf.DUMMYFUNCTION("""COMPUTED_VALUE"""),500000)</f>
        <v>500000</v>
      </c>
      <c r="G2489" s="22">
        <f ca="1">IFERROR(__xludf.DUMMYFUNCTION("""COMPUTED_VALUE"""),0)</f>
        <v>0</v>
      </c>
      <c r="H2489" s="7">
        <f ca="1">IFERROR(__xludf.DUMMYFUNCTION("""COMPUTED_VALUE"""),500000)</f>
        <v>500000</v>
      </c>
    </row>
    <row r="2490" spans="1:8" ht="13" x14ac:dyDescent="0.15">
      <c r="A2490" s="5" t="str">
        <f ca="1">IFERROR(__xludf.DUMMYFUNCTION("""COMPUTED_VALUE"""),"45962")</f>
        <v>45962</v>
      </c>
      <c r="B2490" s="51">
        <f ca="1">IFERROR(__xludf.DUMMYFUNCTION("""COMPUTED_VALUE"""),44599)</f>
        <v>44599</v>
      </c>
      <c r="C2490" s="22">
        <f ca="1">IFERROR(__xludf.DUMMYFUNCTION("""COMPUTED_VALUE"""),500000)</f>
        <v>500000</v>
      </c>
      <c r="D2490" s="22">
        <f ca="1">IFERROR(__xludf.DUMMYFUNCTION("""COMPUTED_VALUE"""),0)</f>
        <v>0</v>
      </c>
      <c r="E2490" s="22">
        <f ca="1">IFERROR(__xludf.DUMMYFUNCTION("""COMPUTED_VALUE"""),500000)</f>
        <v>500000</v>
      </c>
      <c r="F2490" s="22">
        <f ca="1">IFERROR(__xludf.DUMMYFUNCTION("""COMPUTED_VALUE"""),500000)</f>
        <v>500000</v>
      </c>
      <c r="G2490" s="22">
        <f ca="1">IFERROR(__xludf.DUMMYFUNCTION("""COMPUTED_VALUE"""),0)</f>
        <v>0</v>
      </c>
      <c r="H2490" s="7">
        <f ca="1">IFERROR(__xludf.DUMMYFUNCTION("""COMPUTED_VALUE"""),500000)</f>
        <v>500000</v>
      </c>
    </row>
    <row r="2491" spans="1:8" ht="13" x14ac:dyDescent="0.15">
      <c r="A2491" s="5" t="str">
        <f ca="1">IFERROR(__xludf.DUMMYFUNCTION("""COMPUTED_VALUE"""),"45962")</f>
        <v>45962</v>
      </c>
      <c r="B2491" s="51">
        <f ca="1">IFERROR(__xludf.DUMMYFUNCTION("""COMPUTED_VALUE"""),44600)</f>
        <v>44600</v>
      </c>
      <c r="C2491" s="22">
        <f ca="1">IFERROR(__xludf.DUMMYFUNCTION("""COMPUTED_VALUE"""),500000)</f>
        <v>500000</v>
      </c>
      <c r="D2491" s="22">
        <f ca="1">IFERROR(__xludf.DUMMYFUNCTION("""COMPUTED_VALUE"""),0)</f>
        <v>0</v>
      </c>
      <c r="E2491" s="22">
        <f ca="1">IFERROR(__xludf.DUMMYFUNCTION("""COMPUTED_VALUE"""),500000)</f>
        <v>500000</v>
      </c>
      <c r="F2491" s="22">
        <f ca="1">IFERROR(__xludf.DUMMYFUNCTION("""COMPUTED_VALUE"""),500000)</f>
        <v>500000</v>
      </c>
      <c r="G2491" s="22">
        <f ca="1">IFERROR(__xludf.DUMMYFUNCTION("""COMPUTED_VALUE"""),0)</f>
        <v>0</v>
      </c>
      <c r="H2491" s="7">
        <f ca="1">IFERROR(__xludf.DUMMYFUNCTION("""COMPUTED_VALUE"""),500000)</f>
        <v>500000</v>
      </c>
    </row>
    <row r="2492" spans="1:8" ht="13" x14ac:dyDescent="0.15">
      <c r="A2492" s="5" t="str">
        <f ca="1">IFERROR(__xludf.DUMMYFUNCTION("""COMPUTED_VALUE"""),"45962")</f>
        <v>45962</v>
      </c>
      <c r="B2492" s="51">
        <f ca="1">IFERROR(__xludf.DUMMYFUNCTION("""COMPUTED_VALUE"""),44601)</f>
        <v>44601</v>
      </c>
      <c r="C2492" s="22">
        <f ca="1">IFERROR(__xludf.DUMMYFUNCTION("""COMPUTED_VALUE"""),500000)</f>
        <v>500000</v>
      </c>
      <c r="D2492" s="22">
        <f ca="1">IFERROR(__xludf.DUMMYFUNCTION("""COMPUTED_VALUE"""),0)</f>
        <v>0</v>
      </c>
      <c r="E2492" s="22">
        <f ca="1">IFERROR(__xludf.DUMMYFUNCTION("""COMPUTED_VALUE"""),500000)</f>
        <v>500000</v>
      </c>
      <c r="F2492" s="22">
        <f ca="1">IFERROR(__xludf.DUMMYFUNCTION("""COMPUTED_VALUE"""),500000)</f>
        <v>500000</v>
      </c>
      <c r="G2492" s="22">
        <f ca="1">IFERROR(__xludf.DUMMYFUNCTION("""COMPUTED_VALUE"""),0)</f>
        <v>0</v>
      </c>
      <c r="H2492" s="7">
        <f ca="1">IFERROR(__xludf.DUMMYFUNCTION("""COMPUTED_VALUE"""),500000)</f>
        <v>500000</v>
      </c>
    </row>
    <row r="2493" spans="1:8" ht="13" x14ac:dyDescent="0.15">
      <c r="A2493" s="5" t="str">
        <f ca="1">IFERROR(__xludf.DUMMYFUNCTION("""COMPUTED_VALUE"""),"45962")</f>
        <v>45962</v>
      </c>
      <c r="B2493" s="51">
        <f ca="1">IFERROR(__xludf.DUMMYFUNCTION("""COMPUTED_VALUE"""),44602)</f>
        <v>44602</v>
      </c>
      <c r="C2493" s="22">
        <f ca="1">IFERROR(__xludf.DUMMYFUNCTION("""COMPUTED_VALUE"""),500000)</f>
        <v>500000</v>
      </c>
      <c r="D2493" s="22">
        <f ca="1">IFERROR(__xludf.DUMMYFUNCTION("""COMPUTED_VALUE"""),0)</f>
        <v>0</v>
      </c>
      <c r="E2493" s="22">
        <f ca="1">IFERROR(__xludf.DUMMYFUNCTION("""COMPUTED_VALUE"""),500000)</f>
        <v>500000</v>
      </c>
      <c r="F2493" s="22">
        <f ca="1">IFERROR(__xludf.DUMMYFUNCTION("""COMPUTED_VALUE"""),500000)</f>
        <v>500000</v>
      </c>
      <c r="G2493" s="22">
        <f ca="1">IFERROR(__xludf.DUMMYFUNCTION("""COMPUTED_VALUE"""),0)</f>
        <v>0</v>
      </c>
      <c r="H2493" s="7">
        <f ca="1">IFERROR(__xludf.DUMMYFUNCTION("""COMPUTED_VALUE"""),500000)</f>
        <v>500000</v>
      </c>
    </row>
    <row r="2494" spans="1:8" ht="13" x14ac:dyDescent="0.15">
      <c r="A2494" s="5" t="str">
        <f ca="1">IFERROR(__xludf.DUMMYFUNCTION("""COMPUTED_VALUE"""),"45962")</f>
        <v>45962</v>
      </c>
      <c r="B2494" s="51">
        <f ca="1">IFERROR(__xludf.DUMMYFUNCTION("""COMPUTED_VALUE"""),44603)</f>
        <v>44603</v>
      </c>
      <c r="C2494" s="22">
        <f ca="1">IFERROR(__xludf.DUMMYFUNCTION("""COMPUTED_VALUE"""),500000)</f>
        <v>500000</v>
      </c>
      <c r="D2494" s="22">
        <f ca="1">IFERROR(__xludf.DUMMYFUNCTION("""COMPUTED_VALUE"""),0)</f>
        <v>0</v>
      </c>
      <c r="E2494" s="22">
        <f ca="1">IFERROR(__xludf.DUMMYFUNCTION("""COMPUTED_VALUE"""),500000)</f>
        <v>500000</v>
      </c>
      <c r="F2494" s="22">
        <f ca="1">IFERROR(__xludf.DUMMYFUNCTION("""COMPUTED_VALUE"""),500000)</f>
        <v>500000</v>
      </c>
      <c r="G2494" s="22">
        <f ca="1">IFERROR(__xludf.DUMMYFUNCTION("""COMPUTED_VALUE"""),0)</f>
        <v>0</v>
      </c>
      <c r="H2494" s="7">
        <f ca="1">IFERROR(__xludf.DUMMYFUNCTION("""COMPUTED_VALUE"""),500000)</f>
        <v>500000</v>
      </c>
    </row>
    <row r="2495" spans="1:8" ht="13" x14ac:dyDescent="0.15">
      <c r="A2495" s="5" t="str">
        <f ca="1">IFERROR(__xludf.DUMMYFUNCTION("""COMPUTED_VALUE"""),"45962")</f>
        <v>45962</v>
      </c>
      <c r="B2495" s="51">
        <f ca="1">IFERROR(__xludf.DUMMYFUNCTION("""COMPUTED_VALUE"""),44604)</f>
        <v>44604</v>
      </c>
      <c r="C2495" s="22">
        <f ca="1">IFERROR(__xludf.DUMMYFUNCTION("""COMPUTED_VALUE"""),500000)</f>
        <v>500000</v>
      </c>
      <c r="D2495" s="22">
        <f ca="1">IFERROR(__xludf.DUMMYFUNCTION("""COMPUTED_VALUE"""),0)</f>
        <v>0</v>
      </c>
      <c r="E2495" s="22">
        <f ca="1">IFERROR(__xludf.DUMMYFUNCTION("""COMPUTED_VALUE"""),500000)</f>
        <v>500000</v>
      </c>
      <c r="F2495" s="22">
        <f ca="1">IFERROR(__xludf.DUMMYFUNCTION("""COMPUTED_VALUE"""),500000)</f>
        <v>500000</v>
      </c>
      <c r="G2495" s="22">
        <f ca="1">IFERROR(__xludf.DUMMYFUNCTION("""COMPUTED_VALUE"""),0)</f>
        <v>0</v>
      </c>
      <c r="H2495" s="7">
        <f ca="1">IFERROR(__xludf.DUMMYFUNCTION("""COMPUTED_VALUE"""),500000)</f>
        <v>500000</v>
      </c>
    </row>
    <row r="2496" spans="1:8" ht="13" x14ac:dyDescent="0.15">
      <c r="A2496" s="5" t="str">
        <f ca="1">IFERROR(__xludf.DUMMYFUNCTION("""COMPUTED_VALUE"""),"45962")</f>
        <v>45962</v>
      </c>
      <c r="B2496" s="51">
        <f ca="1">IFERROR(__xludf.DUMMYFUNCTION("""COMPUTED_VALUE"""),44605)</f>
        <v>44605</v>
      </c>
      <c r="C2496" s="22">
        <f ca="1">IFERROR(__xludf.DUMMYFUNCTION("""COMPUTED_VALUE"""),500000)</f>
        <v>500000</v>
      </c>
      <c r="D2496" s="22">
        <f ca="1">IFERROR(__xludf.DUMMYFUNCTION("""COMPUTED_VALUE"""),0)</f>
        <v>0</v>
      </c>
      <c r="E2496" s="22">
        <f ca="1">IFERROR(__xludf.DUMMYFUNCTION("""COMPUTED_VALUE"""),500000)</f>
        <v>500000</v>
      </c>
      <c r="F2496" s="22">
        <f ca="1">IFERROR(__xludf.DUMMYFUNCTION("""COMPUTED_VALUE"""),500000)</f>
        <v>500000</v>
      </c>
      <c r="G2496" s="22">
        <f ca="1">IFERROR(__xludf.DUMMYFUNCTION("""COMPUTED_VALUE"""),0)</f>
        <v>0</v>
      </c>
      <c r="H2496" s="7">
        <f ca="1">IFERROR(__xludf.DUMMYFUNCTION("""COMPUTED_VALUE"""),500000)</f>
        <v>500000</v>
      </c>
    </row>
    <row r="2497" spans="1:8" ht="13" x14ac:dyDescent="0.15">
      <c r="A2497" s="5" t="str">
        <f ca="1">IFERROR(__xludf.DUMMYFUNCTION("""COMPUTED_VALUE"""),"45962")</f>
        <v>45962</v>
      </c>
      <c r="B2497" s="51">
        <f ca="1">IFERROR(__xludf.DUMMYFUNCTION("""COMPUTED_VALUE"""),44606)</f>
        <v>44606</v>
      </c>
      <c r="C2497" s="22">
        <f ca="1">IFERROR(__xludf.DUMMYFUNCTION("""COMPUTED_VALUE"""),500000)</f>
        <v>500000</v>
      </c>
      <c r="D2497" s="22">
        <f ca="1">IFERROR(__xludf.DUMMYFUNCTION("""COMPUTED_VALUE"""),0)</f>
        <v>0</v>
      </c>
      <c r="E2497" s="22">
        <f ca="1">IFERROR(__xludf.DUMMYFUNCTION("""COMPUTED_VALUE"""),500000)</f>
        <v>500000</v>
      </c>
      <c r="F2497" s="22">
        <f ca="1">IFERROR(__xludf.DUMMYFUNCTION("""COMPUTED_VALUE"""),500000)</f>
        <v>500000</v>
      </c>
      <c r="G2497" s="22">
        <f ca="1">IFERROR(__xludf.DUMMYFUNCTION("""COMPUTED_VALUE"""),0)</f>
        <v>0</v>
      </c>
      <c r="H2497" s="7">
        <f ca="1">IFERROR(__xludf.DUMMYFUNCTION("""COMPUTED_VALUE"""),500000)</f>
        <v>500000</v>
      </c>
    </row>
    <row r="2498" spans="1:8" ht="13" x14ac:dyDescent="0.15">
      <c r="A2498" s="5" t="str">
        <f ca="1">IFERROR(__xludf.DUMMYFUNCTION("""COMPUTED_VALUE"""),"45962")</f>
        <v>45962</v>
      </c>
      <c r="B2498" s="51">
        <f ca="1">IFERROR(__xludf.DUMMYFUNCTION("""COMPUTED_VALUE"""),44607)</f>
        <v>44607</v>
      </c>
      <c r="C2498" s="22">
        <f ca="1">IFERROR(__xludf.DUMMYFUNCTION("""COMPUTED_VALUE"""),500000)</f>
        <v>500000</v>
      </c>
      <c r="D2498" s="22">
        <f ca="1">IFERROR(__xludf.DUMMYFUNCTION("""COMPUTED_VALUE"""),0)</f>
        <v>0</v>
      </c>
      <c r="E2498" s="22">
        <f ca="1">IFERROR(__xludf.DUMMYFUNCTION("""COMPUTED_VALUE"""),500000)</f>
        <v>500000</v>
      </c>
      <c r="F2498" s="22">
        <f ca="1">IFERROR(__xludf.DUMMYFUNCTION("""COMPUTED_VALUE"""),500000)</f>
        <v>500000</v>
      </c>
      <c r="G2498" s="22">
        <f ca="1">IFERROR(__xludf.DUMMYFUNCTION("""COMPUTED_VALUE"""),0)</f>
        <v>0</v>
      </c>
      <c r="H2498" s="7">
        <f ca="1">IFERROR(__xludf.DUMMYFUNCTION("""COMPUTED_VALUE"""),500000)</f>
        <v>500000</v>
      </c>
    </row>
    <row r="2499" spans="1:8" ht="13" x14ac:dyDescent="0.15">
      <c r="A2499" s="5" t="str">
        <f ca="1">IFERROR(__xludf.DUMMYFUNCTION("""COMPUTED_VALUE"""),"45962")</f>
        <v>45962</v>
      </c>
      <c r="B2499" s="51">
        <f ca="1">IFERROR(__xludf.DUMMYFUNCTION("""COMPUTED_VALUE"""),44608)</f>
        <v>44608</v>
      </c>
      <c r="C2499" s="22">
        <f ca="1">IFERROR(__xludf.DUMMYFUNCTION("""COMPUTED_VALUE"""),500000)</f>
        <v>500000</v>
      </c>
      <c r="D2499" s="22">
        <f ca="1">IFERROR(__xludf.DUMMYFUNCTION("""COMPUTED_VALUE"""),0)</f>
        <v>0</v>
      </c>
      <c r="E2499" s="22">
        <f ca="1">IFERROR(__xludf.DUMMYFUNCTION("""COMPUTED_VALUE"""),500000)</f>
        <v>500000</v>
      </c>
      <c r="F2499" s="22">
        <f ca="1">IFERROR(__xludf.DUMMYFUNCTION("""COMPUTED_VALUE"""),500000)</f>
        <v>500000</v>
      </c>
      <c r="G2499" s="22">
        <f ca="1">IFERROR(__xludf.DUMMYFUNCTION("""COMPUTED_VALUE"""),0)</f>
        <v>0</v>
      </c>
      <c r="H2499" s="7">
        <f ca="1">IFERROR(__xludf.DUMMYFUNCTION("""COMPUTED_VALUE"""),500000)</f>
        <v>500000</v>
      </c>
    </row>
    <row r="2500" spans="1:8" ht="13" x14ac:dyDescent="0.15">
      <c r="A2500" s="5" t="str">
        <f ca="1">IFERROR(__xludf.DUMMYFUNCTION("""COMPUTED_VALUE"""),"45962")</f>
        <v>45962</v>
      </c>
      <c r="B2500" s="51">
        <f ca="1">IFERROR(__xludf.DUMMYFUNCTION("""COMPUTED_VALUE"""),44609)</f>
        <v>44609</v>
      </c>
      <c r="C2500" s="22">
        <f ca="1">IFERROR(__xludf.DUMMYFUNCTION("""COMPUTED_VALUE"""),500000)</f>
        <v>500000</v>
      </c>
      <c r="D2500" s="22">
        <f ca="1">IFERROR(__xludf.DUMMYFUNCTION("""COMPUTED_VALUE"""),0)</f>
        <v>0</v>
      </c>
      <c r="E2500" s="22">
        <f ca="1">IFERROR(__xludf.DUMMYFUNCTION("""COMPUTED_VALUE"""),500000)</f>
        <v>500000</v>
      </c>
      <c r="F2500" s="22">
        <f ca="1">IFERROR(__xludf.DUMMYFUNCTION("""COMPUTED_VALUE"""),500000)</f>
        <v>500000</v>
      </c>
      <c r="G2500" s="22">
        <f ca="1">IFERROR(__xludf.DUMMYFUNCTION("""COMPUTED_VALUE"""),0)</f>
        <v>0</v>
      </c>
      <c r="H2500" s="7">
        <f ca="1">IFERROR(__xludf.DUMMYFUNCTION("""COMPUTED_VALUE"""),500000)</f>
        <v>500000</v>
      </c>
    </row>
    <row r="2501" spans="1:8" ht="13" x14ac:dyDescent="0.15">
      <c r="A2501" s="5" t="str">
        <f ca="1">IFERROR(__xludf.DUMMYFUNCTION("""COMPUTED_VALUE"""),"45962")</f>
        <v>45962</v>
      </c>
      <c r="B2501" s="51">
        <f ca="1">IFERROR(__xludf.DUMMYFUNCTION("""COMPUTED_VALUE"""),44610)</f>
        <v>44610</v>
      </c>
      <c r="C2501" s="22">
        <f ca="1">IFERROR(__xludf.DUMMYFUNCTION("""COMPUTED_VALUE"""),500000)</f>
        <v>500000</v>
      </c>
      <c r="D2501" s="22">
        <f ca="1">IFERROR(__xludf.DUMMYFUNCTION("""COMPUTED_VALUE"""),0)</f>
        <v>0</v>
      </c>
      <c r="E2501" s="22">
        <f ca="1">IFERROR(__xludf.DUMMYFUNCTION("""COMPUTED_VALUE"""),500000)</f>
        <v>500000</v>
      </c>
      <c r="F2501" s="22">
        <f ca="1">IFERROR(__xludf.DUMMYFUNCTION("""COMPUTED_VALUE"""),500000)</f>
        <v>500000</v>
      </c>
      <c r="G2501" s="22">
        <f ca="1">IFERROR(__xludf.DUMMYFUNCTION("""COMPUTED_VALUE"""),0)</f>
        <v>0</v>
      </c>
      <c r="H2501" s="7">
        <f ca="1">IFERROR(__xludf.DUMMYFUNCTION("""COMPUTED_VALUE"""),500000)</f>
        <v>500000</v>
      </c>
    </row>
    <row r="2502" spans="1:8" ht="13" x14ac:dyDescent="0.15">
      <c r="A2502" s="5" t="str">
        <f ca="1">IFERROR(__xludf.DUMMYFUNCTION("""COMPUTED_VALUE"""),"45962")</f>
        <v>45962</v>
      </c>
      <c r="B2502" s="51">
        <f ca="1">IFERROR(__xludf.DUMMYFUNCTION("""COMPUTED_VALUE"""),44611)</f>
        <v>44611</v>
      </c>
      <c r="C2502" s="22">
        <f ca="1">IFERROR(__xludf.DUMMYFUNCTION("""COMPUTED_VALUE"""),500000)</f>
        <v>500000</v>
      </c>
      <c r="D2502" s="22">
        <f ca="1">IFERROR(__xludf.DUMMYFUNCTION("""COMPUTED_VALUE"""),0)</f>
        <v>0</v>
      </c>
      <c r="E2502" s="22">
        <f ca="1">IFERROR(__xludf.DUMMYFUNCTION("""COMPUTED_VALUE"""),500000)</f>
        <v>500000</v>
      </c>
      <c r="F2502" s="22">
        <f ca="1">IFERROR(__xludf.DUMMYFUNCTION("""COMPUTED_VALUE"""),500000)</f>
        <v>500000</v>
      </c>
      <c r="G2502" s="22">
        <f ca="1">IFERROR(__xludf.DUMMYFUNCTION("""COMPUTED_VALUE"""),0)</f>
        <v>0</v>
      </c>
      <c r="H2502" s="7">
        <f ca="1">IFERROR(__xludf.DUMMYFUNCTION("""COMPUTED_VALUE"""),500000)</f>
        <v>500000</v>
      </c>
    </row>
    <row r="2503" spans="1:8" ht="13" x14ac:dyDescent="0.15">
      <c r="A2503" s="5" t="str">
        <f ca="1">IFERROR(__xludf.DUMMYFUNCTION("""COMPUTED_VALUE"""),"45962")</f>
        <v>45962</v>
      </c>
      <c r="B2503" s="51">
        <f ca="1">IFERROR(__xludf.DUMMYFUNCTION("""COMPUTED_VALUE"""),44612)</f>
        <v>44612</v>
      </c>
      <c r="C2503" s="22">
        <f ca="1">IFERROR(__xludf.DUMMYFUNCTION("""COMPUTED_VALUE"""),500000)</f>
        <v>500000</v>
      </c>
      <c r="D2503" s="22">
        <f ca="1">IFERROR(__xludf.DUMMYFUNCTION("""COMPUTED_VALUE"""),0)</f>
        <v>0</v>
      </c>
      <c r="E2503" s="22">
        <f ca="1">IFERROR(__xludf.DUMMYFUNCTION("""COMPUTED_VALUE"""),500000)</f>
        <v>500000</v>
      </c>
      <c r="F2503" s="22">
        <f ca="1">IFERROR(__xludf.DUMMYFUNCTION("""COMPUTED_VALUE"""),500000)</f>
        <v>500000</v>
      </c>
      <c r="G2503" s="22">
        <f ca="1">IFERROR(__xludf.DUMMYFUNCTION("""COMPUTED_VALUE"""),0)</f>
        <v>0</v>
      </c>
      <c r="H2503" s="7">
        <f ca="1">IFERROR(__xludf.DUMMYFUNCTION("""COMPUTED_VALUE"""),500000)</f>
        <v>500000</v>
      </c>
    </row>
    <row r="2504" spans="1:8" ht="13" x14ac:dyDescent="0.15">
      <c r="A2504" s="5" t="str">
        <f ca="1">IFERROR(__xludf.DUMMYFUNCTION("""COMPUTED_VALUE"""),"45962")</f>
        <v>45962</v>
      </c>
      <c r="B2504" s="51">
        <f ca="1">IFERROR(__xludf.DUMMYFUNCTION("""COMPUTED_VALUE"""),44613)</f>
        <v>44613</v>
      </c>
      <c r="C2504" s="22">
        <f ca="1">IFERROR(__xludf.DUMMYFUNCTION("""COMPUTED_VALUE"""),500000)</f>
        <v>500000</v>
      </c>
      <c r="D2504" s="22">
        <f ca="1">IFERROR(__xludf.DUMMYFUNCTION("""COMPUTED_VALUE"""),0)</f>
        <v>0</v>
      </c>
      <c r="E2504" s="22">
        <f ca="1">IFERROR(__xludf.DUMMYFUNCTION("""COMPUTED_VALUE"""),500000)</f>
        <v>500000</v>
      </c>
      <c r="F2504" s="22">
        <f ca="1">IFERROR(__xludf.DUMMYFUNCTION("""COMPUTED_VALUE"""),500000)</f>
        <v>500000</v>
      </c>
      <c r="G2504" s="22">
        <f ca="1">IFERROR(__xludf.DUMMYFUNCTION("""COMPUTED_VALUE"""),0)</f>
        <v>0</v>
      </c>
      <c r="H2504" s="7">
        <f ca="1">IFERROR(__xludf.DUMMYFUNCTION("""COMPUTED_VALUE"""),500000)</f>
        <v>500000</v>
      </c>
    </row>
    <row r="2505" spans="1:8" ht="13" x14ac:dyDescent="0.15">
      <c r="A2505" s="5" t="str">
        <f ca="1">IFERROR(__xludf.DUMMYFUNCTION("""COMPUTED_VALUE"""),"45962")</f>
        <v>45962</v>
      </c>
      <c r="B2505" s="51">
        <f ca="1">IFERROR(__xludf.DUMMYFUNCTION("""COMPUTED_VALUE"""),44614)</f>
        <v>44614</v>
      </c>
      <c r="C2505" s="22">
        <f ca="1">IFERROR(__xludf.DUMMYFUNCTION("""COMPUTED_VALUE"""),500000)</f>
        <v>500000</v>
      </c>
      <c r="D2505" s="22">
        <f ca="1">IFERROR(__xludf.DUMMYFUNCTION("""COMPUTED_VALUE"""),0)</f>
        <v>0</v>
      </c>
      <c r="E2505" s="22">
        <f ca="1">IFERROR(__xludf.DUMMYFUNCTION("""COMPUTED_VALUE"""),500000)</f>
        <v>500000</v>
      </c>
      <c r="F2505" s="22">
        <f ca="1">IFERROR(__xludf.DUMMYFUNCTION("""COMPUTED_VALUE"""),500000)</f>
        <v>500000</v>
      </c>
      <c r="G2505" s="22">
        <f ca="1">IFERROR(__xludf.DUMMYFUNCTION("""COMPUTED_VALUE"""),0)</f>
        <v>0</v>
      </c>
      <c r="H2505" s="7">
        <f ca="1">IFERROR(__xludf.DUMMYFUNCTION("""COMPUTED_VALUE"""),500000)</f>
        <v>500000</v>
      </c>
    </row>
    <row r="2506" spans="1:8" ht="13" x14ac:dyDescent="0.15">
      <c r="A2506" s="5" t="str">
        <f ca="1">IFERROR(__xludf.DUMMYFUNCTION("""COMPUTED_VALUE"""),"45962")</f>
        <v>45962</v>
      </c>
      <c r="B2506" s="51">
        <f ca="1">IFERROR(__xludf.DUMMYFUNCTION("""COMPUTED_VALUE"""),44615)</f>
        <v>44615</v>
      </c>
      <c r="C2506" s="22">
        <f ca="1">IFERROR(__xludf.DUMMYFUNCTION("""COMPUTED_VALUE"""),500000)</f>
        <v>500000</v>
      </c>
      <c r="D2506" s="22">
        <f ca="1">IFERROR(__xludf.DUMMYFUNCTION("""COMPUTED_VALUE"""),0)</f>
        <v>0</v>
      </c>
      <c r="E2506" s="22">
        <f ca="1">IFERROR(__xludf.DUMMYFUNCTION("""COMPUTED_VALUE"""),500000)</f>
        <v>500000</v>
      </c>
      <c r="F2506" s="22">
        <f ca="1">IFERROR(__xludf.DUMMYFUNCTION("""COMPUTED_VALUE"""),500000)</f>
        <v>500000</v>
      </c>
      <c r="G2506" s="22">
        <f ca="1">IFERROR(__xludf.DUMMYFUNCTION("""COMPUTED_VALUE"""),0)</f>
        <v>0</v>
      </c>
      <c r="H2506" s="7">
        <f ca="1">IFERROR(__xludf.DUMMYFUNCTION("""COMPUTED_VALUE"""),500000)</f>
        <v>500000</v>
      </c>
    </row>
    <row r="2507" spans="1:8" ht="13" x14ac:dyDescent="0.15">
      <c r="A2507" s="5" t="str">
        <f ca="1">IFERROR(__xludf.DUMMYFUNCTION("""COMPUTED_VALUE"""),"45962")</f>
        <v>45962</v>
      </c>
      <c r="B2507" s="51">
        <f ca="1">IFERROR(__xludf.DUMMYFUNCTION("""COMPUTED_VALUE"""),44616)</f>
        <v>44616</v>
      </c>
      <c r="C2507" s="22">
        <f ca="1">IFERROR(__xludf.DUMMYFUNCTION("""COMPUTED_VALUE"""),500000)</f>
        <v>500000</v>
      </c>
      <c r="D2507" s="22">
        <f ca="1">IFERROR(__xludf.DUMMYFUNCTION("""COMPUTED_VALUE"""),0)</f>
        <v>0</v>
      </c>
      <c r="E2507" s="22">
        <f ca="1">IFERROR(__xludf.DUMMYFUNCTION("""COMPUTED_VALUE"""),500000)</f>
        <v>500000</v>
      </c>
      <c r="F2507" s="22">
        <f ca="1">IFERROR(__xludf.DUMMYFUNCTION("""COMPUTED_VALUE"""),500000)</f>
        <v>500000</v>
      </c>
      <c r="G2507" s="22">
        <f ca="1">IFERROR(__xludf.DUMMYFUNCTION("""COMPUTED_VALUE"""),0)</f>
        <v>0</v>
      </c>
      <c r="H2507" s="7">
        <f ca="1">IFERROR(__xludf.DUMMYFUNCTION("""COMPUTED_VALUE"""),500000)</f>
        <v>500000</v>
      </c>
    </row>
    <row r="2508" spans="1:8" ht="13" x14ac:dyDescent="0.15">
      <c r="A2508" s="5" t="str">
        <f ca="1">IFERROR(__xludf.DUMMYFUNCTION("""COMPUTED_VALUE"""),"45962")</f>
        <v>45962</v>
      </c>
      <c r="B2508" s="51">
        <f ca="1">IFERROR(__xludf.DUMMYFUNCTION("""COMPUTED_VALUE"""),44617)</f>
        <v>44617</v>
      </c>
      <c r="C2508" s="22">
        <f ca="1">IFERROR(__xludf.DUMMYFUNCTION("""COMPUTED_VALUE"""),500000)</f>
        <v>500000</v>
      </c>
      <c r="D2508" s="22">
        <f ca="1">IFERROR(__xludf.DUMMYFUNCTION("""COMPUTED_VALUE"""),0)</f>
        <v>0</v>
      </c>
      <c r="E2508" s="22">
        <f ca="1">IFERROR(__xludf.DUMMYFUNCTION("""COMPUTED_VALUE"""),500000)</f>
        <v>500000</v>
      </c>
      <c r="F2508" s="22">
        <f ca="1">IFERROR(__xludf.DUMMYFUNCTION("""COMPUTED_VALUE"""),500000)</f>
        <v>500000</v>
      </c>
      <c r="G2508" s="22">
        <f ca="1">IFERROR(__xludf.DUMMYFUNCTION("""COMPUTED_VALUE"""),0)</f>
        <v>0</v>
      </c>
      <c r="H2508" s="7">
        <f ca="1">IFERROR(__xludf.DUMMYFUNCTION("""COMPUTED_VALUE"""),500000)</f>
        <v>500000</v>
      </c>
    </row>
    <row r="2509" spans="1:8" ht="13" x14ac:dyDescent="0.15">
      <c r="A2509" s="5" t="str">
        <f ca="1">IFERROR(__xludf.DUMMYFUNCTION("""COMPUTED_VALUE"""),"45962")</f>
        <v>45962</v>
      </c>
      <c r="B2509" s="51">
        <f ca="1">IFERROR(__xludf.DUMMYFUNCTION("""COMPUTED_VALUE"""),44618)</f>
        <v>44618</v>
      </c>
      <c r="C2509" s="22">
        <f ca="1">IFERROR(__xludf.DUMMYFUNCTION("""COMPUTED_VALUE"""),500000)</f>
        <v>500000</v>
      </c>
      <c r="D2509" s="22">
        <f ca="1">IFERROR(__xludf.DUMMYFUNCTION("""COMPUTED_VALUE"""),0)</f>
        <v>0</v>
      </c>
      <c r="E2509" s="22">
        <f ca="1">IFERROR(__xludf.DUMMYFUNCTION("""COMPUTED_VALUE"""),500000)</f>
        <v>500000</v>
      </c>
      <c r="F2509" s="22">
        <f ca="1">IFERROR(__xludf.DUMMYFUNCTION("""COMPUTED_VALUE"""),500000)</f>
        <v>500000</v>
      </c>
      <c r="G2509" s="22">
        <f ca="1">IFERROR(__xludf.DUMMYFUNCTION("""COMPUTED_VALUE"""),0)</f>
        <v>0</v>
      </c>
      <c r="H2509" s="7">
        <f ca="1">IFERROR(__xludf.DUMMYFUNCTION("""COMPUTED_VALUE"""),500000)</f>
        <v>500000</v>
      </c>
    </row>
    <row r="2510" spans="1:8" ht="13" x14ac:dyDescent="0.15">
      <c r="A2510" s="5" t="str">
        <f ca="1">IFERROR(__xludf.DUMMYFUNCTION("""COMPUTED_VALUE"""),"45962")</f>
        <v>45962</v>
      </c>
      <c r="B2510" s="51">
        <f ca="1">IFERROR(__xludf.DUMMYFUNCTION("""COMPUTED_VALUE"""),44619)</f>
        <v>44619</v>
      </c>
      <c r="C2510" s="22">
        <f ca="1">IFERROR(__xludf.DUMMYFUNCTION("""COMPUTED_VALUE"""),500000)</f>
        <v>500000</v>
      </c>
      <c r="D2510" s="22">
        <f ca="1">IFERROR(__xludf.DUMMYFUNCTION("""COMPUTED_VALUE"""),0)</f>
        <v>0</v>
      </c>
      <c r="E2510" s="22">
        <f ca="1">IFERROR(__xludf.DUMMYFUNCTION("""COMPUTED_VALUE"""),500000)</f>
        <v>500000</v>
      </c>
      <c r="F2510" s="22">
        <f ca="1">IFERROR(__xludf.DUMMYFUNCTION("""COMPUTED_VALUE"""),500000)</f>
        <v>500000</v>
      </c>
      <c r="G2510" s="22">
        <f ca="1">IFERROR(__xludf.DUMMYFUNCTION("""COMPUTED_VALUE"""),0)</f>
        <v>0</v>
      </c>
      <c r="H2510" s="7">
        <f ca="1">IFERROR(__xludf.DUMMYFUNCTION("""COMPUTED_VALUE"""),500000)</f>
        <v>500000</v>
      </c>
    </row>
    <row r="2511" spans="1:8" ht="13" x14ac:dyDescent="0.15">
      <c r="A2511" s="5" t="str">
        <f ca="1">IFERROR(__xludf.DUMMYFUNCTION("""COMPUTED_VALUE"""),"45962")</f>
        <v>45962</v>
      </c>
      <c r="B2511" s="51">
        <f ca="1">IFERROR(__xludf.DUMMYFUNCTION("""COMPUTED_VALUE"""),44620)</f>
        <v>44620</v>
      </c>
      <c r="C2511" s="22">
        <f ca="1">IFERROR(__xludf.DUMMYFUNCTION("""COMPUTED_VALUE"""),500000)</f>
        <v>500000</v>
      </c>
      <c r="D2511" s="22">
        <f ca="1">IFERROR(__xludf.DUMMYFUNCTION("""COMPUTED_VALUE"""),0)</f>
        <v>0</v>
      </c>
      <c r="E2511" s="22">
        <f ca="1">IFERROR(__xludf.DUMMYFUNCTION("""COMPUTED_VALUE"""),500000)</f>
        <v>500000</v>
      </c>
      <c r="F2511" s="22">
        <f ca="1">IFERROR(__xludf.DUMMYFUNCTION("""COMPUTED_VALUE"""),500000)</f>
        <v>500000</v>
      </c>
      <c r="G2511" s="22">
        <f ca="1">IFERROR(__xludf.DUMMYFUNCTION("""COMPUTED_VALUE"""),0)</f>
        <v>0</v>
      </c>
      <c r="H2511" s="7">
        <f ca="1">IFERROR(__xludf.DUMMYFUNCTION("""COMPUTED_VALUE"""),500000)</f>
        <v>500000</v>
      </c>
    </row>
    <row r="2512" spans="1:8" ht="13" x14ac:dyDescent="0.15">
      <c r="A2512" s="5" t="str">
        <f ca="1">IFERROR(__xludf.DUMMYFUNCTION("""COMPUTED_VALUE"""),"45962")</f>
        <v>45962</v>
      </c>
      <c r="B2512" s="51">
        <f ca="1">IFERROR(__xludf.DUMMYFUNCTION("""COMPUTED_VALUE"""),44621)</f>
        <v>44621</v>
      </c>
      <c r="C2512" s="22">
        <f ca="1">IFERROR(__xludf.DUMMYFUNCTION("""COMPUTED_VALUE"""),78800)</f>
        <v>78800</v>
      </c>
      <c r="D2512" s="22">
        <f ca="1">IFERROR(__xludf.DUMMYFUNCTION("""COMPUTED_VALUE"""),421200)</f>
        <v>421200</v>
      </c>
      <c r="E2512" s="22">
        <f ca="1">IFERROR(__xludf.DUMMYFUNCTION("""COMPUTED_VALUE"""),500000)</f>
        <v>500000</v>
      </c>
      <c r="F2512" s="22">
        <f ca="1">IFERROR(__xludf.DUMMYFUNCTION("""COMPUTED_VALUE"""),78800)</f>
        <v>78800</v>
      </c>
      <c r="G2512" s="22">
        <f ca="1">IFERROR(__xludf.DUMMYFUNCTION("""COMPUTED_VALUE"""),0)</f>
        <v>0</v>
      </c>
      <c r="H2512" s="7">
        <f ca="1">IFERROR(__xludf.DUMMYFUNCTION("""COMPUTED_VALUE"""),509800)</f>
        <v>509800</v>
      </c>
    </row>
    <row r="2513" spans="1:8" ht="13" x14ac:dyDescent="0.15">
      <c r="A2513" s="5" t="str">
        <f ca="1">IFERROR(__xludf.DUMMYFUNCTION("""COMPUTED_VALUE"""),"45962")</f>
        <v>45962</v>
      </c>
      <c r="B2513" s="51">
        <f ca="1">IFERROR(__xludf.DUMMYFUNCTION("""COMPUTED_VALUE"""),44622)</f>
        <v>44622</v>
      </c>
      <c r="C2513" s="22">
        <f ca="1">IFERROR(__xludf.DUMMYFUNCTION("""COMPUTED_VALUE"""),78800)</f>
        <v>78800</v>
      </c>
      <c r="D2513" s="22">
        <f ca="1">IFERROR(__xludf.DUMMYFUNCTION("""COMPUTED_VALUE"""),421200)</f>
        <v>421200</v>
      </c>
      <c r="E2513" s="22">
        <f ca="1">IFERROR(__xludf.DUMMYFUNCTION("""COMPUTED_VALUE"""),500000)</f>
        <v>500000</v>
      </c>
      <c r="F2513" s="22">
        <f ca="1">IFERROR(__xludf.DUMMYFUNCTION("""COMPUTED_VALUE"""),78800)</f>
        <v>78800</v>
      </c>
      <c r="G2513" s="22">
        <f ca="1">IFERROR(__xludf.DUMMYFUNCTION("""COMPUTED_VALUE"""),0)</f>
        <v>0</v>
      </c>
      <c r="H2513" s="7">
        <f ca="1">IFERROR(__xludf.DUMMYFUNCTION("""COMPUTED_VALUE"""),502200)</f>
        <v>502200</v>
      </c>
    </row>
    <row r="2514" spans="1:8" ht="13" x14ac:dyDescent="0.15">
      <c r="A2514" s="5" t="str">
        <f ca="1">IFERROR(__xludf.DUMMYFUNCTION("""COMPUTED_VALUE"""),"45962")</f>
        <v>45962</v>
      </c>
      <c r="B2514" s="51">
        <f ca="1">IFERROR(__xludf.DUMMYFUNCTION("""COMPUTED_VALUE"""),44623)</f>
        <v>44623</v>
      </c>
      <c r="C2514" s="22">
        <f ca="1">IFERROR(__xludf.DUMMYFUNCTION("""COMPUTED_VALUE"""),78800)</f>
        <v>78800</v>
      </c>
      <c r="D2514" s="22">
        <f ca="1">IFERROR(__xludf.DUMMYFUNCTION("""COMPUTED_VALUE"""),421200)</f>
        <v>421200</v>
      </c>
      <c r="E2514" s="22">
        <f ca="1">IFERROR(__xludf.DUMMYFUNCTION("""COMPUTED_VALUE"""),500000)</f>
        <v>500000</v>
      </c>
      <c r="F2514" s="22">
        <f ca="1">IFERROR(__xludf.DUMMYFUNCTION("""COMPUTED_VALUE"""),78800)</f>
        <v>78800</v>
      </c>
      <c r="G2514" s="22">
        <f ca="1">IFERROR(__xludf.DUMMYFUNCTION("""COMPUTED_VALUE"""),0)</f>
        <v>0</v>
      </c>
      <c r="H2514" s="7">
        <f ca="1">IFERROR(__xludf.DUMMYFUNCTION("""COMPUTED_VALUE"""),497600)</f>
        <v>497600</v>
      </c>
    </row>
    <row r="2515" spans="1:8" ht="13" x14ac:dyDescent="0.15">
      <c r="A2515" s="5" t="str">
        <f ca="1">IFERROR(__xludf.DUMMYFUNCTION("""COMPUTED_VALUE"""),"45962")</f>
        <v>45962</v>
      </c>
      <c r="B2515" s="51">
        <f ca="1">IFERROR(__xludf.DUMMYFUNCTION("""COMPUTED_VALUE"""),44624)</f>
        <v>44624</v>
      </c>
      <c r="C2515" s="22">
        <f ca="1">IFERROR(__xludf.DUMMYFUNCTION("""COMPUTED_VALUE"""),78800)</f>
        <v>78800</v>
      </c>
      <c r="D2515" s="22">
        <f ca="1">IFERROR(__xludf.DUMMYFUNCTION("""COMPUTED_VALUE"""),421200)</f>
        <v>421200</v>
      </c>
      <c r="E2515" s="22">
        <f ca="1">IFERROR(__xludf.DUMMYFUNCTION("""COMPUTED_VALUE"""),500000)</f>
        <v>500000</v>
      </c>
      <c r="F2515" s="22">
        <f ca="1">IFERROR(__xludf.DUMMYFUNCTION("""COMPUTED_VALUE"""),78800)</f>
        <v>78800</v>
      </c>
      <c r="G2515" s="22">
        <f ca="1">IFERROR(__xludf.DUMMYFUNCTION("""COMPUTED_VALUE"""),0)</f>
        <v>0</v>
      </c>
      <c r="H2515" s="7">
        <f ca="1">IFERROR(__xludf.DUMMYFUNCTION("""COMPUTED_VALUE"""),482000)</f>
        <v>482000</v>
      </c>
    </row>
    <row r="2516" spans="1:8" ht="13" x14ac:dyDescent="0.15">
      <c r="A2516" s="5" t="str">
        <f ca="1">IFERROR(__xludf.DUMMYFUNCTION("""COMPUTED_VALUE"""),"45962")</f>
        <v>45962</v>
      </c>
      <c r="B2516" s="51">
        <f ca="1">IFERROR(__xludf.DUMMYFUNCTION("""COMPUTED_VALUE"""),44625)</f>
        <v>44625</v>
      </c>
      <c r="C2516" s="22">
        <f ca="1">IFERROR(__xludf.DUMMYFUNCTION("""COMPUTED_VALUE"""),78800)</f>
        <v>78800</v>
      </c>
      <c r="D2516" s="22">
        <f ca="1">IFERROR(__xludf.DUMMYFUNCTION("""COMPUTED_VALUE"""),421200)</f>
        <v>421200</v>
      </c>
      <c r="E2516" s="22">
        <f ca="1">IFERROR(__xludf.DUMMYFUNCTION("""COMPUTED_VALUE"""),500000)</f>
        <v>500000</v>
      </c>
      <c r="F2516" s="22">
        <f ca="1">IFERROR(__xludf.DUMMYFUNCTION("""COMPUTED_VALUE"""),78800)</f>
        <v>78800</v>
      </c>
      <c r="G2516" s="22">
        <f ca="1">IFERROR(__xludf.DUMMYFUNCTION("""COMPUTED_VALUE"""),0)</f>
        <v>0</v>
      </c>
      <c r="H2516" s="7">
        <f ca="1">IFERROR(__xludf.DUMMYFUNCTION("""COMPUTED_VALUE"""),482000)</f>
        <v>482000</v>
      </c>
    </row>
    <row r="2517" spans="1:8" ht="13" x14ac:dyDescent="0.15">
      <c r="A2517" s="5" t="str">
        <f ca="1">IFERROR(__xludf.DUMMYFUNCTION("""COMPUTED_VALUE"""),"45962")</f>
        <v>45962</v>
      </c>
      <c r="B2517" s="51">
        <f ca="1">IFERROR(__xludf.DUMMYFUNCTION("""COMPUTED_VALUE"""),44626)</f>
        <v>44626</v>
      </c>
      <c r="C2517" s="22">
        <f ca="1">IFERROR(__xludf.DUMMYFUNCTION("""COMPUTED_VALUE"""),78800)</f>
        <v>78800</v>
      </c>
      <c r="D2517" s="22">
        <f ca="1">IFERROR(__xludf.DUMMYFUNCTION("""COMPUTED_VALUE"""),421200)</f>
        <v>421200</v>
      </c>
      <c r="E2517" s="22">
        <f ca="1">IFERROR(__xludf.DUMMYFUNCTION("""COMPUTED_VALUE"""),500000)</f>
        <v>500000</v>
      </c>
      <c r="F2517" s="22">
        <f ca="1">IFERROR(__xludf.DUMMYFUNCTION("""COMPUTED_VALUE"""),78800)</f>
        <v>78800</v>
      </c>
      <c r="G2517" s="22">
        <f ca="1">IFERROR(__xludf.DUMMYFUNCTION("""COMPUTED_VALUE"""),0)</f>
        <v>0</v>
      </c>
      <c r="H2517" s="7">
        <f ca="1">IFERROR(__xludf.DUMMYFUNCTION("""COMPUTED_VALUE"""),482000)</f>
        <v>482000</v>
      </c>
    </row>
    <row r="2518" spans="1:8" ht="13" x14ac:dyDescent="0.15">
      <c r="A2518" s="5" t="str">
        <f ca="1">IFERROR(__xludf.DUMMYFUNCTION("""COMPUTED_VALUE"""),"45962")</f>
        <v>45962</v>
      </c>
      <c r="B2518" s="51">
        <f ca="1">IFERROR(__xludf.DUMMYFUNCTION("""COMPUTED_VALUE"""),44627)</f>
        <v>44627</v>
      </c>
      <c r="C2518" s="22">
        <f ca="1">IFERROR(__xludf.DUMMYFUNCTION("""COMPUTED_VALUE"""),78800)</f>
        <v>78800</v>
      </c>
      <c r="D2518" s="22">
        <f ca="1">IFERROR(__xludf.DUMMYFUNCTION("""COMPUTED_VALUE"""),421200)</f>
        <v>421200</v>
      </c>
      <c r="E2518" s="22">
        <f ca="1">IFERROR(__xludf.DUMMYFUNCTION("""COMPUTED_VALUE"""),500000)</f>
        <v>500000</v>
      </c>
      <c r="F2518" s="22">
        <f ca="1">IFERROR(__xludf.DUMMYFUNCTION("""COMPUTED_VALUE"""),78800)</f>
        <v>78800</v>
      </c>
      <c r="G2518" s="22">
        <f ca="1">IFERROR(__xludf.DUMMYFUNCTION("""COMPUTED_VALUE"""),0)</f>
        <v>0</v>
      </c>
      <c r="H2518" s="7">
        <f ca="1">IFERROR(__xludf.DUMMYFUNCTION("""COMPUTED_VALUE"""),466800)</f>
        <v>466800</v>
      </c>
    </row>
    <row r="2519" spans="1:8" ht="13" x14ac:dyDescent="0.15">
      <c r="A2519" s="5" t="str">
        <f ca="1">IFERROR(__xludf.DUMMYFUNCTION("""COMPUTED_VALUE"""),"45962")</f>
        <v>45962</v>
      </c>
      <c r="B2519" s="51">
        <f ca="1">IFERROR(__xludf.DUMMYFUNCTION("""COMPUTED_VALUE"""),44628)</f>
        <v>44628</v>
      </c>
      <c r="C2519" s="22">
        <f ca="1">IFERROR(__xludf.DUMMYFUNCTION("""COMPUTED_VALUE"""),78800)</f>
        <v>78800</v>
      </c>
      <c r="D2519" s="22">
        <f ca="1">IFERROR(__xludf.DUMMYFUNCTION("""COMPUTED_VALUE"""),421200)</f>
        <v>421200</v>
      </c>
      <c r="E2519" s="22">
        <f ca="1">IFERROR(__xludf.DUMMYFUNCTION("""COMPUTED_VALUE"""),500000)</f>
        <v>500000</v>
      </c>
      <c r="F2519" s="22">
        <f ca="1">IFERROR(__xludf.DUMMYFUNCTION("""COMPUTED_VALUE"""),78800)</f>
        <v>78800</v>
      </c>
      <c r="G2519" s="22">
        <f ca="1">IFERROR(__xludf.DUMMYFUNCTION("""COMPUTED_VALUE"""),0)</f>
        <v>0</v>
      </c>
      <c r="H2519" s="7">
        <f ca="1">IFERROR(__xludf.DUMMYFUNCTION("""COMPUTED_VALUE"""),462000)</f>
        <v>462000</v>
      </c>
    </row>
    <row r="2520" spans="1:8" ht="13" x14ac:dyDescent="0.15">
      <c r="A2520" s="5" t="str">
        <f ca="1">IFERROR(__xludf.DUMMYFUNCTION("""COMPUTED_VALUE"""),"45962")</f>
        <v>45962</v>
      </c>
      <c r="B2520" s="51">
        <f ca="1">IFERROR(__xludf.DUMMYFUNCTION("""COMPUTED_VALUE"""),44629)</f>
        <v>44629</v>
      </c>
      <c r="C2520" s="22">
        <f ca="1">IFERROR(__xludf.DUMMYFUNCTION("""COMPUTED_VALUE"""),78800)</f>
        <v>78800</v>
      </c>
      <c r="D2520" s="22">
        <f ca="1">IFERROR(__xludf.DUMMYFUNCTION("""COMPUTED_VALUE"""),421200)</f>
        <v>421200</v>
      </c>
      <c r="E2520" s="22">
        <f ca="1">IFERROR(__xludf.DUMMYFUNCTION("""COMPUTED_VALUE"""),500000)</f>
        <v>500000</v>
      </c>
      <c r="F2520" s="22">
        <f ca="1">IFERROR(__xludf.DUMMYFUNCTION("""COMPUTED_VALUE"""),78800)</f>
        <v>78800</v>
      </c>
      <c r="G2520" s="22">
        <f ca="1">IFERROR(__xludf.DUMMYFUNCTION("""COMPUTED_VALUE"""),0)</f>
        <v>0</v>
      </c>
      <c r="H2520" s="7">
        <f ca="1">IFERROR(__xludf.DUMMYFUNCTION("""COMPUTED_VALUE"""),463600)</f>
        <v>463600</v>
      </c>
    </row>
    <row r="2521" spans="1:8" ht="13" x14ac:dyDescent="0.15">
      <c r="A2521" s="5" t="str">
        <f ca="1">IFERROR(__xludf.DUMMYFUNCTION("""COMPUTED_VALUE"""),"45962")</f>
        <v>45962</v>
      </c>
      <c r="B2521" s="51">
        <f ca="1">IFERROR(__xludf.DUMMYFUNCTION("""COMPUTED_VALUE"""),44630)</f>
        <v>44630</v>
      </c>
      <c r="C2521" s="22">
        <f ca="1">IFERROR(__xludf.DUMMYFUNCTION("""COMPUTED_VALUE"""),78800)</f>
        <v>78800</v>
      </c>
      <c r="D2521" s="22">
        <f ca="1">IFERROR(__xludf.DUMMYFUNCTION("""COMPUTED_VALUE"""),421200)</f>
        <v>421200</v>
      </c>
      <c r="E2521" s="22">
        <f ca="1">IFERROR(__xludf.DUMMYFUNCTION("""COMPUTED_VALUE"""),500000)</f>
        <v>500000</v>
      </c>
      <c r="F2521" s="22">
        <f ca="1">IFERROR(__xludf.DUMMYFUNCTION("""COMPUTED_VALUE"""),78800)</f>
        <v>78800</v>
      </c>
      <c r="G2521" s="22">
        <f ca="1">IFERROR(__xludf.DUMMYFUNCTION("""COMPUTED_VALUE"""),0)</f>
        <v>0</v>
      </c>
      <c r="H2521" s="7">
        <f ca="1">IFERROR(__xludf.DUMMYFUNCTION("""COMPUTED_VALUE"""),463800)</f>
        <v>463800</v>
      </c>
    </row>
    <row r="2522" spans="1:8" ht="13" x14ac:dyDescent="0.15">
      <c r="A2522" s="5" t="str">
        <f ca="1">IFERROR(__xludf.DUMMYFUNCTION("""COMPUTED_VALUE"""),"45962")</f>
        <v>45962</v>
      </c>
      <c r="B2522" s="51">
        <f ca="1">IFERROR(__xludf.DUMMYFUNCTION("""COMPUTED_VALUE"""),44631)</f>
        <v>44631</v>
      </c>
      <c r="C2522" s="22">
        <f ca="1">IFERROR(__xludf.DUMMYFUNCTION("""COMPUTED_VALUE"""),78800)</f>
        <v>78800</v>
      </c>
      <c r="D2522" s="22">
        <f ca="1">IFERROR(__xludf.DUMMYFUNCTION("""COMPUTED_VALUE"""),421200)</f>
        <v>421200</v>
      </c>
      <c r="E2522" s="22">
        <f ca="1">IFERROR(__xludf.DUMMYFUNCTION("""COMPUTED_VALUE"""),500000)</f>
        <v>500000</v>
      </c>
      <c r="F2522" s="22">
        <f ca="1">IFERROR(__xludf.DUMMYFUNCTION("""COMPUTED_VALUE"""),78800)</f>
        <v>78800</v>
      </c>
      <c r="G2522" s="22">
        <f ca="1">IFERROR(__xludf.DUMMYFUNCTION("""COMPUTED_VALUE"""),0)</f>
        <v>0</v>
      </c>
      <c r="H2522" s="7">
        <f ca="1">IFERROR(__xludf.DUMMYFUNCTION("""COMPUTED_VALUE"""),446600)</f>
        <v>446600</v>
      </c>
    </row>
    <row r="2523" spans="1:8" ht="13" x14ac:dyDescent="0.15">
      <c r="A2523" s="5" t="str">
        <f ca="1">IFERROR(__xludf.DUMMYFUNCTION("""COMPUTED_VALUE"""),"45962")</f>
        <v>45962</v>
      </c>
      <c r="B2523" s="51">
        <f ca="1">IFERROR(__xludf.DUMMYFUNCTION("""COMPUTED_VALUE"""),44632)</f>
        <v>44632</v>
      </c>
      <c r="C2523" s="22">
        <f ca="1">IFERROR(__xludf.DUMMYFUNCTION("""COMPUTED_VALUE"""),78800)</f>
        <v>78800</v>
      </c>
      <c r="D2523" s="22">
        <f ca="1">IFERROR(__xludf.DUMMYFUNCTION("""COMPUTED_VALUE"""),421200)</f>
        <v>421200</v>
      </c>
      <c r="E2523" s="22">
        <f ca="1">IFERROR(__xludf.DUMMYFUNCTION("""COMPUTED_VALUE"""),500000)</f>
        <v>500000</v>
      </c>
      <c r="F2523" s="22">
        <f ca="1">IFERROR(__xludf.DUMMYFUNCTION("""COMPUTED_VALUE"""),78800)</f>
        <v>78800</v>
      </c>
      <c r="G2523" s="22">
        <f ca="1">IFERROR(__xludf.DUMMYFUNCTION("""COMPUTED_VALUE"""),0)</f>
        <v>0</v>
      </c>
      <c r="H2523" s="7">
        <f ca="1">IFERROR(__xludf.DUMMYFUNCTION("""COMPUTED_VALUE"""),446600)</f>
        <v>446600</v>
      </c>
    </row>
    <row r="2524" spans="1:8" ht="13" x14ac:dyDescent="0.15">
      <c r="A2524" s="5" t="str">
        <f ca="1">IFERROR(__xludf.DUMMYFUNCTION("""COMPUTED_VALUE"""),"45962")</f>
        <v>45962</v>
      </c>
      <c r="B2524" s="51">
        <f ca="1">IFERROR(__xludf.DUMMYFUNCTION("""COMPUTED_VALUE"""),44633)</f>
        <v>44633</v>
      </c>
      <c r="C2524" s="22">
        <f ca="1">IFERROR(__xludf.DUMMYFUNCTION("""COMPUTED_VALUE"""),78800)</f>
        <v>78800</v>
      </c>
      <c r="D2524" s="22">
        <f ca="1">IFERROR(__xludf.DUMMYFUNCTION("""COMPUTED_VALUE"""),421200)</f>
        <v>421200</v>
      </c>
      <c r="E2524" s="22">
        <f ca="1">IFERROR(__xludf.DUMMYFUNCTION("""COMPUTED_VALUE"""),500000)</f>
        <v>500000</v>
      </c>
      <c r="F2524" s="22">
        <f ca="1">IFERROR(__xludf.DUMMYFUNCTION("""COMPUTED_VALUE"""),78800)</f>
        <v>78800</v>
      </c>
      <c r="G2524" s="22">
        <f ca="1">IFERROR(__xludf.DUMMYFUNCTION("""COMPUTED_VALUE"""),0)</f>
        <v>0</v>
      </c>
      <c r="H2524" s="7">
        <f ca="1">IFERROR(__xludf.DUMMYFUNCTION("""COMPUTED_VALUE"""),446600)</f>
        <v>446600</v>
      </c>
    </row>
    <row r="2525" spans="1:8" ht="13" x14ac:dyDescent="0.15">
      <c r="A2525" s="5" t="str">
        <f ca="1">IFERROR(__xludf.DUMMYFUNCTION("""COMPUTED_VALUE"""),"45962")</f>
        <v>45962</v>
      </c>
      <c r="B2525" s="51">
        <f ca="1">IFERROR(__xludf.DUMMYFUNCTION("""COMPUTED_VALUE"""),44634)</f>
        <v>44634</v>
      </c>
      <c r="C2525" s="22">
        <f ca="1">IFERROR(__xludf.DUMMYFUNCTION("""COMPUTED_VALUE"""),78800)</f>
        <v>78800</v>
      </c>
      <c r="D2525" s="22">
        <f ca="1">IFERROR(__xludf.DUMMYFUNCTION("""COMPUTED_VALUE"""),421200)</f>
        <v>421200</v>
      </c>
      <c r="E2525" s="22">
        <f ca="1">IFERROR(__xludf.DUMMYFUNCTION("""COMPUTED_VALUE"""),500000)</f>
        <v>500000</v>
      </c>
      <c r="F2525" s="22">
        <f ca="1">IFERROR(__xludf.DUMMYFUNCTION("""COMPUTED_VALUE"""),78800)</f>
        <v>78800</v>
      </c>
      <c r="G2525" s="22">
        <f ca="1">IFERROR(__xludf.DUMMYFUNCTION("""COMPUTED_VALUE"""),0)</f>
        <v>0</v>
      </c>
      <c r="H2525" s="7">
        <f ca="1">IFERROR(__xludf.DUMMYFUNCTION("""COMPUTED_VALUE"""),410600)</f>
        <v>410600</v>
      </c>
    </row>
    <row r="2526" spans="1:8" ht="13" x14ac:dyDescent="0.15">
      <c r="A2526" s="5" t="str">
        <f ca="1">IFERROR(__xludf.DUMMYFUNCTION("""COMPUTED_VALUE"""),"45962")</f>
        <v>45962</v>
      </c>
      <c r="B2526" s="51">
        <f ca="1">IFERROR(__xludf.DUMMYFUNCTION("""COMPUTED_VALUE"""),44635)</f>
        <v>44635</v>
      </c>
      <c r="C2526" s="22">
        <f ca="1">IFERROR(__xludf.DUMMYFUNCTION("""COMPUTED_VALUE"""),78800)</f>
        <v>78800</v>
      </c>
      <c r="D2526" s="22">
        <f ca="1">IFERROR(__xludf.DUMMYFUNCTION("""COMPUTED_VALUE"""),421200)</f>
        <v>421200</v>
      </c>
      <c r="E2526" s="22">
        <f ca="1">IFERROR(__xludf.DUMMYFUNCTION("""COMPUTED_VALUE"""),500000)</f>
        <v>500000</v>
      </c>
      <c r="F2526" s="22">
        <f ca="1">IFERROR(__xludf.DUMMYFUNCTION("""COMPUTED_VALUE"""),78800)</f>
        <v>78800</v>
      </c>
      <c r="G2526" s="22">
        <f ca="1">IFERROR(__xludf.DUMMYFUNCTION("""COMPUTED_VALUE"""),0)</f>
        <v>0</v>
      </c>
      <c r="H2526" s="7">
        <f ca="1">IFERROR(__xludf.DUMMYFUNCTION("""COMPUTED_VALUE"""),376800)</f>
        <v>376800</v>
      </c>
    </row>
    <row r="2527" spans="1:8" ht="13" x14ac:dyDescent="0.15">
      <c r="A2527" s="5" t="str">
        <f ca="1">IFERROR(__xludf.DUMMYFUNCTION("""COMPUTED_VALUE"""),"45962")</f>
        <v>45962</v>
      </c>
      <c r="B2527" s="51">
        <f ca="1">IFERROR(__xludf.DUMMYFUNCTION("""COMPUTED_VALUE"""),44636)</f>
        <v>44636</v>
      </c>
      <c r="C2527" s="22">
        <f ca="1">IFERROR(__xludf.DUMMYFUNCTION("""COMPUTED_VALUE"""),5400)</f>
        <v>5400</v>
      </c>
      <c r="D2527" s="22">
        <f ca="1">IFERROR(__xludf.DUMMYFUNCTION("""COMPUTED_VALUE"""),440400)</f>
        <v>440400</v>
      </c>
      <c r="E2527" s="22">
        <f ca="1">IFERROR(__xludf.DUMMYFUNCTION("""COMPUTED_VALUE"""),445800)</f>
        <v>445800</v>
      </c>
      <c r="F2527" s="22">
        <f ca="1">IFERROR(__xludf.DUMMYFUNCTION("""COMPUTED_VALUE"""),5400)</f>
        <v>5400</v>
      </c>
      <c r="G2527" s="22">
        <f ca="1">IFERROR(__xludf.DUMMYFUNCTION("""COMPUTED_VALUE"""),0)</f>
        <v>0</v>
      </c>
      <c r="H2527" s="7">
        <f ca="1">IFERROR(__xludf.DUMMYFUNCTION("""COMPUTED_VALUE"""),445800)</f>
        <v>445800</v>
      </c>
    </row>
    <row r="2528" spans="1:8" ht="13" x14ac:dyDescent="0.15">
      <c r="A2528" s="5" t="str">
        <f ca="1">IFERROR(__xludf.DUMMYFUNCTION("""COMPUTED_VALUE"""),"45962")</f>
        <v>45962</v>
      </c>
      <c r="B2528" s="51">
        <f ca="1">IFERROR(__xludf.DUMMYFUNCTION("""COMPUTED_VALUE"""),44637)</f>
        <v>44637</v>
      </c>
      <c r="C2528" s="22">
        <f ca="1">IFERROR(__xludf.DUMMYFUNCTION("""COMPUTED_VALUE"""),5400)</f>
        <v>5400</v>
      </c>
      <c r="D2528" s="22">
        <f ca="1">IFERROR(__xludf.DUMMYFUNCTION("""COMPUTED_VALUE"""),463400)</f>
        <v>463400</v>
      </c>
      <c r="E2528" s="22">
        <f ca="1">IFERROR(__xludf.DUMMYFUNCTION("""COMPUTED_VALUE"""),468800)</f>
        <v>468800</v>
      </c>
      <c r="F2528" s="22">
        <f ca="1">IFERROR(__xludf.DUMMYFUNCTION("""COMPUTED_VALUE"""),5400)</f>
        <v>5400</v>
      </c>
      <c r="G2528" s="22">
        <f ca="1">IFERROR(__xludf.DUMMYFUNCTION("""COMPUTED_VALUE"""),0)</f>
        <v>0</v>
      </c>
      <c r="H2528" s="7">
        <f ca="1">IFERROR(__xludf.DUMMYFUNCTION("""COMPUTED_VALUE"""),473400)</f>
        <v>473400</v>
      </c>
    </row>
    <row r="2529" spans="1:8" ht="13" x14ac:dyDescent="0.15">
      <c r="A2529" s="5" t="str">
        <f ca="1">IFERROR(__xludf.DUMMYFUNCTION("""COMPUTED_VALUE"""),"45962")</f>
        <v>45962</v>
      </c>
      <c r="B2529" s="51">
        <f ca="1">IFERROR(__xludf.DUMMYFUNCTION("""COMPUTED_VALUE"""),44638)</f>
        <v>44638</v>
      </c>
      <c r="C2529" s="22">
        <f ca="1">IFERROR(__xludf.DUMMYFUNCTION("""COMPUTED_VALUE"""),5400)</f>
        <v>5400</v>
      </c>
      <c r="D2529" s="22">
        <f ca="1">IFERROR(__xludf.DUMMYFUNCTION("""COMPUTED_VALUE"""),454400)</f>
        <v>454400</v>
      </c>
      <c r="E2529" s="22">
        <f ca="1">IFERROR(__xludf.DUMMYFUNCTION("""COMPUTED_VALUE"""),459800)</f>
        <v>459800</v>
      </c>
      <c r="F2529" s="22">
        <f ca="1">IFERROR(__xludf.DUMMYFUNCTION("""COMPUTED_VALUE"""),5400)</f>
        <v>5400</v>
      </c>
      <c r="G2529" s="22">
        <f ca="1">IFERROR(__xludf.DUMMYFUNCTION("""COMPUTED_VALUE"""),0)</f>
        <v>0</v>
      </c>
      <c r="H2529" s="7">
        <f ca="1">IFERROR(__xludf.DUMMYFUNCTION("""COMPUTED_VALUE"""),462600)</f>
        <v>462600</v>
      </c>
    </row>
    <row r="2530" spans="1:8" ht="13" x14ac:dyDescent="0.15">
      <c r="A2530" s="5" t="str">
        <f ca="1">IFERROR(__xludf.DUMMYFUNCTION("""COMPUTED_VALUE"""),"45962")</f>
        <v>45962</v>
      </c>
      <c r="B2530" s="51">
        <f ca="1">IFERROR(__xludf.DUMMYFUNCTION("""COMPUTED_VALUE"""),44639)</f>
        <v>44639</v>
      </c>
      <c r="C2530" s="22">
        <f ca="1">IFERROR(__xludf.DUMMYFUNCTION("""COMPUTED_VALUE"""),5400)</f>
        <v>5400</v>
      </c>
      <c r="D2530" s="22">
        <f ca="1">IFERROR(__xludf.DUMMYFUNCTION("""COMPUTED_VALUE"""),454400)</f>
        <v>454400</v>
      </c>
      <c r="E2530" s="22">
        <f ca="1">IFERROR(__xludf.DUMMYFUNCTION("""COMPUTED_VALUE"""),459800)</f>
        <v>459800</v>
      </c>
      <c r="F2530" s="22">
        <f ca="1">IFERROR(__xludf.DUMMYFUNCTION("""COMPUTED_VALUE"""),5400)</f>
        <v>5400</v>
      </c>
      <c r="G2530" s="22">
        <f ca="1">IFERROR(__xludf.DUMMYFUNCTION("""COMPUTED_VALUE"""),0)</f>
        <v>0</v>
      </c>
      <c r="H2530" s="7">
        <f ca="1">IFERROR(__xludf.DUMMYFUNCTION("""COMPUTED_VALUE"""),462600)</f>
        <v>462600</v>
      </c>
    </row>
    <row r="2531" spans="1:8" ht="13" x14ac:dyDescent="0.15">
      <c r="A2531" s="5" t="str">
        <f ca="1">IFERROR(__xludf.DUMMYFUNCTION("""COMPUTED_VALUE"""),"45962")</f>
        <v>45962</v>
      </c>
      <c r="B2531" s="51">
        <f ca="1">IFERROR(__xludf.DUMMYFUNCTION("""COMPUTED_VALUE"""),44640)</f>
        <v>44640</v>
      </c>
      <c r="C2531" s="22">
        <f ca="1">IFERROR(__xludf.DUMMYFUNCTION("""COMPUTED_VALUE"""),5400)</f>
        <v>5400</v>
      </c>
      <c r="D2531" s="22">
        <f ca="1">IFERROR(__xludf.DUMMYFUNCTION("""COMPUTED_VALUE"""),454400)</f>
        <v>454400</v>
      </c>
      <c r="E2531" s="22">
        <f ca="1">IFERROR(__xludf.DUMMYFUNCTION("""COMPUTED_VALUE"""),459800)</f>
        <v>459800</v>
      </c>
      <c r="F2531" s="22">
        <f ca="1">IFERROR(__xludf.DUMMYFUNCTION("""COMPUTED_VALUE"""),5400)</f>
        <v>5400</v>
      </c>
      <c r="G2531" s="22">
        <f ca="1">IFERROR(__xludf.DUMMYFUNCTION("""COMPUTED_VALUE"""),0)</f>
        <v>0</v>
      </c>
      <c r="H2531" s="7">
        <f ca="1">IFERROR(__xludf.DUMMYFUNCTION("""COMPUTED_VALUE"""),462600)</f>
        <v>462600</v>
      </c>
    </row>
    <row r="2532" spans="1:8" ht="13" x14ac:dyDescent="0.15">
      <c r="A2532" s="5" t="str">
        <f ca="1">IFERROR(__xludf.DUMMYFUNCTION("""COMPUTED_VALUE"""),"45962")</f>
        <v>45962</v>
      </c>
      <c r="B2532" s="51">
        <f ca="1">IFERROR(__xludf.DUMMYFUNCTION("""COMPUTED_VALUE"""),44641)</f>
        <v>44641</v>
      </c>
      <c r="C2532" s="22">
        <f ca="1">IFERROR(__xludf.DUMMYFUNCTION("""COMPUTED_VALUE"""),5400)</f>
        <v>5400</v>
      </c>
      <c r="D2532" s="22">
        <f ca="1">IFERROR(__xludf.DUMMYFUNCTION("""COMPUTED_VALUE"""),445800)</f>
        <v>445800</v>
      </c>
      <c r="E2532" s="22">
        <f ca="1">IFERROR(__xludf.DUMMYFUNCTION("""COMPUTED_VALUE"""),451200)</f>
        <v>451200</v>
      </c>
      <c r="F2532" s="22">
        <f ca="1">IFERROR(__xludf.DUMMYFUNCTION("""COMPUTED_VALUE"""),5400)</f>
        <v>5400</v>
      </c>
      <c r="G2532" s="22">
        <f ca="1">IFERROR(__xludf.DUMMYFUNCTION("""COMPUTED_VALUE"""),0)</f>
        <v>0</v>
      </c>
      <c r="H2532" s="7">
        <f ca="1">IFERROR(__xludf.DUMMYFUNCTION("""COMPUTED_VALUE"""),452280)</f>
        <v>452280</v>
      </c>
    </row>
    <row r="2533" spans="1:8" ht="13" x14ac:dyDescent="0.15">
      <c r="A2533" s="5" t="str">
        <f ca="1">IFERROR(__xludf.DUMMYFUNCTION("""COMPUTED_VALUE"""),"45962")</f>
        <v>45962</v>
      </c>
      <c r="B2533" s="51">
        <f ca="1">IFERROR(__xludf.DUMMYFUNCTION("""COMPUTED_VALUE"""),44642)</f>
        <v>44642</v>
      </c>
      <c r="C2533" s="22">
        <f ca="1">IFERROR(__xludf.DUMMYFUNCTION("""COMPUTED_VALUE"""),5400)</f>
        <v>5400</v>
      </c>
      <c r="D2533" s="22">
        <f ca="1">IFERROR(__xludf.DUMMYFUNCTION("""COMPUTED_VALUE"""),461400)</f>
        <v>461400</v>
      </c>
      <c r="E2533" s="22">
        <f ca="1">IFERROR(__xludf.DUMMYFUNCTION("""COMPUTED_VALUE"""),466800)</f>
        <v>466800</v>
      </c>
      <c r="F2533" s="22">
        <f ca="1">IFERROR(__xludf.DUMMYFUNCTION("""COMPUTED_VALUE"""),5400)</f>
        <v>5400</v>
      </c>
      <c r="G2533" s="22">
        <f ca="1">IFERROR(__xludf.DUMMYFUNCTION("""COMPUTED_VALUE"""),0)</f>
        <v>0</v>
      </c>
      <c r="H2533" s="7">
        <f ca="1">IFERROR(__xludf.DUMMYFUNCTION("""COMPUTED_VALUE"""),471000)</f>
        <v>471000</v>
      </c>
    </row>
    <row r="2534" spans="1:8" ht="13" x14ac:dyDescent="0.15">
      <c r="A2534" s="5" t="str">
        <f ca="1">IFERROR(__xludf.DUMMYFUNCTION("""COMPUTED_VALUE"""),"45969")</f>
        <v>45969</v>
      </c>
      <c r="B2534" s="51">
        <f ca="1">IFERROR(__xludf.DUMMYFUNCTION("""COMPUTED_VALUE"""),44597)</f>
        <v>44597</v>
      </c>
      <c r="C2534" s="22">
        <f ca="1">IFERROR(__xludf.DUMMYFUNCTION("""COMPUTED_VALUE"""),500000)</f>
        <v>500000</v>
      </c>
      <c r="D2534" s="22">
        <f ca="1">IFERROR(__xludf.DUMMYFUNCTION("""COMPUTED_VALUE"""),0)</f>
        <v>0</v>
      </c>
      <c r="E2534" s="22">
        <f ca="1">IFERROR(__xludf.DUMMYFUNCTION("""COMPUTED_VALUE"""),500000)</f>
        <v>500000</v>
      </c>
      <c r="F2534" s="22">
        <f ca="1">IFERROR(__xludf.DUMMYFUNCTION("""COMPUTED_VALUE"""),500000)</f>
        <v>500000</v>
      </c>
      <c r="G2534" s="22">
        <f ca="1">IFERROR(__xludf.DUMMYFUNCTION("""COMPUTED_VALUE"""),0)</f>
        <v>0</v>
      </c>
      <c r="H2534" s="7">
        <f ca="1">IFERROR(__xludf.DUMMYFUNCTION("""COMPUTED_VALUE"""),500000)</f>
        <v>500000</v>
      </c>
    </row>
    <row r="2535" spans="1:8" ht="13" x14ac:dyDescent="0.15">
      <c r="A2535" s="5" t="str">
        <f ca="1">IFERROR(__xludf.DUMMYFUNCTION("""COMPUTED_VALUE"""),"45969")</f>
        <v>45969</v>
      </c>
      <c r="B2535" s="51">
        <f ca="1">IFERROR(__xludf.DUMMYFUNCTION("""COMPUTED_VALUE"""),44598)</f>
        <v>44598</v>
      </c>
      <c r="C2535" s="22">
        <f ca="1">IFERROR(__xludf.DUMMYFUNCTION("""COMPUTED_VALUE"""),500000)</f>
        <v>500000</v>
      </c>
      <c r="D2535" s="22">
        <f ca="1">IFERROR(__xludf.DUMMYFUNCTION("""COMPUTED_VALUE"""),0)</f>
        <v>0</v>
      </c>
      <c r="E2535" s="22">
        <f ca="1">IFERROR(__xludf.DUMMYFUNCTION("""COMPUTED_VALUE"""),500000)</f>
        <v>500000</v>
      </c>
      <c r="F2535" s="22">
        <f ca="1">IFERROR(__xludf.DUMMYFUNCTION("""COMPUTED_VALUE"""),500000)</f>
        <v>500000</v>
      </c>
      <c r="G2535" s="22">
        <f ca="1">IFERROR(__xludf.DUMMYFUNCTION("""COMPUTED_VALUE"""),0)</f>
        <v>0</v>
      </c>
      <c r="H2535" s="7">
        <f ca="1">IFERROR(__xludf.DUMMYFUNCTION("""COMPUTED_VALUE"""),500000)</f>
        <v>500000</v>
      </c>
    </row>
    <row r="2536" spans="1:8" ht="13" x14ac:dyDescent="0.15">
      <c r="A2536" s="5" t="str">
        <f ca="1">IFERROR(__xludf.DUMMYFUNCTION("""COMPUTED_VALUE"""),"45969")</f>
        <v>45969</v>
      </c>
      <c r="B2536" s="51">
        <f ca="1">IFERROR(__xludf.DUMMYFUNCTION("""COMPUTED_VALUE"""),44599)</f>
        <v>44599</v>
      </c>
      <c r="C2536" s="22">
        <f ca="1">IFERROR(__xludf.DUMMYFUNCTION("""COMPUTED_VALUE"""),500000)</f>
        <v>500000</v>
      </c>
      <c r="D2536" s="22">
        <f ca="1">IFERROR(__xludf.DUMMYFUNCTION("""COMPUTED_VALUE"""),0)</f>
        <v>0</v>
      </c>
      <c r="E2536" s="22">
        <f ca="1">IFERROR(__xludf.DUMMYFUNCTION("""COMPUTED_VALUE"""),500000)</f>
        <v>500000</v>
      </c>
      <c r="F2536" s="22">
        <f ca="1">IFERROR(__xludf.DUMMYFUNCTION("""COMPUTED_VALUE"""),500000)</f>
        <v>500000</v>
      </c>
      <c r="G2536" s="22">
        <f ca="1">IFERROR(__xludf.DUMMYFUNCTION("""COMPUTED_VALUE"""),0)</f>
        <v>0</v>
      </c>
      <c r="H2536" s="7">
        <f ca="1">IFERROR(__xludf.DUMMYFUNCTION("""COMPUTED_VALUE"""),500000)</f>
        <v>500000</v>
      </c>
    </row>
    <row r="2537" spans="1:8" ht="13" x14ac:dyDescent="0.15">
      <c r="A2537" s="5" t="str">
        <f ca="1">IFERROR(__xludf.DUMMYFUNCTION("""COMPUTED_VALUE"""),"45969")</f>
        <v>45969</v>
      </c>
      <c r="B2537" s="51">
        <f ca="1">IFERROR(__xludf.DUMMYFUNCTION("""COMPUTED_VALUE"""),44600)</f>
        <v>44600</v>
      </c>
      <c r="C2537" s="22">
        <f ca="1">IFERROR(__xludf.DUMMYFUNCTION("""COMPUTED_VALUE"""),225121.66785)</f>
        <v>225121.66785</v>
      </c>
      <c r="D2537" s="22">
        <f ca="1">IFERROR(__xludf.DUMMYFUNCTION("""COMPUTED_VALUE"""),274878.33215)</f>
        <v>274878.33214999997</v>
      </c>
      <c r="E2537" s="22">
        <f ca="1">IFERROR(__xludf.DUMMYFUNCTION("""COMPUTED_VALUE"""),500000)</f>
        <v>500000</v>
      </c>
      <c r="F2537" s="22">
        <f ca="1">IFERROR(__xludf.DUMMYFUNCTION("""COMPUTED_VALUE"""),225121.66785)</f>
        <v>225121.66785</v>
      </c>
      <c r="G2537" s="22">
        <f ca="1">IFERROR(__xludf.DUMMYFUNCTION("""COMPUTED_VALUE"""),0)</f>
        <v>0</v>
      </c>
      <c r="H2537" s="7">
        <f ca="1">IFERROR(__xludf.DUMMYFUNCTION("""COMPUTED_VALUE"""),500000)</f>
        <v>500000</v>
      </c>
    </row>
    <row r="2538" spans="1:8" ht="13" x14ac:dyDescent="0.15">
      <c r="A2538" s="5" t="str">
        <f ca="1">IFERROR(__xludf.DUMMYFUNCTION("""COMPUTED_VALUE"""),"45969")</f>
        <v>45969</v>
      </c>
      <c r="B2538" s="51">
        <f ca="1">IFERROR(__xludf.DUMMYFUNCTION("""COMPUTED_VALUE"""),44601)</f>
        <v>44601</v>
      </c>
      <c r="C2538" s="22">
        <f ca="1">IFERROR(__xludf.DUMMYFUNCTION("""COMPUTED_VALUE"""),225121.66785)</f>
        <v>225121.66785</v>
      </c>
      <c r="D2538" s="22">
        <f ca="1">IFERROR(__xludf.DUMMYFUNCTION("""COMPUTED_VALUE"""),210259.130699999)</f>
        <v>210259.13069999899</v>
      </c>
      <c r="E2538" s="22">
        <f ca="1">IFERROR(__xludf.DUMMYFUNCTION("""COMPUTED_VALUE"""),435380.79855)</f>
        <v>435380.79855000001</v>
      </c>
      <c r="F2538" s="22">
        <f ca="1">IFERROR(__xludf.DUMMYFUNCTION("""COMPUTED_VALUE"""),225121.66785)</f>
        <v>225121.66785</v>
      </c>
      <c r="G2538" s="22">
        <f ca="1">IFERROR(__xludf.DUMMYFUNCTION("""COMPUTED_VALUE"""),0)</f>
        <v>0</v>
      </c>
      <c r="H2538" s="7">
        <f ca="1">IFERROR(__xludf.DUMMYFUNCTION("""COMPUTED_VALUE"""),425998.25355)</f>
        <v>425998.25355000002</v>
      </c>
    </row>
    <row r="2539" spans="1:8" ht="13" x14ac:dyDescent="0.15">
      <c r="A2539" s="5" t="str">
        <f ca="1">IFERROR(__xludf.DUMMYFUNCTION("""COMPUTED_VALUE"""),"45969")</f>
        <v>45969</v>
      </c>
      <c r="B2539" s="51">
        <f ca="1">IFERROR(__xludf.DUMMYFUNCTION("""COMPUTED_VALUE"""),44602)</f>
        <v>44602</v>
      </c>
      <c r="C2539" s="22">
        <f ca="1">IFERROR(__xludf.DUMMYFUNCTION("""COMPUTED_VALUE"""),225121.66785)</f>
        <v>225121.66785</v>
      </c>
      <c r="D2539" s="22">
        <f ca="1">IFERROR(__xludf.DUMMYFUNCTION("""COMPUTED_VALUE"""),222487.10205)</f>
        <v>222487.10204999999</v>
      </c>
      <c r="E2539" s="22">
        <f ca="1">IFERROR(__xludf.DUMMYFUNCTION("""COMPUTED_VALUE"""),447608.7699)</f>
        <v>447608.76990000001</v>
      </c>
      <c r="F2539" s="22">
        <f ca="1">IFERROR(__xludf.DUMMYFUNCTION("""COMPUTED_VALUE"""),225121.66785)</f>
        <v>225121.66785</v>
      </c>
      <c r="G2539" s="22">
        <f ca="1">IFERROR(__xludf.DUMMYFUNCTION("""COMPUTED_VALUE"""),0)</f>
        <v>0</v>
      </c>
      <c r="H2539" s="7">
        <f ca="1">IFERROR(__xludf.DUMMYFUNCTION("""COMPUTED_VALUE"""),440640.1224)</f>
        <v>440640.12239999999</v>
      </c>
    </row>
    <row r="2540" spans="1:8" ht="13" x14ac:dyDescent="0.15">
      <c r="A2540" s="5" t="str">
        <f ca="1">IFERROR(__xludf.DUMMYFUNCTION("""COMPUTED_VALUE"""),"45969")</f>
        <v>45969</v>
      </c>
      <c r="B2540" s="51">
        <f ca="1">IFERROR(__xludf.DUMMYFUNCTION("""COMPUTED_VALUE"""),44603)</f>
        <v>44603</v>
      </c>
      <c r="C2540" s="22">
        <f ca="1">IFERROR(__xludf.DUMMYFUNCTION("""COMPUTED_VALUE"""),225121.66785)</f>
        <v>225121.66785</v>
      </c>
      <c r="D2540" s="22">
        <f ca="1">IFERROR(__xludf.DUMMYFUNCTION("""COMPUTED_VALUE"""),259184.021399999)</f>
        <v>259184.02139999901</v>
      </c>
      <c r="E2540" s="22">
        <f ca="1">IFERROR(__xludf.DUMMYFUNCTION("""COMPUTED_VALUE"""),484305.68925)</f>
        <v>484305.68925</v>
      </c>
      <c r="F2540" s="22">
        <f ca="1">IFERROR(__xludf.DUMMYFUNCTION("""COMPUTED_VALUE"""),225121.66785)</f>
        <v>225121.66785</v>
      </c>
      <c r="G2540" s="22">
        <f ca="1">IFERROR(__xludf.DUMMYFUNCTION("""COMPUTED_VALUE"""),0)</f>
        <v>0</v>
      </c>
      <c r="H2540" s="7">
        <f ca="1">IFERROR(__xludf.DUMMYFUNCTION("""COMPUTED_VALUE"""),450477.679499999)</f>
        <v>450477.67949999898</v>
      </c>
    </row>
    <row r="2541" spans="1:8" ht="13" x14ac:dyDescent="0.15">
      <c r="A2541" s="5" t="str">
        <f ca="1">IFERROR(__xludf.DUMMYFUNCTION("""COMPUTED_VALUE"""),"45969")</f>
        <v>45969</v>
      </c>
      <c r="B2541" s="51">
        <f ca="1">IFERROR(__xludf.DUMMYFUNCTION("""COMPUTED_VALUE"""),44604)</f>
        <v>44604</v>
      </c>
      <c r="C2541" s="22">
        <f ca="1">IFERROR(__xludf.DUMMYFUNCTION("""COMPUTED_VALUE"""),225121.66785)</f>
        <v>225121.66785</v>
      </c>
      <c r="D2541" s="22">
        <f ca="1">IFERROR(__xludf.DUMMYFUNCTION("""COMPUTED_VALUE"""),259184.021399999)</f>
        <v>259184.02139999901</v>
      </c>
      <c r="E2541" s="22">
        <f ca="1">IFERROR(__xludf.DUMMYFUNCTION("""COMPUTED_VALUE"""),484305.68925)</f>
        <v>484305.68925</v>
      </c>
      <c r="F2541" s="22">
        <f ca="1">IFERROR(__xludf.DUMMYFUNCTION("""COMPUTED_VALUE"""),225121.66785)</f>
        <v>225121.66785</v>
      </c>
      <c r="G2541" s="22">
        <f ca="1">IFERROR(__xludf.DUMMYFUNCTION("""COMPUTED_VALUE"""),0)</f>
        <v>0</v>
      </c>
      <c r="H2541" s="7">
        <f ca="1">IFERROR(__xludf.DUMMYFUNCTION("""COMPUTED_VALUE"""),450477.679499999)</f>
        <v>450477.67949999898</v>
      </c>
    </row>
    <row r="2542" spans="1:8" ht="13" x14ac:dyDescent="0.15">
      <c r="A2542" s="5" t="str">
        <f ca="1">IFERROR(__xludf.DUMMYFUNCTION("""COMPUTED_VALUE"""),"45969")</f>
        <v>45969</v>
      </c>
      <c r="B2542" s="51">
        <f ca="1">IFERROR(__xludf.DUMMYFUNCTION("""COMPUTED_VALUE"""),44605)</f>
        <v>44605</v>
      </c>
      <c r="C2542" s="22">
        <f ca="1">IFERROR(__xludf.DUMMYFUNCTION("""COMPUTED_VALUE"""),225121.66785)</f>
        <v>225121.66785</v>
      </c>
      <c r="D2542" s="22">
        <f ca="1">IFERROR(__xludf.DUMMYFUNCTION("""COMPUTED_VALUE"""),259191.8646)</f>
        <v>259191.8646</v>
      </c>
      <c r="E2542" s="22">
        <f ca="1">IFERROR(__xludf.DUMMYFUNCTION("""COMPUTED_VALUE"""),484313.53245)</f>
        <v>484313.53245</v>
      </c>
      <c r="F2542" s="22">
        <f ca="1">IFERROR(__xludf.DUMMYFUNCTION("""COMPUTED_VALUE"""),225121.66785)</f>
        <v>225121.66785</v>
      </c>
      <c r="G2542" s="22">
        <f ca="1">IFERROR(__xludf.DUMMYFUNCTION("""COMPUTED_VALUE"""),0)</f>
        <v>0</v>
      </c>
      <c r="H2542" s="7">
        <f ca="1">IFERROR(__xludf.DUMMYFUNCTION("""COMPUTED_VALUE"""),450490.1022)</f>
        <v>450490.10220000002</v>
      </c>
    </row>
    <row r="2543" spans="1:8" ht="13" x14ac:dyDescent="0.15">
      <c r="A2543" s="5" t="str">
        <f ca="1">IFERROR(__xludf.DUMMYFUNCTION("""COMPUTED_VALUE"""),"45969")</f>
        <v>45969</v>
      </c>
      <c r="B2543" s="51">
        <f ca="1">IFERROR(__xludf.DUMMYFUNCTION("""COMPUTED_VALUE"""),44606)</f>
        <v>44606</v>
      </c>
      <c r="C2543" s="22">
        <f ca="1">IFERROR(__xludf.DUMMYFUNCTION("""COMPUTED_VALUE"""),225121.66785)</f>
        <v>225121.66785</v>
      </c>
      <c r="D2543" s="22">
        <f ca="1">IFERROR(__xludf.DUMMYFUNCTION("""COMPUTED_VALUE"""),276278.326625)</f>
        <v>276278.32662499999</v>
      </c>
      <c r="E2543" s="22">
        <f ca="1">IFERROR(__xludf.DUMMYFUNCTION("""COMPUTED_VALUE"""),501399.994475)</f>
        <v>501399.99447500001</v>
      </c>
      <c r="F2543" s="22">
        <f ca="1">IFERROR(__xludf.DUMMYFUNCTION("""COMPUTED_VALUE"""),225121.66785)</f>
        <v>225121.66785</v>
      </c>
      <c r="G2543" s="22">
        <f ca="1">IFERROR(__xludf.DUMMYFUNCTION("""COMPUTED_VALUE"""),0)</f>
        <v>0</v>
      </c>
      <c r="H2543" s="7">
        <f ca="1">IFERROR(__xludf.DUMMYFUNCTION("""COMPUTED_VALUE"""),467598.183725)</f>
        <v>467598.18372500001</v>
      </c>
    </row>
    <row r="2544" spans="1:8" ht="13" x14ac:dyDescent="0.15">
      <c r="A2544" s="5" t="str">
        <f ca="1">IFERROR(__xludf.DUMMYFUNCTION("""COMPUTED_VALUE"""),"45969")</f>
        <v>45969</v>
      </c>
      <c r="B2544" s="51">
        <f ca="1">IFERROR(__xludf.DUMMYFUNCTION("""COMPUTED_VALUE"""),44607)</f>
        <v>44607</v>
      </c>
      <c r="C2544" s="22">
        <f ca="1">IFERROR(__xludf.DUMMYFUNCTION("""COMPUTED_VALUE"""),225121.66785)</f>
        <v>225121.66785</v>
      </c>
      <c r="D2544" s="22">
        <f ca="1">IFERROR(__xludf.DUMMYFUNCTION("""COMPUTED_VALUE"""),237129.856905)</f>
        <v>237129.85690499999</v>
      </c>
      <c r="E2544" s="22">
        <f ca="1">IFERROR(__xludf.DUMMYFUNCTION("""COMPUTED_VALUE"""),462251.524755)</f>
        <v>462251.52475500002</v>
      </c>
      <c r="F2544" s="22">
        <f ca="1">IFERROR(__xludf.DUMMYFUNCTION("""COMPUTED_VALUE"""),225121.66785)</f>
        <v>225121.66785</v>
      </c>
      <c r="G2544" s="22">
        <f ca="1">IFERROR(__xludf.DUMMYFUNCTION("""COMPUTED_VALUE"""),0)</f>
        <v>0</v>
      </c>
      <c r="H2544" s="7">
        <f ca="1">IFERROR(__xludf.DUMMYFUNCTION("""COMPUTED_VALUE"""),425858.333355)</f>
        <v>425858.33335500001</v>
      </c>
    </row>
    <row r="2545" spans="1:8" ht="13" x14ac:dyDescent="0.15">
      <c r="A2545" s="5" t="str">
        <f ca="1">IFERROR(__xludf.DUMMYFUNCTION("""COMPUTED_VALUE"""),"45969")</f>
        <v>45969</v>
      </c>
      <c r="B2545" s="51">
        <f ca="1">IFERROR(__xludf.DUMMYFUNCTION("""COMPUTED_VALUE"""),44608)</f>
        <v>44608</v>
      </c>
      <c r="C2545" s="22">
        <f ca="1">IFERROR(__xludf.DUMMYFUNCTION("""COMPUTED_VALUE"""),225121.66785)</f>
        <v>225121.66785</v>
      </c>
      <c r="D2545" s="22">
        <f ca="1">IFERROR(__xludf.DUMMYFUNCTION("""COMPUTED_VALUE"""),240759.514)</f>
        <v>240759.514</v>
      </c>
      <c r="E2545" s="22">
        <f ca="1">IFERROR(__xludf.DUMMYFUNCTION("""COMPUTED_VALUE"""),465881.18185)</f>
        <v>465881.18184999999</v>
      </c>
      <c r="F2545" s="22">
        <f ca="1">IFERROR(__xludf.DUMMYFUNCTION("""COMPUTED_VALUE"""),225121.66785)</f>
        <v>225121.66785</v>
      </c>
      <c r="G2545" s="22">
        <f ca="1">IFERROR(__xludf.DUMMYFUNCTION("""COMPUTED_VALUE"""),0)</f>
        <v>0</v>
      </c>
      <c r="H2545" s="7">
        <f ca="1">IFERROR(__xludf.DUMMYFUNCTION("""COMPUTED_VALUE"""),426670.98685)</f>
        <v>426670.98684999999</v>
      </c>
    </row>
    <row r="2546" spans="1:8" ht="13" x14ac:dyDescent="0.15">
      <c r="A2546" s="5" t="str">
        <f ca="1">IFERROR(__xludf.DUMMYFUNCTION("""COMPUTED_VALUE"""),"45969")</f>
        <v>45969</v>
      </c>
      <c r="B2546" s="51">
        <f ca="1">IFERROR(__xludf.DUMMYFUNCTION("""COMPUTED_VALUE"""),44609)</f>
        <v>44609</v>
      </c>
      <c r="C2546" s="22">
        <f ca="1">IFERROR(__xludf.DUMMYFUNCTION("""COMPUTED_VALUE"""),225121.66785)</f>
        <v>225121.66785</v>
      </c>
      <c r="D2546" s="22">
        <f ca="1">IFERROR(__xludf.DUMMYFUNCTION("""COMPUTED_VALUE"""),308761.404)</f>
        <v>308761.40399999998</v>
      </c>
      <c r="E2546" s="22">
        <f ca="1">IFERROR(__xludf.DUMMYFUNCTION("""COMPUTED_VALUE"""),533883.07185)</f>
        <v>533883.07184999995</v>
      </c>
      <c r="F2546" s="22">
        <f ca="1">IFERROR(__xludf.DUMMYFUNCTION("""COMPUTED_VALUE"""),225121.66785)</f>
        <v>225121.66785</v>
      </c>
      <c r="G2546" s="22">
        <f ca="1">IFERROR(__xludf.DUMMYFUNCTION("""COMPUTED_VALUE"""),0)</f>
        <v>0</v>
      </c>
      <c r="H2546" s="7">
        <f ca="1">IFERROR(__xludf.DUMMYFUNCTION("""COMPUTED_VALUE"""),471729.68415)</f>
        <v>471729.68414999999</v>
      </c>
    </row>
    <row r="2547" spans="1:8" ht="13" x14ac:dyDescent="0.15">
      <c r="A2547" s="5" t="str">
        <f ca="1">IFERROR(__xludf.DUMMYFUNCTION("""COMPUTED_VALUE"""),"45969")</f>
        <v>45969</v>
      </c>
      <c r="B2547" s="51">
        <f ca="1">IFERROR(__xludf.DUMMYFUNCTION("""COMPUTED_VALUE"""),44610)</f>
        <v>44610</v>
      </c>
      <c r="C2547" s="22">
        <f ca="1">IFERROR(__xludf.DUMMYFUNCTION("""COMPUTED_VALUE"""),225121.66785)</f>
        <v>225121.66785</v>
      </c>
      <c r="D2547" s="22">
        <f ca="1">IFERROR(__xludf.DUMMYFUNCTION("""COMPUTED_VALUE"""),318639.96462)</f>
        <v>318639.96461999998</v>
      </c>
      <c r="E2547" s="22">
        <f ca="1">IFERROR(__xludf.DUMMYFUNCTION("""COMPUTED_VALUE"""),543761.63247)</f>
        <v>543761.63246999995</v>
      </c>
      <c r="F2547" s="22">
        <f ca="1">IFERROR(__xludf.DUMMYFUNCTION("""COMPUTED_VALUE"""),225121.66785)</f>
        <v>225121.66785</v>
      </c>
      <c r="G2547" s="22">
        <f ca="1">IFERROR(__xludf.DUMMYFUNCTION("""COMPUTED_VALUE"""),0)</f>
        <v>0</v>
      </c>
      <c r="H2547" s="7">
        <f ca="1">IFERROR(__xludf.DUMMYFUNCTION("""COMPUTED_VALUE"""),478809.85407)</f>
        <v>478809.85407</v>
      </c>
    </row>
    <row r="2548" spans="1:8" ht="13" x14ac:dyDescent="0.15">
      <c r="A2548" s="5" t="str">
        <f ca="1">IFERROR(__xludf.DUMMYFUNCTION("""COMPUTED_VALUE"""),"45969")</f>
        <v>45969</v>
      </c>
      <c r="B2548" s="51">
        <f ca="1">IFERROR(__xludf.DUMMYFUNCTION("""COMPUTED_VALUE"""),44611)</f>
        <v>44611</v>
      </c>
      <c r="C2548" s="22">
        <f ca="1">IFERROR(__xludf.DUMMYFUNCTION("""COMPUTED_VALUE"""),225121.66785)</f>
        <v>225121.66785</v>
      </c>
      <c r="D2548" s="22">
        <f ca="1">IFERROR(__xludf.DUMMYFUNCTION("""COMPUTED_VALUE"""),318639.96462)</f>
        <v>318639.96461999998</v>
      </c>
      <c r="E2548" s="22">
        <f ca="1">IFERROR(__xludf.DUMMYFUNCTION("""COMPUTED_VALUE"""),543761.63247)</f>
        <v>543761.63246999995</v>
      </c>
      <c r="F2548" s="22">
        <f ca="1">IFERROR(__xludf.DUMMYFUNCTION("""COMPUTED_VALUE"""),225121.66785)</f>
        <v>225121.66785</v>
      </c>
      <c r="G2548" s="22">
        <f ca="1">IFERROR(__xludf.DUMMYFUNCTION("""COMPUTED_VALUE"""),0)</f>
        <v>0</v>
      </c>
      <c r="H2548" s="7">
        <f ca="1">IFERROR(__xludf.DUMMYFUNCTION("""COMPUTED_VALUE"""),478809.85407)</f>
        <v>478809.85407</v>
      </c>
    </row>
    <row r="2549" spans="1:8" ht="13" x14ac:dyDescent="0.15">
      <c r="A2549" s="5" t="str">
        <f ca="1">IFERROR(__xludf.DUMMYFUNCTION("""COMPUTED_VALUE"""),"45969")</f>
        <v>45969</v>
      </c>
      <c r="B2549" s="51">
        <f ca="1">IFERROR(__xludf.DUMMYFUNCTION("""COMPUTED_VALUE"""),44612)</f>
        <v>44612</v>
      </c>
      <c r="C2549" s="22">
        <f ca="1">IFERROR(__xludf.DUMMYFUNCTION("""COMPUTED_VALUE"""),225121.66785)</f>
        <v>225121.66785</v>
      </c>
      <c r="D2549" s="22">
        <f ca="1">IFERROR(__xludf.DUMMYFUNCTION("""COMPUTED_VALUE"""),318633.11119)</f>
        <v>318633.11119000003</v>
      </c>
      <c r="E2549" s="22">
        <f ca="1">IFERROR(__xludf.DUMMYFUNCTION("""COMPUTED_VALUE"""),543754.77904)</f>
        <v>543754.77904000005</v>
      </c>
      <c r="F2549" s="22">
        <f ca="1">IFERROR(__xludf.DUMMYFUNCTION("""COMPUTED_VALUE"""),225121.66785)</f>
        <v>225121.66785</v>
      </c>
      <c r="G2549" s="22">
        <f ca="1">IFERROR(__xludf.DUMMYFUNCTION("""COMPUTED_VALUE"""),0)</f>
        <v>0</v>
      </c>
      <c r="H2549" s="7">
        <f ca="1">IFERROR(__xludf.DUMMYFUNCTION("""COMPUTED_VALUE"""),478801.23574)</f>
        <v>478801.23573999997</v>
      </c>
    </row>
    <row r="2550" spans="1:8" ht="13" x14ac:dyDescent="0.15">
      <c r="A2550" s="5" t="str">
        <f ca="1">IFERROR(__xludf.DUMMYFUNCTION("""COMPUTED_VALUE"""),"45969")</f>
        <v>45969</v>
      </c>
      <c r="B2550" s="51">
        <f ca="1">IFERROR(__xludf.DUMMYFUNCTION("""COMPUTED_VALUE"""),44613)</f>
        <v>44613</v>
      </c>
      <c r="C2550" s="22">
        <f ca="1">IFERROR(__xludf.DUMMYFUNCTION("""COMPUTED_VALUE"""),225121.66785)</f>
        <v>225121.66785</v>
      </c>
      <c r="D2550" s="22">
        <f ca="1">IFERROR(__xludf.DUMMYFUNCTION("""COMPUTED_VALUE"""),318652.76631)</f>
        <v>318652.76630999998</v>
      </c>
      <c r="E2550" s="22">
        <f ca="1">IFERROR(__xludf.DUMMYFUNCTION("""COMPUTED_VALUE"""),543774.43416)</f>
        <v>543774.43415999995</v>
      </c>
      <c r="F2550" s="22">
        <f ca="1">IFERROR(__xludf.DUMMYFUNCTION("""COMPUTED_VALUE"""),225121.66785)</f>
        <v>225121.66785</v>
      </c>
      <c r="G2550" s="22">
        <f ca="1">IFERROR(__xludf.DUMMYFUNCTION("""COMPUTED_VALUE"""),0)</f>
        <v>0</v>
      </c>
      <c r="H2550" s="7">
        <f ca="1">IFERROR(__xludf.DUMMYFUNCTION("""COMPUTED_VALUE"""),478825.95246)</f>
        <v>478825.95246</v>
      </c>
    </row>
    <row r="2551" spans="1:8" ht="13" x14ac:dyDescent="0.15">
      <c r="A2551" s="5" t="str">
        <f ca="1">IFERROR(__xludf.DUMMYFUNCTION("""COMPUTED_VALUE"""),"45969")</f>
        <v>45969</v>
      </c>
      <c r="B2551" s="51">
        <f ca="1">IFERROR(__xludf.DUMMYFUNCTION("""COMPUTED_VALUE"""),44614)</f>
        <v>44614</v>
      </c>
      <c r="C2551" s="22">
        <f ca="1">IFERROR(__xludf.DUMMYFUNCTION("""COMPUTED_VALUE"""),225121.66785)</f>
        <v>225121.66785</v>
      </c>
      <c r="D2551" s="22">
        <f ca="1">IFERROR(__xludf.DUMMYFUNCTION("""COMPUTED_VALUE"""),333776.2215)</f>
        <v>333776.22149999999</v>
      </c>
      <c r="E2551" s="22">
        <f ca="1">IFERROR(__xludf.DUMMYFUNCTION("""COMPUTED_VALUE"""),558897.88935)</f>
        <v>558897.88934999995</v>
      </c>
      <c r="F2551" s="22">
        <f ca="1">IFERROR(__xludf.DUMMYFUNCTION("""COMPUTED_VALUE"""),225121.66785)</f>
        <v>225121.66785</v>
      </c>
      <c r="G2551" s="22">
        <f ca="1">IFERROR(__xludf.DUMMYFUNCTION("""COMPUTED_VALUE"""),0)</f>
        <v>0</v>
      </c>
      <c r="H2551" s="7">
        <f ca="1">IFERROR(__xludf.DUMMYFUNCTION("""COMPUTED_VALUE"""),489039.26685)</f>
        <v>489039.26685000001</v>
      </c>
    </row>
    <row r="2552" spans="1:8" ht="13" x14ac:dyDescent="0.15">
      <c r="A2552" s="5" t="str">
        <f ca="1">IFERROR(__xludf.DUMMYFUNCTION("""COMPUTED_VALUE"""),"45969")</f>
        <v>45969</v>
      </c>
      <c r="B2552" s="51">
        <f ca="1">IFERROR(__xludf.DUMMYFUNCTION("""COMPUTED_VALUE"""),44615)</f>
        <v>44615</v>
      </c>
      <c r="C2552" s="22">
        <f ca="1">IFERROR(__xludf.DUMMYFUNCTION("""COMPUTED_VALUE"""),225121.66785)</f>
        <v>225121.66785</v>
      </c>
      <c r="D2552" s="22">
        <f ca="1">IFERROR(__xludf.DUMMYFUNCTION("""COMPUTED_VALUE"""),372726.79875)</f>
        <v>372726.79875000002</v>
      </c>
      <c r="E2552" s="22">
        <f ca="1">IFERROR(__xludf.DUMMYFUNCTION("""COMPUTED_VALUE"""),597848.4666)</f>
        <v>597848.46660000004</v>
      </c>
      <c r="F2552" s="22">
        <f ca="1">IFERROR(__xludf.DUMMYFUNCTION("""COMPUTED_VALUE"""),225121.66785)</f>
        <v>225121.66785</v>
      </c>
      <c r="G2552" s="22">
        <f ca="1">IFERROR(__xludf.DUMMYFUNCTION("""COMPUTED_VALUE"""),0)</f>
        <v>0</v>
      </c>
      <c r="H2552" s="7">
        <f ca="1">IFERROR(__xludf.DUMMYFUNCTION("""COMPUTED_VALUE"""),517006.4706)</f>
        <v>517006.4706</v>
      </c>
    </row>
    <row r="2553" spans="1:8" ht="13" x14ac:dyDescent="0.15">
      <c r="A2553" s="5" t="str">
        <f ca="1">IFERROR(__xludf.DUMMYFUNCTION("""COMPUTED_VALUE"""),"45969")</f>
        <v>45969</v>
      </c>
      <c r="B2553" s="51">
        <f ca="1">IFERROR(__xludf.DUMMYFUNCTION("""COMPUTED_VALUE"""),44616)</f>
        <v>44616</v>
      </c>
      <c r="C2553" s="22">
        <f ca="1">IFERROR(__xludf.DUMMYFUNCTION("""COMPUTED_VALUE"""),225121.66785)</f>
        <v>225121.66785</v>
      </c>
      <c r="D2553" s="22">
        <f ca="1">IFERROR(__xludf.DUMMYFUNCTION("""COMPUTED_VALUE"""),306959.4255)</f>
        <v>306959.42550000001</v>
      </c>
      <c r="E2553" s="22">
        <f ca="1">IFERROR(__xludf.DUMMYFUNCTION("""COMPUTED_VALUE"""),532081.09335)</f>
        <v>532081.09334999998</v>
      </c>
      <c r="F2553" s="22">
        <f ca="1">IFERROR(__xludf.DUMMYFUNCTION("""COMPUTED_VALUE"""),225121.66785)</f>
        <v>225121.66785</v>
      </c>
      <c r="G2553" s="22">
        <f ca="1">IFERROR(__xludf.DUMMYFUNCTION("""COMPUTED_VALUE"""),0)</f>
        <v>0</v>
      </c>
      <c r="H2553" s="7">
        <f ca="1">IFERROR(__xludf.DUMMYFUNCTION("""COMPUTED_VALUE"""),438835.40085)</f>
        <v>438835.40084999998</v>
      </c>
    </row>
    <row r="2554" spans="1:8" ht="13" x14ac:dyDescent="0.15">
      <c r="A2554" s="5" t="str">
        <f ca="1">IFERROR(__xludf.DUMMYFUNCTION("""COMPUTED_VALUE"""),"45969")</f>
        <v>45969</v>
      </c>
      <c r="B2554" s="51">
        <f ca="1">IFERROR(__xludf.DUMMYFUNCTION("""COMPUTED_VALUE"""),44617)</f>
        <v>44617</v>
      </c>
      <c r="C2554" s="22">
        <f ca="1">IFERROR(__xludf.DUMMYFUNCTION("""COMPUTED_VALUE"""),225121.66785)</f>
        <v>225121.66785</v>
      </c>
      <c r="D2554" s="22">
        <f ca="1">IFERROR(__xludf.DUMMYFUNCTION("""COMPUTED_VALUE"""),284611.88281)</f>
        <v>284611.88280999998</v>
      </c>
      <c r="E2554" s="22">
        <f ca="1">IFERROR(__xludf.DUMMYFUNCTION("""COMPUTED_VALUE"""),509733.55066)</f>
        <v>509733.55066000001</v>
      </c>
      <c r="F2554" s="22">
        <f ca="1">IFERROR(__xludf.DUMMYFUNCTION("""COMPUTED_VALUE"""),225121.66785)</f>
        <v>225121.66785</v>
      </c>
      <c r="G2554" s="22">
        <f ca="1">IFERROR(__xludf.DUMMYFUNCTION("""COMPUTED_VALUE"""),0)</f>
        <v>0</v>
      </c>
      <c r="H2554" s="7">
        <f ca="1">IFERROR(__xludf.DUMMYFUNCTION("""COMPUTED_VALUE"""),428670.90871)</f>
        <v>428670.90870999999</v>
      </c>
    </row>
    <row r="2555" spans="1:8" ht="13" x14ac:dyDescent="0.15">
      <c r="A2555" s="5" t="str">
        <f ca="1">IFERROR(__xludf.DUMMYFUNCTION("""COMPUTED_VALUE"""),"45969")</f>
        <v>45969</v>
      </c>
      <c r="B2555" s="51">
        <f ca="1">IFERROR(__xludf.DUMMYFUNCTION("""COMPUTED_VALUE"""),44618)</f>
        <v>44618</v>
      </c>
      <c r="C2555" s="22">
        <f ca="1">IFERROR(__xludf.DUMMYFUNCTION("""COMPUTED_VALUE"""),225121.66785)</f>
        <v>225121.66785</v>
      </c>
      <c r="D2555" s="22">
        <f ca="1">IFERROR(__xludf.DUMMYFUNCTION("""COMPUTED_VALUE"""),284615.10451)</f>
        <v>284615.10450999998</v>
      </c>
      <c r="E2555" s="22">
        <f ca="1">IFERROR(__xludf.DUMMYFUNCTION("""COMPUTED_VALUE"""),509736.77236)</f>
        <v>509736.77236</v>
      </c>
      <c r="F2555" s="22">
        <f ca="1">IFERROR(__xludf.DUMMYFUNCTION("""COMPUTED_VALUE"""),225121.66785)</f>
        <v>225121.66785</v>
      </c>
      <c r="G2555" s="22">
        <f ca="1">IFERROR(__xludf.DUMMYFUNCTION("""COMPUTED_VALUE"""),0)</f>
        <v>0</v>
      </c>
      <c r="H2555" s="7">
        <f ca="1">IFERROR(__xludf.DUMMYFUNCTION("""COMPUTED_VALUE"""),428674.81891)</f>
        <v>428674.81890999997</v>
      </c>
    </row>
    <row r="2556" spans="1:8" ht="13" x14ac:dyDescent="0.15">
      <c r="A2556" s="5" t="str">
        <f ca="1">IFERROR(__xludf.DUMMYFUNCTION("""COMPUTED_VALUE"""),"45969")</f>
        <v>45969</v>
      </c>
      <c r="B2556" s="51">
        <f ca="1">IFERROR(__xludf.DUMMYFUNCTION("""COMPUTED_VALUE"""),44619)</f>
        <v>44619</v>
      </c>
      <c r="C2556" s="22">
        <f ca="1">IFERROR(__xludf.DUMMYFUNCTION("""COMPUTED_VALUE"""),225121.66785)</f>
        <v>225121.66785</v>
      </c>
      <c r="D2556" s="22">
        <f ca="1">IFERROR(__xludf.DUMMYFUNCTION("""COMPUTED_VALUE"""),284607.6946)</f>
        <v>284607.69459999999</v>
      </c>
      <c r="E2556" s="22">
        <f ca="1">IFERROR(__xludf.DUMMYFUNCTION("""COMPUTED_VALUE"""),509729.36245)</f>
        <v>509729.36245000002</v>
      </c>
      <c r="F2556" s="22">
        <f ca="1">IFERROR(__xludf.DUMMYFUNCTION("""COMPUTED_VALUE"""),225121.66785)</f>
        <v>225121.66785</v>
      </c>
      <c r="G2556" s="22">
        <f ca="1">IFERROR(__xludf.DUMMYFUNCTION("""COMPUTED_VALUE"""),0)</f>
        <v>0</v>
      </c>
      <c r="H2556" s="7">
        <f ca="1">IFERROR(__xludf.DUMMYFUNCTION("""COMPUTED_VALUE"""),428665.82545)</f>
        <v>428665.82545</v>
      </c>
    </row>
    <row r="2557" spans="1:8" ht="13" x14ac:dyDescent="0.15">
      <c r="A2557" s="5" t="str">
        <f ca="1">IFERROR(__xludf.DUMMYFUNCTION("""COMPUTED_VALUE"""),"45969")</f>
        <v>45969</v>
      </c>
      <c r="B2557" s="51">
        <f ca="1">IFERROR(__xludf.DUMMYFUNCTION("""COMPUTED_VALUE"""),44620)</f>
        <v>44620</v>
      </c>
      <c r="C2557" s="22">
        <f ca="1">IFERROR(__xludf.DUMMYFUNCTION("""COMPUTED_VALUE"""),225121.66785)</f>
        <v>225121.66785</v>
      </c>
      <c r="D2557" s="22">
        <f ca="1">IFERROR(__xludf.DUMMYFUNCTION("""COMPUTED_VALUE"""),295284.2385)</f>
        <v>295284.23849999998</v>
      </c>
      <c r="E2557" s="22">
        <f ca="1">IFERROR(__xludf.DUMMYFUNCTION("""COMPUTED_VALUE"""),520405.90635)</f>
        <v>520405.90635</v>
      </c>
      <c r="F2557" s="22">
        <f ca="1">IFERROR(__xludf.DUMMYFUNCTION("""COMPUTED_VALUE"""),225121.66785)</f>
        <v>225121.66785</v>
      </c>
      <c r="G2557" s="22">
        <f ca="1">IFERROR(__xludf.DUMMYFUNCTION("""COMPUTED_VALUE"""),0)</f>
        <v>0</v>
      </c>
      <c r="H2557" s="7">
        <f ca="1">IFERROR(__xludf.DUMMYFUNCTION("""COMPUTED_VALUE"""),430459.13385)</f>
        <v>430459.13384999998</v>
      </c>
    </row>
    <row r="2558" spans="1:8" ht="13" x14ac:dyDescent="0.15">
      <c r="A2558" s="5" t="str">
        <f ca="1">IFERROR(__xludf.DUMMYFUNCTION("""COMPUTED_VALUE"""),"45969")</f>
        <v>45969</v>
      </c>
      <c r="B2558" s="51">
        <f ca="1">IFERROR(__xludf.DUMMYFUNCTION("""COMPUTED_VALUE"""),44621)</f>
        <v>44621</v>
      </c>
      <c r="C2558" s="22">
        <f ca="1">IFERROR(__xludf.DUMMYFUNCTION("""COMPUTED_VALUE"""),225121.66785)</f>
        <v>225121.66785</v>
      </c>
      <c r="D2558" s="22">
        <f ca="1">IFERROR(__xludf.DUMMYFUNCTION("""COMPUTED_VALUE"""),336605.45355)</f>
        <v>336605.45354999998</v>
      </c>
      <c r="E2558" s="22">
        <f ca="1">IFERROR(__xludf.DUMMYFUNCTION("""COMPUTED_VALUE"""),561727.1214)</f>
        <v>561727.12139999995</v>
      </c>
      <c r="F2558" s="22">
        <f ca="1">IFERROR(__xludf.DUMMYFUNCTION("""COMPUTED_VALUE"""),225121.66785)</f>
        <v>225121.66785</v>
      </c>
      <c r="G2558" s="22">
        <f ca="1">IFERROR(__xludf.DUMMYFUNCTION("""COMPUTED_VALUE"""),0)</f>
        <v>0</v>
      </c>
      <c r="H2558" s="7">
        <f ca="1">IFERROR(__xludf.DUMMYFUNCTION("""COMPUTED_VALUE"""),462409.50765)</f>
        <v>462409.50764999999</v>
      </c>
    </row>
    <row r="2559" spans="1:8" ht="13" x14ac:dyDescent="0.15">
      <c r="A2559" s="5" t="str">
        <f ca="1">IFERROR(__xludf.DUMMYFUNCTION("""COMPUTED_VALUE"""),"45969")</f>
        <v>45969</v>
      </c>
      <c r="B2559" s="51">
        <f ca="1">IFERROR(__xludf.DUMMYFUNCTION("""COMPUTED_VALUE"""),44622)</f>
        <v>44622</v>
      </c>
      <c r="C2559" s="22">
        <f ca="1">IFERROR(__xludf.DUMMYFUNCTION("""COMPUTED_VALUE"""),225121.66785)</f>
        <v>225121.66785</v>
      </c>
      <c r="D2559" s="22">
        <f ca="1">IFERROR(__xludf.DUMMYFUNCTION("""COMPUTED_VALUE"""),295209.70005)</f>
        <v>295209.70004999998</v>
      </c>
      <c r="E2559" s="22">
        <f ca="1">IFERROR(__xludf.DUMMYFUNCTION("""COMPUTED_VALUE"""),520331.3679)</f>
        <v>520331.36790000001</v>
      </c>
      <c r="F2559" s="22">
        <f ca="1">IFERROR(__xludf.DUMMYFUNCTION("""COMPUTED_VALUE"""),225121.66785)</f>
        <v>225121.66785</v>
      </c>
      <c r="G2559" s="22">
        <f ca="1">IFERROR(__xludf.DUMMYFUNCTION("""COMPUTED_VALUE"""),0)</f>
        <v>0</v>
      </c>
      <c r="H2559" s="7">
        <f ca="1">IFERROR(__xludf.DUMMYFUNCTION("""COMPUTED_VALUE"""),421009.5804)</f>
        <v>421009.58039999998</v>
      </c>
    </row>
    <row r="2560" spans="1:8" ht="13" x14ac:dyDescent="0.15">
      <c r="A2560" s="5" t="str">
        <f ca="1">IFERROR(__xludf.DUMMYFUNCTION("""COMPUTED_VALUE"""),"45969")</f>
        <v>45969</v>
      </c>
      <c r="B2560" s="51">
        <f ca="1">IFERROR(__xludf.DUMMYFUNCTION("""COMPUTED_VALUE"""),44623)</f>
        <v>44623</v>
      </c>
      <c r="C2560" s="22">
        <f ca="1">IFERROR(__xludf.DUMMYFUNCTION("""COMPUTED_VALUE"""),225121.66785)</f>
        <v>225121.66785</v>
      </c>
      <c r="D2560" s="22">
        <f ca="1">IFERROR(__xludf.DUMMYFUNCTION("""COMPUTED_VALUE"""),336223.74185)</f>
        <v>336223.74184999999</v>
      </c>
      <c r="E2560" s="22">
        <f ca="1">IFERROR(__xludf.DUMMYFUNCTION("""COMPUTED_VALUE"""),561345.4097)</f>
        <v>561345.40969999996</v>
      </c>
      <c r="F2560" s="22">
        <f ca="1">IFERROR(__xludf.DUMMYFUNCTION("""COMPUTED_VALUE"""),225121.66785)</f>
        <v>225121.66785</v>
      </c>
      <c r="G2560" s="22">
        <f ca="1">IFERROR(__xludf.DUMMYFUNCTION("""COMPUTED_VALUE"""),0)</f>
        <v>0</v>
      </c>
      <c r="H2560" s="7">
        <f ca="1">IFERROR(__xludf.DUMMYFUNCTION("""COMPUTED_VALUE"""),457807.3382)</f>
        <v>457807.3382</v>
      </c>
    </row>
    <row r="2561" spans="1:8" ht="13" x14ac:dyDescent="0.15">
      <c r="A2561" s="5" t="str">
        <f ca="1">IFERROR(__xludf.DUMMYFUNCTION("""COMPUTED_VALUE"""),"45969")</f>
        <v>45969</v>
      </c>
      <c r="B2561" s="51">
        <f ca="1">IFERROR(__xludf.DUMMYFUNCTION("""COMPUTED_VALUE"""),44624)</f>
        <v>44624</v>
      </c>
      <c r="C2561" s="22">
        <f ca="1">IFERROR(__xludf.DUMMYFUNCTION("""COMPUTED_VALUE"""),225121.66785)</f>
        <v>225121.66785</v>
      </c>
      <c r="D2561" s="22">
        <f ca="1">IFERROR(__xludf.DUMMYFUNCTION("""COMPUTED_VALUE"""),378494.012279999)</f>
        <v>378494.01227999898</v>
      </c>
      <c r="E2561" s="22">
        <f ca="1">IFERROR(__xludf.DUMMYFUNCTION("""COMPUTED_VALUE"""),603615.68013)</f>
        <v>603615.68012999999</v>
      </c>
      <c r="F2561" s="22">
        <f ca="1">IFERROR(__xludf.DUMMYFUNCTION("""COMPUTED_VALUE"""),225121.66785)</f>
        <v>225121.66785</v>
      </c>
      <c r="G2561" s="22">
        <f ca="1">IFERROR(__xludf.DUMMYFUNCTION("""COMPUTED_VALUE"""),0)</f>
        <v>0</v>
      </c>
      <c r="H2561" s="7">
        <f ca="1">IFERROR(__xludf.DUMMYFUNCTION("""COMPUTED_VALUE"""),494214.21393)</f>
        <v>494214.21393000003</v>
      </c>
    </row>
    <row r="2562" spans="1:8" ht="13" x14ac:dyDescent="0.15">
      <c r="A2562" s="5" t="str">
        <f ca="1">IFERROR(__xludf.DUMMYFUNCTION("""COMPUTED_VALUE"""),"45969")</f>
        <v>45969</v>
      </c>
      <c r="B2562" s="51">
        <f ca="1">IFERROR(__xludf.DUMMYFUNCTION("""COMPUTED_VALUE"""),44625)</f>
        <v>44625</v>
      </c>
      <c r="C2562" s="22">
        <f ca="1">IFERROR(__xludf.DUMMYFUNCTION("""COMPUTED_VALUE"""),225121.66785)</f>
        <v>225121.66785</v>
      </c>
      <c r="D2562" s="22">
        <f ca="1">IFERROR(__xludf.DUMMYFUNCTION("""COMPUTED_VALUE"""),378494.012279999)</f>
        <v>378494.01227999898</v>
      </c>
      <c r="E2562" s="22">
        <f ca="1">IFERROR(__xludf.DUMMYFUNCTION("""COMPUTED_VALUE"""),603615.68013)</f>
        <v>603615.68012999999</v>
      </c>
      <c r="F2562" s="22">
        <f ca="1">IFERROR(__xludf.DUMMYFUNCTION("""COMPUTED_VALUE"""),225121.66785)</f>
        <v>225121.66785</v>
      </c>
      <c r="G2562" s="22">
        <f ca="1">IFERROR(__xludf.DUMMYFUNCTION("""COMPUTED_VALUE"""),0)</f>
        <v>0</v>
      </c>
      <c r="H2562" s="7">
        <f ca="1">IFERROR(__xludf.DUMMYFUNCTION("""COMPUTED_VALUE"""),494214.21393)</f>
        <v>494214.21393000003</v>
      </c>
    </row>
    <row r="2563" spans="1:8" ht="13" x14ac:dyDescent="0.15">
      <c r="A2563" s="5" t="str">
        <f ca="1">IFERROR(__xludf.DUMMYFUNCTION("""COMPUTED_VALUE"""),"45969")</f>
        <v>45969</v>
      </c>
      <c r="B2563" s="51">
        <f ca="1">IFERROR(__xludf.DUMMYFUNCTION("""COMPUTED_VALUE"""),44626)</f>
        <v>44626</v>
      </c>
      <c r="C2563" s="22">
        <f ca="1">IFERROR(__xludf.DUMMYFUNCTION("""COMPUTED_VALUE"""),225121.66785)</f>
        <v>225121.66785</v>
      </c>
      <c r="D2563" s="22">
        <f ca="1">IFERROR(__xludf.DUMMYFUNCTION("""COMPUTED_VALUE"""),378529.99898)</f>
        <v>378529.99897999997</v>
      </c>
      <c r="E2563" s="22">
        <f ca="1">IFERROR(__xludf.DUMMYFUNCTION("""COMPUTED_VALUE"""),603651.66683)</f>
        <v>603651.66683</v>
      </c>
      <c r="F2563" s="22">
        <f ca="1">IFERROR(__xludf.DUMMYFUNCTION("""COMPUTED_VALUE"""),225121.66785)</f>
        <v>225121.66785</v>
      </c>
      <c r="G2563" s="22">
        <f ca="1">IFERROR(__xludf.DUMMYFUNCTION("""COMPUTED_VALUE"""),0)</f>
        <v>0</v>
      </c>
      <c r="H2563" s="7">
        <f ca="1">IFERROR(__xludf.DUMMYFUNCTION("""COMPUTED_VALUE"""),494251.23263)</f>
        <v>494251.23262999998</v>
      </c>
    </row>
    <row r="2564" spans="1:8" ht="13" x14ac:dyDescent="0.15">
      <c r="A2564" s="5" t="str">
        <f ca="1">IFERROR(__xludf.DUMMYFUNCTION("""COMPUTED_VALUE"""),"45969")</f>
        <v>45969</v>
      </c>
      <c r="B2564" s="51">
        <f ca="1">IFERROR(__xludf.DUMMYFUNCTION("""COMPUTED_VALUE"""),44627)</f>
        <v>44627</v>
      </c>
      <c r="C2564" s="22">
        <f ca="1">IFERROR(__xludf.DUMMYFUNCTION("""COMPUTED_VALUE"""),225121.66785)</f>
        <v>225121.66785</v>
      </c>
      <c r="D2564" s="22">
        <f ca="1">IFERROR(__xludf.DUMMYFUNCTION("""COMPUTED_VALUE"""),491638.45795)</f>
        <v>491638.45795000001</v>
      </c>
      <c r="E2564" s="22">
        <f ca="1">IFERROR(__xludf.DUMMYFUNCTION("""COMPUTED_VALUE"""),716760.1258)</f>
        <v>716760.12580000004</v>
      </c>
      <c r="F2564" s="22">
        <f ca="1">IFERROR(__xludf.DUMMYFUNCTION("""COMPUTED_VALUE"""),225121.66785)</f>
        <v>225121.66785</v>
      </c>
      <c r="G2564" s="22">
        <f ca="1">IFERROR(__xludf.DUMMYFUNCTION("""COMPUTED_VALUE"""),0)</f>
        <v>0</v>
      </c>
      <c r="H2564" s="7">
        <f ca="1">IFERROR(__xludf.DUMMYFUNCTION("""COMPUTED_VALUE"""),601967.9593)</f>
        <v>601967.95929999999</v>
      </c>
    </row>
    <row r="2565" spans="1:8" ht="13" x14ac:dyDescent="0.15">
      <c r="A2565" s="5" t="str">
        <f ca="1">IFERROR(__xludf.DUMMYFUNCTION("""COMPUTED_VALUE"""),"45969")</f>
        <v>45969</v>
      </c>
      <c r="B2565" s="51">
        <f ca="1">IFERROR(__xludf.DUMMYFUNCTION("""COMPUTED_VALUE"""),44628)</f>
        <v>44628</v>
      </c>
      <c r="C2565" s="22">
        <f ca="1">IFERROR(__xludf.DUMMYFUNCTION("""COMPUTED_VALUE"""),566662.314825)</f>
        <v>566662.31482500001</v>
      </c>
      <c r="D2565" s="22">
        <f ca="1">IFERROR(__xludf.DUMMYFUNCTION("""COMPUTED_VALUE"""),2111.12324999994)</f>
        <v>2111.1232499999401</v>
      </c>
      <c r="E2565" s="22">
        <f ca="1">IFERROR(__xludf.DUMMYFUNCTION("""COMPUTED_VALUE"""),568773.438075)</f>
        <v>568773.43807499995</v>
      </c>
      <c r="F2565" s="22">
        <f ca="1">IFERROR(__xludf.DUMMYFUNCTION("""COMPUTED_VALUE"""),724637.471975)</f>
        <v>724637.47197499999</v>
      </c>
      <c r="G2565" s="22">
        <f ca="1">IFERROR(__xludf.DUMMYFUNCTION("""COMPUTED_VALUE"""),0)</f>
        <v>0</v>
      </c>
      <c r="H2565" s="7">
        <f ca="1">IFERROR(__xludf.DUMMYFUNCTION("""COMPUTED_VALUE"""),568773.438075)</f>
        <v>568773.43807499995</v>
      </c>
    </row>
    <row r="2566" spans="1:8" ht="13" x14ac:dyDescent="0.15">
      <c r="A2566" s="5" t="str">
        <f ca="1">IFERROR(__xludf.DUMMYFUNCTION("""COMPUTED_VALUE"""),"45969")</f>
        <v>45969</v>
      </c>
      <c r="B2566" s="51">
        <f ca="1">IFERROR(__xludf.DUMMYFUNCTION("""COMPUTED_VALUE"""),44629)</f>
        <v>44629</v>
      </c>
      <c r="C2566" s="22">
        <f ca="1">IFERROR(__xludf.DUMMYFUNCTION("""COMPUTED_VALUE"""),566662.314825)</f>
        <v>566662.31482500001</v>
      </c>
      <c r="D2566" s="22">
        <f ca="1">IFERROR(__xludf.DUMMYFUNCTION("""COMPUTED_VALUE"""),-31766.2224)</f>
        <v>-31766.222399999999</v>
      </c>
      <c r="E2566" s="22">
        <f ca="1">IFERROR(__xludf.DUMMYFUNCTION("""COMPUTED_VALUE"""),534896.092424999)</f>
        <v>534896.09242499899</v>
      </c>
      <c r="F2566" s="22">
        <f ca="1">IFERROR(__xludf.DUMMYFUNCTION("""COMPUTED_VALUE"""),724637.471975)</f>
        <v>724637.47197499999</v>
      </c>
      <c r="G2566" s="22">
        <f ca="1">IFERROR(__xludf.DUMMYFUNCTION("""COMPUTED_VALUE"""),0)</f>
        <v>0</v>
      </c>
      <c r="H2566" s="7">
        <f ca="1">IFERROR(__xludf.DUMMYFUNCTION("""COMPUTED_VALUE"""),572292.246825)</f>
        <v>572292.24682500004</v>
      </c>
    </row>
    <row r="2567" spans="1:8" ht="13" x14ac:dyDescent="0.15">
      <c r="A2567" s="5" t="str">
        <f ca="1">IFERROR(__xludf.DUMMYFUNCTION("""COMPUTED_VALUE"""),"45969")</f>
        <v>45969</v>
      </c>
      <c r="B2567" s="51">
        <f ca="1">IFERROR(__xludf.DUMMYFUNCTION("""COMPUTED_VALUE"""),44630)</f>
        <v>44630</v>
      </c>
      <c r="C2567" s="22">
        <f ca="1">IFERROR(__xludf.DUMMYFUNCTION("""COMPUTED_VALUE"""),566662.314825)</f>
        <v>566662.31482500001</v>
      </c>
      <c r="D2567" s="22">
        <f ca="1">IFERROR(__xludf.DUMMYFUNCTION("""COMPUTED_VALUE"""),-35035.8559)</f>
        <v>-35035.855900000002</v>
      </c>
      <c r="E2567" s="22">
        <f ca="1">IFERROR(__xludf.DUMMYFUNCTION("""COMPUTED_VALUE"""),531626.458924999)</f>
        <v>531626.45892499899</v>
      </c>
      <c r="F2567" s="22">
        <f ca="1">IFERROR(__xludf.DUMMYFUNCTION("""COMPUTED_VALUE"""),724637.471975)</f>
        <v>724637.47197499999</v>
      </c>
      <c r="G2567" s="22">
        <f ca="1">IFERROR(__xludf.DUMMYFUNCTION("""COMPUTED_VALUE"""),0)</f>
        <v>0</v>
      </c>
      <c r="H2567" s="7">
        <f ca="1">IFERROR(__xludf.DUMMYFUNCTION("""COMPUTED_VALUE"""),570182.597325)</f>
        <v>570182.59732499998</v>
      </c>
    </row>
    <row r="2568" spans="1:8" ht="13" x14ac:dyDescent="0.15">
      <c r="A2568" s="5" t="str">
        <f ca="1">IFERROR(__xludf.DUMMYFUNCTION("""COMPUTED_VALUE"""),"45969")</f>
        <v>45969</v>
      </c>
      <c r="B2568" s="51">
        <f ca="1">IFERROR(__xludf.DUMMYFUNCTION("""COMPUTED_VALUE"""),44631)</f>
        <v>44631</v>
      </c>
      <c r="C2568" s="22">
        <f ca="1">IFERROR(__xludf.DUMMYFUNCTION("""COMPUTED_VALUE"""),500424.744825)</f>
        <v>500424.744825</v>
      </c>
      <c r="D2568" s="22">
        <f ca="1">IFERROR(__xludf.DUMMYFUNCTION("""COMPUTED_VALUE"""),68821.305)</f>
        <v>68821.304999999993</v>
      </c>
      <c r="E2568" s="22">
        <f ca="1">IFERROR(__xludf.DUMMYFUNCTION("""COMPUTED_VALUE"""),569246.049825)</f>
        <v>569246.04982499999</v>
      </c>
      <c r="F2568" s="22">
        <f ca="1">IFERROR(__xludf.DUMMYFUNCTION("""COMPUTED_VALUE"""),658399.901975)</f>
        <v>658399.90197500004</v>
      </c>
      <c r="G2568" s="22">
        <f ca="1">IFERROR(__xludf.DUMMYFUNCTION("""COMPUTED_VALUE"""),0)</f>
        <v>0</v>
      </c>
      <c r="H2568" s="7">
        <f ca="1">IFERROR(__xludf.DUMMYFUNCTION("""COMPUTED_VALUE"""),569246.049825)</f>
        <v>569246.04982499999</v>
      </c>
    </row>
    <row r="2569" spans="1:8" ht="13" x14ac:dyDescent="0.15">
      <c r="A2569" s="5" t="str">
        <f ca="1">IFERROR(__xludf.DUMMYFUNCTION("""COMPUTED_VALUE"""),"45969")</f>
        <v>45969</v>
      </c>
      <c r="B2569" s="51">
        <f ca="1">IFERROR(__xludf.DUMMYFUNCTION("""COMPUTED_VALUE"""),44632)</f>
        <v>44632</v>
      </c>
      <c r="C2569" s="22">
        <f ca="1">IFERROR(__xludf.DUMMYFUNCTION("""COMPUTED_VALUE"""),500424.744825)</f>
        <v>500424.744825</v>
      </c>
      <c r="D2569" s="22">
        <f ca="1">IFERROR(__xludf.DUMMYFUNCTION("""COMPUTED_VALUE"""),68821.305)</f>
        <v>68821.304999999993</v>
      </c>
      <c r="E2569" s="22">
        <f ca="1">IFERROR(__xludf.DUMMYFUNCTION("""COMPUTED_VALUE"""),569246.049825)</f>
        <v>569246.04982499999</v>
      </c>
      <c r="F2569" s="22">
        <f ca="1">IFERROR(__xludf.DUMMYFUNCTION("""COMPUTED_VALUE"""),658399.901975)</f>
        <v>658399.90197500004</v>
      </c>
      <c r="G2569" s="22">
        <f ca="1">IFERROR(__xludf.DUMMYFUNCTION("""COMPUTED_VALUE"""),0)</f>
        <v>0</v>
      </c>
      <c r="H2569" s="7">
        <f ca="1">IFERROR(__xludf.DUMMYFUNCTION("""COMPUTED_VALUE"""),569246.049825)</f>
        <v>569246.04982499999</v>
      </c>
    </row>
    <row r="2570" spans="1:8" ht="13" x14ac:dyDescent="0.15">
      <c r="A2570" s="5" t="str">
        <f ca="1">IFERROR(__xludf.DUMMYFUNCTION("""COMPUTED_VALUE"""),"45969")</f>
        <v>45969</v>
      </c>
      <c r="B2570" s="51">
        <f ca="1">IFERROR(__xludf.DUMMYFUNCTION("""COMPUTED_VALUE"""),44633)</f>
        <v>44633</v>
      </c>
      <c r="C2570" s="22">
        <f ca="1">IFERROR(__xludf.DUMMYFUNCTION("""COMPUTED_VALUE"""),500424.744825)</f>
        <v>500424.744825</v>
      </c>
      <c r="D2570" s="22">
        <f ca="1">IFERROR(__xludf.DUMMYFUNCTION("""COMPUTED_VALUE"""),68821.0839)</f>
        <v>68821.083899999998</v>
      </c>
      <c r="E2570" s="22">
        <f ca="1">IFERROR(__xludf.DUMMYFUNCTION("""COMPUTED_VALUE"""),569245.828725)</f>
        <v>569245.82872500003</v>
      </c>
      <c r="F2570" s="22">
        <f ca="1">IFERROR(__xludf.DUMMYFUNCTION("""COMPUTED_VALUE"""),658399.901975)</f>
        <v>658399.90197500004</v>
      </c>
      <c r="G2570" s="22">
        <f ca="1">IFERROR(__xludf.DUMMYFUNCTION("""COMPUTED_VALUE"""),0)</f>
        <v>0</v>
      </c>
      <c r="H2570" s="7">
        <f ca="1">IFERROR(__xludf.DUMMYFUNCTION("""COMPUTED_VALUE"""),569240.160525)</f>
        <v>569240.16052499996</v>
      </c>
    </row>
    <row r="2571" spans="1:8" ht="13" x14ac:dyDescent="0.15">
      <c r="A2571" s="5" t="str">
        <f ca="1">IFERROR(__xludf.DUMMYFUNCTION("""COMPUTED_VALUE"""),"45969")</f>
        <v>45969</v>
      </c>
      <c r="B2571" s="51">
        <f ca="1">IFERROR(__xludf.DUMMYFUNCTION("""COMPUTED_VALUE"""),44634)</f>
        <v>44634</v>
      </c>
      <c r="C2571" s="22">
        <f ca="1">IFERROR(__xludf.DUMMYFUNCTION("""COMPUTED_VALUE"""),500424.744825)</f>
        <v>500424.744825</v>
      </c>
      <c r="D2571" s="22">
        <f ca="1">IFERROR(__xludf.DUMMYFUNCTION("""COMPUTED_VALUE"""),69995.6099999999)</f>
        <v>69995.609999999899</v>
      </c>
      <c r="E2571" s="22">
        <f ca="1">IFERROR(__xludf.DUMMYFUNCTION("""COMPUTED_VALUE"""),570420.354825)</f>
        <v>570420.35482500005</v>
      </c>
      <c r="F2571" s="22">
        <f ca="1">IFERROR(__xludf.DUMMYFUNCTION("""COMPUTED_VALUE"""),658399.901975)</f>
        <v>658399.90197500004</v>
      </c>
      <c r="G2571" s="22">
        <f ca="1">IFERROR(__xludf.DUMMYFUNCTION("""COMPUTED_VALUE"""),0)</f>
        <v>0</v>
      </c>
      <c r="H2571" s="7">
        <f ca="1">IFERROR(__xludf.DUMMYFUNCTION("""COMPUTED_VALUE"""),602831.334825)</f>
        <v>602831.33482500003</v>
      </c>
    </row>
    <row r="2572" spans="1:8" ht="13" x14ac:dyDescent="0.15">
      <c r="A2572" s="5" t="str">
        <f ca="1">IFERROR(__xludf.DUMMYFUNCTION("""COMPUTED_VALUE"""),"45969")</f>
        <v>45969</v>
      </c>
      <c r="B2572" s="51">
        <f ca="1">IFERROR(__xludf.DUMMYFUNCTION("""COMPUTED_VALUE"""),44635)</f>
        <v>44635</v>
      </c>
      <c r="C2572" s="22">
        <f ca="1">IFERROR(__xludf.DUMMYFUNCTION("""COMPUTED_VALUE"""),500424.744825)</f>
        <v>500424.744825</v>
      </c>
      <c r="D2572" s="22">
        <f ca="1">IFERROR(__xludf.DUMMYFUNCTION("""COMPUTED_VALUE"""),69290.0804999999)</f>
        <v>69290.080499999895</v>
      </c>
      <c r="E2572" s="22">
        <f ca="1">IFERROR(__xludf.DUMMYFUNCTION("""COMPUTED_VALUE"""),569714.825325)</f>
        <v>569714.82532499998</v>
      </c>
      <c r="F2572" s="22">
        <f ca="1">IFERROR(__xludf.DUMMYFUNCTION("""COMPUTED_VALUE"""),658399.901975)</f>
        <v>658399.90197500004</v>
      </c>
      <c r="G2572" s="22">
        <f ca="1">IFERROR(__xludf.DUMMYFUNCTION("""COMPUTED_VALUE"""),0)</f>
        <v>0</v>
      </c>
      <c r="H2572" s="7">
        <f ca="1">IFERROR(__xludf.DUMMYFUNCTION("""COMPUTED_VALUE"""),569928.060825)</f>
        <v>569928.06082500005</v>
      </c>
    </row>
    <row r="2573" spans="1:8" ht="13" x14ac:dyDescent="0.15">
      <c r="A2573" s="5" t="str">
        <f ca="1">IFERROR(__xludf.DUMMYFUNCTION("""COMPUTED_VALUE"""),"45969")</f>
        <v>45969</v>
      </c>
      <c r="B2573" s="51">
        <f ca="1">IFERROR(__xludf.DUMMYFUNCTION("""COMPUTED_VALUE"""),44636)</f>
        <v>44636</v>
      </c>
      <c r="C2573" s="22">
        <f ca="1">IFERROR(__xludf.DUMMYFUNCTION("""COMPUTED_VALUE"""),500424.744825)</f>
        <v>500424.744825</v>
      </c>
      <c r="D2573" s="22">
        <f ca="1">IFERROR(__xludf.DUMMYFUNCTION("""COMPUTED_VALUE"""),71633.7495)</f>
        <v>71633.749500000005</v>
      </c>
      <c r="E2573" s="22">
        <f ca="1">IFERROR(__xludf.DUMMYFUNCTION("""COMPUTED_VALUE"""),572058.494325)</f>
        <v>572058.49432499998</v>
      </c>
      <c r="F2573" s="22">
        <f ca="1">IFERROR(__xludf.DUMMYFUNCTION("""COMPUTED_VALUE"""),658399.901975)</f>
        <v>658399.90197500004</v>
      </c>
      <c r="G2573" s="22">
        <f ca="1">IFERROR(__xludf.DUMMYFUNCTION("""COMPUTED_VALUE"""),0)</f>
        <v>0</v>
      </c>
      <c r="H2573" s="7">
        <f ca="1">IFERROR(__xludf.DUMMYFUNCTION("""COMPUTED_VALUE"""),520601.763825)</f>
        <v>520601.76382499997</v>
      </c>
    </row>
    <row r="2574" spans="1:8" ht="13" x14ac:dyDescent="0.15">
      <c r="A2574" s="5" t="str">
        <f ca="1">IFERROR(__xludf.DUMMYFUNCTION("""COMPUTED_VALUE"""),"45969")</f>
        <v>45969</v>
      </c>
      <c r="B2574" s="51">
        <f ca="1">IFERROR(__xludf.DUMMYFUNCTION("""COMPUTED_VALUE"""),44637)</f>
        <v>44637</v>
      </c>
      <c r="C2574" s="22">
        <f ca="1">IFERROR(__xludf.DUMMYFUNCTION("""COMPUTED_VALUE"""),500424.744825)</f>
        <v>500424.744825</v>
      </c>
      <c r="D2574" s="22">
        <f ca="1">IFERROR(__xludf.DUMMYFUNCTION("""COMPUTED_VALUE"""),70458.723)</f>
        <v>70458.722999999998</v>
      </c>
      <c r="E2574" s="22">
        <f ca="1">IFERROR(__xludf.DUMMYFUNCTION("""COMPUTED_VALUE"""),570883.467825)</f>
        <v>570883.46782500006</v>
      </c>
      <c r="F2574" s="22">
        <f ca="1">IFERROR(__xludf.DUMMYFUNCTION("""COMPUTED_VALUE"""),658399.901975)</f>
        <v>658399.90197500004</v>
      </c>
      <c r="G2574" s="22">
        <f ca="1">IFERROR(__xludf.DUMMYFUNCTION("""COMPUTED_VALUE"""),0)</f>
        <v>0</v>
      </c>
      <c r="H2574" s="7">
        <f ca="1">IFERROR(__xludf.DUMMYFUNCTION("""COMPUTED_VALUE"""),528096.747825)</f>
        <v>528096.74782499997</v>
      </c>
    </row>
    <row r="2575" spans="1:8" ht="13" x14ac:dyDescent="0.15">
      <c r="A2575" s="5" t="str">
        <f ca="1">IFERROR(__xludf.DUMMYFUNCTION("""COMPUTED_VALUE"""),"45969")</f>
        <v>45969</v>
      </c>
      <c r="B2575" s="51">
        <f ca="1">IFERROR(__xludf.DUMMYFUNCTION("""COMPUTED_VALUE"""),44638)</f>
        <v>44638</v>
      </c>
      <c r="C2575" s="22">
        <f ca="1">IFERROR(__xludf.DUMMYFUNCTION("""COMPUTED_VALUE"""),500424.744825)</f>
        <v>500424.744825</v>
      </c>
      <c r="D2575" s="22">
        <f ca="1">IFERROR(__xludf.DUMMYFUNCTION("""COMPUTED_VALUE"""),69054.552)</f>
        <v>69054.551999999996</v>
      </c>
      <c r="E2575" s="22">
        <f ca="1">IFERROR(__xludf.DUMMYFUNCTION("""COMPUTED_VALUE"""),569479.296825)</f>
        <v>569479.29682499997</v>
      </c>
      <c r="F2575" s="22">
        <f ca="1">IFERROR(__xludf.DUMMYFUNCTION("""COMPUTED_VALUE"""),658399.901975)</f>
        <v>658399.90197500004</v>
      </c>
      <c r="G2575" s="22">
        <f ca="1">IFERROR(__xludf.DUMMYFUNCTION("""COMPUTED_VALUE"""),0)</f>
        <v>0</v>
      </c>
      <c r="H2575" s="7">
        <f ca="1">IFERROR(__xludf.DUMMYFUNCTION("""COMPUTED_VALUE"""),512631.666825)</f>
        <v>512631.66682500002</v>
      </c>
    </row>
    <row r="2576" spans="1:8" ht="13" x14ac:dyDescent="0.15">
      <c r="A2576" s="5" t="str">
        <f ca="1">IFERROR(__xludf.DUMMYFUNCTION("""COMPUTED_VALUE"""),"45969")</f>
        <v>45969</v>
      </c>
      <c r="B2576" s="51">
        <f ca="1">IFERROR(__xludf.DUMMYFUNCTION("""COMPUTED_VALUE"""),44639)</f>
        <v>44639</v>
      </c>
      <c r="C2576" s="22">
        <f ca="1">IFERROR(__xludf.DUMMYFUNCTION("""COMPUTED_VALUE"""),500424.744825)</f>
        <v>500424.744825</v>
      </c>
      <c r="D2576" s="22">
        <f ca="1">IFERROR(__xludf.DUMMYFUNCTION("""COMPUTED_VALUE"""),69054.552)</f>
        <v>69054.551999999996</v>
      </c>
      <c r="E2576" s="22">
        <f ca="1">IFERROR(__xludf.DUMMYFUNCTION("""COMPUTED_VALUE"""),569479.296825)</f>
        <v>569479.29682499997</v>
      </c>
      <c r="F2576" s="22">
        <f ca="1">IFERROR(__xludf.DUMMYFUNCTION("""COMPUTED_VALUE"""),658399.901975)</f>
        <v>658399.90197500004</v>
      </c>
      <c r="G2576" s="22">
        <f ca="1">IFERROR(__xludf.DUMMYFUNCTION("""COMPUTED_VALUE"""),0)</f>
        <v>0</v>
      </c>
      <c r="H2576" s="7">
        <f ca="1">IFERROR(__xludf.DUMMYFUNCTION("""COMPUTED_VALUE"""),512631.666825)</f>
        <v>512631.66682500002</v>
      </c>
    </row>
    <row r="2577" spans="1:8" ht="13" x14ac:dyDescent="0.15">
      <c r="A2577" s="5" t="str">
        <f ca="1">IFERROR(__xludf.DUMMYFUNCTION("""COMPUTED_VALUE"""),"45969")</f>
        <v>45969</v>
      </c>
      <c r="B2577" s="51">
        <f ca="1">IFERROR(__xludf.DUMMYFUNCTION("""COMPUTED_VALUE"""),44640)</f>
        <v>44640</v>
      </c>
      <c r="C2577" s="22">
        <f ca="1">IFERROR(__xludf.DUMMYFUNCTION("""COMPUTED_VALUE"""),500424.744825)</f>
        <v>500424.744825</v>
      </c>
      <c r="D2577" s="22">
        <f ca="1">IFERROR(__xludf.DUMMYFUNCTION("""COMPUTED_VALUE"""),69053.9382)</f>
        <v>69053.938200000004</v>
      </c>
      <c r="E2577" s="22">
        <f ca="1">IFERROR(__xludf.DUMMYFUNCTION("""COMPUTED_VALUE"""),569478.683025)</f>
        <v>569478.68302500003</v>
      </c>
      <c r="F2577" s="22">
        <f ca="1">IFERROR(__xludf.DUMMYFUNCTION("""COMPUTED_VALUE"""),658399.901975)</f>
        <v>658399.90197500004</v>
      </c>
      <c r="G2577" s="22">
        <f ca="1">IFERROR(__xludf.DUMMYFUNCTION("""COMPUTED_VALUE"""),0)</f>
        <v>0</v>
      </c>
      <c r="H2577" s="7">
        <f ca="1">IFERROR(__xludf.DUMMYFUNCTION("""COMPUTED_VALUE"""),512629.007025)</f>
        <v>512629.007025</v>
      </c>
    </row>
    <row r="2578" spans="1:8" ht="13" x14ac:dyDescent="0.15">
      <c r="A2578" s="5" t="str">
        <f ca="1">IFERROR(__xludf.DUMMYFUNCTION("""COMPUTED_VALUE"""),"45969")</f>
        <v>45969</v>
      </c>
      <c r="B2578" s="51">
        <f ca="1">IFERROR(__xludf.DUMMYFUNCTION("""COMPUTED_VALUE"""),44641)</f>
        <v>44641</v>
      </c>
      <c r="C2578" s="22">
        <f ca="1">IFERROR(__xludf.DUMMYFUNCTION("""COMPUTED_VALUE"""),500424.744825)</f>
        <v>500424.744825</v>
      </c>
      <c r="D2578" s="22">
        <f ca="1">IFERROR(__xludf.DUMMYFUNCTION("""COMPUTED_VALUE"""),67411.3875)</f>
        <v>67411.387499999997</v>
      </c>
      <c r="E2578" s="22">
        <f ca="1">IFERROR(__xludf.DUMMYFUNCTION("""COMPUTED_VALUE"""),567836.132325)</f>
        <v>567836.13232500001</v>
      </c>
      <c r="F2578" s="22">
        <f ca="1">IFERROR(__xludf.DUMMYFUNCTION("""COMPUTED_VALUE"""),658399.901975)</f>
        <v>658399.90197500004</v>
      </c>
      <c r="G2578" s="22">
        <f ca="1">IFERROR(__xludf.DUMMYFUNCTION("""COMPUTED_VALUE"""),0)</f>
        <v>0</v>
      </c>
      <c r="H2578" s="7">
        <f ca="1">IFERROR(__xludf.DUMMYFUNCTION("""COMPUTED_VALUE"""),516858.189825)</f>
        <v>516858.18982500001</v>
      </c>
    </row>
    <row r="2579" spans="1:8" ht="13" x14ac:dyDescent="0.15">
      <c r="A2579" s="5" t="str">
        <f ca="1">IFERROR(__xludf.DUMMYFUNCTION("""COMPUTED_VALUE"""),"45969")</f>
        <v>45969</v>
      </c>
      <c r="B2579" s="51">
        <f ca="1">IFERROR(__xludf.DUMMYFUNCTION("""COMPUTED_VALUE"""),44642)</f>
        <v>44642</v>
      </c>
      <c r="C2579" s="22">
        <f ca="1">IFERROR(__xludf.DUMMYFUNCTION("""COMPUTED_VALUE"""),500424.744825)</f>
        <v>500424.744825</v>
      </c>
      <c r="D2579" s="22">
        <f ca="1">IFERROR(__xludf.DUMMYFUNCTION("""COMPUTED_VALUE"""),70698.9315)</f>
        <v>70698.931500000006</v>
      </c>
      <c r="E2579" s="22">
        <f ca="1">IFERROR(__xludf.DUMMYFUNCTION("""COMPUTED_VALUE"""),571123.676325)</f>
        <v>571123.67632500001</v>
      </c>
      <c r="F2579" s="22">
        <f ca="1">IFERROR(__xludf.DUMMYFUNCTION("""COMPUTED_VALUE"""),658399.901975)</f>
        <v>658399.90197500004</v>
      </c>
      <c r="G2579" s="22">
        <f ca="1">IFERROR(__xludf.DUMMYFUNCTION("""COMPUTED_VALUE"""),0)</f>
        <v>0</v>
      </c>
      <c r="H2579" s="7">
        <f ca="1">IFERROR(__xludf.DUMMYFUNCTION("""COMPUTED_VALUE"""),509347.467825)</f>
        <v>509347.467825</v>
      </c>
    </row>
    <row r="2580" spans="1:8" ht="13" x14ac:dyDescent="0.15">
      <c r="A2580" s="5" t="str">
        <f ca="1">IFERROR(__xludf.DUMMYFUNCTION("""COMPUTED_VALUE"""),"46104")</f>
        <v>46104</v>
      </c>
      <c r="B2580" s="51">
        <f ca="1">IFERROR(__xludf.DUMMYFUNCTION("""COMPUTED_VALUE"""),44597)</f>
        <v>44597</v>
      </c>
      <c r="C2580" s="22">
        <f ca="1">IFERROR(__xludf.DUMMYFUNCTION("""COMPUTED_VALUE"""),500000)</f>
        <v>500000</v>
      </c>
      <c r="D2580" s="22">
        <f ca="1">IFERROR(__xludf.DUMMYFUNCTION("""COMPUTED_VALUE"""),0)</f>
        <v>0</v>
      </c>
      <c r="E2580" s="22">
        <f ca="1">IFERROR(__xludf.DUMMYFUNCTION("""COMPUTED_VALUE"""),500000)</f>
        <v>500000</v>
      </c>
      <c r="F2580" s="22">
        <f ca="1">IFERROR(__xludf.DUMMYFUNCTION("""COMPUTED_VALUE"""),500000)</f>
        <v>500000</v>
      </c>
      <c r="G2580" s="22">
        <f ca="1">IFERROR(__xludf.DUMMYFUNCTION("""COMPUTED_VALUE"""),0)</f>
        <v>0</v>
      </c>
      <c r="H2580" s="7">
        <f ca="1">IFERROR(__xludf.DUMMYFUNCTION("""COMPUTED_VALUE"""),500000)</f>
        <v>500000</v>
      </c>
    </row>
    <row r="2581" spans="1:8" ht="13" x14ac:dyDescent="0.15">
      <c r="A2581" s="5" t="str">
        <f ca="1">IFERROR(__xludf.DUMMYFUNCTION("""COMPUTED_VALUE"""),"46104")</f>
        <v>46104</v>
      </c>
      <c r="B2581" s="51">
        <f ca="1">IFERROR(__xludf.DUMMYFUNCTION("""COMPUTED_VALUE"""),44598)</f>
        <v>44598</v>
      </c>
      <c r="C2581" s="22">
        <f ca="1">IFERROR(__xludf.DUMMYFUNCTION("""COMPUTED_VALUE"""),500000)</f>
        <v>500000</v>
      </c>
      <c r="D2581" s="22">
        <f ca="1">IFERROR(__xludf.DUMMYFUNCTION("""COMPUTED_VALUE"""),0)</f>
        <v>0</v>
      </c>
      <c r="E2581" s="22">
        <f ca="1">IFERROR(__xludf.DUMMYFUNCTION("""COMPUTED_VALUE"""),500000)</f>
        <v>500000</v>
      </c>
      <c r="F2581" s="22">
        <f ca="1">IFERROR(__xludf.DUMMYFUNCTION("""COMPUTED_VALUE"""),500000)</f>
        <v>500000</v>
      </c>
      <c r="G2581" s="22">
        <f ca="1">IFERROR(__xludf.DUMMYFUNCTION("""COMPUTED_VALUE"""),0)</f>
        <v>0</v>
      </c>
      <c r="H2581" s="7">
        <f ca="1">IFERROR(__xludf.DUMMYFUNCTION("""COMPUTED_VALUE"""),500000)</f>
        <v>500000</v>
      </c>
    </row>
    <row r="2582" spans="1:8" ht="13" x14ac:dyDescent="0.15">
      <c r="A2582" s="5" t="str">
        <f ca="1">IFERROR(__xludf.DUMMYFUNCTION("""COMPUTED_VALUE"""),"46104")</f>
        <v>46104</v>
      </c>
      <c r="B2582" s="51">
        <f ca="1">IFERROR(__xludf.DUMMYFUNCTION("""COMPUTED_VALUE"""),44599)</f>
        <v>44599</v>
      </c>
      <c r="C2582" s="22">
        <f ca="1">IFERROR(__xludf.DUMMYFUNCTION("""COMPUTED_VALUE"""),500000)</f>
        <v>500000</v>
      </c>
      <c r="D2582" s="22">
        <f ca="1">IFERROR(__xludf.DUMMYFUNCTION("""COMPUTED_VALUE"""),0)</f>
        <v>0</v>
      </c>
      <c r="E2582" s="22">
        <f ca="1">IFERROR(__xludf.DUMMYFUNCTION("""COMPUTED_VALUE"""),500000)</f>
        <v>500000</v>
      </c>
      <c r="F2582" s="22">
        <f ca="1">IFERROR(__xludf.DUMMYFUNCTION("""COMPUTED_VALUE"""),500000)</f>
        <v>500000</v>
      </c>
      <c r="G2582" s="22">
        <f ca="1">IFERROR(__xludf.DUMMYFUNCTION("""COMPUTED_VALUE"""),0)</f>
        <v>0</v>
      </c>
      <c r="H2582" s="7">
        <f ca="1">IFERROR(__xludf.DUMMYFUNCTION("""COMPUTED_VALUE"""),500000)</f>
        <v>500000</v>
      </c>
    </row>
    <row r="2583" spans="1:8" ht="13" x14ac:dyDescent="0.15">
      <c r="A2583" s="5" t="str">
        <f ca="1">IFERROR(__xludf.DUMMYFUNCTION("""COMPUTED_VALUE"""),"46104")</f>
        <v>46104</v>
      </c>
      <c r="B2583" s="51">
        <f ca="1">IFERROR(__xludf.DUMMYFUNCTION("""COMPUTED_VALUE"""),44600)</f>
        <v>44600</v>
      </c>
      <c r="C2583" s="22">
        <f ca="1">IFERROR(__xludf.DUMMYFUNCTION("""COMPUTED_VALUE"""),500000)</f>
        <v>500000</v>
      </c>
      <c r="D2583" s="22">
        <f ca="1">IFERROR(__xludf.DUMMYFUNCTION("""COMPUTED_VALUE"""),0)</f>
        <v>0</v>
      </c>
      <c r="E2583" s="22">
        <f ca="1">IFERROR(__xludf.DUMMYFUNCTION("""COMPUTED_VALUE"""),500000)</f>
        <v>500000</v>
      </c>
      <c r="F2583" s="22">
        <f ca="1">IFERROR(__xludf.DUMMYFUNCTION("""COMPUTED_VALUE"""),500000)</f>
        <v>500000</v>
      </c>
      <c r="G2583" s="22">
        <f ca="1">IFERROR(__xludf.DUMMYFUNCTION("""COMPUTED_VALUE"""),0)</f>
        <v>0</v>
      </c>
      <c r="H2583" s="7">
        <f ca="1">IFERROR(__xludf.DUMMYFUNCTION("""COMPUTED_VALUE"""),500000)</f>
        <v>500000</v>
      </c>
    </row>
    <row r="2584" spans="1:8" ht="13" x14ac:dyDescent="0.15">
      <c r="A2584" s="5" t="str">
        <f ca="1">IFERROR(__xludf.DUMMYFUNCTION("""COMPUTED_VALUE"""),"46104")</f>
        <v>46104</v>
      </c>
      <c r="B2584" s="51">
        <f ca="1">IFERROR(__xludf.DUMMYFUNCTION("""COMPUTED_VALUE"""),44601)</f>
        <v>44601</v>
      </c>
      <c r="C2584" s="22">
        <f ca="1">IFERROR(__xludf.DUMMYFUNCTION("""COMPUTED_VALUE"""),500000)</f>
        <v>500000</v>
      </c>
      <c r="D2584" s="22">
        <f ca="1">IFERROR(__xludf.DUMMYFUNCTION("""COMPUTED_VALUE"""),0)</f>
        <v>0</v>
      </c>
      <c r="E2584" s="22">
        <f ca="1">IFERROR(__xludf.DUMMYFUNCTION("""COMPUTED_VALUE"""),500000)</f>
        <v>500000</v>
      </c>
      <c r="F2584" s="22">
        <f ca="1">IFERROR(__xludf.DUMMYFUNCTION("""COMPUTED_VALUE"""),500000)</f>
        <v>500000</v>
      </c>
      <c r="G2584" s="22">
        <f ca="1">IFERROR(__xludf.DUMMYFUNCTION("""COMPUTED_VALUE"""),0)</f>
        <v>0</v>
      </c>
      <c r="H2584" s="7">
        <f ca="1">IFERROR(__xludf.DUMMYFUNCTION("""COMPUTED_VALUE"""),500000)</f>
        <v>500000</v>
      </c>
    </row>
    <row r="2585" spans="1:8" ht="13" x14ac:dyDescent="0.15">
      <c r="A2585" s="5" t="str">
        <f ca="1">IFERROR(__xludf.DUMMYFUNCTION("""COMPUTED_VALUE"""),"46104")</f>
        <v>46104</v>
      </c>
      <c r="B2585" s="51">
        <f ca="1">IFERROR(__xludf.DUMMYFUNCTION("""COMPUTED_VALUE"""),44602)</f>
        <v>44602</v>
      </c>
      <c r="C2585" s="22">
        <f ca="1">IFERROR(__xludf.DUMMYFUNCTION("""COMPUTED_VALUE"""),500000)</f>
        <v>500000</v>
      </c>
      <c r="D2585" s="22">
        <f ca="1">IFERROR(__xludf.DUMMYFUNCTION("""COMPUTED_VALUE"""),0)</f>
        <v>0</v>
      </c>
      <c r="E2585" s="22">
        <f ca="1">IFERROR(__xludf.DUMMYFUNCTION("""COMPUTED_VALUE"""),500000)</f>
        <v>500000</v>
      </c>
      <c r="F2585" s="22">
        <f ca="1">IFERROR(__xludf.DUMMYFUNCTION("""COMPUTED_VALUE"""),500000)</f>
        <v>500000</v>
      </c>
      <c r="G2585" s="22">
        <f ca="1">IFERROR(__xludf.DUMMYFUNCTION("""COMPUTED_VALUE"""),0)</f>
        <v>0</v>
      </c>
      <c r="H2585" s="7">
        <f ca="1">IFERROR(__xludf.DUMMYFUNCTION("""COMPUTED_VALUE"""),500000)</f>
        <v>500000</v>
      </c>
    </row>
    <row r="2586" spans="1:8" ht="13" x14ac:dyDescent="0.15">
      <c r="A2586" s="5" t="str">
        <f ca="1">IFERROR(__xludf.DUMMYFUNCTION("""COMPUTED_VALUE"""),"46104")</f>
        <v>46104</v>
      </c>
      <c r="B2586" s="51">
        <f ca="1">IFERROR(__xludf.DUMMYFUNCTION("""COMPUTED_VALUE"""),44603)</f>
        <v>44603</v>
      </c>
      <c r="C2586" s="22">
        <f ca="1">IFERROR(__xludf.DUMMYFUNCTION("""COMPUTED_VALUE"""),500000)</f>
        <v>500000</v>
      </c>
      <c r="D2586" s="22">
        <f ca="1">IFERROR(__xludf.DUMMYFUNCTION("""COMPUTED_VALUE"""),0)</f>
        <v>0</v>
      </c>
      <c r="E2586" s="22">
        <f ca="1">IFERROR(__xludf.DUMMYFUNCTION("""COMPUTED_VALUE"""),500000)</f>
        <v>500000</v>
      </c>
      <c r="F2586" s="22">
        <f ca="1">IFERROR(__xludf.DUMMYFUNCTION("""COMPUTED_VALUE"""),500000)</f>
        <v>500000</v>
      </c>
      <c r="G2586" s="22">
        <f ca="1">IFERROR(__xludf.DUMMYFUNCTION("""COMPUTED_VALUE"""),0)</f>
        <v>0</v>
      </c>
      <c r="H2586" s="7">
        <f ca="1">IFERROR(__xludf.DUMMYFUNCTION("""COMPUTED_VALUE"""),500000)</f>
        <v>500000</v>
      </c>
    </row>
    <row r="2587" spans="1:8" ht="13" x14ac:dyDescent="0.15">
      <c r="A2587" s="5" t="str">
        <f ca="1">IFERROR(__xludf.DUMMYFUNCTION("""COMPUTED_VALUE"""),"46104")</f>
        <v>46104</v>
      </c>
      <c r="B2587" s="51">
        <f ca="1">IFERROR(__xludf.DUMMYFUNCTION("""COMPUTED_VALUE"""),44604)</f>
        <v>44604</v>
      </c>
      <c r="C2587" s="22">
        <f ca="1">IFERROR(__xludf.DUMMYFUNCTION("""COMPUTED_VALUE"""),500000)</f>
        <v>500000</v>
      </c>
      <c r="D2587" s="22">
        <f ca="1">IFERROR(__xludf.DUMMYFUNCTION("""COMPUTED_VALUE"""),0)</f>
        <v>0</v>
      </c>
      <c r="E2587" s="22">
        <f ca="1">IFERROR(__xludf.DUMMYFUNCTION("""COMPUTED_VALUE"""),500000)</f>
        <v>500000</v>
      </c>
      <c r="F2587" s="22">
        <f ca="1">IFERROR(__xludf.DUMMYFUNCTION("""COMPUTED_VALUE"""),500000)</f>
        <v>500000</v>
      </c>
      <c r="G2587" s="22">
        <f ca="1">IFERROR(__xludf.DUMMYFUNCTION("""COMPUTED_VALUE"""),0)</f>
        <v>0</v>
      </c>
      <c r="H2587" s="7">
        <f ca="1">IFERROR(__xludf.DUMMYFUNCTION("""COMPUTED_VALUE"""),500000)</f>
        <v>500000</v>
      </c>
    </row>
    <row r="2588" spans="1:8" ht="13" x14ac:dyDescent="0.15">
      <c r="A2588" s="5" t="str">
        <f ca="1">IFERROR(__xludf.DUMMYFUNCTION("""COMPUTED_VALUE"""),"46104")</f>
        <v>46104</v>
      </c>
      <c r="B2588" s="51">
        <f ca="1">IFERROR(__xludf.DUMMYFUNCTION("""COMPUTED_VALUE"""),44605)</f>
        <v>44605</v>
      </c>
      <c r="C2588" s="22">
        <f ca="1">IFERROR(__xludf.DUMMYFUNCTION("""COMPUTED_VALUE"""),500000)</f>
        <v>500000</v>
      </c>
      <c r="D2588" s="22">
        <f ca="1">IFERROR(__xludf.DUMMYFUNCTION("""COMPUTED_VALUE"""),0)</f>
        <v>0</v>
      </c>
      <c r="E2588" s="22">
        <f ca="1">IFERROR(__xludf.DUMMYFUNCTION("""COMPUTED_VALUE"""),500000)</f>
        <v>500000</v>
      </c>
      <c r="F2588" s="22">
        <f ca="1">IFERROR(__xludf.DUMMYFUNCTION("""COMPUTED_VALUE"""),500000)</f>
        <v>500000</v>
      </c>
      <c r="G2588" s="22">
        <f ca="1">IFERROR(__xludf.DUMMYFUNCTION("""COMPUTED_VALUE"""),0)</f>
        <v>0</v>
      </c>
      <c r="H2588" s="7">
        <f ca="1">IFERROR(__xludf.DUMMYFUNCTION("""COMPUTED_VALUE"""),500000)</f>
        <v>500000</v>
      </c>
    </row>
    <row r="2589" spans="1:8" ht="13" x14ac:dyDescent="0.15">
      <c r="A2589" s="5" t="str">
        <f ca="1">IFERROR(__xludf.DUMMYFUNCTION("""COMPUTED_VALUE"""),"46104")</f>
        <v>46104</v>
      </c>
      <c r="B2589" s="51">
        <f ca="1">IFERROR(__xludf.DUMMYFUNCTION("""COMPUTED_VALUE"""),44606)</f>
        <v>44606</v>
      </c>
      <c r="C2589" s="22">
        <f ca="1">IFERROR(__xludf.DUMMYFUNCTION("""COMPUTED_VALUE"""),500000)</f>
        <v>500000</v>
      </c>
      <c r="D2589" s="22">
        <f ca="1">IFERROR(__xludf.DUMMYFUNCTION("""COMPUTED_VALUE"""),0)</f>
        <v>0</v>
      </c>
      <c r="E2589" s="22">
        <f ca="1">IFERROR(__xludf.DUMMYFUNCTION("""COMPUTED_VALUE"""),500000)</f>
        <v>500000</v>
      </c>
      <c r="F2589" s="22">
        <f ca="1">IFERROR(__xludf.DUMMYFUNCTION("""COMPUTED_VALUE"""),500000)</f>
        <v>500000</v>
      </c>
      <c r="G2589" s="22">
        <f ca="1">IFERROR(__xludf.DUMMYFUNCTION("""COMPUTED_VALUE"""),0)</f>
        <v>0</v>
      </c>
      <c r="H2589" s="7">
        <f ca="1">IFERROR(__xludf.DUMMYFUNCTION("""COMPUTED_VALUE"""),500000)</f>
        <v>500000</v>
      </c>
    </row>
    <row r="2590" spans="1:8" ht="13" x14ac:dyDescent="0.15">
      <c r="A2590" s="5" t="str">
        <f ca="1">IFERROR(__xludf.DUMMYFUNCTION("""COMPUTED_VALUE"""),"46104")</f>
        <v>46104</v>
      </c>
      <c r="B2590" s="51">
        <f ca="1">IFERROR(__xludf.DUMMYFUNCTION("""COMPUTED_VALUE"""),44607)</f>
        <v>44607</v>
      </c>
      <c r="C2590" s="22">
        <f ca="1">IFERROR(__xludf.DUMMYFUNCTION("""COMPUTED_VALUE"""),500000)</f>
        <v>500000</v>
      </c>
      <c r="D2590" s="22">
        <f ca="1">IFERROR(__xludf.DUMMYFUNCTION("""COMPUTED_VALUE"""),0)</f>
        <v>0</v>
      </c>
      <c r="E2590" s="22">
        <f ca="1">IFERROR(__xludf.DUMMYFUNCTION("""COMPUTED_VALUE"""),500000)</f>
        <v>500000</v>
      </c>
      <c r="F2590" s="22">
        <f ca="1">IFERROR(__xludf.DUMMYFUNCTION("""COMPUTED_VALUE"""),500000)</f>
        <v>500000</v>
      </c>
      <c r="G2590" s="22">
        <f ca="1">IFERROR(__xludf.DUMMYFUNCTION("""COMPUTED_VALUE"""),0)</f>
        <v>0</v>
      </c>
      <c r="H2590" s="7">
        <f ca="1">IFERROR(__xludf.DUMMYFUNCTION("""COMPUTED_VALUE"""),500000)</f>
        <v>500000</v>
      </c>
    </row>
    <row r="2591" spans="1:8" ht="13" x14ac:dyDescent="0.15">
      <c r="A2591" s="5" t="str">
        <f ca="1">IFERROR(__xludf.DUMMYFUNCTION("""COMPUTED_VALUE"""),"46104")</f>
        <v>46104</v>
      </c>
      <c r="B2591" s="51">
        <f ca="1">IFERROR(__xludf.DUMMYFUNCTION("""COMPUTED_VALUE"""),44608)</f>
        <v>44608</v>
      </c>
      <c r="C2591" s="22">
        <f ca="1">IFERROR(__xludf.DUMMYFUNCTION("""COMPUTED_VALUE"""),500000)</f>
        <v>500000</v>
      </c>
      <c r="D2591" s="22">
        <f ca="1">IFERROR(__xludf.DUMMYFUNCTION("""COMPUTED_VALUE"""),0)</f>
        <v>0</v>
      </c>
      <c r="E2591" s="22">
        <f ca="1">IFERROR(__xludf.DUMMYFUNCTION("""COMPUTED_VALUE"""),500000)</f>
        <v>500000</v>
      </c>
      <c r="F2591" s="22">
        <f ca="1">IFERROR(__xludf.DUMMYFUNCTION("""COMPUTED_VALUE"""),500000)</f>
        <v>500000</v>
      </c>
      <c r="G2591" s="22">
        <f ca="1">IFERROR(__xludf.DUMMYFUNCTION("""COMPUTED_VALUE"""),0)</f>
        <v>0</v>
      </c>
      <c r="H2591" s="7">
        <f ca="1">IFERROR(__xludf.DUMMYFUNCTION("""COMPUTED_VALUE"""),500000)</f>
        <v>500000</v>
      </c>
    </row>
    <row r="2592" spans="1:8" ht="13" x14ac:dyDescent="0.15">
      <c r="A2592" s="5" t="str">
        <f ca="1">IFERROR(__xludf.DUMMYFUNCTION("""COMPUTED_VALUE"""),"46104")</f>
        <v>46104</v>
      </c>
      <c r="B2592" s="51">
        <f ca="1">IFERROR(__xludf.DUMMYFUNCTION("""COMPUTED_VALUE"""),44609)</f>
        <v>44609</v>
      </c>
      <c r="C2592" s="22">
        <f ca="1">IFERROR(__xludf.DUMMYFUNCTION("""COMPUTED_VALUE"""),500000)</f>
        <v>500000</v>
      </c>
      <c r="D2592" s="22">
        <f ca="1">IFERROR(__xludf.DUMMYFUNCTION("""COMPUTED_VALUE"""),0)</f>
        <v>0</v>
      </c>
      <c r="E2592" s="22">
        <f ca="1">IFERROR(__xludf.DUMMYFUNCTION("""COMPUTED_VALUE"""),500000)</f>
        <v>500000</v>
      </c>
      <c r="F2592" s="22">
        <f ca="1">IFERROR(__xludf.DUMMYFUNCTION("""COMPUTED_VALUE"""),500000)</f>
        <v>500000</v>
      </c>
      <c r="G2592" s="22">
        <f ca="1">IFERROR(__xludf.DUMMYFUNCTION("""COMPUTED_VALUE"""),0)</f>
        <v>0</v>
      </c>
      <c r="H2592" s="7">
        <f ca="1">IFERROR(__xludf.DUMMYFUNCTION("""COMPUTED_VALUE"""),500000)</f>
        <v>500000</v>
      </c>
    </row>
    <row r="2593" spans="1:8" ht="13" x14ac:dyDescent="0.15">
      <c r="A2593" s="5" t="str">
        <f ca="1">IFERROR(__xludf.DUMMYFUNCTION("""COMPUTED_VALUE"""),"46104")</f>
        <v>46104</v>
      </c>
      <c r="B2593" s="51">
        <f ca="1">IFERROR(__xludf.DUMMYFUNCTION("""COMPUTED_VALUE"""),44610)</f>
        <v>44610</v>
      </c>
      <c r="C2593" s="22">
        <f ca="1">IFERROR(__xludf.DUMMYFUNCTION("""COMPUTED_VALUE"""),500000)</f>
        <v>500000</v>
      </c>
      <c r="D2593" s="22">
        <f ca="1">IFERROR(__xludf.DUMMYFUNCTION("""COMPUTED_VALUE"""),0)</f>
        <v>0</v>
      </c>
      <c r="E2593" s="22">
        <f ca="1">IFERROR(__xludf.DUMMYFUNCTION("""COMPUTED_VALUE"""),500000)</f>
        <v>500000</v>
      </c>
      <c r="F2593" s="22">
        <f ca="1">IFERROR(__xludf.DUMMYFUNCTION("""COMPUTED_VALUE"""),500000)</f>
        <v>500000</v>
      </c>
      <c r="G2593" s="22">
        <f ca="1">IFERROR(__xludf.DUMMYFUNCTION("""COMPUTED_VALUE"""),0)</f>
        <v>0</v>
      </c>
      <c r="H2593" s="7">
        <f ca="1">IFERROR(__xludf.DUMMYFUNCTION("""COMPUTED_VALUE"""),500000)</f>
        <v>500000</v>
      </c>
    </row>
    <row r="2594" spans="1:8" ht="13" x14ac:dyDescent="0.15">
      <c r="A2594" s="5" t="str">
        <f ca="1">IFERROR(__xludf.DUMMYFUNCTION("""COMPUTED_VALUE"""),"46104")</f>
        <v>46104</v>
      </c>
      <c r="B2594" s="51">
        <f ca="1">IFERROR(__xludf.DUMMYFUNCTION("""COMPUTED_VALUE"""),44611)</f>
        <v>44611</v>
      </c>
      <c r="C2594" s="22">
        <f ca="1">IFERROR(__xludf.DUMMYFUNCTION("""COMPUTED_VALUE"""),500000)</f>
        <v>500000</v>
      </c>
      <c r="D2594" s="22">
        <f ca="1">IFERROR(__xludf.DUMMYFUNCTION("""COMPUTED_VALUE"""),0)</f>
        <v>0</v>
      </c>
      <c r="E2594" s="22">
        <f ca="1">IFERROR(__xludf.DUMMYFUNCTION("""COMPUTED_VALUE"""),500000)</f>
        <v>500000</v>
      </c>
      <c r="F2594" s="22">
        <f ca="1">IFERROR(__xludf.DUMMYFUNCTION("""COMPUTED_VALUE"""),500000)</f>
        <v>500000</v>
      </c>
      <c r="G2594" s="22">
        <f ca="1">IFERROR(__xludf.DUMMYFUNCTION("""COMPUTED_VALUE"""),0)</f>
        <v>0</v>
      </c>
      <c r="H2594" s="7">
        <f ca="1">IFERROR(__xludf.DUMMYFUNCTION("""COMPUTED_VALUE"""),500000)</f>
        <v>500000</v>
      </c>
    </row>
    <row r="2595" spans="1:8" ht="13" x14ac:dyDescent="0.15">
      <c r="A2595" s="5" t="str">
        <f ca="1">IFERROR(__xludf.DUMMYFUNCTION("""COMPUTED_VALUE"""),"46104")</f>
        <v>46104</v>
      </c>
      <c r="B2595" s="51">
        <f ca="1">IFERROR(__xludf.DUMMYFUNCTION("""COMPUTED_VALUE"""),44612)</f>
        <v>44612</v>
      </c>
      <c r="C2595" s="22">
        <f ca="1">IFERROR(__xludf.DUMMYFUNCTION("""COMPUTED_VALUE"""),500000)</f>
        <v>500000</v>
      </c>
      <c r="D2595" s="22">
        <f ca="1">IFERROR(__xludf.DUMMYFUNCTION("""COMPUTED_VALUE"""),0)</f>
        <v>0</v>
      </c>
      <c r="E2595" s="22">
        <f ca="1">IFERROR(__xludf.DUMMYFUNCTION("""COMPUTED_VALUE"""),500000)</f>
        <v>500000</v>
      </c>
      <c r="F2595" s="22">
        <f ca="1">IFERROR(__xludf.DUMMYFUNCTION("""COMPUTED_VALUE"""),500000)</f>
        <v>500000</v>
      </c>
      <c r="G2595" s="22">
        <f ca="1">IFERROR(__xludf.DUMMYFUNCTION("""COMPUTED_VALUE"""),0)</f>
        <v>0</v>
      </c>
      <c r="H2595" s="7">
        <f ca="1">IFERROR(__xludf.DUMMYFUNCTION("""COMPUTED_VALUE"""),500000)</f>
        <v>500000</v>
      </c>
    </row>
    <row r="2596" spans="1:8" ht="13" x14ac:dyDescent="0.15">
      <c r="A2596" s="5" t="str">
        <f ca="1">IFERROR(__xludf.DUMMYFUNCTION("""COMPUTED_VALUE"""),"46104")</f>
        <v>46104</v>
      </c>
      <c r="B2596" s="51">
        <f ca="1">IFERROR(__xludf.DUMMYFUNCTION("""COMPUTED_VALUE"""),44613)</f>
        <v>44613</v>
      </c>
      <c r="C2596" s="22">
        <f ca="1">IFERROR(__xludf.DUMMYFUNCTION("""COMPUTED_VALUE"""),500000)</f>
        <v>500000</v>
      </c>
      <c r="D2596" s="22">
        <f ca="1">IFERROR(__xludf.DUMMYFUNCTION("""COMPUTED_VALUE"""),0)</f>
        <v>0</v>
      </c>
      <c r="E2596" s="22">
        <f ca="1">IFERROR(__xludf.DUMMYFUNCTION("""COMPUTED_VALUE"""),500000)</f>
        <v>500000</v>
      </c>
      <c r="F2596" s="22">
        <f ca="1">IFERROR(__xludf.DUMMYFUNCTION("""COMPUTED_VALUE"""),500000)</f>
        <v>500000</v>
      </c>
      <c r="G2596" s="22">
        <f ca="1">IFERROR(__xludf.DUMMYFUNCTION("""COMPUTED_VALUE"""),0)</f>
        <v>0</v>
      </c>
      <c r="H2596" s="7">
        <f ca="1">IFERROR(__xludf.DUMMYFUNCTION("""COMPUTED_VALUE"""),500000)</f>
        <v>500000</v>
      </c>
    </row>
    <row r="2597" spans="1:8" ht="13" x14ac:dyDescent="0.15">
      <c r="A2597" s="5" t="str">
        <f ca="1">IFERROR(__xludf.DUMMYFUNCTION("""COMPUTED_VALUE"""),"46104")</f>
        <v>46104</v>
      </c>
      <c r="B2597" s="51">
        <f ca="1">IFERROR(__xludf.DUMMYFUNCTION("""COMPUTED_VALUE"""),44614)</f>
        <v>44614</v>
      </c>
      <c r="C2597" s="22">
        <f ca="1">IFERROR(__xludf.DUMMYFUNCTION("""COMPUTED_VALUE"""),500000)</f>
        <v>500000</v>
      </c>
      <c r="D2597" s="22">
        <f ca="1">IFERROR(__xludf.DUMMYFUNCTION("""COMPUTED_VALUE"""),0)</f>
        <v>0</v>
      </c>
      <c r="E2597" s="22">
        <f ca="1">IFERROR(__xludf.DUMMYFUNCTION("""COMPUTED_VALUE"""),500000)</f>
        <v>500000</v>
      </c>
      <c r="F2597" s="22">
        <f ca="1">IFERROR(__xludf.DUMMYFUNCTION("""COMPUTED_VALUE"""),500000)</f>
        <v>500000</v>
      </c>
      <c r="G2597" s="22">
        <f ca="1">IFERROR(__xludf.DUMMYFUNCTION("""COMPUTED_VALUE"""),0)</f>
        <v>0</v>
      </c>
      <c r="H2597" s="7">
        <f ca="1">IFERROR(__xludf.DUMMYFUNCTION("""COMPUTED_VALUE"""),500000)</f>
        <v>500000</v>
      </c>
    </row>
    <row r="2598" spans="1:8" ht="13" x14ac:dyDescent="0.15">
      <c r="A2598" s="5" t="str">
        <f ca="1">IFERROR(__xludf.DUMMYFUNCTION("""COMPUTED_VALUE"""),"46104")</f>
        <v>46104</v>
      </c>
      <c r="B2598" s="51">
        <f ca="1">IFERROR(__xludf.DUMMYFUNCTION("""COMPUTED_VALUE"""),44615)</f>
        <v>44615</v>
      </c>
      <c r="C2598" s="22">
        <f ca="1">IFERROR(__xludf.DUMMYFUNCTION("""COMPUTED_VALUE"""),500000)</f>
        <v>500000</v>
      </c>
      <c r="D2598" s="22">
        <f ca="1">IFERROR(__xludf.DUMMYFUNCTION("""COMPUTED_VALUE"""),0)</f>
        <v>0</v>
      </c>
      <c r="E2598" s="22">
        <f ca="1">IFERROR(__xludf.DUMMYFUNCTION("""COMPUTED_VALUE"""),500000)</f>
        <v>500000</v>
      </c>
      <c r="F2598" s="22">
        <f ca="1">IFERROR(__xludf.DUMMYFUNCTION("""COMPUTED_VALUE"""),500000)</f>
        <v>500000</v>
      </c>
      <c r="G2598" s="22">
        <f ca="1">IFERROR(__xludf.DUMMYFUNCTION("""COMPUTED_VALUE"""),0)</f>
        <v>0</v>
      </c>
      <c r="H2598" s="7">
        <f ca="1">IFERROR(__xludf.DUMMYFUNCTION("""COMPUTED_VALUE"""),500000)</f>
        <v>500000</v>
      </c>
    </row>
    <row r="2599" spans="1:8" ht="13" x14ac:dyDescent="0.15">
      <c r="A2599" s="5" t="str">
        <f ca="1">IFERROR(__xludf.DUMMYFUNCTION("""COMPUTED_VALUE"""),"46104")</f>
        <v>46104</v>
      </c>
      <c r="B2599" s="51">
        <f ca="1">IFERROR(__xludf.DUMMYFUNCTION("""COMPUTED_VALUE"""),44616)</f>
        <v>44616</v>
      </c>
      <c r="C2599" s="22">
        <f ca="1">IFERROR(__xludf.DUMMYFUNCTION("""COMPUTED_VALUE"""),500000)</f>
        <v>500000</v>
      </c>
      <c r="D2599" s="22">
        <f ca="1">IFERROR(__xludf.DUMMYFUNCTION("""COMPUTED_VALUE"""),0)</f>
        <v>0</v>
      </c>
      <c r="E2599" s="22">
        <f ca="1">IFERROR(__xludf.DUMMYFUNCTION("""COMPUTED_VALUE"""),500000)</f>
        <v>500000</v>
      </c>
      <c r="F2599" s="22">
        <f ca="1">IFERROR(__xludf.DUMMYFUNCTION("""COMPUTED_VALUE"""),500000)</f>
        <v>500000</v>
      </c>
      <c r="G2599" s="22">
        <f ca="1">IFERROR(__xludf.DUMMYFUNCTION("""COMPUTED_VALUE"""),0)</f>
        <v>0</v>
      </c>
      <c r="H2599" s="7">
        <f ca="1">IFERROR(__xludf.DUMMYFUNCTION("""COMPUTED_VALUE"""),500000)</f>
        <v>500000</v>
      </c>
    </row>
    <row r="2600" spans="1:8" ht="13" x14ac:dyDescent="0.15">
      <c r="A2600" s="5" t="str">
        <f ca="1">IFERROR(__xludf.DUMMYFUNCTION("""COMPUTED_VALUE"""),"46104")</f>
        <v>46104</v>
      </c>
      <c r="B2600" s="51">
        <f ca="1">IFERROR(__xludf.DUMMYFUNCTION("""COMPUTED_VALUE"""),44617)</f>
        <v>44617</v>
      </c>
      <c r="C2600" s="22">
        <f ca="1">IFERROR(__xludf.DUMMYFUNCTION("""COMPUTED_VALUE"""),500000)</f>
        <v>500000</v>
      </c>
      <c r="D2600" s="22">
        <f ca="1">IFERROR(__xludf.DUMMYFUNCTION("""COMPUTED_VALUE"""),0)</f>
        <v>0</v>
      </c>
      <c r="E2600" s="22">
        <f ca="1">IFERROR(__xludf.DUMMYFUNCTION("""COMPUTED_VALUE"""),500000)</f>
        <v>500000</v>
      </c>
      <c r="F2600" s="22">
        <f ca="1">IFERROR(__xludf.DUMMYFUNCTION("""COMPUTED_VALUE"""),500000)</f>
        <v>500000</v>
      </c>
      <c r="G2600" s="22">
        <f ca="1">IFERROR(__xludf.DUMMYFUNCTION("""COMPUTED_VALUE"""),0)</f>
        <v>0</v>
      </c>
      <c r="H2600" s="7">
        <f ca="1">IFERROR(__xludf.DUMMYFUNCTION("""COMPUTED_VALUE"""),500000)</f>
        <v>500000</v>
      </c>
    </row>
    <row r="2601" spans="1:8" ht="13" x14ac:dyDescent="0.15">
      <c r="A2601" s="5" t="str">
        <f ca="1">IFERROR(__xludf.DUMMYFUNCTION("""COMPUTED_VALUE"""),"46104")</f>
        <v>46104</v>
      </c>
      <c r="B2601" s="51">
        <f ca="1">IFERROR(__xludf.DUMMYFUNCTION("""COMPUTED_VALUE"""),44618)</f>
        <v>44618</v>
      </c>
      <c r="C2601" s="22">
        <f ca="1">IFERROR(__xludf.DUMMYFUNCTION("""COMPUTED_VALUE"""),500000)</f>
        <v>500000</v>
      </c>
      <c r="D2601" s="22">
        <f ca="1">IFERROR(__xludf.DUMMYFUNCTION("""COMPUTED_VALUE"""),0)</f>
        <v>0</v>
      </c>
      <c r="E2601" s="22">
        <f ca="1">IFERROR(__xludf.DUMMYFUNCTION("""COMPUTED_VALUE"""),500000)</f>
        <v>500000</v>
      </c>
      <c r="F2601" s="22">
        <f ca="1">IFERROR(__xludf.DUMMYFUNCTION("""COMPUTED_VALUE"""),500000)</f>
        <v>500000</v>
      </c>
      <c r="G2601" s="22">
        <f ca="1">IFERROR(__xludf.DUMMYFUNCTION("""COMPUTED_VALUE"""),0)</f>
        <v>0</v>
      </c>
      <c r="H2601" s="7">
        <f ca="1">IFERROR(__xludf.DUMMYFUNCTION("""COMPUTED_VALUE"""),500000)</f>
        <v>500000</v>
      </c>
    </row>
    <row r="2602" spans="1:8" ht="13" x14ac:dyDescent="0.15">
      <c r="A2602" s="5" t="str">
        <f ca="1">IFERROR(__xludf.DUMMYFUNCTION("""COMPUTED_VALUE"""),"46104")</f>
        <v>46104</v>
      </c>
      <c r="B2602" s="51">
        <f ca="1">IFERROR(__xludf.DUMMYFUNCTION("""COMPUTED_VALUE"""),44619)</f>
        <v>44619</v>
      </c>
      <c r="C2602" s="22">
        <f ca="1">IFERROR(__xludf.DUMMYFUNCTION("""COMPUTED_VALUE"""),500000)</f>
        <v>500000</v>
      </c>
      <c r="D2602" s="22">
        <f ca="1">IFERROR(__xludf.DUMMYFUNCTION("""COMPUTED_VALUE"""),0)</f>
        <v>0</v>
      </c>
      <c r="E2602" s="22">
        <f ca="1">IFERROR(__xludf.DUMMYFUNCTION("""COMPUTED_VALUE"""),500000)</f>
        <v>500000</v>
      </c>
      <c r="F2602" s="22">
        <f ca="1">IFERROR(__xludf.DUMMYFUNCTION("""COMPUTED_VALUE"""),500000)</f>
        <v>500000</v>
      </c>
      <c r="G2602" s="22">
        <f ca="1">IFERROR(__xludf.DUMMYFUNCTION("""COMPUTED_VALUE"""),0)</f>
        <v>0</v>
      </c>
      <c r="H2602" s="7">
        <f ca="1">IFERROR(__xludf.DUMMYFUNCTION("""COMPUTED_VALUE"""),500000)</f>
        <v>500000</v>
      </c>
    </row>
    <row r="2603" spans="1:8" ht="13" x14ac:dyDescent="0.15">
      <c r="A2603" s="5" t="str">
        <f ca="1">IFERROR(__xludf.DUMMYFUNCTION("""COMPUTED_VALUE"""),"46104")</f>
        <v>46104</v>
      </c>
      <c r="B2603" s="51">
        <f ca="1">IFERROR(__xludf.DUMMYFUNCTION("""COMPUTED_VALUE"""),44620)</f>
        <v>44620</v>
      </c>
      <c r="C2603" s="22">
        <f ca="1">IFERROR(__xludf.DUMMYFUNCTION("""COMPUTED_VALUE"""),500000)</f>
        <v>500000</v>
      </c>
      <c r="D2603" s="22">
        <f ca="1">IFERROR(__xludf.DUMMYFUNCTION("""COMPUTED_VALUE"""),0)</f>
        <v>0</v>
      </c>
      <c r="E2603" s="22">
        <f ca="1">IFERROR(__xludf.DUMMYFUNCTION("""COMPUTED_VALUE"""),500000)</f>
        <v>500000</v>
      </c>
      <c r="F2603" s="22">
        <f ca="1">IFERROR(__xludf.DUMMYFUNCTION("""COMPUTED_VALUE"""),500000)</f>
        <v>500000</v>
      </c>
      <c r="G2603" s="22">
        <f ca="1">IFERROR(__xludf.DUMMYFUNCTION("""COMPUTED_VALUE"""),0)</f>
        <v>0</v>
      </c>
      <c r="H2603" s="7">
        <f ca="1">IFERROR(__xludf.DUMMYFUNCTION("""COMPUTED_VALUE"""),500000)</f>
        <v>500000</v>
      </c>
    </row>
    <row r="2604" spans="1:8" ht="13" x14ac:dyDescent="0.15">
      <c r="A2604" s="5" t="str">
        <f ca="1">IFERROR(__xludf.DUMMYFUNCTION("""COMPUTED_VALUE"""),"46104")</f>
        <v>46104</v>
      </c>
      <c r="B2604" s="51">
        <f ca="1">IFERROR(__xludf.DUMMYFUNCTION("""COMPUTED_VALUE"""),44621)</f>
        <v>44621</v>
      </c>
      <c r="C2604" s="22">
        <f ca="1">IFERROR(__xludf.DUMMYFUNCTION("""COMPUTED_VALUE"""),500000)</f>
        <v>500000</v>
      </c>
      <c r="D2604" s="22">
        <f ca="1">IFERROR(__xludf.DUMMYFUNCTION("""COMPUTED_VALUE"""),0)</f>
        <v>0</v>
      </c>
      <c r="E2604" s="22">
        <f ca="1">IFERROR(__xludf.DUMMYFUNCTION("""COMPUTED_VALUE"""),500000)</f>
        <v>500000</v>
      </c>
      <c r="F2604" s="22">
        <f ca="1">IFERROR(__xludf.DUMMYFUNCTION("""COMPUTED_VALUE"""),500000)</f>
        <v>500000</v>
      </c>
      <c r="G2604" s="22">
        <f ca="1">IFERROR(__xludf.DUMMYFUNCTION("""COMPUTED_VALUE"""),0)</f>
        <v>0</v>
      </c>
      <c r="H2604" s="7">
        <f ca="1">IFERROR(__xludf.DUMMYFUNCTION("""COMPUTED_VALUE"""),500000)</f>
        <v>500000</v>
      </c>
    </row>
    <row r="2605" spans="1:8" ht="13" x14ac:dyDescent="0.15">
      <c r="A2605" s="5" t="str">
        <f ca="1">IFERROR(__xludf.DUMMYFUNCTION("""COMPUTED_VALUE"""),"46104")</f>
        <v>46104</v>
      </c>
      <c r="B2605" s="51">
        <f ca="1">IFERROR(__xludf.DUMMYFUNCTION("""COMPUTED_VALUE"""),44622)</f>
        <v>44622</v>
      </c>
      <c r="C2605" s="22">
        <f ca="1">IFERROR(__xludf.DUMMYFUNCTION("""COMPUTED_VALUE"""),500000)</f>
        <v>500000</v>
      </c>
      <c r="D2605" s="22">
        <f ca="1">IFERROR(__xludf.DUMMYFUNCTION("""COMPUTED_VALUE"""),0)</f>
        <v>0</v>
      </c>
      <c r="E2605" s="22">
        <f ca="1">IFERROR(__xludf.DUMMYFUNCTION("""COMPUTED_VALUE"""),500000)</f>
        <v>500000</v>
      </c>
      <c r="F2605" s="22">
        <f ca="1">IFERROR(__xludf.DUMMYFUNCTION("""COMPUTED_VALUE"""),500000)</f>
        <v>500000</v>
      </c>
      <c r="G2605" s="22">
        <f ca="1">IFERROR(__xludf.DUMMYFUNCTION("""COMPUTED_VALUE"""),0)</f>
        <v>0</v>
      </c>
      <c r="H2605" s="7">
        <f ca="1">IFERROR(__xludf.DUMMYFUNCTION("""COMPUTED_VALUE"""),500000)</f>
        <v>500000</v>
      </c>
    </row>
    <row r="2606" spans="1:8" ht="13" x14ac:dyDescent="0.15">
      <c r="A2606" s="5" t="str">
        <f ca="1">IFERROR(__xludf.DUMMYFUNCTION("""COMPUTED_VALUE"""),"46104")</f>
        <v>46104</v>
      </c>
      <c r="B2606" s="51">
        <f ca="1">IFERROR(__xludf.DUMMYFUNCTION("""COMPUTED_VALUE"""),44623)</f>
        <v>44623</v>
      </c>
      <c r="C2606" s="22">
        <f ca="1">IFERROR(__xludf.DUMMYFUNCTION("""COMPUTED_VALUE"""),500000)</f>
        <v>500000</v>
      </c>
      <c r="D2606" s="22">
        <f ca="1">IFERROR(__xludf.DUMMYFUNCTION("""COMPUTED_VALUE"""),0)</f>
        <v>0</v>
      </c>
      <c r="E2606" s="22">
        <f ca="1">IFERROR(__xludf.DUMMYFUNCTION("""COMPUTED_VALUE"""),500000)</f>
        <v>500000</v>
      </c>
      <c r="F2606" s="22">
        <f ca="1">IFERROR(__xludf.DUMMYFUNCTION("""COMPUTED_VALUE"""),500000)</f>
        <v>500000</v>
      </c>
      <c r="G2606" s="22">
        <f ca="1">IFERROR(__xludf.DUMMYFUNCTION("""COMPUTED_VALUE"""),0)</f>
        <v>0</v>
      </c>
      <c r="H2606" s="7">
        <f ca="1">IFERROR(__xludf.DUMMYFUNCTION("""COMPUTED_VALUE"""),500000)</f>
        <v>500000</v>
      </c>
    </row>
    <row r="2607" spans="1:8" ht="13" x14ac:dyDescent="0.15">
      <c r="A2607" s="5" t="str">
        <f ca="1">IFERROR(__xludf.DUMMYFUNCTION("""COMPUTED_VALUE"""),"46104")</f>
        <v>46104</v>
      </c>
      <c r="B2607" s="51">
        <f ca="1">IFERROR(__xludf.DUMMYFUNCTION("""COMPUTED_VALUE"""),44624)</f>
        <v>44624</v>
      </c>
      <c r="C2607" s="22">
        <f ca="1">IFERROR(__xludf.DUMMYFUNCTION("""COMPUTED_VALUE"""),500000)</f>
        <v>500000</v>
      </c>
      <c r="D2607" s="22">
        <f ca="1">IFERROR(__xludf.DUMMYFUNCTION("""COMPUTED_VALUE"""),0)</f>
        <v>0</v>
      </c>
      <c r="E2607" s="22">
        <f ca="1">IFERROR(__xludf.DUMMYFUNCTION("""COMPUTED_VALUE"""),500000)</f>
        <v>500000</v>
      </c>
      <c r="F2607" s="22">
        <f ca="1">IFERROR(__xludf.DUMMYFUNCTION("""COMPUTED_VALUE"""),500000)</f>
        <v>500000</v>
      </c>
      <c r="G2607" s="22">
        <f ca="1">IFERROR(__xludf.DUMMYFUNCTION("""COMPUTED_VALUE"""),0)</f>
        <v>0</v>
      </c>
      <c r="H2607" s="7">
        <f ca="1">IFERROR(__xludf.DUMMYFUNCTION("""COMPUTED_VALUE"""),500000)</f>
        <v>500000</v>
      </c>
    </row>
    <row r="2608" spans="1:8" ht="13" x14ac:dyDescent="0.15">
      <c r="A2608" s="5" t="str">
        <f ca="1">IFERROR(__xludf.DUMMYFUNCTION("""COMPUTED_VALUE"""),"46104")</f>
        <v>46104</v>
      </c>
      <c r="B2608" s="51">
        <f ca="1">IFERROR(__xludf.DUMMYFUNCTION("""COMPUTED_VALUE"""),44625)</f>
        <v>44625</v>
      </c>
      <c r="C2608" s="22">
        <f ca="1">IFERROR(__xludf.DUMMYFUNCTION("""COMPUTED_VALUE"""),500000)</f>
        <v>500000</v>
      </c>
      <c r="D2608" s="22">
        <f ca="1">IFERROR(__xludf.DUMMYFUNCTION("""COMPUTED_VALUE"""),0)</f>
        <v>0</v>
      </c>
      <c r="E2608" s="22">
        <f ca="1">IFERROR(__xludf.DUMMYFUNCTION("""COMPUTED_VALUE"""),500000)</f>
        <v>500000</v>
      </c>
      <c r="F2608" s="22">
        <f ca="1">IFERROR(__xludf.DUMMYFUNCTION("""COMPUTED_VALUE"""),500000)</f>
        <v>500000</v>
      </c>
      <c r="G2608" s="22">
        <f ca="1">IFERROR(__xludf.DUMMYFUNCTION("""COMPUTED_VALUE"""),0)</f>
        <v>0</v>
      </c>
      <c r="H2608" s="7">
        <f ca="1">IFERROR(__xludf.DUMMYFUNCTION("""COMPUTED_VALUE"""),500000)</f>
        <v>500000</v>
      </c>
    </row>
    <row r="2609" spans="1:8" ht="13" x14ac:dyDescent="0.15">
      <c r="A2609" s="5" t="str">
        <f ca="1">IFERROR(__xludf.DUMMYFUNCTION("""COMPUTED_VALUE"""),"46104")</f>
        <v>46104</v>
      </c>
      <c r="B2609" s="51">
        <f ca="1">IFERROR(__xludf.DUMMYFUNCTION("""COMPUTED_VALUE"""),44626)</f>
        <v>44626</v>
      </c>
      <c r="C2609" s="22">
        <f ca="1">IFERROR(__xludf.DUMMYFUNCTION("""COMPUTED_VALUE"""),500000)</f>
        <v>500000</v>
      </c>
      <c r="D2609" s="22">
        <f ca="1">IFERROR(__xludf.DUMMYFUNCTION("""COMPUTED_VALUE"""),0)</f>
        <v>0</v>
      </c>
      <c r="E2609" s="22">
        <f ca="1">IFERROR(__xludf.DUMMYFUNCTION("""COMPUTED_VALUE"""),500000)</f>
        <v>500000</v>
      </c>
      <c r="F2609" s="22">
        <f ca="1">IFERROR(__xludf.DUMMYFUNCTION("""COMPUTED_VALUE"""),500000)</f>
        <v>500000</v>
      </c>
      <c r="G2609" s="22">
        <f ca="1">IFERROR(__xludf.DUMMYFUNCTION("""COMPUTED_VALUE"""),0)</f>
        <v>0</v>
      </c>
      <c r="H2609" s="7">
        <f ca="1">IFERROR(__xludf.DUMMYFUNCTION("""COMPUTED_VALUE"""),500000)</f>
        <v>500000</v>
      </c>
    </row>
    <row r="2610" spans="1:8" ht="13" x14ac:dyDescent="0.15">
      <c r="A2610" s="5" t="str">
        <f ca="1">IFERROR(__xludf.DUMMYFUNCTION("""COMPUTED_VALUE"""),"46104")</f>
        <v>46104</v>
      </c>
      <c r="B2610" s="51">
        <f ca="1">IFERROR(__xludf.DUMMYFUNCTION("""COMPUTED_VALUE"""),44627)</f>
        <v>44627</v>
      </c>
      <c r="C2610" s="22">
        <f ca="1">IFERROR(__xludf.DUMMYFUNCTION("""COMPUTED_VALUE"""),500000)</f>
        <v>500000</v>
      </c>
      <c r="D2610" s="22">
        <f ca="1">IFERROR(__xludf.DUMMYFUNCTION("""COMPUTED_VALUE"""),0)</f>
        <v>0</v>
      </c>
      <c r="E2610" s="22">
        <f ca="1">IFERROR(__xludf.DUMMYFUNCTION("""COMPUTED_VALUE"""),500000)</f>
        <v>500000</v>
      </c>
      <c r="F2610" s="22">
        <f ca="1">IFERROR(__xludf.DUMMYFUNCTION("""COMPUTED_VALUE"""),500000)</f>
        <v>500000</v>
      </c>
      <c r="G2610" s="22">
        <f ca="1">IFERROR(__xludf.DUMMYFUNCTION("""COMPUTED_VALUE"""),0)</f>
        <v>0</v>
      </c>
      <c r="H2610" s="7">
        <f ca="1">IFERROR(__xludf.DUMMYFUNCTION("""COMPUTED_VALUE"""),500000)</f>
        <v>500000</v>
      </c>
    </row>
    <row r="2611" spans="1:8" ht="13" x14ac:dyDescent="0.15">
      <c r="A2611" s="5" t="str">
        <f ca="1">IFERROR(__xludf.DUMMYFUNCTION("""COMPUTED_VALUE"""),"46104")</f>
        <v>46104</v>
      </c>
      <c r="B2611" s="51">
        <f ca="1">IFERROR(__xludf.DUMMYFUNCTION("""COMPUTED_VALUE"""),44628)</f>
        <v>44628</v>
      </c>
      <c r="C2611" s="22">
        <f ca="1">IFERROR(__xludf.DUMMYFUNCTION("""COMPUTED_VALUE"""),500000)</f>
        <v>500000</v>
      </c>
      <c r="D2611" s="22">
        <f ca="1">IFERROR(__xludf.DUMMYFUNCTION("""COMPUTED_VALUE"""),0)</f>
        <v>0</v>
      </c>
      <c r="E2611" s="22">
        <f ca="1">IFERROR(__xludf.DUMMYFUNCTION("""COMPUTED_VALUE"""),500000)</f>
        <v>500000</v>
      </c>
      <c r="F2611" s="22">
        <f ca="1">IFERROR(__xludf.DUMMYFUNCTION("""COMPUTED_VALUE"""),500000)</f>
        <v>500000</v>
      </c>
      <c r="G2611" s="22">
        <f ca="1">IFERROR(__xludf.DUMMYFUNCTION("""COMPUTED_VALUE"""),0)</f>
        <v>0</v>
      </c>
      <c r="H2611" s="7">
        <f ca="1">IFERROR(__xludf.DUMMYFUNCTION("""COMPUTED_VALUE"""),500000)</f>
        <v>500000</v>
      </c>
    </row>
    <row r="2612" spans="1:8" ht="13" x14ac:dyDescent="0.15">
      <c r="A2612" s="5" t="str">
        <f ca="1">IFERROR(__xludf.DUMMYFUNCTION("""COMPUTED_VALUE"""),"46104")</f>
        <v>46104</v>
      </c>
      <c r="B2612" s="51">
        <f ca="1">IFERROR(__xludf.DUMMYFUNCTION("""COMPUTED_VALUE"""),44629)</f>
        <v>44629</v>
      </c>
      <c r="C2612" s="22">
        <f ca="1">IFERROR(__xludf.DUMMYFUNCTION("""COMPUTED_VALUE"""),500000)</f>
        <v>500000</v>
      </c>
      <c r="D2612" s="22">
        <f ca="1">IFERROR(__xludf.DUMMYFUNCTION("""COMPUTED_VALUE"""),0)</f>
        <v>0</v>
      </c>
      <c r="E2612" s="22">
        <f ca="1">IFERROR(__xludf.DUMMYFUNCTION("""COMPUTED_VALUE"""),500000)</f>
        <v>500000</v>
      </c>
      <c r="F2612" s="22">
        <f ca="1">IFERROR(__xludf.DUMMYFUNCTION("""COMPUTED_VALUE"""),500000)</f>
        <v>500000</v>
      </c>
      <c r="G2612" s="22">
        <f ca="1">IFERROR(__xludf.DUMMYFUNCTION("""COMPUTED_VALUE"""),0)</f>
        <v>0</v>
      </c>
      <c r="H2612" s="7">
        <f ca="1">IFERROR(__xludf.DUMMYFUNCTION("""COMPUTED_VALUE"""),500000)</f>
        <v>500000</v>
      </c>
    </row>
    <row r="2613" spans="1:8" ht="13" x14ac:dyDescent="0.15">
      <c r="A2613" s="5" t="str">
        <f ca="1">IFERROR(__xludf.DUMMYFUNCTION("""COMPUTED_VALUE"""),"46104")</f>
        <v>46104</v>
      </c>
      <c r="B2613" s="51">
        <f ca="1">IFERROR(__xludf.DUMMYFUNCTION("""COMPUTED_VALUE"""),44630)</f>
        <v>44630</v>
      </c>
      <c r="C2613" s="22">
        <f ca="1">IFERROR(__xludf.DUMMYFUNCTION("""COMPUTED_VALUE"""),500000)</f>
        <v>500000</v>
      </c>
      <c r="D2613" s="22">
        <f ca="1">IFERROR(__xludf.DUMMYFUNCTION("""COMPUTED_VALUE"""),0)</f>
        <v>0</v>
      </c>
      <c r="E2613" s="22">
        <f ca="1">IFERROR(__xludf.DUMMYFUNCTION("""COMPUTED_VALUE"""),500000)</f>
        <v>500000</v>
      </c>
      <c r="F2613" s="22">
        <f ca="1">IFERROR(__xludf.DUMMYFUNCTION("""COMPUTED_VALUE"""),500000)</f>
        <v>500000</v>
      </c>
      <c r="G2613" s="22">
        <f ca="1">IFERROR(__xludf.DUMMYFUNCTION("""COMPUTED_VALUE"""),0)</f>
        <v>0</v>
      </c>
      <c r="H2613" s="7">
        <f ca="1">IFERROR(__xludf.DUMMYFUNCTION("""COMPUTED_VALUE"""),500000)</f>
        <v>500000</v>
      </c>
    </row>
    <row r="2614" spans="1:8" ht="13" x14ac:dyDescent="0.15">
      <c r="A2614" s="5" t="str">
        <f ca="1">IFERROR(__xludf.DUMMYFUNCTION("""COMPUTED_VALUE"""),"46104")</f>
        <v>46104</v>
      </c>
      <c r="B2614" s="51">
        <f ca="1">IFERROR(__xludf.DUMMYFUNCTION("""COMPUTED_VALUE"""),44631)</f>
        <v>44631</v>
      </c>
      <c r="C2614" s="22">
        <f ca="1">IFERROR(__xludf.DUMMYFUNCTION("""COMPUTED_VALUE"""),500000)</f>
        <v>500000</v>
      </c>
      <c r="D2614" s="22">
        <f ca="1">IFERROR(__xludf.DUMMYFUNCTION("""COMPUTED_VALUE"""),0)</f>
        <v>0</v>
      </c>
      <c r="E2614" s="22">
        <f ca="1">IFERROR(__xludf.DUMMYFUNCTION("""COMPUTED_VALUE"""),500000)</f>
        <v>500000</v>
      </c>
      <c r="F2614" s="22">
        <f ca="1">IFERROR(__xludf.DUMMYFUNCTION("""COMPUTED_VALUE"""),500000)</f>
        <v>500000</v>
      </c>
      <c r="G2614" s="22">
        <f ca="1">IFERROR(__xludf.DUMMYFUNCTION("""COMPUTED_VALUE"""),0)</f>
        <v>0</v>
      </c>
      <c r="H2614" s="7">
        <f ca="1">IFERROR(__xludf.DUMMYFUNCTION("""COMPUTED_VALUE"""),500000)</f>
        <v>500000</v>
      </c>
    </row>
    <row r="2615" spans="1:8" ht="13" x14ac:dyDescent="0.15">
      <c r="A2615" s="5" t="str">
        <f ca="1">IFERROR(__xludf.DUMMYFUNCTION("""COMPUTED_VALUE"""),"46104")</f>
        <v>46104</v>
      </c>
      <c r="B2615" s="51">
        <f ca="1">IFERROR(__xludf.DUMMYFUNCTION("""COMPUTED_VALUE"""),44632)</f>
        <v>44632</v>
      </c>
      <c r="C2615" s="22">
        <f ca="1">IFERROR(__xludf.DUMMYFUNCTION("""COMPUTED_VALUE"""),500000)</f>
        <v>500000</v>
      </c>
      <c r="D2615" s="22">
        <f ca="1">IFERROR(__xludf.DUMMYFUNCTION("""COMPUTED_VALUE"""),0)</f>
        <v>0</v>
      </c>
      <c r="E2615" s="22">
        <f ca="1">IFERROR(__xludf.DUMMYFUNCTION("""COMPUTED_VALUE"""),500000)</f>
        <v>500000</v>
      </c>
      <c r="F2615" s="22">
        <f ca="1">IFERROR(__xludf.DUMMYFUNCTION("""COMPUTED_VALUE"""),500000)</f>
        <v>500000</v>
      </c>
      <c r="G2615" s="22">
        <f ca="1">IFERROR(__xludf.DUMMYFUNCTION("""COMPUTED_VALUE"""),0)</f>
        <v>0</v>
      </c>
      <c r="H2615" s="7">
        <f ca="1">IFERROR(__xludf.DUMMYFUNCTION("""COMPUTED_VALUE"""),500000)</f>
        <v>500000</v>
      </c>
    </row>
    <row r="2616" spans="1:8" ht="13" x14ac:dyDescent="0.15">
      <c r="A2616" s="5" t="str">
        <f ca="1">IFERROR(__xludf.DUMMYFUNCTION("""COMPUTED_VALUE"""),"46104")</f>
        <v>46104</v>
      </c>
      <c r="B2616" s="51">
        <f ca="1">IFERROR(__xludf.DUMMYFUNCTION("""COMPUTED_VALUE"""),44633)</f>
        <v>44633</v>
      </c>
      <c r="C2616" s="22">
        <f ca="1">IFERROR(__xludf.DUMMYFUNCTION("""COMPUTED_VALUE"""),500000)</f>
        <v>500000</v>
      </c>
      <c r="D2616" s="22">
        <f ca="1">IFERROR(__xludf.DUMMYFUNCTION("""COMPUTED_VALUE"""),0)</f>
        <v>0</v>
      </c>
      <c r="E2616" s="22">
        <f ca="1">IFERROR(__xludf.DUMMYFUNCTION("""COMPUTED_VALUE"""),500000)</f>
        <v>500000</v>
      </c>
      <c r="F2616" s="22">
        <f ca="1">IFERROR(__xludf.DUMMYFUNCTION("""COMPUTED_VALUE"""),500000)</f>
        <v>500000</v>
      </c>
      <c r="G2616" s="22">
        <f ca="1">IFERROR(__xludf.DUMMYFUNCTION("""COMPUTED_VALUE"""),0)</f>
        <v>0</v>
      </c>
      <c r="H2616" s="7">
        <f ca="1">IFERROR(__xludf.DUMMYFUNCTION("""COMPUTED_VALUE"""),500000)</f>
        <v>500000</v>
      </c>
    </row>
    <row r="2617" spans="1:8" ht="13" x14ac:dyDescent="0.15">
      <c r="A2617" s="5" t="str">
        <f ca="1">IFERROR(__xludf.DUMMYFUNCTION("""COMPUTED_VALUE"""),"46104")</f>
        <v>46104</v>
      </c>
      <c r="B2617" s="51">
        <f ca="1">IFERROR(__xludf.DUMMYFUNCTION("""COMPUTED_VALUE"""),44634)</f>
        <v>44634</v>
      </c>
      <c r="C2617" s="22">
        <f ca="1">IFERROR(__xludf.DUMMYFUNCTION("""COMPUTED_VALUE"""),500000)</f>
        <v>500000</v>
      </c>
      <c r="D2617" s="22">
        <f ca="1">IFERROR(__xludf.DUMMYFUNCTION("""COMPUTED_VALUE"""),0)</f>
        <v>0</v>
      </c>
      <c r="E2617" s="22">
        <f ca="1">IFERROR(__xludf.DUMMYFUNCTION("""COMPUTED_VALUE"""),500000)</f>
        <v>500000</v>
      </c>
      <c r="F2617" s="22">
        <f ca="1">IFERROR(__xludf.DUMMYFUNCTION("""COMPUTED_VALUE"""),500000)</f>
        <v>500000</v>
      </c>
      <c r="G2617" s="22">
        <f ca="1">IFERROR(__xludf.DUMMYFUNCTION("""COMPUTED_VALUE"""),0)</f>
        <v>0</v>
      </c>
      <c r="H2617" s="7">
        <f ca="1">IFERROR(__xludf.DUMMYFUNCTION("""COMPUTED_VALUE"""),500000)</f>
        <v>500000</v>
      </c>
    </row>
    <row r="2618" spans="1:8" ht="13" x14ac:dyDescent="0.15">
      <c r="A2618" s="5" t="str">
        <f ca="1">IFERROR(__xludf.DUMMYFUNCTION("""COMPUTED_VALUE"""),"46104")</f>
        <v>46104</v>
      </c>
      <c r="B2618" s="51">
        <f ca="1">IFERROR(__xludf.DUMMYFUNCTION("""COMPUTED_VALUE"""),44635)</f>
        <v>44635</v>
      </c>
      <c r="C2618" s="22">
        <f ca="1">IFERROR(__xludf.DUMMYFUNCTION("""COMPUTED_VALUE"""),500000)</f>
        <v>500000</v>
      </c>
      <c r="D2618" s="22">
        <f ca="1">IFERROR(__xludf.DUMMYFUNCTION("""COMPUTED_VALUE"""),0)</f>
        <v>0</v>
      </c>
      <c r="E2618" s="22">
        <f ca="1">IFERROR(__xludf.DUMMYFUNCTION("""COMPUTED_VALUE"""),500000)</f>
        <v>500000</v>
      </c>
      <c r="F2618" s="22">
        <f ca="1">IFERROR(__xludf.DUMMYFUNCTION("""COMPUTED_VALUE"""),500000)</f>
        <v>500000</v>
      </c>
      <c r="G2618" s="22">
        <f ca="1">IFERROR(__xludf.DUMMYFUNCTION("""COMPUTED_VALUE"""),0)</f>
        <v>0</v>
      </c>
      <c r="H2618" s="7">
        <f ca="1">IFERROR(__xludf.DUMMYFUNCTION("""COMPUTED_VALUE"""),500000)</f>
        <v>500000</v>
      </c>
    </row>
    <row r="2619" spans="1:8" ht="13" x14ac:dyDescent="0.15">
      <c r="A2619" s="5" t="str">
        <f ca="1">IFERROR(__xludf.DUMMYFUNCTION("""COMPUTED_VALUE"""),"46104")</f>
        <v>46104</v>
      </c>
      <c r="B2619" s="51">
        <f ca="1">IFERROR(__xludf.DUMMYFUNCTION("""COMPUTED_VALUE"""),44636)</f>
        <v>44636</v>
      </c>
      <c r="C2619" s="22">
        <f ca="1">IFERROR(__xludf.DUMMYFUNCTION("""COMPUTED_VALUE"""),500000)</f>
        <v>500000</v>
      </c>
      <c r="D2619" s="22">
        <f ca="1">IFERROR(__xludf.DUMMYFUNCTION("""COMPUTED_VALUE"""),0)</f>
        <v>0</v>
      </c>
      <c r="E2619" s="22">
        <f ca="1">IFERROR(__xludf.DUMMYFUNCTION("""COMPUTED_VALUE"""),500000)</f>
        <v>500000</v>
      </c>
      <c r="F2619" s="22">
        <f ca="1">IFERROR(__xludf.DUMMYFUNCTION("""COMPUTED_VALUE"""),500000)</f>
        <v>500000</v>
      </c>
      <c r="G2619" s="22">
        <f ca="1">IFERROR(__xludf.DUMMYFUNCTION("""COMPUTED_VALUE"""),0)</f>
        <v>0</v>
      </c>
      <c r="H2619" s="7">
        <f ca="1">IFERROR(__xludf.DUMMYFUNCTION("""COMPUTED_VALUE"""),500000)</f>
        <v>500000</v>
      </c>
    </row>
    <row r="2620" spans="1:8" ht="13" x14ac:dyDescent="0.15">
      <c r="A2620" s="5" t="str">
        <f ca="1">IFERROR(__xludf.DUMMYFUNCTION("""COMPUTED_VALUE"""),"46104")</f>
        <v>46104</v>
      </c>
      <c r="B2620" s="51">
        <f ca="1">IFERROR(__xludf.DUMMYFUNCTION("""COMPUTED_VALUE"""),44637)</f>
        <v>44637</v>
      </c>
      <c r="C2620" s="22">
        <f ca="1">IFERROR(__xludf.DUMMYFUNCTION("""COMPUTED_VALUE"""),500000)</f>
        <v>500000</v>
      </c>
      <c r="D2620" s="22">
        <f ca="1">IFERROR(__xludf.DUMMYFUNCTION("""COMPUTED_VALUE"""),0)</f>
        <v>0</v>
      </c>
      <c r="E2620" s="22">
        <f ca="1">IFERROR(__xludf.DUMMYFUNCTION("""COMPUTED_VALUE"""),500000)</f>
        <v>500000</v>
      </c>
      <c r="F2620" s="22">
        <f ca="1">IFERROR(__xludf.DUMMYFUNCTION("""COMPUTED_VALUE"""),500000)</f>
        <v>500000</v>
      </c>
      <c r="G2620" s="22">
        <f ca="1">IFERROR(__xludf.DUMMYFUNCTION("""COMPUTED_VALUE"""),0)</f>
        <v>0</v>
      </c>
      <c r="H2620" s="7">
        <f ca="1">IFERROR(__xludf.DUMMYFUNCTION("""COMPUTED_VALUE"""),500000)</f>
        <v>500000</v>
      </c>
    </row>
    <row r="2621" spans="1:8" ht="13" x14ac:dyDescent="0.15">
      <c r="A2621" s="5" t="str">
        <f ca="1">IFERROR(__xludf.DUMMYFUNCTION("""COMPUTED_VALUE"""),"46104")</f>
        <v>46104</v>
      </c>
      <c r="B2621" s="51">
        <f ca="1">IFERROR(__xludf.DUMMYFUNCTION("""COMPUTED_VALUE"""),44638)</f>
        <v>44638</v>
      </c>
      <c r="C2621" s="22">
        <f ca="1">IFERROR(__xludf.DUMMYFUNCTION("""COMPUTED_VALUE"""),500000)</f>
        <v>500000</v>
      </c>
      <c r="D2621" s="22">
        <f ca="1">IFERROR(__xludf.DUMMYFUNCTION("""COMPUTED_VALUE"""),0)</f>
        <v>0</v>
      </c>
      <c r="E2621" s="22">
        <f ca="1">IFERROR(__xludf.DUMMYFUNCTION("""COMPUTED_VALUE"""),500000)</f>
        <v>500000</v>
      </c>
      <c r="F2621" s="22">
        <f ca="1">IFERROR(__xludf.DUMMYFUNCTION("""COMPUTED_VALUE"""),500000)</f>
        <v>500000</v>
      </c>
      <c r="G2621" s="22">
        <f ca="1">IFERROR(__xludf.DUMMYFUNCTION("""COMPUTED_VALUE"""),0)</f>
        <v>0</v>
      </c>
      <c r="H2621" s="7">
        <f ca="1">IFERROR(__xludf.DUMMYFUNCTION("""COMPUTED_VALUE"""),500000)</f>
        <v>500000</v>
      </c>
    </row>
    <row r="2622" spans="1:8" ht="13" x14ac:dyDescent="0.15">
      <c r="A2622" s="5" t="str">
        <f ca="1">IFERROR(__xludf.DUMMYFUNCTION("""COMPUTED_VALUE"""),"46104")</f>
        <v>46104</v>
      </c>
      <c r="B2622" s="51">
        <f ca="1">IFERROR(__xludf.DUMMYFUNCTION("""COMPUTED_VALUE"""),44639)</f>
        <v>44639</v>
      </c>
      <c r="C2622" s="22">
        <f ca="1">IFERROR(__xludf.DUMMYFUNCTION("""COMPUTED_VALUE"""),500000)</f>
        <v>500000</v>
      </c>
      <c r="D2622" s="22">
        <f ca="1">IFERROR(__xludf.DUMMYFUNCTION("""COMPUTED_VALUE"""),0)</f>
        <v>0</v>
      </c>
      <c r="E2622" s="22">
        <f ca="1">IFERROR(__xludf.DUMMYFUNCTION("""COMPUTED_VALUE"""),500000)</f>
        <v>500000</v>
      </c>
      <c r="F2622" s="22">
        <f ca="1">IFERROR(__xludf.DUMMYFUNCTION("""COMPUTED_VALUE"""),500000)</f>
        <v>500000</v>
      </c>
      <c r="G2622" s="22">
        <f ca="1">IFERROR(__xludf.DUMMYFUNCTION("""COMPUTED_VALUE"""),0)</f>
        <v>0</v>
      </c>
      <c r="H2622" s="7">
        <f ca="1">IFERROR(__xludf.DUMMYFUNCTION("""COMPUTED_VALUE"""),500000)</f>
        <v>500000</v>
      </c>
    </row>
    <row r="2623" spans="1:8" ht="13" x14ac:dyDescent="0.15">
      <c r="A2623" s="5" t="str">
        <f ca="1">IFERROR(__xludf.DUMMYFUNCTION("""COMPUTED_VALUE"""),"46104")</f>
        <v>46104</v>
      </c>
      <c r="B2623" s="51">
        <f ca="1">IFERROR(__xludf.DUMMYFUNCTION("""COMPUTED_VALUE"""),44640)</f>
        <v>44640</v>
      </c>
      <c r="C2623" s="22">
        <f ca="1">IFERROR(__xludf.DUMMYFUNCTION("""COMPUTED_VALUE"""),500000)</f>
        <v>500000</v>
      </c>
      <c r="D2623" s="22">
        <f ca="1">IFERROR(__xludf.DUMMYFUNCTION("""COMPUTED_VALUE"""),0)</f>
        <v>0</v>
      </c>
      <c r="E2623" s="22">
        <f ca="1">IFERROR(__xludf.DUMMYFUNCTION("""COMPUTED_VALUE"""),500000)</f>
        <v>500000</v>
      </c>
      <c r="F2623" s="22">
        <f ca="1">IFERROR(__xludf.DUMMYFUNCTION("""COMPUTED_VALUE"""),500000)</f>
        <v>500000</v>
      </c>
      <c r="G2623" s="22">
        <f ca="1">IFERROR(__xludf.DUMMYFUNCTION("""COMPUTED_VALUE"""),0)</f>
        <v>0</v>
      </c>
      <c r="H2623" s="7">
        <f ca="1">IFERROR(__xludf.DUMMYFUNCTION("""COMPUTED_VALUE"""),500000)</f>
        <v>500000</v>
      </c>
    </row>
    <row r="2624" spans="1:8" ht="13" x14ac:dyDescent="0.15">
      <c r="A2624" s="5" t="str">
        <f ca="1">IFERROR(__xludf.DUMMYFUNCTION("""COMPUTED_VALUE"""),"46104")</f>
        <v>46104</v>
      </c>
      <c r="B2624" s="51">
        <f ca="1">IFERROR(__xludf.DUMMYFUNCTION("""COMPUTED_VALUE"""),44641)</f>
        <v>44641</v>
      </c>
      <c r="C2624" s="22">
        <f ca="1">IFERROR(__xludf.DUMMYFUNCTION("""COMPUTED_VALUE"""),500000)</f>
        <v>500000</v>
      </c>
      <c r="D2624" s="22">
        <f ca="1">IFERROR(__xludf.DUMMYFUNCTION("""COMPUTED_VALUE"""),0)</f>
        <v>0</v>
      </c>
      <c r="E2624" s="22">
        <f ca="1">IFERROR(__xludf.DUMMYFUNCTION("""COMPUTED_VALUE"""),500000)</f>
        <v>500000</v>
      </c>
      <c r="F2624" s="22">
        <f ca="1">IFERROR(__xludf.DUMMYFUNCTION("""COMPUTED_VALUE"""),500000)</f>
        <v>500000</v>
      </c>
      <c r="G2624" s="22">
        <f ca="1">IFERROR(__xludf.DUMMYFUNCTION("""COMPUTED_VALUE"""),0)</f>
        <v>0</v>
      </c>
      <c r="H2624" s="7">
        <f ca="1">IFERROR(__xludf.DUMMYFUNCTION("""COMPUTED_VALUE"""),500000)</f>
        <v>500000</v>
      </c>
    </row>
    <row r="2625" spans="1:8" ht="13" x14ac:dyDescent="0.15">
      <c r="A2625" s="5" t="str">
        <f ca="1">IFERROR(__xludf.DUMMYFUNCTION("""COMPUTED_VALUE"""),"46104")</f>
        <v>46104</v>
      </c>
      <c r="B2625" s="51">
        <f ca="1">IFERROR(__xludf.DUMMYFUNCTION("""COMPUTED_VALUE"""),44642)</f>
        <v>44642</v>
      </c>
      <c r="C2625" s="22">
        <f ca="1">IFERROR(__xludf.DUMMYFUNCTION("""COMPUTED_VALUE"""),500000)</f>
        <v>500000</v>
      </c>
      <c r="D2625" s="22">
        <f ca="1">IFERROR(__xludf.DUMMYFUNCTION("""COMPUTED_VALUE"""),0)</f>
        <v>0</v>
      </c>
      <c r="E2625" s="22">
        <f ca="1">IFERROR(__xludf.DUMMYFUNCTION("""COMPUTED_VALUE"""),500000)</f>
        <v>500000</v>
      </c>
      <c r="F2625" s="22">
        <f ca="1">IFERROR(__xludf.DUMMYFUNCTION("""COMPUTED_VALUE"""),500000)</f>
        <v>500000</v>
      </c>
      <c r="G2625" s="22">
        <f ca="1">IFERROR(__xludf.DUMMYFUNCTION("""COMPUTED_VALUE"""),0)</f>
        <v>0</v>
      </c>
      <c r="H2625" s="7">
        <f ca="1">IFERROR(__xludf.DUMMYFUNCTION("""COMPUTED_VALUE"""),500000)</f>
        <v>500000</v>
      </c>
    </row>
    <row r="2626" spans="1:8" ht="13" x14ac:dyDescent="0.15">
      <c r="A2626" s="5" t="str">
        <f ca="1">IFERROR(__xludf.DUMMYFUNCTION("""COMPUTED_VALUE"""),"46220")</f>
        <v>46220</v>
      </c>
      <c r="B2626" s="51">
        <f ca="1">IFERROR(__xludf.DUMMYFUNCTION("""COMPUTED_VALUE"""),44597)</f>
        <v>44597</v>
      </c>
      <c r="C2626" s="22">
        <f ca="1">IFERROR(__xludf.DUMMYFUNCTION("""COMPUTED_VALUE"""),500000)</f>
        <v>500000</v>
      </c>
      <c r="D2626" s="22">
        <f ca="1">IFERROR(__xludf.DUMMYFUNCTION("""COMPUTED_VALUE"""),0)</f>
        <v>0</v>
      </c>
      <c r="E2626" s="22">
        <f ca="1">IFERROR(__xludf.DUMMYFUNCTION("""COMPUTED_VALUE"""),500000)</f>
        <v>500000</v>
      </c>
      <c r="F2626" s="22">
        <f ca="1">IFERROR(__xludf.DUMMYFUNCTION("""COMPUTED_VALUE"""),500000)</f>
        <v>500000</v>
      </c>
      <c r="G2626" s="22">
        <f ca="1">IFERROR(__xludf.DUMMYFUNCTION("""COMPUTED_VALUE"""),0)</f>
        <v>0</v>
      </c>
      <c r="H2626" s="7">
        <f ca="1">IFERROR(__xludf.DUMMYFUNCTION("""COMPUTED_VALUE"""),500000)</f>
        <v>500000</v>
      </c>
    </row>
    <row r="2627" spans="1:8" ht="13" x14ac:dyDescent="0.15">
      <c r="A2627" s="5" t="str">
        <f ca="1">IFERROR(__xludf.DUMMYFUNCTION("""COMPUTED_VALUE"""),"46220")</f>
        <v>46220</v>
      </c>
      <c r="B2627" s="51">
        <f ca="1">IFERROR(__xludf.DUMMYFUNCTION("""COMPUTED_VALUE"""),44598)</f>
        <v>44598</v>
      </c>
      <c r="C2627" s="22">
        <f ca="1">IFERROR(__xludf.DUMMYFUNCTION("""COMPUTED_VALUE"""),500000)</f>
        <v>500000</v>
      </c>
      <c r="D2627" s="22">
        <f ca="1">IFERROR(__xludf.DUMMYFUNCTION("""COMPUTED_VALUE"""),0)</f>
        <v>0</v>
      </c>
      <c r="E2627" s="22">
        <f ca="1">IFERROR(__xludf.DUMMYFUNCTION("""COMPUTED_VALUE"""),500000)</f>
        <v>500000</v>
      </c>
      <c r="F2627" s="22">
        <f ca="1">IFERROR(__xludf.DUMMYFUNCTION("""COMPUTED_VALUE"""),500000)</f>
        <v>500000</v>
      </c>
      <c r="G2627" s="22">
        <f ca="1">IFERROR(__xludf.DUMMYFUNCTION("""COMPUTED_VALUE"""),0)</f>
        <v>0</v>
      </c>
      <c r="H2627" s="7">
        <f ca="1">IFERROR(__xludf.DUMMYFUNCTION("""COMPUTED_VALUE"""),500000)</f>
        <v>500000</v>
      </c>
    </row>
    <row r="2628" spans="1:8" ht="13" x14ac:dyDescent="0.15">
      <c r="A2628" s="5" t="str">
        <f ca="1">IFERROR(__xludf.DUMMYFUNCTION("""COMPUTED_VALUE"""),"46220")</f>
        <v>46220</v>
      </c>
      <c r="B2628" s="51">
        <f ca="1">IFERROR(__xludf.DUMMYFUNCTION("""COMPUTED_VALUE"""),44599)</f>
        <v>44599</v>
      </c>
      <c r="C2628" s="22">
        <f ca="1">IFERROR(__xludf.DUMMYFUNCTION("""COMPUTED_VALUE"""),456187.2508625)</f>
        <v>456187.25086249999</v>
      </c>
      <c r="D2628" s="22">
        <f ca="1">IFERROR(__xludf.DUMMYFUNCTION("""COMPUTED_VALUE"""),43812.7491374999)</f>
        <v>43812.749137499901</v>
      </c>
      <c r="E2628" s="22">
        <f ca="1">IFERROR(__xludf.DUMMYFUNCTION("""COMPUTED_VALUE"""),500000)</f>
        <v>500000</v>
      </c>
      <c r="F2628" s="22">
        <f ca="1">IFERROR(__xludf.DUMMYFUNCTION("""COMPUTED_VALUE"""),456187.2508625)</f>
        <v>456187.25086249999</v>
      </c>
      <c r="G2628" s="22">
        <f ca="1">IFERROR(__xludf.DUMMYFUNCTION("""COMPUTED_VALUE"""),0)</f>
        <v>0</v>
      </c>
      <c r="H2628" s="7">
        <f ca="1">IFERROR(__xludf.DUMMYFUNCTION("""COMPUTED_VALUE"""),500000)</f>
        <v>500000</v>
      </c>
    </row>
    <row r="2629" spans="1:8" ht="13" x14ac:dyDescent="0.15">
      <c r="A2629" s="5" t="str">
        <f ca="1">IFERROR(__xludf.DUMMYFUNCTION("""COMPUTED_VALUE"""),"46220")</f>
        <v>46220</v>
      </c>
      <c r="B2629" s="51">
        <f ca="1">IFERROR(__xludf.DUMMYFUNCTION("""COMPUTED_VALUE"""),44600)</f>
        <v>44600</v>
      </c>
      <c r="C2629" s="22">
        <f ca="1">IFERROR(__xludf.DUMMYFUNCTION("""COMPUTED_VALUE"""),421671.7961005)</f>
        <v>421671.79610049998</v>
      </c>
      <c r="D2629" s="22">
        <f ca="1">IFERROR(__xludf.DUMMYFUNCTION("""COMPUTED_VALUE"""),77415.0232145)</f>
        <v>77415.023214500005</v>
      </c>
      <c r="E2629" s="22">
        <f ca="1">IFERROR(__xludf.DUMMYFUNCTION("""COMPUTED_VALUE"""),499086.819315)</f>
        <v>499086.81931499997</v>
      </c>
      <c r="F2629" s="22">
        <f ca="1">IFERROR(__xludf.DUMMYFUNCTION("""COMPUTED_VALUE"""),421671.7961005)</f>
        <v>421671.79610049998</v>
      </c>
      <c r="G2629" s="22">
        <f ca="1">IFERROR(__xludf.DUMMYFUNCTION("""COMPUTED_VALUE"""),0)</f>
        <v>0</v>
      </c>
      <c r="H2629" s="7">
        <f ca="1">IFERROR(__xludf.DUMMYFUNCTION("""COMPUTED_VALUE"""),499086.819315)</f>
        <v>499086.81931499997</v>
      </c>
    </row>
    <row r="2630" spans="1:8" ht="13" x14ac:dyDescent="0.15">
      <c r="A2630" s="5" t="str">
        <f ca="1">IFERROR(__xludf.DUMMYFUNCTION("""COMPUTED_VALUE"""),"46220")</f>
        <v>46220</v>
      </c>
      <c r="B2630" s="51">
        <f ca="1">IFERROR(__xludf.DUMMYFUNCTION("""COMPUTED_VALUE"""),44601)</f>
        <v>44601</v>
      </c>
      <c r="C2630" s="22">
        <f ca="1">IFERROR(__xludf.DUMMYFUNCTION("""COMPUTED_VALUE"""),373417.238578)</f>
        <v>373417.23857799999</v>
      </c>
      <c r="D2630" s="22">
        <f ca="1">IFERROR(__xludf.DUMMYFUNCTION("""COMPUTED_VALUE"""),129793.451522499)</f>
        <v>129793.451522499</v>
      </c>
      <c r="E2630" s="22">
        <f ca="1">IFERROR(__xludf.DUMMYFUNCTION("""COMPUTED_VALUE"""),503210.6901005)</f>
        <v>503210.69010050001</v>
      </c>
      <c r="F2630" s="22">
        <f ca="1">IFERROR(__xludf.DUMMYFUNCTION("""COMPUTED_VALUE"""),373417.238578)</f>
        <v>373417.23857799999</v>
      </c>
      <c r="G2630" s="22">
        <f ca="1">IFERROR(__xludf.DUMMYFUNCTION("""COMPUTED_VALUE"""),0)</f>
        <v>0</v>
      </c>
      <c r="H2630" s="7">
        <f ca="1">IFERROR(__xludf.DUMMYFUNCTION("""COMPUTED_VALUE"""),503210.6901005)</f>
        <v>503210.69010050001</v>
      </c>
    </row>
    <row r="2631" spans="1:8" ht="13" x14ac:dyDescent="0.15">
      <c r="A2631" s="5" t="str">
        <f ca="1">IFERROR(__xludf.DUMMYFUNCTION("""COMPUTED_VALUE"""),"46220")</f>
        <v>46220</v>
      </c>
      <c r="B2631" s="51">
        <f ca="1">IFERROR(__xludf.DUMMYFUNCTION("""COMPUTED_VALUE"""),44602)</f>
        <v>44602</v>
      </c>
      <c r="C2631" s="22">
        <f ca="1">IFERROR(__xludf.DUMMYFUNCTION("""COMPUTED_VALUE"""),353389.662635499)</f>
        <v>353389.66263549897</v>
      </c>
      <c r="D2631" s="22">
        <f ca="1">IFERROR(__xludf.DUMMYFUNCTION("""COMPUTED_VALUE"""),147758.1839725)</f>
        <v>147758.1839725</v>
      </c>
      <c r="E2631" s="22">
        <f ca="1">IFERROR(__xludf.DUMMYFUNCTION("""COMPUTED_VALUE"""),501147.846608)</f>
        <v>501147.84660799999</v>
      </c>
      <c r="F2631" s="22">
        <f ca="1">IFERROR(__xludf.DUMMYFUNCTION("""COMPUTED_VALUE"""),353389.662635499)</f>
        <v>353389.66263549897</v>
      </c>
      <c r="G2631" s="22">
        <f ca="1">IFERROR(__xludf.DUMMYFUNCTION("""COMPUTED_VALUE"""),0)</f>
        <v>0</v>
      </c>
      <c r="H2631" s="7">
        <f ca="1">IFERROR(__xludf.DUMMYFUNCTION("""COMPUTED_VALUE"""),501147.846608)</f>
        <v>501147.84660799999</v>
      </c>
    </row>
    <row r="2632" spans="1:8" ht="13" x14ac:dyDescent="0.15">
      <c r="A2632" s="5" t="str">
        <f ca="1">IFERROR(__xludf.DUMMYFUNCTION("""COMPUTED_VALUE"""),"46220")</f>
        <v>46220</v>
      </c>
      <c r="B2632" s="51">
        <f ca="1">IFERROR(__xludf.DUMMYFUNCTION("""COMPUTED_VALUE"""),44603)</f>
        <v>44603</v>
      </c>
      <c r="C2632" s="22">
        <f ca="1">IFERROR(__xludf.DUMMYFUNCTION("""COMPUTED_VALUE"""),252763.406135499)</f>
        <v>252763.40613549901</v>
      </c>
      <c r="D2632" s="22">
        <f ca="1">IFERROR(__xludf.DUMMYFUNCTION("""COMPUTED_VALUE"""),243581.932485)</f>
        <v>243581.932485</v>
      </c>
      <c r="E2632" s="22">
        <f ca="1">IFERROR(__xludf.DUMMYFUNCTION("""COMPUTED_VALUE"""),496345.338620499)</f>
        <v>496345.33862049901</v>
      </c>
      <c r="F2632" s="22">
        <f ca="1">IFERROR(__xludf.DUMMYFUNCTION("""COMPUTED_VALUE"""),252763.406135499)</f>
        <v>252763.40613549901</v>
      </c>
      <c r="G2632" s="22">
        <f ca="1">IFERROR(__xludf.DUMMYFUNCTION("""COMPUTED_VALUE"""),0)</f>
        <v>0</v>
      </c>
      <c r="H2632" s="7">
        <f ca="1">IFERROR(__xludf.DUMMYFUNCTION("""COMPUTED_VALUE"""),496345.338620499)</f>
        <v>496345.33862049901</v>
      </c>
    </row>
    <row r="2633" spans="1:8" ht="13" x14ac:dyDescent="0.15">
      <c r="A2633" s="5" t="str">
        <f ca="1">IFERROR(__xludf.DUMMYFUNCTION("""COMPUTED_VALUE"""),"46220")</f>
        <v>46220</v>
      </c>
      <c r="B2633" s="51">
        <f ca="1">IFERROR(__xludf.DUMMYFUNCTION("""COMPUTED_VALUE"""),44604)</f>
        <v>44604</v>
      </c>
      <c r="C2633" s="22">
        <f ca="1">IFERROR(__xludf.DUMMYFUNCTION("""COMPUTED_VALUE"""),252763.406135499)</f>
        <v>252763.40613549901</v>
      </c>
      <c r="D2633" s="22">
        <f ca="1">IFERROR(__xludf.DUMMYFUNCTION("""COMPUTED_VALUE"""),243581.932485)</f>
        <v>243581.932485</v>
      </c>
      <c r="E2633" s="22">
        <f ca="1">IFERROR(__xludf.DUMMYFUNCTION("""COMPUTED_VALUE"""),496345.338620499)</f>
        <v>496345.33862049901</v>
      </c>
      <c r="F2633" s="22">
        <f ca="1">IFERROR(__xludf.DUMMYFUNCTION("""COMPUTED_VALUE"""),252763.406135499)</f>
        <v>252763.40613549901</v>
      </c>
      <c r="G2633" s="22">
        <f ca="1">IFERROR(__xludf.DUMMYFUNCTION("""COMPUTED_VALUE"""),0)</f>
        <v>0</v>
      </c>
      <c r="H2633" s="7">
        <f ca="1">IFERROR(__xludf.DUMMYFUNCTION("""COMPUTED_VALUE"""),496345.338620499)</f>
        <v>496345.33862049901</v>
      </c>
    </row>
    <row r="2634" spans="1:8" ht="13" x14ac:dyDescent="0.15">
      <c r="A2634" s="5" t="str">
        <f ca="1">IFERROR(__xludf.DUMMYFUNCTION("""COMPUTED_VALUE"""),"46220")</f>
        <v>46220</v>
      </c>
      <c r="B2634" s="51">
        <f ca="1">IFERROR(__xludf.DUMMYFUNCTION("""COMPUTED_VALUE"""),44605)</f>
        <v>44605</v>
      </c>
      <c r="C2634" s="22">
        <f ca="1">IFERROR(__xludf.DUMMYFUNCTION("""COMPUTED_VALUE"""),252763.406135499)</f>
        <v>252763.40613549901</v>
      </c>
      <c r="D2634" s="22">
        <f ca="1">IFERROR(__xludf.DUMMYFUNCTION("""COMPUTED_VALUE"""),243589.801915)</f>
        <v>243589.80191499999</v>
      </c>
      <c r="E2634" s="22">
        <f ca="1">IFERROR(__xludf.DUMMYFUNCTION("""COMPUTED_VALUE"""),496353.208050499)</f>
        <v>496353.20805049897</v>
      </c>
      <c r="F2634" s="22">
        <f ca="1">IFERROR(__xludf.DUMMYFUNCTION("""COMPUTED_VALUE"""),252763.406135499)</f>
        <v>252763.40613549901</v>
      </c>
      <c r="G2634" s="22">
        <f ca="1">IFERROR(__xludf.DUMMYFUNCTION("""COMPUTED_VALUE"""),0)</f>
        <v>0</v>
      </c>
      <c r="H2634" s="7">
        <f ca="1">IFERROR(__xludf.DUMMYFUNCTION("""COMPUTED_VALUE"""),496358.755050499)</f>
        <v>496358.75505049899</v>
      </c>
    </row>
    <row r="2635" spans="1:8" ht="13" x14ac:dyDescent="0.15">
      <c r="A2635" s="5" t="str">
        <f ca="1">IFERROR(__xludf.DUMMYFUNCTION("""COMPUTED_VALUE"""),"46220")</f>
        <v>46220</v>
      </c>
      <c r="B2635" s="51">
        <f ca="1">IFERROR(__xludf.DUMMYFUNCTION("""COMPUTED_VALUE"""),44606)</f>
        <v>44606</v>
      </c>
      <c r="C2635" s="22">
        <f ca="1">IFERROR(__xludf.DUMMYFUNCTION("""COMPUTED_VALUE"""),252763.406135499)</f>
        <v>252763.40613549901</v>
      </c>
      <c r="D2635" s="22">
        <f ca="1">IFERROR(__xludf.DUMMYFUNCTION("""COMPUTED_VALUE"""),243455.098007749)</f>
        <v>243455.09800774901</v>
      </c>
      <c r="E2635" s="22">
        <f ca="1">IFERROR(__xludf.DUMMYFUNCTION("""COMPUTED_VALUE"""),496218.504143249)</f>
        <v>496218.50414324901</v>
      </c>
      <c r="F2635" s="22">
        <f ca="1">IFERROR(__xludf.DUMMYFUNCTION("""COMPUTED_VALUE"""),252763.406135499)</f>
        <v>252763.40613549901</v>
      </c>
      <c r="G2635" s="22">
        <f ca="1">IFERROR(__xludf.DUMMYFUNCTION("""COMPUTED_VALUE"""),0)</f>
        <v>0</v>
      </c>
      <c r="H2635" s="7">
        <f ca="1">IFERROR(__xludf.DUMMYFUNCTION("""COMPUTED_VALUE"""),498094.854341249)</f>
        <v>498094.85434124898</v>
      </c>
    </row>
    <row r="2636" spans="1:8" ht="13" x14ac:dyDescent="0.15">
      <c r="A2636" s="5" t="str">
        <f ca="1">IFERROR(__xludf.DUMMYFUNCTION("""COMPUTED_VALUE"""),"46220")</f>
        <v>46220</v>
      </c>
      <c r="B2636" s="51">
        <f ca="1">IFERROR(__xludf.DUMMYFUNCTION("""COMPUTED_VALUE"""),44607)</f>
        <v>44607</v>
      </c>
      <c r="C2636" s="22">
        <f ca="1">IFERROR(__xludf.DUMMYFUNCTION("""COMPUTED_VALUE"""),252763.406135499)</f>
        <v>252763.40613549901</v>
      </c>
      <c r="D2636" s="22">
        <f ca="1">IFERROR(__xludf.DUMMYFUNCTION("""COMPUTED_VALUE"""),245886.452724999)</f>
        <v>245886.45272499899</v>
      </c>
      <c r="E2636" s="22">
        <f ca="1">IFERROR(__xludf.DUMMYFUNCTION("""COMPUTED_VALUE"""),498649.858860499)</f>
        <v>498649.85886049899</v>
      </c>
      <c r="F2636" s="22">
        <f ca="1">IFERROR(__xludf.DUMMYFUNCTION("""COMPUTED_VALUE"""),252763.406135499)</f>
        <v>252763.40613549901</v>
      </c>
      <c r="G2636" s="22">
        <f ca="1">IFERROR(__xludf.DUMMYFUNCTION("""COMPUTED_VALUE"""),0)</f>
        <v>0</v>
      </c>
      <c r="H2636" s="7">
        <f ca="1">IFERROR(__xludf.DUMMYFUNCTION("""COMPUTED_VALUE"""),505966.66075025)</f>
        <v>505966.66075024998</v>
      </c>
    </row>
    <row r="2637" spans="1:8" ht="13" x14ac:dyDescent="0.15">
      <c r="A2637" s="5" t="str">
        <f ca="1">IFERROR(__xludf.DUMMYFUNCTION("""COMPUTED_VALUE"""),"46220")</f>
        <v>46220</v>
      </c>
      <c r="B2637" s="51">
        <f ca="1">IFERROR(__xludf.DUMMYFUNCTION("""COMPUTED_VALUE"""),44608)</f>
        <v>44608</v>
      </c>
      <c r="C2637" s="22">
        <f ca="1">IFERROR(__xludf.DUMMYFUNCTION("""COMPUTED_VALUE"""),-176028.6913645)</f>
        <v>-176028.6913645</v>
      </c>
      <c r="D2637" s="22">
        <f ca="1">IFERROR(__xludf.DUMMYFUNCTION("""COMPUTED_VALUE"""),679363.096125)</f>
        <v>679363.09612500004</v>
      </c>
      <c r="E2637" s="22">
        <f ca="1">IFERROR(__xludf.DUMMYFUNCTION("""COMPUTED_VALUE"""),503334.4047605)</f>
        <v>503334.40476050001</v>
      </c>
      <c r="F2637" s="22">
        <f ca="1">IFERROR(__xludf.DUMMYFUNCTION("""COMPUTED_VALUE"""),-176028.6913645)</f>
        <v>-176028.6913645</v>
      </c>
      <c r="G2637" s="22">
        <f ca="1">IFERROR(__xludf.DUMMYFUNCTION("""COMPUTED_VALUE"""),176028.6913645)</f>
        <v>176028.6913645</v>
      </c>
      <c r="H2637" s="7">
        <f ca="1">IFERROR(__xludf.DUMMYFUNCTION("""COMPUTED_VALUE"""),503334.4047605)</f>
        <v>503334.40476050001</v>
      </c>
    </row>
    <row r="2638" spans="1:8" ht="13" x14ac:dyDescent="0.15">
      <c r="A2638" s="5" t="str">
        <f ca="1">IFERROR(__xludf.DUMMYFUNCTION("""COMPUTED_VALUE"""),"46220")</f>
        <v>46220</v>
      </c>
      <c r="B2638" s="51">
        <f ca="1">IFERROR(__xludf.DUMMYFUNCTION("""COMPUTED_VALUE"""),44609)</f>
        <v>44609</v>
      </c>
      <c r="C2638" s="22">
        <f ca="1">IFERROR(__xludf.DUMMYFUNCTION("""COMPUTED_VALUE"""),-197277.380182)</f>
        <v>-197277.38018199999</v>
      </c>
      <c r="D2638" s="22">
        <f ca="1">IFERROR(__xludf.DUMMYFUNCTION("""COMPUTED_VALUE"""),674229.20223675)</f>
        <v>674229.20223675005</v>
      </c>
      <c r="E2638" s="22">
        <f ca="1">IFERROR(__xludf.DUMMYFUNCTION("""COMPUTED_VALUE"""),476951.82205475)</f>
        <v>476951.82205475</v>
      </c>
      <c r="F2638" s="22">
        <f ca="1">IFERROR(__xludf.DUMMYFUNCTION("""COMPUTED_VALUE"""),-197277.380182)</f>
        <v>-197277.38018199999</v>
      </c>
      <c r="G2638" s="22">
        <f ca="1">IFERROR(__xludf.DUMMYFUNCTION("""COMPUTED_VALUE"""),197277.380182)</f>
        <v>197277.38018199999</v>
      </c>
      <c r="H2638" s="7">
        <f ca="1">IFERROR(__xludf.DUMMYFUNCTION("""COMPUTED_VALUE"""),476951.82205475)</f>
        <v>476951.82205475</v>
      </c>
    </row>
    <row r="2639" spans="1:8" ht="13" x14ac:dyDescent="0.15">
      <c r="A2639" s="5" t="str">
        <f ca="1">IFERROR(__xludf.DUMMYFUNCTION("""COMPUTED_VALUE"""),"46220")</f>
        <v>46220</v>
      </c>
      <c r="B2639" s="51">
        <f ca="1">IFERROR(__xludf.DUMMYFUNCTION("""COMPUTED_VALUE"""),44610)</f>
        <v>44610</v>
      </c>
      <c r="C2639" s="22">
        <f ca="1">IFERROR(__xludf.DUMMYFUNCTION("""COMPUTED_VALUE"""),-197277.380182)</f>
        <v>-197277.38018199999</v>
      </c>
      <c r="D2639" s="22">
        <f ca="1">IFERROR(__xludf.DUMMYFUNCTION("""COMPUTED_VALUE"""),664449.391927499)</f>
        <v>664449.39192749897</v>
      </c>
      <c r="E2639" s="22">
        <f ca="1">IFERROR(__xludf.DUMMYFUNCTION("""COMPUTED_VALUE"""),467172.011745499)</f>
        <v>467172.01174549898</v>
      </c>
      <c r="F2639" s="22">
        <f ca="1">IFERROR(__xludf.DUMMYFUNCTION("""COMPUTED_VALUE"""),-197277.380182)</f>
        <v>-197277.38018199999</v>
      </c>
      <c r="G2639" s="22">
        <f ca="1">IFERROR(__xludf.DUMMYFUNCTION("""COMPUTED_VALUE"""),197277.380182)</f>
        <v>197277.38018199999</v>
      </c>
      <c r="H2639" s="7">
        <f ca="1">IFERROR(__xludf.DUMMYFUNCTION("""COMPUTED_VALUE"""),467172.011745499)</f>
        <v>467172.01174549898</v>
      </c>
    </row>
    <row r="2640" spans="1:8" ht="13" x14ac:dyDescent="0.15">
      <c r="A2640" s="5" t="str">
        <f ca="1">IFERROR(__xludf.DUMMYFUNCTION("""COMPUTED_VALUE"""),"46220")</f>
        <v>46220</v>
      </c>
      <c r="B2640" s="51">
        <f ca="1">IFERROR(__xludf.DUMMYFUNCTION("""COMPUTED_VALUE"""),44611)</f>
        <v>44611</v>
      </c>
      <c r="C2640" s="22">
        <f ca="1">IFERROR(__xludf.DUMMYFUNCTION("""COMPUTED_VALUE"""),-197277.380182)</f>
        <v>-197277.38018199999</v>
      </c>
      <c r="D2640" s="22">
        <f ca="1">IFERROR(__xludf.DUMMYFUNCTION("""COMPUTED_VALUE"""),664449.391927499)</f>
        <v>664449.39192749897</v>
      </c>
      <c r="E2640" s="22">
        <f ca="1">IFERROR(__xludf.DUMMYFUNCTION("""COMPUTED_VALUE"""),467172.011745499)</f>
        <v>467172.01174549898</v>
      </c>
      <c r="F2640" s="22">
        <f ca="1">IFERROR(__xludf.DUMMYFUNCTION("""COMPUTED_VALUE"""),-197277.380182)</f>
        <v>-197277.38018199999</v>
      </c>
      <c r="G2640" s="22">
        <f ca="1">IFERROR(__xludf.DUMMYFUNCTION("""COMPUTED_VALUE"""),197277.380182)</f>
        <v>197277.38018199999</v>
      </c>
      <c r="H2640" s="7">
        <f ca="1">IFERROR(__xludf.DUMMYFUNCTION("""COMPUTED_VALUE"""),467172.011745499)</f>
        <v>467172.01174549898</v>
      </c>
    </row>
    <row r="2641" spans="1:8" ht="13" x14ac:dyDescent="0.15">
      <c r="A2641" s="5" t="str">
        <f ca="1">IFERROR(__xludf.DUMMYFUNCTION("""COMPUTED_VALUE"""),"46220")</f>
        <v>46220</v>
      </c>
      <c r="B2641" s="51">
        <f ca="1">IFERROR(__xludf.DUMMYFUNCTION("""COMPUTED_VALUE"""),44612)</f>
        <v>44612</v>
      </c>
      <c r="C2641" s="22">
        <f ca="1">IFERROR(__xludf.DUMMYFUNCTION("""COMPUTED_VALUE"""),-197277.380182)</f>
        <v>-197277.38018199999</v>
      </c>
      <c r="D2641" s="22">
        <f ca="1">IFERROR(__xludf.DUMMYFUNCTION("""COMPUTED_VALUE"""),664426.81916125)</f>
        <v>664426.81916125002</v>
      </c>
      <c r="E2641" s="22">
        <f ca="1">IFERROR(__xludf.DUMMYFUNCTION("""COMPUTED_VALUE"""),467149.43897925)</f>
        <v>467149.43897924997</v>
      </c>
      <c r="F2641" s="22">
        <f ca="1">IFERROR(__xludf.DUMMYFUNCTION("""COMPUTED_VALUE"""),-197277.380182)</f>
        <v>-197277.38018199999</v>
      </c>
      <c r="G2641" s="22">
        <f ca="1">IFERROR(__xludf.DUMMYFUNCTION("""COMPUTED_VALUE"""),197277.380182)</f>
        <v>197277.38018199999</v>
      </c>
      <c r="H2641" s="7">
        <f ca="1">IFERROR(__xludf.DUMMYFUNCTION("""COMPUTED_VALUE"""),467149.43897925)</f>
        <v>467149.43897924997</v>
      </c>
    </row>
    <row r="2642" spans="1:8" ht="13" x14ac:dyDescent="0.15">
      <c r="A2642" s="5" t="str">
        <f ca="1">IFERROR(__xludf.DUMMYFUNCTION("""COMPUTED_VALUE"""),"46220")</f>
        <v>46220</v>
      </c>
      <c r="B2642" s="51">
        <f ca="1">IFERROR(__xludf.DUMMYFUNCTION("""COMPUTED_VALUE"""),44613)</f>
        <v>44613</v>
      </c>
      <c r="C2642" s="22">
        <f ca="1">IFERROR(__xludf.DUMMYFUNCTION("""COMPUTED_VALUE"""),-197277.380182)</f>
        <v>-197277.38018199999</v>
      </c>
      <c r="D2642" s="22">
        <f ca="1">IFERROR(__xludf.DUMMYFUNCTION("""COMPUTED_VALUE"""),664491.556151249)</f>
        <v>664491.55615124898</v>
      </c>
      <c r="E2642" s="22">
        <f ca="1">IFERROR(__xludf.DUMMYFUNCTION("""COMPUTED_VALUE"""),467214.175969249)</f>
        <v>467214.17596924899</v>
      </c>
      <c r="F2642" s="22">
        <f ca="1">IFERROR(__xludf.DUMMYFUNCTION("""COMPUTED_VALUE"""),-197277.380182)</f>
        <v>-197277.38018199999</v>
      </c>
      <c r="G2642" s="22">
        <f ca="1">IFERROR(__xludf.DUMMYFUNCTION("""COMPUTED_VALUE"""),197277.380182)</f>
        <v>197277.38018199999</v>
      </c>
      <c r="H2642" s="7">
        <f ca="1">IFERROR(__xludf.DUMMYFUNCTION("""COMPUTED_VALUE"""),467214.175969249)</f>
        <v>467214.17596924899</v>
      </c>
    </row>
    <row r="2643" spans="1:8" ht="13" x14ac:dyDescent="0.15">
      <c r="A2643" s="5" t="str">
        <f ca="1">IFERROR(__xludf.DUMMYFUNCTION("""COMPUTED_VALUE"""),"46220")</f>
        <v>46220</v>
      </c>
      <c r="B2643" s="51">
        <f ca="1">IFERROR(__xludf.DUMMYFUNCTION("""COMPUTED_VALUE"""),44614)</f>
        <v>44614</v>
      </c>
      <c r="C2643" s="22">
        <f ca="1">IFERROR(__xludf.DUMMYFUNCTION("""COMPUTED_VALUE"""),-197277.380182)</f>
        <v>-197277.38018199999</v>
      </c>
      <c r="D2643" s="22">
        <f ca="1">IFERROR(__xludf.DUMMYFUNCTION("""COMPUTED_VALUE"""),653597.4575625)</f>
        <v>653597.45756250003</v>
      </c>
      <c r="E2643" s="22">
        <f ca="1">IFERROR(__xludf.DUMMYFUNCTION("""COMPUTED_VALUE"""),456320.0773805)</f>
        <v>456320.07738049998</v>
      </c>
      <c r="F2643" s="22">
        <f ca="1">IFERROR(__xludf.DUMMYFUNCTION("""COMPUTED_VALUE"""),-197277.380182)</f>
        <v>-197277.38018199999</v>
      </c>
      <c r="G2643" s="22">
        <f ca="1">IFERROR(__xludf.DUMMYFUNCTION("""COMPUTED_VALUE"""),197277.380182)</f>
        <v>197277.38018199999</v>
      </c>
      <c r="H2643" s="7">
        <f ca="1">IFERROR(__xludf.DUMMYFUNCTION("""COMPUTED_VALUE"""),456320.0773805)</f>
        <v>456320.07738049998</v>
      </c>
    </row>
    <row r="2644" spans="1:8" ht="13" x14ac:dyDescent="0.15">
      <c r="A2644" s="5" t="str">
        <f ca="1">IFERROR(__xludf.DUMMYFUNCTION("""COMPUTED_VALUE"""),"46220")</f>
        <v>46220</v>
      </c>
      <c r="B2644" s="51">
        <f ca="1">IFERROR(__xludf.DUMMYFUNCTION("""COMPUTED_VALUE"""),44615)</f>
        <v>44615</v>
      </c>
      <c r="C2644" s="22">
        <f ca="1">IFERROR(__xludf.DUMMYFUNCTION("""COMPUTED_VALUE"""),-200102.953082)</f>
        <v>-200102.95308199999</v>
      </c>
      <c r="D2644" s="22">
        <f ca="1">IFERROR(__xludf.DUMMYFUNCTION("""COMPUTED_VALUE"""),640520.3005425)</f>
        <v>640520.30054249999</v>
      </c>
      <c r="E2644" s="22">
        <f ca="1">IFERROR(__xludf.DUMMYFUNCTION("""COMPUTED_VALUE"""),440417.347460499)</f>
        <v>440417.34746049898</v>
      </c>
      <c r="F2644" s="22">
        <f ca="1">IFERROR(__xludf.DUMMYFUNCTION("""COMPUTED_VALUE"""),-200102.953082)</f>
        <v>-200102.95308199999</v>
      </c>
      <c r="G2644" s="22">
        <f ca="1">IFERROR(__xludf.DUMMYFUNCTION("""COMPUTED_VALUE"""),200102.953082)</f>
        <v>200102.95308199999</v>
      </c>
      <c r="H2644" s="7">
        <f ca="1">IFERROR(__xludf.DUMMYFUNCTION("""COMPUTED_VALUE"""),440417.347460499)</f>
        <v>440417.34746049898</v>
      </c>
    </row>
    <row r="2645" spans="1:8" ht="13" x14ac:dyDescent="0.15">
      <c r="A2645" s="5" t="str">
        <f ca="1">IFERROR(__xludf.DUMMYFUNCTION("""COMPUTED_VALUE"""),"46220")</f>
        <v>46220</v>
      </c>
      <c r="B2645" s="51">
        <f ca="1">IFERROR(__xludf.DUMMYFUNCTION("""COMPUTED_VALUE"""),44616)</f>
        <v>44616</v>
      </c>
      <c r="C2645" s="22">
        <f ca="1">IFERROR(__xludf.DUMMYFUNCTION("""COMPUTED_VALUE"""),-200102.953082)</f>
        <v>-200102.95308199999</v>
      </c>
      <c r="D2645" s="22">
        <f ca="1">IFERROR(__xludf.DUMMYFUNCTION("""COMPUTED_VALUE"""),668200.518175)</f>
        <v>668200.51817499998</v>
      </c>
      <c r="E2645" s="22">
        <f ca="1">IFERROR(__xludf.DUMMYFUNCTION("""COMPUTED_VALUE"""),468097.565092999)</f>
        <v>468097.56509299902</v>
      </c>
      <c r="F2645" s="22">
        <f ca="1">IFERROR(__xludf.DUMMYFUNCTION("""COMPUTED_VALUE"""),-200102.953082)</f>
        <v>-200102.95308199999</v>
      </c>
      <c r="G2645" s="22">
        <f ca="1">IFERROR(__xludf.DUMMYFUNCTION("""COMPUTED_VALUE"""),200102.953082)</f>
        <v>200102.95308199999</v>
      </c>
      <c r="H2645" s="7">
        <f ca="1">IFERROR(__xludf.DUMMYFUNCTION("""COMPUTED_VALUE"""),468097.565092999)</f>
        <v>468097.56509299902</v>
      </c>
    </row>
    <row r="2646" spans="1:8" ht="13" x14ac:dyDescent="0.15">
      <c r="A2646" s="5" t="str">
        <f ca="1">IFERROR(__xludf.DUMMYFUNCTION("""COMPUTED_VALUE"""),"46220")</f>
        <v>46220</v>
      </c>
      <c r="B2646" s="51">
        <f ca="1">IFERROR(__xludf.DUMMYFUNCTION("""COMPUTED_VALUE"""),44617)</f>
        <v>44617</v>
      </c>
      <c r="C2646" s="22">
        <f ca="1">IFERROR(__xludf.DUMMYFUNCTION("""COMPUTED_VALUE"""),-200102.953082)</f>
        <v>-200102.95308199999</v>
      </c>
      <c r="D2646" s="22">
        <f ca="1">IFERROR(__xludf.DUMMYFUNCTION("""COMPUTED_VALUE"""),676554.09015775)</f>
        <v>676554.09015774995</v>
      </c>
      <c r="E2646" s="22">
        <f ca="1">IFERROR(__xludf.DUMMYFUNCTION("""COMPUTED_VALUE"""),476451.137075749)</f>
        <v>476451.13707574899</v>
      </c>
      <c r="F2646" s="22">
        <f ca="1">IFERROR(__xludf.DUMMYFUNCTION("""COMPUTED_VALUE"""),-200102.953082)</f>
        <v>-200102.95308199999</v>
      </c>
      <c r="G2646" s="22">
        <f ca="1">IFERROR(__xludf.DUMMYFUNCTION("""COMPUTED_VALUE"""),200102.953082)</f>
        <v>200102.95308199999</v>
      </c>
      <c r="H2646" s="7">
        <f ca="1">IFERROR(__xludf.DUMMYFUNCTION("""COMPUTED_VALUE"""),476451.137075749)</f>
        <v>476451.13707574899</v>
      </c>
    </row>
    <row r="2647" spans="1:8" ht="13" x14ac:dyDescent="0.15">
      <c r="A2647" s="5" t="str">
        <f ca="1">IFERROR(__xludf.DUMMYFUNCTION("""COMPUTED_VALUE"""),"46220")</f>
        <v>46220</v>
      </c>
      <c r="B2647" s="51">
        <f ca="1">IFERROR(__xludf.DUMMYFUNCTION("""COMPUTED_VALUE"""),44618)</f>
        <v>44618</v>
      </c>
      <c r="C2647" s="22">
        <f ca="1">IFERROR(__xludf.DUMMYFUNCTION("""COMPUTED_VALUE"""),-200102.953082)</f>
        <v>-200102.95308199999</v>
      </c>
      <c r="D2647" s="22">
        <f ca="1">IFERROR(__xludf.DUMMYFUNCTION("""COMPUTED_VALUE"""),676567.08682525)</f>
        <v>676567.08682524995</v>
      </c>
      <c r="E2647" s="22">
        <f ca="1">IFERROR(__xludf.DUMMYFUNCTION("""COMPUTED_VALUE"""),476464.133743249)</f>
        <v>476464.133743249</v>
      </c>
      <c r="F2647" s="22">
        <f ca="1">IFERROR(__xludf.DUMMYFUNCTION("""COMPUTED_VALUE"""),-200102.953082)</f>
        <v>-200102.95308199999</v>
      </c>
      <c r="G2647" s="22">
        <f ca="1">IFERROR(__xludf.DUMMYFUNCTION("""COMPUTED_VALUE"""),200102.953082)</f>
        <v>200102.95308199999</v>
      </c>
      <c r="H2647" s="7">
        <f ca="1">IFERROR(__xludf.DUMMYFUNCTION("""COMPUTED_VALUE"""),476464.133743249)</f>
        <v>476464.133743249</v>
      </c>
    </row>
    <row r="2648" spans="1:8" ht="13" x14ac:dyDescent="0.15">
      <c r="A2648" s="5" t="str">
        <f ca="1">IFERROR(__xludf.DUMMYFUNCTION("""COMPUTED_VALUE"""),"46220")</f>
        <v>46220</v>
      </c>
      <c r="B2648" s="51">
        <f ca="1">IFERROR(__xludf.DUMMYFUNCTION("""COMPUTED_VALUE"""),44619)</f>
        <v>44619</v>
      </c>
      <c r="C2648" s="22">
        <f ca="1">IFERROR(__xludf.DUMMYFUNCTION("""COMPUTED_VALUE"""),-200102.953082)</f>
        <v>-200102.95308199999</v>
      </c>
      <c r="D2648" s="22">
        <f ca="1">IFERROR(__xludf.DUMMYFUNCTION("""COMPUTED_VALUE"""),676537.194489999)</f>
        <v>676537.19448999898</v>
      </c>
      <c r="E2648" s="22">
        <f ca="1">IFERROR(__xludf.DUMMYFUNCTION("""COMPUTED_VALUE"""),476434.241407999)</f>
        <v>476434.24140799901</v>
      </c>
      <c r="F2648" s="22">
        <f ca="1">IFERROR(__xludf.DUMMYFUNCTION("""COMPUTED_VALUE"""),-200102.953082)</f>
        <v>-200102.95308199999</v>
      </c>
      <c r="G2648" s="22">
        <f ca="1">IFERROR(__xludf.DUMMYFUNCTION("""COMPUTED_VALUE"""),200102.953082)</f>
        <v>200102.95308199999</v>
      </c>
      <c r="H2648" s="7">
        <f ca="1">IFERROR(__xludf.DUMMYFUNCTION("""COMPUTED_VALUE"""),476434.241407999)</f>
        <v>476434.24140799901</v>
      </c>
    </row>
    <row r="2649" spans="1:8" ht="13" x14ac:dyDescent="0.15">
      <c r="A2649" s="5" t="str">
        <f ca="1">IFERROR(__xludf.DUMMYFUNCTION("""COMPUTED_VALUE"""),"46220")</f>
        <v>46220</v>
      </c>
      <c r="B2649" s="51">
        <f ca="1">IFERROR(__xludf.DUMMYFUNCTION("""COMPUTED_VALUE"""),44620)</f>
        <v>44620</v>
      </c>
      <c r="C2649" s="22">
        <f ca="1">IFERROR(__xludf.DUMMYFUNCTION("""COMPUTED_VALUE"""),-200102.953082)</f>
        <v>-200102.95308199999</v>
      </c>
      <c r="D2649" s="22">
        <f ca="1">IFERROR(__xludf.DUMMYFUNCTION("""COMPUTED_VALUE"""),686018.565965)</f>
        <v>686018.56596499996</v>
      </c>
      <c r="E2649" s="22">
        <f ca="1">IFERROR(__xludf.DUMMYFUNCTION("""COMPUTED_VALUE"""),485915.612882999)</f>
        <v>485915.612882999</v>
      </c>
      <c r="F2649" s="22">
        <f ca="1">IFERROR(__xludf.DUMMYFUNCTION("""COMPUTED_VALUE"""),-200102.953082)</f>
        <v>-200102.95308199999</v>
      </c>
      <c r="G2649" s="22">
        <f ca="1">IFERROR(__xludf.DUMMYFUNCTION("""COMPUTED_VALUE"""),200102.953082)</f>
        <v>200102.95308199999</v>
      </c>
      <c r="H2649" s="7">
        <f ca="1">IFERROR(__xludf.DUMMYFUNCTION("""COMPUTED_VALUE"""),485915.612882999)</f>
        <v>485915.612882999</v>
      </c>
    </row>
    <row r="2650" spans="1:8" ht="13" x14ac:dyDescent="0.15">
      <c r="A2650" s="5" t="str">
        <f ca="1">IFERROR(__xludf.DUMMYFUNCTION("""COMPUTED_VALUE"""),"46220")</f>
        <v>46220</v>
      </c>
      <c r="B2650" s="51">
        <f ca="1">IFERROR(__xludf.DUMMYFUNCTION("""COMPUTED_VALUE"""),44621)</f>
        <v>44621</v>
      </c>
      <c r="C2650" s="22">
        <f ca="1">IFERROR(__xludf.DUMMYFUNCTION("""COMPUTED_VALUE"""),-200102.953082)</f>
        <v>-200102.95308199999</v>
      </c>
      <c r="D2650" s="22">
        <f ca="1">IFERROR(__xludf.DUMMYFUNCTION("""COMPUTED_VALUE"""),678686.990336)</f>
        <v>678686.99033599999</v>
      </c>
      <c r="E2650" s="22">
        <f ca="1">IFERROR(__xludf.DUMMYFUNCTION("""COMPUTED_VALUE"""),478584.037254)</f>
        <v>478584.03725400002</v>
      </c>
      <c r="F2650" s="22">
        <f ca="1">IFERROR(__xludf.DUMMYFUNCTION("""COMPUTED_VALUE"""),-200102.953082)</f>
        <v>-200102.95308199999</v>
      </c>
      <c r="G2650" s="22">
        <f ca="1">IFERROR(__xludf.DUMMYFUNCTION("""COMPUTED_VALUE"""),200102.953082)</f>
        <v>200102.95308199999</v>
      </c>
      <c r="H2650" s="7">
        <f ca="1">IFERROR(__xludf.DUMMYFUNCTION("""COMPUTED_VALUE"""),478584.037253999)</f>
        <v>478584.03725399898</v>
      </c>
    </row>
    <row r="2651" spans="1:8" ht="13" x14ac:dyDescent="0.15">
      <c r="A2651" s="5" t="str">
        <f ca="1">IFERROR(__xludf.DUMMYFUNCTION("""COMPUTED_VALUE"""),"46220")</f>
        <v>46220</v>
      </c>
      <c r="B2651" s="51">
        <f ca="1">IFERROR(__xludf.DUMMYFUNCTION("""COMPUTED_VALUE"""),44622)</f>
        <v>44622</v>
      </c>
      <c r="C2651" s="22">
        <f ca="1">IFERROR(__xludf.DUMMYFUNCTION("""COMPUTED_VALUE"""),-200102.953082)</f>
        <v>-200102.95308199999</v>
      </c>
      <c r="D2651" s="22">
        <f ca="1">IFERROR(__xludf.DUMMYFUNCTION("""COMPUTED_VALUE"""),682425.4627875)</f>
        <v>682425.4627875</v>
      </c>
      <c r="E2651" s="22">
        <f ca="1">IFERROR(__xludf.DUMMYFUNCTION("""COMPUTED_VALUE"""),482322.5097055)</f>
        <v>482322.50970549998</v>
      </c>
      <c r="F2651" s="22">
        <f ca="1">IFERROR(__xludf.DUMMYFUNCTION("""COMPUTED_VALUE"""),-200102.953082)</f>
        <v>-200102.95308199999</v>
      </c>
      <c r="G2651" s="22">
        <f ca="1">IFERROR(__xludf.DUMMYFUNCTION("""COMPUTED_VALUE"""),200102.953082)</f>
        <v>200102.95308199999</v>
      </c>
      <c r="H2651" s="7">
        <f ca="1">IFERROR(__xludf.DUMMYFUNCTION("""COMPUTED_VALUE"""),482322.5097055)</f>
        <v>482322.50970549998</v>
      </c>
    </row>
    <row r="2652" spans="1:8" ht="13" x14ac:dyDescent="0.15">
      <c r="A2652" s="5" t="str">
        <f ca="1">IFERROR(__xludf.DUMMYFUNCTION("""COMPUTED_VALUE"""),"46220")</f>
        <v>46220</v>
      </c>
      <c r="B2652" s="51">
        <f ca="1">IFERROR(__xludf.DUMMYFUNCTION("""COMPUTED_VALUE"""),44623)</f>
        <v>44623</v>
      </c>
      <c r="C2652" s="22">
        <f ca="1">IFERROR(__xludf.DUMMYFUNCTION("""COMPUTED_VALUE"""),-200102.953082)</f>
        <v>-200102.95308199999</v>
      </c>
      <c r="D2652" s="22">
        <f ca="1">IFERROR(__xludf.DUMMYFUNCTION("""COMPUTED_VALUE"""),671453.8116125)</f>
        <v>671453.81161249999</v>
      </c>
      <c r="E2652" s="22">
        <f ca="1">IFERROR(__xludf.DUMMYFUNCTION("""COMPUTED_VALUE"""),471350.8585305)</f>
        <v>471350.85853049997</v>
      </c>
      <c r="F2652" s="22">
        <f ca="1">IFERROR(__xludf.DUMMYFUNCTION("""COMPUTED_VALUE"""),-200102.953082)</f>
        <v>-200102.95308199999</v>
      </c>
      <c r="G2652" s="22">
        <f ca="1">IFERROR(__xludf.DUMMYFUNCTION("""COMPUTED_VALUE"""),200102.953082)</f>
        <v>200102.95308199999</v>
      </c>
      <c r="H2652" s="7">
        <f ca="1">IFERROR(__xludf.DUMMYFUNCTION("""COMPUTED_VALUE"""),471350.8585305)</f>
        <v>471350.85853049997</v>
      </c>
    </row>
    <row r="2653" spans="1:8" ht="13" x14ac:dyDescent="0.15">
      <c r="A2653" s="5" t="str">
        <f ca="1">IFERROR(__xludf.DUMMYFUNCTION("""COMPUTED_VALUE"""),"46220")</f>
        <v>46220</v>
      </c>
      <c r="B2653" s="51">
        <f ca="1">IFERROR(__xludf.DUMMYFUNCTION("""COMPUTED_VALUE"""),44624)</f>
        <v>44624</v>
      </c>
      <c r="C2653" s="22">
        <f ca="1">IFERROR(__xludf.DUMMYFUNCTION("""COMPUTED_VALUE"""),-200102.953082)</f>
        <v>-200102.95308199999</v>
      </c>
      <c r="D2653" s="22">
        <f ca="1">IFERROR(__xludf.DUMMYFUNCTION("""COMPUTED_VALUE"""),661212.335052)</f>
        <v>661212.33505200001</v>
      </c>
      <c r="E2653" s="22">
        <f ca="1">IFERROR(__xludf.DUMMYFUNCTION("""COMPUTED_VALUE"""),461109.38197)</f>
        <v>461109.38196999999</v>
      </c>
      <c r="F2653" s="22">
        <f ca="1">IFERROR(__xludf.DUMMYFUNCTION("""COMPUTED_VALUE"""),-200102.953082)</f>
        <v>-200102.95308199999</v>
      </c>
      <c r="G2653" s="22">
        <f ca="1">IFERROR(__xludf.DUMMYFUNCTION("""COMPUTED_VALUE"""),200102.953082)</f>
        <v>200102.95308199999</v>
      </c>
      <c r="H2653" s="7">
        <f ca="1">IFERROR(__xludf.DUMMYFUNCTION("""COMPUTED_VALUE"""),461109.38197)</f>
        <v>461109.38196999999</v>
      </c>
    </row>
    <row r="2654" spans="1:8" ht="13" x14ac:dyDescent="0.15">
      <c r="A2654" s="5" t="str">
        <f ca="1">IFERROR(__xludf.DUMMYFUNCTION("""COMPUTED_VALUE"""),"46220")</f>
        <v>46220</v>
      </c>
      <c r="B2654" s="51">
        <f ca="1">IFERROR(__xludf.DUMMYFUNCTION("""COMPUTED_VALUE"""),44625)</f>
        <v>44625</v>
      </c>
      <c r="C2654" s="22">
        <f ca="1">IFERROR(__xludf.DUMMYFUNCTION("""COMPUTED_VALUE"""),-200102.953082)</f>
        <v>-200102.95308199999</v>
      </c>
      <c r="D2654" s="22">
        <f ca="1">IFERROR(__xludf.DUMMYFUNCTION("""COMPUTED_VALUE"""),661212.335052)</f>
        <v>661212.33505200001</v>
      </c>
      <c r="E2654" s="22">
        <f ca="1">IFERROR(__xludf.DUMMYFUNCTION("""COMPUTED_VALUE"""),461109.38197)</f>
        <v>461109.38196999999</v>
      </c>
      <c r="F2654" s="22">
        <f ca="1">IFERROR(__xludf.DUMMYFUNCTION("""COMPUTED_VALUE"""),-200102.953082)</f>
        <v>-200102.95308199999</v>
      </c>
      <c r="G2654" s="22">
        <f ca="1">IFERROR(__xludf.DUMMYFUNCTION("""COMPUTED_VALUE"""),200102.953082)</f>
        <v>200102.95308199999</v>
      </c>
      <c r="H2654" s="7">
        <f ca="1">IFERROR(__xludf.DUMMYFUNCTION("""COMPUTED_VALUE"""),461109.38197)</f>
        <v>461109.38196999999</v>
      </c>
    </row>
    <row r="2655" spans="1:8" ht="13" x14ac:dyDescent="0.15">
      <c r="A2655" s="5" t="str">
        <f ca="1">IFERROR(__xludf.DUMMYFUNCTION("""COMPUTED_VALUE"""),"46220")</f>
        <v>46220</v>
      </c>
      <c r="B2655" s="51">
        <f ca="1">IFERROR(__xludf.DUMMYFUNCTION("""COMPUTED_VALUE"""),44626)</f>
        <v>44626</v>
      </c>
      <c r="C2655" s="22">
        <f ca="1">IFERROR(__xludf.DUMMYFUNCTION("""COMPUTED_VALUE"""),-200102.953082)</f>
        <v>-200102.95308199999</v>
      </c>
      <c r="D2655" s="22">
        <f ca="1">IFERROR(__xludf.DUMMYFUNCTION("""COMPUTED_VALUE"""),661303.2971445)</f>
        <v>661303.29714449996</v>
      </c>
      <c r="E2655" s="22">
        <f ca="1">IFERROR(__xludf.DUMMYFUNCTION("""COMPUTED_VALUE"""),461200.3440625)</f>
        <v>461200.34406249999</v>
      </c>
      <c r="F2655" s="22">
        <f ca="1">IFERROR(__xludf.DUMMYFUNCTION("""COMPUTED_VALUE"""),-200102.953082)</f>
        <v>-200102.95308199999</v>
      </c>
      <c r="G2655" s="22">
        <f ca="1">IFERROR(__xludf.DUMMYFUNCTION("""COMPUTED_VALUE"""),200102.953082)</f>
        <v>200102.95308199999</v>
      </c>
      <c r="H2655" s="7">
        <f ca="1">IFERROR(__xludf.DUMMYFUNCTION("""COMPUTED_VALUE"""),461200.3440625)</f>
        <v>461200.34406249999</v>
      </c>
    </row>
    <row r="2656" spans="1:8" ht="13" x14ac:dyDescent="0.15">
      <c r="A2656" s="5" t="str">
        <f ca="1">IFERROR(__xludf.DUMMYFUNCTION("""COMPUTED_VALUE"""),"46220")</f>
        <v>46220</v>
      </c>
      <c r="B2656" s="51">
        <f ca="1">IFERROR(__xludf.DUMMYFUNCTION("""COMPUTED_VALUE"""),44627)</f>
        <v>44627</v>
      </c>
      <c r="C2656" s="22">
        <f ca="1">IFERROR(__xludf.DUMMYFUNCTION("""COMPUTED_VALUE"""),-200102.953082)</f>
        <v>-200102.95308199999</v>
      </c>
      <c r="D2656" s="22">
        <f ca="1">IFERROR(__xludf.DUMMYFUNCTION("""COMPUTED_VALUE"""),632617.2540925)</f>
        <v>632617.25409249996</v>
      </c>
      <c r="E2656" s="22">
        <f ca="1">IFERROR(__xludf.DUMMYFUNCTION("""COMPUTED_VALUE"""),432514.301010499)</f>
        <v>432514.30101049901</v>
      </c>
      <c r="F2656" s="22">
        <f ca="1">IFERROR(__xludf.DUMMYFUNCTION("""COMPUTED_VALUE"""),-200102.953082)</f>
        <v>-200102.95308199999</v>
      </c>
      <c r="G2656" s="22">
        <f ca="1">IFERROR(__xludf.DUMMYFUNCTION("""COMPUTED_VALUE"""),200102.953082)</f>
        <v>200102.95308199999</v>
      </c>
      <c r="H2656" s="7">
        <f ca="1">IFERROR(__xludf.DUMMYFUNCTION("""COMPUTED_VALUE"""),432514.301010499)</f>
        <v>432514.30101049901</v>
      </c>
    </row>
    <row r="2657" spans="1:8" ht="13" x14ac:dyDescent="0.15">
      <c r="A2657" s="5" t="str">
        <f ca="1">IFERROR(__xludf.DUMMYFUNCTION("""COMPUTED_VALUE"""),"46220")</f>
        <v>46220</v>
      </c>
      <c r="B2657" s="51">
        <f ca="1">IFERROR(__xludf.DUMMYFUNCTION("""COMPUTED_VALUE"""),44628)</f>
        <v>44628</v>
      </c>
      <c r="C2657" s="22">
        <f ca="1">IFERROR(__xludf.DUMMYFUNCTION("""COMPUTED_VALUE"""),-200102.953082)</f>
        <v>-200102.95308199999</v>
      </c>
      <c r="D2657" s="22">
        <f ca="1">IFERROR(__xludf.DUMMYFUNCTION("""COMPUTED_VALUE"""),637549.44778125)</f>
        <v>637549.44778125</v>
      </c>
      <c r="E2657" s="22">
        <f ca="1">IFERROR(__xludf.DUMMYFUNCTION("""COMPUTED_VALUE"""),437446.49469925)</f>
        <v>437446.49469924998</v>
      </c>
      <c r="F2657" s="22">
        <f ca="1">IFERROR(__xludf.DUMMYFUNCTION("""COMPUTED_VALUE"""),-200102.953082)</f>
        <v>-200102.95308199999</v>
      </c>
      <c r="G2657" s="22">
        <f ca="1">IFERROR(__xludf.DUMMYFUNCTION("""COMPUTED_VALUE"""),200102.953082)</f>
        <v>200102.95308199999</v>
      </c>
      <c r="H2657" s="7">
        <f ca="1">IFERROR(__xludf.DUMMYFUNCTION("""COMPUTED_VALUE"""),437446.49469925)</f>
        <v>437446.49469924998</v>
      </c>
    </row>
    <row r="2658" spans="1:8" ht="13" x14ac:dyDescent="0.15">
      <c r="A2658" s="5" t="str">
        <f ca="1">IFERROR(__xludf.DUMMYFUNCTION("""COMPUTED_VALUE"""),"46220")</f>
        <v>46220</v>
      </c>
      <c r="B2658" s="51">
        <f ca="1">IFERROR(__xludf.DUMMYFUNCTION("""COMPUTED_VALUE"""),44629)</f>
        <v>44629</v>
      </c>
      <c r="C2658" s="22">
        <f ca="1">IFERROR(__xludf.DUMMYFUNCTION("""COMPUTED_VALUE"""),-200102.953082)</f>
        <v>-200102.95308199999</v>
      </c>
      <c r="D2658" s="22">
        <f ca="1">IFERROR(__xludf.DUMMYFUNCTION("""COMPUTED_VALUE"""),668147.8188)</f>
        <v>668147.81880000001</v>
      </c>
      <c r="E2658" s="22">
        <f ca="1">IFERROR(__xludf.DUMMYFUNCTION("""COMPUTED_VALUE"""),468044.865718)</f>
        <v>468044.86571799999</v>
      </c>
      <c r="F2658" s="22">
        <f ca="1">IFERROR(__xludf.DUMMYFUNCTION("""COMPUTED_VALUE"""),-200102.953082)</f>
        <v>-200102.95308199999</v>
      </c>
      <c r="G2658" s="22">
        <f ca="1">IFERROR(__xludf.DUMMYFUNCTION("""COMPUTED_VALUE"""),200102.953082)</f>
        <v>200102.95308199999</v>
      </c>
      <c r="H2658" s="7">
        <f ca="1">IFERROR(__xludf.DUMMYFUNCTION("""COMPUTED_VALUE"""),468044.865718)</f>
        <v>468044.86571799999</v>
      </c>
    </row>
    <row r="2659" spans="1:8" ht="13" x14ac:dyDescent="0.15">
      <c r="A2659" s="5" t="str">
        <f ca="1">IFERROR(__xludf.DUMMYFUNCTION("""COMPUTED_VALUE"""),"46220")</f>
        <v>46220</v>
      </c>
      <c r="B2659" s="51">
        <f ca="1">IFERROR(__xludf.DUMMYFUNCTION("""COMPUTED_VALUE"""),44630)</f>
        <v>44630</v>
      </c>
      <c r="C2659" s="22">
        <f ca="1">IFERROR(__xludf.DUMMYFUNCTION("""COMPUTED_VALUE"""),-200102.953082)</f>
        <v>-200102.95308199999</v>
      </c>
      <c r="D2659" s="22">
        <f ca="1">IFERROR(__xludf.DUMMYFUNCTION("""COMPUTED_VALUE"""),667296.5367075)</f>
        <v>667296.5367075</v>
      </c>
      <c r="E2659" s="22">
        <f ca="1">IFERROR(__xludf.DUMMYFUNCTION("""COMPUTED_VALUE"""),467193.5836255)</f>
        <v>467193.58362549997</v>
      </c>
      <c r="F2659" s="22">
        <f ca="1">IFERROR(__xludf.DUMMYFUNCTION("""COMPUTED_VALUE"""),-200102.953082)</f>
        <v>-200102.95308199999</v>
      </c>
      <c r="G2659" s="22">
        <f ca="1">IFERROR(__xludf.DUMMYFUNCTION("""COMPUTED_VALUE"""),200102.953082)</f>
        <v>200102.95308199999</v>
      </c>
      <c r="H2659" s="7">
        <f ca="1">IFERROR(__xludf.DUMMYFUNCTION("""COMPUTED_VALUE"""),467193.5836255)</f>
        <v>467193.58362549997</v>
      </c>
    </row>
    <row r="2660" spans="1:8" ht="13" x14ac:dyDescent="0.15">
      <c r="A2660" s="5" t="str">
        <f ca="1">IFERROR(__xludf.DUMMYFUNCTION("""COMPUTED_VALUE"""),"46220")</f>
        <v>46220</v>
      </c>
      <c r="B2660" s="51">
        <f ca="1">IFERROR(__xludf.DUMMYFUNCTION("""COMPUTED_VALUE"""),44631)</f>
        <v>44631</v>
      </c>
      <c r="C2660" s="22">
        <f ca="1">IFERROR(__xludf.DUMMYFUNCTION("""COMPUTED_VALUE"""),-200102.953082)</f>
        <v>-200102.95308199999</v>
      </c>
      <c r="D2660" s="22">
        <f ca="1">IFERROR(__xludf.DUMMYFUNCTION("""COMPUTED_VALUE"""),642762.01955)</f>
        <v>642762.01954999997</v>
      </c>
      <c r="E2660" s="22">
        <f ca="1">IFERROR(__xludf.DUMMYFUNCTION("""COMPUTED_VALUE"""),442659.066468)</f>
        <v>442659.066468</v>
      </c>
      <c r="F2660" s="22">
        <f ca="1">IFERROR(__xludf.DUMMYFUNCTION("""COMPUTED_VALUE"""),-200102.953082)</f>
        <v>-200102.95308199999</v>
      </c>
      <c r="G2660" s="22">
        <f ca="1">IFERROR(__xludf.DUMMYFUNCTION("""COMPUTED_VALUE"""),200102.953082)</f>
        <v>200102.95308199999</v>
      </c>
      <c r="H2660" s="7">
        <f ca="1">IFERROR(__xludf.DUMMYFUNCTION("""COMPUTED_VALUE"""),442659.066468)</f>
        <v>442659.066468</v>
      </c>
    </row>
    <row r="2661" spans="1:8" ht="13" x14ac:dyDescent="0.15">
      <c r="A2661" s="5" t="str">
        <f ca="1">IFERROR(__xludf.DUMMYFUNCTION("""COMPUTED_VALUE"""),"46220")</f>
        <v>46220</v>
      </c>
      <c r="B2661" s="51">
        <f ca="1">IFERROR(__xludf.DUMMYFUNCTION("""COMPUTED_VALUE"""),44632)</f>
        <v>44632</v>
      </c>
      <c r="C2661" s="22">
        <f ca="1">IFERROR(__xludf.DUMMYFUNCTION("""COMPUTED_VALUE"""),-200102.953082)</f>
        <v>-200102.95308199999</v>
      </c>
      <c r="D2661" s="22">
        <f ca="1">IFERROR(__xludf.DUMMYFUNCTION("""COMPUTED_VALUE"""),642762.01955)</f>
        <v>642762.01954999997</v>
      </c>
      <c r="E2661" s="22">
        <f ca="1">IFERROR(__xludf.DUMMYFUNCTION("""COMPUTED_VALUE"""),442659.066468)</f>
        <v>442659.066468</v>
      </c>
      <c r="F2661" s="22">
        <f ca="1">IFERROR(__xludf.DUMMYFUNCTION("""COMPUTED_VALUE"""),-200102.953082)</f>
        <v>-200102.95308199999</v>
      </c>
      <c r="G2661" s="22">
        <f ca="1">IFERROR(__xludf.DUMMYFUNCTION("""COMPUTED_VALUE"""),200102.953082)</f>
        <v>200102.95308199999</v>
      </c>
      <c r="H2661" s="7">
        <f ca="1">IFERROR(__xludf.DUMMYFUNCTION("""COMPUTED_VALUE"""),442659.066468)</f>
        <v>442659.066468</v>
      </c>
    </row>
    <row r="2662" spans="1:8" ht="13" x14ac:dyDescent="0.15">
      <c r="A2662" s="5" t="str">
        <f ca="1">IFERROR(__xludf.DUMMYFUNCTION("""COMPUTED_VALUE"""),"46220")</f>
        <v>46220</v>
      </c>
      <c r="B2662" s="51">
        <f ca="1">IFERROR(__xludf.DUMMYFUNCTION("""COMPUTED_VALUE"""),44633)</f>
        <v>44633</v>
      </c>
      <c r="C2662" s="22">
        <f ca="1">IFERROR(__xludf.DUMMYFUNCTION("""COMPUTED_VALUE"""),-200102.953082)</f>
        <v>-200102.95308199999</v>
      </c>
      <c r="D2662" s="22">
        <f ca="1">IFERROR(__xludf.DUMMYFUNCTION("""COMPUTED_VALUE"""),642707.015967)</f>
        <v>642707.01596700004</v>
      </c>
      <c r="E2662" s="22">
        <f ca="1">IFERROR(__xludf.DUMMYFUNCTION("""COMPUTED_VALUE"""),442604.062885)</f>
        <v>442604.06288500002</v>
      </c>
      <c r="F2662" s="22">
        <f ca="1">IFERROR(__xludf.DUMMYFUNCTION("""COMPUTED_VALUE"""),-200102.953082)</f>
        <v>-200102.95308199999</v>
      </c>
      <c r="G2662" s="22">
        <f ca="1">IFERROR(__xludf.DUMMYFUNCTION("""COMPUTED_VALUE"""),200102.953082)</f>
        <v>200102.95308199999</v>
      </c>
      <c r="H2662" s="7">
        <f ca="1">IFERROR(__xludf.DUMMYFUNCTION("""COMPUTED_VALUE"""),442604.062885)</f>
        <v>442604.06288500002</v>
      </c>
    </row>
    <row r="2663" spans="1:8" ht="13" x14ac:dyDescent="0.15">
      <c r="A2663" s="5" t="str">
        <f ca="1">IFERROR(__xludf.DUMMYFUNCTION("""COMPUTED_VALUE"""),"46220")</f>
        <v>46220</v>
      </c>
      <c r="B2663" s="51">
        <f ca="1">IFERROR(__xludf.DUMMYFUNCTION("""COMPUTED_VALUE"""),44634)</f>
        <v>44634</v>
      </c>
      <c r="C2663" s="22">
        <f ca="1">IFERROR(__xludf.DUMMYFUNCTION("""COMPUTED_VALUE"""),-200102.953082)</f>
        <v>-200102.95308199999</v>
      </c>
      <c r="D2663" s="22">
        <f ca="1">IFERROR(__xludf.DUMMYFUNCTION("""COMPUTED_VALUE"""),624838.7413125)</f>
        <v>624838.74131249997</v>
      </c>
      <c r="E2663" s="22">
        <f ca="1">IFERROR(__xludf.DUMMYFUNCTION("""COMPUTED_VALUE"""),424735.788230499)</f>
        <v>424735.78823049902</v>
      </c>
      <c r="F2663" s="22">
        <f ca="1">IFERROR(__xludf.DUMMYFUNCTION("""COMPUTED_VALUE"""),-200102.953082)</f>
        <v>-200102.95308199999</v>
      </c>
      <c r="G2663" s="22">
        <f ca="1">IFERROR(__xludf.DUMMYFUNCTION("""COMPUTED_VALUE"""),200102.953082)</f>
        <v>200102.95308199999</v>
      </c>
      <c r="H2663" s="7">
        <f ca="1">IFERROR(__xludf.DUMMYFUNCTION("""COMPUTED_VALUE"""),424735.788230499)</f>
        <v>424735.78823049902</v>
      </c>
    </row>
    <row r="2664" spans="1:8" ht="13" x14ac:dyDescent="0.15">
      <c r="A2664" s="5" t="str">
        <f ca="1">IFERROR(__xludf.DUMMYFUNCTION("""COMPUTED_VALUE"""),"46220")</f>
        <v>46220</v>
      </c>
      <c r="B2664" s="51">
        <f ca="1">IFERROR(__xludf.DUMMYFUNCTION("""COMPUTED_VALUE"""),44635)</f>
        <v>44635</v>
      </c>
      <c r="C2664" s="22">
        <f ca="1">IFERROR(__xludf.DUMMYFUNCTION("""COMPUTED_VALUE"""),-200102.953082)</f>
        <v>-200102.95308199999</v>
      </c>
      <c r="D2664" s="22">
        <f ca="1">IFERROR(__xludf.DUMMYFUNCTION("""COMPUTED_VALUE"""),642317.4777075)</f>
        <v>642317.47770749999</v>
      </c>
      <c r="E2664" s="22">
        <f ca="1">IFERROR(__xludf.DUMMYFUNCTION("""COMPUTED_VALUE"""),442214.524625499)</f>
        <v>442214.52462549898</v>
      </c>
      <c r="F2664" s="22">
        <f ca="1">IFERROR(__xludf.DUMMYFUNCTION("""COMPUTED_VALUE"""),-200102.953082)</f>
        <v>-200102.95308199999</v>
      </c>
      <c r="G2664" s="22">
        <f ca="1">IFERROR(__xludf.DUMMYFUNCTION("""COMPUTED_VALUE"""),200102.953082)</f>
        <v>200102.95308199999</v>
      </c>
      <c r="H2664" s="7">
        <f ca="1">IFERROR(__xludf.DUMMYFUNCTION("""COMPUTED_VALUE"""),442214.524625499)</f>
        <v>442214.52462549898</v>
      </c>
    </row>
    <row r="2665" spans="1:8" ht="13" x14ac:dyDescent="0.15">
      <c r="A2665" s="5" t="str">
        <f ca="1">IFERROR(__xludf.DUMMYFUNCTION("""COMPUTED_VALUE"""),"46220")</f>
        <v>46220</v>
      </c>
      <c r="B2665" s="51">
        <f ca="1">IFERROR(__xludf.DUMMYFUNCTION("""COMPUTED_VALUE"""),44636)</f>
        <v>44636</v>
      </c>
      <c r="C2665" s="22">
        <f ca="1">IFERROR(__xludf.DUMMYFUNCTION("""COMPUTED_VALUE"""),-200102.953082)</f>
        <v>-200102.95308199999</v>
      </c>
      <c r="D2665" s="22">
        <f ca="1">IFERROR(__xludf.DUMMYFUNCTION("""COMPUTED_VALUE"""),667240.332367499)</f>
        <v>667240.33236749901</v>
      </c>
      <c r="E2665" s="22">
        <f ca="1">IFERROR(__xludf.DUMMYFUNCTION("""COMPUTED_VALUE"""),467137.379285499)</f>
        <v>467137.37928549899</v>
      </c>
      <c r="F2665" s="22">
        <f ca="1">IFERROR(__xludf.DUMMYFUNCTION("""COMPUTED_VALUE"""),-200102.953082)</f>
        <v>-200102.95308199999</v>
      </c>
      <c r="G2665" s="22">
        <f ca="1">IFERROR(__xludf.DUMMYFUNCTION("""COMPUTED_VALUE"""),200102.953082)</f>
        <v>200102.95308199999</v>
      </c>
      <c r="H2665" s="7">
        <f ca="1">IFERROR(__xludf.DUMMYFUNCTION("""COMPUTED_VALUE"""),467137.379285499)</f>
        <v>467137.37928549899</v>
      </c>
    </row>
    <row r="2666" spans="1:8" ht="13" x14ac:dyDescent="0.15">
      <c r="A2666" s="5" t="str">
        <f ca="1">IFERROR(__xludf.DUMMYFUNCTION("""COMPUTED_VALUE"""),"46220")</f>
        <v>46220</v>
      </c>
      <c r="B2666" s="51">
        <f ca="1">IFERROR(__xludf.DUMMYFUNCTION("""COMPUTED_VALUE"""),44637)</f>
        <v>44637</v>
      </c>
      <c r="C2666" s="22">
        <f ca="1">IFERROR(__xludf.DUMMYFUNCTION("""COMPUTED_VALUE"""),-200102.953082)</f>
        <v>-200102.95308199999</v>
      </c>
      <c r="D2666" s="22">
        <f ca="1">IFERROR(__xludf.DUMMYFUNCTION("""COMPUTED_VALUE"""),678180.603015)</f>
        <v>678180.603015</v>
      </c>
      <c r="E2666" s="22">
        <f ca="1">IFERROR(__xludf.DUMMYFUNCTION("""COMPUTED_VALUE"""),478077.649933)</f>
        <v>478077.64993299998</v>
      </c>
      <c r="F2666" s="22">
        <f ca="1">IFERROR(__xludf.DUMMYFUNCTION("""COMPUTED_VALUE"""),-200102.953082)</f>
        <v>-200102.95308199999</v>
      </c>
      <c r="G2666" s="22">
        <f ca="1">IFERROR(__xludf.DUMMYFUNCTION("""COMPUTED_VALUE"""),200102.953082)</f>
        <v>200102.95308199999</v>
      </c>
      <c r="H2666" s="7">
        <f ca="1">IFERROR(__xludf.DUMMYFUNCTION("""COMPUTED_VALUE"""),478077.649933)</f>
        <v>478077.64993299998</v>
      </c>
    </row>
    <row r="2667" spans="1:8" ht="13" x14ac:dyDescent="0.15">
      <c r="A2667" s="5" t="str">
        <f ca="1">IFERROR(__xludf.DUMMYFUNCTION("""COMPUTED_VALUE"""),"46220")</f>
        <v>46220</v>
      </c>
      <c r="B2667" s="51">
        <f ca="1">IFERROR(__xludf.DUMMYFUNCTION("""COMPUTED_VALUE"""),44638)</f>
        <v>44638</v>
      </c>
      <c r="C2667" s="22">
        <f ca="1">IFERROR(__xludf.DUMMYFUNCTION("""COMPUTED_VALUE"""),-200102.953082)</f>
        <v>-200102.95308199999</v>
      </c>
      <c r="D2667" s="22">
        <f ca="1">IFERROR(__xludf.DUMMYFUNCTION("""COMPUTED_VALUE"""),695518.333265)</f>
        <v>695518.33326500002</v>
      </c>
      <c r="E2667" s="22">
        <f ca="1">IFERROR(__xludf.DUMMYFUNCTION("""COMPUTED_VALUE"""),495415.380183)</f>
        <v>495415.380183</v>
      </c>
      <c r="F2667" s="22">
        <f ca="1">IFERROR(__xludf.DUMMYFUNCTION("""COMPUTED_VALUE"""),-200102.953082)</f>
        <v>-200102.95308199999</v>
      </c>
      <c r="G2667" s="22">
        <f ca="1">IFERROR(__xludf.DUMMYFUNCTION("""COMPUTED_VALUE"""),200102.953082)</f>
        <v>200102.95308199999</v>
      </c>
      <c r="H2667" s="7">
        <f ca="1">IFERROR(__xludf.DUMMYFUNCTION("""COMPUTED_VALUE"""),495415.380183)</f>
        <v>495415.380183</v>
      </c>
    </row>
    <row r="2668" spans="1:8" ht="13" x14ac:dyDescent="0.15">
      <c r="A2668" s="5" t="str">
        <f ca="1">IFERROR(__xludf.DUMMYFUNCTION("""COMPUTED_VALUE"""),"46220")</f>
        <v>46220</v>
      </c>
      <c r="B2668" s="51">
        <f ca="1">IFERROR(__xludf.DUMMYFUNCTION("""COMPUTED_VALUE"""),44639)</f>
        <v>44639</v>
      </c>
      <c r="C2668" s="22">
        <f ca="1">IFERROR(__xludf.DUMMYFUNCTION("""COMPUTED_VALUE"""),-200102.953082)</f>
        <v>-200102.95308199999</v>
      </c>
      <c r="D2668" s="22">
        <f ca="1">IFERROR(__xludf.DUMMYFUNCTION("""COMPUTED_VALUE"""),695518.333265)</f>
        <v>695518.33326500002</v>
      </c>
      <c r="E2668" s="22">
        <f ca="1">IFERROR(__xludf.DUMMYFUNCTION("""COMPUTED_VALUE"""),495415.380183)</f>
        <v>495415.380183</v>
      </c>
      <c r="F2668" s="22">
        <f ca="1">IFERROR(__xludf.DUMMYFUNCTION("""COMPUTED_VALUE"""),-200102.953082)</f>
        <v>-200102.95308199999</v>
      </c>
      <c r="G2668" s="22">
        <f ca="1">IFERROR(__xludf.DUMMYFUNCTION("""COMPUTED_VALUE"""),200102.953082)</f>
        <v>200102.95308199999</v>
      </c>
      <c r="H2668" s="7">
        <f ca="1">IFERROR(__xludf.DUMMYFUNCTION("""COMPUTED_VALUE"""),495415.380183)</f>
        <v>495415.380183</v>
      </c>
    </row>
    <row r="2669" spans="1:8" ht="13" x14ac:dyDescent="0.15">
      <c r="A2669" s="5" t="str">
        <f ca="1">IFERROR(__xludf.DUMMYFUNCTION("""COMPUTED_VALUE"""),"46220")</f>
        <v>46220</v>
      </c>
      <c r="B2669" s="51">
        <f ca="1">IFERROR(__xludf.DUMMYFUNCTION("""COMPUTED_VALUE"""),44640)</f>
        <v>44640</v>
      </c>
      <c r="C2669" s="22">
        <f ca="1">IFERROR(__xludf.DUMMYFUNCTION("""COMPUTED_VALUE"""),-200102.953082)</f>
        <v>-200102.95308199999</v>
      </c>
      <c r="D2669" s="22">
        <f ca="1">IFERROR(__xludf.DUMMYFUNCTION("""COMPUTED_VALUE"""),695366.7848515)</f>
        <v>695366.78485149995</v>
      </c>
      <c r="E2669" s="22">
        <f ca="1">IFERROR(__xludf.DUMMYFUNCTION("""COMPUTED_VALUE"""),495263.8317695)</f>
        <v>495263.83176949999</v>
      </c>
      <c r="F2669" s="22">
        <f ca="1">IFERROR(__xludf.DUMMYFUNCTION("""COMPUTED_VALUE"""),-200102.953082)</f>
        <v>-200102.95308199999</v>
      </c>
      <c r="G2669" s="22">
        <f ca="1">IFERROR(__xludf.DUMMYFUNCTION("""COMPUTED_VALUE"""),200102.953082)</f>
        <v>200102.95308199999</v>
      </c>
      <c r="H2669" s="7">
        <f ca="1">IFERROR(__xludf.DUMMYFUNCTION("""COMPUTED_VALUE"""),495263.8317695)</f>
        <v>495263.83176949999</v>
      </c>
    </row>
    <row r="2670" spans="1:8" ht="13" x14ac:dyDescent="0.15">
      <c r="A2670" s="5" t="str">
        <f ca="1">IFERROR(__xludf.DUMMYFUNCTION("""COMPUTED_VALUE"""),"46220")</f>
        <v>46220</v>
      </c>
      <c r="B2670" s="51">
        <f ca="1">IFERROR(__xludf.DUMMYFUNCTION("""COMPUTED_VALUE"""),44641)</f>
        <v>44641</v>
      </c>
      <c r="C2670" s="22">
        <f ca="1">IFERROR(__xludf.DUMMYFUNCTION("""COMPUTED_VALUE"""),-200102.953082)</f>
        <v>-200102.95308199999</v>
      </c>
      <c r="D2670" s="22">
        <f ca="1">IFERROR(__xludf.DUMMYFUNCTION("""COMPUTED_VALUE"""),692226.78628)</f>
        <v>692226.78628</v>
      </c>
      <c r="E2670" s="22">
        <f ca="1">IFERROR(__xludf.DUMMYFUNCTION("""COMPUTED_VALUE"""),492123.833198)</f>
        <v>492123.83319799998</v>
      </c>
      <c r="F2670" s="22">
        <f ca="1">IFERROR(__xludf.DUMMYFUNCTION("""COMPUTED_VALUE"""),-200102.953082)</f>
        <v>-200102.95308199999</v>
      </c>
      <c r="G2670" s="22">
        <f ca="1">IFERROR(__xludf.DUMMYFUNCTION("""COMPUTED_VALUE"""),200102.953082)</f>
        <v>200102.95308199999</v>
      </c>
      <c r="H2670" s="7">
        <f ca="1">IFERROR(__xludf.DUMMYFUNCTION("""COMPUTED_VALUE"""),492123.833198)</f>
        <v>492123.83319799998</v>
      </c>
    </row>
    <row r="2671" spans="1:8" ht="13" x14ac:dyDescent="0.15">
      <c r="A2671" s="5" t="str">
        <f ca="1">IFERROR(__xludf.DUMMYFUNCTION("""COMPUTED_VALUE"""),"46220")</f>
        <v>46220</v>
      </c>
      <c r="B2671" s="51">
        <f ca="1">IFERROR(__xludf.DUMMYFUNCTION("""COMPUTED_VALUE"""),44642)</f>
        <v>44642</v>
      </c>
      <c r="C2671" s="22">
        <f ca="1">IFERROR(__xludf.DUMMYFUNCTION("""COMPUTED_VALUE"""),-200102.953082)</f>
        <v>-200102.95308199999</v>
      </c>
      <c r="D2671" s="22">
        <f ca="1">IFERROR(__xludf.DUMMYFUNCTION("""COMPUTED_VALUE"""),717558.7307525)</f>
        <v>717558.73075250001</v>
      </c>
      <c r="E2671" s="22">
        <f ca="1">IFERROR(__xludf.DUMMYFUNCTION("""COMPUTED_VALUE"""),517455.7776705)</f>
        <v>517455.77767049999</v>
      </c>
      <c r="F2671" s="22">
        <f ca="1">IFERROR(__xludf.DUMMYFUNCTION("""COMPUTED_VALUE"""),-200102.953082)</f>
        <v>-200102.95308199999</v>
      </c>
      <c r="G2671" s="22">
        <f ca="1">IFERROR(__xludf.DUMMYFUNCTION("""COMPUTED_VALUE"""),200102.953082)</f>
        <v>200102.95308199999</v>
      </c>
      <c r="H2671" s="7">
        <f ca="1">IFERROR(__xludf.DUMMYFUNCTION("""COMPUTED_VALUE"""),517455.7776705)</f>
        <v>517455.77767049999</v>
      </c>
    </row>
    <row r="2672" spans="1:8" ht="13" x14ac:dyDescent="0.15">
      <c r="A2672" s="5" t="str">
        <f ca="1">IFERROR(__xludf.DUMMYFUNCTION("""COMPUTED_VALUE"""),"46225")</f>
        <v>46225</v>
      </c>
      <c r="B2672" s="51">
        <f ca="1">IFERROR(__xludf.DUMMYFUNCTION("""COMPUTED_VALUE"""),44597)</f>
        <v>44597</v>
      </c>
      <c r="C2672" s="22">
        <f ca="1">IFERROR(__xludf.DUMMYFUNCTION("""COMPUTED_VALUE"""),500000)</f>
        <v>500000</v>
      </c>
      <c r="D2672" s="22">
        <f ca="1">IFERROR(__xludf.DUMMYFUNCTION("""COMPUTED_VALUE"""),0)</f>
        <v>0</v>
      </c>
      <c r="E2672" s="22">
        <f ca="1">IFERROR(__xludf.DUMMYFUNCTION("""COMPUTED_VALUE"""),500000)</f>
        <v>500000</v>
      </c>
      <c r="F2672" s="22">
        <f ca="1">IFERROR(__xludf.DUMMYFUNCTION("""COMPUTED_VALUE"""),500000)</f>
        <v>500000</v>
      </c>
      <c r="G2672" s="22">
        <f ca="1">IFERROR(__xludf.DUMMYFUNCTION("""COMPUTED_VALUE"""),0)</f>
        <v>0</v>
      </c>
      <c r="H2672" s="7">
        <f ca="1">IFERROR(__xludf.DUMMYFUNCTION("""COMPUTED_VALUE"""),500000)</f>
        <v>500000</v>
      </c>
    </row>
    <row r="2673" spans="1:8" ht="13" x14ac:dyDescent="0.15">
      <c r="A2673" s="5" t="str">
        <f ca="1">IFERROR(__xludf.DUMMYFUNCTION("""COMPUTED_VALUE"""),"46225")</f>
        <v>46225</v>
      </c>
      <c r="B2673" s="51">
        <f ca="1">IFERROR(__xludf.DUMMYFUNCTION("""COMPUTED_VALUE"""),44598)</f>
        <v>44598</v>
      </c>
      <c r="C2673" s="22">
        <f ca="1">IFERROR(__xludf.DUMMYFUNCTION("""COMPUTED_VALUE"""),500000)</f>
        <v>500000</v>
      </c>
      <c r="D2673" s="22">
        <f ca="1">IFERROR(__xludf.DUMMYFUNCTION("""COMPUTED_VALUE"""),0)</f>
        <v>0</v>
      </c>
      <c r="E2673" s="22">
        <f ca="1">IFERROR(__xludf.DUMMYFUNCTION("""COMPUTED_VALUE"""),500000)</f>
        <v>500000</v>
      </c>
      <c r="F2673" s="22">
        <f ca="1">IFERROR(__xludf.DUMMYFUNCTION("""COMPUTED_VALUE"""),500000)</f>
        <v>500000</v>
      </c>
      <c r="G2673" s="22">
        <f ca="1">IFERROR(__xludf.DUMMYFUNCTION("""COMPUTED_VALUE"""),0)</f>
        <v>0</v>
      </c>
      <c r="H2673" s="7">
        <f ca="1">IFERROR(__xludf.DUMMYFUNCTION("""COMPUTED_VALUE"""),500000)</f>
        <v>500000</v>
      </c>
    </row>
    <row r="2674" spans="1:8" ht="13" x14ac:dyDescent="0.15">
      <c r="A2674" s="5" t="str">
        <f ca="1">IFERROR(__xludf.DUMMYFUNCTION("""COMPUTED_VALUE"""),"46225")</f>
        <v>46225</v>
      </c>
      <c r="B2674" s="51">
        <f ca="1">IFERROR(__xludf.DUMMYFUNCTION("""COMPUTED_VALUE"""),44599)</f>
        <v>44599</v>
      </c>
      <c r="C2674" s="22">
        <f ca="1">IFERROR(__xludf.DUMMYFUNCTION("""COMPUTED_VALUE"""),500000)</f>
        <v>500000</v>
      </c>
      <c r="D2674" s="22">
        <f ca="1">IFERROR(__xludf.DUMMYFUNCTION("""COMPUTED_VALUE"""),0)</f>
        <v>0</v>
      </c>
      <c r="E2674" s="22">
        <f ca="1">IFERROR(__xludf.DUMMYFUNCTION("""COMPUTED_VALUE"""),500000)</f>
        <v>500000</v>
      </c>
      <c r="F2674" s="22">
        <f ca="1">IFERROR(__xludf.DUMMYFUNCTION("""COMPUTED_VALUE"""),500000)</f>
        <v>500000</v>
      </c>
      <c r="G2674" s="22">
        <f ca="1">IFERROR(__xludf.DUMMYFUNCTION("""COMPUTED_VALUE"""),0)</f>
        <v>0</v>
      </c>
      <c r="H2674" s="7">
        <f ca="1">IFERROR(__xludf.DUMMYFUNCTION("""COMPUTED_VALUE"""),500000)</f>
        <v>500000</v>
      </c>
    </row>
    <row r="2675" spans="1:8" ht="13" x14ac:dyDescent="0.15">
      <c r="A2675" s="5" t="str">
        <f ca="1">IFERROR(__xludf.DUMMYFUNCTION("""COMPUTED_VALUE"""),"46225")</f>
        <v>46225</v>
      </c>
      <c r="B2675" s="51">
        <f ca="1">IFERROR(__xludf.DUMMYFUNCTION("""COMPUTED_VALUE"""),44600)</f>
        <v>44600</v>
      </c>
      <c r="C2675" s="22">
        <f ca="1">IFERROR(__xludf.DUMMYFUNCTION("""COMPUTED_VALUE"""),500000)</f>
        <v>500000</v>
      </c>
      <c r="D2675" s="22">
        <f ca="1">IFERROR(__xludf.DUMMYFUNCTION("""COMPUTED_VALUE"""),0)</f>
        <v>0</v>
      </c>
      <c r="E2675" s="22">
        <f ca="1">IFERROR(__xludf.DUMMYFUNCTION("""COMPUTED_VALUE"""),500000)</f>
        <v>500000</v>
      </c>
      <c r="F2675" s="22">
        <f ca="1">IFERROR(__xludf.DUMMYFUNCTION("""COMPUTED_VALUE"""),500000)</f>
        <v>500000</v>
      </c>
      <c r="G2675" s="22">
        <f ca="1">IFERROR(__xludf.DUMMYFUNCTION("""COMPUTED_VALUE"""),0)</f>
        <v>0</v>
      </c>
      <c r="H2675" s="7">
        <f ca="1">IFERROR(__xludf.DUMMYFUNCTION("""COMPUTED_VALUE"""),500000)</f>
        <v>500000</v>
      </c>
    </row>
    <row r="2676" spans="1:8" ht="13" x14ac:dyDescent="0.15">
      <c r="A2676" s="5" t="str">
        <f ca="1">IFERROR(__xludf.DUMMYFUNCTION("""COMPUTED_VALUE"""),"46225")</f>
        <v>46225</v>
      </c>
      <c r="B2676" s="51">
        <f ca="1">IFERROR(__xludf.DUMMYFUNCTION("""COMPUTED_VALUE"""),44601)</f>
        <v>44601</v>
      </c>
      <c r="C2676" s="22">
        <f ca="1">IFERROR(__xludf.DUMMYFUNCTION("""COMPUTED_VALUE"""),500000)</f>
        <v>500000</v>
      </c>
      <c r="D2676" s="22">
        <f ca="1">IFERROR(__xludf.DUMMYFUNCTION("""COMPUTED_VALUE"""),0)</f>
        <v>0</v>
      </c>
      <c r="E2676" s="22">
        <f ca="1">IFERROR(__xludf.DUMMYFUNCTION("""COMPUTED_VALUE"""),500000)</f>
        <v>500000</v>
      </c>
      <c r="F2676" s="22">
        <f ca="1">IFERROR(__xludf.DUMMYFUNCTION("""COMPUTED_VALUE"""),500000)</f>
        <v>500000</v>
      </c>
      <c r="G2676" s="22">
        <f ca="1">IFERROR(__xludf.DUMMYFUNCTION("""COMPUTED_VALUE"""),0)</f>
        <v>0</v>
      </c>
      <c r="H2676" s="7">
        <f ca="1">IFERROR(__xludf.DUMMYFUNCTION("""COMPUTED_VALUE"""),500000)</f>
        <v>500000</v>
      </c>
    </row>
    <row r="2677" spans="1:8" ht="13" x14ac:dyDescent="0.15">
      <c r="A2677" s="5" t="str">
        <f ca="1">IFERROR(__xludf.DUMMYFUNCTION("""COMPUTED_VALUE"""),"46225")</f>
        <v>46225</v>
      </c>
      <c r="B2677" s="51">
        <f ca="1">IFERROR(__xludf.DUMMYFUNCTION("""COMPUTED_VALUE"""),44602)</f>
        <v>44602</v>
      </c>
      <c r="C2677" s="22">
        <f ca="1">IFERROR(__xludf.DUMMYFUNCTION("""COMPUTED_VALUE"""),500000)</f>
        <v>500000</v>
      </c>
      <c r="D2677" s="22">
        <f ca="1">IFERROR(__xludf.DUMMYFUNCTION("""COMPUTED_VALUE"""),0)</f>
        <v>0</v>
      </c>
      <c r="E2677" s="22">
        <f ca="1">IFERROR(__xludf.DUMMYFUNCTION("""COMPUTED_VALUE"""),500000)</f>
        <v>500000</v>
      </c>
      <c r="F2677" s="22">
        <f ca="1">IFERROR(__xludf.DUMMYFUNCTION("""COMPUTED_VALUE"""),500000)</f>
        <v>500000</v>
      </c>
      <c r="G2677" s="22">
        <f ca="1">IFERROR(__xludf.DUMMYFUNCTION("""COMPUTED_VALUE"""),0)</f>
        <v>0</v>
      </c>
      <c r="H2677" s="7">
        <f ca="1">IFERROR(__xludf.DUMMYFUNCTION("""COMPUTED_VALUE"""),500000)</f>
        <v>500000</v>
      </c>
    </row>
    <row r="2678" spans="1:8" ht="13" x14ac:dyDescent="0.15">
      <c r="A2678" s="5" t="str">
        <f ca="1">IFERROR(__xludf.DUMMYFUNCTION("""COMPUTED_VALUE"""),"46225")</f>
        <v>46225</v>
      </c>
      <c r="B2678" s="51">
        <f ca="1">IFERROR(__xludf.DUMMYFUNCTION("""COMPUTED_VALUE"""),44603)</f>
        <v>44603</v>
      </c>
      <c r="C2678" s="22">
        <f ca="1">IFERROR(__xludf.DUMMYFUNCTION("""COMPUTED_VALUE"""),500000)</f>
        <v>500000</v>
      </c>
      <c r="D2678" s="22">
        <f ca="1">IFERROR(__xludf.DUMMYFUNCTION("""COMPUTED_VALUE"""),0)</f>
        <v>0</v>
      </c>
      <c r="E2678" s="22">
        <f ca="1">IFERROR(__xludf.DUMMYFUNCTION("""COMPUTED_VALUE"""),500000)</f>
        <v>500000</v>
      </c>
      <c r="F2678" s="22">
        <f ca="1">IFERROR(__xludf.DUMMYFUNCTION("""COMPUTED_VALUE"""),500000)</f>
        <v>500000</v>
      </c>
      <c r="G2678" s="22">
        <f ca="1">IFERROR(__xludf.DUMMYFUNCTION("""COMPUTED_VALUE"""),0)</f>
        <v>0</v>
      </c>
      <c r="H2678" s="7">
        <f ca="1">IFERROR(__xludf.DUMMYFUNCTION("""COMPUTED_VALUE"""),500000)</f>
        <v>500000</v>
      </c>
    </row>
    <row r="2679" spans="1:8" ht="13" x14ac:dyDescent="0.15">
      <c r="A2679" s="5" t="str">
        <f ca="1">IFERROR(__xludf.DUMMYFUNCTION("""COMPUTED_VALUE"""),"46225")</f>
        <v>46225</v>
      </c>
      <c r="B2679" s="51">
        <f ca="1">IFERROR(__xludf.DUMMYFUNCTION("""COMPUTED_VALUE"""),44604)</f>
        <v>44604</v>
      </c>
      <c r="C2679" s="22">
        <f ca="1">IFERROR(__xludf.DUMMYFUNCTION("""COMPUTED_VALUE"""),500000)</f>
        <v>500000</v>
      </c>
      <c r="D2679" s="22">
        <f ca="1">IFERROR(__xludf.DUMMYFUNCTION("""COMPUTED_VALUE"""),0)</f>
        <v>0</v>
      </c>
      <c r="E2679" s="22">
        <f ca="1">IFERROR(__xludf.DUMMYFUNCTION("""COMPUTED_VALUE"""),500000)</f>
        <v>500000</v>
      </c>
      <c r="F2679" s="22">
        <f ca="1">IFERROR(__xludf.DUMMYFUNCTION("""COMPUTED_VALUE"""),500000)</f>
        <v>500000</v>
      </c>
      <c r="G2679" s="22">
        <f ca="1">IFERROR(__xludf.DUMMYFUNCTION("""COMPUTED_VALUE"""),0)</f>
        <v>0</v>
      </c>
      <c r="H2679" s="7">
        <f ca="1">IFERROR(__xludf.DUMMYFUNCTION("""COMPUTED_VALUE"""),500000)</f>
        <v>500000</v>
      </c>
    </row>
    <row r="2680" spans="1:8" ht="13" x14ac:dyDescent="0.15">
      <c r="A2680" s="5" t="str">
        <f ca="1">IFERROR(__xludf.DUMMYFUNCTION("""COMPUTED_VALUE"""),"46225")</f>
        <v>46225</v>
      </c>
      <c r="B2680" s="51">
        <f ca="1">IFERROR(__xludf.DUMMYFUNCTION("""COMPUTED_VALUE"""),44605)</f>
        <v>44605</v>
      </c>
      <c r="C2680" s="22">
        <f ca="1">IFERROR(__xludf.DUMMYFUNCTION("""COMPUTED_VALUE"""),500000)</f>
        <v>500000</v>
      </c>
      <c r="D2680" s="22">
        <f ca="1">IFERROR(__xludf.DUMMYFUNCTION("""COMPUTED_VALUE"""),0)</f>
        <v>0</v>
      </c>
      <c r="E2680" s="22">
        <f ca="1">IFERROR(__xludf.DUMMYFUNCTION("""COMPUTED_VALUE"""),500000)</f>
        <v>500000</v>
      </c>
      <c r="F2680" s="22">
        <f ca="1">IFERROR(__xludf.DUMMYFUNCTION("""COMPUTED_VALUE"""),500000)</f>
        <v>500000</v>
      </c>
      <c r="G2680" s="22">
        <f ca="1">IFERROR(__xludf.DUMMYFUNCTION("""COMPUTED_VALUE"""),0)</f>
        <v>0</v>
      </c>
      <c r="H2680" s="7">
        <f ca="1">IFERROR(__xludf.DUMMYFUNCTION("""COMPUTED_VALUE"""),500000)</f>
        <v>500000</v>
      </c>
    </row>
    <row r="2681" spans="1:8" ht="13" x14ac:dyDescent="0.15">
      <c r="A2681" s="5" t="str">
        <f ca="1">IFERROR(__xludf.DUMMYFUNCTION("""COMPUTED_VALUE"""),"46225")</f>
        <v>46225</v>
      </c>
      <c r="B2681" s="51">
        <f ca="1">IFERROR(__xludf.DUMMYFUNCTION("""COMPUTED_VALUE"""),44606)</f>
        <v>44606</v>
      </c>
      <c r="C2681" s="22">
        <f ca="1">IFERROR(__xludf.DUMMYFUNCTION("""COMPUTED_VALUE"""),500000)</f>
        <v>500000</v>
      </c>
      <c r="D2681" s="22">
        <f ca="1">IFERROR(__xludf.DUMMYFUNCTION("""COMPUTED_VALUE"""),0)</f>
        <v>0</v>
      </c>
      <c r="E2681" s="22">
        <f ca="1">IFERROR(__xludf.DUMMYFUNCTION("""COMPUTED_VALUE"""),500000)</f>
        <v>500000</v>
      </c>
      <c r="F2681" s="22">
        <f ca="1">IFERROR(__xludf.DUMMYFUNCTION("""COMPUTED_VALUE"""),500000)</f>
        <v>500000</v>
      </c>
      <c r="G2681" s="22">
        <f ca="1">IFERROR(__xludf.DUMMYFUNCTION("""COMPUTED_VALUE"""),0)</f>
        <v>0</v>
      </c>
      <c r="H2681" s="7">
        <f ca="1">IFERROR(__xludf.DUMMYFUNCTION("""COMPUTED_VALUE"""),500000)</f>
        <v>500000</v>
      </c>
    </row>
    <row r="2682" spans="1:8" ht="13" x14ac:dyDescent="0.15">
      <c r="A2682" s="5" t="str">
        <f ca="1">IFERROR(__xludf.DUMMYFUNCTION("""COMPUTED_VALUE"""),"46225")</f>
        <v>46225</v>
      </c>
      <c r="B2682" s="51">
        <f ca="1">IFERROR(__xludf.DUMMYFUNCTION("""COMPUTED_VALUE"""),44607)</f>
        <v>44607</v>
      </c>
      <c r="C2682" s="22">
        <f ca="1">IFERROR(__xludf.DUMMYFUNCTION("""COMPUTED_VALUE"""),500000)</f>
        <v>500000</v>
      </c>
      <c r="D2682" s="22">
        <f ca="1">IFERROR(__xludf.DUMMYFUNCTION("""COMPUTED_VALUE"""),0)</f>
        <v>0</v>
      </c>
      <c r="E2682" s="22">
        <f ca="1">IFERROR(__xludf.DUMMYFUNCTION("""COMPUTED_VALUE"""),500000)</f>
        <v>500000</v>
      </c>
      <c r="F2682" s="22">
        <f ca="1">IFERROR(__xludf.DUMMYFUNCTION("""COMPUTED_VALUE"""),500000)</f>
        <v>500000</v>
      </c>
      <c r="G2682" s="22">
        <f ca="1">IFERROR(__xludf.DUMMYFUNCTION("""COMPUTED_VALUE"""),0)</f>
        <v>0</v>
      </c>
      <c r="H2682" s="7">
        <f ca="1">IFERROR(__xludf.DUMMYFUNCTION("""COMPUTED_VALUE"""),500000)</f>
        <v>500000</v>
      </c>
    </row>
    <row r="2683" spans="1:8" ht="13" x14ac:dyDescent="0.15">
      <c r="A2683" s="5" t="str">
        <f ca="1">IFERROR(__xludf.DUMMYFUNCTION("""COMPUTED_VALUE"""),"46225")</f>
        <v>46225</v>
      </c>
      <c r="B2683" s="51">
        <f ca="1">IFERROR(__xludf.DUMMYFUNCTION("""COMPUTED_VALUE"""),44608)</f>
        <v>44608</v>
      </c>
      <c r="C2683" s="22">
        <f ca="1">IFERROR(__xludf.DUMMYFUNCTION("""COMPUTED_VALUE"""),500000)</f>
        <v>500000</v>
      </c>
      <c r="D2683" s="22">
        <f ca="1">IFERROR(__xludf.DUMMYFUNCTION("""COMPUTED_VALUE"""),0)</f>
        <v>0</v>
      </c>
      <c r="E2683" s="22">
        <f ca="1">IFERROR(__xludf.DUMMYFUNCTION("""COMPUTED_VALUE"""),500000)</f>
        <v>500000</v>
      </c>
      <c r="F2683" s="22">
        <f ca="1">IFERROR(__xludf.DUMMYFUNCTION("""COMPUTED_VALUE"""),500000)</f>
        <v>500000</v>
      </c>
      <c r="G2683" s="22">
        <f ca="1">IFERROR(__xludf.DUMMYFUNCTION("""COMPUTED_VALUE"""),0)</f>
        <v>0</v>
      </c>
      <c r="H2683" s="7">
        <f ca="1">IFERROR(__xludf.DUMMYFUNCTION("""COMPUTED_VALUE"""),500000)</f>
        <v>500000</v>
      </c>
    </row>
    <row r="2684" spans="1:8" ht="13" x14ac:dyDescent="0.15">
      <c r="A2684" s="5" t="str">
        <f ca="1">IFERROR(__xludf.DUMMYFUNCTION("""COMPUTED_VALUE"""),"46225")</f>
        <v>46225</v>
      </c>
      <c r="B2684" s="51">
        <f ca="1">IFERROR(__xludf.DUMMYFUNCTION("""COMPUTED_VALUE"""),44609)</f>
        <v>44609</v>
      </c>
      <c r="C2684" s="22">
        <f ca="1">IFERROR(__xludf.DUMMYFUNCTION("""COMPUTED_VALUE"""),500000)</f>
        <v>500000</v>
      </c>
      <c r="D2684" s="22">
        <f ca="1">IFERROR(__xludf.DUMMYFUNCTION("""COMPUTED_VALUE"""),0)</f>
        <v>0</v>
      </c>
      <c r="E2684" s="22">
        <f ca="1">IFERROR(__xludf.DUMMYFUNCTION("""COMPUTED_VALUE"""),500000)</f>
        <v>500000</v>
      </c>
      <c r="F2684" s="22">
        <f ca="1">IFERROR(__xludf.DUMMYFUNCTION("""COMPUTED_VALUE"""),500000)</f>
        <v>500000</v>
      </c>
      <c r="G2684" s="22">
        <f ca="1">IFERROR(__xludf.DUMMYFUNCTION("""COMPUTED_VALUE"""),0)</f>
        <v>0</v>
      </c>
      <c r="H2684" s="7">
        <f ca="1">IFERROR(__xludf.DUMMYFUNCTION("""COMPUTED_VALUE"""),500000)</f>
        <v>500000</v>
      </c>
    </row>
    <row r="2685" spans="1:8" ht="13" x14ac:dyDescent="0.15">
      <c r="A2685" s="5" t="str">
        <f ca="1">IFERROR(__xludf.DUMMYFUNCTION("""COMPUTED_VALUE"""),"46225")</f>
        <v>46225</v>
      </c>
      <c r="B2685" s="51">
        <f ca="1">IFERROR(__xludf.DUMMYFUNCTION("""COMPUTED_VALUE"""),44610)</f>
        <v>44610</v>
      </c>
      <c r="C2685" s="22">
        <f ca="1">IFERROR(__xludf.DUMMYFUNCTION("""COMPUTED_VALUE"""),500000)</f>
        <v>500000</v>
      </c>
      <c r="D2685" s="22">
        <f ca="1">IFERROR(__xludf.DUMMYFUNCTION("""COMPUTED_VALUE"""),0)</f>
        <v>0</v>
      </c>
      <c r="E2685" s="22">
        <f ca="1">IFERROR(__xludf.DUMMYFUNCTION("""COMPUTED_VALUE"""),500000)</f>
        <v>500000</v>
      </c>
      <c r="F2685" s="22">
        <f ca="1">IFERROR(__xludf.DUMMYFUNCTION("""COMPUTED_VALUE"""),500000)</f>
        <v>500000</v>
      </c>
      <c r="G2685" s="22">
        <f ca="1">IFERROR(__xludf.DUMMYFUNCTION("""COMPUTED_VALUE"""),0)</f>
        <v>0</v>
      </c>
      <c r="H2685" s="7">
        <f ca="1">IFERROR(__xludf.DUMMYFUNCTION("""COMPUTED_VALUE"""),500000)</f>
        <v>500000</v>
      </c>
    </row>
    <row r="2686" spans="1:8" ht="13" x14ac:dyDescent="0.15">
      <c r="A2686" s="5" t="str">
        <f ca="1">IFERROR(__xludf.DUMMYFUNCTION("""COMPUTED_VALUE"""),"46225")</f>
        <v>46225</v>
      </c>
      <c r="B2686" s="51">
        <f ca="1">IFERROR(__xludf.DUMMYFUNCTION("""COMPUTED_VALUE"""),44611)</f>
        <v>44611</v>
      </c>
      <c r="C2686" s="22">
        <f ca="1">IFERROR(__xludf.DUMMYFUNCTION("""COMPUTED_VALUE"""),500000)</f>
        <v>500000</v>
      </c>
      <c r="D2686" s="22">
        <f ca="1">IFERROR(__xludf.DUMMYFUNCTION("""COMPUTED_VALUE"""),0)</f>
        <v>0</v>
      </c>
      <c r="E2686" s="22">
        <f ca="1">IFERROR(__xludf.DUMMYFUNCTION("""COMPUTED_VALUE"""),500000)</f>
        <v>500000</v>
      </c>
      <c r="F2686" s="22">
        <f ca="1">IFERROR(__xludf.DUMMYFUNCTION("""COMPUTED_VALUE"""),500000)</f>
        <v>500000</v>
      </c>
      <c r="G2686" s="22">
        <f ca="1">IFERROR(__xludf.DUMMYFUNCTION("""COMPUTED_VALUE"""),0)</f>
        <v>0</v>
      </c>
      <c r="H2686" s="7">
        <f ca="1">IFERROR(__xludf.DUMMYFUNCTION("""COMPUTED_VALUE"""),500000)</f>
        <v>500000</v>
      </c>
    </row>
    <row r="2687" spans="1:8" ht="13" x14ac:dyDescent="0.15">
      <c r="A2687" s="5" t="str">
        <f ca="1">IFERROR(__xludf.DUMMYFUNCTION("""COMPUTED_VALUE"""),"46225")</f>
        <v>46225</v>
      </c>
      <c r="B2687" s="51">
        <f ca="1">IFERROR(__xludf.DUMMYFUNCTION("""COMPUTED_VALUE"""),44612)</f>
        <v>44612</v>
      </c>
      <c r="C2687" s="22">
        <f ca="1">IFERROR(__xludf.DUMMYFUNCTION("""COMPUTED_VALUE"""),500000)</f>
        <v>500000</v>
      </c>
      <c r="D2687" s="22">
        <f ca="1">IFERROR(__xludf.DUMMYFUNCTION("""COMPUTED_VALUE"""),0)</f>
        <v>0</v>
      </c>
      <c r="E2687" s="22">
        <f ca="1">IFERROR(__xludf.DUMMYFUNCTION("""COMPUTED_VALUE"""),500000)</f>
        <v>500000</v>
      </c>
      <c r="F2687" s="22">
        <f ca="1">IFERROR(__xludf.DUMMYFUNCTION("""COMPUTED_VALUE"""),500000)</f>
        <v>500000</v>
      </c>
      <c r="G2687" s="22">
        <f ca="1">IFERROR(__xludf.DUMMYFUNCTION("""COMPUTED_VALUE"""),0)</f>
        <v>0</v>
      </c>
      <c r="H2687" s="7">
        <f ca="1">IFERROR(__xludf.DUMMYFUNCTION("""COMPUTED_VALUE"""),500000)</f>
        <v>500000</v>
      </c>
    </row>
    <row r="2688" spans="1:8" ht="13" x14ac:dyDescent="0.15">
      <c r="A2688" s="5" t="str">
        <f ca="1">IFERROR(__xludf.DUMMYFUNCTION("""COMPUTED_VALUE"""),"46225")</f>
        <v>46225</v>
      </c>
      <c r="B2688" s="51">
        <f ca="1">IFERROR(__xludf.DUMMYFUNCTION("""COMPUTED_VALUE"""),44613)</f>
        <v>44613</v>
      </c>
      <c r="C2688" s="22">
        <f ca="1">IFERROR(__xludf.DUMMYFUNCTION("""COMPUTED_VALUE"""),500000)</f>
        <v>500000</v>
      </c>
      <c r="D2688" s="22">
        <f ca="1">IFERROR(__xludf.DUMMYFUNCTION("""COMPUTED_VALUE"""),0)</f>
        <v>0</v>
      </c>
      <c r="E2688" s="22">
        <f ca="1">IFERROR(__xludf.DUMMYFUNCTION("""COMPUTED_VALUE"""),500000)</f>
        <v>500000</v>
      </c>
      <c r="F2688" s="22">
        <f ca="1">IFERROR(__xludf.DUMMYFUNCTION("""COMPUTED_VALUE"""),500000)</f>
        <v>500000</v>
      </c>
      <c r="G2688" s="22">
        <f ca="1">IFERROR(__xludf.DUMMYFUNCTION("""COMPUTED_VALUE"""),0)</f>
        <v>0</v>
      </c>
      <c r="H2688" s="7">
        <f ca="1">IFERROR(__xludf.DUMMYFUNCTION("""COMPUTED_VALUE"""),500000)</f>
        <v>500000</v>
      </c>
    </row>
    <row r="2689" spans="1:8" ht="13" x14ac:dyDescent="0.15">
      <c r="A2689" s="5" t="str">
        <f ca="1">IFERROR(__xludf.DUMMYFUNCTION("""COMPUTED_VALUE"""),"46225")</f>
        <v>46225</v>
      </c>
      <c r="B2689" s="51">
        <f ca="1">IFERROR(__xludf.DUMMYFUNCTION("""COMPUTED_VALUE"""),44614)</f>
        <v>44614</v>
      </c>
      <c r="C2689" s="22">
        <f ca="1">IFERROR(__xludf.DUMMYFUNCTION("""COMPUTED_VALUE"""),500000)</f>
        <v>500000</v>
      </c>
      <c r="D2689" s="22">
        <f ca="1">IFERROR(__xludf.DUMMYFUNCTION("""COMPUTED_VALUE"""),0)</f>
        <v>0</v>
      </c>
      <c r="E2689" s="22">
        <f ca="1">IFERROR(__xludf.DUMMYFUNCTION("""COMPUTED_VALUE"""),500000)</f>
        <v>500000</v>
      </c>
      <c r="F2689" s="22">
        <f ca="1">IFERROR(__xludf.DUMMYFUNCTION("""COMPUTED_VALUE"""),500000)</f>
        <v>500000</v>
      </c>
      <c r="G2689" s="22">
        <f ca="1">IFERROR(__xludf.DUMMYFUNCTION("""COMPUTED_VALUE"""),0)</f>
        <v>0</v>
      </c>
      <c r="H2689" s="7">
        <f ca="1">IFERROR(__xludf.DUMMYFUNCTION("""COMPUTED_VALUE"""),500000)</f>
        <v>500000</v>
      </c>
    </row>
    <row r="2690" spans="1:8" ht="13" x14ac:dyDescent="0.15">
      <c r="A2690" s="5" t="str">
        <f ca="1">IFERROR(__xludf.DUMMYFUNCTION("""COMPUTED_VALUE"""),"46225")</f>
        <v>46225</v>
      </c>
      <c r="B2690" s="51">
        <f ca="1">IFERROR(__xludf.DUMMYFUNCTION("""COMPUTED_VALUE"""),44615)</f>
        <v>44615</v>
      </c>
      <c r="C2690" s="22">
        <f ca="1">IFERROR(__xludf.DUMMYFUNCTION("""COMPUTED_VALUE"""),500000)</f>
        <v>500000</v>
      </c>
      <c r="D2690" s="22">
        <f ca="1">IFERROR(__xludf.DUMMYFUNCTION("""COMPUTED_VALUE"""),0)</f>
        <v>0</v>
      </c>
      <c r="E2690" s="22">
        <f ca="1">IFERROR(__xludf.DUMMYFUNCTION("""COMPUTED_VALUE"""),500000)</f>
        <v>500000</v>
      </c>
      <c r="F2690" s="22">
        <f ca="1">IFERROR(__xludf.DUMMYFUNCTION("""COMPUTED_VALUE"""),500000)</f>
        <v>500000</v>
      </c>
      <c r="G2690" s="22">
        <f ca="1">IFERROR(__xludf.DUMMYFUNCTION("""COMPUTED_VALUE"""),0)</f>
        <v>0</v>
      </c>
      <c r="H2690" s="7">
        <f ca="1">IFERROR(__xludf.DUMMYFUNCTION("""COMPUTED_VALUE"""),500000)</f>
        <v>500000</v>
      </c>
    </row>
    <row r="2691" spans="1:8" ht="13" x14ac:dyDescent="0.15">
      <c r="A2691" s="5" t="str">
        <f ca="1">IFERROR(__xludf.DUMMYFUNCTION("""COMPUTED_VALUE"""),"46225")</f>
        <v>46225</v>
      </c>
      <c r="B2691" s="51">
        <f ca="1">IFERROR(__xludf.DUMMYFUNCTION("""COMPUTED_VALUE"""),44616)</f>
        <v>44616</v>
      </c>
      <c r="C2691" s="22">
        <f ca="1">IFERROR(__xludf.DUMMYFUNCTION("""COMPUTED_VALUE"""),500000)</f>
        <v>500000</v>
      </c>
      <c r="D2691" s="22">
        <f ca="1">IFERROR(__xludf.DUMMYFUNCTION("""COMPUTED_VALUE"""),0)</f>
        <v>0</v>
      </c>
      <c r="E2691" s="22">
        <f ca="1">IFERROR(__xludf.DUMMYFUNCTION("""COMPUTED_VALUE"""),500000)</f>
        <v>500000</v>
      </c>
      <c r="F2691" s="22">
        <f ca="1">IFERROR(__xludf.DUMMYFUNCTION("""COMPUTED_VALUE"""),500000)</f>
        <v>500000</v>
      </c>
      <c r="G2691" s="22">
        <f ca="1">IFERROR(__xludf.DUMMYFUNCTION("""COMPUTED_VALUE"""),0)</f>
        <v>0</v>
      </c>
      <c r="H2691" s="7">
        <f ca="1">IFERROR(__xludf.DUMMYFUNCTION("""COMPUTED_VALUE"""),500000)</f>
        <v>500000</v>
      </c>
    </row>
    <row r="2692" spans="1:8" ht="13" x14ac:dyDescent="0.15">
      <c r="A2692" s="5" t="str">
        <f ca="1">IFERROR(__xludf.DUMMYFUNCTION("""COMPUTED_VALUE"""),"46225")</f>
        <v>46225</v>
      </c>
      <c r="B2692" s="51">
        <f ca="1">IFERROR(__xludf.DUMMYFUNCTION("""COMPUTED_VALUE"""),44617)</f>
        <v>44617</v>
      </c>
      <c r="C2692" s="22">
        <f ca="1">IFERROR(__xludf.DUMMYFUNCTION("""COMPUTED_VALUE"""),500000)</f>
        <v>500000</v>
      </c>
      <c r="D2692" s="22">
        <f ca="1">IFERROR(__xludf.DUMMYFUNCTION("""COMPUTED_VALUE"""),0)</f>
        <v>0</v>
      </c>
      <c r="E2692" s="22">
        <f ca="1">IFERROR(__xludf.DUMMYFUNCTION("""COMPUTED_VALUE"""),500000)</f>
        <v>500000</v>
      </c>
      <c r="F2692" s="22">
        <f ca="1">IFERROR(__xludf.DUMMYFUNCTION("""COMPUTED_VALUE"""),500000)</f>
        <v>500000</v>
      </c>
      <c r="G2692" s="22">
        <f ca="1">IFERROR(__xludf.DUMMYFUNCTION("""COMPUTED_VALUE"""),0)</f>
        <v>0</v>
      </c>
      <c r="H2692" s="7">
        <f ca="1">IFERROR(__xludf.DUMMYFUNCTION("""COMPUTED_VALUE"""),500000)</f>
        <v>500000</v>
      </c>
    </row>
    <row r="2693" spans="1:8" ht="13" x14ac:dyDescent="0.15">
      <c r="A2693" s="5" t="str">
        <f ca="1">IFERROR(__xludf.DUMMYFUNCTION("""COMPUTED_VALUE"""),"46225")</f>
        <v>46225</v>
      </c>
      <c r="B2693" s="51">
        <f ca="1">IFERROR(__xludf.DUMMYFUNCTION("""COMPUTED_VALUE"""),44618)</f>
        <v>44618</v>
      </c>
      <c r="C2693" s="22">
        <f ca="1">IFERROR(__xludf.DUMMYFUNCTION("""COMPUTED_VALUE"""),500000)</f>
        <v>500000</v>
      </c>
      <c r="D2693" s="22">
        <f ca="1">IFERROR(__xludf.DUMMYFUNCTION("""COMPUTED_VALUE"""),0)</f>
        <v>0</v>
      </c>
      <c r="E2693" s="22">
        <f ca="1">IFERROR(__xludf.DUMMYFUNCTION("""COMPUTED_VALUE"""),500000)</f>
        <v>500000</v>
      </c>
      <c r="F2693" s="22">
        <f ca="1">IFERROR(__xludf.DUMMYFUNCTION("""COMPUTED_VALUE"""),500000)</f>
        <v>500000</v>
      </c>
      <c r="G2693" s="22">
        <f ca="1">IFERROR(__xludf.DUMMYFUNCTION("""COMPUTED_VALUE"""),0)</f>
        <v>0</v>
      </c>
      <c r="H2693" s="7">
        <f ca="1">IFERROR(__xludf.DUMMYFUNCTION("""COMPUTED_VALUE"""),500000)</f>
        <v>500000</v>
      </c>
    </row>
    <row r="2694" spans="1:8" ht="13" x14ac:dyDescent="0.15">
      <c r="A2694" s="5" t="str">
        <f ca="1">IFERROR(__xludf.DUMMYFUNCTION("""COMPUTED_VALUE"""),"46225")</f>
        <v>46225</v>
      </c>
      <c r="B2694" s="51">
        <f ca="1">IFERROR(__xludf.DUMMYFUNCTION("""COMPUTED_VALUE"""),44619)</f>
        <v>44619</v>
      </c>
      <c r="C2694" s="22">
        <f ca="1">IFERROR(__xludf.DUMMYFUNCTION("""COMPUTED_VALUE"""),500000)</f>
        <v>500000</v>
      </c>
      <c r="D2694" s="22">
        <f ca="1">IFERROR(__xludf.DUMMYFUNCTION("""COMPUTED_VALUE"""),0)</f>
        <v>0</v>
      </c>
      <c r="E2694" s="22">
        <f ca="1">IFERROR(__xludf.DUMMYFUNCTION("""COMPUTED_VALUE"""),500000)</f>
        <v>500000</v>
      </c>
      <c r="F2694" s="22">
        <f ca="1">IFERROR(__xludf.DUMMYFUNCTION("""COMPUTED_VALUE"""),500000)</f>
        <v>500000</v>
      </c>
      <c r="G2694" s="22">
        <f ca="1">IFERROR(__xludf.DUMMYFUNCTION("""COMPUTED_VALUE"""),0)</f>
        <v>0</v>
      </c>
      <c r="H2694" s="7">
        <f ca="1">IFERROR(__xludf.DUMMYFUNCTION("""COMPUTED_VALUE"""),500000)</f>
        <v>500000</v>
      </c>
    </row>
    <row r="2695" spans="1:8" ht="13" x14ac:dyDescent="0.15">
      <c r="A2695" s="5" t="str">
        <f ca="1">IFERROR(__xludf.DUMMYFUNCTION("""COMPUTED_VALUE"""),"46225")</f>
        <v>46225</v>
      </c>
      <c r="B2695" s="51">
        <f ca="1">IFERROR(__xludf.DUMMYFUNCTION("""COMPUTED_VALUE"""),44620)</f>
        <v>44620</v>
      </c>
      <c r="C2695" s="22">
        <f ca="1">IFERROR(__xludf.DUMMYFUNCTION("""COMPUTED_VALUE"""),500000)</f>
        <v>500000</v>
      </c>
      <c r="D2695" s="22">
        <f ca="1">IFERROR(__xludf.DUMMYFUNCTION("""COMPUTED_VALUE"""),0)</f>
        <v>0</v>
      </c>
      <c r="E2695" s="22">
        <f ca="1">IFERROR(__xludf.DUMMYFUNCTION("""COMPUTED_VALUE"""),500000)</f>
        <v>500000</v>
      </c>
      <c r="F2695" s="22">
        <f ca="1">IFERROR(__xludf.DUMMYFUNCTION("""COMPUTED_VALUE"""),500000)</f>
        <v>500000</v>
      </c>
      <c r="G2695" s="22">
        <f ca="1">IFERROR(__xludf.DUMMYFUNCTION("""COMPUTED_VALUE"""),0)</f>
        <v>0</v>
      </c>
      <c r="H2695" s="7">
        <f ca="1">IFERROR(__xludf.DUMMYFUNCTION("""COMPUTED_VALUE"""),500000)</f>
        <v>500000</v>
      </c>
    </row>
    <row r="2696" spans="1:8" ht="13" x14ac:dyDescent="0.15">
      <c r="A2696" s="5" t="str">
        <f ca="1">IFERROR(__xludf.DUMMYFUNCTION("""COMPUTED_VALUE"""),"46225")</f>
        <v>46225</v>
      </c>
      <c r="B2696" s="51">
        <f ca="1">IFERROR(__xludf.DUMMYFUNCTION("""COMPUTED_VALUE"""),44621)</f>
        <v>44621</v>
      </c>
      <c r="C2696" s="22">
        <f ca="1">IFERROR(__xludf.DUMMYFUNCTION("""COMPUTED_VALUE"""),500000)</f>
        <v>500000</v>
      </c>
      <c r="D2696" s="22">
        <f ca="1">IFERROR(__xludf.DUMMYFUNCTION("""COMPUTED_VALUE"""),0)</f>
        <v>0</v>
      </c>
      <c r="E2696" s="22">
        <f ca="1">IFERROR(__xludf.DUMMYFUNCTION("""COMPUTED_VALUE"""),500000)</f>
        <v>500000</v>
      </c>
      <c r="F2696" s="22">
        <f ca="1">IFERROR(__xludf.DUMMYFUNCTION("""COMPUTED_VALUE"""),500000)</f>
        <v>500000</v>
      </c>
      <c r="G2696" s="22">
        <f ca="1">IFERROR(__xludf.DUMMYFUNCTION("""COMPUTED_VALUE"""),0)</f>
        <v>0</v>
      </c>
      <c r="H2696" s="7">
        <f ca="1">IFERROR(__xludf.DUMMYFUNCTION("""COMPUTED_VALUE"""),500000)</f>
        <v>500000</v>
      </c>
    </row>
    <row r="2697" spans="1:8" ht="13" x14ac:dyDescent="0.15">
      <c r="A2697" s="5" t="str">
        <f ca="1">IFERROR(__xludf.DUMMYFUNCTION("""COMPUTED_VALUE"""),"46225")</f>
        <v>46225</v>
      </c>
      <c r="B2697" s="51">
        <f ca="1">IFERROR(__xludf.DUMMYFUNCTION("""COMPUTED_VALUE"""),44622)</f>
        <v>44622</v>
      </c>
      <c r="C2697" s="22">
        <f ca="1">IFERROR(__xludf.DUMMYFUNCTION("""COMPUTED_VALUE"""),500000)</f>
        <v>500000</v>
      </c>
      <c r="D2697" s="22">
        <f ca="1">IFERROR(__xludf.DUMMYFUNCTION("""COMPUTED_VALUE"""),0)</f>
        <v>0</v>
      </c>
      <c r="E2697" s="22">
        <f ca="1">IFERROR(__xludf.DUMMYFUNCTION("""COMPUTED_VALUE"""),500000)</f>
        <v>500000</v>
      </c>
      <c r="F2697" s="22">
        <f ca="1">IFERROR(__xludf.DUMMYFUNCTION("""COMPUTED_VALUE"""),500000)</f>
        <v>500000</v>
      </c>
      <c r="G2697" s="22">
        <f ca="1">IFERROR(__xludf.DUMMYFUNCTION("""COMPUTED_VALUE"""),0)</f>
        <v>0</v>
      </c>
      <c r="H2697" s="7">
        <f ca="1">IFERROR(__xludf.DUMMYFUNCTION("""COMPUTED_VALUE"""),500000)</f>
        <v>500000</v>
      </c>
    </row>
    <row r="2698" spans="1:8" ht="13" x14ac:dyDescent="0.15">
      <c r="A2698" s="5" t="str">
        <f ca="1">IFERROR(__xludf.DUMMYFUNCTION("""COMPUTED_VALUE"""),"46225")</f>
        <v>46225</v>
      </c>
      <c r="B2698" s="51">
        <f ca="1">IFERROR(__xludf.DUMMYFUNCTION("""COMPUTED_VALUE"""),44623)</f>
        <v>44623</v>
      </c>
      <c r="C2698" s="22">
        <f ca="1">IFERROR(__xludf.DUMMYFUNCTION("""COMPUTED_VALUE"""),500000)</f>
        <v>500000</v>
      </c>
      <c r="D2698" s="22">
        <f ca="1">IFERROR(__xludf.DUMMYFUNCTION("""COMPUTED_VALUE"""),0)</f>
        <v>0</v>
      </c>
      <c r="E2698" s="22">
        <f ca="1">IFERROR(__xludf.DUMMYFUNCTION("""COMPUTED_VALUE"""),500000)</f>
        <v>500000</v>
      </c>
      <c r="F2698" s="22">
        <f ca="1">IFERROR(__xludf.DUMMYFUNCTION("""COMPUTED_VALUE"""),500000)</f>
        <v>500000</v>
      </c>
      <c r="G2698" s="22">
        <f ca="1">IFERROR(__xludf.DUMMYFUNCTION("""COMPUTED_VALUE"""),0)</f>
        <v>0</v>
      </c>
      <c r="H2698" s="7">
        <f ca="1">IFERROR(__xludf.DUMMYFUNCTION("""COMPUTED_VALUE"""),500000)</f>
        <v>500000</v>
      </c>
    </row>
    <row r="2699" spans="1:8" ht="13" x14ac:dyDescent="0.15">
      <c r="A2699" s="5" t="str">
        <f ca="1">IFERROR(__xludf.DUMMYFUNCTION("""COMPUTED_VALUE"""),"46225")</f>
        <v>46225</v>
      </c>
      <c r="B2699" s="51">
        <f ca="1">IFERROR(__xludf.DUMMYFUNCTION("""COMPUTED_VALUE"""),44624)</f>
        <v>44624</v>
      </c>
      <c r="C2699" s="22">
        <f ca="1">IFERROR(__xludf.DUMMYFUNCTION("""COMPUTED_VALUE"""),500000)</f>
        <v>500000</v>
      </c>
      <c r="D2699" s="22">
        <f ca="1">IFERROR(__xludf.DUMMYFUNCTION("""COMPUTED_VALUE"""),0)</f>
        <v>0</v>
      </c>
      <c r="E2699" s="22">
        <f ca="1">IFERROR(__xludf.DUMMYFUNCTION("""COMPUTED_VALUE"""),500000)</f>
        <v>500000</v>
      </c>
      <c r="F2699" s="22">
        <f ca="1">IFERROR(__xludf.DUMMYFUNCTION("""COMPUTED_VALUE"""),500000)</f>
        <v>500000</v>
      </c>
      <c r="G2699" s="22">
        <f ca="1">IFERROR(__xludf.DUMMYFUNCTION("""COMPUTED_VALUE"""),0)</f>
        <v>0</v>
      </c>
      <c r="H2699" s="7">
        <f ca="1">IFERROR(__xludf.DUMMYFUNCTION("""COMPUTED_VALUE"""),500000)</f>
        <v>500000</v>
      </c>
    </row>
    <row r="2700" spans="1:8" ht="13" x14ac:dyDescent="0.15">
      <c r="A2700" s="5" t="str">
        <f ca="1">IFERROR(__xludf.DUMMYFUNCTION("""COMPUTED_VALUE"""),"46225")</f>
        <v>46225</v>
      </c>
      <c r="B2700" s="51">
        <f ca="1">IFERROR(__xludf.DUMMYFUNCTION("""COMPUTED_VALUE"""),44625)</f>
        <v>44625</v>
      </c>
      <c r="C2700" s="22">
        <f ca="1">IFERROR(__xludf.DUMMYFUNCTION("""COMPUTED_VALUE"""),500000)</f>
        <v>500000</v>
      </c>
      <c r="D2700" s="22">
        <f ca="1">IFERROR(__xludf.DUMMYFUNCTION("""COMPUTED_VALUE"""),0)</f>
        <v>0</v>
      </c>
      <c r="E2700" s="22">
        <f ca="1">IFERROR(__xludf.DUMMYFUNCTION("""COMPUTED_VALUE"""),500000)</f>
        <v>500000</v>
      </c>
      <c r="F2700" s="22">
        <f ca="1">IFERROR(__xludf.DUMMYFUNCTION("""COMPUTED_VALUE"""),500000)</f>
        <v>500000</v>
      </c>
      <c r="G2700" s="22">
        <f ca="1">IFERROR(__xludf.DUMMYFUNCTION("""COMPUTED_VALUE"""),0)</f>
        <v>0</v>
      </c>
      <c r="H2700" s="7">
        <f ca="1">IFERROR(__xludf.DUMMYFUNCTION("""COMPUTED_VALUE"""),500000)</f>
        <v>500000</v>
      </c>
    </row>
    <row r="2701" spans="1:8" ht="13" x14ac:dyDescent="0.15">
      <c r="A2701" s="5" t="str">
        <f ca="1">IFERROR(__xludf.DUMMYFUNCTION("""COMPUTED_VALUE"""),"46225")</f>
        <v>46225</v>
      </c>
      <c r="B2701" s="51">
        <f ca="1">IFERROR(__xludf.DUMMYFUNCTION("""COMPUTED_VALUE"""),44626)</f>
        <v>44626</v>
      </c>
      <c r="C2701" s="22">
        <f ca="1">IFERROR(__xludf.DUMMYFUNCTION("""COMPUTED_VALUE"""),500000)</f>
        <v>500000</v>
      </c>
      <c r="D2701" s="22">
        <f ca="1">IFERROR(__xludf.DUMMYFUNCTION("""COMPUTED_VALUE"""),0)</f>
        <v>0</v>
      </c>
      <c r="E2701" s="22">
        <f ca="1">IFERROR(__xludf.DUMMYFUNCTION("""COMPUTED_VALUE"""),500000)</f>
        <v>500000</v>
      </c>
      <c r="F2701" s="22">
        <f ca="1">IFERROR(__xludf.DUMMYFUNCTION("""COMPUTED_VALUE"""),500000)</f>
        <v>500000</v>
      </c>
      <c r="G2701" s="22">
        <f ca="1">IFERROR(__xludf.DUMMYFUNCTION("""COMPUTED_VALUE"""),0)</f>
        <v>0</v>
      </c>
      <c r="H2701" s="7">
        <f ca="1">IFERROR(__xludf.DUMMYFUNCTION("""COMPUTED_VALUE"""),500000)</f>
        <v>500000</v>
      </c>
    </row>
    <row r="2702" spans="1:8" ht="13" x14ac:dyDescent="0.15">
      <c r="A2702" s="5" t="str">
        <f ca="1">IFERROR(__xludf.DUMMYFUNCTION("""COMPUTED_VALUE"""),"46225")</f>
        <v>46225</v>
      </c>
      <c r="B2702" s="51">
        <f ca="1">IFERROR(__xludf.DUMMYFUNCTION("""COMPUTED_VALUE"""),44627)</f>
        <v>44627</v>
      </c>
      <c r="C2702" s="22">
        <f ca="1">IFERROR(__xludf.DUMMYFUNCTION("""COMPUTED_VALUE"""),500000)</f>
        <v>500000</v>
      </c>
      <c r="D2702" s="22">
        <f ca="1">IFERROR(__xludf.DUMMYFUNCTION("""COMPUTED_VALUE"""),0)</f>
        <v>0</v>
      </c>
      <c r="E2702" s="22">
        <f ca="1">IFERROR(__xludf.DUMMYFUNCTION("""COMPUTED_VALUE"""),500000)</f>
        <v>500000</v>
      </c>
      <c r="F2702" s="22">
        <f ca="1">IFERROR(__xludf.DUMMYFUNCTION("""COMPUTED_VALUE"""),500000)</f>
        <v>500000</v>
      </c>
      <c r="G2702" s="22">
        <f ca="1">IFERROR(__xludf.DUMMYFUNCTION("""COMPUTED_VALUE"""),0)</f>
        <v>0</v>
      </c>
      <c r="H2702" s="7">
        <f ca="1">IFERROR(__xludf.DUMMYFUNCTION("""COMPUTED_VALUE"""),500000)</f>
        <v>500000</v>
      </c>
    </row>
    <row r="2703" spans="1:8" ht="13" x14ac:dyDescent="0.15">
      <c r="A2703" s="5" t="str">
        <f ca="1">IFERROR(__xludf.DUMMYFUNCTION("""COMPUTED_VALUE"""),"46225")</f>
        <v>46225</v>
      </c>
      <c r="B2703" s="51">
        <f ca="1">IFERROR(__xludf.DUMMYFUNCTION("""COMPUTED_VALUE"""),44628)</f>
        <v>44628</v>
      </c>
      <c r="C2703" s="22">
        <f ca="1">IFERROR(__xludf.DUMMYFUNCTION("""COMPUTED_VALUE"""),500000)</f>
        <v>500000</v>
      </c>
      <c r="D2703" s="22">
        <f ca="1">IFERROR(__xludf.DUMMYFUNCTION("""COMPUTED_VALUE"""),0)</f>
        <v>0</v>
      </c>
      <c r="E2703" s="22">
        <f ca="1">IFERROR(__xludf.DUMMYFUNCTION("""COMPUTED_VALUE"""),500000)</f>
        <v>500000</v>
      </c>
      <c r="F2703" s="22">
        <f ca="1">IFERROR(__xludf.DUMMYFUNCTION("""COMPUTED_VALUE"""),500000)</f>
        <v>500000</v>
      </c>
      <c r="G2703" s="22">
        <f ca="1">IFERROR(__xludf.DUMMYFUNCTION("""COMPUTED_VALUE"""),0)</f>
        <v>0</v>
      </c>
      <c r="H2703" s="7">
        <f ca="1">IFERROR(__xludf.DUMMYFUNCTION("""COMPUTED_VALUE"""),500000)</f>
        <v>500000</v>
      </c>
    </row>
    <row r="2704" spans="1:8" ht="13" x14ac:dyDescent="0.15">
      <c r="A2704" s="5" t="str">
        <f ca="1">IFERROR(__xludf.DUMMYFUNCTION("""COMPUTED_VALUE"""),"46225")</f>
        <v>46225</v>
      </c>
      <c r="B2704" s="51">
        <f ca="1">IFERROR(__xludf.DUMMYFUNCTION("""COMPUTED_VALUE"""),44629)</f>
        <v>44629</v>
      </c>
      <c r="C2704" s="22">
        <f ca="1">IFERROR(__xludf.DUMMYFUNCTION("""COMPUTED_VALUE"""),500000)</f>
        <v>500000</v>
      </c>
      <c r="D2704" s="22">
        <f ca="1">IFERROR(__xludf.DUMMYFUNCTION("""COMPUTED_VALUE"""),0)</f>
        <v>0</v>
      </c>
      <c r="E2704" s="22">
        <f ca="1">IFERROR(__xludf.DUMMYFUNCTION("""COMPUTED_VALUE"""),500000)</f>
        <v>500000</v>
      </c>
      <c r="F2704" s="22">
        <f ca="1">IFERROR(__xludf.DUMMYFUNCTION("""COMPUTED_VALUE"""),500000)</f>
        <v>500000</v>
      </c>
      <c r="G2704" s="22">
        <f ca="1">IFERROR(__xludf.DUMMYFUNCTION("""COMPUTED_VALUE"""),0)</f>
        <v>0</v>
      </c>
      <c r="H2704" s="7">
        <f ca="1">IFERROR(__xludf.DUMMYFUNCTION("""COMPUTED_VALUE"""),500000)</f>
        <v>500000</v>
      </c>
    </row>
    <row r="2705" spans="1:8" ht="13" x14ac:dyDescent="0.15">
      <c r="A2705" s="5" t="str">
        <f ca="1">IFERROR(__xludf.DUMMYFUNCTION("""COMPUTED_VALUE"""),"46225")</f>
        <v>46225</v>
      </c>
      <c r="B2705" s="51">
        <f ca="1">IFERROR(__xludf.DUMMYFUNCTION("""COMPUTED_VALUE"""),44630)</f>
        <v>44630</v>
      </c>
      <c r="C2705" s="22">
        <f ca="1">IFERROR(__xludf.DUMMYFUNCTION("""COMPUTED_VALUE"""),500000)</f>
        <v>500000</v>
      </c>
      <c r="D2705" s="22">
        <f ca="1">IFERROR(__xludf.DUMMYFUNCTION("""COMPUTED_VALUE"""),0)</f>
        <v>0</v>
      </c>
      <c r="E2705" s="22">
        <f ca="1">IFERROR(__xludf.DUMMYFUNCTION("""COMPUTED_VALUE"""),500000)</f>
        <v>500000</v>
      </c>
      <c r="F2705" s="22">
        <f ca="1">IFERROR(__xludf.DUMMYFUNCTION("""COMPUTED_VALUE"""),500000)</f>
        <v>500000</v>
      </c>
      <c r="G2705" s="22">
        <f ca="1">IFERROR(__xludf.DUMMYFUNCTION("""COMPUTED_VALUE"""),0)</f>
        <v>0</v>
      </c>
      <c r="H2705" s="7">
        <f ca="1">IFERROR(__xludf.DUMMYFUNCTION("""COMPUTED_VALUE"""),500000)</f>
        <v>500000</v>
      </c>
    </row>
    <row r="2706" spans="1:8" ht="13" x14ac:dyDescent="0.15">
      <c r="A2706" s="5" t="str">
        <f ca="1">IFERROR(__xludf.DUMMYFUNCTION("""COMPUTED_VALUE"""),"46225")</f>
        <v>46225</v>
      </c>
      <c r="B2706" s="51">
        <f ca="1">IFERROR(__xludf.DUMMYFUNCTION("""COMPUTED_VALUE"""),44631)</f>
        <v>44631</v>
      </c>
      <c r="C2706" s="22">
        <f ca="1">IFERROR(__xludf.DUMMYFUNCTION("""COMPUTED_VALUE"""),500000)</f>
        <v>500000</v>
      </c>
      <c r="D2706" s="22">
        <f ca="1">IFERROR(__xludf.DUMMYFUNCTION("""COMPUTED_VALUE"""),0)</f>
        <v>0</v>
      </c>
      <c r="E2706" s="22">
        <f ca="1">IFERROR(__xludf.DUMMYFUNCTION("""COMPUTED_VALUE"""),500000)</f>
        <v>500000</v>
      </c>
      <c r="F2706" s="22">
        <f ca="1">IFERROR(__xludf.DUMMYFUNCTION("""COMPUTED_VALUE"""),500000)</f>
        <v>500000</v>
      </c>
      <c r="G2706" s="22">
        <f ca="1">IFERROR(__xludf.DUMMYFUNCTION("""COMPUTED_VALUE"""),0)</f>
        <v>0</v>
      </c>
      <c r="H2706" s="7">
        <f ca="1">IFERROR(__xludf.DUMMYFUNCTION("""COMPUTED_VALUE"""),500000)</f>
        <v>500000</v>
      </c>
    </row>
    <row r="2707" spans="1:8" ht="13" x14ac:dyDescent="0.15">
      <c r="A2707" s="5" t="str">
        <f ca="1">IFERROR(__xludf.DUMMYFUNCTION("""COMPUTED_VALUE"""),"46225")</f>
        <v>46225</v>
      </c>
      <c r="B2707" s="51">
        <f ca="1">IFERROR(__xludf.DUMMYFUNCTION("""COMPUTED_VALUE"""),44632)</f>
        <v>44632</v>
      </c>
      <c r="C2707" s="22">
        <f ca="1">IFERROR(__xludf.DUMMYFUNCTION("""COMPUTED_VALUE"""),500000)</f>
        <v>500000</v>
      </c>
      <c r="D2707" s="22">
        <f ca="1">IFERROR(__xludf.DUMMYFUNCTION("""COMPUTED_VALUE"""),0)</f>
        <v>0</v>
      </c>
      <c r="E2707" s="22">
        <f ca="1">IFERROR(__xludf.DUMMYFUNCTION("""COMPUTED_VALUE"""),500000)</f>
        <v>500000</v>
      </c>
      <c r="F2707" s="22">
        <f ca="1">IFERROR(__xludf.DUMMYFUNCTION("""COMPUTED_VALUE"""),500000)</f>
        <v>500000</v>
      </c>
      <c r="G2707" s="22">
        <f ca="1">IFERROR(__xludf.DUMMYFUNCTION("""COMPUTED_VALUE"""),0)</f>
        <v>0</v>
      </c>
      <c r="H2707" s="7">
        <f ca="1">IFERROR(__xludf.DUMMYFUNCTION("""COMPUTED_VALUE"""),500000)</f>
        <v>500000</v>
      </c>
    </row>
    <row r="2708" spans="1:8" ht="13" x14ac:dyDescent="0.15">
      <c r="A2708" s="5" t="str">
        <f ca="1">IFERROR(__xludf.DUMMYFUNCTION("""COMPUTED_VALUE"""),"46225")</f>
        <v>46225</v>
      </c>
      <c r="B2708" s="51">
        <f ca="1">IFERROR(__xludf.DUMMYFUNCTION("""COMPUTED_VALUE"""),44633)</f>
        <v>44633</v>
      </c>
      <c r="C2708" s="22">
        <f ca="1">IFERROR(__xludf.DUMMYFUNCTION("""COMPUTED_VALUE"""),500000)</f>
        <v>500000</v>
      </c>
      <c r="D2708" s="22">
        <f ca="1">IFERROR(__xludf.DUMMYFUNCTION("""COMPUTED_VALUE"""),0)</f>
        <v>0</v>
      </c>
      <c r="E2708" s="22">
        <f ca="1">IFERROR(__xludf.DUMMYFUNCTION("""COMPUTED_VALUE"""),500000)</f>
        <v>500000</v>
      </c>
      <c r="F2708" s="22">
        <f ca="1">IFERROR(__xludf.DUMMYFUNCTION("""COMPUTED_VALUE"""),500000)</f>
        <v>500000</v>
      </c>
      <c r="G2708" s="22">
        <f ca="1">IFERROR(__xludf.DUMMYFUNCTION("""COMPUTED_VALUE"""),0)</f>
        <v>0</v>
      </c>
      <c r="H2708" s="7">
        <f ca="1">IFERROR(__xludf.DUMMYFUNCTION("""COMPUTED_VALUE"""),500000)</f>
        <v>500000</v>
      </c>
    </row>
    <row r="2709" spans="1:8" ht="13" x14ac:dyDescent="0.15">
      <c r="A2709" s="5" t="str">
        <f ca="1">IFERROR(__xludf.DUMMYFUNCTION("""COMPUTED_VALUE"""),"46225")</f>
        <v>46225</v>
      </c>
      <c r="B2709" s="51">
        <f ca="1">IFERROR(__xludf.DUMMYFUNCTION("""COMPUTED_VALUE"""),44634)</f>
        <v>44634</v>
      </c>
      <c r="C2709" s="22">
        <f ca="1">IFERROR(__xludf.DUMMYFUNCTION("""COMPUTED_VALUE"""),500000)</f>
        <v>500000</v>
      </c>
      <c r="D2709" s="22">
        <f ca="1">IFERROR(__xludf.DUMMYFUNCTION("""COMPUTED_VALUE"""),0)</f>
        <v>0</v>
      </c>
      <c r="E2709" s="22">
        <f ca="1">IFERROR(__xludf.DUMMYFUNCTION("""COMPUTED_VALUE"""),500000)</f>
        <v>500000</v>
      </c>
      <c r="F2709" s="22">
        <f ca="1">IFERROR(__xludf.DUMMYFUNCTION("""COMPUTED_VALUE"""),500000)</f>
        <v>500000</v>
      </c>
      <c r="G2709" s="22">
        <f ca="1">IFERROR(__xludf.DUMMYFUNCTION("""COMPUTED_VALUE"""),0)</f>
        <v>0</v>
      </c>
      <c r="H2709" s="7">
        <f ca="1">IFERROR(__xludf.DUMMYFUNCTION("""COMPUTED_VALUE"""),500000)</f>
        <v>500000</v>
      </c>
    </row>
    <row r="2710" spans="1:8" ht="13" x14ac:dyDescent="0.15">
      <c r="A2710" s="5" t="str">
        <f ca="1">IFERROR(__xludf.DUMMYFUNCTION("""COMPUTED_VALUE"""),"46225")</f>
        <v>46225</v>
      </c>
      <c r="B2710" s="51">
        <f ca="1">IFERROR(__xludf.DUMMYFUNCTION("""COMPUTED_VALUE"""),44635)</f>
        <v>44635</v>
      </c>
      <c r="C2710" s="22">
        <f ca="1">IFERROR(__xludf.DUMMYFUNCTION("""COMPUTED_VALUE"""),500000)</f>
        <v>500000</v>
      </c>
      <c r="D2710" s="22">
        <f ca="1">IFERROR(__xludf.DUMMYFUNCTION("""COMPUTED_VALUE"""),0)</f>
        <v>0</v>
      </c>
      <c r="E2710" s="22">
        <f ca="1">IFERROR(__xludf.DUMMYFUNCTION("""COMPUTED_VALUE"""),500000)</f>
        <v>500000</v>
      </c>
      <c r="F2710" s="22">
        <f ca="1">IFERROR(__xludf.DUMMYFUNCTION("""COMPUTED_VALUE"""),500000)</f>
        <v>500000</v>
      </c>
      <c r="G2710" s="22">
        <f ca="1">IFERROR(__xludf.DUMMYFUNCTION("""COMPUTED_VALUE"""),0)</f>
        <v>0</v>
      </c>
      <c r="H2710" s="7">
        <f ca="1">IFERROR(__xludf.DUMMYFUNCTION("""COMPUTED_VALUE"""),500000)</f>
        <v>500000</v>
      </c>
    </row>
    <row r="2711" spans="1:8" ht="13" x14ac:dyDescent="0.15">
      <c r="A2711" s="5" t="str">
        <f ca="1">IFERROR(__xludf.DUMMYFUNCTION("""COMPUTED_VALUE"""),"46225")</f>
        <v>46225</v>
      </c>
      <c r="B2711" s="51">
        <f ca="1">IFERROR(__xludf.DUMMYFUNCTION("""COMPUTED_VALUE"""),44636)</f>
        <v>44636</v>
      </c>
      <c r="C2711" s="22">
        <f ca="1">IFERROR(__xludf.DUMMYFUNCTION("""COMPUTED_VALUE"""),500000)</f>
        <v>500000</v>
      </c>
      <c r="D2711" s="22">
        <f ca="1">IFERROR(__xludf.DUMMYFUNCTION("""COMPUTED_VALUE"""),0)</f>
        <v>0</v>
      </c>
      <c r="E2711" s="22">
        <f ca="1">IFERROR(__xludf.DUMMYFUNCTION("""COMPUTED_VALUE"""),500000)</f>
        <v>500000</v>
      </c>
      <c r="F2711" s="22">
        <f ca="1">IFERROR(__xludf.DUMMYFUNCTION("""COMPUTED_VALUE"""),500000)</f>
        <v>500000</v>
      </c>
      <c r="G2711" s="22">
        <f ca="1">IFERROR(__xludf.DUMMYFUNCTION("""COMPUTED_VALUE"""),0)</f>
        <v>0</v>
      </c>
      <c r="H2711" s="7">
        <f ca="1">IFERROR(__xludf.DUMMYFUNCTION("""COMPUTED_VALUE"""),500000)</f>
        <v>500000</v>
      </c>
    </row>
    <row r="2712" spans="1:8" ht="13" x14ac:dyDescent="0.15">
      <c r="A2712" s="5" t="str">
        <f ca="1">IFERROR(__xludf.DUMMYFUNCTION("""COMPUTED_VALUE"""),"46225")</f>
        <v>46225</v>
      </c>
      <c r="B2712" s="51">
        <f ca="1">IFERROR(__xludf.DUMMYFUNCTION("""COMPUTED_VALUE"""),44637)</f>
        <v>44637</v>
      </c>
      <c r="C2712" s="22">
        <f ca="1">IFERROR(__xludf.DUMMYFUNCTION("""COMPUTED_VALUE"""),500000)</f>
        <v>500000</v>
      </c>
      <c r="D2712" s="22">
        <f ca="1">IFERROR(__xludf.DUMMYFUNCTION("""COMPUTED_VALUE"""),0)</f>
        <v>0</v>
      </c>
      <c r="E2712" s="22">
        <f ca="1">IFERROR(__xludf.DUMMYFUNCTION("""COMPUTED_VALUE"""),500000)</f>
        <v>500000</v>
      </c>
      <c r="F2712" s="22">
        <f ca="1">IFERROR(__xludf.DUMMYFUNCTION("""COMPUTED_VALUE"""),500000)</f>
        <v>500000</v>
      </c>
      <c r="G2712" s="22">
        <f ca="1">IFERROR(__xludf.DUMMYFUNCTION("""COMPUTED_VALUE"""),0)</f>
        <v>0</v>
      </c>
      <c r="H2712" s="7">
        <f ca="1">IFERROR(__xludf.DUMMYFUNCTION("""COMPUTED_VALUE"""),500000)</f>
        <v>500000</v>
      </c>
    </row>
    <row r="2713" spans="1:8" ht="13" x14ac:dyDescent="0.15">
      <c r="A2713" s="5" t="str">
        <f ca="1">IFERROR(__xludf.DUMMYFUNCTION("""COMPUTED_VALUE"""),"46225")</f>
        <v>46225</v>
      </c>
      <c r="B2713" s="51">
        <f ca="1">IFERROR(__xludf.DUMMYFUNCTION("""COMPUTED_VALUE"""),44638)</f>
        <v>44638</v>
      </c>
      <c r="C2713" s="22">
        <f ca="1">IFERROR(__xludf.DUMMYFUNCTION("""COMPUTED_VALUE"""),500000)</f>
        <v>500000</v>
      </c>
      <c r="D2713" s="22">
        <f ca="1">IFERROR(__xludf.DUMMYFUNCTION("""COMPUTED_VALUE"""),0)</f>
        <v>0</v>
      </c>
      <c r="E2713" s="22">
        <f ca="1">IFERROR(__xludf.DUMMYFUNCTION("""COMPUTED_VALUE"""),500000)</f>
        <v>500000</v>
      </c>
      <c r="F2713" s="22">
        <f ca="1">IFERROR(__xludf.DUMMYFUNCTION("""COMPUTED_VALUE"""),500000)</f>
        <v>500000</v>
      </c>
      <c r="G2713" s="22">
        <f ca="1">IFERROR(__xludf.DUMMYFUNCTION("""COMPUTED_VALUE"""),0)</f>
        <v>0</v>
      </c>
      <c r="H2713" s="7">
        <f ca="1">IFERROR(__xludf.DUMMYFUNCTION("""COMPUTED_VALUE"""),500000)</f>
        <v>500000</v>
      </c>
    </row>
    <row r="2714" spans="1:8" ht="13" x14ac:dyDescent="0.15">
      <c r="A2714" s="5" t="str">
        <f ca="1">IFERROR(__xludf.DUMMYFUNCTION("""COMPUTED_VALUE"""),"46225")</f>
        <v>46225</v>
      </c>
      <c r="B2714" s="51">
        <f ca="1">IFERROR(__xludf.DUMMYFUNCTION("""COMPUTED_VALUE"""),44639)</f>
        <v>44639</v>
      </c>
      <c r="C2714" s="22">
        <f ca="1">IFERROR(__xludf.DUMMYFUNCTION("""COMPUTED_VALUE"""),500000)</f>
        <v>500000</v>
      </c>
      <c r="D2714" s="22">
        <f ca="1">IFERROR(__xludf.DUMMYFUNCTION("""COMPUTED_VALUE"""),0)</f>
        <v>0</v>
      </c>
      <c r="E2714" s="22">
        <f ca="1">IFERROR(__xludf.DUMMYFUNCTION("""COMPUTED_VALUE"""),500000)</f>
        <v>500000</v>
      </c>
      <c r="F2714" s="22">
        <f ca="1">IFERROR(__xludf.DUMMYFUNCTION("""COMPUTED_VALUE"""),500000)</f>
        <v>500000</v>
      </c>
      <c r="G2714" s="22">
        <f ca="1">IFERROR(__xludf.DUMMYFUNCTION("""COMPUTED_VALUE"""),0)</f>
        <v>0</v>
      </c>
      <c r="H2714" s="7">
        <f ca="1">IFERROR(__xludf.DUMMYFUNCTION("""COMPUTED_VALUE"""),500000)</f>
        <v>500000</v>
      </c>
    </row>
    <row r="2715" spans="1:8" ht="13" x14ac:dyDescent="0.15">
      <c r="A2715" s="5" t="str">
        <f ca="1">IFERROR(__xludf.DUMMYFUNCTION("""COMPUTED_VALUE"""),"46225")</f>
        <v>46225</v>
      </c>
      <c r="B2715" s="51">
        <f ca="1">IFERROR(__xludf.DUMMYFUNCTION("""COMPUTED_VALUE"""),44640)</f>
        <v>44640</v>
      </c>
      <c r="C2715" s="22">
        <f ca="1">IFERROR(__xludf.DUMMYFUNCTION("""COMPUTED_VALUE"""),500000)</f>
        <v>500000</v>
      </c>
      <c r="D2715" s="22">
        <f ca="1">IFERROR(__xludf.DUMMYFUNCTION("""COMPUTED_VALUE"""),0)</f>
        <v>0</v>
      </c>
      <c r="E2715" s="22">
        <f ca="1">IFERROR(__xludf.DUMMYFUNCTION("""COMPUTED_VALUE"""),500000)</f>
        <v>500000</v>
      </c>
      <c r="F2715" s="22">
        <f ca="1">IFERROR(__xludf.DUMMYFUNCTION("""COMPUTED_VALUE"""),500000)</f>
        <v>500000</v>
      </c>
      <c r="G2715" s="22">
        <f ca="1">IFERROR(__xludf.DUMMYFUNCTION("""COMPUTED_VALUE"""),0)</f>
        <v>0</v>
      </c>
      <c r="H2715" s="7">
        <f ca="1">IFERROR(__xludf.DUMMYFUNCTION("""COMPUTED_VALUE"""),500000)</f>
        <v>500000</v>
      </c>
    </row>
    <row r="2716" spans="1:8" ht="13" x14ac:dyDescent="0.15">
      <c r="A2716" s="5" t="str">
        <f ca="1">IFERROR(__xludf.DUMMYFUNCTION("""COMPUTED_VALUE"""),"46225")</f>
        <v>46225</v>
      </c>
      <c r="B2716" s="51">
        <f ca="1">IFERROR(__xludf.DUMMYFUNCTION("""COMPUTED_VALUE"""),44641)</f>
        <v>44641</v>
      </c>
      <c r="C2716" s="22">
        <f ca="1">IFERROR(__xludf.DUMMYFUNCTION("""COMPUTED_VALUE"""),500000)</f>
        <v>500000</v>
      </c>
      <c r="D2716" s="22">
        <f ca="1">IFERROR(__xludf.DUMMYFUNCTION("""COMPUTED_VALUE"""),0)</f>
        <v>0</v>
      </c>
      <c r="E2716" s="22">
        <f ca="1">IFERROR(__xludf.DUMMYFUNCTION("""COMPUTED_VALUE"""),500000)</f>
        <v>500000</v>
      </c>
      <c r="F2716" s="22">
        <f ca="1">IFERROR(__xludf.DUMMYFUNCTION("""COMPUTED_VALUE"""),500000)</f>
        <v>500000</v>
      </c>
      <c r="G2716" s="22">
        <f ca="1">IFERROR(__xludf.DUMMYFUNCTION("""COMPUTED_VALUE"""),0)</f>
        <v>0</v>
      </c>
      <c r="H2716" s="7">
        <f ca="1">IFERROR(__xludf.DUMMYFUNCTION("""COMPUTED_VALUE"""),500000)</f>
        <v>500000</v>
      </c>
    </row>
    <row r="2717" spans="1:8" ht="13" x14ac:dyDescent="0.15">
      <c r="A2717" s="5" t="str">
        <f ca="1">IFERROR(__xludf.DUMMYFUNCTION("""COMPUTED_VALUE"""),"46225")</f>
        <v>46225</v>
      </c>
      <c r="B2717" s="51">
        <f ca="1">IFERROR(__xludf.DUMMYFUNCTION("""COMPUTED_VALUE"""),44642)</f>
        <v>44642</v>
      </c>
      <c r="C2717" s="22">
        <f ca="1">IFERROR(__xludf.DUMMYFUNCTION("""COMPUTED_VALUE"""),500000)</f>
        <v>500000</v>
      </c>
      <c r="D2717" s="22">
        <f ca="1">IFERROR(__xludf.DUMMYFUNCTION("""COMPUTED_VALUE"""),0)</f>
        <v>0</v>
      </c>
      <c r="E2717" s="22">
        <f ca="1">IFERROR(__xludf.DUMMYFUNCTION("""COMPUTED_VALUE"""),500000)</f>
        <v>500000</v>
      </c>
      <c r="F2717" s="22">
        <f ca="1">IFERROR(__xludf.DUMMYFUNCTION("""COMPUTED_VALUE"""),500000)</f>
        <v>500000</v>
      </c>
      <c r="G2717" s="22">
        <f ca="1">IFERROR(__xludf.DUMMYFUNCTION("""COMPUTED_VALUE"""),0)</f>
        <v>0</v>
      </c>
      <c r="H2717" s="7">
        <f ca="1">IFERROR(__xludf.DUMMYFUNCTION("""COMPUTED_VALUE"""),500000)</f>
        <v>500000</v>
      </c>
    </row>
    <row r="2718" spans="1:8" ht="13" x14ac:dyDescent="0.15">
      <c r="A2718" s="5" t="str">
        <f ca="1">IFERROR(__xludf.DUMMYFUNCTION("""COMPUTED_VALUE"""),"46276")</f>
        <v>46276</v>
      </c>
      <c r="B2718" s="51">
        <f ca="1">IFERROR(__xludf.DUMMYFUNCTION("""COMPUTED_VALUE"""),44597)</f>
        <v>44597</v>
      </c>
      <c r="C2718" s="22">
        <f ca="1">IFERROR(__xludf.DUMMYFUNCTION("""COMPUTED_VALUE"""),500000)</f>
        <v>500000</v>
      </c>
      <c r="D2718" s="22">
        <f ca="1">IFERROR(__xludf.DUMMYFUNCTION("""COMPUTED_VALUE"""),0)</f>
        <v>0</v>
      </c>
      <c r="E2718" s="22">
        <f ca="1">IFERROR(__xludf.DUMMYFUNCTION("""COMPUTED_VALUE"""),500000)</f>
        <v>500000</v>
      </c>
      <c r="F2718" s="22">
        <f ca="1">IFERROR(__xludf.DUMMYFUNCTION("""COMPUTED_VALUE"""),500000)</f>
        <v>500000</v>
      </c>
      <c r="G2718" s="22">
        <f ca="1">IFERROR(__xludf.DUMMYFUNCTION("""COMPUTED_VALUE"""),0)</f>
        <v>0</v>
      </c>
      <c r="H2718" s="7">
        <f ca="1">IFERROR(__xludf.DUMMYFUNCTION("""COMPUTED_VALUE"""),500000)</f>
        <v>500000</v>
      </c>
    </row>
    <row r="2719" spans="1:8" ht="13" x14ac:dyDescent="0.15">
      <c r="A2719" s="5" t="str">
        <f ca="1">IFERROR(__xludf.DUMMYFUNCTION("""COMPUTED_VALUE"""),"46276")</f>
        <v>46276</v>
      </c>
      <c r="B2719" s="51">
        <f ca="1">IFERROR(__xludf.DUMMYFUNCTION("""COMPUTED_VALUE"""),44598)</f>
        <v>44598</v>
      </c>
      <c r="C2719" s="22">
        <f ca="1">IFERROR(__xludf.DUMMYFUNCTION("""COMPUTED_VALUE"""),500000)</f>
        <v>500000</v>
      </c>
      <c r="D2719" s="22">
        <f ca="1">IFERROR(__xludf.DUMMYFUNCTION("""COMPUTED_VALUE"""),0)</f>
        <v>0</v>
      </c>
      <c r="E2719" s="22">
        <f ca="1">IFERROR(__xludf.DUMMYFUNCTION("""COMPUTED_VALUE"""),500000)</f>
        <v>500000</v>
      </c>
      <c r="F2719" s="22">
        <f ca="1">IFERROR(__xludf.DUMMYFUNCTION("""COMPUTED_VALUE"""),500000)</f>
        <v>500000</v>
      </c>
      <c r="G2719" s="22">
        <f ca="1">IFERROR(__xludf.DUMMYFUNCTION("""COMPUTED_VALUE"""),0)</f>
        <v>0</v>
      </c>
      <c r="H2719" s="7">
        <f ca="1">IFERROR(__xludf.DUMMYFUNCTION("""COMPUTED_VALUE"""),500000)</f>
        <v>500000</v>
      </c>
    </row>
    <row r="2720" spans="1:8" ht="13" x14ac:dyDescent="0.15">
      <c r="A2720" s="5" t="str">
        <f ca="1">IFERROR(__xludf.DUMMYFUNCTION("""COMPUTED_VALUE"""),"46276")</f>
        <v>46276</v>
      </c>
      <c r="B2720" s="51">
        <f ca="1">IFERROR(__xludf.DUMMYFUNCTION("""COMPUTED_VALUE"""),44599)</f>
        <v>44599</v>
      </c>
      <c r="C2720" s="22">
        <f ca="1">IFERROR(__xludf.DUMMYFUNCTION("""COMPUTED_VALUE"""),500000)</f>
        <v>500000</v>
      </c>
      <c r="D2720" s="22">
        <f ca="1">IFERROR(__xludf.DUMMYFUNCTION("""COMPUTED_VALUE"""),0)</f>
        <v>0</v>
      </c>
      <c r="E2720" s="22">
        <f ca="1">IFERROR(__xludf.DUMMYFUNCTION("""COMPUTED_VALUE"""),500000)</f>
        <v>500000</v>
      </c>
      <c r="F2720" s="22">
        <f ca="1">IFERROR(__xludf.DUMMYFUNCTION("""COMPUTED_VALUE"""),500000)</f>
        <v>500000</v>
      </c>
      <c r="G2720" s="22">
        <f ca="1">IFERROR(__xludf.DUMMYFUNCTION("""COMPUTED_VALUE"""),0)</f>
        <v>0</v>
      </c>
      <c r="H2720" s="7">
        <f ca="1">IFERROR(__xludf.DUMMYFUNCTION("""COMPUTED_VALUE"""),500000)</f>
        <v>500000</v>
      </c>
    </row>
    <row r="2721" spans="1:8" ht="13" x14ac:dyDescent="0.15">
      <c r="A2721" s="5" t="str">
        <f ca="1">IFERROR(__xludf.DUMMYFUNCTION("""COMPUTED_VALUE"""),"46276")</f>
        <v>46276</v>
      </c>
      <c r="B2721" s="51">
        <f ca="1">IFERROR(__xludf.DUMMYFUNCTION("""COMPUTED_VALUE"""),44600)</f>
        <v>44600</v>
      </c>
      <c r="C2721" s="22">
        <f ca="1">IFERROR(__xludf.DUMMYFUNCTION("""COMPUTED_VALUE"""),500000)</f>
        <v>500000</v>
      </c>
      <c r="D2721" s="22">
        <f ca="1">IFERROR(__xludf.DUMMYFUNCTION("""COMPUTED_VALUE"""),0)</f>
        <v>0</v>
      </c>
      <c r="E2721" s="22">
        <f ca="1">IFERROR(__xludf.DUMMYFUNCTION("""COMPUTED_VALUE"""),500000)</f>
        <v>500000</v>
      </c>
      <c r="F2721" s="22">
        <f ca="1">IFERROR(__xludf.DUMMYFUNCTION("""COMPUTED_VALUE"""),500000)</f>
        <v>500000</v>
      </c>
      <c r="G2721" s="22">
        <f ca="1">IFERROR(__xludf.DUMMYFUNCTION("""COMPUTED_VALUE"""),0)</f>
        <v>0</v>
      </c>
      <c r="H2721" s="7">
        <f ca="1">IFERROR(__xludf.DUMMYFUNCTION("""COMPUTED_VALUE"""),500000)</f>
        <v>500000</v>
      </c>
    </row>
    <row r="2722" spans="1:8" ht="13" x14ac:dyDescent="0.15">
      <c r="A2722" s="5" t="str">
        <f ca="1">IFERROR(__xludf.DUMMYFUNCTION("""COMPUTED_VALUE"""),"46276")</f>
        <v>46276</v>
      </c>
      <c r="B2722" s="51">
        <f ca="1">IFERROR(__xludf.DUMMYFUNCTION("""COMPUTED_VALUE"""),44601)</f>
        <v>44601</v>
      </c>
      <c r="C2722" s="22">
        <f ca="1">IFERROR(__xludf.DUMMYFUNCTION("""COMPUTED_VALUE"""),500000)</f>
        <v>500000</v>
      </c>
      <c r="D2722" s="22">
        <f ca="1">IFERROR(__xludf.DUMMYFUNCTION("""COMPUTED_VALUE"""),0)</f>
        <v>0</v>
      </c>
      <c r="E2722" s="22">
        <f ca="1">IFERROR(__xludf.DUMMYFUNCTION("""COMPUTED_VALUE"""),500000)</f>
        <v>500000</v>
      </c>
      <c r="F2722" s="22">
        <f ca="1">IFERROR(__xludf.DUMMYFUNCTION("""COMPUTED_VALUE"""),500000)</f>
        <v>500000</v>
      </c>
      <c r="G2722" s="22">
        <f ca="1">IFERROR(__xludf.DUMMYFUNCTION("""COMPUTED_VALUE"""),0)</f>
        <v>0</v>
      </c>
      <c r="H2722" s="7">
        <f ca="1">IFERROR(__xludf.DUMMYFUNCTION("""COMPUTED_VALUE"""),500000)</f>
        <v>500000</v>
      </c>
    </row>
    <row r="2723" spans="1:8" ht="13" x14ac:dyDescent="0.15">
      <c r="A2723" s="5" t="str">
        <f ca="1">IFERROR(__xludf.DUMMYFUNCTION("""COMPUTED_VALUE"""),"46276")</f>
        <v>46276</v>
      </c>
      <c r="B2723" s="51">
        <f ca="1">IFERROR(__xludf.DUMMYFUNCTION("""COMPUTED_VALUE"""),44602)</f>
        <v>44602</v>
      </c>
      <c r="C2723" s="22">
        <f ca="1">IFERROR(__xludf.DUMMYFUNCTION("""COMPUTED_VALUE"""),500000)</f>
        <v>500000</v>
      </c>
      <c r="D2723" s="22">
        <f ca="1">IFERROR(__xludf.DUMMYFUNCTION("""COMPUTED_VALUE"""),0)</f>
        <v>0</v>
      </c>
      <c r="E2723" s="22">
        <f ca="1">IFERROR(__xludf.DUMMYFUNCTION("""COMPUTED_VALUE"""),500000)</f>
        <v>500000</v>
      </c>
      <c r="F2723" s="22">
        <f ca="1">IFERROR(__xludf.DUMMYFUNCTION("""COMPUTED_VALUE"""),500000)</f>
        <v>500000</v>
      </c>
      <c r="G2723" s="22">
        <f ca="1">IFERROR(__xludf.DUMMYFUNCTION("""COMPUTED_VALUE"""),0)</f>
        <v>0</v>
      </c>
      <c r="H2723" s="7">
        <f ca="1">IFERROR(__xludf.DUMMYFUNCTION("""COMPUTED_VALUE"""),500000)</f>
        <v>500000</v>
      </c>
    </row>
    <row r="2724" spans="1:8" ht="13" x14ac:dyDescent="0.15">
      <c r="A2724" s="5" t="str">
        <f ca="1">IFERROR(__xludf.DUMMYFUNCTION("""COMPUTED_VALUE"""),"46276")</f>
        <v>46276</v>
      </c>
      <c r="B2724" s="51">
        <f ca="1">IFERROR(__xludf.DUMMYFUNCTION("""COMPUTED_VALUE"""),44603)</f>
        <v>44603</v>
      </c>
      <c r="C2724" s="22">
        <f ca="1">IFERROR(__xludf.DUMMYFUNCTION("""COMPUTED_VALUE"""),500000)</f>
        <v>500000</v>
      </c>
      <c r="D2724" s="22">
        <f ca="1">IFERROR(__xludf.DUMMYFUNCTION("""COMPUTED_VALUE"""),0)</f>
        <v>0</v>
      </c>
      <c r="E2724" s="22">
        <f ca="1">IFERROR(__xludf.DUMMYFUNCTION("""COMPUTED_VALUE"""),500000)</f>
        <v>500000</v>
      </c>
      <c r="F2724" s="22">
        <f ca="1">IFERROR(__xludf.DUMMYFUNCTION("""COMPUTED_VALUE"""),500000)</f>
        <v>500000</v>
      </c>
      <c r="G2724" s="22">
        <f ca="1">IFERROR(__xludf.DUMMYFUNCTION("""COMPUTED_VALUE"""),0)</f>
        <v>0</v>
      </c>
      <c r="H2724" s="7">
        <f ca="1">IFERROR(__xludf.DUMMYFUNCTION("""COMPUTED_VALUE"""),500000)</f>
        <v>500000</v>
      </c>
    </row>
    <row r="2725" spans="1:8" ht="13" x14ac:dyDescent="0.15">
      <c r="A2725" s="5" t="str">
        <f ca="1">IFERROR(__xludf.DUMMYFUNCTION("""COMPUTED_VALUE"""),"46276")</f>
        <v>46276</v>
      </c>
      <c r="B2725" s="51">
        <f ca="1">IFERROR(__xludf.DUMMYFUNCTION("""COMPUTED_VALUE"""),44604)</f>
        <v>44604</v>
      </c>
      <c r="C2725" s="22">
        <f ca="1">IFERROR(__xludf.DUMMYFUNCTION("""COMPUTED_VALUE"""),500000)</f>
        <v>500000</v>
      </c>
      <c r="D2725" s="22">
        <f ca="1">IFERROR(__xludf.DUMMYFUNCTION("""COMPUTED_VALUE"""),0)</f>
        <v>0</v>
      </c>
      <c r="E2725" s="22">
        <f ca="1">IFERROR(__xludf.DUMMYFUNCTION("""COMPUTED_VALUE"""),500000)</f>
        <v>500000</v>
      </c>
      <c r="F2725" s="22">
        <f ca="1">IFERROR(__xludf.DUMMYFUNCTION("""COMPUTED_VALUE"""),500000)</f>
        <v>500000</v>
      </c>
      <c r="G2725" s="22">
        <f ca="1">IFERROR(__xludf.DUMMYFUNCTION("""COMPUTED_VALUE"""),0)</f>
        <v>0</v>
      </c>
      <c r="H2725" s="7">
        <f ca="1">IFERROR(__xludf.DUMMYFUNCTION("""COMPUTED_VALUE"""),500000)</f>
        <v>500000</v>
      </c>
    </row>
    <row r="2726" spans="1:8" ht="13" x14ac:dyDescent="0.15">
      <c r="A2726" s="5" t="str">
        <f ca="1">IFERROR(__xludf.DUMMYFUNCTION("""COMPUTED_VALUE"""),"46276")</f>
        <v>46276</v>
      </c>
      <c r="B2726" s="51">
        <f ca="1">IFERROR(__xludf.DUMMYFUNCTION("""COMPUTED_VALUE"""),44605)</f>
        <v>44605</v>
      </c>
      <c r="C2726" s="22">
        <f ca="1">IFERROR(__xludf.DUMMYFUNCTION("""COMPUTED_VALUE"""),500000)</f>
        <v>500000</v>
      </c>
      <c r="D2726" s="22">
        <f ca="1">IFERROR(__xludf.DUMMYFUNCTION("""COMPUTED_VALUE"""),0)</f>
        <v>0</v>
      </c>
      <c r="E2726" s="22">
        <f ca="1">IFERROR(__xludf.DUMMYFUNCTION("""COMPUTED_VALUE"""),500000)</f>
        <v>500000</v>
      </c>
      <c r="F2726" s="22">
        <f ca="1">IFERROR(__xludf.DUMMYFUNCTION("""COMPUTED_VALUE"""),500000)</f>
        <v>500000</v>
      </c>
      <c r="G2726" s="22">
        <f ca="1">IFERROR(__xludf.DUMMYFUNCTION("""COMPUTED_VALUE"""),0)</f>
        <v>0</v>
      </c>
      <c r="H2726" s="7">
        <f ca="1">IFERROR(__xludf.DUMMYFUNCTION("""COMPUTED_VALUE"""),500000)</f>
        <v>500000</v>
      </c>
    </row>
    <row r="2727" spans="1:8" ht="13" x14ac:dyDescent="0.15">
      <c r="A2727" s="5" t="str">
        <f ca="1">IFERROR(__xludf.DUMMYFUNCTION("""COMPUTED_VALUE"""),"46276")</f>
        <v>46276</v>
      </c>
      <c r="B2727" s="51">
        <f ca="1">IFERROR(__xludf.DUMMYFUNCTION("""COMPUTED_VALUE"""),44606)</f>
        <v>44606</v>
      </c>
      <c r="C2727" s="22">
        <f ca="1">IFERROR(__xludf.DUMMYFUNCTION("""COMPUTED_VALUE"""),500000)</f>
        <v>500000</v>
      </c>
      <c r="D2727" s="22">
        <f ca="1">IFERROR(__xludf.DUMMYFUNCTION("""COMPUTED_VALUE"""),0)</f>
        <v>0</v>
      </c>
      <c r="E2727" s="22">
        <f ca="1">IFERROR(__xludf.DUMMYFUNCTION("""COMPUTED_VALUE"""),500000)</f>
        <v>500000</v>
      </c>
      <c r="F2727" s="22">
        <f ca="1">IFERROR(__xludf.DUMMYFUNCTION("""COMPUTED_VALUE"""),500000)</f>
        <v>500000</v>
      </c>
      <c r="G2727" s="22">
        <f ca="1">IFERROR(__xludf.DUMMYFUNCTION("""COMPUTED_VALUE"""),0)</f>
        <v>0</v>
      </c>
      <c r="H2727" s="7">
        <f ca="1">IFERROR(__xludf.DUMMYFUNCTION("""COMPUTED_VALUE"""),500000)</f>
        <v>500000</v>
      </c>
    </row>
    <row r="2728" spans="1:8" ht="13" x14ac:dyDescent="0.15">
      <c r="A2728" s="5" t="str">
        <f ca="1">IFERROR(__xludf.DUMMYFUNCTION("""COMPUTED_VALUE"""),"46276")</f>
        <v>46276</v>
      </c>
      <c r="B2728" s="51">
        <f ca="1">IFERROR(__xludf.DUMMYFUNCTION("""COMPUTED_VALUE"""),44607)</f>
        <v>44607</v>
      </c>
      <c r="C2728" s="22">
        <f ca="1">IFERROR(__xludf.DUMMYFUNCTION("""COMPUTED_VALUE"""),190528.048504999)</f>
        <v>190528.04850499899</v>
      </c>
      <c r="D2728" s="22">
        <f ca="1">IFERROR(__xludf.DUMMYFUNCTION("""COMPUTED_VALUE"""),309471.951495)</f>
        <v>309471.95149499999</v>
      </c>
      <c r="E2728" s="22">
        <f ca="1">IFERROR(__xludf.DUMMYFUNCTION("""COMPUTED_VALUE"""),500000)</f>
        <v>500000</v>
      </c>
      <c r="F2728" s="22">
        <f ca="1">IFERROR(__xludf.DUMMYFUNCTION("""COMPUTED_VALUE"""),190528.048504999)</f>
        <v>190528.04850499899</v>
      </c>
      <c r="G2728" s="22">
        <f ca="1">IFERROR(__xludf.DUMMYFUNCTION("""COMPUTED_VALUE"""),0)</f>
        <v>0</v>
      </c>
      <c r="H2728" s="7">
        <f ca="1">IFERROR(__xludf.DUMMYFUNCTION("""COMPUTED_VALUE"""),500000)</f>
        <v>500000</v>
      </c>
    </row>
    <row r="2729" spans="1:8" ht="13" x14ac:dyDescent="0.15">
      <c r="A2729" s="5" t="str">
        <f ca="1">IFERROR(__xludf.DUMMYFUNCTION("""COMPUTED_VALUE"""),"46276")</f>
        <v>46276</v>
      </c>
      <c r="B2729" s="51">
        <f ca="1">IFERROR(__xludf.DUMMYFUNCTION("""COMPUTED_VALUE"""),44608)</f>
        <v>44608</v>
      </c>
      <c r="C2729" s="22">
        <f ca="1">IFERROR(__xludf.DUMMYFUNCTION("""COMPUTED_VALUE"""),190528.048504999)</f>
        <v>190528.04850499899</v>
      </c>
      <c r="D2729" s="22">
        <f ca="1">IFERROR(__xludf.DUMMYFUNCTION("""COMPUTED_VALUE"""),309112.385314999)</f>
        <v>309112.38531499897</v>
      </c>
      <c r="E2729" s="22">
        <f ca="1">IFERROR(__xludf.DUMMYFUNCTION("""COMPUTED_VALUE"""),499640.433819999)</f>
        <v>499640.43381999899</v>
      </c>
      <c r="F2729" s="22">
        <f ca="1">IFERROR(__xludf.DUMMYFUNCTION("""COMPUTED_VALUE"""),190528.048504999)</f>
        <v>190528.04850499899</v>
      </c>
      <c r="G2729" s="22">
        <f ca="1">IFERROR(__xludf.DUMMYFUNCTION("""COMPUTED_VALUE"""),0)</f>
        <v>0</v>
      </c>
      <c r="H2729" s="7">
        <f ca="1">IFERROR(__xludf.DUMMYFUNCTION("""COMPUTED_VALUE"""),499343.993129999)</f>
        <v>499343.99312999903</v>
      </c>
    </row>
    <row r="2730" spans="1:8" ht="13" x14ac:dyDescent="0.15">
      <c r="A2730" s="5" t="str">
        <f ca="1">IFERROR(__xludf.DUMMYFUNCTION("""COMPUTED_VALUE"""),"46276")</f>
        <v>46276</v>
      </c>
      <c r="B2730" s="51">
        <f ca="1">IFERROR(__xludf.DUMMYFUNCTION("""COMPUTED_VALUE"""),44609)</f>
        <v>44609</v>
      </c>
      <c r="C2730" s="22">
        <f ca="1">IFERROR(__xludf.DUMMYFUNCTION("""COMPUTED_VALUE"""),190528.048504999)</f>
        <v>190528.04850499899</v>
      </c>
      <c r="D2730" s="22">
        <f ca="1">IFERROR(__xludf.DUMMYFUNCTION("""COMPUTED_VALUE"""),304063.340534999)</f>
        <v>304063.34053499898</v>
      </c>
      <c r="E2730" s="22">
        <f ca="1">IFERROR(__xludf.DUMMYFUNCTION("""COMPUTED_VALUE"""),494591.389039999)</f>
        <v>494591.38903999899</v>
      </c>
      <c r="F2730" s="22">
        <f ca="1">IFERROR(__xludf.DUMMYFUNCTION("""COMPUTED_VALUE"""),190528.048504999)</f>
        <v>190528.04850499899</v>
      </c>
      <c r="G2730" s="22">
        <f ca="1">IFERROR(__xludf.DUMMYFUNCTION("""COMPUTED_VALUE"""),0)</f>
        <v>0</v>
      </c>
      <c r="H2730" s="7">
        <f ca="1">IFERROR(__xludf.DUMMYFUNCTION("""COMPUTED_VALUE"""),493201.952761249)</f>
        <v>493201.95276124898</v>
      </c>
    </row>
    <row r="2731" spans="1:8" ht="13" x14ac:dyDescent="0.15">
      <c r="A2731" s="5" t="str">
        <f ca="1">IFERROR(__xludf.DUMMYFUNCTION("""COMPUTED_VALUE"""),"46276")</f>
        <v>46276</v>
      </c>
      <c r="B2731" s="51">
        <f ca="1">IFERROR(__xludf.DUMMYFUNCTION("""COMPUTED_VALUE"""),44610)</f>
        <v>44610</v>
      </c>
      <c r="C2731" s="22">
        <f ca="1">IFERROR(__xludf.DUMMYFUNCTION("""COMPUTED_VALUE"""),165972.043025)</f>
        <v>165972.04302499999</v>
      </c>
      <c r="D2731" s="22">
        <f ca="1">IFERROR(__xludf.DUMMYFUNCTION("""COMPUTED_VALUE"""),327574.61694)</f>
        <v>327574.61693999998</v>
      </c>
      <c r="E2731" s="22">
        <f ca="1">IFERROR(__xludf.DUMMYFUNCTION("""COMPUTED_VALUE"""),493546.659965)</f>
        <v>493546.659965</v>
      </c>
      <c r="F2731" s="22">
        <f ca="1">IFERROR(__xludf.DUMMYFUNCTION("""COMPUTED_VALUE"""),165972.043025)</f>
        <v>165972.04302499999</v>
      </c>
      <c r="G2731" s="22">
        <f ca="1">IFERROR(__xludf.DUMMYFUNCTION("""COMPUTED_VALUE"""),0)</f>
        <v>0</v>
      </c>
      <c r="H2731" s="7">
        <f ca="1">IFERROR(__xludf.DUMMYFUNCTION("""COMPUTED_VALUE"""),493546.659965)</f>
        <v>493546.659965</v>
      </c>
    </row>
    <row r="2732" spans="1:8" ht="13" x14ac:dyDescent="0.15">
      <c r="A2732" s="5" t="str">
        <f ca="1">IFERROR(__xludf.DUMMYFUNCTION("""COMPUTED_VALUE"""),"46276")</f>
        <v>46276</v>
      </c>
      <c r="B2732" s="51">
        <f ca="1">IFERROR(__xludf.DUMMYFUNCTION("""COMPUTED_VALUE"""),44611)</f>
        <v>44611</v>
      </c>
      <c r="C2732" s="22">
        <f ca="1">IFERROR(__xludf.DUMMYFUNCTION("""COMPUTED_VALUE"""),165972.043025)</f>
        <v>165972.04302499999</v>
      </c>
      <c r="D2732" s="22">
        <f ca="1">IFERROR(__xludf.DUMMYFUNCTION("""COMPUTED_VALUE"""),327574.61694)</f>
        <v>327574.61693999998</v>
      </c>
      <c r="E2732" s="22">
        <f ca="1">IFERROR(__xludf.DUMMYFUNCTION("""COMPUTED_VALUE"""),493546.659965)</f>
        <v>493546.659965</v>
      </c>
      <c r="F2732" s="22">
        <f ca="1">IFERROR(__xludf.DUMMYFUNCTION("""COMPUTED_VALUE"""),165972.043025)</f>
        <v>165972.04302499999</v>
      </c>
      <c r="G2732" s="22">
        <f ca="1">IFERROR(__xludf.DUMMYFUNCTION("""COMPUTED_VALUE"""),0)</f>
        <v>0</v>
      </c>
      <c r="H2732" s="7">
        <f ca="1">IFERROR(__xludf.DUMMYFUNCTION("""COMPUTED_VALUE"""),493546.659965)</f>
        <v>493546.659965</v>
      </c>
    </row>
    <row r="2733" spans="1:8" ht="13" x14ac:dyDescent="0.15">
      <c r="A2733" s="5" t="str">
        <f ca="1">IFERROR(__xludf.DUMMYFUNCTION("""COMPUTED_VALUE"""),"46276")</f>
        <v>46276</v>
      </c>
      <c r="B2733" s="51">
        <f ca="1">IFERROR(__xludf.DUMMYFUNCTION("""COMPUTED_VALUE"""),44612)</f>
        <v>44612</v>
      </c>
      <c r="C2733" s="22">
        <f ca="1">IFERROR(__xludf.DUMMYFUNCTION("""COMPUTED_VALUE"""),165972.043025)</f>
        <v>165972.04302499999</v>
      </c>
      <c r="D2733" s="22">
        <f ca="1">IFERROR(__xludf.DUMMYFUNCTION("""COMPUTED_VALUE"""),327564.32275)</f>
        <v>327564.32274999999</v>
      </c>
      <c r="E2733" s="22">
        <f ca="1">IFERROR(__xludf.DUMMYFUNCTION("""COMPUTED_VALUE"""),493536.365774999)</f>
        <v>493536.36577499902</v>
      </c>
      <c r="F2733" s="22">
        <f ca="1">IFERROR(__xludf.DUMMYFUNCTION("""COMPUTED_VALUE"""),165972.043025)</f>
        <v>165972.04302499999</v>
      </c>
      <c r="G2733" s="22">
        <f ca="1">IFERROR(__xludf.DUMMYFUNCTION("""COMPUTED_VALUE"""),0)</f>
        <v>0</v>
      </c>
      <c r="H2733" s="7">
        <f ca="1">IFERROR(__xludf.DUMMYFUNCTION("""COMPUTED_VALUE"""),493535.531555)</f>
        <v>493535.53155499999</v>
      </c>
    </row>
    <row r="2734" spans="1:8" ht="13" x14ac:dyDescent="0.15">
      <c r="A2734" s="5" t="str">
        <f ca="1">IFERROR(__xludf.DUMMYFUNCTION("""COMPUTED_VALUE"""),"46276")</f>
        <v>46276</v>
      </c>
      <c r="B2734" s="51">
        <f ca="1">IFERROR(__xludf.DUMMYFUNCTION("""COMPUTED_VALUE"""),44613)</f>
        <v>44613</v>
      </c>
      <c r="C2734" s="22">
        <f ca="1">IFERROR(__xludf.DUMMYFUNCTION("""COMPUTED_VALUE"""),165972.043025)</f>
        <v>165972.04302499999</v>
      </c>
      <c r="D2734" s="22">
        <f ca="1">IFERROR(__xludf.DUMMYFUNCTION("""COMPUTED_VALUE"""),327593.845709999)</f>
        <v>327593.84570999898</v>
      </c>
      <c r="E2734" s="22">
        <f ca="1">IFERROR(__xludf.DUMMYFUNCTION("""COMPUTED_VALUE"""),493565.888734999)</f>
        <v>493565.888734999</v>
      </c>
      <c r="F2734" s="22">
        <f ca="1">IFERROR(__xludf.DUMMYFUNCTION("""COMPUTED_VALUE"""),165972.043025)</f>
        <v>165972.04302499999</v>
      </c>
      <c r="G2734" s="22">
        <f ca="1">IFERROR(__xludf.DUMMYFUNCTION("""COMPUTED_VALUE"""),0)</f>
        <v>0</v>
      </c>
      <c r="H2734" s="7">
        <f ca="1">IFERROR(__xludf.DUMMYFUNCTION("""COMPUTED_VALUE"""),493567.446995)</f>
        <v>493567.44699500001</v>
      </c>
    </row>
    <row r="2735" spans="1:8" ht="13" x14ac:dyDescent="0.15">
      <c r="A2735" s="5" t="str">
        <f ca="1">IFERROR(__xludf.DUMMYFUNCTION("""COMPUTED_VALUE"""),"46276")</f>
        <v>46276</v>
      </c>
      <c r="B2735" s="51">
        <f ca="1">IFERROR(__xludf.DUMMYFUNCTION("""COMPUTED_VALUE"""),44614)</f>
        <v>44614</v>
      </c>
      <c r="C2735" s="22">
        <f ca="1">IFERROR(__xludf.DUMMYFUNCTION("""COMPUTED_VALUE"""),165972.043025)</f>
        <v>165972.04302499999</v>
      </c>
      <c r="D2735" s="22">
        <f ca="1">IFERROR(__xludf.DUMMYFUNCTION("""COMPUTED_VALUE"""),326049.95318)</f>
        <v>326049.95318000001</v>
      </c>
      <c r="E2735" s="22">
        <f ca="1">IFERROR(__xludf.DUMMYFUNCTION("""COMPUTED_VALUE"""),492021.996205)</f>
        <v>492021.99620499997</v>
      </c>
      <c r="F2735" s="22">
        <f ca="1">IFERROR(__xludf.DUMMYFUNCTION("""COMPUTED_VALUE"""),165972.043025)</f>
        <v>165972.04302499999</v>
      </c>
      <c r="G2735" s="22">
        <f ca="1">IFERROR(__xludf.DUMMYFUNCTION("""COMPUTED_VALUE"""),0)</f>
        <v>0</v>
      </c>
      <c r="H2735" s="7">
        <f ca="1">IFERROR(__xludf.DUMMYFUNCTION("""COMPUTED_VALUE"""),491975.968525)</f>
        <v>491975.96852499997</v>
      </c>
    </row>
    <row r="2736" spans="1:8" ht="13" x14ac:dyDescent="0.15">
      <c r="A2736" s="5" t="str">
        <f ca="1">IFERROR(__xludf.DUMMYFUNCTION("""COMPUTED_VALUE"""),"46276")</f>
        <v>46276</v>
      </c>
      <c r="B2736" s="51">
        <f ca="1">IFERROR(__xludf.DUMMYFUNCTION("""COMPUTED_VALUE"""),44615)</f>
        <v>44615</v>
      </c>
      <c r="C2736" s="22">
        <f ca="1">IFERROR(__xludf.DUMMYFUNCTION("""COMPUTED_VALUE"""),165972.043025)</f>
        <v>165972.04302499999</v>
      </c>
      <c r="D2736" s="22">
        <f ca="1">IFERROR(__xludf.DUMMYFUNCTION("""COMPUTED_VALUE"""),321641.969837499)</f>
        <v>321641.96983749903</v>
      </c>
      <c r="E2736" s="22">
        <f ca="1">IFERROR(__xludf.DUMMYFUNCTION("""COMPUTED_VALUE"""),487614.012862499)</f>
        <v>487614.01286249899</v>
      </c>
      <c r="F2736" s="22">
        <f ca="1">IFERROR(__xludf.DUMMYFUNCTION("""COMPUTED_VALUE"""),165972.043025)</f>
        <v>165972.04302499999</v>
      </c>
      <c r="G2736" s="22">
        <f ca="1">IFERROR(__xludf.DUMMYFUNCTION("""COMPUTED_VALUE"""),0)</f>
        <v>0</v>
      </c>
      <c r="H2736" s="7">
        <f ca="1">IFERROR(__xludf.DUMMYFUNCTION("""COMPUTED_VALUE"""),487254.1218375)</f>
        <v>487254.12183750002</v>
      </c>
    </row>
    <row r="2737" spans="1:8" ht="13" x14ac:dyDescent="0.15">
      <c r="A2737" s="5" t="str">
        <f ca="1">IFERROR(__xludf.DUMMYFUNCTION("""COMPUTED_VALUE"""),"46276")</f>
        <v>46276</v>
      </c>
      <c r="B2737" s="51">
        <f ca="1">IFERROR(__xludf.DUMMYFUNCTION("""COMPUTED_VALUE"""),44616)</f>
        <v>44616</v>
      </c>
      <c r="C2737" s="22">
        <f ca="1">IFERROR(__xludf.DUMMYFUNCTION("""COMPUTED_VALUE"""),165972.043025)</f>
        <v>165972.04302499999</v>
      </c>
      <c r="D2737" s="22">
        <f ca="1">IFERROR(__xludf.DUMMYFUNCTION("""COMPUTED_VALUE"""),317176.42153)</f>
        <v>317176.42152999999</v>
      </c>
      <c r="E2737" s="22">
        <f ca="1">IFERROR(__xludf.DUMMYFUNCTION("""COMPUTED_VALUE"""),483148.464554999)</f>
        <v>483148.46455499902</v>
      </c>
      <c r="F2737" s="22">
        <f ca="1">IFERROR(__xludf.DUMMYFUNCTION("""COMPUTED_VALUE"""),165972.043025)</f>
        <v>165972.04302499999</v>
      </c>
      <c r="G2737" s="22">
        <f ca="1">IFERROR(__xludf.DUMMYFUNCTION("""COMPUTED_VALUE"""),0)</f>
        <v>0</v>
      </c>
      <c r="H2737" s="7">
        <f ca="1">IFERROR(__xludf.DUMMYFUNCTION("""COMPUTED_VALUE"""),482662.190775)</f>
        <v>482662.19077500002</v>
      </c>
    </row>
    <row r="2738" spans="1:8" ht="13" x14ac:dyDescent="0.15">
      <c r="A2738" s="5" t="str">
        <f ca="1">IFERROR(__xludf.DUMMYFUNCTION("""COMPUTED_VALUE"""),"46276")</f>
        <v>46276</v>
      </c>
      <c r="B2738" s="51">
        <f ca="1">IFERROR(__xludf.DUMMYFUNCTION("""COMPUTED_VALUE"""),44617)</f>
        <v>44617</v>
      </c>
      <c r="C2738" s="22">
        <f ca="1">IFERROR(__xludf.DUMMYFUNCTION("""COMPUTED_VALUE"""),165972.043025)</f>
        <v>165972.04302499999</v>
      </c>
      <c r="D2738" s="22">
        <f ca="1">IFERROR(__xludf.DUMMYFUNCTION("""COMPUTED_VALUE"""),327198.463927)</f>
        <v>327198.463927</v>
      </c>
      <c r="E2738" s="22">
        <f ca="1">IFERROR(__xludf.DUMMYFUNCTION("""COMPUTED_VALUE"""),493170.506951999)</f>
        <v>493170.50695199898</v>
      </c>
      <c r="F2738" s="22">
        <f ca="1">IFERROR(__xludf.DUMMYFUNCTION("""COMPUTED_VALUE"""),165972.043025)</f>
        <v>165972.04302499999</v>
      </c>
      <c r="G2738" s="22">
        <f ca="1">IFERROR(__xludf.DUMMYFUNCTION("""COMPUTED_VALUE"""),0)</f>
        <v>0</v>
      </c>
      <c r="H2738" s="7">
        <f ca="1">IFERROR(__xludf.DUMMYFUNCTION("""COMPUTED_VALUE"""),493542.02167)</f>
        <v>493542.02166999999</v>
      </c>
    </row>
    <row r="2739" spans="1:8" ht="13" x14ac:dyDescent="0.15">
      <c r="A2739" s="5" t="str">
        <f ca="1">IFERROR(__xludf.DUMMYFUNCTION("""COMPUTED_VALUE"""),"46276")</f>
        <v>46276</v>
      </c>
      <c r="B2739" s="51">
        <f ca="1">IFERROR(__xludf.DUMMYFUNCTION("""COMPUTED_VALUE"""),44618)</f>
        <v>44618</v>
      </c>
      <c r="C2739" s="22">
        <f ca="1">IFERROR(__xludf.DUMMYFUNCTION("""COMPUTED_VALUE"""),165972.043025)</f>
        <v>165972.04302499999</v>
      </c>
      <c r="D2739" s="22">
        <f ca="1">IFERROR(__xludf.DUMMYFUNCTION("""COMPUTED_VALUE"""),327204.277717)</f>
        <v>327204.27771699999</v>
      </c>
      <c r="E2739" s="22">
        <f ca="1">IFERROR(__xludf.DUMMYFUNCTION("""COMPUTED_VALUE"""),493176.320742)</f>
        <v>493176.32074200001</v>
      </c>
      <c r="F2739" s="22">
        <f ca="1">IFERROR(__xludf.DUMMYFUNCTION("""COMPUTED_VALUE"""),165972.043025)</f>
        <v>165972.04302499999</v>
      </c>
      <c r="G2739" s="22">
        <f ca="1">IFERROR(__xludf.DUMMYFUNCTION("""COMPUTED_VALUE"""),0)</f>
        <v>0</v>
      </c>
      <c r="H2739" s="7">
        <f ca="1">IFERROR(__xludf.DUMMYFUNCTION("""COMPUTED_VALUE"""),493548.31432)</f>
        <v>493548.31432</v>
      </c>
    </row>
    <row r="2740" spans="1:8" ht="13" x14ac:dyDescent="0.15">
      <c r="A2740" s="5" t="str">
        <f ca="1">IFERROR(__xludf.DUMMYFUNCTION("""COMPUTED_VALUE"""),"46276")</f>
        <v>46276</v>
      </c>
      <c r="B2740" s="51">
        <f ca="1">IFERROR(__xludf.DUMMYFUNCTION("""COMPUTED_VALUE"""),44619)</f>
        <v>44619</v>
      </c>
      <c r="C2740" s="22">
        <f ca="1">IFERROR(__xludf.DUMMYFUNCTION("""COMPUTED_VALUE"""),165972.043025)</f>
        <v>165972.04302499999</v>
      </c>
      <c r="D2740" s="22">
        <f ca="1">IFERROR(__xludf.DUMMYFUNCTION("""COMPUTED_VALUE"""),327190.906)</f>
        <v>327190.90600000002</v>
      </c>
      <c r="E2740" s="22">
        <f ca="1">IFERROR(__xludf.DUMMYFUNCTION("""COMPUTED_VALUE"""),493162.949025)</f>
        <v>493162.94902499998</v>
      </c>
      <c r="F2740" s="22">
        <f ca="1">IFERROR(__xludf.DUMMYFUNCTION("""COMPUTED_VALUE"""),165972.043025)</f>
        <v>165972.04302499999</v>
      </c>
      <c r="G2740" s="22">
        <f ca="1">IFERROR(__xludf.DUMMYFUNCTION("""COMPUTED_VALUE"""),0)</f>
        <v>0</v>
      </c>
      <c r="H2740" s="7">
        <f ca="1">IFERROR(__xludf.DUMMYFUNCTION("""COMPUTED_VALUE"""),493533.841225)</f>
        <v>493533.84122499998</v>
      </c>
    </row>
    <row r="2741" spans="1:8" ht="13" x14ac:dyDescent="0.15">
      <c r="A2741" s="5" t="str">
        <f ca="1">IFERROR(__xludf.DUMMYFUNCTION("""COMPUTED_VALUE"""),"46276")</f>
        <v>46276</v>
      </c>
      <c r="B2741" s="51">
        <f ca="1">IFERROR(__xludf.DUMMYFUNCTION("""COMPUTED_VALUE"""),44620)</f>
        <v>44620</v>
      </c>
      <c r="C2741" s="22">
        <f ca="1">IFERROR(__xludf.DUMMYFUNCTION("""COMPUTED_VALUE"""),165972.043025)</f>
        <v>165972.04302499999</v>
      </c>
      <c r="D2741" s="22">
        <f ca="1">IFERROR(__xludf.DUMMYFUNCTION("""COMPUTED_VALUE"""),325953.9791425)</f>
        <v>325953.97914249997</v>
      </c>
      <c r="E2741" s="22">
        <f ca="1">IFERROR(__xludf.DUMMYFUNCTION("""COMPUTED_VALUE"""),491926.0221675)</f>
        <v>491926.02216749999</v>
      </c>
      <c r="F2741" s="22">
        <f ca="1">IFERROR(__xludf.DUMMYFUNCTION("""COMPUTED_VALUE"""),165972.043025)</f>
        <v>165972.04302499999</v>
      </c>
      <c r="G2741" s="22">
        <f ca="1">IFERROR(__xludf.DUMMYFUNCTION("""COMPUTED_VALUE"""),0)</f>
        <v>0</v>
      </c>
      <c r="H2741" s="7">
        <f ca="1">IFERROR(__xludf.DUMMYFUNCTION("""COMPUTED_VALUE"""),492486.3517125)</f>
        <v>492486.35171249998</v>
      </c>
    </row>
    <row r="2742" spans="1:8" ht="13" x14ac:dyDescent="0.15">
      <c r="A2742" s="5" t="str">
        <f ca="1">IFERROR(__xludf.DUMMYFUNCTION("""COMPUTED_VALUE"""),"46276")</f>
        <v>46276</v>
      </c>
      <c r="B2742" s="51">
        <f ca="1">IFERROR(__xludf.DUMMYFUNCTION("""COMPUTED_VALUE"""),44621)</f>
        <v>44621</v>
      </c>
      <c r="C2742" s="22">
        <f ca="1">IFERROR(__xludf.DUMMYFUNCTION("""COMPUTED_VALUE"""),165972.043025)</f>
        <v>165972.04302499999</v>
      </c>
      <c r="D2742" s="22">
        <f ca="1">IFERROR(__xludf.DUMMYFUNCTION("""COMPUTED_VALUE"""),318294.278473)</f>
        <v>318294.27847299998</v>
      </c>
      <c r="E2742" s="22">
        <f ca="1">IFERROR(__xludf.DUMMYFUNCTION("""COMPUTED_VALUE"""),484266.321497999)</f>
        <v>484266.32149799902</v>
      </c>
      <c r="F2742" s="22">
        <f ca="1">IFERROR(__xludf.DUMMYFUNCTION("""COMPUTED_VALUE"""),165972.043025)</f>
        <v>165972.04302499999</v>
      </c>
      <c r="G2742" s="22">
        <f ca="1">IFERROR(__xludf.DUMMYFUNCTION("""COMPUTED_VALUE"""),0)</f>
        <v>0</v>
      </c>
      <c r="H2742" s="7">
        <f ca="1">IFERROR(__xludf.DUMMYFUNCTION("""COMPUTED_VALUE"""),484473.91258)</f>
        <v>484473.91258</v>
      </c>
    </row>
    <row r="2743" spans="1:8" ht="13" x14ac:dyDescent="0.15">
      <c r="A2743" s="5" t="str">
        <f ca="1">IFERROR(__xludf.DUMMYFUNCTION("""COMPUTED_VALUE"""),"46276")</f>
        <v>46276</v>
      </c>
      <c r="B2743" s="51">
        <f ca="1">IFERROR(__xludf.DUMMYFUNCTION("""COMPUTED_VALUE"""),44622)</f>
        <v>44622</v>
      </c>
      <c r="C2743" s="22">
        <f ca="1">IFERROR(__xludf.DUMMYFUNCTION("""COMPUTED_VALUE"""),165972.043025)</f>
        <v>165972.04302499999</v>
      </c>
      <c r="D2743" s="22">
        <f ca="1">IFERROR(__xludf.DUMMYFUNCTION("""COMPUTED_VALUE"""),323834.97885)</f>
        <v>323834.97885000001</v>
      </c>
      <c r="E2743" s="22">
        <f ca="1">IFERROR(__xludf.DUMMYFUNCTION("""COMPUTED_VALUE"""),489807.021875)</f>
        <v>489807.02187499998</v>
      </c>
      <c r="F2743" s="22">
        <f ca="1">IFERROR(__xludf.DUMMYFUNCTION("""COMPUTED_VALUE"""),165972.043025)</f>
        <v>165972.04302499999</v>
      </c>
      <c r="G2743" s="22">
        <f ca="1">IFERROR(__xludf.DUMMYFUNCTION("""COMPUTED_VALUE"""),0)</f>
        <v>0</v>
      </c>
      <c r="H2743" s="7">
        <f ca="1">IFERROR(__xludf.DUMMYFUNCTION("""COMPUTED_VALUE"""),490540.084174999)</f>
        <v>490540.08417499898</v>
      </c>
    </row>
    <row r="2744" spans="1:8" ht="13" x14ac:dyDescent="0.15">
      <c r="A2744" s="5" t="str">
        <f ca="1">IFERROR(__xludf.DUMMYFUNCTION("""COMPUTED_VALUE"""),"46276")</f>
        <v>46276</v>
      </c>
      <c r="B2744" s="51">
        <f ca="1">IFERROR(__xludf.DUMMYFUNCTION("""COMPUTED_VALUE"""),44623)</f>
        <v>44623</v>
      </c>
      <c r="C2744" s="22">
        <f ca="1">IFERROR(__xludf.DUMMYFUNCTION("""COMPUTED_VALUE"""),165972.043025)</f>
        <v>165972.04302499999</v>
      </c>
      <c r="D2744" s="22">
        <f ca="1">IFERROR(__xludf.DUMMYFUNCTION("""COMPUTED_VALUE"""),323896.026215)</f>
        <v>323896.02621500002</v>
      </c>
      <c r="E2744" s="22">
        <f ca="1">IFERROR(__xludf.DUMMYFUNCTION("""COMPUTED_VALUE"""),489868.06924)</f>
        <v>489868.06923999998</v>
      </c>
      <c r="F2744" s="22">
        <f ca="1">IFERROR(__xludf.DUMMYFUNCTION("""COMPUTED_VALUE"""),165972.043025)</f>
        <v>165972.04302499999</v>
      </c>
      <c r="G2744" s="22">
        <f ca="1">IFERROR(__xludf.DUMMYFUNCTION("""COMPUTED_VALUE"""),0)</f>
        <v>0</v>
      </c>
      <c r="H2744" s="7">
        <f ca="1">IFERROR(__xludf.DUMMYFUNCTION("""COMPUTED_VALUE"""),490927.73055)</f>
        <v>490927.73054999998</v>
      </c>
    </row>
    <row r="2745" spans="1:8" ht="13" x14ac:dyDescent="0.15">
      <c r="A2745" s="5" t="str">
        <f ca="1">IFERROR(__xludf.DUMMYFUNCTION("""COMPUTED_VALUE"""),"46276")</f>
        <v>46276</v>
      </c>
      <c r="B2745" s="51">
        <f ca="1">IFERROR(__xludf.DUMMYFUNCTION("""COMPUTED_VALUE"""),44624)</f>
        <v>44624</v>
      </c>
      <c r="C2745" s="22">
        <f ca="1">IFERROR(__xludf.DUMMYFUNCTION("""COMPUTED_VALUE"""),165972.043025)</f>
        <v>165972.04302499999</v>
      </c>
      <c r="D2745" s="22">
        <f ca="1">IFERROR(__xludf.DUMMYFUNCTION("""COMPUTED_VALUE"""),317803.272468)</f>
        <v>317803.27246800001</v>
      </c>
      <c r="E2745" s="22">
        <f ca="1">IFERROR(__xludf.DUMMYFUNCTION("""COMPUTED_VALUE"""),483775.315493)</f>
        <v>483775.31549299997</v>
      </c>
      <c r="F2745" s="22">
        <f ca="1">IFERROR(__xludf.DUMMYFUNCTION("""COMPUTED_VALUE"""),165972.043025)</f>
        <v>165972.04302499999</v>
      </c>
      <c r="G2745" s="22">
        <f ca="1">IFERROR(__xludf.DUMMYFUNCTION("""COMPUTED_VALUE"""),0)</f>
        <v>0</v>
      </c>
      <c r="H2745" s="7">
        <f ca="1">IFERROR(__xludf.DUMMYFUNCTION("""COMPUTED_VALUE"""),484642.288565)</f>
        <v>484642.288565</v>
      </c>
    </row>
    <row r="2746" spans="1:8" ht="13" x14ac:dyDescent="0.15">
      <c r="A2746" s="5" t="str">
        <f ca="1">IFERROR(__xludf.DUMMYFUNCTION("""COMPUTED_VALUE"""),"46276")</f>
        <v>46276</v>
      </c>
      <c r="B2746" s="51">
        <f ca="1">IFERROR(__xludf.DUMMYFUNCTION("""COMPUTED_VALUE"""),44625)</f>
        <v>44625</v>
      </c>
      <c r="C2746" s="22">
        <f ca="1">IFERROR(__xludf.DUMMYFUNCTION("""COMPUTED_VALUE"""),165972.043025)</f>
        <v>165972.04302499999</v>
      </c>
      <c r="D2746" s="22">
        <f ca="1">IFERROR(__xludf.DUMMYFUNCTION("""COMPUTED_VALUE"""),317803.272468)</f>
        <v>317803.27246800001</v>
      </c>
      <c r="E2746" s="22">
        <f ca="1">IFERROR(__xludf.DUMMYFUNCTION("""COMPUTED_VALUE"""),483775.315493)</f>
        <v>483775.31549299997</v>
      </c>
      <c r="F2746" s="22">
        <f ca="1">IFERROR(__xludf.DUMMYFUNCTION("""COMPUTED_VALUE"""),165972.043025)</f>
        <v>165972.04302499999</v>
      </c>
      <c r="G2746" s="22">
        <f ca="1">IFERROR(__xludf.DUMMYFUNCTION("""COMPUTED_VALUE"""),0)</f>
        <v>0</v>
      </c>
      <c r="H2746" s="7">
        <f ca="1">IFERROR(__xludf.DUMMYFUNCTION("""COMPUTED_VALUE"""),484642.288565)</f>
        <v>484642.288565</v>
      </c>
    </row>
    <row r="2747" spans="1:8" ht="13" x14ac:dyDescent="0.15">
      <c r="A2747" s="5" t="str">
        <f ca="1">IFERROR(__xludf.DUMMYFUNCTION("""COMPUTED_VALUE"""),"46276")</f>
        <v>46276</v>
      </c>
      <c r="B2747" s="51">
        <f ca="1">IFERROR(__xludf.DUMMYFUNCTION("""COMPUTED_VALUE"""),44626)</f>
        <v>44626</v>
      </c>
      <c r="C2747" s="22">
        <f ca="1">IFERROR(__xludf.DUMMYFUNCTION("""COMPUTED_VALUE"""),165972.043025)</f>
        <v>165972.04302499999</v>
      </c>
      <c r="D2747" s="22">
        <f ca="1">IFERROR(__xludf.DUMMYFUNCTION("""COMPUTED_VALUE"""),317843.614100499)</f>
        <v>317843.61410049902</v>
      </c>
      <c r="E2747" s="22">
        <f ca="1">IFERROR(__xludf.DUMMYFUNCTION("""COMPUTED_VALUE"""),483815.657125499)</f>
        <v>483815.65712549898</v>
      </c>
      <c r="F2747" s="22">
        <f ca="1">IFERROR(__xludf.DUMMYFUNCTION("""COMPUTED_VALUE"""),165972.043025)</f>
        <v>165972.04302499999</v>
      </c>
      <c r="G2747" s="22">
        <f ca="1">IFERROR(__xludf.DUMMYFUNCTION("""COMPUTED_VALUE"""),0)</f>
        <v>0</v>
      </c>
      <c r="H2747" s="7">
        <f ca="1">IFERROR(__xludf.DUMMYFUNCTION("""COMPUTED_VALUE"""),484686.1276025)</f>
        <v>484686.12760250003</v>
      </c>
    </row>
    <row r="2748" spans="1:8" ht="13" x14ac:dyDescent="0.15">
      <c r="A2748" s="5" t="str">
        <f ca="1">IFERROR(__xludf.DUMMYFUNCTION("""COMPUTED_VALUE"""),"46276")</f>
        <v>46276</v>
      </c>
      <c r="B2748" s="51">
        <f ca="1">IFERROR(__xludf.DUMMYFUNCTION("""COMPUTED_VALUE"""),44627)</f>
        <v>44627</v>
      </c>
      <c r="C2748" s="22">
        <f ca="1">IFERROR(__xludf.DUMMYFUNCTION("""COMPUTED_VALUE"""),165972.043025)</f>
        <v>165972.04302499999</v>
      </c>
      <c r="D2748" s="22">
        <f ca="1">IFERROR(__xludf.DUMMYFUNCTION("""COMPUTED_VALUE"""),308469.44792)</f>
        <v>308469.44792000001</v>
      </c>
      <c r="E2748" s="22">
        <f ca="1">IFERROR(__xludf.DUMMYFUNCTION("""COMPUTED_VALUE"""),474441.490944999)</f>
        <v>474441.49094499898</v>
      </c>
      <c r="F2748" s="22">
        <f ca="1">IFERROR(__xludf.DUMMYFUNCTION("""COMPUTED_VALUE"""),165972.043025)</f>
        <v>165972.04302499999</v>
      </c>
      <c r="G2748" s="22">
        <f ca="1">IFERROR(__xludf.DUMMYFUNCTION("""COMPUTED_VALUE"""),0)</f>
        <v>0</v>
      </c>
      <c r="H2748" s="7">
        <f ca="1">IFERROR(__xludf.DUMMYFUNCTION("""COMPUTED_VALUE"""),475117.510025)</f>
        <v>475117.51002500003</v>
      </c>
    </row>
    <row r="2749" spans="1:8" ht="13" x14ac:dyDescent="0.15">
      <c r="A2749" s="5" t="str">
        <f ca="1">IFERROR(__xludf.DUMMYFUNCTION("""COMPUTED_VALUE"""),"46276")</f>
        <v>46276</v>
      </c>
      <c r="B2749" s="51">
        <f ca="1">IFERROR(__xludf.DUMMYFUNCTION("""COMPUTED_VALUE"""),44628)</f>
        <v>44628</v>
      </c>
      <c r="C2749" s="22">
        <f ca="1">IFERROR(__xludf.DUMMYFUNCTION("""COMPUTED_VALUE"""),165972.043025)</f>
        <v>165972.04302499999</v>
      </c>
      <c r="D2749" s="22">
        <f ca="1">IFERROR(__xludf.DUMMYFUNCTION("""COMPUTED_VALUE"""),307132.198185)</f>
        <v>307132.19818499999</v>
      </c>
      <c r="E2749" s="22">
        <f ca="1">IFERROR(__xludf.DUMMYFUNCTION("""COMPUTED_VALUE"""),473104.24121)</f>
        <v>473104.24121000001</v>
      </c>
      <c r="F2749" s="22">
        <f ca="1">IFERROR(__xludf.DUMMYFUNCTION("""COMPUTED_VALUE"""),165972.043025)</f>
        <v>165972.04302499999</v>
      </c>
      <c r="G2749" s="22">
        <f ca="1">IFERROR(__xludf.DUMMYFUNCTION("""COMPUTED_VALUE"""),0)</f>
        <v>0</v>
      </c>
      <c r="H2749" s="7">
        <f ca="1">IFERROR(__xludf.DUMMYFUNCTION("""COMPUTED_VALUE"""),473453.2349)</f>
        <v>473453.23489999998</v>
      </c>
    </row>
    <row r="2750" spans="1:8" ht="13" x14ac:dyDescent="0.15">
      <c r="A2750" s="5" t="str">
        <f ca="1">IFERROR(__xludf.DUMMYFUNCTION("""COMPUTED_VALUE"""),"46276")</f>
        <v>46276</v>
      </c>
      <c r="B2750" s="51">
        <f ca="1">IFERROR(__xludf.DUMMYFUNCTION("""COMPUTED_VALUE"""),44629)</f>
        <v>44629</v>
      </c>
      <c r="C2750" s="22">
        <f ca="1">IFERROR(__xludf.DUMMYFUNCTION("""COMPUTED_VALUE"""),165972.043025)</f>
        <v>165972.04302499999</v>
      </c>
      <c r="D2750" s="22">
        <f ca="1">IFERROR(__xludf.DUMMYFUNCTION("""COMPUTED_VALUE"""),318280.1140425)</f>
        <v>318280.11404249998</v>
      </c>
      <c r="E2750" s="22">
        <f ca="1">IFERROR(__xludf.DUMMYFUNCTION("""COMPUTED_VALUE"""),484252.157067499)</f>
        <v>484252.15706749901</v>
      </c>
      <c r="F2750" s="22">
        <f ca="1">IFERROR(__xludf.DUMMYFUNCTION("""COMPUTED_VALUE"""),165972.043025)</f>
        <v>165972.04302499999</v>
      </c>
      <c r="G2750" s="22">
        <f ca="1">IFERROR(__xludf.DUMMYFUNCTION("""COMPUTED_VALUE"""),0)</f>
        <v>0</v>
      </c>
      <c r="H2750" s="7">
        <f ca="1">IFERROR(__xludf.DUMMYFUNCTION("""COMPUTED_VALUE"""),485136.4068125)</f>
        <v>485136.40681249998</v>
      </c>
    </row>
    <row r="2751" spans="1:8" ht="13" x14ac:dyDescent="0.15">
      <c r="A2751" s="5" t="str">
        <f ca="1">IFERROR(__xludf.DUMMYFUNCTION("""COMPUTED_VALUE"""),"46276")</f>
        <v>46276</v>
      </c>
      <c r="B2751" s="51">
        <f ca="1">IFERROR(__xludf.DUMMYFUNCTION("""COMPUTED_VALUE"""),44630)</f>
        <v>44630</v>
      </c>
      <c r="C2751" s="22">
        <f ca="1">IFERROR(__xludf.DUMMYFUNCTION("""COMPUTED_VALUE"""),165972.043025)</f>
        <v>165972.04302499999</v>
      </c>
      <c r="D2751" s="22">
        <f ca="1">IFERROR(__xludf.DUMMYFUNCTION("""COMPUTED_VALUE"""),189966.257305)</f>
        <v>189966.25730500001</v>
      </c>
      <c r="E2751" s="22">
        <f ca="1">IFERROR(__xludf.DUMMYFUNCTION("""COMPUTED_VALUE"""),355938.30033)</f>
        <v>355938.30033</v>
      </c>
      <c r="F2751" s="22">
        <f ca="1">IFERROR(__xludf.DUMMYFUNCTION("""COMPUTED_VALUE"""),165972.043025)</f>
        <v>165972.04302499999</v>
      </c>
      <c r="G2751" s="22">
        <f ca="1">IFERROR(__xludf.DUMMYFUNCTION("""COMPUTED_VALUE"""),0)</f>
        <v>0</v>
      </c>
      <c r="H2751" s="7">
        <f ca="1">IFERROR(__xludf.DUMMYFUNCTION("""COMPUTED_VALUE"""),356830.0259)</f>
        <v>356830.02590000001</v>
      </c>
    </row>
    <row r="2752" spans="1:8" ht="13" x14ac:dyDescent="0.15">
      <c r="A2752" s="5" t="str">
        <f ca="1">IFERROR(__xludf.DUMMYFUNCTION("""COMPUTED_VALUE"""),"46276")</f>
        <v>46276</v>
      </c>
      <c r="B2752" s="51">
        <f ca="1">IFERROR(__xludf.DUMMYFUNCTION("""COMPUTED_VALUE"""),44631)</f>
        <v>44631</v>
      </c>
      <c r="C2752" s="22">
        <f ca="1">IFERROR(__xludf.DUMMYFUNCTION("""COMPUTED_VALUE"""),165972.043025)</f>
        <v>165972.04302499999</v>
      </c>
      <c r="D2752" s="22">
        <f ca="1">IFERROR(__xludf.DUMMYFUNCTION("""COMPUTED_VALUE"""),317073.95498)</f>
        <v>317073.95497999998</v>
      </c>
      <c r="E2752" s="22">
        <f ca="1">IFERROR(__xludf.DUMMYFUNCTION("""COMPUTED_VALUE"""),483045.998004999)</f>
        <v>483045.99800499901</v>
      </c>
      <c r="F2752" s="22">
        <f ca="1">IFERROR(__xludf.DUMMYFUNCTION("""COMPUTED_VALUE"""),165972.043025)</f>
        <v>165972.04302499999</v>
      </c>
      <c r="G2752" s="22">
        <f ca="1">IFERROR(__xludf.DUMMYFUNCTION("""COMPUTED_VALUE"""),0)</f>
        <v>0</v>
      </c>
      <c r="H2752" s="7">
        <f ca="1">IFERROR(__xludf.DUMMYFUNCTION("""COMPUTED_VALUE"""),484061.139525)</f>
        <v>484061.13952500001</v>
      </c>
    </row>
    <row r="2753" spans="1:8" ht="13" x14ac:dyDescent="0.15">
      <c r="A2753" s="5" t="str">
        <f ca="1">IFERROR(__xludf.DUMMYFUNCTION("""COMPUTED_VALUE"""),"46276")</f>
        <v>46276</v>
      </c>
      <c r="B2753" s="51">
        <f ca="1">IFERROR(__xludf.DUMMYFUNCTION("""COMPUTED_VALUE"""),44632)</f>
        <v>44632</v>
      </c>
      <c r="C2753" s="22">
        <f ca="1">IFERROR(__xludf.DUMMYFUNCTION("""COMPUTED_VALUE"""),165972.043025)</f>
        <v>165972.04302499999</v>
      </c>
      <c r="D2753" s="22">
        <f ca="1">IFERROR(__xludf.DUMMYFUNCTION("""COMPUTED_VALUE"""),317073.95498)</f>
        <v>317073.95497999998</v>
      </c>
      <c r="E2753" s="22">
        <f ca="1">IFERROR(__xludf.DUMMYFUNCTION("""COMPUTED_VALUE"""),483045.998004999)</f>
        <v>483045.99800499901</v>
      </c>
      <c r="F2753" s="22">
        <f ca="1">IFERROR(__xludf.DUMMYFUNCTION("""COMPUTED_VALUE"""),165972.043025)</f>
        <v>165972.04302499999</v>
      </c>
      <c r="G2753" s="22">
        <f ca="1">IFERROR(__xludf.DUMMYFUNCTION("""COMPUTED_VALUE"""),0)</f>
        <v>0</v>
      </c>
      <c r="H2753" s="7">
        <f ca="1">IFERROR(__xludf.DUMMYFUNCTION("""COMPUTED_VALUE"""),484061.139525)</f>
        <v>484061.13952500001</v>
      </c>
    </row>
    <row r="2754" spans="1:8" ht="13" x14ac:dyDescent="0.15">
      <c r="A2754" s="5" t="str">
        <f ca="1">IFERROR(__xludf.DUMMYFUNCTION("""COMPUTED_VALUE"""),"46276")</f>
        <v>46276</v>
      </c>
      <c r="B2754" s="51">
        <f ca="1">IFERROR(__xludf.DUMMYFUNCTION("""COMPUTED_VALUE"""),44633)</f>
        <v>44633</v>
      </c>
      <c r="C2754" s="22">
        <f ca="1">IFERROR(__xludf.DUMMYFUNCTION("""COMPUTED_VALUE"""),165972.043025)</f>
        <v>165972.04302499999</v>
      </c>
      <c r="D2754" s="22">
        <f ca="1">IFERROR(__xludf.DUMMYFUNCTION("""COMPUTED_VALUE"""),317048.92311)</f>
        <v>317048.92310999997</v>
      </c>
      <c r="E2754" s="22">
        <f ca="1">IFERROR(__xludf.DUMMYFUNCTION("""COMPUTED_VALUE"""),483020.966135)</f>
        <v>483020.966135</v>
      </c>
      <c r="F2754" s="22">
        <f ca="1">IFERROR(__xludf.DUMMYFUNCTION("""COMPUTED_VALUE"""),165972.043025)</f>
        <v>165972.04302499999</v>
      </c>
      <c r="G2754" s="22">
        <f ca="1">IFERROR(__xludf.DUMMYFUNCTION("""COMPUTED_VALUE"""),0)</f>
        <v>0</v>
      </c>
      <c r="H2754" s="7">
        <f ca="1">IFERROR(__xludf.DUMMYFUNCTION("""COMPUTED_VALUE"""),484033.919435)</f>
        <v>484033.91943499999</v>
      </c>
    </row>
    <row r="2755" spans="1:8" ht="13" x14ac:dyDescent="0.15">
      <c r="A2755" s="5" t="str">
        <f ca="1">IFERROR(__xludf.DUMMYFUNCTION("""COMPUTED_VALUE"""),"46276")</f>
        <v>46276</v>
      </c>
      <c r="B2755" s="51">
        <f ca="1">IFERROR(__xludf.DUMMYFUNCTION("""COMPUTED_VALUE"""),44634)</f>
        <v>44634</v>
      </c>
      <c r="C2755" s="22">
        <f ca="1">IFERROR(__xludf.DUMMYFUNCTION("""COMPUTED_VALUE"""),165972.043025)</f>
        <v>165972.04302499999</v>
      </c>
      <c r="D2755" s="22">
        <f ca="1">IFERROR(__xludf.DUMMYFUNCTION("""COMPUTED_VALUE"""),321509.279955)</f>
        <v>321509.27995499998</v>
      </c>
      <c r="E2755" s="22">
        <f ca="1">IFERROR(__xludf.DUMMYFUNCTION("""COMPUTED_VALUE"""),487481.322979999)</f>
        <v>487481.32297999901</v>
      </c>
      <c r="F2755" s="22">
        <f ca="1">IFERROR(__xludf.DUMMYFUNCTION("""COMPUTED_VALUE"""),165972.043025)</f>
        <v>165972.04302499999</v>
      </c>
      <c r="G2755" s="22">
        <f ca="1">IFERROR(__xludf.DUMMYFUNCTION("""COMPUTED_VALUE"""),0)</f>
        <v>0</v>
      </c>
      <c r="H2755" s="7">
        <f ca="1">IFERROR(__xludf.DUMMYFUNCTION("""COMPUTED_VALUE"""),488760.27665)</f>
        <v>488760.27665000001</v>
      </c>
    </row>
    <row r="2756" spans="1:8" ht="13" x14ac:dyDescent="0.15">
      <c r="A2756" s="5" t="str">
        <f ca="1">IFERROR(__xludf.DUMMYFUNCTION("""COMPUTED_VALUE"""),"46276")</f>
        <v>46276</v>
      </c>
      <c r="B2756" s="51">
        <f ca="1">IFERROR(__xludf.DUMMYFUNCTION("""COMPUTED_VALUE"""),44635)</f>
        <v>44635</v>
      </c>
      <c r="C2756" s="22">
        <f ca="1">IFERROR(__xludf.DUMMYFUNCTION("""COMPUTED_VALUE"""),165972.043025)</f>
        <v>165972.04302499999</v>
      </c>
      <c r="D2756" s="22">
        <f ca="1">IFERROR(__xludf.DUMMYFUNCTION("""COMPUTED_VALUE"""),323668.7699425)</f>
        <v>323668.76994249999</v>
      </c>
      <c r="E2756" s="22">
        <f ca="1">IFERROR(__xludf.DUMMYFUNCTION("""COMPUTED_VALUE"""),489640.812967499)</f>
        <v>489640.81296749902</v>
      </c>
      <c r="F2756" s="22">
        <f ca="1">IFERROR(__xludf.DUMMYFUNCTION("""COMPUTED_VALUE"""),165972.043025)</f>
        <v>165972.04302499999</v>
      </c>
      <c r="G2756" s="22">
        <f ca="1">IFERROR(__xludf.DUMMYFUNCTION("""COMPUTED_VALUE"""),0)</f>
        <v>0</v>
      </c>
      <c r="H2756" s="7">
        <f ca="1">IFERROR(__xludf.DUMMYFUNCTION("""COMPUTED_VALUE"""),491113.3297125)</f>
        <v>491113.32971249998</v>
      </c>
    </row>
    <row r="2757" spans="1:8" ht="13" x14ac:dyDescent="0.15">
      <c r="A2757" s="5" t="str">
        <f ca="1">IFERROR(__xludf.DUMMYFUNCTION("""COMPUTED_VALUE"""),"46276")</f>
        <v>46276</v>
      </c>
      <c r="B2757" s="51">
        <f ca="1">IFERROR(__xludf.DUMMYFUNCTION("""COMPUTED_VALUE"""),44636)</f>
        <v>44636</v>
      </c>
      <c r="C2757" s="22">
        <f ca="1">IFERROR(__xludf.DUMMYFUNCTION("""COMPUTED_VALUE"""),165972.043025)</f>
        <v>165972.04302499999</v>
      </c>
      <c r="D2757" s="22">
        <f ca="1">IFERROR(__xludf.DUMMYFUNCTION("""COMPUTED_VALUE"""),329300.5504125)</f>
        <v>329300.55041249999</v>
      </c>
      <c r="E2757" s="22">
        <f ca="1">IFERROR(__xludf.DUMMYFUNCTION("""COMPUTED_VALUE"""),495272.593437499)</f>
        <v>495272.59343749902</v>
      </c>
      <c r="F2757" s="22">
        <f ca="1">IFERROR(__xludf.DUMMYFUNCTION("""COMPUTED_VALUE"""),165972.043025)</f>
        <v>165972.04302499999</v>
      </c>
      <c r="G2757" s="22">
        <f ca="1">IFERROR(__xludf.DUMMYFUNCTION("""COMPUTED_VALUE"""),0)</f>
        <v>0</v>
      </c>
      <c r="H2757" s="7">
        <f ca="1">IFERROR(__xludf.DUMMYFUNCTION("""COMPUTED_VALUE"""),497002.2385625)</f>
        <v>497002.23856249999</v>
      </c>
    </row>
    <row r="2758" spans="1:8" ht="13" x14ac:dyDescent="0.15">
      <c r="A2758" s="5" t="str">
        <f ca="1">IFERROR(__xludf.DUMMYFUNCTION("""COMPUTED_VALUE"""),"46276")</f>
        <v>46276</v>
      </c>
      <c r="B2758" s="51">
        <f ca="1">IFERROR(__xludf.DUMMYFUNCTION("""COMPUTED_VALUE"""),44637)</f>
        <v>44637</v>
      </c>
      <c r="C2758" s="22">
        <f ca="1">IFERROR(__xludf.DUMMYFUNCTION("""COMPUTED_VALUE"""),165972.043025)</f>
        <v>165972.04302499999</v>
      </c>
      <c r="D2758" s="22">
        <f ca="1">IFERROR(__xludf.DUMMYFUNCTION("""COMPUTED_VALUE"""),334381.2095775)</f>
        <v>334381.20957750001</v>
      </c>
      <c r="E2758" s="22">
        <f ca="1">IFERROR(__xludf.DUMMYFUNCTION("""COMPUTED_VALUE"""),500353.2526025)</f>
        <v>500353.25260250003</v>
      </c>
      <c r="F2758" s="22">
        <f ca="1">IFERROR(__xludf.DUMMYFUNCTION("""COMPUTED_VALUE"""),165972.043025)</f>
        <v>165972.04302499999</v>
      </c>
      <c r="G2758" s="22">
        <f ca="1">IFERROR(__xludf.DUMMYFUNCTION("""COMPUTED_VALUE"""),0)</f>
        <v>0</v>
      </c>
      <c r="H2758" s="7">
        <f ca="1">IFERROR(__xludf.DUMMYFUNCTION("""COMPUTED_VALUE"""),502763.3795375)</f>
        <v>502763.37953749998</v>
      </c>
    </row>
    <row r="2759" spans="1:8" ht="13" x14ac:dyDescent="0.15">
      <c r="A2759" s="5" t="str">
        <f ca="1">IFERROR(__xludf.DUMMYFUNCTION("""COMPUTED_VALUE"""),"46276")</f>
        <v>46276</v>
      </c>
      <c r="B2759" s="51">
        <f ca="1">IFERROR(__xludf.DUMMYFUNCTION("""COMPUTED_VALUE"""),44638)</f>
        <v>44638</v>
      </c>
      <c r="C2759" s="22">
        <f ca="1">IFERROR(__xludf.DUMMYFUNCTION("""COMPUTED_VALUE"""),165972.043025)</f>
        <v>165972.04302499999</v>
      </c>
      <c r="D2759" s="22">
        <f ca="1">IFERROR(__xludf.DUMMYFUNCTION("""COMPUTED_VALUE"""),332989.3208975)</f>
        <v>332989.32089749997</v>
      </c>
      <c r="E2759" s="22">
        <f ca="1">IFERROR(__xludf.DUMMYFUNCTION("""COMPUTED_VALUE"""),498961.363922499)</f>
        <v>498961.363922499</v>
      </c>
      <c r="F2759" s="22">
        <f ca="1">IFERROR(__xludf.DUMMYFUNCTION("""COMPUTED_VALUE"""),165972.043025)</f>
        <v>165972.04302499999</v>
      </c>
      <c r="G2759" s="22">
        <f ca="1">IFERROR(__xludf.DUMMYFUNCTION("""COMPUTED_VALUE"""),0)</f>
        <v>0</v>
      </c>
      <c r="H2759" s="7">
        <f ca="1">IFERROR(__xludf.DUMMYFUNCTION("""COMPUTED_VALUE"""),501198.7697375)</f>
        <v>501198.7697375</v>
      </c>
    </row>
    <row r="2760" spans="1:8" ht="13" x14ac:dyDescent="0.15">
      <c r="A2760" s="5" t="str">
        <f ca="1">IFERROR(__xludf.DUMMYFUNCTION("""COMPUTED_VALUE"""),"46276")</f>
        <v>46276</v>
      </c>
      <c r="B2760" s="51">
        <f ca="1">IFERROR(__xludf.DUMMYFUNCTION("""COMPUTED_VALUE"""),44639)</f>
        <v>44639</v>
      </c>
      <c r="C2760" s="22">
        <f ca="1">IFERROR(__xludf.DUMMYFUNCTION("""COMPUTED_VALUE"""),165972.043025)</f>
        <v>165972.04302499999</v>
      </c>
      <c r="D2760" s="22">
        <f ca="1">IFERROR(__xludf.DUMMYFUNCTION("""COMPUTED_VALUE"""),332989.3208975)</f>
        <v>332989.32089749997</v>
      </c>
      <c r="E2760" s="22">
        <f ca="1">IFERROR(__xludf.DUMMYFUNCTION("""COMPUTED_VALUE"""),498961.363922499)</f>
        <v>498961.363922499</v>
      </c>
      <c r="F2760" s="22">
        <f ca="1">IFERROR(__xludf.DUMMYFUNCTION("""COMPUTED_VALUE"""),165972.043025)</f>
        <v>165972.04302499999</v>
      </c>
      <c r="G2760" s="22">
        <f ca="1">IFERROR(__xludf.DUMMYFUNCTION("""COMPUTED_VALUE"""),0)</f>
        <v>0</v>
      </c>
      <c r="H2760" s="7">
        <f ca="1">IFERROR(__xludf.DUMMYFUNCTION("""COMPUTED_VALUE"""),501198.7697375)</f>
        <v>501198.7697375</v>
      </c>
    </row>
    <row r="2761" spans="1:8" ht="13" x14ac:dyDescent="0.15">
      <c r="A2761" s="5" t="str">
        <f ca="1">IFERROR(__xludf.DUMMYFUNCTION("""COMPUTED_VALUE"""),"46276")</f>
        <v>46276</v>
      </c>
      <c r="B2761" s="51">
        <f ca="1">IFERROR(__xludf.DUMMYFUNCTION("""COMPUTED_VALUE"""),44640)</f>
        <v>44640</v>
      </c>
      <c r="C2761" s="22">
        <f ca="1">IFERROR(__xludf.DUMMYFUNCTION("""COMPUTED_VALUE"""),165972.043025)</f>
        <v>165972.04302499999</v>
      </c>
      <c r="D2761" s="22">
        <f ca="1">IFERROR(__xludf.DUMMYFUNCTION("""COMPUTED_VALUE"""),332922.11550925)</f>
        <v>332922.11550925003</v>
      </c>
      <c r="E2761" s="22">
        <f ca="1">IFERROR(__xludf.DUMMYFUNCTION("""COMPUTED_VALUE"""),498894.15853425)</f>
        <v>498894.15853424999</v>
      </c>
      <c r="F2761" s="22">
        <f ca="1">IFERROR(__xludf.DUMMYFUNCTION("""COMPUTED_VALUE"""),165972.043025)</f>
        <v>165972.04302499999</v>
      </c>
      <c r="G2761" s="22">
        <f ca="1">IFERROR(__xludf.DUMMYFUNCTION("""COMPUTED_VALUE"""),0)</f>
        <v>0</v>
      </c>
      <c r="H2761" s="7">
        <f ca="1">IFERROR(__xludf.DUMMYFUNCTION("""COMPUTED_VALUE"""),501125.72625875)</f>
        <v>501125.72625875002</v>
      </c>
    </row>
    <row r="2762" spans="1:8" ht="13" x14ac:dyDescent="0.15">
      <c r="A2762" s="5" t="str">
        <f ca="1">IFERROR(__xludf.DUMMYFUNCTION("""COMPUTED_VALUE"""),"46276")</f>
        <v>46276</v>
      </c>
      <c r="B2762" s="51">
        <f ca="1">IFERROR(__xludf.DUMMYFUNCTION("""COMPUTED_VALUE"""),44641)</f>
        <v>44641</v>
      </c>
      <c r="C2762" s="22">
        <f ca="1">IFERROR(__xludf.DUMMYFUNCTION("""COMPUTED_VALUE"""),165972.043025)</f>
        <v>165972.04302499999</v>
      </c>
      <c r="D2762" s="22">
        <f ca="1">IFERROR(__xludf.DUMMYFUNCTION("""COMPUTED_VALUE"""),336508.961735)</f>
        <v>336508.96173500002</v>
      </c>
      <c r="E2762" s="22">
        <f ca="1">IFERROR(__xludf.DUMMYFUNCTION("""COMPUTED_VALUE"""),502481.00476)</f>
        <v>502481.00475999998</v>
      </c>
      <c r="F2762" s="22">
        <f ca="1">IFERROR(__xludf.DUMMYFUNCTION("""COMPUTED_VALUE"""),165972.043025)</f>
        <v>165972.04302499999</v>
      </c>
      <c r="G2762" s="22">
        <f ca="1">IFERROR(__xludf.DUMMYFUNCTION("""COMPUTED_VALUE"""),0)</f>
        <v>0</v>
      </c>
      <c r="H2762" s="7">
        <f ca="1">IFERROR(__xludf.DUMMYFUNCTION("""COMPUTED_VALUE"""),505287.46775)</f>
        <v>505287.46775000001</v>
      </c>
    </row>
    <row r="2763" spans="1:8" ht="13" x14ac:dyDescent="0.15">
      <c r="A2763" s="5" t="str">
        <f ca="1">IFERROR(__xludf.DUMMYFUNCTION("""COMPUTED_VALUE"""),"46276")</f>
        <v>46276</v>
      </c>
      <c r="B2763" s="51">
        <f ca="1">IFERROR(__xludf.DUMMYFUNCTION("""COMPUTED_VALUE"""),44642)</f>
        <v>44642</v>
      </c>
      <c r="C2763" s="22">
        <f ca="1">IFERROR(__xludf.DUMMYFUNCTION("""COMPUTED_VALUE"""),165972.043025)</f>
        <v>165972.04302499999</v>
      </c>
      <c r="D2763" s="22">
        <f ca="1">IFERROR(__xludf.DUMMYFUNCTION("""COMPUTED_VALUE"""),340901.3657575)</f>
        <v>340901.3657575</v>
      </c>
      <c r="E2763" s="22">
        <f ca="1">IFERROR(__xludf.DUMMYFUNCTION("""COMPUTED_VALUE"""),506873.408782499)</f>
        <v>506873.40878249903</v>
      </c>
      <c r="F2763" s="22">
        <f ca="1">IFERROR(__xludf.DUMMYFUNCTION("""COMPUTED_VALUE"""),165972.043025)</f>
        <v>165972.04302499999</v>
      </c>
      <c r="G2763" s="22">
        <f ca="1">IFERROR(__xludf.DUMMYFUNCTION("""COMPUTED_VALUE"""),0)</f>
        <v>0</v>
      </c>
      <c r="H2763" s="7">
        <f ca="1">IFERROR(__xludf.DUMMYFUNCTION("""COMPUTED_VALUE"""),509706.2494375)</f>
        <v>509706.24943750002</v>
      </c>
    </row>
    <row r="2764" spans="1:8" ht="13" x14ac:dyDescent="0.15">
      <c r="A2764" s="5" t="str">
        <f ca="1">IFERROR(__xludf.DUMMYFUNCTION("""COMPUTED_VALUE"""),"46322")</f>
        <v>46322</v>
      </c>
      <c r="B2764" s="51">
        <f ca="1">IFERROR(__xludf.DUMMYFUNCTION("""COMPUTED_VALUE"""),44597)</f>
        <v>44597</v>
      </c>
      <c r="C2764" s="22">
        <f ca="1">IFERROR(__xludf.DUMMYFUNCTION("""COMPUTED_VALUE"""),500000)</f>
        <v>500000</v>
      </c>
      <c r="D2764" s="22">
        <f ca="1">IFERROR(__xludf.DUMMYFUNCTION("""COMPUTED_VALUE"""),0)</f>
        <v>0</v>
      </c>
      <c r="E2764" s="22">
        <f ca="1">IFERROR(__xludf.DUMMYFUNCTION("""COMPUTED_VALUE"""),500000)</f>
        <v>500000</v>
      </c>
      <c r="F2764" s="22">
        <f ca="1">IFERROR(__xludf.DUMMYFUNCTION("""COMPUTED_VALUE"""),500000)</f>
        <v>500000</v>
      </c>
      <c r="G2764" s="22">
        <f ca="1">IFERROR(__xludf.DUMMYFUNCTION("""COMPUTED_VALUE"""),0)</f>
        <v>0</v>
      </c>
      <c r="H2764" s="7">
        <f ca="1">IFERROR(__xludf.DUMMYFUNCTION("""COMPUTED_VALUE"""),500000)</f>
        <v>500000</v>
      </c>
    </row>
    <row r="2765" spans="1:8" ht="13" x14ac:dyDescent="0.15">
      <c r="A2765" s="5" t="str">
        <f ca="1">IFERROR(__xludf.DUMMYFUNCTION("""COMPUTED_VALUE"""),"46322")</f>
        <v>46322</v>
      </c>
      <c r="B2765" s="51">
        <f ca="1">IFERROR(__xludf.DUMMYFUNCTION("""COMPUTED_VALUE"""),44598)</f>
        <v>44598</v>
      </c>
      <c r="C2765" s="22">
        <f ca="1">IFERROR(__xludf.DUMMYFUNCTION("""COMPUTED_VALUE"""),500000)</f>
        <v>500000</v>
      </c>
      <c r="D2765" s="22">
        <f ca="1">IFERROR(__xludf.DUMMYFUNCTION("""COMPUTED_VALUE"""),0)</f>
        <v>0</v>
      </c>
      <c r="E2765" s="22">
        <f ca="1">IFERROR(__xludf.DUMMYFUNCTION("""COMPUTED_VALUE"""),500000)</f>
        <v>500000</v>
      </c>
      <c r="F2765" s="22">
        <f ca="1">IFERROR(__xludf.DUMMYFUNCTION("""COMPUTED_VALUE"""),500000)</f>
        <v>500000</v>
      </c>
      <c r="G2765" s="22">
        <f ca="1">IFERROR(__xludf.DUMMYFUNCTION("""COMPUTED_VALUE"""),0)</f>
        <v>0</v>
      </c>
      <c r="H2765" s="7">
        <f ca="1">IFERROR(__xludf.DUMMYFUNCTION("""COMPUTED_VALUE"""),500000)</f>
        <v>500000</v>
      </c>
    </row>
    <row r="2766" spans="1:8" ht="13" x14ac:dyDescent="0.15">
      <c r="A2766" s="5" t="str">
        <f ca="1">IFERROR(__xludf.DUMMYFUNCTION("""COMPUTED_VALUE"""),"46322")</f>
        <v>46322</v>
      </c>
      <c r="B2766" s="51">
        <f ca="1">IFERROR(__xludf.DUMMYFUNCTION("""COMPUTED_VALUE"""),44599)</f>
        <v>44599</v>
      </c>
      <c r="C2766" s="22">
        <f ca="1">IFERROR(__xludf.DUMMYFUNCTION("""COMPUTED_VALUE"""),500000)</f>
        <v>500000</v>
      </c>
      <c r="D2766" s="22">
        <f ca="1">IFERROR(__xludf.DUMMYFUNCTION("""COMPUTED_VALUE"""),0)</f>
        <v>0</v>
      </c>
      <c r="E2766" s="22">
        <f ca="1">IFERROR(__xludf.DUMMYFUNCTION("""COMPUTED_VALUE"""),500000)</f>
        <v>500000</v>
      </c>
      <c r="F2766" s="22">
        <f ca="1">IFERROR(__xludf.DUMMYFUNCTION("""COMPUTED_VALUE"""),500000)</f>
        <v>500000</v>
      </c>
      <c r="G2766" s="22">
        <f ca="1">IFERROR(__xludf.DUMMYFUNCTION("""COMPUTED_VALUE"""),0)</f>
        <v>0</v>
      </c>
      <c r="H2766" s="7">
        <f ca="1">IFERROR(__xludf.DUMMYFUNCTION("""COMPUTED_VALUE"""),500000)</f>
        <v>500000</v>
      </c>
    </row>
    <row r="2767" spans="1:8" ht="13" x14ac:dyDescent="0.15">
      <c r="A2767" s="5" t="str">
        <f ca="1">IFERROR(__xludf.DUMMYFUNCTION("""COMPUTED_VALUE"""),"46322")</f>
        <v>46322</v>
      </c>
      <c r="B2767" s="51">
        <f ca="1">IFERROR(__xludf.DUMMYFUNCTION("""COMPUTED_VALUE"""),44600)</f>
        <v>44600</v>
      </c>
      <c r="C2767" s="22">
        <f ca="1">IFERROR(__xludf.DUMMYFUNCTION("""COMPUTED_VALUE"""),500000)</f>
        <v>500000</v>
      </c>
      <c r="D2767" s="22">
        <f ca="1">IFERROR(__xludf.DUMMYFUNCTION("""COMPUTED_VALUE"""),0)</f>
        <v>0</v>
      </c>
      <c r="E2767" s="22">
        <f ca="1">IFERROR(__xludf.DUMMYFUNCTION("""COMPUTED_VALUE"""),500000)</f>
        <v>500000</v>
      </c>
      <c r="F2767" s="22">
        <f ca="1">IFERROR(__xludf.DUMMYFUNCTION("""COMPUTED_VALUE"""),500000)</f>
        <v>500000</v>
      </c>
      <c r="G2767" s="22">
        <f ca="1">IFERROR(__xludf.DUMMYFUNCTION("""COMPUTED_VALUE"""),0)</f>
        <v>0</v>
      </c>
      <c r="H2767" s="7">
        <f ca="1">IFERROR(__xludf.DUMMYFUNCTION("""COMPUTED_VALUE"""),500000)</f>
        <v>500000</v>
      </c>
    </row>
    <row r="2768" spans="1:8" ht="13" x14ac:dyDescent="0.15">
      <c r="A2768" s="5" t="str">
        <f ca="1">IFERROR(__xludf.DUMMYFUNCTION("""COMPUTED_VALUE"""),"46322")</f>
        <v>46322</v>
      </c>
      <c r="B2768" s="51">
        <f ca="1">IFERROR(__xludf.DUMMYFUNCTION("""COMPUTED_VALUE"""),44601)</f>
        <v>44601</v>
      </c>
      <c r="C2768" s="22">
        <f ca="1">IFERROR(__xludf.DUMMYFUNCTION("""COMPUTED_VALUE"""),500000)</f>
        <v>500000</v>
      </c>
      <c r="D2768" s="22">
        <f ca="1">IFERROR(__xludf.DUMMYFUNCTION("""COMPUTED_VALUE"""),0)</f>
        <v>0</v>
      </c>
      <c r="E2768" s="22">
        <f ca="1">IFERROR(__xludf.DUMMYFUNCTION("""COMPUTED_VALUE"""),500000)</f>
        <v>500000</v>
      </c>
      <c r="F2768" s="22">
        <f ca="1">IFERROR(__xludf.DUMMYFUNCTION("""COMPUTED_VALUE"""),500000)</f>
        <v>500000</v>
      </c>
      <c r="G2768" s="22">
        <f ca="1">IFERROR(__xludf.DUMMYFUNCTION("""COMPUTED_VALUE"""),0)</f>
        <v>0</v>
      </c>
      <c r="H2768" s="7">
        <f ca="1">IFERROR(__xludf.DUMMYFUNCTION("""COMPUTED_VALUE"""),500000)</f>
        <v>500000</v>
      </c>
    </row>
    <row r="2769" spans="1:8" ht="13" x14ac:dyDescent="0.15">
      <c r="A2769" s="5" t="str">
        <f ca="1">IFERROR(__xludf.DUMMYFUNCTION("""COMPUTED_VALUE"""),"46322")</f>
        <v>46322</v>
      </c>
      <c r="B2769" s="51">
        <f ca="1">IFERROR(__xludf.DUMMYFUNCTION("""COMPUTED_VALUE"""),44602)</f>
        <v>44602</v>
      </c>
      <c r="C2769" s="22">
        <f ca="1">IFERROR(__xludf.DUMMYFUNCTION("""COMPUTED_VALUE"""),500000)</f>
        <v>500000</v>
      </c>
      <c r="D2769" s="22">
        <f ca="1">IFERROR(__xludf.DUMMYFUNCTION("""COMPUTED_VALUE"""),0)</f>
        <v>0</v>
      </c>
      <c r="E2769" s="22">
        <f ca="1">IFERROR(__xludf.DUMMYFUNCTION("""COMPUTED_VALUE"""),500000)</f>
        <v>500000</v>
      </c>
      <c r="F2769" s="22">
        <f ca="1">IFERROR(__xludf.DUMMYFUNCTION("""COMPUTED_VALUE"""),500000)</f>
        <v>500000</v>
      </c>
      <c r="G2769" s="22">
        <f ca="1">IFERROR(__xludf.DUMMYFUNCTION("""COMPUTED_VALUE"""),0)</f>
        <v>0</v>
      </c>
      <c r="H2769" s="7">
        <f ca="1">IFERROR(__xludf.DUMMYFUNCTION("""COMPUTED_VALUE"""),500000)</f>
        <v>500000</v>
      </c>
    </row>
    <row r="2770" spans="1:8" ht="13" x14ac:dyDescent="0.15">
      <c r="A2770" s="5" t="str">
        <f ca="1">IFERROR(__xludf.DUMMYFUNCTION("""COMPUTED_VALUE"""),"46322")</f>
        <v>46322</v>
      </c>
      <c r="B2770" s="51">
        <f ca="1">IFERROR(__xludf.DUMMYFUNCTION("""COMPUTED_VALUE"""),44603)</f>
        <v>44603</v>
      </c>
      <c r="C2770" s="22">
        <f ca="1">IFERROR(__xludf.DUMMYFUNCTION("""COMPUTED_VALUE"""),500000)</f>
        <v>500000</v>
      </c>
      <c r="D2770" s="22">
        <f ca="1">IFERROR(__xludf.DUMMYFUNCTION("""COMPUTED_VALUE"""),0)</f>
        <v>0</v>
      </c>
      <c r="E2770" s="22">
        <f ca="1">IFERROR(__xludf.DUMMYFUNCTION("""COMPUTED_VALUE"""),500000)</f>
        <v>500000</v>
      </c>
      <c r="F2770" s="22">
        <f ca="1">IFERROR(__xludf.DUMMYFUNCTION("""COMPUTED_VALUE"""),500000)</f>
        <v>500000</v>
      </c>
      <c r="G2770" s="22">
        <f ca="1">IFERROR(__xludf.DUMMYFUNCTION("""COMPUTED_VALUE"""),0)</f>
        <v>0</v>
      </c>
      <c r="H2770" s="7">
        <f ca="1">IFERROR(__xludf.DUMMYFUNCTION("""COMPUTED_VALUE"""),500000)</f>
        <v>500000</v>
      </c>
    </row>
    <row r="2771" spans="1:8" ht="13" x14ac:dyDescent="0.15">
      <c r="A2771" s="5" t="str">
        <f ca="1">IFERROR(__xludf.DUMMYFUNCTION("""COMPUTED_VALUE"""),"46322")</f>
        <v>46322</v>
      </c>
      <c r="B2771" s="51">
        <f ca="1">IFERROR(__xludf.DUMMYFUNCTION("""COMPUTED_VALUE"""),44604)</f>
        <v>44604</v>
      </c>
      <c r="C2771" s="22">
        <f ca="1">IFERROR(__xludf.DUMMYFUNCTION("""COMPUTED_VALUE"""),500000)</f>
        <v>500000</v>
      </c>
      <c r="D2771" s="22">
        <f ca="1">IFERROR(__xludf.DUMMYFUNCTION("""COMPUTED_VALUE"""),0)</f>
        <v>0</v>
      </c>
      <c r="E2771" s="22">
        <f ca="1">IFERROR(__xludf.DUMMYFUNCTION("""COMPUTED_VALUE"""),500000)</f>
        <v>500000</v>
      </c>
      <c r="F2771" s="22">
        <f ca="1">IFERROR(__xludf.DUMMYFUNCTION("""COMPUTED_VALUE"""),500000)</f>
        <v>500000</v>
      </c>
      <c r="G2771" s="22">
        <f ca="1">IFERROR(__xludf.DUMMYFUNCTION("""COMPUTED_VALUE"""),0)</f>
        <v>0</v>
      </c>
      <c r="H2771" s="7">
        <f ca="1">IFERROR(__xludf.DUMMYFUNCTION("""COMPUTED_VALUE"""),500000)</f>
        <v>500000</v>
      </c>
    </row>
    <row r="2772" spans="1:8" ht="13" x14ac:dyDescent="0.15">
      <c r="A2772" s="5" t="str">
        <f ca="1">IFERROR(__xludf.DUMMYFUNCTION("""COMPUTED_VALUE"""),"46322")</f>
        <v>46322</v>
      </c>
      <c r="B2772" s="51">
        <f ca="1">IFERROR(__xludf.DUMMYFUNCTION("""COMPUTED_VALUE"""),44605)</f>
        <v>44605</v>
      </c>
      <c r="C2772" s="22">
        <f ca="1">IFERROR(__xludf.DUMMYFUNCTION("""COMPUTED_VALUE"""),500000)</f>
        <v>500000</v>
      </c>
      <c r="D2772" s="22">
        <f ca="1">IFERROR(__xludf.DUMMYFUNCTION("""COMPUTED_VALUE"""),0)</f>
        <v>0</v>
      </c>
      <c r="E2772" s="22">
        <f ca="1">IFERROR(__xludf.DUMMYFUNCTION("""COMPUTED_VALUE"""),500000)</f>
        <v>500000</v>
      </c>
      <c r="F2772" s="22">
        <f ca="1">IFERROR(__xludf.DUMMYFUNCTION("""COMPUTED_VALUE"""),500000)</f>
        <v>500000</v>
      </c>
      <c r="G2772" s="22">
        <f ca="1">IFERROR(__xludf.DUMMYFUNCTION("""COMPUTED_VALUE"""),0)</f>
        <v>0</v>
      </c>
      <c r="H2772" s="7">
        <f ca="1">IFERROR(__xludf.DUMMYFUNCTION("""COMPUTED_VALUE"""),500000)</f>
        <v>500000</v>
      </c>
    </row>
    <row r="2773" spans="1:8" ht="13" x14ac:dyDescent="0.15">
      <c r="A2773" s="5" t="str">
        <f ca="1">IFERROR(__xludf.DUMMYFUNCTION("""COMPUTED_VALUE"""),"46322")</f>
        <v>46322</v>
      </c>
      <c r="B2773" s="51">
        <f ca="1">IFERROR(__xludf.DUMMYFUNCTION("""COMPUTED_VALUE"""),44606)</f>
        <v>44606</v>
      </c>
      <c r="C2773" s="22">
        <f ca="1">IFERROR(__xludf.DUMMYFUNCTION("""COMPUTED_VALUE"""),500000)</f>
        <v>500000</v>
      </c>
      <c r="D2773" s="22">
        <f ca="1">IFERROR(__xludf.DUMMYFUNCTION("""COMPUTED_VALUE"""),0)</f>
        <v>0</v>
      </c>
      <c r="E2773" s="22">
        <f ca="1">IFERROR(__xludf.DUMMYFUNCTION("""COMPUTED_VALUE"""),500000)</f>
        <v>500000</v>
      </c>
      <c r="F2773" s="22">
        <f ca="1">IFERROR(__xludf.DUMMYFUNCTION("""COMPUTED_VALUE"""),500000)</f>
        <v>500000</v>
      </c>
      <c r="G2773" s="22">
        <f ca="1">IFERROR(__xludf.DUMMYFUNCTION("""COMPUTED_VALUE"""),0)</f>
        <v>0</v>
      </c>
      <c r="H2773" s="7">
        <f ca="1">IFERROR(__xludf.DUMMYFUNCTION("""COMPUTED_VALUE"""),500000)</f>
        <v>500000</v>
      </c>
    </row>
    <row r="2774" spans="1:8" ht="13" x14ac:dyDescent="0.15">
      <c r="A2774" s="5" t="str">
        <f ca="1">IFERROR(__xludf.DUMMYFUNCTION("""COMPUTED_VALUE"""),"46322")</f>
        <v>46322</v>
      </c>
      <c r="B2774" s="51">
        <f ca="1">IFERROR(__xludf.DUMMYFUNCTION("""COMPUTED_VALUE"""),44607)</f>
        <v>44607</v>
      </c>
      <c r="C2774" s="22">
        <f ca="1">IFERROR(__xludf.DUMMYFUNCTION("""COMPUTED_VALUE"""),500000)</f>
        <v>500000</v>
      </c>
      <c r="D2774" s="22">
        <f ca="1">IFERROR(__xludf.DUMMYFUNCTION("""COMPUTED_VALUE"""),0)</f>
        <v>0</v>
      </c>
      <c r="E2774" s="22">
        <f ca="1">IFERROR(__xludf.DUMMYFUNCTION("""COMPUTED_VALUE"""),500000)</f>
        <v>500000</v>
      </c>
      <c r="F2774" s="22">
        <f ca="1">IFERROR(__xludf.DUMMYFUNCTION("""COMPUTED_VALUE"""),500000)</f>
        <v>500000</v>
      </c>
      <c r="G2774" s="22">
        <f ca="1">IFERROR(__xludf.DUMMYFUNCTION("""COMPUTED_VALUE"""),0)</f>
        <v>0</v>
      </c>
      <c r="H2774" s="7">
        <f ca="1">IFERROR(__xludf.DUMMYFUNCTION("""COMPUTED_VALUE"""),500000)</f>
        <v>500000</v>
      </c>
    </row>
    <row r="2775" spans="1:8" ht="13" x14ac:dyDescent="0.15">
      <c r="A2775" s="5" t="str">
        <f ca="1">IFERROR(__xludf.DUMMYFUNCTION("""COMPUTED_VALUE"""),"46322")</f>
        <v>46322</v>
      </c>
      <c r="B2775" s="51">
        <f ca="1">IFERROR(__xludf.DUMMYFUNCTION("""COMPUTED_VALUE"""),44608)</f>
        <v>44608</v>
      </c>
      <c r="C2775" s="22">
        <f ca="1">IFERROR(__xludf.DUMMYFUNCTION("""COMPUTED_VALUE"""),500000)</f>
        <v>500000</v>
      </c>
      <c r="D2775" s="22">
        <f ca="1">IFERROR(__xludf.DUMMYFUNCTION("""COMPUTED_VALUE"""),0)</f>
        <v>0</v>
      </c>
      <c r="E2775" s="22">
        <f ca="1">IFERROR(__xludf.DUMMYFUNCTION("""COMPUTED_VALUE"""),500000)</f>
        <v>500000</v>
      </c>
      <c r="F2775" s="22">
        <f ca="1">IFERROR(__xludf.DUMMYFUNCTION("""COMPUTED_VALUE"""),500000)</f>
        <v>500000</v>
      </c>
      <c r="G2775" s="22">
        <f ca="1">IFERROR(__xludf.DUMMYFUNCTION("""COMPUTED_VALUE"""),0)</f>
        <v>0</v>
      </c>
      <c r="H2775" s="7">
        <f ca="1">IFERROR(__xludf.DUMMYFUNCTION("""COMPUTED_VALUE"""),500000)</f>
        <v>500000</v>
      </c>
    </row>
    <row r="2776" spans="1:8" ht="13" x14ac:dyDescent="0.15">
      <c r="A2776" s="5" t="str">
        <f ca="1">IFERROR(__xludf.DUMMYFUNCTION("""COMPUTED_VALUE"""),"46322")</f>
        <v>46322</v>
      </c>
      <c r="B2776" s="51">
        <f ca="1">IFERROR(__xludf.DUMMYFUNCTION("""COMPUTED_VALUE"""),44609)</f>
        <v>44609</v>
      </c>
      <c r="C2776" s="22">
        <f ca="1">IFERROR(__xludf.DUMMYFUNCTION("""COMPUTED_VALUE"""),500000)</f>
        <v>500000</v>
      </c>
      <c r="D2776" s="22">
        <f ca="1">IFERROR(__xludf.DUMMYFUNCTION("""COMPUTED_VALUE"""),0)</f>
        <v>0</v>
      </c>
      <c r="E2776" s="22">
        <f ca="1">IFERROR(__xludf.DUMMYFUNCTION("""COMPUTED_VALUE"""),500000)</f>
        <v>500000</v>
      </c>
      <c r="F2776" s="22">
        <f ca="1">IFERROR(__xludf.DUMMYFUNCTION("""COMPUTED_VALUE"""),500000)</f>
        <v>500000</v>
      </c>
      <c r="G2776" s="22">
        <f ca="1">IFERROR(__xludf.DUMMYFUNCTION("""COMPUTED_VALUE"""),0)</f>
        <v>0</v>
      </c>
      <c r="H2776" s="7">
        <f ca="1">IFERROR(__xludf.DUMMYFUNCTION("""COMPUTED_VALUE"""),500000)</f>
        <v>500000</v>
      </c>
    </row>
    <row r="2777" spans="1:8" ht="13" x14ac:dyDescent="0.15">
      <c r="A2777" s="5" t="str">
        <f ca="1">IFERROR(__xludf.DUMMYFUNCTION("""COMPUTED_VALUE"""),"46322")</f>
        <v>46322</v>
      </c>
      <c r="B2777" s="51">
        <f ca="1">IFERROR(__xludf.DUMMYFUNCTION("""COMPUTED_VALUE"""),44610)</f>
        <v>44610</v>
      </c>
      <c r="C2777" s="22">
        <f ca="1">IFERROR(__xludf.DUMMYFUNCTION("""COMPUTED_VALUE"""),500000)</f>
        <v>500000</v>
      </c>
      <c r="D2777" s="22">
        <f ca="1">IFERROR(__xludf.DUMMYFUNCTION("""COMPUTED_VALUE"""),0)</f>
        <v>0</v>
      </c>
      <c r="E2777" s="22">
        <f ca="1">IFERROR(__xludf.DUMMYFUNCTION("""COMPUTED_VALUE"""),500000)</f>
        <v>500000</v>
      </c>
      <c r="F2777" s="22">
        <f ca="1">IFERROR(__xludf.DUMMYFUNCTION("""COMPUTED_VALUE"""),500000)</f>
        <v>500000</v>
      </c>
      <c r="G2777" s="22">
        <f ca="1">IFERROR(__xludf.DUMMYFUNCTION("""COMPUTED_VALUE"""),0)</f>
        <v>0</v>
      </c>
      <c r="H2777" s="7">
        <f ca="1">IFERROR(__xludf.DUMMYFUNCTION("""COMPUTED_VALUE"""),500000)</f>
        <v>500000</v>
      </c>
    </row>
    <row r="2778" spans="1:8" ht="13" x14ac:dyDescent="0.15">
      <c r="A2778" s="5" t="str">
        <f ca="1">IFERROR(__xludf.DUMMYFUNCTION("""COMPUTED_VALUE"""),"46322")</f>
        <v>46322</v>
      </c>
      <c r="B2778" s="51">
        <f ca="1">IFERROR(__xludf.DUMMYFUNCTION("""COMPUTED_VALUE"""),44611)</f>
        <v>44611</v>
      </c>
      <c r="C2778" s="22">
        <f ca="1">IFERROR(__xludf.DUMMYFUNCTION("""COMPUTED_VALUE"""),500000)</f>
        <v>500000</v>
      </c>
      <c r="D2778" s="22">
        <f ca="1">IFERROR(__xludf.DUMMYFUNCTION("""COMPUTED_VALUE"""),0)</f>
        <v>0</v>
      </c>
      <c r="E2778" s="22">
        <f ca="1">IFERROR(__xludf.DUMMYFUNCTION("""COMPUTED_VALUE"""),500000)</f>
        <v>500000</v>
      </c>
      <c r="F2778" s="22">
        <f ca="1">IFERROR(__xludf.DUMMYFUNCTION("""COMPUTED_VALUE"""),500000)</f>
        <v>500000</v>
      </c>
      <c r="G2778" s="22">
        <f ca="1">IFERROR(__xludf.DUMMYFUNCTION("""COMPUTED_VALUE"""),0)</f>
        <v>0</v>
      </c>
      <c r="H2778" s="7">
        <f ca="1">IFERROR(__xludf.DUMMYFUNCTION("""COMPUTED_VALUE"""),500000)</f>
        <v>500000</v>
      </c>
    </row>
    <row r="2779" spans="1:8" ht="13" x14ac:dyDescent="0.15">
      <c r="A2779" s="5" t="str">
        <f ca="1">IFERROR(__xludf.DUMMYFUNCTION("""COMPUTED_VALUE"""),"46322")</f>
        <v>46322</v>
      </c>
      <c r="B2779" s="51">
        <f ca="1">IFERROR(__xludf.DUMMYFUNCTION("""COMPUTED_VALUE"""),44612)</f>
        <v>44612</v>
      </c>
      <c r="C2779" s="22">
        <f ca="1">IFERROR(__xludf.DUMMYFUNCTION("""COMPUTED_VALUE"""),500000)</f>
        <v>500000</v>
      </c>
      <c r="D2779" s="22">
        <f ca="1">IFERROR(__xludf.DUMMYFUNCTION("""COMPUTED_VALUE"""),0)</f>
        <v>0</v>
      </c>
      <c r="E2779" s="22">
        <f ca="1">IFERROR(__xludf.DUMMYFUNCTION("""COMPUTED_VALUE"""),500000)</f>
        <v>500000</v>
      </c>
      <c r="F2779" s="22">
        <f ca="1">IFERROR(__xludf.DUMMYFUNCTION("""COMPUTED_VALUE"""),500000)</f>
        <v>500000</v>
      </c>
      <c r="G2779" s="22">
        <f ca="1">IFERROR(__xludf.DUMMYFUNCTION("""COMPUTED_VALUE"""),0)</f>
        <v>0</v>
      </c>
      <c r="H2779" s="7">
        <f ca="1">IFERROR(__xludf.DUMMYFUNCTION("""COMPUTED_VALUE"""),500000)</f>
        <v>500000</v>
      </c>
    </row>
    <row r="2780" spans="1:8" ht="13" x14ac:dyDescent="0.15">
      <c r="A2780" s="5" t="str">
        <f ca="1">IFERROR(__xludf.DUMMYFUNCTION("""COMPUTED_VALUE"""),"46322")</f>
        <v>46322</v>
      </c>
      <c r="B2780" s="51">
        <f ca="1">IFERROR(__xludf.DUMMYFUNCTION("""COMPUTED_VALUE"""),44613)</f>
        <v>44613</v>
      </c>
      <c r="C2780" s="22">
        <f ca="1">IFERROR(__xludf.DUMMYFUNCTION("""COMPUTED_VALUE"""),500000)</f>
        <v>500000</v>
      </c>
      <c r="D2780" s="22">
        <f ca="1">IFERROR(__xludf.DUMMYFUNCTION("""COMPUTED_VALUE"""),0)</f>
        <v>0</v>
      </c>
      <c r="E2780" s="22">
        <f ca="1">IFERROR(__xludf.DUMMYFUNCTION("""COMPUTED_VALUE"""),500000)</f>
        <v>500000</v>
      </c>
      <c r="F2780" s="22">
        <f ca="1">IFERROR(__xludf.DUMMYFUNCTION("""COMPUTED_VALUE"""),500000)</f>
        <v>500000</v>
      </c>
      <c r="G2780" s="22">
        <f ca="1">IFERROR(__xludf.DUMMYFUNCTION("""COMPUTED_VALUE"""),0)</f>
        <v>0</v>
      </c>
      <c r="H2780" s="7">
        <f ca="1">IFERROR(__xludf.DUMMYFUNCTION("""COMPUTED_VALUE"""),500000)</f>
        <v>500000</v>
      </c>
    </row>
    <row r="2781" spans="1:8" ht="13" x14ac:dyDescent="0.15">
      <c r="A2781" s="5" t="str">
        <f ca="1">IFERROR(__xludf.DUMMYFUNCTION("""COMPUTED_VALUE"""),"46322")</f>
        <v>46322</v>
      </c>
      <c r="B2781" s="51">
        <f ca="1">IFERROR(__xludf.DUMMYFUNCTION("""COMPUTED_VALUE"""),44614)</f>
        <v>44614</v>
      </c>
      <c r="C2781" s="22">
        <f ca="1">IFERROR(__xludf.DUMMYFUNCTION("""COMPUTED_VALUE"""),500000)</f>
        <v>500000</v>
      </c>
      <c r="D2781" s="22">
        <f ca="1">IFERROR(__xludf.DUMMYFUNCTION("""COMPUTED_VALUE"""),0)</f>
        <v>0</v>
      </c>
      <c r="E2781" s="22">
        <f ca="1">IFERROR(__xludf.DUMMYFUNCTION("""COMPUTED_VALUE"""),500000)</f>
        <v>500000</v>
      </c>
      <c r="F2781" s="22">
        <f ca="1">IFERROR(__xludf.DUMMYFUNCTION("""COMPUTED_VALUE"""),500000)</f>
        <v>500000</v>
      </c>
      <c r="G2781" s="22">
        <f ca="1">IFERROR(__xludf.DUMMYFUNCTION("""COMPUTED_VALUE"""),0)</f>
        <v>0</v>
      </c>
      <c r="H2781" s="7">
        <f ca="1">IFERROR(__xludf.DUMMYFUNCTION("""COMPUTED_VALUE"""),500000)</f>
        <v>500000</v>
      </c>
    </row>
    <row r="2782" spans="1:8" ht="13" x14ac:dyDescent="0.15">
      <c r="A2782" s="5" t="str">
        <f ca="1">IFERROR(__xludf.DUMMYFUNCTION("""COMPUTED_VALUE"""),"46322")</f>
        <v>46322</v>
      </c>
      <c r="B2782" s="51">
        <f ca="1">IFERROR(__xludf.DUMMYFUNCTION("""COMPUTED_VALUE"""),44615)</f>
        <v>44615</v>
      </c>
      <c r="C2782" s="22">
        <f ca="1">IFERROR(__xludf.DUMMYFUNCTION("""COMPUTED_VALUE"""),500000)</f>
        <v>500000</v>
      </c>
      <c r="D2782" s="22">
        <f ca="1">IFERROR(__xludf.DUMMYFUNCTION("""COMPUTED_VALUE"""),0)</f>
        <v>0</v>
      </c>
      <c r="E2782" s="22">
        <f ca="1">IFERROR(__xludf.DUMMYFUNCTION("""COMPUTED_VALUE"""),500000)</f>
        <v>500000</v>
      </c>
      <c r="F2782" s="22">
        <f ca="1">IFERROR(__xludf.DUMMYFUNCTION("""COMPUTED_VALUE"""),500000)</f>
        <v>500000</v>
      </c>
      <c r="G2782" s="22">
        <f ca="1">IFERROR(__xludf.DUMMYFUNCTION("""COMPUTED_VALUE"""),0)</f>
        <v>0</v>
      </c>
      <c r="H2782" s="7">
        <f ca="1">IFERROR(__xludf.DUMMYFUNCTION("""COMPUTED_VALUE"""),500000)</f>
        <v>500000</v>
      </c>
    </row>
    <row r="2783" spans="1:8" ht="13" x14ac:dyDescent="0.15">
      <c r="A2783" s="5" t="str">
        <f ca="1">IFERROR(__xludf.DUMMYFUNCTION("""COMPUTED_VALUE"""),"46322")</f>
        <v>46322</v>
      </c>
      <c r="B2783" s="51">
        <f ca="1">IFERROR(__xludf.DUMMYFUNCTION("""COMPUTED_VALUE"""),44616)</f>
        <v>44616</v>
      </c>
      <c r="C2783" s="22">
        <f ca="1">IFERROR(__xludf.DUMMYFUNCTION("""COMPUTED_VALUE"""),499617.2)</f>
        <v>499617.2</v>
      </c>
      <c r="D2783" s="22">
        <f ca="1">IFERROR(__xludf.DUMMYFUNCTION("""COMPUTED_VALUE"""),382.8)</f>
        <v>382.8</v>
      </c>
      <c r="E2783" s="22">
        <f ca="1">IFERROR(__xludf.DUMMYFUNCTION("""COMPUTED_VALUE"""),500000)</f>
        <v>500000</v>
      </c>
      <c r="F2783" s="22">
        <f ca="1">IFERROR(__xludf.DUMMYFUNCTION("""COMPUTED_VALUE"""),499617.2)</f>
        <v>499617.2</v>
      </c>
      <c r="G2783" s="22">
        <f ca="1">IFERROR(__xludf.DUMMYFUNCTION("""COMPUTED_VALUE"""),0)</f>
        <v>0</v>
      </c>
      <c r="H2783" s="7">
        <f ca="1">IFERROR(__xludf.DUMMYFUNCTION("""COMPUTED_VALUE"""),500000)</f>
        <v>500000</v>
      </c>
    </row>
    <row r="2784" spans="1:8" ht="13" x14ac:dyDescent="0.15">
      <c r="A2784" s="5" t="str">
        <f ca="1">IFERROR(__xludf.DUMMYFUNCTION("""COMPUTED_VALUE"""),"46322")</f>
        <v>46322</v>
      </c>
      <c r="B2784" s="51">
        <f ca="1">IFERROR(__xludf.DUMMYFUNCTION("""COMPUTED_VALUE"""),44617)</f>
        <v>44617</v>
      </c>
      <c r="C2784" s="22">
        <f ca="1">IFERROR(__xludf.DUMMYFUNCTION("""COMPUTED_VALUE"""),424656.608)</f>
        <v>424656.60800000001</v>
      </c>
      <c r="D2784" s="22">
        <f ca="1">IFERROR(__xludf.DUMMYFUNCTION("""COMPUTED_VALUE"""),75340.992)</f>
        <v>75340.991999999998</v>
      </c>
      <c r="E2784" s="22">
        <f ca="1">IFERROR(__xludf.DUMMYFUNCTION("""COMPUTED_VALUE"""),499997.6)</f>
        <v>499997.6</v>
      </c>
      <c r="F2784" s="22">
        <f ca="1">IFERROR(__xludf.DUMMYFUNCTION("""COMPUTED_VALUE"""),424656.608)</f>
        <v>424656.60800000001</v>
      </c>
      <c r="G2784" s="22">
        <f ca="1">IFERROR(__xludf.DUMMYFUNCTION("""COMPUTED_VALUE"""),0)</f>
        <v>0</v>
      </c>
      <c r="H2784" s="7">
        <f ca="1">IFERROR(__xludf.DUMMYFUNCTION("""COMPUTED_VALUE"""),499997.6)</f>
        <v>499997.6</v>
      </c>
    </row>
    <row r="2785" spans="1:8" ht="13" x14ac:dyDescent="0.15">
      <c r="A2785" s="5" t="str">
        <f ca="1">IFERROR(__xludf.DUMMYFUNCTION("""COMPUTED_VALUE"""),"46322")</f>
        <v>46322</v>
      </c>
      <c r="B2785" s="51">
        <f ca="1">IFERROR(__xludf.DUMMYFUNCTION("""COMPUTED_VALUE"""),44618)</f>
        <v>44618</v>
      </c>
      <c r="C2785" s="22">
        <f ca="1">IFERROR(__xludf.DUMMYFUNCTION("""COMPUTED_VALUE"""),424656.608)</f>
        <v>424656.60800000001</v>
      </c>
      <c r="D2785" s="22">
        <f ca="1">IFERROR(__xludf.DUMMYFUNCTION("""COMPUTED_VALUE"""),75340.992)</f>
        <v>75340.991999999998</v>
      </c>
      <c r="E2785" s="22">
        <f ca="1">IFERROR(__xludf.DUMMYFUNCTION("""COMPUTED_VALUE"""),499997.6)</f>
        <v>499997.6</v>
      </c>
      <c r="F2785" s="22">
        <f ca="1">IFERROR(__xludf.DUMMYFUNCTION("""COMPUTED_VALUE"""),424656.608)</f>
        <v>424656.60800000001</v>
      </c>
      <c r="G2785" s="22">
        <f ca="1">IFERROR(__xludf.DUMMYFUNCTION("""COMPUTED_VALUE"""),0)</f>
        <v>0</v>
      </c>
      <c r="H2785" s="7">
        <f ca="1">IFERROR(__xludf.DUMMYFUNCTION("""COMPUTED_VALUE"""),499999.04)</f>
        <v>499999.04</v>
      </c>
    </row>
    <row r="2786" spans="1:8" ht="13" x14ac:dyDescent="0.15">
      <c r="A2786" s="5" t="str">
        <f ca="1">IFERROR(__xludf.DUMMYFUNCTION("""COMPUTED_VALUE"""),"46322")</f>
        <v>46322</v>
      </c>
      <c r="B2786" s="51">
        <f ca="1">IFERROR(__xludf.DUMMYFUNCTION("""COMPUTED_VALUE"""),44619)</f>
        <v>44619</v>
      </c>
      <c r="C2786" s="22">
        <f ca="1">IFERROR(__xludf.DUMMYFUNCTION("""COMPUTED_VALUE"""),424656.608)</f>
        <v>424656.60800000001</v>
      </c>
      <c r="D2786" s="22">
        <f ca="1">IFERROR(__xludf.DUMMYFUNCTION("""COMPUTED_VALUE"""),75341.242)</f>
        <v>75341.241999999998</v>
      </c>
      <c r="E2786" s="22">
        <f ca="1">IFERROR(__xludf.DUMMYFUNCTION("""COMPUTED_VALUE"""),499997.85)</f>
        <v>499997.85</v>
      </c>
      <c r="F2786" s="22">
        <f ca="1">IFERROR(__xludf.DUMMYFUNCTION("""COMPUTED_VALUE"""),424656.608)</f>
        <v>424656.60800000001</v>
      </c>
      <c r="G2786" s="22">
        <f ca="1">IFERROR(__xludf.DUMMYFUNCTION("""COMPUTED_VALUE"""),0)</f>
        <v>0</v>
      </c>
      <c r="H2786" s="7">
        <f ca="1">IFERROR(__xludf.DUMMYFUNCTION("""COMPUTED_VALUE"""),499995.978)</f>
        <v>499995.978</v>
      </c>
    </row>
    <row r="2787" spans="1:8" ht="13" x14ac:dyDescent="0.15">
      <c r="A2787" s="5" t="str">
        <f ca="1">IFERROR(__xludf.DUMMYFUNCTION("""COMPUTED_VALUE"""),"46322")</f>
        <v>46322</v>
      </c>
      <c r="B2787" s="51">
        <f ca="1">IFERROR(__xludf.DUMMYFUNCTION("""COMPUTED_VALUE"""),44620)</f>
        <v>44620</v>
      </c>
      <c r="C2787" s="22">
        <f ca="1">IFERROR(__xludf.DUMMYFUNCTION("""COMPUTED_VALUE"""),314607.8372)</f>
        <v>314607.83720000001</v>
      </c>
      <c r="D2787" s="22">
        <f ca="1">IFERROR(__xludf.DUMMYFUNCTION("""COMPUTED_VALUE"""),182249.2532)</f>
        <v>182249.25320000001</v>
      </c>
      <c r="E2787" s="22">
        <f ca="1">IFERROR(__xludf.DUMMYFUNCTION("""COMPUTED_VALUE"""),496857.0904)</f>
        <v>496857.09039999999</v>
      </c>
      <c r="F2787" s="22">
        <f ca="1">IFERROR(__xludf.DUMMYFUNCTION("""COMPUTED_VALUE"""),314607.8372)</f>
        <v>314607.83720000001</v>
      </c>
      <c r="G2787" s="22">
        <f ca="1">IFERROR(__xludf.DUMMYFUNCTION("""COMPUTED_VALUE"""),0)</f>
        <v>0</v>
      </c>
      <c r="H2787" s="7">
        <f ca="1">IFERROR(__xludf.DUMMYFUNCTION("""COMPUTED_VALUE"""),496931.083899999)</f>
        <v>496931.08389999898</v>
      </c>
    </row>
    <row r="2788" spans="1:8" ht="13" x14ac:dyDescent="0.15">
      <c r="A2788" s="5" t="str">
        <f ca="1">IFERROR(__xludf.DUMMYFUNCTION("""COMPUTED_VALUE"""),"46322")</f>
        <v>46322</v>
      </c>
      <c r="B2788" s="51">
        <f ca="1">IFERROR(__xludf.DUMMYFUNCTION("""COMPUTED_VALUE"""),44621)</f>
        <v>44621</v>
      </c>
      <c r="C2788" s="22">
        <f ca="1">IFERROR(__xludf.DUMMYFUNCTION("""COMPUTED_VALUE"""),314607.8372)</f>
        <v>314607.83720000001</v>
      </c>
      <c r="D2788" s="22">
        <f ca="1">IFERROR(__xludf.DUMMYFUNCTION("""COMPUTED_VALUE"""),184618.09186)</f>
        <v>184618.09185999999</v>
      </c>
      <c r="E2788" s="22">
        <f ca="1">IFERROR(__xludf.DUMMYFUNCTION("""COMPUTED_VALUE"""),499225.92906)</f>
        <v>499225.92905999999</v>
      </c>
      <c r="F2788" s="22">
        <f ca="1">IFERROR(__xludf.DUMMYFUNCTION("""COMPUTED_VALUE"""),314607.8372)</f>
        <v>314607.83720000001</v>
      </c>
      <c r="G2788" s="22">
        <f ca="1">IFERROR(__xludf.DUMMYFUNCTION("""COMPUTED_VALUE"""),0)</f>
        <v>0</v>
      </c>
      <c r="H2788" s="7">
        <f ca="1">IFERROR(__xludf.DUMMYFUNCTION("""COMPUTED_VALUE"""),495956.68617)</f>
        <v>495956.68617</v>
      </c>
    </row>
    <row r="2789" spans="1:8" ht="13" x14ac:dyDescent="0.15">
      <c r="A2789" s="5" t="str">
        <f ca="1">IFERROR(__xludf.DUMMYFUNCTION("""COMPUTED_VALUE"""),"46322")</f>
        <v>46322</v>
      </c>
      <c r="B2789" s="51">
        <f ca="1">IFERROR(__xludf.DUMMYFUNCTION("""COMPUTED_VALUE"""),44622)</f>
        <v>44622</v>
      </c>
      <c r="C2789" s="22">
        <f ca="1">IFERROR(__xludf.DUMMYFUNCTION("""COMPUTED_VALUE"""),420189.9296)</f>
        <v>420189.92959999997</v>
      </c>
      <c r="D2789" s="22">
        <f ca="1">IFERROR(__xludf.DUMMYFUNCTION("""COMPUTED_VALUE"""),75192.5573)</f>
        <v>75192.5573</v>
      </c>
      <c r="E2789" s="22">
        <f ca="1">IFERROR(__xludf.DUMMYFUNCTION("""COMPUTED_VALUE"""),495382.4869)</f>
        <v>495382.48690000002</v>
      </c>
      <c r="F2789" s="22">
        <f ca="1">IFERROR(__xludf.DUMMYFUNCTION("""COMPUTED_VALUE"""),420189.9296)</f>
        <v>420189.92959999997</v>
      </c>
      <c r="G2789" s="22">
        <f ca="1">IFERROR(__xludf.DUMMYFUNCTION("""COMPUTED_VALUE"""),0)</f>
        <v>0</v>
      </c>
      <c r="H2789" s="7">
        <f ca="1">IFERROR(__xludf.DUMMYFUNCTION("""COMPUTED_VALUE"""),495382.4869)</f>
        <v>495382.48690000002</v>
      </c>
    </row>
    <row r="2790" spans="1:8" ht="13" x14ac:dyDescent="0.15">
      <c r="A2790" s="5" t="str">
        <f ca="1">IFERROR(__xludf.DUMMYFUNCTION("""COMPUTED_VALUE"""),"46322")</f>
        <v>46322</v>
      </c>
      <c r="B2790" s="51">
        <f ca="1">IFERROR(__xludf.DUMMYFUNCTION("""COMPUTED_VALUE"""),44623)</f>
        <v>44623</v>
      </c>
      <c r="C2790" s="22">
        <f ca="1">IFERROR(__xludf.DUMMYFUNCTION("""COMPUTED_VALUE"""),420189.9296)</f>
        <v>420189.92959999997</v>
      </c>
      <c r="D2790" s="22">
        <f ca="1">IFERROR(__xludf.DUMMYFUNCTION("""COMPUTED_VALUE"""),73350.985)</f>
        <v>73350.985000000001</v>
      </c>
      <c r="E2790" s="22">
        <f ca="1">IFERROR(__xludf.DUMMYFUNCTION("""COMPUTED_VALUE"""),493540.9146)</f>
        <v>493540.91460000002</v>
      </c>
      <c r="F2790" s="22">
        <f ca="1">IFERROR(__xludf.DUMMYFUNCTION("""COMPUTED_VALUE"""),420189.9296)</f>
        <v>420189.92959999997</v>
      </c>
      <c r="G2790" s="22">
        <f ca="1">IFERROR(__xludf.DUMMYFUNCTION("""COMPUTED_VALUE"""),0)</f>
        <v>0</v>
      </c>
      <c r="H2790" s="7">
        <f ca="1">IFERROR(__xludf.DUMMYFUNCTION("""COMPUTED_VALUE"""),500236.8728)</f>
        <v>500236.87280000001</v>
      </c>
    </row>
    <row r="2791" spans="1:8" ht="13" x14ac:dyDescent="0.15">
      <c r="A2791" s="5" t="str">
        <f ca="1">IFERROR(__xludf.DUMMYFUNCTION("""COMPUTED_VALUE"""),"46322")</f>
        <v>46322</v>
      </c>
      <c r="B2791" s="51">
        <f ca="1">IFERROR(__xludf.DUMMYFUNCTION("""COMPUTED_VALUE"""),44624)</f>
        <v>44624</v>
      </c>
      <c r="C2791" s="22">
        <f ca="1">IFERROR(__xludf.DUMMYFUNCTION("""COMPUTED_VALUE"""),420189.9296)</f>
        <v>420189.92959999997</v>
      </c>
      <c r="D2791" s="22">
        <f ca="1">IFERROR(__xludf.DUMMYFUNCTION("""COMPUTED_VALUE"""),72474.80624)</f>
        <v>72474.806240000005</v>
      </c>
      <c r="E2791" s="22">
        <f ca="1">IFERROR(__xludf.DUMMYFUNCTION("""COMPUTED_VALUE"""),492664.73584)</f>
        <v>492664.73583999998</v>
      </c>
      <c r="F2791" s="22">
        <f ca="1">IFERROR(__xludf.DUMMYFUNCTION("""COMPUTED_VALUE"""),420189.9296)</f>
        <v>420189.92959999997</v>
      </c>
      <c r="G2791" s="22">
        <f ca="1">IFERROR(__xludf.DUMMYFUNCTION("""COMPUTED_VALUE"""),0)</f>
        <v>0</v>
      </c>
      <c r="H2791" s="7">
        <f ca="1">IFERROR(__xludf.DUMMYFUNCTION("""COMPUTED_VALUE"""),504116.01136)</f>
        <v>504116.01136</v>
      </c>
    </row>
    <row r="2792" spans="1:8" ht="13" x14ac:dyDescent="0.15">
      <c r="A2792" s="5" t="str">
        <f ca="1">IFERROR(__xludf.DUMMYFUNCTION("""COMPUTED_VALUE"""),"46322")</f>
        <v>46322</v>
      </c>
      <c r="B2792" s="51">
        <f ca="1">IFERROR(__xludf.DUMMYFUNCTION("""COMPUTED_VALUE"""),44625)</f>
        <v>44625</v>
      </c>
      <c r="C2792" s="22">
        <f ca="1">IFERROR(__xludf.DUMMYFUNCTION("""COMPUTED_VALUE"""),420189.9296)</f>
        <v>420189.92959999997</v>
      </c>
      <c r="D2792" s="22">
        <f ca="1">IFERROR(__xludf.DUMMYFUNCTION("""COMPUTED_VALUE"""),72474.80624)</f>
        <v>72474.806240000005</v>
      </c>
      <c r="E2792" s="22">
        <f ca="1">IFERROR(__xludf.DUMMYFUNCTION("""COMPUTED_VALUE"""),492664.73584)</f>
        <v>492664.73583999998</v>
      </c>
      <c r="F2792" s="22">
        <f ca="1">IFERROR(__xludf.DUMMYFUNCTION("""COMPUTED_VALUE"""),420189.9296)</f>
        <v>420189.92959999997</v>
      </c>
      <c r="G2792" s="22">
        <f ca="1">IFERROR(__xludf.DUMMYFUNCTION("""COMPUTED_VALUE"""),0)</f>
        <v>0</v>
      </c>
      <c r="H2792" s="7">
        <f ca="1">IFERROR(__xludf.DUMMYFUNCTION("""COMPUTED_VALUE"""),504116.01136)</f>
        <v>504116.01136</v>
      </c>
    </row>
    <row r="2793" spans="1:8" ht="13" x14ac:dyDescent="0.15">
      <c r="A2793" s="5" t="str">
        <f ca="1">IFERROR(__xludf.DUMMYFUNCTION("""COMPUTED_VALUE"""),"46322")</f>
        <v>46322</v>
      </c>
      <c r="B2793" s="51">
        <f ca="1">IFERROR(__xludf.DUMMYFUNCTION("""COMPUTED_VALUE"""),44626)</f>
        <v>44626</v>
      </c>
      <c r="C2793" s="22">
        <f ca="1">IFERROR(__xludf.DUMMYFUNCTION("""COMPUTED_VALUE"""),420189.9296)</f>
        <v>420189.92959999997</v>
      </c>
      <c r="D2793" s="22">
        <f ca="1">IFERROR(__xludf.DUMMYFUNCTION("""COMPUTED_VALUE"""),72499.2495899999)</f>
        <v>72499.249589999905</v>
      </c>
      <c r="E2793" s="22">
        <f ca="1">IFERROR(__xludf.DUMMYFUNCTION("""COMPUTED_VALUE"""),492689.17919)</f>
        <v>492689.17919</v>
      </c>
      <c r="F2793" s="22">
        <f ca="1">IFERROR(__xludf.DUMMYFUNCTION("""COMPUTED_VALUE"""),420189.9296)</f>
        <v>420189.92959999997</v>
      </c>
      <c r="G2793" s="22">
        <f ca="1">IFERROR(__xludf.DUMMYFUNCTION("""COMPUTED_VALUE"""),0)</f>
        <v>0</v>
      </c>
      <c r="H2793" s="7">
        <f ca="1">IFERROR(__xludf.DUMMYFUNCTION("""COMPUTED_VALUE"""),504127.50526)</f>
        <v>504127.50526000001</v>
      </c>
    </row>
    <row r="2794" spans="1:8" ht="13" x14ac:dyDescent="0.15">
      <c r="A2794" s="5" t="str">
        <f ca="1">IFERROR(__xludf.DUMMYFUNCTION("""COMPUTED_VALUE"""),"46322")</f>
        <v>46322</v>
      </c>
      <c r="B2794" s="51">
        <f ca="1">IFERROR(__xludf.DUMMYFUNCTION("""COMPUTED_VALUE"""),44627)</f>
        <v>44627</v>
      </c>
      <c r="C2794" s="22">
        <f ca="1">IFERROR(__xludf.DUMMYFUNCTION("""COMPUTED_VALUE"""),290597.46335)</f>
        <v>290597.46334999998</v>
      </c>
      <c r="D2794" s="22">
        <f ca="1">IFERROR(__xludf.DUMMYFUNCTION("""COMPUTED_VALUE"""),216360.64375)</f>
        <v>216360.64374999999</v>
      </c>
      <c r="E2794" s="22">
        <f ca="1">IFERROR(__xludf.DUMMYFUNCTION("""COMPUTED_VALUE"""),506958.1071)</f>
        <v>506958.10710000002</v>
      </c>
      <c r="F2794" s="22">
        <f ca="1">IFERROR(__xludf.DUMMYFUNCTION("""COMPUTED_VALUE"""),290597.46335)</f>
        <v>290597.46334999998</v>
      </c>
      <c r="G2794" s="22">
        <f ca="1">IFERROR(__xludf.DUMMYFUNCTION("""COMPUTED_VALUE"""),0)</f>
        <v>0</v>
      </c>
      <c r="H2794" s="7">
        <f ca="1">IFERROR(__xludf.DUMMYFUNCTION("""COMPUTED_VALUE"""),506958.1071)</f>
        <v>506958.10710000002</v>
      </c>
    </row>
    <row r="2795" spans="1:8" ht="13" x14ac:dyDescent="0.15">
      <c r="A2795" s="5" t="str">
        <f ca="1">IFERROR(__xludf.DUMMYFUNCTION("""COMPUTED_VALUE"""),"46322")</f>
        <v>46322</v>
      </c>
      <c r="B2795" s="51">
        <f ca="1">IFERROR(__xludf.DUMMYFUNCTION("""COMPUTED_VALUE"""),44628)</f>
        <v>44628</v>
      </c>
      <c r="C2795" s="22">
        <f ca="1">IFERROR(__xludf.DUMMYFUNCTION("""COMPUTED_VALUE"""),290519.46335)</f>
        <v>290519.46334999998</v>
      </c>
      <c r="D2795" s="22">
        <f ca="1">IFERROR(__xludf.DUMMYFUNCTION("""COMPUTED_VALUE"""),214298.26625)</f>
        <v>214298.26624999999</v>
      </c>
      <c r="E2795" s="22">
        <f ca="1">IFERROR(__xludf.DUMMYFUNCTION("""COMPUTED_VALUE"""),504817.7296)</f>
        <v>504817.72960000002</v>
      </c>
      <c r="F2795" s="22">
        <f ca="1">IFERROR(__xludf.DUMMYFUNCTION("""COMPUTED_VALUE"""),290519.46335)</f>
        <v>290519.46334999998</v>
      </c>
      <c r="G2795" s="22">
        <f ca="1">IFERROR(__xludf.DUMMYFUNCTION("""COMPUTED_VALUE"""),0)</f>
        <v>0</v>
      </c>
      <c r="H2795" s="7">
        <f ca="1">IFERROR(__xludf.DUMMYFUNCTION("""COMPUTED_VALUE"""),504817.7296)</f>
        <v>504817.72960000002</v>
      </c>
    </row>
    <row r="2796" spans="1:8" ht="13" x14ac:dyDescent="0.15">
      <c r="A2796" s="5" t="str">
        <f ca="1">IFERROR(__xludf.DUMMYFUNCTION("""COMPUTED_VALUE"""),"46322")</f>
        <v>46322</v>
      </c>
      <c r="B2796" s="51">
        <f ca="1">IFERROR(__xludf.DUMMYFUNCTION("""COMPUTED_VALUE"""),44629)</f>
        <v>44629</v>
      </c>
      <c r="C2796" s="22">
        <f ca="1">IFERROR(__xludf.DUMMYFUNCTION("""COMPUTED_VALUE"""),262874.46335)</f>
        <v>262874.46334999998</v>
      </c>
      <c r="D2796" s="22">
        <f ca="1">IFERROR(__xludf.DUMMYFUNCTION("""COMPUTED_VALUE"""),231272.80975)</f>
        <v>231272.80974999999</v>
      </c>
      <c r="E2796" s="22">
        <f ca="1">IFERROR(__xludf.DUMMYFUNCTION("""COMPUTED_VALUE"""),494147.2731)</f>
        <v>494147.27309999999</v>
      </c>
      <c r="F2796" s="22">
        <f ca="1">IFERROR(__xludf.DUMMYFUNCTION("""COMPUTED_VALUE"""),262874.46335)</f>
        <v>262874.46334999998</v>
      </c>
      <c r="G2796" s="22">
        <f ca="1">IFERROR(__xludf.DUMMYFUNCTION("""COMPUTED_VALUE"""),0)</f>
        <v>0</v>
      </c>
      <c r="H2796" s="7">
        <f ca="1">IFERROR(__xludf.DUMMYFUNCTION("""COMPUTED_VALUE"""),495377.2731)</f>
        <v>495377.27309999999</v>
      </c>
    </row>
    <row r="2797" spans="1:8" ht="13" x14ac:dyDescent="0.15">
      <c r="A2797" s="5" t="str">
        <f ca="1">IFERROR(__xludf.DUMMYFUNCTION("""COMPUTED_VALUE"""),"46322")</f>
        <v>46322</v>
      </c>
      <c r="B2797" s="51">
        <f ca="1">IFERROR(__xludf.DUMMYFUNCTION("""COMPUTED_VALUE"""),44630)</f>
        <v>44630</v>
      </c>
      <c r="C2797" s="22">
        <f ca="1">IFERROR(__xludf.DUMMYFUNCTION("""COMPUTED_VALUE"""),262874.46335)</f>
        <v>262874.46334999998</v>
      </c>
      <c r="D2797" s="22">
        <f ca="1">IFERROR(__xludf.DUMMYFUNCTION("""COMPUTED_VALUE"""),238055.794)</f>
        <v>238055.79399999999</v>
      </c>
      <c r="E2797" s="22">
        <f ca="1">IFERROR(__xludf.DUMMYFUNCTION("""COMPUTED_VALUE"""),500930.25735)</f>
        <v>500930.25735000003</v>
      </c>
      <c r="F2797" s="22">
        <f ca="1">IFERROR(__xludf.DUMMYFUNCTION("""COMPUTED_VALUE"""),262874.46335)</f>
        <v>262874.46334999998</v>
      </c>
      <c r="G2797" s="22">
        <f ca="1">IFERROR(__xludf.DUMMYFUNCTION("""COMPUTED_VALUE"""),0)</f>
        <v>0</v>
      </c>
      <c r="H2797" s="7">
        <f ca="1">IFERROR(__xludf.DUMMYFUNCTION("""COMPUTED_VALUE"""),502115.25735)</f>
        <v>502115.25735000003</v>
      </c>
    </row>
    <row r="2798" spans="1:8" ht="13" x14ac:dyDescent="0.15">
      <c r="A2798" s="5" t="str">
        <f ca="1">IFERROR(__xludf.DUMMYFUNCTION("""COMPUTED_VALUE"""),"46322")</f>
        <v>46322</v>
      </c>
      <c r="B2798" s="51">
        <f ca="1">IFERROR(__xludf.DUMMYFUNCTION("""COMPUTED_VALUE"""),44631)</f>
        <v>44631</v>
      </c>
      <c r="C2798" s="22">
        <f ca="1">IFERROR(__xludf.DUMMYFUNCTION("""COMPUTED_VALUE"""),262874.46335)</f>
        <v>262874.46334999998</v>
      </c>
      <c r="D2798" s="22">
        <f ca="1">IFERROR(__xludf.DUMMYFUNCTION("""COMPUTED_VALUE"""),252199.6375)</f>
        <v>252199.63750000001</v>
      </c>
      <c r="E2798" s="22">
        <f ca="1">IFERROR(__xludf.DUMMYFUNCTION("""COMPUTED_VALUE"""),515074.10085)</f>
        <v>515074.10084999999</v>
      </c>
      <c r="F2798" s="22">
        <f ca="1">IFERROR(__xludf.DUMMYFUNCTION("""COMPUTED_VALUE"""),262874.46335)</f>
        <v>262874.46334999998</v>
      </c>
      <c r="G2798" s="22">
        <f ca="1">IFERROR(__xludf.DUMMYFUNCTION("""COMPUTED_VALUE"""),0)</f>
        <v>0</v>
      </c>
      <c r="H2798" s="7">
        <f ca="1">IFERROR(__xludf.DUMMYFUNCTION("""COMPUTED_VALUE"""),514669.10085)</f>
        <v>514669.10084999999</v>
      </c>
    </row>
    <row r="2799" spans="1:8" ht="13" x14ac:dyDescent="0.15">
      <c r="A2799" s="5" t="str">
        <f ca="1">IFERROR(__xludf.DUMMYFUNCTION("""COMPUTED_VALUE"""),"46322")</f>
        <v>46322</v>
      </c>
      <c r="B2799" s="51">
        <f ca="1">IFERROR(__xludf.DUMMYFUNCTION("""COMPUTED_VALUE"""),44632)</f>
        <v>44632</v>
      </c>
      <c r="C2799" s="22">
        <f ca="1">IFERROR(__xludf.DUMMYFUNCTION("""COMPUTED_VALUE"""),262874.46335)</f>
        <v>262874.46334999998</v>
      </c>
      <c r="D2799" s="22">
        <f ca="1">IFERROR(__xludf.DUMMYFUNCTION("""COMPUTED_VALUE"""),252199.6375)</f>
        <v>252199.63750000001</v>
      </c>
      <c r="E2799" s="22">
        <f ca="1">IFERROR(__xludf.DUMMYFUNCTION("""COMPUTED_VALUE"""),515074.10085)</f>
        <v>515074.10084999999</v>
      </c>
      <c r="F2799" s="22">
        <f ca="1">IFERROR(__xludf.DUMMYFUNCTION("""COMPUTED_VALUE"""),262874.46335)</f>
        <v>262874.46334999998</v>
      </c>
      <c r="G2799" s="22">
        <f ca="1">IFERROR(__xludf.DUMMYFUNCTION("""COMPUTED_VALUE"""),0)</f>
        <v>0</v>
      </c>
      <c r="H2799" s="7">
        <f ca="1">IFERROR(__xludf.DUMMYFUNCTION("""COMPUTED_VALUE"""),514669.10085)</f>
        <v>514669.10084999999</v>
      </c>
    </row>
    <row r="2800" spans="1:8" ht="13" x14ac:dyDescent="0.15">
      <c r="A2800" s="5" t="str">
        <f ca="1">IFERROR(__xludf.DUMMYFUNCTION("""COMPUTED_VALUE"""),"46322")</f>
        <v>46322</v>
      </c>
      <c r="B2800" s="51">
        <f ca="1">IFERROR(__xludf.DUMMYFUNCTION("""COMPUTED_VALUE"""),44633)</f>
        <v>44633</v>
      </c>
      <c r="C2800" s="22">
        <f ca="1">IFERROR(__xludf.DUMMYFUNCTION("""COMPUTED_VALUE"""),262874.46335)</f>
        <v>262874.46334999998</v>
      </c>
      <c r="D2800" s="22">
        <f ca="1">IFERROR(__xludf.DUMMYFUNCTION("""COMPUTED_VALUE"""),252180.45875)</f>
        <v>252180.45874999999</v>
      </c>
      <c r="E2800" s="22">
        <f ca="1">IFERROR(__xludf.DUMMYFUNCTION("""COMPUTED_VALUE"""),515054.9221)</f>
        <v>515054.92210000003</v>
      </c>
      <c r="F2800" s="22">
        <f ca="1">IFERROR(__xludf.DUMMYFUNCTION("""COMPUTED_VALUE"""),262874.46335)</f>
        <v>262874.46334999998</v>
      </c>
      <c r="G2800" s="22">
        <f ca="1">IFERROR(__xludf.DUMMYFUNCTION("""COMPUTED_VALUE"""),0)</f>
        <v>0</v>
      </c>
      <c r="H2800" s="7">
        <f ca="1">IFERROR(__xludf.DUMMYFUNCTION("""COMPUTED_VALUE"""),514649.9221)</f>
        <v>514649.92210000003</v>
      </c>
    </row>
    <row r="2801" spans="1:8" ht="13" x14ac:dyDescent="0.15">
      <c r="A2801" s="5" t="str">
        <f ca="1">IFERROR(__xludf.DUMMYFUNCTION("""COMPUTED_VALUE"""),"46322")</f>
        <v>46322</v>
      </c>
      <c r="B2801" s="51">
        <f ca="1">IFERROR(__xludf.DUMMYFUNCTION("""COMPUTED_VALUE"""),44634)</f>
        <v>44634</v>
      </c>
      <c r="C2801" s="22">
        <f ca="1">IFERROR(__xludf.DUMMYFUNCTION("""COMPUTED_VALUE"""),167968.29485)</f>
        <v>167968.29485000001</v>
      </c>
      <c r="D2801" s="22">
        <f ca="1">IFERROR(__xludf.DUMMYFUNCTION("""COMPUTED_VALUE"""),356844.28975)</f>
        <v>356844.28975</v>
      </c>
      <c r="E2801" s="22">
        <f ca="1">IFERROR(__xludf.DUMMYFUNCTION("""COMPUTED_VALUE"""),524812.5846)</f>
        <v>524812.58459999994</v>
      </c>
      <c r="F2801" s="22">
        <f ca="1">IFERROR(__xludf.DUMMYFUNCTION("""COMPUTED_VALUE"""),167968.29485)</f>
        <v>167968.29485000001</v>
      </c>
      <c r="G2801" s="22">
        <f ca="1">IFERROR(__xludf.DUMMYFUNCTION("""COMPUTED_VALUE"""),0)</f>
        <v>0</v>
      </c>
      <c r="H2801" s="7">
        <f ca="1">IFERROR(__xludf.DUMMYFUNCTION("""COMPUTED_VALUE"""),524812.5846)</f>
        <v>524812.58459999994</v>
      </c>
    </row>
    <row r="2802" spans="1:8" ht="13" x14ac:dyDescent="0.15">
      <c r="A2802" s="5" t="str">
        <f ca="1">IFERROR(__xludf.DUMMYFUNCTION("""COMPUTED_VALUE"""),"46322")</f>
        <v>46322</v>
      </c>
      <c r="B2802" s="51">
        <f ca="1">IFERROR(__xludf.DUMMYFUNCTION("""COMPUTED_VALUE"""),44635)</f>
        <v>44635</v>
      </c>
      <c r="C2802" s="22">
        <f ca="1">IFERROR(__xludf.DUMMYFUNCTION("""COMPUTED_VALUE"""),167968.29485)</f>
        <v>167968.29485000001</v>
      </c>
      <c r="D2802" s="22">
        <f ca="1">IFERROR(__xludf.DUMMYFUNCTION("""COMPUTED_VALUE"""),325068.94825)</f>
        <v>325068.94825000002</v>
      </c>
      <c r="E2802" s="22">
        <f ca="1">IFERROR(__xludf.DUMMYFUNCTION("""COMPUTED_VALUE"""),493037.2431)</f>
        <v>493037.24310000002</v>
      </c>
      <c r="F2802" s="22">
        <f ca="1">IFERROR(__xludf.DUMMYFUNCTION("""COMPUTED_VALUE"""),167968.29485)</f>
        <v>167968.29485000001</v>
      </c>
      <c r="G2802" s="22">
        <f ca="1">IFERROR(__xludf.DUMMYFUNCTION("""COMPUTED_VALUE"""),0)</f>
        <v>0</v>
      </c>
      <c r="H2802" s="7">
        <f ca="1">IFERROR(__xludf.DUMMYFUNCTION("""COMPUTED_VALUE"""),508426.9719)</f>
        <v>508426.9719</v>
      </c>
    </row>
    <row r="2803" spans="1:8" ht="13" x14ac:dyDescent="0.15">
      <c r="A2803" s="5" t="str">
        <f ca="1">IFERROR(__xludf.DUMMYFUNCTION("""COMPUTED_VALUE"""),"46322")</f>
        <v>46322</v>
      </c>
      <c r="B2803" s="51">
        <f ca="1">IFERROR(__xludf.DUMMYFUNCTION("""COMPUTED_VALUE"""),44636)</f>
        <v>44636</v>
      </c>
      <c r="C2803" s="22">
        <f ca="1">IFERROR(__xludf.DUMMYFUNCTION("""COMPUTED_VALUE"""),167968.29485)</f>
        <v>167968.29485000001</v>
      </c>
      <c r="D2803" s="22">
        <f ca="1">IFERROR(__xludf.DUMMYFUNCTION("""COMPUTED_VALUE"""),261184.448749999)</f>
        <v>261184.44874999899</v>
      </c>
      <c r="E2803" s="22">
        <f ca="1">IFERROR(__xludf.DUMMYFUNCTION("""COMPUTED_VALUE"""),429152.7436)</f>
        <v>429152.74359999999</v>
      </c>
      <c r="F2803" s="22">
        <f ca="1">IFERROR(__xludf.DUMMYFUNCTION("""COMPUTED_VALUE"""),167968.29485)</f>
        <v>167968.29485000001</v>
      </c>
      <c r="G2803" s="22">
        <f ca="1">IFERROR(__xludf.DUMMYFUNCTION("""COMPUTED_VALUE"""),0)</f>
        <v>0</v>
      </c>
      <c r="H2803" s="7">
        <f ca="1">IFERROR(__xludf.DUMMYFUNCTION("""COMPUTED_VALUE"""),481753.2988)</f>
        <v>481753.29879999999</v>
      </c>
    </row>
    <row r="2804" spans="1:8" ht="13" x14ac:dyDescent="0.15">
      <c r="A2804" s="5" t="str">
        <f ca="1">IFERROR(__xludf.DUMMYFUNCTION("""COMPUTED_VALUE"""),"46322")</f>
        <v>46322</v>
      </c>
      <c r="B2804" s="51">
        <f ca="1">IFERROR(__xludf.DUMMYFUNCTION("""COMPUTED_VALUE"""),44637)</f>
        <v>44637</v>
      </c>
      <c r="C2804" s="22">
        <f ca="1">IFERROR(__xludf.DUMMYFUNCTION("""COMPUTED_VALUE"""),167968.29485)</f>
        <v>167968.29485000001</v>
      </c>
      <c r="D2804" s="22">
        <f ca="1">IFERROR(__xludf.DUMMYFUNCTION("""COMPUTED_VALUE"""),233714.731499999)</f>
        <v>233714.731499999</v>
      </c>
      <c r="E2804" s="22">
        <f ca="1">IFERROR(__xludf.DUMMYFUNCTION("""COMPUTED_VALUE"""),401683.026349999)</f>
        <v>401683.02634999901</v>
      </c>
      <c r="F2804" s="22">
        <f ca="1">IFERROR(__xludf.DUMMYFUNCTION("""COMPUTED_VALUE"""),167968.29485)</f>
        <v>167968.29485000001</v>
      </c>
      <c r="G2804" s="22">
        <f ca="1">IFERROR(__xludf.DUMMYFUNCTION("""COMPUTED_VALUE"""),0)</f>
        <v>0</v>
      </c>
      <c r="H2804" s="7">
        <f ca="1">IFERROR(__xludf.DUMMYFUNCTION("""COMPUTED_VALUE"""),470755.91075)</f>
        <v>470755.91074999998</v>
      </c>
    </row>
    <row r="2805" spans="1:8" ht="13" x14ac:dyDescent="0.15">
      <c r="A2805" s="5" t="str">
        <f ca="1">IFERROR(__xludf.DUMMYFUNCTION("""COMPUTED_VALUE"""),"46322")</f>
        <v>46322</v>
      </c>
      <c r="B2805" s="51">
        <f ca="1">IFERROR(__xludf.DUMMYFUNCTION("""COMPUTED_VALUE"""),44638)</f>
        <v>44638</v>
      </c>
      <c r="C2805" s="22">
        <f ca="1">IFERROR(__xludf.DUMMYFUNCTION("""COMPUTED_VALUE"""),-128566.01035)</f>
        <v>-128566.01035</v>
      </c>
      <c r="D2805" s="22">
        <f ca="1">IFERROR(__xludf.DUMMYFUNCTION("""COMPUTED_VALUE"""),585959.72225)</f>
        <v>585959.72224999999</v>
      </c>
      <c r="E2805" s="22">
        <f ca="1">IFERROR(__xludf.DUMMYFUNCTION("""COMPUTED_VALUE"""),457393.7119)</f>
        <v>457393.71189999999</v>
      </c>
      <c r="F2805" s="22">
        <f ca="1">IFERROR(__xludf.DUMMYFUNCTION("""COMPUTED_VALUE"""),-128566.01035)</f>
        <v>-128566.01035</v>
      </c>
      <c r="G2805" s="22">
        <f ca="1">IFERROR(__xludf.DUMMYFUNCTION("""COMPUTED_VALUE"""),128566.01035)</f>
        <v>128566.01035</v>
      </c>
      <c r="H2805" s="7">
        <f ca="1">IFERROR(__xludf.DUMMYFUNCTION("""COMPUTED_VALUE"""),457393.7119)</f>
        <v>457393.71189999999</v>
      </c>
    </row>
    <row r="2806" spans="1:8" ht="13" x14ac:dyDescent="0.15">
      <c r="A2806" s="5" t="str">
        <f ca="1">IFERROR(__xludf.DUMMYFUNCTION("""COMPUTED_VALUE"""),"46322")</f>
        <v>46322</v>
      </c>
      <c r="B2806" s="51">
        <f ca="1">IFERROR(__xludf.DUMMYFUNCTION("""COMPUTED_VALUE"""),44639)</f>
        <v>44639</v>
      </c>
      <c r="C2806" s="22">
        <f ca="1">IFERROR(__xludf.DUMMYFUNCTION("""COMPUTED_VALUE"""),-128566.01035)</f>
        <v>-128566.01035</v>
      </c>
      <c r="D2806" s="22">
        <f ca="1">IFERROR(__xludf.DUMMYFUNCTION("""COMPUTED_VALUE"""),585959.72225)</f>
        <v>585959.72224999999</v>
      </c>
      <c r="E2806" s="22">
        <f ca="1">IFERROR(__xludf.DUMMYFUNCTION("""COMPUTED_VALUE"""),457393.7119)</f>
        <v>457393.71189999999</v>
      </c>
      <c r="F2806" s="22">
        <f ca="1">IFERROR(__xludf.DUMMYFUNCTION("""COMPUTED_VALUE"""),-128566.01035)</f>
        <v>-128566.01035</v>
      </c>
      <c r="G2806" s="22">
        <f ca="1">IFERROR(__xludf.DUMMYFUNCTION("""COMPUTED_VALUE"""),128566.01035)</f>
        <v>128566.01035</v>
      </c>
      <c r="H2806" s="7">
        <f ca="1">IFERROR(__xludf.DUMMYFUNCTION("""COMPUTED_VALUE"""),457393.7119)</f>
        <v>457393.71189999999</v>
      </c>
    </row>
    <row r="2807" spans="1:8" ht="13" x14ac:dyDescent="0.15">
      <c r="A2807" s="5" t="str">
        <f ca="1">IFERROR(__xludf.DUMMYFUNCTION("""COMPUTED_VALUE"""),"46322")</f>
        <v>46322</v>
      </c>
      <c r="B2807" s="51">
        <f ca="1">IFERROR(__xludf.DUMMYFUNCTION("""COMPUTED_VALUE"""),44640)</f>
        <v>44640</v>
      </c>
      <c r="C2807" s="22">
        <f ca="1">IFERROR(__xludf.DUMMYFUNCTION("""COMPUTED_VALUE"""),-128566.01035)</f>
        <v>-128566.01035</v>
      </c>
      <c r="D2807" s="22">
        <f ca="1">IFERROR(__xludf.DUMMYFUNCTION("""COMPUTED_VALUE"""),585903.186155)</f>
        <v>585903.186155</v>
      </c>
      <c r="E2807" s="22">
        <f ca="1">IFERROR(__xludf.DUMMYFUNCTION("""COMPUTED_VALUE"""),457337.175805)</f>
        <v>457337.17580500001</v>
      </c>
      <c r="F2807" s="22">
        <f ca="1">IFERROR(__xludf.DUMMYFUNCTION("""COMPUTED_VALUE"""),-128566.01035)</f>
        <v>-128566.01035</v>
      </c>
      <c r="G2807" s="22">
        <f ca="1">IFERROR(__xludf.DUMMYFUNCTION("""COMPUTED_VALUE"""),128566.01035)</f>
        <v>128566.01035</v>
      </c>
      <c r="H2807" s="7">
        <f ca="1">IFERROR(__xludf.DUMMYFUNCTION("""COMPUTED_VALUE"""),457272.563125)</f>
        <v>457272.56312499999</v>
      </c>
    </row>
    <row r="2808" spans="1:8" ht="13" x14ac:dyDescent="0.15">
      <c r="A2808" s="5" t="str">
        <f ca="1">IFERROR(__xludf.DUMMYFUNCTION("""COMPUTED_VALUE"""),"46322")</f>
        <v>46322</v>
      </c>
      <c r="B2808" s="51">
        <f ca="1">IFERROR(__xludf.DUMMYFUNCTION("""COMPUTED_VALUE"""),44641)</f>
        <v>44641</v>
      </c>
      <c r="C2808" s="22">
        <f ca="1">IFERROR(__xludf.DUMMYFUNCTION("""COMPUTED_VALUE"""),-128566.01035)</f>
        <v>-128566.01035</v>
      </c>
      <c r="D2808" s="22">
        <f ca="1">IFERROR(__xludf.DUMMYFUNCTION("""COMPUTED_VALUE"""),593051.270499999)</f>
        <v>593051.27049999905</v>
      </c>
      <c r="E2808" s="22">
        <f ca="1">IFERROR(__xludf.DUMMYFUNCTION("""COMPUTED_VALUE"""),464485.260149999)</f>
        <v>464485.260149999</v>
      </c>
      <c r="F2808" s="22">
        <f ca="1">IFERROR(__xludf.DUMMYFUNCTION("""COMPUTED_VALUE"""),-128566.01035)</f>
        <v>-128566.01035</v>
      </c>
      <c r="G2808" s="22">
        <f ca="1">IFERROR(__xludf.DUMMYFUNCTION("""COMPUTED_VALUE"""),128566.01035)</f>
        <v>128566.01035</v>
      </c>
      <c r="H2808" s="7">
        <f ca="1">IFERROR(__xludf.DUMMYFUNCTION("""COMPUTED_VALUE"""),472329.658149999)</f>
        <v>472329.65814999898</v>
      </c>
    </row>
    <row r="2809" spans="1:8" ht="13" x14ac:dyDescent="0.15">
      <c r="A2809" s="5" t="str">
        <f ca="1">IFERROR(__xludf.DUMMYFUNCTION("""COMPUTED_VALUE"""),"46322")</f>
        <v>46322</v>
      </c>
      <c r="B2809" s="51">
        <f ca="1">IFERROR(__xludf.DUMMYFUNCTION("""COMPUTED_VALUE"""),44642)</f>
        <v>44642</v>
      </c>
      <c r="C2809" s="22">
        <f ca="1">IFERROR(__xludf.DUMMYFUNCTION("""COMPUTED_VALUE"""),-128566.01035)</f>
        <v>-128566.01035</v>
      </c>
      <c r="D2809" s="22">
        <f ca="1">IFERROR(__xludf.DUMMYFUNCTION("""COMPUTED_VALUE"""),583960.6093)</f>
        <v>583960.60930000001</v>
      </c>
      <c r="E2809" s="22">
        <f ca="1">IFERROR(__xludf.DUMMYFUNCTION("""COMPUTED_VALUE"""),455394.59895)</f>
        <v>455394.59895000001</v>
      </c>
      <c r="F2809" s="22">
        <f ca="1">IFERROR(__xludf.DUMMYFUNCTION("""COMPUTED_VALUE"""),-128566.01035)</f>
        <v>-128566.01035</v>
      </c>
      <c r="G2809" s="22">
        <f ca="1">IFERROR(__xludf.DUMMYFUNCTION("""COMPUTED_VALUE"""),128566.01035)</f>
        <v>128566.01035</v>
      </c>
      <c r="H2809" s="7">
        <f ca="1">IFERROR(__xludf.DUMMYFUNCTION("""COMPUTED_VALUE"""),449020.98415)</f>
        <v>449020.98414999997</v>
      </c>
    </row>
    <row r="2810" spans="1:8" ht="13" x14ac:dyDescent="0.15">
      <c r="A2810" s="5" t="str">
        <f ca="1">IFERROR(__xludf.DUMMYFUNCTION("""COMPUTED_VALUE"""),"46446")</f>
        <v>46446</v>
      </c>
      <c r="B2810" s="51">
        <f ca="1">IFERROR(__xludf.DUMMYFUNCTION("""COMPUTED_VALUE"""),44597)</f>
        <v>44597</v>
      </c>
      <c r="C2810" s="22">
        <f ca="1">IFERROR(__xludf.DUMMYFUNCTION("""COMPUTED_VALUE"""),500000)</f>
        <v>500000</v>
      </c>
      <c r="D2810" s="22">
        <f ca="1">IFERROR(__xludf.DUMMYFUNCTION("""COMPUTED_VALUE"""),0)</f>
        <v>0</v>
      </c>
      <c r="E2810" s="22">
        <f ca="1">IFERROR(__xludf.DUMMYFUNCTION("""COMPUTED_VALUE"""),500000)</f>
        <v>500000</v>
      </c>
      <c r="F2810" s="22">
        <f ca="1">IFERROR(__xludf.DUMMYFUNCTION("""COMPUTED_VALUE"""),500000)</f>
        <v>500000</v>
      </c>
      <c r="G2810" s="22">
        <f ca="1">IFERROR(__xludf.DUMMYFUNCTION("""COMPUTED_VALUE"""),0)</f>
        <v>0</v>
      </c>
      <c r="H2810" s="7">
        <f ca="1">IFERROR(__xludf.DUMMYFUNCTION("""COMPUTED_VALUE"""),500000)</f>
        <v>500000</v>
      </c>
    </row>
    <row r="2811" spans="1:8" ht="13" x14ac:dyDescent="0.15">
      <c r="A2811" s="5" t="str">
        <f ca="1">IFERROR(__xludf.DUMMYFUNCTION("""COMPUTED_VALUE"""),"46446")</f>
        <v>46446</v>
      </c>
      <c r="B2811" s="51">
        <f ca="1">IFERROR(__xludf.DUMMYFUNCTION("""COMPUTED_VALUE"""),44598)</f>
        <v>44598</v>
      </c>
      <c r="C2811" s="22">
        <f ca="1">IFERROR(__xludf.DUMMYFUNCTION("""COMPUTED_VALUE"""),500000)</f>
        <v>500000</v>
      </c>
      <c r="D2811" s="22">
        <f ca="1">IFERROR(__xludf.DUMMYFUNCTION("""COMPUTED_VALUE"""),0)</f>
        <v>0</v>
      </c>
      <c r="E2811" s="22">
        <f ca="1">IFERROR(__xludf.DUMMYFUNCTION("""COMPUTED_VALUE"""),500000)</f>
        <v>500000</v>
      </c>
      <c r="F2811" s="22">
        <f ca="1">IFERROR(__xludf.DUMMYFUNCTION("""COMPUTED_VALUE"""),500000)</f>
        <v>500000</v>
      </c>
      <c r="G2811" s="22">
        <f ca="1">IFERROR(__xludf.DUMMYFUNCTION("""COMPUTED_VALUE"""),0)</f>
        <v>0</v>
      </c>
      <c r="H2811" s="7">
        <f ca="1">IFERROR(__xludf.DUMMYFUNCTION("""COMPUTED_VALUE"""),500000)</f>
        <v>500000</v>
      </c>
    </row>
    <row r="2812" spans="1:8" ht="13" x14ac:dyDescent="0.15">
      <c r="A2812" s="5" t="str">
        <f ca="1">IFERROR(__xludf.DUMMYFUNCTION("""COMPUTED_VALUE"""),"46446")</f>
        <v>46446</v>
      </c>
      <c r="B2812" s="51">
        <f ca="1">IFERROR(__xludf.DUMMYFUNCTION("""COMPUTED_VALUE"""),44599)</f>
        <v>44599</v>
      </c>
      <c r="C2812" s="22">
        <f ca="1">IFERROR(__xludf.DUMMYFUNCTION("""COMPUTED_VALUE"""),500000)</f>
        <v>500000</v>
      </c>
      <c r="D2812" s="22">
        <f ca="1">IFERROR(__xludf.DUMMYFUNCTION("""COMPUTED_VALUE"""),0)</f>
        <v>0</v>
      </c>
      <c r="E2812" s="22">
        <f ca="1">IFERROR(__xludf.DUMMYFUNCTION("""COMPUTED_VALUE"""),500000)</f>
        <v>500000</v>
      </c>
      <c r="F2812" s="22">
        <f ca="1">IFERROR(__xludf.DUMMYFUNCTION("""COMPUTED_VALUE"""),500000)</f>
        <v>500000</v>
      </c>
      <c r="G2812" s="22">
        <f ca="1">IFERROR(__xludf.DUMMYFUNCTION("""COMPUTED_VALUE"""),0)</f>
        <v>0</v>
      </c>
      <c r="H2812" s="7">
        <f ca="1">IFERROR(__xludf.DUMMYFUNCTION("""COMPUTED_VALUE"""),500000)</f>
        <v>500000</v>
      </c>
    </row>
    <row r="2813" spans="1:8" ht="13" x14ac:dyDescent="0.15">
      <c r="A2813" s="5" t="str">
        <f ca="1">IFERROR(__xludf.DUMMYFUNCTION("""COMPUTED_VALUE"""),"46446")</f>
        <v>46446</v>
      </c>
      <c r="B2813" s="51">
        <f ca="1">IFERROR(__xludf.DUMMYFUNCTION("""COMPUTED_VALUE"""),44600)</f>
        <v>44600</v>
      </c>
      <c r="C2813" s="22">
        <f ca="1">IFERROR(__xludf.DUMMYFUNCTION("""COMPUTED_VALUE"""),500000)</f>
        <v>500000</v>
      </c>
      <c r="D2813" s="22">
        <f ca="1">IFERROR(__xludf.DUMMYFUNCTION("""COMPUTED_VALUE"""),0)</f>
        <v>0</v>
      </c>
      <c r="E2813" s="22">
        <f ca="1">IFERROR(__xludf.DUMMYFUNCTION("""COMPUTED_VALUE"""),500000)</f>
        <v>500000</v>
      </c>
      <c r="F2813" s="22">
        <f ca="1">IFERROR(__xludf.DUMMYFUNCTION("""COMPUTED_VALUE"""),500000)</f>
        <v>500000</v>
      </c>
      <c r="G2813" s="22">
        <f ca="1">IFERROR(__xludf.DUMMYFUNCTION("""COMPUTED_VALUE"""),0)</f>
        <v>0</v>
      </c>
      <c r="H2813" s="7">
        <f ca="1">IFERROR(__xludf.DUMMYFUNCTION("""COMPUTED_VALUE"""),500000)</f>
        <v>500000</v>
      </c>
    </row>
    <row r="2814" spans="1:8" ht="13" x14ac:dyDescent="0.15">
      <c r="A2814" s="5" t="str">
        <f ca="1">IFERROR(__xludf.DUMMYFUNCTION("""COMPUTED_VALUE"""),"46446")</f>
        <v>46446</v>
      </c>
      <c r="B2814" s="51">
        <f ca="1">IFERROR(__xludf.DUMMYFUNCTION("""COMPUTED_VALUE"""),44601)</f>
        <v>44601</v>
      </c>
      <c r="C2814" s="22">
        <f ca="1">IFERROR(__xludf.DUMMYFUNCTION("""COMPUTED_VALUE"""),500000)</f>
        <v>500000</v>
      </c>
      <c r="D2814" s="22">
        <f ca="1">IFERROR(__xludf.DUMMYFUNCTION("""COMPUTED_VALUE"""),0)</f>
        <v>0</v>
      </c>
      <c r="E2814" s="22">
        <f ca="1">IFERROR(__xludf.DUMMYFUNCTION("""COMPUTED_VALUE"""),500000)</f>
        <v>500000</v>
      </c>
      <c r="F2814" s="22">
        <f ca="1">IFERROR(__xludf.DUMMYFUNCTION("""COMPUTED_VALUE"""),500000)</f>
        <v>500000</v>
      </c>
      <c r="G2814" s="22">
        <f ca="1">IFERROR(__xludf.DUMMYFUNCTION("""COMPUTED_VALUE"""),0)</f>
        <v>0</v>
      </c>
      <c r="H2814" s="7">
        <f ca="1">IFERROR(__xludf.DUMMYFUNCTION("""COMPUTED_VALUE"""),500000)</f>
        <v>500000</v>
      </c>
    </row>
    <row r="2815" spans="1:8" ht="13" x14ac:dyDescent="0.15">
      <c r="A2815" s="5" t="str">
        <f ca="1">IFERROR(__xludf.DUMMYFUNCTION("""COMPUTED_VALUE"""),"46446")</f>
        <v>46446</v>
      </c>
      <c r="B2815" s="51">
        <f ca="1">IFERROR(__xludf.DUMMYFUNCTION("""COMPUTED_VALUE"""),44602)</f>
        <v>44602</v>
      </c>
      <c r="C2815" s="22">
        <f ca="1">IFERROR(__xludf.DUMMYFUNCTION("""COMPUTED_VALUE"""),500000)</f>
        <v>500000</v>
      </c>
      <c r="D2815" s="22">
        <f ca="1">IFERROR(__xludf.DUMMYFUNCTION("""COMPUTED_VALUE"""),0)</f>
        <v>0</v>
      </c>
      <c r="E2815" s="22">
        <f ca="1">IFERROR(__xludf.DUMMYFUNCTION("""COMPUTED_VALUE"""),500000)</f>
        <v>500000</v>
      </c>
      <c r="F2815" s="22">
        <f ca="1">IFERROR(__xludf.DUMMYFUNCTION("""COMPUTED_VALUE"""),500000)</f>
        <v>500000</v>
      </c>
      <c r="G2815" s="22">
        <f ca="1">IFERROR(__xludf.DUMMYFUNCTION("""COMPUTED_VALUE"""),0)</f>
        <v>0</v>
      </c>
      <c r="H2815" s="7">
        <f ca="1">IFERROR(__xludf.DUMMYFUNCTION("""COMPUTED_VALUE"""),500000)</f>
        <v>500000</v>
      </c>
    </row>
    <row r="2816" spans="1:8" ht="13" x14ac:dyDescent="0.15">
      <c r="A2816" s="5" t="str">
        <f ca="1">IFERROR(__xludf.DUMMYFUNCTION("""COMPUTED_VALUE"""),"46446")</f>
        <v>46446</v>
      </c>
      <c r="B2816" s="51">
        <f ca="1">IFERROR(__xludf.DUMMYFUNCTION("""COMPUTED_VALUE"""),44603)</f>
        <v>44603</v>
      </c>
      <c r="C2816" s="22">
        <f ca="1">IFERROR(__xludf.DUMMYFUNCTION("""COMPUTED_VALUE"""),500000)</f>
        <v>500000</v>
      </c>
      <c r="D2816" s="22">
        <f ca="1">IFERROR(__xludf.DUMMYFUNCTION("""COMPUTED_VALUE"""),0)</f>
        <v>0</v>
      </c>
      <c r="E2816" s="22">
        <f ca="1">IFERROR(__xludf.DUMMYFUNCTION("""COMPUTED_VALUE"""),500000)</f>
        <v>500000</v>
      </c>
      <c r="F2816" s="22">
        <f ca="1">IFERROR(__xludf.DUMMYFUNCTION("""COMPUTED_VALUE"""),500000)</f>
        <v>500000</v>
      </c>
      <c r="G2816" s="22">
        <f ca="1">IFERROR(__xludf.DUMMYFUNCTION("""COMPUTED_VALUE"""),0)</f>
        <v>0</v>
      </c>
      <c r="H2816" s="7">
        <f ca="1">IFERROR(__xludf.DUMMYFUNCTION("""COMPUTED_VALUE"""),500000)</f>
        <v>500000</v>
      </c>
    </row>
    <row r="2817" spans="1:8" ht="13" x14ac:dyDescent="0.15">
      <c r="A2817" s="5" t="str">
        <f ca="1">IFERROR(__xludf.DUMMYFUNCTION("""COMPUTED_VALUE"""),"46446")</f>
        <v>46446</v>
      </c>
      <c r="B2817" s="51">
        <f ca="1">IFERROR(__xludf.DUMMYFUNCTION("""COMPUTED_VALUE"""),44604)</f>
        <v>44604</v>
      </c>
      <c r="C2817" s="22">
        <f ca="1">IFERROR(__xludf.DUMMYFUNCTION("""COMPUTED_VALUE"""),500000)</f>
        <v>500000</v>
      </c>
      <c r="D2817" s="22">
        <f ca="1">IFERROR(__xludf.DUMMYFUNCTION("""COMPUTED_VALUE"""),0)</f>
        <v>0</v>
      </c>
      <c r="E2817" s="22">
        <f ca="1">IFERROR(__xludf.DUMMYFUNCTION("""COMPUTED_VALUE"""),500000)</f>
        <v>500000</v>
      </c>
      <c r="F2817" s="22">
        <f ca="1">IFERROR(__xludf.DUMMYFUNCTION("""COMPUTED_VALUE"""),500000)</f>
        <v>500000</v>
      </c>
      <c r="G2817" s="22">
        <f ca="1">IFERROR(__xludf.DUMMYFUNCTION("""COMPUTED_VALUE"""),0)</f>
        <v>0</v>
      </c>
      <c r="H2817" s="7">
        <f ca="1">IFERROR(__xludf.DUMMYFUNCTION("""COMPUTED_VALUE"""),500000)</f>
        <v>500000</v>
      </c>
    </row>
    <row r="2818" spans="1:8" ht="13" x14ac:dyDescent="0.15">
      <c r="A2818" s="5" t="str">
        <f ca="1">IFERROR(__xludf.DUMMYFUNCTION("""COMPUTED_VALUE"""),"46446")</f>
        <v>46446</v>
      </c>
      <c r="B2818" s="51">
        <f ca="1">IFERROR(__xludf.DUMMYFUNCTION("""COMPUTED_VALUE"""),44605)</f>
        <v>44605</v>
      </c>
      <c r="C2818" s="22">
        <f ca="1">IFERROR(__xludf.DUMMYFUNCTION("""COMPUTED_VALUE"""),500000)</f>
        <v>500000</v>
      </c>
      <c r="D2818" s="22">
        <f ca="1">IFERROR(__xludf.DUMMYFUNCTION("""COMPUTED_VALUE"""),0)</f>
        <v>0</v>
      </c>
      <c r="E2818" s="22">
        <f ca="1">IFERROR(__xludf.DUMMYFUNCTION("""COMPUTED_VALUE"""),500000)</f>
        <v>500000</v>
      </c>
      <c r="F2818" s="22">
        <f ca="1">IFERROR(__xludf.DUMMYFUNCTION("""COMPUTED_VALUE"""),500000)</f>
        <v>500000</v>
      </c>
      <c r="G2818" s="22">
        <f ca="1">IFERROR(__xludf.DUMMYFUNCTION("""COMPUTED_VALUE"""),0)</f>
        <v>0</v>
      </c>
      <c r="H2818" s="7">
        <f ca="1">IFERROR(__xludf.DUMMYFUNCTION("""COMPUTED_VALUE"""),500000)</f>
        <v>500000</v>
      </c>
    </row>
    <row r="2819" spans="1:8" ht="13" x14ac:dyDescent="0.15">
      <c r="A2819" s="5" t="str">
        <f ca="1">IFERROR(__xludf.DUMMYFUNCTION("""COMPUTED_VALUE"""),"46446")</f>
        <v>46446</v>
      </c>
      <c r="B2819" s="51">
        <f ca="1">IFERROR(__xludf.DUMMYFUNCTION("""COMPUTED_VALUE"""),44606)</f>
        <v>44606</v>
      </c>
      <c r="C2819" s="22">
        <f ca="1">IFERROR(__xludf.DUMMYFUNCTION("""COMPUTED_VALUE"""),500000)</f>
        <v>500000</v>
      </c>
      <c r="D2819" s="22">
        <f ca="1">IFERROR(__xludf.DUMMYFUNCTION("""COMPUTED_VALUE"""),0)</f>
        <v>0</v>
      </c>
      <c r="E2819" s="22">
        <f ca="1">IFERROR(__xludf.DUMMYFUNCTION("""COMPUTED_VALUE"""),500000)</f>
        <v>500000</v>
      </c>
      <c r="F2819" s="22">
        <f ca="1">IFERROR(__xludf.DUMMYFUNCTION("""COMPUTED_VALUE"""),500000)</f>
        <v>500000</v>
      </c>
      <c r="G2819" s="22">
        <f ca="1">IFERROR(__xludf.DUMMYFUNCTION("""COMPUTED_VALUE"""),0)</f>
        <v>0</v>
      </c>
      <c r="H2819" s="7">
        <f ca="1">IFERROR(__xludf.DUMMYFUNCTION("""COMPUTED_VALUE"""),500000)</f>
        <v>500000</v>
      </c>
    </row>
    <row r="2820" spans="1:8" ht="13" x14ac:dyDescent="0.15">
      <c r="A2820" s="5" t="str">
        <f ca="1">IFERROR(__xludf.DUMMYFUNCTION("""COMPUTED_VALUE"""),"46446")</f>
        <v>46446</v>
      </c>
      <c r="B2820" s="51">
        <f ca="1">IFERROR(__xludf.DUMMYFUNCTION("""COMPUTED_VALUE"""),44607)</f>
        <v>44607</v>
      </c>
      <c r="C2820" s="22">
        <f ca="1">IFERROR(__xludf.DUMMYFUNCTION("""COMPUTED_VALUE"""),500000)</f>
        <v>500000</v>
      </c>
      <c r="D2820" s="22">
        <f ca="1">IFERROR(__xludf.DUMMYFUNCTION("""COMPUTED_VALUE"""),0)</f>
        <v>0</v>
      </c>
      <c r="E2820" s="22">
        <f ca="1">IFERROR(__xludf.DUMMYFUNCTION("""COMPUTED_VALUE"""),500000)</f>
        <v>500000</v>
      </c>
      <c r="F2820" s="22">
        <f ca="1">IFERROR(__xludf.DUMMYFUNCTION("""COMPUTED_VALUE"""),500000)</f>
        <v>500000</v>
      </c>
      <c r="G2820" s="22">
        <f ca="1">IFERROR(__xludf.DUMMYFUNCTION("""COMPUTED_VALUE"""),0)</f>
        <v>0</v>
      </c>
      <c r="H2820" s="7">
        <f ca="1">IFERROR(__xludf.DUMMYFUNCTION("""COMPUTED_VALUE"""),500000)</f>
        <v>500000</v>
      </c>
    </row>
    <row r="2821" spans="1:8" ht="13" x14ac:dyDescent="0.15">
      <c r="A2821" s="5" t="str">
        <f ca="1">IFERROR(__xludf.DUMMYFUNCTION("""COMPUTED_VALUE"""),"46446")</f>
        <v>46446</v>
      </c>
      <c r="B2821" s="51">
        <f ca="1">IFERROR(__xludf.DUMMYFUNCTION("""COMPUTED_VALUE"""),44608)</f>
        <v>44608</v>
      </c>
      <c r="C2821" s="22">
        <f ca="1">IFERROR(__xludf.DUMMYFUNCTION("""COMPUTED_VALUE"""),500000)</f>
        <v>500000</v>
      </c>
      <c r="D2821" s="22">
        <f ca="1">IFERROR(__xludf.DUMMYFUNCTION("""COMPUTED_VALUE"""),0)</f>
        <v>0</v>
      </c>
      <c r="E2821" s="22">
        <f ca="1">IFERROR(__xludf.DUMMYFUNCTION("""COMPUTED_VALUE"""),500000)</f>
        <v>500000</v>
      </c>
      <c r="F2821" s="22">
        <f ca="1">IFERROR(__xludf.DUMMYFUNCTION("""COMPUTED_VALUE"""),500000)</f>
        <v>500000</v>
      </c>
      <c r="G2821" s="22">
        <f ca="1">IFERROR(__xludf.DUMMYFUNCTION("""COMPUTED_VALUE"""),0)</f>
        <v>0</v>
      </c>
      <c r="H2821" s="7">
        <f ca="1">IFERROR(__xludf.DUMMYFUNCTION("""COMPUTED_VALUE"""),500000)</f>
        <v>500000</v>
      </c>
    </row>
    <row r="2822" spans="1:8" ht="13" x14ac:dyDescent="0.15">
      <c r="A2822" s="5" t="str">
        <f ca="1">IFERROR(__xludf.DUMMYFUNCTION("""COMPUTED_VALUE"""),"46446")</f>
        <v>46446</v>
      </c>
      <c r="B2822" s="51">
        <f ca="1">IFERROR(__xludf.DUMMYFUNCTION("""COMPUTED_VALUE"""),44609)</f>
        <v>44609</v>
      </c>
      <c r="C2822" s="22">
        <f ca="1">IFERROR(__xludf.DUMMYFUNCTION("""COMPUTED_VALUE"""),500000)</f>
        <v>500000</v>
      </c>
      <c r="D2822" s="22">
        <f ca="1">IFERROR(__xludf.DUMMYFUNCTION("""COMPUTED_VALUE"""),0)</f>
        <v>0</v>
      </c>
      <c r="E2822" s="22">
        <f ca="1">IFERROR(__xludf.DUMMYFUNCTION("""COMPUTED_VALUE"""),500000)</f>
        <v>500000</v>
      </c>
      <c r="F2822" s="22">
        <f ca="1">IFERROR(__xludf.DUMMYFUNCTION("""COMPUTED_VALUE"""),500000)</f>
        <v>500000</v>
      </c>
      <c r="G2822" s="22">
        <f ca="1">IFERROR(__xludf.DUMMYFUNCTION("""COMPUTED_VALUE"""),0)</f>
        <v>0</v>
      </c>
      <c r="H2822" s="7">
        <f ca="1">IFERROR(__xludf.DUMMYFUNCTION("""COMPUTED_VALUE"""),500000)</f>
        <v>500000</v>
      </c>
    </row>
    <row r="2823" spans="1:8" ht="13" x14ac:dyDescent="0.15">
      <c r="A2823" s="5" t="str">
        <f ca="1">IFERROR(__xludf.DUMMYFUNCTION("""COMPUTED_VALUE"""),"46446")</f>
        <v>46446</v>
      </c>
      <c r="B2823" s="51">
        <f ca="1">IFERROR(__xludf.DUMMYFUNCTION("""COMPUTED_VALUE"""),44610)</f>
        <v>44610</v>
      </c>
      <c r="C2823" s="22">
        <f ca="1">IFERROR(__xludf.DUMMYFUNCTION("""COMPUTED_VALUE"""),500000)</f>
        <v>500000</v>
      </c>
      <c r="D2823" s="22">
        <f ca="1">IFERROR(__xludf.DUMMYFUNCTION("""COMPUTED_VALUE"""),0)</f>
        <v>0</v>
      </c>
      <c r="E2823" s="22">
        <f ca="1">IFERROR(__xludf.DUMMYFUNCTION("""COMPUTED_VALUE"""),500000)</f>
        <v>500000</v>
      </c>
      <c r="F2823" s="22">
        <f ca="1">IFERROR(__xludf.DUMMYFUNCTION("""COMPUTED_VALUE"""),500000)</f>
        <v>500000</v>
      </c>
      <c r="G2823" s="22">
        <f ca="1">IFERROR(__xludf.DUMMYFUNCTION("""COMPUTED_VALUE"""),0)</f>
        <v>0</v>
      </c>
      <c r="H2823" s="7">
        <f ca="1">IFERROR(__xludf.DUMMYFUNCTION("""COMPUTED_VALUE"""),500000)</f>
        <v>500000</v>
      </c>
    </row>
    <row r="2824" spans="1:8" ht="13" x14ac:dyDescent="0.15">
      <c r="A2824" s="5" t="str">
        <f ca="1">IFERROR(__xludf.DUMMYFUNCTION("""COMPUTED_VALUE"""),"46446")</f>
        <v>46446</v>
      </c>
      <c r="B2824" s="51">
        <f ca="1">IFERROR(__xludf.DUMMYFUNCTION("""COMPUTED_VALUE"""),44611)</f>
        <v>44611</v>
      </c>
      <c r="C2824" s="22">
        <f ca="1">IFERROR(__xludf.DUMMYFUNCTION("""COMPUTED_VALUE"""),500000)</f>
        <v>500000</v>
      </c>
      <c r="D2824" s="22">
        <f ca="1">IFERROR(__xludf.DUMMYFUNCTION("""COMPUTED_VALUE"""),0)</f>
        <v>0</v>
      </c>
      <c r="E2824" s="22">
        <f ca="1">IFERROR(__xludf.DUMMYFUNCTION("""COMPUTED_VALUE"""),500000)</f>
        <v>500000</v>
      </c>
      <c r="F2824" s="22">
        <f ca="1">IFERROR(__xludf.DUMMYFUNCTION("""COMPUTED_VALUE"""),500000)</f>
        <v>500000</v>
      </c>
      <c r="G2824" s="22">
        <f ca="1">IFERROR(__xludf.DUMMYFUNCTION("""COMPUTED_VALUE"""),0)</f>
        <v>0</v>
      </c>
      <c r="H2824" s="7">
        <f ca="1">IFERROR(__xludf.DUMMYFUNCTION("""COMPUTED_VALUE"""),500000)</f>
        <v>500000</v>
      </c>
    </row>
    <row r="2825" spans="1:8" ht="13" x14ac:dyDescent="0.15">
      <c r="A2825" s="5" t="str">
        <f ca="1">IFERROR(__xludf.DUMMYFUNCTION("""COMPUTED_VALUE"""),"46446")</f>
        <v>46446</v>
      </c>
      <c r="B2825" s="51">
        <f ca="1">IFERROR(__xludf.DUMMYFUNCTION("""COMPUTED_VALUE"""),44612)</f>
        <v>44612</v>
      </c>
      <c r="C2825" s="22">
        <f ca="1">IFERROR(__xludf.DUMMYFUNCTION("""COMPUTED_VALUE"""),500000)</f>
        <v>500000</v>
      </c>
      <c r="D2825" s="22">
        <f ca="1">IFERROR(__xludf.DUMMYFUNCTION("""COMPUTED_VALUE"""),0)</f>
        <v>0</v>
      </c>
      <c r="E2825" s="22">
        <f ca="1">IFERROR(__xludf.DUMMYFUNCTION("""COMPUTED_VALUE"""),500000)</f>
        <v>500000</v>
      </c>
      <c r="F2825" s="22">
        <f ca="1">IFERROR(__xludf.DUMMYFUNCTION("""COMPUTED_VALUE"""),500000)</f>
        <v>500000</v>
      </c>
      <c r="G2825" s="22">
        <f ca="1">IFERROR(__xludf.DUMMYFUNCTION("""COMPUTED_VALUE"""),0)</f>
        <v>0</v>
      </c>
      <c r="H2825" s="7">
        <f ca="1">IFERROR(__xludf.DUMMYFUNCTION("""COMPUTED_VALUE"""),500000)</f>
        <v>500000</v>
      </c>
    </row>
    <row r="2826" spans="1:8" ht="13" x14ac:dyDescent="0.15">
      <c r="A2826" s="5" t="str">
        <f ca="1">IFERROR(__xludf.DUMMYFUNCTION("""COMPUTED_VALUE"""),"46446")</f>
        <v>46446</v>
      </c>
      <c r="B2826" s="51">
        <f ca="1">IFERROR(__xludf.DUMMYFUNCTION("""COMPUTED_VALUE"""),44613)</f>
        <v>44613</v>
      </c>
      <c r="C2826" s="22">
        <f ca="1">IFERROR(__xludf.DUMMYFUNCTION("""COMPUTED_VALUE"""),500000)</f>
        <v>500000</v>
      </c>
      <c r="D2826" s="22">
        <f ca="1">IFERROR(__xludf.DUMMYFUNCTION("""COMPUTED_VALUE"""),0)</f>
        <v>0</v>
      </c>
      <c r="E2826" s="22">
        <f ca="1">IFERROR(__xludf.DUMMYFUNCTION("""COMPUTED_VALUE"""),500000)</f>
        <v>500000</v>
      </c>
      <c r="F2826" s="22">
        <f ca="1">IFERROR(__xludf.DUMMYFUNCTION("""COMPUTED_VALUE"""),500000)</f>
        <v>500000</v>
      </c>
      <c r="G2826" s="22">
        <f ca="1">IFERROR(__xludf.DUMMYFUNCTION("""COMPUTED_VALUE"""),0)</f>
        <v>0</v>
      </c>
      <c r="H2826" s="7">
        <f ca="1">IFERROR(__xludf.DUMMYFUNCTION("""COMPUTED_VALUE"""),500000)</f>
        <v>500000</v>
      </c>
    </row>
    <row r="2827" spans="1:8" ht="13" x14ac:dyDescent="0.15">
      <c r="A2827" s="5" t="str">
        <f ca="1">IFERROR(__xludf.DUMMYFUNCTION("""COMPUTED_VALUE"""),"46446")</f>
        <v>46446</v>
      </c>
      <c r="B2827" s="51">
        <f ca="1">IFERROR(__xludf.DUMMYFUNCTION("""COMPUTED_VALUE"""),44614)</f>
        <v>44614</v>
      </c>
      <c r="C2827" s="22">
        <f ca="1">IFERROR(__xludf.DUMMYFUNCTION("""COMPUTED_VALUE"""),500000)</f>
        <v>500000</v>
      </c>
      <c r="D2827" s="22">
        <f ca="1">IFERROR(__xludf.DUMMYFUNCTION("""COMPUTED_VALUE"""),0)</f>
        <v>0</v>
      </c>
      <c r="E2827" s="22">
        <f ca="1">IFERROR(__xludf.DUMMYFUNCTION("""COMPUTED_VALUE"""),500000)</f>
        <v>500000</v>
      </c>
      <c r="F2827" s="22">
        <f ca="1">IFERROR(__xludf.DUMMYFUNCTION("""COMPUTED_VALUE"""),500000)</f>
        <v>500000</v>
      </c>
      <c r="G2827" s="22">
        <f ca="1">IFERROR(__xludf.DUMMYFUNCTION("""COMPUTED_VALUE"""),0)</f>
        <v>0</v>
      </c>
      <c r="H2827" s="7">
        <f ca="1">IFERROR(__xludf.DUMMYFUNCTION("""COMPUTED_VALUE"""),500000)</f>
        <v>500000</v>
      </c>
    </row>
    <row r="2828" spans="1:8" ht="13" x14ac:dyDescent="0.15">
      <c r="A2828" s="5" t="str">
        <f ca="1">IFERROR(__xludf.DUMMYFUNCTION("""COMPUTED_VALUE"""),"46446")</f>
        <v>46446</v>
      </c>
      <c r="B2828" s="51">
        <f ca="1">IFERROR(__xludf.DUMMYFUNCTION("""COMPUTED_VALUE"""),44615)</f>
        <v>44615</v>
      </c>
      <c r="C2828" s="22">
        <f ca="1">IFERROR(__xludf.DUMMYFUNCTION("""COMPUTED_VALUE"""),500000)</f>
        <v>500000</v>
      </c>
      <c r="D2828" s="22">
        <f ca="1">IFERROR(__xludf.DUMMYFUNCTION("""COMPUTED_VALUE"""),0)</f>
        <v>0</v>
      </c>
      <c r="E2828" s="22">
        <f ca="1">IFERROR(__xludf.DUMMYFUNCTION("""COMPUTED_VALUE"""),500000)</f>
        <v>500000</v>
      </c>
      <c r="F2828" s="22">
        <f ca="1">IFERROR(__xludf.DUMMYFUNCTION("""COMPUTED_VALUE"""),500000)</f>
        <v>500000</v>
      </c>
      <c r="G2828" s="22">
        <f ca="1">IFERROR(__xludf.DUMMYFUNCTION("""COMPUTED_VALUE"""),0)</f>
        <v>0</v>
      </c>
      <c r="H2828" s="7">
        <f ca="1">IFERROR(__xludf.DUMMYFUNCTION("""COMPUTED_VALUE"""),500000)</f>
        <v>500000</v>
      </c>
    </row>
    <row r="2829" spans="1:8" ht="13" x14ac:dyDescent="0.15">
      <c r="A2829" s="5" t="str">
        <f ca="1">IFERROR(__xludf.DUMMYFUNCTION("""COMPUTED_VALUE"""),"46446")</f>
        <v>46446</v>
      </c>
      <c r="B2829" s="51">
        <f ca="1">IFERROR(__xludf.DUMMYFUNCTION("""COMPUTED_VALUE"""),44616)</f>
        <v>44616</v>
      </c>
      <c r="C2829" s="22">
        <f ca="1">IFERROR(__xludf.DUMMYFUNCTION("""COMPUTED_VALUE"""),500000)</f>
        <v>500000</v>
      </c>
      <c r="D2829" s="22">
        <f ca="1">IFERROR(__xludf.DUMMYFUNCTION("""COMPUTED_VALUE"""),0)</f>
        <v>0</v>
      </c>
      <c r="E2829" s="22">
        <f ca="1">IFERROR(__xludf.DUMMYFUNCTION("""COMPUTED_VALUE"""),500000)</f>
        <v>500000</v>
      </c>
      <c r="F2829" s="22">
        <f ca="1">IFERROR(__xludf.DUMMYFUNCTION("""COMPUTED_VALUE"""),500000)</f>
        <v>500000</v>
      </c>
      <c r="G2829" s="22">
        <f ca="1">IFERROR(__xludf.DUMMYFUNCTION("""COMPUTED_VALUE"""),0)</f>
        <v>0</v>
      </c>
      <c r="H2829" s="7">
        <f ca="1">IFERROR(__xludf.DUMMYFUNCTION("""COMPUTED_VALUE"""),500000)</f>
        <v>500000</v>
      </c>
    </row>
    <row r="2830" spans="1:8" ht="13" x14ac:dyDescent="0.15">
      <c r="A2830" s="5" t="str">
        <f ca="1">IFERROR(__xludf.DUMMYFUNCTION("""COMPUTED_VALUE"""),"46446")</f>
        <v>46446</v>
      </c>
      <c r="B2830" s="51">
        <f ca="1">IFERROR(__xludf.DUMMYFUNCTION("""COMPUTED_VALUE"""),44617)</f>
        <v>44617</v>
      </c>
      <c r="C2830" s="22">
        <f ca="1">IFERROR(__xludf.DUMMYFUNCTION("""COMPUTED_VALUE"""),500000)</f>
        <v>500000</v>
      </c>
      <c r="D2830" s="22">
        <f ca="1">IFERROR(__xludf.DUMMYFUNCTION("""COMPUTED_VALUE"""),0)</f>
        <v>0</v>
      </c>
      <c r="E2830" s="22">
        <f ca="1">IFERROR(__xludf.DUMMYFUNCTION("""COMPUTED_VALUE"""),500000)</f>
        <v>500000</v>
      </c>
      <c r="F2830" s="22">
        <f ca="1">IFERROR(__xludf.DUMMYFUNCTION("""COMPUTED_VALUE"""),500000)</f>
        <v>500000</v>
      </c>
      <c r="G2830" s="22">
        <f ca="1">IFERROR(__xludf.DUMMYFUNCTION("""COMPUTED_VALUE"""),0)</f>
        <v>0</v>
      </c>
      <c r="H2830" s="7">
        <f ca="1">IFERROR(__xludf.DUMMYFUNCTION("""COMPUTED_VALUE"""),500000)</f>
        <v>500000</v>
      </c>
    </row>
    <row r="2831" spans="1:8" ht="13" x14ac:dyDescent="0.15">
      <c r="A2831" s="5" t="str">
        <f ca="1">IFERROR(__xludf.DUMMYFUNCTION("""COMPUTED_VALUE"""),"46446")</f>
        <v>46446</v>
      </c>
      <c r="B2831" s="51">
        <f ca="1">IFERROR(__xludf.DUMMYFUNCTION("""COMPUTED_VALUE"""),44618)</f>
        <v>44618</v>
      </c>
      <c r="C2831" s="22">
        <f ca="1">IFERROR(__xludf.DUMMYFUNCTION("""COMPUTED_VALUE"""),500000)</f>
        <v>500000</v>
      </c>
      <c r="D2831" s="22">
        <f ca="1">IFERROR(__xludf.DUMMYFUNCTION("""COMPUTED_VALUE"""),0)</f>
        <v>0</v>
      </c>
      <c r="E2831" s="22">
        <f ca="1">IFERROR(__xludf.DUMMYFUNCTION("""COMPUTED_VALUE"""),500000)</f>
        <v>500000</v>
      </c>
      <c r="F2831" s="22">
        <f ca="1">IFERROR(__xludf.DUMMYFUNCTION("""COMPUTED_VALUE"""),500000)</f>
        <v>500000</v>
      </c>
      <c r="G2831" s="22">
        <f ca="1">IFERROR(__xludf.DUMMYFUNCTION("""COMPUTED_VALUE"""),0)</f>
        <v>0</v>
      </c>
      <c r="H2831" s="7">
        <f ca="1">IFERROR(__xludf.DUMMYFUNCTION("""COMPUTED_VALUE"""),500000)</f>
        <v>500000</v>
      </c>
    </row>
    <row r="2832" spans="1:8" ht="13" x14ac:dyDescent="0.15">
      <c r="A2832" s="5" t="str">
        <f ca="1">IFERROR(__xludf.DUMMYFUNCTION("""COMPUTED_VALUE"""),"46446")</f>
        <v>46446</v>
      </c>
      <c r="B2832" s="51">
        <f ca="1">IFERROR(__xludf.DUMMYFUNCTION("""COMPUTED_VALUE"""),44619)</f>
        <v>44619</v>
      </c>
      <c r="C2832" s="22">
        <f ca="1">IFERROR(__xludf.DUMMYFUNCTION("""COMPUTED_VALUE"""),500000)</f>
        <v>500000</v>
      </c>
      <c r="D2832" s="22">
        <f ca="1">IFERROR(__xludf.DUMMYFUNCTION("""COMPUTED_VALUE"""),0)</f>
        <v>0</v>
      </c>
      <c r="E2832" s="22">
        <f ca="1">IFERROR(__xludf.DUMMYFUNCTION("""COMPUTED_VALUE"""),500000)</f>
        <v>500000</v>
      </c>
      <c r="F2832" s="22">
        <f ca="1">IFERROR(__xludf.DUMMYFUNCTION("""COMPUTED_VALUE"""),500000)</f>
        <v>500000</v>
      </c>
      <c r="G2832" s="22">
        <f ca="1">IFERROR(__xludf.DUMMYFUNCTION("""COMPUTED_VALUE"""),0)</f>
        <v>0</v>
      </c>
      <c r="H2832" s="7">
        <f ca="1">IFERROR(__xludf.DUMMYFUNCTION("""COMPUTED_VALUE"""),500000)</f>
        <v>500000</v>
      </c>
    </row>
    <row r="2833" spans="1:8" ht="13" x14ac:dyDescent="0.15">
      <c r="A2833" s="5" t="str">
        <f ca="1">IFERROR(__xludf.DUMMYFUNCTION("""COMPUTED_VALUE"""),"46446")</f>
        <v>46446</v>
      </c>
      <c r="B2833" s="51">
        <f ca="1">IFERROR(__xludf.DUMMYFUNCTION("""COMPUTED_VALUE"""),44620)</f>
        <v>44620</v>
      </c>
      <c r="C2833" s="22">
        <f ca="1">IFERROR(__xludf.DUMMYFUNCTION("""COMPUTED_VALUE"""),500000)</f>
        <v>500000</v>
      </c>
      <c r="D2833" s="22">
        <f ca="1">IFERROR(__xludf.DUMMYFUNCTION("""COMPUTED_VALUE"""),0)</f>
        <v>0</v>
      </c>
      <c r="E2833" s="22">
        <f ca="1">IFERROR(__xludf.DUMMYFUNCTION("""COMPUTED_VALUE"""),500000)</f>
        <v>500000</v>
      </c>
      <c r="F2833" s="22">
        <f ca="1">IFERROR(__xludf.DUMMYFUNCTION("""COMPUTED_VALUE"""),500000)</f>
        <v>500000</v>
      </c>
      <c r="G2833" s="22">
        <f ca="1">IFERROR(__xludf.DUMMYFUNCTION("""COMPUTED_VALUE"""),0)</f>
        <v>0</v>
      </c>
      <c r="H2833" s="7">
        <f ca="1">IFERROR(__xludf.DUMMYFUNCTION("""COMPUTED_VALUE"""),500000)</f>
        <v>500000</v>
      </c>
    </row>
    <row r="2834" spans="1:8" ht="13" x14ac:dyDescent="0.15">
      <c r="A2834" s="5" t="str">
        <f ca="1">IFERROR(__xludf.DUMMYFUNCTION("""COMPUTED_VALUE"""),"46446")</f>
        <v>46446</v>
      </c>
      <c r="B2834" s="51">
        <f ca="1">IFERROR(__xludf.DUMMYFUNCTION("""COMPUTED_VALUE"""),44621)</f>
        <v>44621</v>
      </c>
      <c r="C2834" s="22">
        <f ca="1">IFERROR(__xludf.DUMMYFUNCTION("""COMPUTED_VALUE"""),500000)</f>
        <v>500000</v>
      </c>
      <c r="D2834" s="22">
        <f ca="1">IFERROR(__xludf.DUMMYFUNCTION("""COMPUTED_VALUE"""),0)</f>
        <v>0</v>
      </c>
      <c r="E2834" s="22">
        <f ca="1">IFERROR(__xludf.DUMMYFUNCTION("""COMPUTED_VALUE"""),500000)</f>
        <v>500000</v>
      </c>
      <c r="F2834" s="22">
        <f ca="1">IFERROR(__xludf.DUMMYFUNCTION("""COMPUTED_VALUE"""),500000)</f>
        <v>500000</v>
      </c>
      <c r="G2834" s="22">
        <f ca="1">IFERROR(__xludf.DUMMYFUNCTION("""COMPUTED_VALUE"""),0)</f>
        <v>0</v>
      </c>
      <c r="H2834" s="7">
        <f ca="1">IFERROR(__xludf.DUMMYFUNCTION("""COMPUTED_VALUE"""),500000)</f>
        <v>500000</v>
      </c>
    </row>
    <row r="2835" spans="1:8" ht="13" x14ac:dyDescent="0.15">
      <c r="A2835" s="5" t="str">
        <f ca="1">IFERROR(__xludf.DUMMYFUNCTION("""COMPUTED_VALUE"""),"46446")</f>
        <v>46446</v>
      </c>
      <c r="B2835" s="51">
        <f ca="1">IFERROR(__xludf.DUMMYFUNCTION("""COMPUTED_VALUE"""),44622)</f>
        <v>44622</v>
      </c>
      <c r="C2835" s="22">
        <f ca="1">IFERROR(__xludf.DUMMYFUNCTION("""COMPUTED_VALUE"""),500000)</f>
        <v>500000</v>
      </c>
      <c r="D2835" s="22">
        <f ca="1">IFERROR(__xludf.DUMMYFUNCTION("""COMPUTED_VALUE"""),0)</f>
        <v>0</v>
      </c>
      <c r="E2835" s="22">
        <f ca="1">IFERROR(__xludf.DUMMYFUNCTION("""COMPUTED_VALUE"""),500000)</f>
        <v>500000</v>
      </c>
      <c r="F2835" s="22">
        <f ca="1">IFERROR(__xludf.DUMMYFUNCTION("""COMPUTED_VALUE"""),500000)</f>
        <v>500000</v>
      </c>
      <c r="G2835" s="22">
        <f ca="1">IFERROR(__xludf.DUMMYFUNCTION("""COMPUTED_VALUE"""),0)</f>
        <v>0</v>
      </c>
      <c r="H2835" s="7">
        <f ca="1">IFERROR(__xludf.DUMMYFUNCTION("""COMPUTED_VALUE"""),500000)</f>
        <v>500000</v>
      </c>
    </row>
    <row r="2836" spans="1:8" ht="13" x14ac:dyDescent="0.15">
      <c r="A2836" s="5" t="str">
        <f ca="1">IFERROR(__xludf.DUMMYFUNCTION("""COMPUTED_VALUE"""),"46446")</f>
        <v>46446</v>
      </c>
      <c r="B2836" s="51">
        <f ca="1">IFERROR(__xludf.DUMMYFUNCTION("""COMPUTED_VALUE"""),44623)</f>
        <v>44623</v>
      </c>
      <c r="C2836" s="22">
        <f ca="1">IFERROR(__xludf.DUMMYFUNCTION("""COMPUTED_VALUE"""),500000)</f>
        <v>500000</v>
      </c>
      <c r="D2836" s="22">
        <f ca="1">IFERROR(__xludf.DUMMYFUNCTION("""COMPUTED_VALUE"""),0)</f>
        <v>0</v>
      </c>
      <c r="E2836" s="22">
        <f ca="1">IFERROR(__xludf.DUMMYFUNCTION("""COMPUTED_VALUE"""),500000)</f>
        <v>500000</v>
      </c>
      <c r="F2836" s="22">
        <f ca="1">IFERROR(__xludf.DUMMYFUNCTION("""COMPUTED_VALUE"""),500000)</f>
        <v>500000</v>
      </c>
      <c r="G2836" s="22">
        <f ca="1">IFERROR(__xludf.DUMMYFUNCTION("""COMPUTED_VALUE"""),0)</f>
        <v>0</v>
      </c>
      <c r="H2836" s="7">
        <f ca="1">IFERROR(__xludf.DUMMYFUNCTION("""COMPUTED_VALUE"""),500000)</f>
        <v>500000</v>
      </c>
    </row>
    <row r="2837" spans="1:8" ht="13" x14ac:dyDescent="0.15">
      <c r="A2837" s="5" t="str">
        <f ca="1">IFERROR(__xludf.DUMMYFUNCTION("""COMPUTED_VALUE"""),"46446")</f>
        <v>46446</v>
      </c>
      <c r="B2837" s="51">
        <f ca="1">IFERROR(__xludf.DUMMYFUNCTION("""COMPUTED_VALUE"""),44624)</f>
        <v>44624</v>
      </c>
      <c r="C2837" s="22">
        <f ca="1">IFERROR(__xludf.DUMMYFUNCTION("""COMPUTED_VALUE"""),500000)</f>
        <v>500000</v>
      </c>
      <c r="D2837" s="22">
        <f ca="1">IFERROR(__xludf.DUMMYFUNCTION("""COMPUTED_VALUE"""),0)</f>
        <v>0</v>
      </c>
      <c r="E2837" s="22">
        <f ca="1">IFERROR(__xludf.DUMMYFUNCTION("""COMPUTED_VALUE"""),500000)</f>
        <v>500000</v>
      </c>
      <c r="F2837" s="22">
        <f ca="1">IFERROR(__xludf.DUMMYFUNCTION("""COMPUTED_VALUE"""),500000)</f>
        <v>500000</v>
      </c>
      <c r="G2837" s="22">
        <f ca="1">IFERROR(__xludf.DUMMYFUNCTION("""COMPUTED_VALUE"""),0)</f>
        <v>0</v>
      </c>
      <c r="H2837" s="7">
        <f ca="1">IFERROR(__xludf.DUMMYFUNCTION("""COMPUTED_VALUE"""),500000)</f>
        <v>500000</v>
      </c>
    </row>
    <row r="2838" spans="1:8" ht="13" x14ac:dyDescent="0.15">
      <c r="A2838" s="5" t="str">
        <f ca="1">IFERROR(__xludf.DUMMYFUNCTION("""COMPUTED_VALUE"""),"46446")</f>
        <v>46446</v>
      </c>
      <c r="B2838" s="51">
        <f ca="1">IFERROR(__xludf.DUMMYFUNCTION("""COMPUTED_VALUE"""),44625)</f>
        <v>44625</v>
      </c>
      <c r="C2838" s="22">
        <f ca="1">IFERROR(__xludf.DUMMYFUNCTION("""COMPUTED_VALUE"""),500000)</f>
        <v>500000</v>
      </c>
      <c r="D2838" s="22">
        <f ca="1">IFERROR(__xludf.DUMMYFUNCTION("""COMPUTED_VALUE"""),0)</f>
        <v>0</v>
      </c>
      <c r="E2838" s="22">
        <f ca="1">IFERROR(__xludf.DUMMYFUNCTION("""COMPUTED_VALUE"""),500000)</f>
        <v>500000</v>
      </c>
      <c r="F2838" s="22">
        <f ca="1">IFERROR(__xludf.DUMMYFUNCTION("""COMPUTED_VALUE"""),500000)</f>
        <v>500000</v>
      </c>
      <c r="G2838" s="22">
        <f ca="1">IFERROR(__xludf.DUMMYFUNCTION("""COMPUTED_VALUE"""),0)</f>
        <v>0</v>
      </c>
      <c r="H2838" s="7">
        <f ca="1">IFERROR(__xludf.DUMMYFUNCTION("""COMPUTED_VALUE"""),500000)</f>
        <v>500000</v>
      </c>
    </row>
    <row r="2839" spans="1:8" ht="13" x14ac:dyDescent="0.15">
      <c r="A2839" s="5" t="str">
        <f ca="1">IFERROR(__xludf.DUMMYFUNCTION("""COMPUTED_VALUE"""),"46446")</f>
        <v>46446</v>
      </c>
      <c r="B2839" s="51">
        <f ca="1">IFERROR(__xludf.DUMMYFUNCTION("""COMPUTED_VALUE"""),44626)</f>
        <v>44626</v>
      </c>
      <c r="C2839" s="22">
        <f ca="1">IFERROR(__xludf.DUMMYFUNCTION("""COMPUTED_VALUE"""),500000)</f>
        <v>500000</v>
      </c>
      <c r="D2839" s="22">
        <f ca="1">IFERROR(__xludf.DUMMYFUNCTION("""COMPUTED_VALUE"""),0)</f>
        <v>0</v>
      </c>
      <c r="E2839" s="22">
        <f ca="1">IFERROR(__xludf.DUMMYFUNCTION("""COMPUTED_VALUE"""),500000)</f>
        <v>500000</v>
      </c>
      <c r="F2839" s="22">
        <f ca="1">IFERROR(__xludf.DUMMYFUNCTION("""COMPUTED_VALUE"""),500000)</f>
        <v>500000</v>
      </c>
      <c r="G2839" s="22">
        <f ca="1">IFERROR(__xludf.DUMMYFUNCTION("""COMPUTED_VALUE"""),0)</f>
        <v>0</v>
      </c>
      <c r="H2839" s="7">
        <f ca="1">IFERROR(__xludf.DUMMYFUNCTION("""COMPUTED_VALUE"""),500000)</f>
        <v>500000</v>
      </c>
    </row>
    <row r="2840" spans="1:8" ht="13" x14ac:dyDescent="0.15">
      <c r="A2840" s="5" t="str">
        <f ca="1">IFERROR(__xludf.DUMMYFUNCTION("""COMPUTED_VALUE"""),"46446")</f>
        <v>46446</v>
      </c>
      <c r="B2840" s="51">
        <f ca="1">IFERROR(__xludf.DUMMYFUNCTION("""COMPUTED_VALUE"""),44627)</f>
        <v>44627</v>
      </c>
      <c r="C2840" s="22">
        <f ca="1">IFERROR(__xludf.DUMMYFUNCTION("""COMPUTED_VALUE"""),500000)</f>
        <v>500000</v>
      </c>
      <c r="D2840" s="22">
        <f ca="1">IFERROR(__xludf.DUMMYFUNCTION("""COMPUTED_VALUE"""),0)</f>
        <v>0</v>
      </c>
      <c r="E2840" s="22">
        <f ca="1">IFERROR(__xludf.DUMMYFUNCTION("""COMPUTED_VALUE"""),500000)</f>
        <v>500000</v>
      </c>
      <c r="F2840" s="22">
        <f ca="1">IFERROR(__xludf.DUMMYFUNCTION("""COMPUTED_VALUE"""),500000)</f>
        <v>500000</v>
      </c>
      <c r="G2840" s="22">
        <f ca="1">IFERROR(__xludf.DUMMYFUNCTION("""COMPUTED_VALUE"""),0)</f>
        <v>0</v>
      </c>
      <c r="H2840" s="7">
        <f ca="1">IFERROR(__xludf.DUMMYFUNCTION("""COMPUTED_VALUE"""),500000)</f>
        <v>500000</v>
      </c>
    </row>
    <row r="2841" spans="1:8" ht="13" x14ac:dyDescent="0.15">
      <c r="A2841" s="5" t="str">
        <f ca="1">IFERROR(__xludf.DUMMYFUNCTION("""COMPUTED_VALUE"""),"46446")</f>
        <v>46446</v>
      </c>
      <c r="B2841" s="51">
        <f ca="1">IFERROR(__xludf.DUMMYFUNCTION("""COMPUTED_VALUE"""),44628)</f>
        <v>44628</v>
      </c>
      <c r="C2841" s="22">
        <f ca="1">IFERROR(__xludf.DUMMYFUNCTION("""COMPUTED_VALUE"""),500000)</f>
        <v>500000</v>
      </c>
      <c r="D2841" s="22">
        <f ca="1">IFERROR(__xludf.DUMMYFUNCTION("""COMPUTED_VALUE"""),0)</f>
        <v>0</v>
      </c>
      <c r="E2841" s="22">
        <f ca="1">IFERROR(__xludf.DUMMYFUNCTION("""COMPUTED_VALUE"""),500000)</f>
        <v>500000</v>
      </c>
      <c r="F2841" s="22">
        <f ca="1">IFERROR(__xludf.DUMMYFUNCTION("""COMPUTED_VALUE"""),500000)</f>
        <v>500000</v>
      </c>
      <c r="G2841" s="22">
        <f ca="1">IFERROR(__xludf.DUMMYFUNCTION("""COMPUTED_VALUE"""),0)</f>
        <v>0</v>
      </c>
      <c r="H2841" s="7">
        <f ca="1">IFERROR(__xludf.DUMMYFUNCTION("""COMPUTED_VALUE"""),500000)</f>
        <v>500000</v>
      </c>
    </row>
    <row r="2842" spans="1:8" ht="13" x14ac:dyDescent="0.15">
      <c r="A2842" s="5" t="str">
        <f ca="1">IFERROR(__xludf.DUMMYFUNCTION("""COMPUTED_VALUE"""),"46446")</f>
        <v>46446</v>
      </c>
      <c r="B2842" s="51">
        <f ca="1">IFERROR(__xludf.DUMMYFUNCTION("""COMPUTED_VALUE"""),44629)</f>
        <v>44629</v>
      </c>
      <c r="C2842" s="22">
        <f ca="1">IFERROR(__xludf.DUMMYFUNCTION("""COMPUTED_VALUE"""),500000)</f>
        <v>500000</v>
      </c>
      <c r="D2842" s="22">
        <f ca="1">IFERROR(__xludf.DUMMYFUNCTION("""COMPUTED_VALUE"""),0)</f>
        <v>0</v>
      </c>
      <c r="E2842" s="22">
        <f ca="1">IFERROR(__xludf.DUMMYFUNCTION("""COMPUTED_VALUE"""),500000)</f>
        <v>500000</v>
      </c>
      <c r="F2842" s="22">
        <f ca="1">IFERROR(__xludf.DUMMYFUNCTION("""COMPUTED_VALUE"""),500000)</f>
        <v>500000</v>
      </c>
      <c r="G2842" s="22">
        <f ca="1">IFERROR(__xludf.DUMMYFUNCTION("""COMPUTED_VALUE"""),0)</f>
        <v>0</v>
      </c>
      <c r="H2842" s="7">
        <f ca="1">IFERROR(__xludf.DUMMYFUNCTION("""COMPUTED_VALUE"""),500000)</f>
        <v>500000</v>
      </c>
    </row>
    <row r="2843" spans="1:8" ht="13" x14ac:dyDescent="0.15">
      <c r="A2843" s="5" t="str">
        <f ca="1">IFERROR(__xludf.DUMMYFUNCTION("""COMPUTED_VALUE"""),"46446")</f>
        <v>46446</v>
      </c>
      <c r="B2843" s="51">
        <f ca="1">IFERROR(__xludf.DUMMYFUNCTION("""COMPUTED_VALUE"""),44630)</f>
        <v>44630</v>
      </c>
      <c r="C2843" s="22">
        <f ca="1">IFERROR(__xludf.DUMMYFUNCTION("""COMPUTED_VALUE"""),500000)</f>
        <v>500000</v>
      </c>
      <c r="D2843" s="22">
        <f ca="1">IFERROR(__xludf.DUMMYFUNCTION("""COMPUTED_VALUE"""),0)</f>
        <v>0</v>
      </c>
      <c r="E2843" s="22">
        <f ca="1">IFERROR(__xludf.DUMMYFUNCTION("""COMPUTED_VALUE"""),500000)</f>
        <v>500000</v>
      </c>
      <c r="F2843" s="22">
        <f ca="1">IFERROR(__xludf.DUMMYFUNCTION("""COMPUTED_VALUE"""),500000)</f>
        <v>500000</v>
      </c>
      <c r="G2843" s="22">
        <f ca="1">IFERROR(__xludf.DUMMYFUNCTION("""COMPUTED_VALUE"""),0)</f>
        <v>0</v>
      </c>
      <c r="H2843" s="7">
        <f ca="1">IFERROR(__xludf.DUMMYFUNCTION("""COMPUTED_VALUE"""),500000)</f>
        <v>500000</v>
      </c>
    </row>
    <row r="2844" spans="1:8" ht="13" x14ac:dyDescent="0.15">
      <c r="A2844" s="5" t="str">
        <f ca="1">IFERROR(__xludf.DUMMYFUNCTION("""COMPUTED_VALUE"""),"46446")</f>
        <v>46446</v>
      </c>
      <c r="B2844" s="51">
        <f ca="1">IFERROR(__xludf.DUMMYFUNCTION("""COMPUTED_VALUE"""),44631)</f>
        <v>44631</v>
      </c>
      <c r="C2844" s="22">
        <f ca="1">IFERROR(__xludf.DUMMYFUNCTION("""COMPUTED_VALUE"""),500000)</f>
        <v>500000</v>
      </c>
      <c r="D2844" s="22">
        <f ca="1">IFERROR(__xludf.DUMMYFUNCTION("""COMPUTED_VALUE"""),0)</f>
        <v>0</v>
      </c>
      <c r="E2844" s="22">
        <f ca="1">IFERROR(__xludf.DUMMYFUNCTION("""COMPUTED_VALUE"""),500000)</f>
        <v>500000</v>
      </c>
      <c r="F2844" s="22">
        <f ca="1">IFERROR(__xludf.DUMMYFUNCTION("""COMPUTED_VALUE"""),500000)</f>
        <v>500000</v>
      </c>
      <c r="G2844" s="22">
        <f ca="1">IFERROR(__xludf.DUMMYFUNCTION("""COMPUTED_VALUE"""),0)</f>
        <v>0</v>
      </c>
      <c r="H2844" s="7">
        <f ca="1">IFERROR(__xludf.DUMMYFUNCTION("""COMPUTED_VALUE"""),500000)</f>
        <v>500000</v>
      </c>
    </row>
    <row r="2845" spans="1:8" ht="13" x14ac:dyDescent="0.15">
      <c r="A2845" s="5" t="str">
        <f ca="1">IFERROR(__xludf.DUMMYFUNCTION("""COMPUTED_VALUE"""),"46446")</f>
        <v>46446</v>
      </c>
      <c r="B2845" s="51">
        <f ca="1">IFERROR(__xludf.DUMMYFUNCTION("""COMPUTED_VALUE"""),44632)</f>
        <v>44632</v>
      </c>
      <c r="C2845" s="22">
        <f ca="1">IFERROR(__xludf.DUMMYFUNCTION("""COMPUTED_VALUE"""),500000)</f>
        <v>500000</v>
      </c>
      <c r="D2845" s="22">
        <f ca="1">IFERROR(__xludf.DUMMYFUNCTION("""COMPUTED_VALUE"""),0)</f>
        <v>0</v>
      </c>
      <c r="E2845" s="22">
        <f ca="1">IFERROR(__xludf.DUMMYFUNCTION("""COMPUTED_VALUE"""),500000)</f>
        <v>500000</v>
      </c>
      <c r="F2845" s="22">
        <f ca="1">IFERROR(__xludf.DUMMYFUNCTION("""COMPUTED_VALUE"""),500000)</f>
        <v>500000</v>
      </c>
      <c r="G2845" s="22">
        <f ca="1">IFERROR(__xludf.DUMMYFUNCTION("""COMPUTED_VALUE"""),0)</f>
        <v>0</v>
      </c>
      <c r="H2845" s="7">
        <f ca="1">IFERROR(__xludf.DUMMYFUNCTION("""COMPUTED_VALUE"""),500000)</f>
        <v>500000</v>
      </c>
    </row>
    <row r="2846" spans="1:8" ht="13" x14ac:dyDescent="0.15">
      <c r="A2846" s="5" t="str">
        <f ca="1">IFERROR(__xludf.DUMMYFUNCTION("""COMPUTED_VALUE"""),"46446")</f>
        <v>46446</v>
      </c>
      <c r="B2846" s="51">
        <f ca="1">IFERROR(__xludf.DUMMYFUNCTION("""COMPUTED_VALUE"""),44633)</f>
        <v>44633</v>
      </c>
      <c r="C2846" s="22">
        <f ca="1">IFERROR(__xludf.DUMMYFUNCTION("""COMPUTED_VALUE"""),500000)</f>
        <v>500000</v>
      </c>
      <c r="D2846" s="22">
        <f ca="1">IFERROR(__xludf.DUMMYFUNCTION("""COMPUTED_VALUE"""),0)</f>
        <v>0</v>
      </c>
      <c r="E2846" s="22">
        <f ca="1">IFERROR(__xludf.DUMMYFUNCTION("""COMPUTED_VALUE"""),500000)</f>
        <v>500000</v>
      </c>
      <c r="F2846" s="22">
        <f ca="1">IFERROR(__xludf.DUMMYFUNCTION("""COMPUTED_VALUE"""),500000)</f>
        <v>500000</v>
      </c>
      <c r="G2846" s="22">
        <f ca="1">IFERROR(__xludf.DUMMYFUNCTION("""COMPUTED_VALUE"""),0)</f>
        <v>0</v>
      </c>
      <c r="H2846" s="7">
        <f ca="1">IFERROR(__xludf.DUMMYFUNCTION("""COMPUTED_VALUE"""),500000)</f>
        <v>500000</v>
      </c>
    </row>
    <row r="2847" spans="1:8" ht="13" x14ac:dyDescent="0.15">
      <c r="A2847" s="5" t="str">
        <f ca="1">IFERROR(__xludf.DUMMYFUNCTION("""COMPUTED_VALUE"""),"46446")</f>
        <v>46446</v>
      </c>
      <c r="B2847" s="51">
        <f ca="1">IFERROR(__xludf.DUMMYFUNCTION("""COMPUTED_VALUE"""),44634)</f>
        <v>44634</v>
      </c>
      <c r="C2847" s="22">
        <f ca="1">IFERROR(__xludf.DUMMYFUNCTION("""COMPUTED_VALUE"""),500000)</f>
        <v>500000</v>
      </c>
      <c r="D2847" s="22">
        <f ca="1">IFERROR(__xludf.DUMMYFUNCTION("""COMPUTED_VALUE"""),0)</f>
        <v>0</v>
      </c>
      <c r="E2847" s="22">
        <f ca="1">IFERROR(__xludf.DUMMYFUNCTION("""COMPUTED_VALUE"""),500000)</f>
        <v>500000</v>
      </c>
      <c r="F2847" s="22">
        <f ca="1">IFERROR(__xludf.DUMMYFUNCTION("""COMPUTED_VALUE"""),500000)</f>
        <v>500000</v>
      </c>
      <c r="G2847" s="22">
        <f ca="1">IFERROR(__xludf.DUMMYFUNCTION("""COMPUTED_VALUE"""),0)</f>
        <v>0</v>
      </c>
      <c r="H2847" s="7">
        <f ca="1">IFERROR(__xludf.DUMMYFUNCTION("""COMPUTED_VALUE"""),500000)</f>
        <v>500000</v>
      </c>
    </row>
    <row r="2848" spans="1:8" ht="13" x14ac:dyDescent="0.15">
      <c r="A2848" s="5" t="str">
        <f ca="1">IFERROR(__xludf.DUMMYFUNCTION("""COMPUTED_VALUE"""),"46446")</f>
        <v>46446</v>
      </c>
      <c r="B2848" s="51">
        <f ca="1">IFERROR(__xludf.DUMMYFUNCTION("""COMPUTED_VALUE"""),44635)</f>
        <v>44635</v>
      </c>
      <c r="C2848" s="22">
        <f ca="1">IFERROR(__xludf.DUMMYFUNCTION("""COMPUTED_VALUE"""),500000)</f>
        <v>500000</v>
      </c>
      <c r="D2848" s="22">
        <f ca="1">IFERROR(__xludf.DUMMYFUNCTION("""COMPUTED_VALUE"""),0)</f>
        <v>0</v>
      </c>
      <c r="E2848" s="22">
        <f ca="1">IFERROR(__xludf.DUMMYFUNCTION("""COMPUTED_VALUE"""),500000)</f>
        <v>500000</v>
      </c>
      <c r="F2848" s="22">
        <f ca="1">IFERROR(__xludf.DUMMYFUNCTION("""COMPUTED_VALUE"""),500000)</f>
        <v>500000</v>
      </c>
      <c r="G2848" s="22">
        <f ca="1">IFERROR(__xludf.DUMMYFUNCTION("""COMPUTED_VALUE"""),0)</f>
        <v>0</v>
      </c>
      <c r="H2848" s="7">
        <f ca="1">IFERROR(__xludf.DUMMYFUNCTION("""COMPUTED_VALUE"""),500000)</f>
        <v>500000</v>
      </c>
    </row>
    <row r="2849" spans="1:8" ht="13" x14ac:dyDescent="0.15">
      <c r="A2849" s="5" t="str">
        <f ca="1">IFERROR(__xludf.DUMMYFUNCTION("""COMPUTED_VALUE"""),"46446")</f>
        <v>46446</v>
      </c>
      <c r="B2849" s="51">
        <f ca="1">IFERROR(__xludf.DUMMYFUNCTION("""COMPUTED_VALUE"""),44636)</f>
        <v>44636</v>
      </c>
      <c r="C2849" s="22">
        <f ca="1">IFERROR(__xludf.DUMMYFUNCTION("""COMPUTED_VALUE"""),500000)</f>
        <v>500000</v>
      </c>
      <c r="D2849" s="22">
        <f ca="1">IFERROR(__xludf.DUMMYFUNCTION("""COMPUTED_VALUE"""),0)</f>
        <v>0</v>
      </c>
      <c r="E2849" s="22">
        <f ca="1">IFERROR(__xludf.DUMMYFUNCTION("""COMPUTED_VALUE"""),500000)</f>
        <v>500000</v>
      </c>
      <c r="F2849" s="22">
        <f ca="1">IFERROR(__xludf.DUMMYFUNCTION("""COMPUTED_VALUE"""),500000)</f>
        <v>500000</v>
      </c>
      <c r="G2849" s="22">
        <f ca="1">IFERROR(__xludf.DUMMYFUNCTION("""COMPUTED_VALUE"""),0)</f>
        <v>0</v>
      </c>
      <c r="H2849" s="7">
        <f ca="1">IFERROR(__xludf.DUMMYFUNCTION("""COMPUTED_VALUE"""),500000)</f>
        <v>500000</v>
      </c>
    </row>
    <row r="2850" spans="1:8" ht="13" x14ac:dyDescent="0.15">
      <c r="A2850" s="5" t="str">
        <f ca="1">IFERROR(__xludf.DUMMYFUNCTION("""COMPUTED_VALUE"""),"46446")</f>
        <v>46446</v>
      </c>
      <c r="B2850" s="51">
        <f ca="1">IFERROR(__xludf.DUMMYFUNCTION("""COMPUTED_VALUE"""),44637)</f>
        <v>44637</v>
      </c>
      <c r="C2850" s="22">
        <f ca="1">IFERROR(__xludf.DUMMYFUNCTION("""COMPUTED_VALUE"""),500000)</f>
        <v>500000</v>
      </c>
      <c r="D2850" s="22">
        <f ca="1">IFERROR(__xludf.DUMMYFUNCTION("""COMPUTED_VALUE"""),0)</f>
        <v>0</v>
      </c>
      <c r="E2850" s="22">
        <f ca="1">IFERROR(__xludf.DUMMYFUNCTION("""COMPUTED_VALUE"""),500000)</f>
        <v>500000</v>
      </c>
      <c r="F2850" s="22">
        <f ca="1">IFERROR(__xludf.DUMMYFUNCTION("""COMPUTED_VALUE"""),500000)</f>
        <v>500000</v>
      </c>
      <c r="G2850" s="22">
        <f ca="1">IFERROR(__xludf.DUMMYFUNCTION("""COMPUTED_VALUE"""),0)</f>
        <v>0</v>
      </c>
      <c r="H2850" s="7">
        <f ca="1">IFERROR(__xludf.DUMMYFUNCTION("""COMPUTED_VALUE"""),500000)</f>
        <v>500000</v>
      </c>
    </row>
    <row r="2851" spans="1:8" ht="13" x14ac:dyDescent="0.15">
      <c r="A2851" s="5" t="str">
        <f ca="1">IFERROR(__xludf.DUMMYFUNCTION("""COMPUTED_VALUE"""),"46446")</f>
        <v>46446</v>
      </c>
      <c r="B2851" s="51">
        <f ca="1">IFERROR(__xludf.DUMMYFUNCTION("""COMPUTED_VALUE"""),44638)</f>
        <v>44638</v>
      </c>
      <c r="C2851" s="22">
        <f ca="1">IFERROR(__xludf.DUMMYFUNCTION("""COMPUTED_VALUE"""),500000)</f>
        <v>500000</v>
      </c>
      <c r="D2851" s="22">
        <f ca="1">IFERROR(__xludf.DUMMYFUNCTION("""COMPUTED_VALUE"""),0)</f>
        <v>0</v>
      </c>
      <c r="E2851" s="22">
        <f ca="1">IFERROR(__xludf.DUMMYFUNCTION("""COMPUTED_VALUE"""),500000)</f>
        <v>500000</v>
      </c>
      <c r="F2851" s="22">
        <f ca="1">IFERROR(__xludf.DUMMYFUNCTION("""COMPUTED_VALUE"""),500000)</f>
        <v>500000</v>
      </c>
      <c r="G2851" s="22">
        <f ca="1">IFERROR(__xludf.DUMMYFUNCTION("""COMPUTED_VALUE"""),0)</f>
        <v>0</v>
      </c>
      <c r="H2851" s="7">
        <f ca="1">IFERROR(__xludf.DUMMYFUNCTION("""COMPUTED_VALUE"""),500000)</f>
        <v>500000</v>
      </c>
    </row>
    <row r="2852" spans="1:8" ht="13" x14ac:dyDescent="0.15">
      <c r="A2852" s="5" t="str">
        <f ca="1">IFERROR(__xludf.DUMMYFUNCTION("""COMPUTED_VALUE"""),"46446")</f>
        <v>46446</v>
      </c>
      <c r="B2852" s="51">
        <f ca="1">IFERROR(__xludf.DUMMYFUNCTION("""COMPUTED_VALUE"""),44639)</f>
        <v>44639</v>
      </c>
      <c r="C2852" s="22">
        <f ca="1">IFERROR(__xludf.DUMMYFUNCTION("""COMPUTED_VALUE"""),500000)</f>
        <v>500000</v>
      </c>
      <c r="D2852" s="22">
        <f ca="1">IFERROR(__xludf.DUMMYFUNCTION("""COMPUTED_VALUE"""),0)</f>
        <v>0</v>
      </c>
      <c r="E2852" s="22">
        <f ca="1">IFERROR(__xludf.DUMMYFUNCTION("""COMPUTED_VALUE"""),500000)</f>
        <v>500000</v>
      </c>
      <c r="F2852" s="22">
        <f ca="1">IFERROR(__xludf.DUMMYFUNCTION("""COMPUTED_VALUE"""),500000)</f>
        <v>500000</v>
      </c>
      <c r="G2852" s="22">
        <f ca="1">IFERROR(__xludf.DUMMYFUNCTION("""COMPUTED_VALUE"""),0)</f>
        <v>0</v>
      </c>
      <c r="H2852" s="7">
        <f ca="1">IFERROR(__xludf.DUMMYFUNCTION("""COMPUTED_VALUE"""),500000)</f>
        <v>500000</v>
      </c>
    </row>
    <row r="2853" spans="1:8" ht="13" x14ac:dyDescent="0.15">
      <c r="A2853" s="5" t="str">
        <f ca="1">IFERROR(__xludf.DUMMYFUNCTION("""COMPUTED_VALUE"""),"46446")</f>
        <v>46446</v>
      </c>
      <c r="B2853" s="51">
        <f ca="1">IFERROR(__xludf.DUMMYFUNCTION("""COMPUTED_VALUE"""),44640)</f>
        <v>44640</v>
      </c>
      <c r="C2853" s="22">
        <f ca="1">IFERROR(__xludf.DUMMYFUNCTION("""COMPUTED_VALUE"""),500000)</f>
        <v>500000</v>
      </c>
      <c r="D2853" s="22">
        <f ca="1">IFERROR(__xludf.DUMMYFUNCTION("""COMPUTED_VALUE"""),0)</f>
        <v>0</v>
      </c>
      <c r="E2853" s="22">
        <f ca="1">IFERROR(__xludf.DUMMYFUNCTION("""COMPUTED_VALUE"""),500000)</f>
        <v>500000</v>
      </c>
      <c r="F2853" s="22">
        <f ca="1">IFERROR(__xludf.DUMMYFUNCTION("""COMPUTED_VALUE"""),500000)</f>
        <v>500000</v>
      </c>
      <c r="G2853" s="22">
        <f ca="1">IFERROR(__xludf.DUMMYFUNCTION("""COMPUTED_VALUE"""),0)</f>
        <v>0</v>
      </c>
      <c r="H2853" s="7">
        <f ca="1">IFERROR(__xludf.DUMMYFUNCTION("""COMPUTED_VALUE"""),500000)</f>
        <v>500000</v>
      </c>
    </row>
    <row r="2854" spans="1:8" ht="13" x14ac:dyDescent="0.15">
      <c r="A2854" s="5" t="str">
        <f ca="1">IFERROR(__xludf.DUMMYFUNCTION("""COMPUTED_VALUE"""),"46446")</f>
        <v>46446</v>
      </c>
      <c r="B2854" s="51">
        <f ca="1">IFERROR(__xludf.DUMMYFUNCTION("""COMPUTED_VALUE"""),44641)</f>
        <v>44641</v>
      </c>
      <c r="C2854" s="22">
        <f ca="1">IFERROR(__xludf.DUMMYFUNCTION("""COMPUTED_VALUE"""),500000)</f>
        <v>500000</v>
      </c>
      <c r="D2854" s="22">
        <f ca="1">IFERROR(__xludf.DUMMYFUNCTION("""COMPUTED_VALUE"""),0)</f>
        <v>0</v>
      </c>
      <c r="E2854" s="22">
        <f ca="1">IFERROR(__xludf.DUMMYFUNCTION("""COMPUTED_VALUE"""),500000)</f>
        <v>500000</v>
      </c>
      <c r="F2854" s="22">
        <f ca="1">IFERROR(__xludf.DUMMYFUNCTION("""COMPUTED_VALUE"""),500000)</f>
        <v>500000</v>
      </c>
      <c r="G2854" s="22">
        <f ca="1">IFERROR(__xludf.DUMMYFUNCTION("""COMPUTED_VALUE"""),0)</f>
        <v>0</v>
      </c>
      <c r="H2854" s="7">
        <f ca="1">IFERROR(__xludf.DUMMYFUNCTION("""COMPUTED_VALUE"""),500000)</f>
        <v>500000</v>
      </c>
    </row>
    <row r="2855" spans="1:8" ht="13" x14ac:dyDescent="0.15">
      <c r="A2855" s="5" t="str">
        <f ca="1">IFERROR(__xludf.DUMMYFUNCTION("""COMPUTED_VALUE"""),"46446")</f>
        <v>46446</v>
      </c>
      <c r="B2855" s="51">
        <f ca="1">IFERROR(__xludf.DUMMYFUNCTION("""COMPUTED_VALUE"""),44642)</f>
        <v>44642</v>
      </c>
      <c r="C2855" s="22">
        <f ca="1">IFERROR(__xludf.DUMMYFUNCTION("""COMPUTED_VALUE"""),500000)</f>
        <v>500000</v>
      </c>
      <c r="D2855" s="22">
        <f ca="1">IFERROR(__xludf.DUMMYFUNCTION("""COMPUTED_VALUE"""),0)</f>
        <v>0</v>
      </c>
      <c r="E2855" s="22">
        <f ca="1">IFERROR(__xludf.DUMMYFUNCTION("""COMPUTED_VALUE"""),500000)</f>
        <v>500000</v>
      </c>
      <c r="F2855" s="22">
        <f ca="1">IFERROR(__xludf.DUMMYFUNCTION("""COMPUTED_VALUE"""),500000)</f>
        <v>500000</v>
      </c>
      <c r="G2855" s="22">
        <f ca="1">IFERROR(__xludf.DUMMYFUNCTION("""COMPUTED_VALUE"""),0)</f>
        <v>0</v>
      </c>
      <c r="H2855" s="7">
        <f ca="1">IFERROR(__xludf.DUMMYFUNCTION("""COMPUTED_VALUE"""),500000)</f>
        <v>500000</v>
      </c>
    </row>
    <row r="2856" spans="1:8" ht="13" x14ac:dyDescent="0.15">
      <c r="A2856" s="5" t="str">
        <f ca="1">IFERROR(__xludf.DUMMYFUNCTION("""COMPUTED_VALUE"""),"46600")</f>
        <v>46600</v>
      </c>
      <c r="B2856" s="51">
        <f ca="1">IFERROR(__xludf.DUMMYFUNCTION("""COMPUTED_VALUE"""),44597)</f>
        <v>44597</v>
      </c>
      <c r="C2856" s="22">
        <f ca="1">IFERROR(__xludf.DUMMYFUNCTION("""COMPUTED_VALUE"""),500000)</f>
        <v>500000</v>
      </c>
      <c r="D2856" s="22">
        <f ca="1">IFERROR(__xludf.DUMMYFUNCTION("""COMPUTED_VALUE"""),0)</f>
        <v>0</v>
      </c>
      <c r="E2856" s="22">
        <f ca="1">IFERROR(__xludf.DUMMYFUNCTION("""COMPUTED_VALUE"""),500000)</f>
        <v>500000</v>
      </c>
      <c r="F2856" s="22">
        <f ca="1">IFERROR(__xludf.DUMMYFUNCTION("""COMPUTED_VALUE"""),500000)</f>
        <v>500000</v>
      </c>
      <c r="G2856" s="22">
        <f ca="1">IFERROR(__xludf.DUMMYFUNCTION("""COMPUTED_VALUE"""),0)</f>
        <v>0</v>
      </c>
      <c r="H2856" s="7">
        <f ca="1">IFERROR(__xludf.DUMMYFUNCTION("""COMPUTED_VALUE"""),500000)</f>
        <v>500000</v>
      </c>
    </row>
    <row r="2857" spans="1:8" ht="13" x14ac:dyDescent="0.15">
      <c r="A2857" s="5" t="str">
        <f ca="1">IFERROR(__xludf.DUMMYFUNCTION("""COMPUTED_VALUE"""),"46600")</f>
        <v>46600</v>
      </c>
      <c r="B2857" s="51">
        <f ca="1">IFERROR(__xludf.DUMMYFUNCTION("""COMPUTED_VALUE"""),44598)</f>
        <v>44598</v>
      </c>
      <c r="C2857" s="22">
        <f ca="1">IFERROR(__xludf.DUMMYFUNCTION("""COMPUTED_VALUE"""),500000)</f>
        <v>500000</v>
      </c>
      <c r="D2857" s="22">
        <f ca="1">IFERROR(__xludf.DUMMYFUNCTION("""COMPUTED_VALUE"""),0)</f>
        <v>0</v>
      </c>
      <c r="E2857" s="22">
        <f ca="1">IFERROR(__xludf.DUMMYFUNCTION("""COMPUTED_VALUE"""),500000)</f>
        <v>500000</v>
      </c>
      <c r="F2857" s="22">
        <f ca="1">IFERROR(__xludf.DUMMYFUNCTION("""COMPUTED_VALUE"""),500000)</f>
        <v>500000</v>
      </c>
      <c r="G2857" s="22">
        <f ca="1">IFERROR(__xludf.DUMMYFUNCTION("""COMPUTED_VALUE"""),0)</f>
        <v>0</v>
      </c>
      <c r="H2857" s="7">
        <f ca="1">IFERROR(__xludf.DUMMYFUNCTION("""COMPUTED_VALUE"""),500000)</f>
        <v>500000</v>
      </c>
    </row>
    <row r="2858" spans="1:8" ht="13" x14ac:dyDescent="0.15">
      <c r="A2858" s="5" t="str">
        <f ca="1">IFERROR(__xludf.DUMMYFUNCTION("""COMPUTED_VALUE"""),"46600")</f>
        <v>46600</v>
      </c>
      <c r="B2858" s="51">
        <f ca="1">IFERROR(__xludf.DUMMYFUNCTION("""COMPUTED_VALUE"""),44599)</f>
        <v>44599</v>
      </c>
      <c r="C2858" s="22">
        <f ca="1">IFERROR(__xludf.DUMMYFUNCTION("""COMPUTED_VALUE"""),500000)</f>
        <v>500000</v>
      </c>
      <c r="D2858" s="22">
        <f ca="1">IFERROR(__xludf.DUMMYFUNCTION("""COMPUTED_VALUE"""),0)</f>
        <v>0</v>
      </c>
      <c r="E2858" s="22">
        <f ca="1">IFERROR(__xludf.DUMMYFUNCTION("""COMPUTED_VALUE"""),500000)</f>
        <v>500000</v>
      </c>
      <c r="F2858" s="22">
        <f ca="1">IFERROR(__xludf.DUMMYFUNCTION("""COMPUTED_VALUE"""),500000)</f>
        <v>500000</v>
      </c>
      <c r="G2858" s="22">
        <f ca="1">IFERROR(__xludf.DUMMYFUNCTION("""COMPUTED_VALUE"""),0)</f>
        <v>0</v>
      </c>
      <c r="H2858" s="7">
        <f ca="1">IFERROR(__xludf.DUMMYFUNCTION("""COMPUTED_VALUE"""),500000)</f>
        <v>500000</v>
      </c>
    </row>
    <row r="2859" spans="1:8" ht="13" x14ac:dyDescent="0.15">
      <c r="A2859" s="5" t="str">
        <f ca="1">IFERROR(__xludf.DUMMYFUNCTION("""COMPUTED_VALUE"""),"46600")</f>
        <v>46600</v>
      </c>
      <c r="B2859" s="51">
        <f ca="1">IFERROR(__xludf.DUMMYFUNCTION("""COMPUTED_VALUE"""),44600)</f>
        <v>44600</v>
      </c>
      <c r="C2859" s="22">
        <f ca="1">IFERROR(__xludf.DUMMYFUNCTION("""COMPUTED_VALUE"""),500000)</f>
        <v>500000</v>
      </c>
      <c r="D2859" s="22">
        <f ca="1">IFERROR(__xludf.DUMMYFUNCTION("""COMPUTED_VALUE"""),0)</f>
        <v>0</v>
      </c>
      <c r="E2859" s="22">
        <f ca="1">IFERROR(__xludf.DUMMYFUNCTION("""COMPUTED_VALUE"""),500000)</f>
        <v>500000</v>
      </c>
      <c r="F2859" s="22">
        <f ca="1">IFERROR(__xludf.DUMMYFUNCTION("""COMPUTED_VALUE"""),500000)</f>
        <v>500000</v>
      </c>
      <c r="G2859" s="22">
        <f ca="1">IFERROR(__xludf.DUMMYFUNCTION("""COMPUTED_VALUE"""),0)</f>
        <v>0</v>
      </c>
      <c r="H2859" s="7">
        <f ca="1">IFERROR(__xludf.DUMMYFUNCTION("""COMPUTED_VALUE"""),500000)</f>
        <v>500000</v>
      </c>
    </row>
    <row r="2860" spans="1:8" ht="13" x14ac:dyDescent="0.15">
      <c r="A2860" s="5" t="str">
        <f ca="1">IFERROR(__xludf.DUMMYFUNCTION("""COMPUTED_VALUE"""),"46600")</f>
        <v>46600</v>
      </c>
      <c r="B2860" s="51">
        <f ca="1">IFERROR(__xludf.DUMMYFUNCTION("""COMPUTED_VALUE"""),44601)</f>
        <v>44601</v>
      </c>
      <c r="C2860" s="22">
        <f ca="1">IFERROR(__xludf.DUMMYFUNCTION("""COMPUTED_VALUE"""),500000)</f>
        <v>500000</v>
      </c>
      <c r="D2860" s="22">
        <f ca="1">IFERROR(__xludf.DUMMYFUNCTION("""COMPUTED_VALUE"""),0)</f>
        <v>0</v>
      </c>
      <c r="E2860" s="22">
        <f ca="1">IFERROR(__xludf.DUMMYFUNCTION("""COMPUTED_VALUE"""),500000)</f>
        <v>500000</v>
      </c>
      <c r="F2860" s="22">
        <f ca="1">IFERROR(__xludf.DUMMYFUNCTION("""COMPUTED_VALUE"""),500000)</f>
        <v>500000</v>
      </c>
      <c r="G2860" s="22">
        <f ca="1">IFERROR(__xludf.DUMMYFUNCTION("""COMPUTED_VALUE"""),0)</f>
        <v>0</v>
      </c>
      <c r="H2860" s="7">
        <f ca="1">IFERROR(__xludf.DUMMYFUNCTION("""COMPUTED_VALUE"""),500000)</f>
        <v>500000</v>
      </c>
    </row>
    <row r="2861" spans="1:8" ht="13" x14ac:dyDescent="0.15">
      <c r="A2861" s="5" t="str">
        <f ca="1">IFERROR(__xludf.DUMMYFUNCTION("""COMPUTED_VALUE"""),"46600")</f>
        <v>46600</v>
      </c>
      <c r="B2861" s="51">
        <f ca="1">IFERROR(__xludf.DUMMYFUNCTION("""COMPUTED_VALUE"""),44602)</f>
        <v>44602</v>
      </c>
      <c r="C2861" s="22">
        <f ca="1">IFERROR(__xludf.DUMMYFUNCTION("""COMPUTED_VALUE"""),500000)</f>
        <v>500000</v>
      </c>
      <c r="D2861" s="22">
        <f ca="1">IFERROR(__xludf.DUMMYFUNCTION("""COMPUTED_VALUE"""),0)</f>
        <v>0</v>
      </c>
      <c r="E2861" s="22">
        <f ca="1">IFERROR(__xludf.DUMMYFUNCTION("""COMPUTED_VALUE"""),500000)</f>
        <v>500000</v>
      </c>
      <c r="F2861" s="22">
        <f ca="1">IFERROR(__xludf.DUMMYFUNCTION("""COMPUTED_VALUE"""),500000)</f>
        <v>500000</v>
      </c>
      <c r="G2861" s="22">
        <f ca="1">IFERROR(__xludf.DUMMYFUNCTION("""COMPUTED_VALUE"""),0)</f>
        <v>0</v>
      </c>
      <c r="H2861" s="7">
        <f ca="1">IFERROR(__xludf.DUMMYFUNCTION("""COMPUTED_VALUE"""),500000)</f>
        <v>500000</v>
      </c>
    </row>
    <row r="2862" spans="1:8" ht="13" x14ac:dyDescent="0.15">
      <c r="A2862" s="5" t="str">
        <f ca="1">IFERROR(__xludf.DUMMYFUNCTION("""COMPUTED_VALUE"""),"46600")</f>
        <v>46600</v>
      </c>
      <c r="B2862" s="51">
        <f ca="1">IFERROR(__xludf.DUMMYFUNCTION("""COMPUTED_VALUE"""),44603)</f>
        <v>44603</v>
      </c>
      <c r="C2862" s="22">
        <f ca="1">IFERROR(__xludf.DUMMYFUNCTION("""COMPUTED_VALUE"""),500000)</f>
        <v>500000</v>
      </c>
      <c r="D2862" s="22">
        <f ca="1">IFERROR(__xludf.DUMMYFUNCTION("""COMPUTED_VALUE"""),0)</f>
        <v>0</v>
      </c>
      <c r="E2862" s="22">
        <f ca="1">IFERROR(__xludf.DUMMYFUNCTION("""COMPUTED_VALUE"""),500000)</f>
        <v>500000</v>
      </c>
      <c r="F2862" s="22">
        <f ca="1">IFERROR(__xludf.DUMMYFUNCTION("""COMPUTED_VALUE"""),500000)</f>
        <v>500000</v>
      </c>
      <c r="G2862" s="22">
        <f ca="1">IFERROR(__xludf.DUMMYFUNCTION("""COMPUTED_VALUE"""),0)</f>
        <v>0</v>
      </c>
      <c r="H2862" s="7">
        <f ca="1">IFERROR(__xludf.DUMMYFUNCTION("""COMPUTED_VALUE"""),500000)</f>
        <v>500000</v>
      </c>
    </row>
    <row r="2863" spans="1:8" ht="13" x14ac:dyDescent="0.15">
      <c r="A2863" s="5" t="str">
        <f ca="1">IFERROR(__xludf.DUMMYFUNCTION("""COMPUTED_VALUE"""),"46600")</f>
        <v>46600</v>
      </c>
      <c r="B2863" s="51">
        <f ca="1">IFERROR(__xludf.DUMMYFUNCTION("""COMPUTED_VALUE"""),44604)</f>
        <v>44604</v>
      </c>
      <c r="C2863" s="22">
        <f ca="1">IFERROR(__xludf.DUMMYFUNCTION("""COMPUTED_VALUE"""),500000)</f>
        <v>500000</v>
      </c>
      <c r="D2863" s="22">
        <f ca="1">IFERROR(__xludf.DUMMYFUNCTION("""COMPUTED_VALUE"""),0)</f>
        <v>0</v>
      </c>
      <c r="E2863" s="22">
        <f ca="1">IFERROR(__xludf.DUMMYFUNCTION("""COMPUTED_VALUE"""),500000)</f>
        <v>500000</v>
      </c>
      <c r="F2863" s="22">
        <f ca="1">IFERROR(__xludf.DUMMYFUNCTION("""COMPUTED_VALUE"""),500000)</f>
        <v>500000</v>
      </c>
      <c r="G2863" s="22">
        <f ca="1">IFERROR(__xludf.DUMMYFUNCTION("""COMPUTED_VALUE"""),0)</f>
        <v>0</v>
      </c>
      <c r="H2863" s="7">
        <f ca="1">IFERROR(__xludf.DUMMYFUNCTION("""COMPUTED_VALUE"""),500000)</f>
        <v>500000</v>
      </c>
    </row>
    <row r="2864" spans="1:8" ht="13" x14ac:dyDescent="0.15">
      <c r="A2864" s="5" t="str">
        <f ca="1">IFERROR(__xludf.DUMMYFUNCTION("""COMPUTED_VALUE"""),"46600")</f>
        <v>46600</v>
      </c>
      <c r="B2864" s="51">
        <f ca="1">IFERROR(__xludf.DUMMYFUNCTION("""COMPUTED_VALUE"""),44605)</f>
        <v>44605</v>
      </c>
      <c r="C2864" s="22">
        <f ca="1">IFERROR(__xludf.DUMMYFUNCTION("""COMPUTED_VALUE"""),500000)</f>
        <v>500000</v>
      </c>
      <c r="D2864" s="22">
        <f ca="1">IFERROR(__xludf.DUMMYFUNCTION("""COMPUTED_VALUE"""),0)</f>
        <v>0</v>
      </c>
      <c r="E2864" s="22">
        <f ca="1">IFERROR(__xludf.DUMMYFUNCTION("""COMPUTED_VALUE"""),500000)</f>
        <v>500000</v>
      </c>
      <c r="F2864" s="22">
        <f ca="1">IFERROR(__xludf.DUMMYFUNCTION("""COMPUTED_VALUE"""),500000)</f>
        <v>500000</v>
      </c>
      <c r="G2864" s="22">
        <f ca="1">IFERROR(__xludf.DUMMYFUNCTION("""COMPUTED_VALUE"""),0)</f>
        <v>0</v>
      </c>
      <c r="H2864" s="7">
        <f ca="1">IFERROR(__xludf.DUMMYFUNCTION("""COMPUTED_VALUE"""),500000)</f>
        <v>500000</v>
      </c>
    </row>
    <row r="2865" spans="1:8" ht="13" x14ac:dyDescent="0.15">
      <c r="A2865" s="5" t="str">
        <f ca="1">IFERROR(__xludf.DUMMYFUNCTION("""COMPUTED_VALUE"""),"46600")</f>
        <v>46600</v>
      </c>
      <c r="B2865" s="51">
        <f ca="1">IFERROR(__xludf.DUMMYFUNCTION("""COMPUTED_VALUE"""),44606)</f>
        <v>44606</v>
      </c>
      <c r="C2865" s="22">
        <f ca="1">IFERROR(__xludf.DUMMYFUNCTION("""COMPUTED_VALUE"""),500000)</f>
        <v>500000</v>
      </c>
      <c r="D2865" s="22">
        <f ca="1">IFERROR(__xludf.DUMMYFUNCTION("""COMPUTED_VALUE"""),0)</f>
        <v>0</v>
      </c>
      <c r="E2865" s="22">
        <f ca="1">IFERROR(__xludf.DUMMYFUNCTION("""COMPUTED_VALUE"""),500000)</f>
        <v>500000</v>
      </c>
      <c r="F2865" s="22">
        <f ca="1">IFERROR(__xludf.DUMMYFUNCTION("""COMPUTED_VALUE"""),500000)</f>
        <v>500000</v>
      </c>
      <c r="G2865" s="22">
        <f ca="1">IFERROR(__xludf.DUMMYFUNCTION("""COMPUTED_VALUE"""),0)</f>
        <v>0</v>
      </c>
      <c r="H2865" s="7">
        <f ca="1">IFERROR(__xludf.DUMMYFUNCTION("""COMPUTED_VALUE"""),500000)</f>
        <v>500000</v>
      </c>
    </row>
    <row r="2866" spans="1:8" ht="13" x14ac:dyDescent="0.15">
      <c r="A2866" s="5" t="str">
        <f ca="1">IFERROR(__xludf.DUMMYFUNCTION("""COMPUTED_VALUE"""),"46600")</f>
        <v>46600</v>
      </c>
      <c r="B2866" s="51">
        <f ca="1">IFERROR(__xludf.DUMMYFUNCTION("""COMPUTED_VALUE"""),44607)</f>
        <v>44607</v>
      </c>
      <c r="C2866" s="22">
        <f ca="1">IFERROR(__xludf.DUMMYFUNCTION("""COMPUTED_VALUE"""),500000)</f>
        <v>500000</v>
      </c>
      <c r="D2866" s="22">
        <f ca="1">IFERROR(__xludf.DUMMYFUNCTION("""COMPUTED_VALUE"""),0)</f>
        <v>0</v>
      </c>
      <c r="E2866" s="22">
        <f ca="1">IFERROR(__xludf.DUMMYFUNCTION("""COMPUTED_VALUE"""),500000)</f>
        <v>500000</v>
      </c>
      <c r="F2866" s="22">
        <f ca="1">IFERROR(__xludf.DUMMYFUNCTION("""COMPUTED_VALUE"""),500000)</f>
        <v>500000</v>
      </c>
      <c r="G2866" s="22">
        <f ca="1">IFERROR(__xludf.DUMMYFUNCTION("""COMPUTED_VALUE"""),0)</f>
        <v>0</v>
      </c>
      <c r="H2866" s="7">
        <f ca="1">IFERROR(__xludf.DUMMYFUNCTION("""COMPUTED_VALUE"""),500000)</f>
        <v>500000</v>
      </c>
    </row>
    <row r="2867" spans="1:8" ht="13" x14ac:dyDescent="0.15">
      <c r="A2867" s="5" t="str">
        <f ca="1">IFERROR(__xludf.DUMMYFUNCTION("""COMPUTED_VALUE"""),"46600")</f>
        <v>46600</v>
      </c>
      <c r="B2867" s="51">
        <f ca="1">IFERROR(__xludf.DUMMYFUNCTION("""COMPUTED_VALUE"""),44608)</f>
        <v>44608</v>
      </c>
      <c r="C2867" s="22">
        <f ca="1">IFERROR(__xludf.DUMMYFUNCTION("""COMPUTED_VALUE"""),500000)</f>
        <v>500000</v>
      </c>
      <c r="D2867" s="22">
        <f ca="1">IFERROR(__xludf.DUMMYFUNCTION("""COMPUTED_VALUE"""),0)</f>
        <v>0</v>
      </c>
      <c r="E2867" s="22">
        <f ca="1">IFERROR(__xludf.DUMMYFUNCTION("""COMPUTED_VALUE"""),500000)</f>
        <v>500000</v>
      </c>
      <c r="F2867" s="22">
        <f ca="1">IFERROR(__xludf.DUMMYFUNCTION("""COMPUTED_VALUE"""),500000)</f>
        <v>500000</v>
      </c>
      <c r="G2867" s="22">
        <f ca="1">IFERROR(__xludf.DUMMYFUNCTION("""COMPUTED_VALUE"""),0)</f>
        <v>0</v>
      </c>
      <c r="H2867" s="7">
        <f ca="1">IFERROR(__xludf.DUMMYFUNCTION("""COMPUTED_VALUE"""),500000)</f>
        <v>500000</v>
      </c>
    </row>
    <row r="2868" spans="1:8" ht="13" x14ac:dyDescent="0.15">
      <c r="A2868" s="5" t="str">
        <f ca="1">IFERROR(__xludf.DUMMYFUNCTION("""COMPUTED_VALUE"""),"46600")</f>
        <v>46600</v>
      </c>
      <c r="B2868" s="51">
        <f ca="1">IFERROR(__xludf.DUMMYFUNCTION("""COMPUTED_VALUE"""),44609)</f>
        <v>44609</v>
      </c>
      <c r="C2868" s="22">
        <f ca="1">IFERROR(__xludf.DUMMYFUNCTION("""COMPUTED_VALUE"""),500000)</f>
        <v>500000</v>
      </c>
      <c r="D2868" s="22">
        <f ca="1">IFERROR(__xludf.DUMMYFUNCTION("""COMPUTED_VALUE"""),0)</f>
        <v>0</v>
      </c>
      <c r="E2868" s="22">
        <f ca="1">IFERROR(__xludf.DUMMYFUNCTION("""COMPUTED_VALUE"""),500000)</f>
        <v>500000</v>
      </c>
      <c r="F2868" s="22">
        <f ca="1">IFERROR(__xludf.DUMMYFUNCTION("""COMPUTED_VALUE"""),500000)</f>
        <v>500000</v>
      </c>
      <c r="G2868" s="22">
        <f ca="1">IFERROR(__xludf.DUMMYFUNCTION("""COMPUTED_VALUE"""),0)</f>
        <v>0</v>
      </c>
      <c r="H2868" s="7">
        <f ca="1">IFERROR(__xludf.DUMMYFUNCTION("""COMPUTED_VALUE"""),500000)</f>
        <v>500000</v>
      </c>
    </row>
    <row r="2869" spans="1:8" ht="13" x14ac:dyDescent="0.15">
      <c r="A2869" s="5" t="str">
        <f ca="1">IFERROR(__xludf.DUMMYFUNCTION("""COMPUTED_VALUE"""),"46600")</f>
        <v>46600</v>
      </c>
      <c r="B2869" s="51">
        <f ca="1">IFERROR(__xludf.DUMMYFUNCTION("""COMPUTED_VALUE"""),44610)</f>
        <v>44610</v>
      </c>
      <c r="C2869" s="22">
        <f ca="1">IFERROR(__xludf.DUMMYFUNCTION("""COMPUTED_VALUE"""),500000)</f>
        <v>500000</v>
      </c>
      <c r="D2869" s="22">
        <f ca="1">IFERROR(__xludf.DUMMYFUNCTION("""COMPUTED_VALUE"""),0)</f>
        <v>0</v>
      </c>
      <c r="E2869" s="22">
        <f ca="1">IFERROR(__xludf.DUMMYFUNCTION("""COMPUTED_VALUE"""),500000)</f>
        <v>500000</v>
      </c>
      <c r="F2869" s="22">
        <f ca="1">IFERROR(__xludf.DUMMYFUNCTION("""COMPUTED_VALUE"""),500000)</f>
        <v>500000</v>
      </c>
      <c r="G2869" s="22">
        <f ca="1">IFERROR(__xludf.DUMMYFUNCTION("""COMPUTED_VALUE"""),0)</f>
        <v>0</v>
      </c>
      <c r="H2869" s="7">
        <f ca="1">IFERROR(__xludf.DUMMYFUNCTION("""COMPUTED_VALUE"""),500000)</f>
        <v>500000</v>
      </c>
    </row>
    <row r="2870" spans="1:8" ht="13" x14ac:dyDescent="0.15">
      <c r="A2870" s="5" t="str">
        <f ca="1">IFERROR(__xludf.DUMMYFUNCTION("""COMPUTED_VALUE"""),"46600")</f>
        <v>46600</v>
      </c>
      <c r="B2870" s="51">
        <f ca="1">IFERROR(__xludf.DUMMYFUNCTION("""COMPUTED_VALUE"""),44611)</f>
        <v>44611</v>
      </c>
      <c r="C2870" s="22">
        <f ca="1">IFERROR(__xludf.DUMMYFUNCTION("""COMPUTED_VALUE"""),500000)</f>
        <v>500000</v>
      </c>
      <c r="D2870" s="22">
        <f ca="1">IFERROR(__xludf.DUMMYFUNCTION("""COMPUTED_VALUE"""),0)</f>
        <v>0</v>
      </c>
      <c r="E2870" s="22">
        <f ca="1">IFERROR(__xludf.DUMMYFUNCTION("""COMPUTED_VALUE"""),500000)</f>
        <v>500000</v>
      </c>
      <c r="F2870" s="22">
        <f ca="1">IFERROR(__xludf.DUMMYFUNCTION("""COMPUTED_VALUE"""),500000)</f>
        <v>500000</v>
      </c>
      <c r="G2870" s="22">
        <f ca="1">IFERROR(__xludf.DUMMYFUNCTION("""COMPUTED_VALUE"""),0)</f>
        <v>0</v>
      </c>
      <c r="H2870" s="7">
        <f ca="1">IFERROR(__xludf.DUMMYFUNCTION("""COMPUTED_VALUE"""),500000)</f>
        <v>500000</v>
      </c>
    </row>
    <row r="2871" spans="1:8" ht="13" x14ac:dyDescent="0.15">
      <c r="A2871" s="5" t="str">
        <f ca="1">IFERROR(__xludf.DUMMYFUNCTION("""COMPUTED_VALUE"""),"46600")</f>
        <v>46600</v>
      </c>
      <c r="B2871" s="51">
        <f ca="1">IFERROR(__xludf.DUMMYFUNCTION("""COMPUTED_VALUE"""),44612)</f>
        <v>44612</v>
      </c>
      <c r="C2871" s="22">
        <f ca="1">IFERROR(__xludf.DUMMYFUNCTION("""COMPUTED_VALUE"""),500000)</f>
        <v>500000</v>
      </c>
      <c r="D2871" s="22">
        <f ca="1">IFERROR(__xludf.DUMMYFUNCTION("""COMPUTED_VALUE"""),0)</f>
        <v>0</v>
      </c>
      <c r="E2871" s="22">
        <f ca="1">IFERROR(__xludf.DUMMYFUNCTION("""COMPUTED_VALUE"""),500000)</f>
        <v>500000</v>
      </c>
      <c r="F2871" s="22">
        <f ca="1">IFERROR(__xludf.DUMMYFUNCTION("""COMPUTED_VALUE"""),500000)</f>
        <v>500000</v>
      </c>
      <c r="G2871" s="22">
        <f ca="1">IFERROR(__xludf.DUMMYFUNCTION("""COMPUTED_VALUE"""),0)</f>
        <v>0</v>
      </c>
      <c r="H2871" s="7">
        <f ca="1">IFERROR(__xludf.DUMMYFUNCTION("""COMPUTED_VALUE"""),500000)</f>
        <v>500000</v>
      </c>
    </row>
    <row r="2872" spans="1:8" ht="13" x14ac:dyDescent="0.15">
      <c r="A2872" s="5" t="str">
        <f ca="1">IFERROR(__xludf.DUMMYFUNCTION("""COMPUTED_VALUE"""),"46600")</f>
        <v>46600</v>
      </c>
      <c r="B2872" s="51">
        <f ca="1">IFERROR(__xludf.DUMMYFUNCTION("""COMPUTED_VALUE"""),44613)</f>
        <v>44613</v>
      </c>
      <c r="C2872" s="22">
        <f ca="1">IFERROR(__xludf.DUMMYFUNCTION("""COMPUTED_VALUE"""),500000)</f>
        <v>500000</v>
      </c>
      <c r="D2872" s="22">
        <f ca="1">IFERROR(__xludf.DUMMYFUNCTION("""COMPUTED_VALUE"""),0)</f>
        <v>0</v>
      </c>
      <c r="E2872" s="22">
        <f ca="1">IFERROR(__xludf.DUMMYFUNCTION("""COMPUTED_VALUE"""),500000)</f>
        <v>500000</v>
      </c>
      <c r="F2872" s="22">
        <f ca="1">IFERROR(__xludf.DUMMYFUNCTION("""COMPUTED_VALUE"""),500000)</f>
        <v>500000</v>
      </c>
      <c r="G2872" s="22">
        <f ca="1">IFERROR(__xludf.DUMMYFUNCTION("""COMPUTED_VALUE"""),0)</f>
        <v>0</v>
      </c>
      <c r="H2872" s="7">
        <f ca="1">IFERROR(__xludf.DUMMYFUNCTION("""COMPUTED_VALUE"""),500000)</f>
        <v>500000</v>
      </c>
    </row>
    <row r="2873" spans="1:8" ht="13" x14ac:dyDescent="0.15">
      <c r="A2873" s="5" t="str">
        <f ca="1">IFERROR(__xludf.DUMMYFUNCTION("""COMPUTED_VALUE"""),"46600")</f>
        <v>46600</v>
      </c>
      <c r="B2873" s="51">
        <f ca="1">IFERROR(__xludf.DUMMYFUNCTION("""COMPUTED_VALUE"""),44614)</f>
        <v>44614</v>
      </c>
      <c r="C2873" s="22">
        <f ca="1">IFERROR(__xludf.DUMMYFUNCTION("""COMPUTED_VALUE"""),500000)</f>
        <v>500000</v>
      </c>
      <c r="D2873" s="22">
        <f ca="1">IFERROR(__xludf.DUMMYFUNCTION("""COMPUTED_VALUE"""),0)</f>
        <v>0</v>
      </c>
      <c r="E2873" s="22">
        <f ca="1">IFERROR(__xludf.DUMMYFUNCTION("""COMPUTED_VALUE"""),500000)</f>
        <v>500000</v>
      </c>
      <c r="F2873" s="22">
        <f ca="1">IFERROR(__xludf.DUMMYFUNCTION("""COMPUTED_VALUE"""),500000)</f>
        <v>500000</v>
      </c>
      <c r="G2873" s="22">
        <f ca="1">IFERROR(__xludf.DUMMYFUNCTION("""COMPUTED_VALUE"""),0)</f>
        <v>0</v>
      </c>
      <c r="H2873" s="7">
        <f ca="1">IFERROR(__xludf.DUMMYFUNCTION("""COMPUTED_VALUE"""),500000)</f>
        <v>500000</v>
      </c>
    </row>
    <row r="2874" spans="1:8" ht="13" x14ac:dyDescent="0.15">
      <c r="A2874" s="5" t="str">
        <f ca="1">IFERROR(__xludf.DUMMYFUNCTION("""COMPUTED_VALUE"""),"46600")</f>
        <v>46600</v>
      </c>
      <c r="B2874" s="51">
        <f ca="1">IFERROR(__xludf.DUMMYFUNCTION("""COMPUTED_VALUE"""),44615)</f>
        <v>44615</v>
      </c>
      <c r="C2874" s="22">
        <f ca="1">IFERROR(__xludf.DUMMYFUNCTION("""COMPUTED_VALUE"""),500000)</f>
        <v>500000</v>
      </c>
      <c r="D2874" s="22">
        <f ca="1">IFERROR(__xludf.DUMMYFUNCTION("""COMPUTED_VALUE"""),0)</f>
        <v>0</v>
      </c>
      <c r="E2874" s="22">
        <f ca="1">IFERROR(__xludf.DUMMYFUNCTION("""COMPUTED_VALUE"""),500000)</f>
        <v>500000</v>
      </c>
      <c r="F2874" s="22">
        <f ca="1">IFERROR(__xludf.DUMMYFUNCTION("""COMPUTED_VALUE"""),500000)</f>
        <v>500000</v>
      </c>
      <c r="G2874" s="22">
        <f ca="1">IFERROR(__xludf.DUMMYFUNCTION("""COMPUTED_VALUE"""),0)</f>
        <v>0</v>
      </c>
      <c r="H2874" s="7">
        <f ca="1">IFERROR(__xludf.DUMMYFUNCTION("""COMPUTED_VALUE"""),500000)</f>
        <v>500000</v>
      </c>
    </row>
    <row r="2875" spans="1:8" ht="13" x14ac:dyDescent="0.15">
      <c r="A2875" s="5" t="str">
        <f ca="1">IFERROR(__xludf.DUMMYFUNCTION("""COMPUTED_VALUE"""),"46600")</f>
        <v>46600</v>
      </c>
      <c r="B2875" s="51">
        <f ca="1">IFERROR(__xludf.DUMMYFUNCTION("""COMPUTED_VALUE"""),44616)</f>
        <v>44616</v>
      </c>
      <c r="C2875" s="22">
        <f ca="1">IFERROR(__xludf.DUMMYFUNCTION("""COMPUTED_VALUE"""),500000)</f>
        <v>500000</v>
      </c>
      <c r="D2875" s="22">
        <f ca="1">IFERROR(__xludf.DUMMYFUNCTION("""COMPUTED_VALUE"""),0)</f>
        <v>0</v>
      </c>
      <c r="E2875" s="22">
        <f ca="1">IFERROR(__xludf.DUMMYFUNCTION("""COMPUTED_VALUE"""),500000)</f>
        <v>500000</v>
      </c>
      <c r="F2875" s="22">
        <f ca="1">IFERROR(__xludf.DUMMYFUNCTION("""COMPUTED_VALUE"""),500000)</f>
        <v>500000</v>
      </c>
      <c r="G2875" s="22">
        <f ca="1">IFERROR(__xludf.DUMMYFUNCTION("""COMPUTED_VALUE"""),0)</f>
        <v>0</v>
      </c>
      <c r="H2875" s="7">
        <f ca="1">IFERROR(__xludf.DUMMYFUNCTION("""COMPUTED_VALUE"""),500000)</f>
        <v>500000</v>
      </c>
    </row>
    <row r="2876" spans="1:8" ht="13" x14ac:dyDescent="0.15">
      <c r="A2876" s="5" t="str">
        <f ca="1">IFERROR(__xludf.DUMMYFUNCTION("""COMPUTED_VALUE"""),"46600")</f>
        <v>46600</v>
      </c>
      <c r="B2876" s="51">
        <f ca="1">IFERROR(__xludf.DUMMYFUNCTION("""COMPUTED_VALUE"""),44617)</f>
        <v>44617</v>
      </c>
      <c r="C2876" s="22">
        <f ca="1">IFERROR(__xludf.DUMMYFUNCTION("""COMPUTED_VALUE"""),500000)</f>
        <v>500000</v>
      </c>
      <c r="D2876" s="22">
        <f ca="1">IFERROR(__xludf.DUMMYFUNCTION("""COMPUTED_VALUE"""),0)</f>
        <v>0</v>
      </c>
      <c r="E2876" s="22">
        <f ca="1">IFERROR(__xludf.DUMMYFUNCTION("""COMPUTED_VALUE"""),500000)</f>
        <v>500000</v>
      </c>
      <c r="F2876" s="22">
        <f ca="1">IFERROR(__xludf.DUMMYFUNCTION("""COMPUTED_VALUE"""),500000)</f>
        <v>500000</v>
      </c>
      <c r="G2876" s="22">
        <f ca="1">IFERROR(__xludf.DUMMYFUNCTION("""COMPUTED_VALUE"""),0)</f>
        <v>0</v>
      </c>
      <c r="H2876" s="7">
        <f ca="1">IFERROR(__xludf.DUMMYFUNCTION("""COMPUTED_VALUE"""),500000)</f>
        <v>500000</v>
      </c>
    </row>
    <row r="2877" spans="1:8" ht="13" x14ac:dyDescent="0.15">
      <c r="A2877" s="5" t="str">
        <f ca="1">IFERROR(__xludf.DUMMYFUNCTION("""COMPUTED_VALUE"""),"46600")</f>
        <v>46600</v>
      </c>
      <c r="B2877" s="51">
        <f ca="1">IFERROR(__xludf.DUMMYFUNCTION("""COMPUTED_VALUE"""),44618)</f>
        <v>44618</v>
      </c>
      <c r="C2877" s="22">
        <f ca="1">IFERROR(__xludf.DUMMYFUNCTION("""COMPUTED_VALUE"""),500000)</f>
        <v>500000</v>
      </c>
      <c r="D2877" s="22">
        <f ca="1">IFERROR(__xludf.DUMMYFUNCTION("""COMPUTED_VALUE"""),0)</f>
        <v>0</v>
      </c>
      <c r="E2877" s="22">
        <f ca="1">IFERROR(__xludf.DUMMYFUNCTION("""COMPUTED_VALUE"""),500000)</f>
        <v>500000</v>
      </c>
      <c r="F2877" s="22">
        <f ca="1">IFERROR(__xludf.DUMMYFUNCTION("""COMPUTED_VALUE"""),500000)</f>
        <v>500000</v>
      </c>
      <c r="G2877" s="22">
        <f ca="1">IFERROR(__xludf.DUMMYFUNCTION("""COMPUTED_VALUE"""),0)</f>
        <v>0</v>
      </c>
      <c r="H2877" s="7">
        <f ca="1">IFERROR(__xludf.DUMMYFUNCTION("""COMPUTED_VALUE"""),500000)</f>
        <v>500000</v>
      </c>
    </row>
    <row r="2878" spans="1:8" ht="13" x14ac:dyDescent="0.15">
      <c r="A2878" s="5" t="str">
        <f ca="1">IFERROR(__xludf.DUMMYFUNCTION("""COMPUTED_VALUE"""),"46600")</f>
        <v>46600</v>
      </c>
      <c r="B2878" s="51">
        <f ca="1">IFERROR(__xludf.DUMMYFUNCTION("""COMPUTED_VALUE"""),44619)</f>
        <v>44619</v>
      </c>
      <c r="C2878" s="22">
        <f ca="1">IFERROR(__xludf.DUMMYFUNCTION("""COMPUTED_VALUE"""),500000)</f>
        <v>500000</v>
      </c>
      <c r="D2878" s="22">
        <f ca="1">IFERROR(__xludf.DUMMYFUNCTION("""COMPUTED_VALUE"""),0)</f>
        <v>0</v>
      </c>
      <c r="E2878" s="22">
        <f ca="1">IFERROR(__xludf.DUMMYFUNCTION("""COMPUTED_VALUE"""),500000)</f>
        <v>500000</v>
      </c>
      <c r="F2878" s="22">
        <f ca="1">IFERROR(__xludf.DUMMYFUNCTION("""COMPUTED_VALUE"""),500000)</f>
        <v>500000</v>
      </c>
      <c r="G2878" s="22">
        <f ca="1">IFERROR(__xludf.DUMMYFUNCTION("""COMPUTED_VALUE"""),0)</f>
        <v>0</v>
      </c>
      <c r="H2878" s="7">
        <f ca="1">IFERROR(__xludf.DUMMYFUNCTION("""COMPUTED_VALUE"""),500000)</f>
        <v>500000</v>
      </c>
    </row>
    <row r="2879" spans="1:8" ht="13" x14ac:dyDescent="0.15">
      <c r="A2879" s="5" t="str">
        <f ca="1">IFERROR(__xludf.DUMMYFUNCTION("""COMPUTED_VALUE"""),"46600")</f>
        <v>46600</v>
      </c>
      <c r="B2879" s="51">
        <f ca="1">IFERROR(__xludf.DUMMYFUNCTION("""COMPUTED_VALUE"""),44620)</f>
        <v>44620</v>
      </c>
      <c r="C2879" s="22">
        <f ca="1">IFERROR(__xludf.DUMMYFUNCTION("""COMPUTED_VALUE"""),500000)</f>
        <v>500000</v>
      </c>
      <c r="D2879" s="22">
        <f ca="1">IFERROR(__xludf.DUMMYFUNCTION("""COMPUTED_VALUE"""),0)</f>
        <v>0</v>
      </c>
      <c r="E2879" s="22">
        <f ca="1">IFERROR(__xludf.DUMMYFUNCTION("""COMPUTED_VALUE"""),500000)</f>
        <v>500000</v>
      </c>
      <c r="F2879" s="22">
        <f ca="1">IFERROR(__xludf.DUMMYFUNCTION("""COMPUTED_VALUE"""),500000)</f>
        <v>500000</v>
      </c>
      <c r="G2879" s="22">
        <f ca="1">IFERROR(__xludf.DUMMYFUNCTION("""COMPUTED_VALUE"""),0)</f>
        <v>0</v>
      </c>
      <c r="H2879" s="7">
        <f ca="1">IFERROR(__xludf.DUMMYFUNCTION("""COMPUTED_VALUE"""),500000)</f>
        <v>500000</v>
      </c>
    </row>
    <row r="2880" spans="1:8" ht="13" x14ac:dyDescent="0.15">
      <c r="A2880" s="5" t="str">
        <f ca="1">IFERROR(__xludf.DUMMYFUNCTION("""COMPUTED_VALUE"""),"46600")</f>
        <v>46600</v>
      </c>
      <c r="B2880" s="51">
        <f ca="1">IFERROR(__xludf.DUMMYFUNCTION("""COMPUTED_VALUE"""),44621)</f>
        <v>44621</v>
      </c>
      <c r="C2880" s="22">
        <f ca="1">IFERROR(__xludf.DUMMYFUNCTION("""COMPUTED_VALUE"""),500000)</f>
        <v>500000</v>
      </c>
      <c r="D2880" s="22">
        <f ca="1">IFERROR(__xludf.DUMMYFUNCTION("""COMPUTED_VALUE"""),0)</f>
        <v>0</v>
      </c>
      <c r="E2880" s="22">
        <f ca="1">IFERROR(__xludf.DUMMYFUNCTION("""COMPUTED_VALUE"""),500000)</f>
        <v>500000</v>
      </c>
      <c r="F2880" s="22">
        <f ca="1">IFERROR(__xludf.DUMMYFUNCTION("""COMPUTED_VALUE"""),500000)</f>
        <v>500000</v>
      </c>
      <c r="G2880" s="22">
        <f ca="1">IFERROR(__xludf.DUMMYFUNCTION("""COMPUTED_VALUE"""),0)</f>
        <v>0</v>
      </c>
      <c r="H2880" s="7">
        <f ca="1">IFERROR(__xludf.DUMMYFUNCTION("""COMPUTED_VALUE"""),500000)</f>
        <v>500000</v>
      </c>
    </row>
    <row r="2881" spans="1:8" ht="13" x14ac:dyDescent="0.15">
      <c r="A2881" s="5" t="str">
        <f ca="1">IFERROR(__xludf.DUMMYFUNCTION("""COMPUTED_VALUE"""),"46600")</f>
        <v>46600</v>
      </c>
      <c r="B2881" s="51">
        <f ca="1">IFERROR(__xludf.DUMMYFUNCTION("""COMPUTED_VALUE"""),44622)</f>
        <v>44622</v>
      </c>
      <c r="C2881" s="22">
        <f ca="1">IFERROR(__xludf.DUMMYFUNCTION("""COMPUTED_VALUE"""),500000)</f>
        <v>500000</v>
      </c>
      <c r="D2881" s="22">
        <f ca="1">IFERROR(__xludf.DUMMYFUNCTION("""COMPUTED_VALUE"""),0)</f>
        <v>0</v>
      </c>
      <c r="E2881" s="22">
        <f ca="1">IFERROR(__xludf.DUMMYFUNCTION("""COMPUTED_VALUE"""),500000)</f>
        <v>500000</v>
      </c>
      <c r="F2881" s="22">
        <f ca="1">IFERROR(__xludf.DUMMYFUNCTION("""COMPUTED_VALUE"""),500000)</f>
        <v>500000</v>
      </c>
      <c r="G2881" s="22">
        <f ca="1">IFERROR(__xludf.DUMMYFUNCTION("""COMPUTED_VALUE"""),0)</f>
        <v>0</v>
      </c>
      <c r="H2881" s="7">
        <f ca="1">IFERROR(__xludf.DUMMYFUNCTION("""COMPUTED_VALUE"""),500000)</f>
        <v>500000</v>
      </c>
    </row>
    <row r="2882" spans="1:8" ht="13" x14ac:dyDescent="0.15">
      <c r="A2882" s="5" t="str">
        <f ca="1">IFERROR(__xludf.DUMMYFUNCTION("""COMPUTED_VALUE"""),"46600")</f>
        <v>46600</v>
      </c>
      <c r="B2882" s="51">
        <f ca="1">IFERROR(__xludf.DUMMYFUNCTION("""COMPUTED_VALUE"""),44623)</f>
        <v>44623</v>
      </c>
      <c r="C2882" s="22">
        <f ca="1">IFERROR(__xludf.DUMMYFUNCTION("""COMPUTED_VALUE"""),500000)</f>
        <v>500000</v>
      </c>
      <c r="D2882" s="22">
        <f ca="1">IFERROR(__xludf.DUMMYFUNCTION("""COMPUTED_VALUE"""),0)</f>
        <v>0</v>
      </c>
      <c r="E2882" s="22">
        <f ca="1">IFERROR(__xludf.DUMMYFUNCTION("""COMPUTED_VALUE"""),500000)</f>
        <v>500000</v>
      </c>
      <c r="F2882" s="22">
        <f ca="1">IFERROR(__xludf.DUMMYFUNCTION("""COMPUTED_VALUE"""),500000)</f>
        <v>500000</v>
      </c>
      <c r="G2882" s="22">
        <f ca="1">IFERROR(__xludf.DUMMYFUNCTION("""COMPUTED_VALUE"""),0)</f>
        <v>0</v>
      </c>
      <c r="H2882" s="7">
        <f ca="1">IFERROR(__xludf.DUMMYFUNCTION("""COMPUTED_VALUE"""),500000)</f>
        <v>500000</v>
      </c>
    </row>
    <row r="2883" spans="1:8" ht="13" x14ac:dyDescent="0.15">
      <c r="A2883" s="5" t="str">
        <f ca="1">IFERROR(__xludf.DUMMYFUNCTION("""COMPUTED_VALUE"""),"46600")</f>
        <v>46600</v>
      </c>
      <c r="B2883" s="51">
        <f ca="1">IFERROR(__xludf.DUMMYFUNCTION("""COMPUTED_VALUE"""),44624)</f>
        <v>44624</v>
      </c>
      <c r="C2883" s="22">
        <f ca="1">IFERROR(__xludf.DUMMYFUNCTION("""COMPUTED_VALUE"""),500000)</f>
        <v>500000</v>
      </c>
      <c r="D2883" s="22">
        <f ca="1">IFERROR(__xludf.DUMMYFUNCTION("""COMPUTED_VALUE"""),0)</f>
        <v>0</v>
      </c>
      <c r="E2883" s="22">
        <f ca="1">IFERROR(__xludf.DUMMYFUNCTION("""COMPUTED_VALUE"""),500000)</f>
        <v>500000</v>
      </c>
      <c r="F2883" s="22">
        <f ca="1">IFERROR(__xludf.DUMMYFUNCTION("""COMPUTED_VALUE"""),500000)</f>
        <v>500000</v>
      </c>
      <c r="G2883" s="22">
        <f ca="1">IFERROR(__xludf.DUMMYFUNCTION("""COMPUTED_VALUE"""),0)</f>
        <v>0</v>
      </c>
      <c r="H2883" s="7">
        <f ca="1">IFERROR(__xludf.DUMMYFUNCTION("""COMPUTED_VALUE"""),500000)</f>
        <v>500000</v>
      </c>
    </row>
    <row r="2884" spans="1:8" ht="13" x14ac:dyDescent="0.15">
      <c r="A2884" s="5" t="str">
        <f ca="1">IFERROR(__xludf.DUMMYFUNCTION("""COMPUTED_VALUE"""),"46600")</f>
        <v>46600</v>
      </c>
      <c r="B2884" s="51">
        <f ca="1">IFERROR(__xludf.DUMMYFUNCTION("""COMPUTED_VALUE"""),44625)</f>
        <v>44625</v>
      </c>
      <c r="C2884" s="22">
        <f ca="1">IFERROR(__xludf.DUMMYFUNCTION("""COMPUTED_VALUE"""),500000)</f>
        <v>500000</v>
      </c>
      <c r="D2884" s="22">
        <f ca="1">IFERROR(__xludf.DUMMYFUNCTION("""COMPUTED_VALUE"""),0)</f>
        <v>0</v>
      </c>
      <c r="E2884" s="22">
        <f ca="1">IFERROR(__xludf.DUMMYFUNCTION("""COMPUTED_VALUE"""),500000)</f>
        <v>500000</v>
      </c>
      <c r="F2884" s="22">
        <f ca="1">IFERROR(__xludf.DUMMYFUNCTION("""COMPUTED_VALUE"""),500000)</f>
        <v>500000</v>
      </c>
      <c r="G2884" s="22">
        <f ca="1">IFERROR(__xludf.DUMMYFUNCTION("""COMPUTED_VALUE"""),0)</f>
        <v>0</v>
      </c>
      <c r="H2884" s="7">
        <f ca="1">IFERROR(__xludf.DUMMYFUNCTION("""COMPUTED_VALUE"""),500000)</f>
        <v>500000</v>
      </c>
    </row>
    <row r="2885" spans="1:8" ht="13" x14ac:dyDescent="0.15">
      <c r="A2885" s="5" t="str">
        <f ca="1">IFERROR(__xludf.DUMMYFUNCTION("""COMPUTED_VALUE"""),"46600")</f>
        <v>46600</v>
      </c>
      <c r="B2885" s="51">
        <f ca="1">IFERROR(__xludf.DUMMYFUNCTION("""COMPUTED_VALUE"""),44626)</f>
        <v>44626</v>
      </c>
      <c r="C2885" s="22">
        <f ca="1">IFERROR(__xludf.DUMMYFUNCTION("""COMPUTED_VALUE"""),500000)</f>
        <v>500000</v>
      </c>
      <c r="D2885" s="22">
        <f ca="1">IFERROR(__xludf.DUMMYFUNCTION("""COMPUTED_VALUE"""),0)</f>
        <v>0</v>
      </c>
      <c r="E2885" s="22">
        <f ca="1">IFERROR(__xludf.DUMMYFUNCTION("""COMPUTED_VALUE"""),500000)</f>
        <v>500000</v>
      </c>
      <c r="F2885" s="22">
        <f ca="1">IFERROR(__xludf.DUMMYFUNCTION("""COMPUTED_VALUE"""),500000)</f>
        <v>500000</v>
      </c>
      <c r="G2885" s="22">
        <f ca="1">IFERROR(__xludf.DUMMYFUNCTION("""COMPUTED_VALUE"""),0)</f>
        <v>0</v>
      </c>
      <c r="H2885" s="7">
        <f ca="1">IFERROR(__xludf.DUMMYFUNCTION("""COMPUTED_VALUE"""),500000)</f>
        <v>500000</v>
      </c>
    </row>
    <row r="2886" spans="1:8" ht="13" x14ac:dyDescent="0.15">
      <c r="A2886" s="5" t="str">
        <f ca="1">IFERROR(__xludf.DUMMYFUNCTION("""COMPUTED_VALUE"""),"46600")</f>
        <v>46600</v>
      </c>
      <c r="B2886" s="51">
        <f ca="1">IFERROR(__xludf.DUMMYFUNCTION("""COMPUTED_VALUE"""),44627)</f>
        <v>44627</v>
      </c>
      <c r="C2886" s="22">
        <f ca="1">IFERROR(__xludf.DUMMYFUNCTION("""COMPUTED_VALUE"""),500000)</f>
        <v>500000</v>
      </c>
      <c r="D2886" s="22">
        <f ca="1">IFERROR(__xludf.DUMMYFUNCTION("""COMPUTED_VALUE"""),0)</f>
        <v>0</v>
      </c>
      <c r="E2886" s="22">
        <f ca="1">IFERROR(__xludf.DUMMYFUNCTION("""COMPUTED_VALUE"""),500000)</f>
        <v>500000</v>
      </c>
      <c r="F2886" s="22">
        <f ca="1">IFERROR(__xludf.DUMMYFUNCTION("""COMPUTED_VALUE"""),500000)</f>
        <v>500000</v>
      </c>
      <c r="G2886" s="22">
        <f ca="1">IFERROR(__xludf.DUMMYFUNCTION("""COMPUTED_VALUE"""),0)</f>
        <v>0</v>
      </c>
      <c r="H2886" s="7">
        <f ca="1">IFERROR(__xludf.DUMMYFUNCTION("""COMPUTED_VALUE"""),500000)</f>
        <v>500000</v>
      </c>
    </row>
    <row r="2887" spans="1:8" ht="13" x14ac:dyDescent="0.15">
      <c r="A2887" s="5" t="str">
        <f ca="1">IFERROR(__xludf.DUMMYFUNCTION("""COMPUTED_VALUE"""),"46600")</f>
        <v>46600</v>
      </c>
      <c r="B2887" s="51">
        <f ca="1">IFERROR(__xludf.DUMMYFUNCTION("""COMPUTED_VALUE"""),44628)</f>
        <v>44628</v>
      </c>
      <c r="C2887" s="22">
        <f ca="1">IFERROR(__xludf.DUMMYFUNCTION("""COMPUTED_VALUE"""),500000)</f>
        <v>500000</v>
      </c>
      <c r="D2887" s="22">
        <f ca="1">IFERROR(__xludf.DUMMYFUNCTION("""COMPUTED_VALUE"""),0)</f>
        <v>0</v>
      </c>
      <c r="E2887" s="22">
        <f ca="1">IFERROR(__xludf.DUMMYFUNCTION("""COMPUTED_VALUE"""),500000)</f>
        <v>500000</v>
      </c>
      <c r="F2887" s="22">
        <f ca="1">IFERROR(__xludf.DUMMYFUNCTION("""COMPUTED_VALUE"""),500000)</f>
        <v>500000</v>
      </c>
      <c r="G2887" s="22">
        <f ca="1">IFERROR(__xludf.DUMMYFUNCTION("""COMPUTED_VALUE"""),0)</f>
        <v>0</v>
      </c>
      <c r="H2887" s="7">
        <f ca="1">IFERROR(__xludf.DUMMYFUNCTION("""COMPUTED_VALUE"""),500000)</f>
        <v>500000</v>
      </c>
    </row>
    <row r="2888" spans="1:8" ht="13" x14ac:dyDescent="0.15">
      <c r="A2888" s="5" t="str">
        <f ca="1">IFERROR(__xludf.DUMMYFUNCTION("""COMPUTED_VALUE"""),"46600")</f>
        <v>46600</v>
      </c>
      <c r="B2888" s="51">
        <f ca="1">IFERROR(__xludf.DUMMYFUNCTION("""COMPUTED_VALUE"""),44629)</f>
        <v>44629</v>
      </c>
      <c r="C2888" s="22">
        <f ca="1">IFERROR(__xludf.DUMMYFUNCTION("""COMPUTED_VALUE"""),500000)</f>
        <v>500000</v>
      </c>
      <c r="D2888" s="22">
        <f ca="1">IFERROR(__xludf.DUMMYFUNCTION("""COMPUTED_VALUE"""),0)</f>
        <v>0</v>
      </c>
      <c r="E2888" s="22">
        <f ca="1">IFERROR(__xludf.DUMMYFUNCTION("""COMPUTED_VALUE"""),500000)</f>
        <v>500000</v>
      </c>
      <c r="F2888" s="22">
        <f ca="1">IFERROR(__xludf.DUMMYFUNCTION("""COMPUTED_VALUE"""),500000)</f>
        <v>500000</v>
      </c>
      <c r="G2888" s="22">
        <f ca="1">IFERROR(__xludf.DUMMYFUNCTION("""COMPUTED_VALUE"""),0)</f>
        <v>0</v>
      </c>
      <c r="H2888" s="7">
        <f ca="1">IFERROR(__xludf.DUMMYFUNCTION("""COMPUTED_VALUE"""),500000)</f>
        <v>500000</v>
      </c>
    </row>
    <row r="2889" spans="1:8" ht="13" x14ac:dyDescent="0.15">
      <c r="A2889" s="5" t="str">
        <f ca="1">IFERROR(__xludf.DUMMYFUNCTION("""COMPUTED_VALUE"""),"46600")</f>
        <v>46600</v>
      </c>
      <c r="B2889" s="51">
        <f ca="1">IFERROR(__xludf.DUMMYFUNCTION("""COMPUTED_VALUE"""),44630)</f>
        <v>44630</v>
      </c>
      <c r="C2889" s="22">
        <f ca="1">IFERROR(__xludf.DUMMYFUNCTION("""COMPUTED_VALUE"""),500000)</f>
        <v>500000</v>
      </c>
      <c r="D2889" s="22">
        <f ca="1">IFERROR(__xludf.DUMMYFUNCTION("""COMPUTED_VALUE"""),0)</f>
        <v>0</v>
      </c>
      <c r="E2889" s="22">
        <f ca="1">IFERROR(__xludf.DUMMYFUNCTION("""COMPUTED_VALUE"""),500000)</f>
        <v>500000</v>
      </c>
      <c r="F2889" s="22">
        <f ca="1">IFERROR(__xludf.DUMMYFUNCTION("""COMPUTED_VALUE"""),500000)</f>
        <v>500000</v>
      </c>
      <c r="G2889" s="22">
        <f ca="1">IFERROR(__xludf.DUMMYFUNCTION("""COMPUTED_VALUE"""),0)</f>
        <v>0</v>
      </c>
      <c r="H2889" s="7">
        <f ca="1">IFERROR(__xludf.DUMMYFUNCTION("""COMPUTED_VALUE"""),500000)</f>
        <v>500000</v>
      </c>
    </row>
    <row r="2890" spans="1:8" ht="13" x14ac:dyDescent="0.15">
      <c r="A2890" s="5" t="str">
        <f ca="1">IFERROR(__xludf.DUMMYFUNCTION("""COMPUTED_VALUE"""),"46600")</f>
        <v>46600</v>
      </c>
      <c r="B2890" s="51">
        <f ca="1">IFERROR(__xludf.DUMMYFUNCTION("""COMPUTED_VALUE"""),44631)</f>
        <v>44631</v>
      </c>
      <c r="C2890" s="22">
        <f ca="1">IFERROR(__xludf.DUMMYFUNCTION("""COMPUTED_VALUE"""),500000)</f>
        <v>500000</v>
      </c>
      <c r="D2890" s="22">
        <f ca="1">IFERROR(__xludf.DUMMYFUNCTION("""COMPUTED_VALUE"""),0)</f>
        <v>0</v>
      </c>
      <c r="E2890" s="22">
        <f ca="1">IFERROR(__xludf.DUMMYFUNCTION("""COMPUTED_VALUE"""),500000)</f>
        <v>500000</v>
      </c>
      <c r="F2890" s="22">
        <f ca="1">IFERROR(__xludf.DUMMYFUNCTION("""COMPUTED_VALUE"""),500000)</f>
        <v>500000</v>
      </c>
      <c r="G2890" s="22">
        <f ca="1">IFERROR(__xludf.DUMMYFUNCTION("""COMPUTED_VALUE"""),0)</f>
        <v>0</v>
      </c>
      <c r="H2890" s="7">
        <f ca="1">IFERROR(__xludf.DUMMYFUNCTION("""COMPUTED_VALUE"""),500000)</f>
        <v>500000</v>
      </c>
    </row>
    <row r="2891" spans="1:8" ht="13" x14ac:dyDescent="0.15">
      <c r="A2891" s="5" t="str">
        <f ca="1">IFERROR(__xludf.DUMMYFUNCTION("""COMPUTED_VALUE"""),"46600")</f>
        <v>46600</v>
      </c>
      <c r="B2891" s="51">
        <f ca="1">IFERROR(__xludf.DUMMYFUNCTION("""COMPUTED_VALUE"""),44632)</f>
        <v>44632</v>
      </c>
      <c r="C2891" s="22">
        <f ca="1">IFERROR(__xludf.DUMMYFUNCTION("""COMPUTED_VALUE"""),500000)</f>
        <v>500000</v>
      </c>
      <c r="D2891" s="22">
        <f ca="1">IFERROR(__xludf.DUMMYFUNCTION("""COMPUTED_VALUE"""),0)</f>
        <v>0</v>
      </c>
      <c r="E2891" s="22">
        <f ca="1">IFERROR(__xludf.DUMMYFUNCTION("""COMPUTED_VALUE"""),500000)</f>
        <v>500000</v>
      </c>
      <c r="F2891" s="22">
        <f ca="1">IFERROR(__xludf.DUMMYFUNCTION("""COMPUTED_VALUE"""),500000)</f>
        <v>500000</v>
      </c>
      <c r="G2891" s="22">
        <f ca="1">IFERROR(__xludf.DUMMYFUNCTION("""COMPUTED_VALUE"""),0)</f>
        <v>0</v>
      </c>
      <c r="H2891" s="7">
        <f ca="1">IFERROR(__xludf.DUMMYFUNCTION("""COMPUTED_VALUE"""),500000)</f>
        <v>500000</v>
      </c>
    </row>
    <row r="2892" spans="1:8" ht="13" x14ac:dyDescent="0.15">
      <c r="A2892" s="5" t="str">
        <f ca="1">IFERROR(__xludf.DUMMYFUNCTION("""COMPUTED_VALUE"""),"46600")</f>
        <v>46600</v>
      </c>
      <c r="B2892" s="51">
        <f ca="1">IFERROR(__xludf.DUMMYFUNCTION("""COMPUTED_VALUE"""),44633)</f>
        <v>44633</v>
      </c>
      <c r="C2892" s="22">
        <f ca="1">IFERROR(__xludf.DUMMYFUNCTION("""COMPUTED_VALUE"""),500000)</f>
        <v>500000</v>
      </c>
      <c r="D2892" s="22">
        <f ca="1">IFERROR(__xludf.DUMMYFUNCTION("""COMPUTED_VALUE"""),0)</f>
        <v>0</v>
      </c>
      <c r="E2892" s="22">
        <f ca="1">IFERROR(__xludf.DUMMYFUNCTION("""COMPUTED_VALUE"""),500000)</f>
        <v>500000</v>
      </c>
      <c r="F2892" s="22">
        <f ca="1">IFERROR(__xludf.DUMMYFUNCTION("""COMPUTED_VALUE"""),500000)</f>
        <v>500000</v>
      </c>
      <c r="G2892" s="22">
        <f ca="1">IFERROR(__xludf.DUMMYFUNCTION("""COMPUTED_VALUE"""),0)</f>
        <v>0</v>
      </c>
      <c r="H2892" s="7">
        <f ca="1">IFERROR(__xludf.DUMMYFUNCTION("""COMPUTED_VALUE"""),500000)</f>
        <v>500000</v>
      </c>
    </row>
    <row r="2893" spans="1:8" ht="13" x14ac:dyDescent="0.15">
      <c r="A2893" s="5" t="str">
        <f ca="1">IFERROR(__xludf.DUMMYFUNCTION("""COMPUTED_VALUE"""),"46600")</f>
        <v>46600</v>
      </c>
      <c r="B2893" s="51">
        <f ca="1">IFERROR(__xludf.DUMMYFUNCTION("""COMPUTED_VALUE"""),44634)</f>
        <v>44634</v>
      </c>
      <c r="C2893" s="22">
        <f ca="1">IFERROR(__xludf.DUMMYFUNCTION("""COMPUTED_VALUE"""),500000)</f>
        <v>500000</v>
      </c>
      <c r="D2893" s="22">
        <f ca="1">IFERROR(__xludf.DUMMYFUNCTION("""COMPUTED_VALUE"""),0)</f>
        <v>0</v>
      </c>
      <c r="E2893" s="22">
        <f ca="1">IFERROR(__xludf.DUMMYFUNCTION("""COMPUTED_VALUE"""),500000)</f>
        <v>500000</v>
      </c>
      <c r="F2893" s="22">
        <f ca="1">IFERROR(__xludf.DUMMYFUNCTION("""COMPUTED_VALUE"""),500000)</f>
        <v>500000</v>
      </c>
      <c r="G2893" s="22">
        <f ca="1">IFERROR(__xludf.DUMMYFUNCTION("""COMPUTED_VALUE"""),0)</f>
        <v>0</v>
      </c>
      <c r="H2893" s="7">
        <f ca="1">IFERROR(__xludf.DUMMYFUNCTION("""COMPUTED_VALUE"""),500000)</f>
        <v>500000</v>
      </c>
    </row>
    <row r="2894" spans="1:8" ht="13" x14ac:dyDescent="0.15">
      <c r="A2894" s="5" t="str">
        <f ca="1">IFERROR(__xludf.DUMMYFUNCTION("""COMPUTED_VALUE"""),"46600")</f>
        <v>46600</v>
      </c>
      <c r="B2894" s="51">
        <f ca="1">IFERROR(__xludf.DUMMYFUNCTION("""COMPUTED_VALUE"""),44635)</f>
        <v>44635</v>
      </c>
      <c r="C2894" s="22">
        <f ca="1">IFERROR(__xludf.DUMMYFUNCTION("""COMPUTED_VALUE"""),440400)</f>
        <v>440400</v>
      </c>
      <c r="D2894" s="22">
        <f ca="1">IFERROR(__xludf.DUMMYFUNCTION("""COMPUTED_VALUE"""),59600)</f>
        <v>59600</v>
      </c>
      <c r="E2894" s="22">
        <f ca="1">IFERROR(__xludf.DUMMYFUNCTION("""COMPUTED_VALUE"""),500000)</f>
        <v>500000</v>
      </c>
      <c r="F2894" s="22">
        <f ca="1">IFERROR(__xludf.DUMMYFUNCTION("""COMPUTED_VALUE"""),440400)</f>
        <v>440400</v>
      </c>
      <c r="G2894" s="22">
        <f ca="1">IFERROR(__xludf.DUMMYFUNCTION("""COMPUTED_VALUE"""),0)</f>
        <v>0</v>
      </c>
      <c r="H2894" s="7">
        <f ca="1">IFERROR(__xludf.DUMMYFUNCTION("""COMPUTED_VALUE"""),500000)</f>
        <v>500000</v>
      </c>
    </row>
    <row r="2895" spans="1:8" ht="13" x14ac:dyDescent="0.15">
      <c r="A2895" s="5" t="str">
        <f ca="1">IFERROR(__xludf.DUMMYFUNCTION("""COMPUTED_VALUE"""),"46600")</f>
        <v>46600</v>
      </c>
      <c r="B2895" s="51">
        <f ca="1">IFERROR(__xludf.DUMMYFUNCTION("""COMPUTED_VALUE"""),44636)</f>
        <v>44636</v>
      </c>
      <c r="C2895" s="22">
        <f ca="1">IFERROR(__xludf.DUMMYFUNCTION("""COMPUTED_VALUE"""),440400)</f>
        <v>440400</v>
      </c>
      <c r="D2895" s="22">
        <f ca="1">IFERROR(__xludf.DUMMYFUNCTION("""COMPUTED_VALUE"""),59600)</f>
        <v>59600</v>
      </c>
      <c r="E2895" s="22">
        <f ca="1">IFERROR(__xludf.DUMMYFUNCTION("""COMPUTED_VALUE"""),500000)</f>
        <v>500000</v>
      </c>
      <c r="F2895" s="22">
        <f ca="1">IFERROR(__xludf.DUMMYFUNCTION("""COMPUTED_VALUE"""),440400)</f>
        <v>440400</v>
      </c>
      <c r="G2895" s="22">
        <f ca="1">IFERROR(__xludf.DUMMYFUNCTION("""COMPUTED_VALUE"""),0)</f>
        <v>0</v>
      </c>
      <c r="H2895" s="7">
        <f ca="1">IFERROR(__xludf.DUMMYFUNCTION("""COMPUTED_VALUE"""),513800)</f>
        <v>513800</v>
      </c>
    </row>
    <row r="2896" spans="1:8" ht="13" x14ac:dyDescent="0.15">
      <c r="A2896" s="5" t="str">
        <f ca="1">IFERROR(__xludf.DUMMYFUNCTION("""COMPUTED_VALUE"""),"46600")</f>
        <v>46600</v>
      </c>
      <c r="B2896" s="51">
        <f ca="1">IFERROR(__xludf.DUMMYFUNCTION("""COMPUTED_VALUE"""),44637)</f>
        <v>44637</v>
      </c>
      <c r="C2896" s="22">
        <f ca="1">IFERROR(__xludf.DUMMYFUNCTION("""COMPUTED_VALUE"""),440400)</f>
        <v>440400</v>
      </c>
      <c r="D2896" s="22">
        <f ca="1">IFERROR(__xludf.DUMMYFUNCTION("""COMPUTED_VALUE"""),78000)</f>
        <v>78000</v>
      </c>
      <c r="E2896" s="22">
        <f ca="1">IFERROR(__xludf.DUMMYFUNCTION("""COMPUTED_VALUE"""),518400)</f>
        <v>518400</v>
      </c>
      <c r="F2896" s="22">
        <f ca="1">IFERROR(__xludf.DUMMYFUNCTION("""COMPUTED_VALUE"""),440400)</f>
        <v>440400</v>
      </c>
      <c r="G2896" s="22">
        <f ca="1">IFERROR(__xludf.DUMMYFUNCTION("""COMPUTED_VALUE"""),0)</f>
        <v>0</v>
      </c>
      <c r="H2896" s="7">
        <f ca="1">IFERROR(__xludf.DUMMYFUNCTION("""COMPUTED_VALUE"""),518400)</f>
        <v>518400</v>
      </c>
    </row>
    <row r="2897" spans="1:8" ht="13" x14ac:dyDescent="0.15">
      <c r="A2897" s="5" t="str">
        <f ca="1">IFERROR(__xludf.DUMMYFUNCTION("""COMPUTED_VALUE"""),"46600")</f>
        <v>46600</v>
      </c>
      <c r="B2897" s="51">
        <f ca="1">IFERROR(__xludf.DUMMYFUNCTION("""COMPUTED_VALUE"""),44638)</f>
        <v>44638</v>
      </c>
      <c r="C2897" s="22">
        <f ca="1">IFERROR(__xludf.DUMMYFUNCTION("""COMPUTED_VALUE"""),418399.5)</f>
        <v>418399.5</v>
      </c>
      <c r="D2897" s="22">
        <f ca="1">IFERROR(__xludf.DUMMYFUNCTION("""COMPUTED_VALUE"""),98200.5)</f>
        <v>98200.5</v>
      </c>
      <c r="E2897" s="22">
        <f ca="1">IFERROR(__xludf.DUMMYFUNCTION("""COMPUTED_VALUE"""),516600)</f>
        <v>516600</v>
      </c>
      <c r="F2897" s="22">
        <f ca="1">IFERROR(__xludf.DUMMYFUNCTION("""COMPUTED_VALUE"""),418399.5)</f>
        <v>418399.5</v>
      </c>
      <c r="G2897" s="22">
        <f ca="1">IFERROR(__xludf.DUMMYFUNCTION("""COMPUTED_VALUE"""),0)</f>
        <v>0</v>
      </c>
      <c r="H2897" s="7">
        <f ca="1">IFERROR(__xludf.DUMMYFUNCTION("""COMPUTED_VALUE"""),516600)</f>
        <v>516600</v>
      </c>
    </row>
    <row r="2898" spans="1:8" ht="13" x14ac:dyDescent="0.15">
      <c r="A2898" s="5" t="str">
        <f ca="1">IFERROR(__xludf.DUMMYFUNCTION("""COMPUTED_VALUE"""),"46600")</f>
        <v>46600</v>
      </c>
      <c r="B2898" s="51">
        <f ca="1">IFERROR(__xludf.DUMMYFUNCTION("""COMPUTED_VALUE"""),44639)</f>
        <v>44639</v>
      </c>
      <c r="C2898" s="22">
        <f ca="1">IFERROR(__xludf.DUMMYFUNCTION("""COMPUTED_VALUE"""),418399.5)</f>
        <v>418399.5</v>
      </c>
      <c r="D2898" s="22">
        <f ca="1">IFERROR(__xludf.DUMMYFUNCTION("""COMPUTED_VALUE"""),98200.5)</f>
        <v>98200.5</v>
      </c>
      <c r="E2898" s="22">
        <f ca="1">IFERROR(__xludf.DUMMYFUNCTION("""COMPUTED_VALUE"""),516600)</f>
        <v>516600</v>
      </c>
      <c r="F2898" s="22">
        <f ca="1">IFERROR(__xludf.DUMMYFUNCTION("""COMPUTED_VALUE"""),418399.5)</f>
        <v>418399.5</v>
      </c>
      <c r="G2898" s="22">
        <f ca="1">IFERROR(__xludf.DUMMYFUNCTION("""COMPUTED_VALUE"""),0)</f>
        <v>0</v>
      </c>
      <c r="H2898" s="7">
        <f ca="1">IFERROR(__xludf.DUMMYFUNCTION("""COMPUTED_VALUE"""),516600)</f>
        <v>516600</v>
      </c>
    </row>
    <row r="2899" spans="1:8" ht="13" x14ac:dyDescent="0.15">
      <c r="A2899" s="5" t="str">
        <f ca="1">IFERROR(__xludf.DUMMYFUNCTION("""COMPUTED_VALUE"""),"46600")</f>
        <v>46600</v>
      </c>
      <c r="B2899" s="51">
        <f ca="1">IFERROR(__xludf.DUMMYFUNCTION("""COMPUTED_VALUE"""),44640)</f>
        <v>44640</v>
      </c>
      <c r="C2899" s="22">
        <f ca="1">IFERROR(__xludf.DUMMYFUNCTION("""COMPUTED_VALUE"""),418399.5)</f>
        <v>418399.5</v>
      </c>
      <c r="D2899" s="22">
        <f ca="1">IFERROR(__xludf.DUMMYFUNCTION("""COMPUTED_VALUE"""),98200.5)</f>
        <v>98200.5</v>
      </c>
      <c r="E2899" s="22">
        <f ca="1">IFERROR(__xludf.DUMMYFUNCTION("""COMPUTED_VALUE"""),516600)</f>
        <v>516600</v>
      </c>
      <c r="F2899" s="22">
        <f ca="1">IFERROR(__xludf.DUMMYFUNCTION("""COMPUTED_VALUE"""),418399.5)</f>
        <v>418399.5</v>
      </c>
      <c r="G2899" s="22">
        <f ca="1">IFERROR(__xludf.DUMMYFUNCTION("""COMPUTED_VALUE"""),0)</f>
        <v>0</v>
      </c>
      <c r="H2899" s="7">
        <f ca="1">IFERROR(__xludf.DUMMYFUNCTION("""COMPUTED_VALUE"""),516600)</f>
        <v>516600</v>
      </c>
    </row>
    <row r="2900" spans="1:8" ht="13" x14ac:dyDescent="0.15">
      <c r="A2900" s="5" t="str">
        <f ca="1">IFERROR(__xludf.DUMMYFUNCTION("""COMPUTED_VALUE"""),"46600")</f>
        <v>46600</v>
      </c>
      <c r="B2900" s="51">
        <f ca="1">IFERROR(__xludf.DUMMYFUNCTION("""COMPUTED_VALUE"""),44641)</f>
        <v>44641</v>
      </c>
      <c r="C2900" s="22">
        <f ca="1">IFERROR(__xludf.DUMMYFUNCTION("""COMPUTED_VALUE"""),408489.5)</f>
        <v>408489.5</v>
      </c>
      <c r="D2900" s="22">
        <f ca="1">IFERROR(__xludf.DUMMYFUNCTION("""COMPUTED_VALUE"""),105983)</f>
        <v>105983</v>
      </c>
      <c r="E2900" s="22">
        <f ca="1">IFERROR(__xludf.DUMMYFUNCTION("""COMPUTED_VALUE"""),514472.5)</f>
        <v>514472.5</v>
      </c>
      <c r="F2900" s="22">
        <f ca="1">IFERROR(__xludf.DUMMYFUNCTION("""COMPUTED_VALUE"""),408489.5)</f>
        <v>408489.5</v>
      </c>
      <c r="G2900" s="22">
        <f ca="1">IFERROR(__xludf.DUMMYFUNCTION("""COMPUTED_VALUE"""),0)</f>
        <v>0</v>
      </c>
      <c r="H2900" s="7">
        <f ca="1">IFERROR(__xludf.DUMMYFUNCTION("""COMPUTED_VALUE"""),514472.5)</f>
        <v>514472.5</v>
      </c>
    </row>
    <row r="2901" spans="1:8" ht="13" x14ac:dyDescent="0.15">
      <c r="A2901" s="5" t="str">
        <f ca="1">IFERROR(__xludf.DUMMYFUNCTION("""COMPUTED_VALUE"""),"46600")</f>
        <v>46600</v>
      </c>
      <c r="B2901" s="51">
        <f ca="1">IFERROR(__xludf.DUMMYFUNCTION("""COMPUTED_VALUE"""),44642)</f>
        <v>44642</v>
      </c>
      <c r="C2901" s="22">
        <f ca="1">IFERROR(__xludf.DUMMYFUNCTION("""COMPUTED_VALUE"""),408489.5)</f>
        <v>408489.5</v>
      </c>
      <c r="D2901" s="22">
        <f ca="1">IFERROR(__xludf.DUMMYFUNCTION("""COMPUTED_VALUE"""),110216)</f>
        <v>110216</v>
      </c>
      <c r="E2901" s="22">
        <f ca="1">IFERROR(__xludf.DUMMYFUNCTION("""COMPUTED_VALUE"""),518705.5)</f>
        <v>518705.5</v>
      </c>
      <c r="F2901" s="22">
        <f ca="1">IFERROR(__xludf.DUMMYFUNCTION("""COMPUTED_VALUE"""),408489.5)</f>
        <v>408489.5</v>
      </c>
      <c r="G2901" s="22">
        <f ca="1">IFERROR(__xludf.DUMMYFUNCTION("""COMPUTED_VALUE"""),0)</f>
        <v>0</v>
      </c>
      <c r="H2901" s="7">
        <f ca="1">IFERROR(__xludf.DUMMYFUNCTION("""COMPUTED_VALUE"""),519815.5)</f>
        <v>519815.5</v>
      </c>
    </row>
    <row r="2902" spans="1:8" ht="13" x14ac:dyDescent="0.15">
      <c r="A2902" s="5" t="str">
        <f ca="1">IFERROR(__xludf.DUMMYFUNCTION("""COMPUTED_VALUE"""),"46699")</f>
        <v>46699</v>
      </c>
      <c r="B2902" s="51">
        <f ca="1">IFERROR(__xludf.DUMMYFUNCTION("""COMPUTED_VALUE"""),44597)</f>
        <v>44597</v>
      </c>
      <c r="C2902" s="22">
        <f ca="1">IFERROR(__xludf.DUMMYFUNCTION("""COMPUTED_VALUE"""),500000)</f>
        <v>500000</v>
      </c>
      <c r="D2902" s="22">
        <f ca="1">IFERROR(__xludf.DUMMYFUNCTION("""COMPUTED_VALUE"""),0)</f>
        <v>0</v>
      </c>
      <c r="E2902" s="22">
        <f ca="1">IFERROR(__xludf.DUMMYFUNCTION("""COMPUTED_VALUE"""),500000)</f>
        <v>500000</v>
      </c>
      <c r="F2902" s="22">
        <f ca="1">IFERROR(__xludf.DUMMYFUNCTION("""COMPUTED_VALUE"""),500000)</f>
        <v>500000</v>
      </c>
      <c r="G2902" s="22">
        <f ca="1">IFERROR(__xludf.DUMMYFUNCTION("""COMPUTED_VALUE"""),0)</f>
        <v>0</v>
      </c>
      <c r="H2902" s="7">
        <f ca="1">IFERROR(__xludf.DUMMYFUNCTION("""COMPUTED_VALUE"""),500000)</f>
        <v>500000</v>
      </c>
    </row>
    <row r="2903" spans="1:8" ht="13" x14ac:dyDescent="0.15">
      <c r="A2903" s="5" t="str">
        <f ca="1">IFERROR(__xludf.DUMMYFUNCTION("""COMPUTED_VALUE"""),"46699")</f>
        <v>46699</v>
      </c>
      <c r="B2903" s="51">
        <f ca="1">IFERROR(__xludf.DUMMYFUNCTION("""COMPUTED_VALUE"""),44598)</f>
        <v>44598</v>
      </c>
      <c r="C2903" s="22">
        <f ca="1">IFERROR(__xludf.DUMMYFUNCTION("""COMPUTED_VALUE"""),500000)</f>
        <v>500000</v>
      </c>
      <c r="D2903" s="22">
        <f ca="1">IFERROR(__xludf.DUMMYFUNCTION("""COMPUTED_VALUE"""),0)</f>
        <v>0</v>
      </c>
      <c r="E2903" s="22">
        <f ca="1">IFERROR(__xludf.DUMMYFUNCTION("""COMPUTED_VALUE"""),500000)</f>
        <v>500000</v>
      </c>
      <c r="F2903" s="22">
        <f ca="1">IFERROR(__xludf.DUMMYFUNCTION("""COMPUTED_VALUE"""),500000)</f>
        <v>500000</v>
      </c>
      <c r="G2903" s="22">
        <f ca="1">IFERROR(__xludf.DUMMYFUNCTION("""COMPUTED_VALUE"""),0)</f>
        <v>0</v>
      </c>
      <c r="H2903" s="7">
        <f ca="1">IFERROR(__xludf.DUMMYFUNCTION("""COMPUTED_VALUE"""),500000)</f>
        <v>500000</v>
      </c>
    </row>
    <row r="2904" spans="1:8" ht="13" x14ac:dyDescent="0.15">
      <c r="A2904" s="5" t="str">
        <f ca="1">IFERROR(__xludf.DUMMYFUNCTION("""COMPUTED_VALUE"""),"46699")</f>
        <v>46699</v>
      </c>
      <c r="B2904" s="51">
        <f ca="1">IFERROR(__xludf.DUMMYFUNCTION("""COMPUTED_VALUE"""),44599)</f>
        <v>44599</v>
      </c>
      <c r="C2904" s="22">
        <f ca="1">IFERROR(__xludf.DUMMYFUNCTION("""COMPUTED_VALUE"""),500000)</f>
        <v>500000</v>
      </c>
      <c r="D2904" s="22">
        <f ca="1">IFERROR(__xludf.DUMMYFUNCTION("""COMPUTED_VALUE"""),0)</f>
        <v>0</v>
      </c>
      <c r="E2904" s="22">
        <f ca="1">IFERROR(__xludf.DUMMYFUNCTION("""COMPUTED_VALUE"""),500000)</f>
        <v>500000</v>
      </c>
      <c r="F2904" s="22">
        <f ca="1">IFERROR(__xludf.DUMMYFUNCTION("""COMPUTED_VALUE"""),500000)</f>
        <v>500000</v>
      </c>
      <c r="G2904" s="22">
        <f ca="1">IFERROR(__xludf.DUMMYFUNCTION("""COMPUTED_VALUE"""),0)</f>
        <v>0</v>
      </c>
      <c r="H2904" s="7">
        <f ca="1">IFERROR(__xludf.DUMMYFUNCTION("""COMPUTED_VALUE"""),500000)</f>
        <v>500000</v>
      </c>
    </row>
    <row r="2905" spans="1:8" ht="13" x14ac:dyDescent="0.15">
      <c r="A2905" s="5" t="str">
        <f ca="1">IFERROR(__xludf.DUMMYFUNCTION("""COMPUTED_VALUE"""),"46699")</f>
        <v>46699</v>
      </c>
      <c r="B2905" s="51">
        <f ca="1">IFERROR(__xludf.DUMMYFUNCTION("""COMPUTED_VALUE"""),44600)</f>
        <v>44600</v>
      </c>
      <c r="C2905" s="22">
        <f ca="1">IFERROR(__xludf.DUMMYFUNCTION("""COMPUTED_VALUE"""),472749.090553)</f>
        <v>472749.09055299999</v>
      </c>
      <c r="D2905" s="22">
        <f ca="1">IFERROR(__xludf.DUMMYFUNCTION("""COMPUTED_VALUE"""),27250.909447)</f>
        <v>27250.909446999998</v>
      </c>
      <c r="E2905" s="22">
        <f ca="1">IFERROR(__xludf.DUMMYFUNCTION("""COMPUTED_VALUE"""),500000)</f>
        <v>500000</v>
      </c>
      <c r="F2905" s="22">
        <f ca="1">IFERROR(__xludf.DUMMYFUNCTION("""COMPUTED_VALUE"""),472749.090553)</f>
        <v>472749.09055299999</v>
      </c>
      <c r="G2905" s="22">
        <f ca="1">IFERROR(__xludf.DUMMYFUNCTION("""COMPUTED_VALUE"""),0)</f>
        <v>0</v>
      </c>
      <c r="H2905" s="7">
        <f ca="1">IFERROR(__xludf.DUMMYFUNCTION("""COMPUTED_VALUE"""),500000)</f>
        <v>500000</v>
      </c>
    </row>
    <row r="2906" spans="1:8" ht="13" x14ac:dyDescent="0.15">
      <c r="A2906" s="5" t="str">
        <f ca="1">IFERROR(__xludf.DUMMYFUNCTION("""COMPUTED_VALUE"""),"46699")</f>
        <v>46699</v>
      </c>
      <c r="B2906" s="51">
        <f ca="1">IFERROR(__xludf.DUMMYFUNCTION("""COMPUTED_VALUE"""),44601)</f>
        <v>44601</v>
      </c>
      <c r="C2906" s="22">
        <f ca="1">IFERROR(__xludf.DUMMYFUNCTION("""COMPUTED_VALUE"""),472749.090553)</f>
        <v>472749.09055299999</v>
      </c>
      <c r="D2906" s="22">
        <f ca="1">IFERROR(__xludf.DUMMYFUNCTION("""COMPUTED_VALUE"""),27250.909447)</f>
        <v>27250.909446999998</v>
      </c>
      <c r="E2906" s="22">
        <f ca="1">IFERROR(__xludf.DUMMYFUNCTION("""COMPUTED_VALUE"""),500000)</f>
        <v>500000</v>
      </c>
      <c r="F2906" s="22">
        <f ca="1">IFERROR(__xludf.DUMMYFUNCTION("""COMPUTED_VALUE"""),472749.090553)</f>
        <v>472749.09055299999</v>
      </c>
      <c r="G2906" s="22">
        <f ca="1">IFERROR(__xludf.DUMMYFUNCTION("""COMPUTED_VALUE"""),0)</f>
        <v>0</v>
      </c>
      <c r="H2906" s="7">
        <f ca="1">IFERROR(__xludf.DUMMYFUNCTION("""COMPUTED_VALUE"""),500218.274112999)</f>
        <v>500218.27411299897</v>
      </c>
    </row>
    <row r="2907" spans="1:8" ht="13" x14ac:dyDescent="0.15">
      <c r="A2907" s="5" t="str">
        <f ca="1">IFERROR(__xludf.DUMMYFUNCTION("""COMPUTED_VALUE"""),"46699")</f>
        <v>46699</v>
      </c>
      <c r="B2907" s="51">
        <f ca="1">IFERROR(__xludf.DUMMYFUNCTION("""COMPUTED_VALUE"""),44602)</f>
        <v>44602</v>
      </c>
      <c r="C2907" s="22">
        <f ca="1">IFERROR(__xludf.DUMMYFUNCTION("""COMPUTED_VALUE"""),472749.090553)</f>
        <v>472749.09055299999</v>
      </c>
      <c r="D2907" s="22">
        <f ca="1">IFERROR(__xludf.DUMMYFUNCTION("""COMPUTED_VALUE"""),27250.909447)</f>
        <v>27250.909446999998</v>
      </c>
      <c r="E2907" s="22">
        <f ca="1">IFERROR(__xludf.DUMMYFUNCTION("""COMPUTED_VALUE"""),500000)</f>
        <v>500000</v>
      </c>
      <c r="F2907" s="22">
        <f ca="1">IFERROR(__xludf.DUMMYFUNCTION("""COMPUTED_VALUE"""),472749.090553)</f>
        <v>472749.09055299999</v>
      </c>
      <c r="G2907" s="22">
        <f ca="1">IFERROR(__xludf.DUMMYFUNCTION("""COMPUTED_VALUE"""),0)</f>
        <v>0</v>
      </c>
      <c r="H2907" s="7">
        <f ca="1">IFERROR(__xludf.DUMMYFUNCTION("""COMPUTED_VALUE"""),499588.708813)</f>
        <v>499588.708813</v>
      </c>
    </row>
    <row r="2908" spans="1:8" ht="13" x14ac:dyDescent="0.15">
      <c r="A2908" s="5" t="str">
        <f ca="1">IFERROR(__xludf.DUMMYFUNCTION("""COMPUTED_VALUE"""),"46699")</f>
        <v>46699</v>
      </c>
      <c r="B2908" s="51">
        <f ca="1">IFERROR(__xludf.DUMMYFUNCTION("""COMPUTED_VALUE"""),44603)</f>
        <v>44603</v>
      </c>
      <c r="C2908" s="22">
        <f ca="1">IFERROR(__xludf.DUMMYFUNCTION("""COMPUTED_VALUE"""),411700.934846)</f>
        <v>411700.93484599999</v>
      </c>
      <c r="D2908" s="22">
        <f ca="1">IFERROR(__xludf.DUMMYFUNCTION("""COMPUTED_VALUE"""),87357.631515)</f>
        <v>87357.631515000001</v>
      </c>
      <c r="E2908" s="22">
        <f ca="1">IFERROR(__xludf.DUMMYFUNCTION("""COMPUTED_VALUE"""),499058.566361)</f>
        <v>499058.566361</v>
      </c>
      <c r="F2908" s="22">
        <f ca="1">IFERROR(__xludf.DUMMYFUNCTION("""COMPUTED_VALUE"""),411700.934846)</f>
        <v>411700.93484599999</v>
      </c>
      <c r="G2908" s="22">
        <f ca="1">IFERROR(__xludf.DUMMYFUNCTION("""COMPUTED_VALUE"""),0)</f>
        <v>0</v>
      </c>
      <c r="H2908" s="7">
        <f ca="1">IFERROR(__xludf.DUMMYFUNCTION("""COMPUTED_VALUE"""),499058.566361)</f>
        <v>499058.566361</v>
      </c>
    </row>
    <row r="2909" spans="1:8" ht="13" x14ac:dyDescent="0.15">
      <c r="A2909" s="5" t="str">
        <f ca="1">IFERROR(__xludf.DUMMYFUNCTION("""COMPUTED_VALUE"""),"46699")</f>
        <v>46699</v>
      </c>
      <c r="B2909" s="51">
        <f ca="1">IFERROR(__xludf.DUMMYFUNCTION("""COMPUTED_VALUE"""),44604)</f>
        <v>44604</v>
      </c>
      <c r="C2909" s="22">
        <f ca="1">IFERROR(__xludf.DUMMYFUNCTION("""COMPUTED_VALUE"""),411700.934846)</f>
        <v>411700.93484599999</v>
      </c>
      <c r="D2909" s="22">
        <f ca="1">IFERROR(__xludf.DUMMYFUNCTION("""COMPUTED_VALUE"""),87357.631515)</f>
        <v>87357.631515000001</v>
      </c>
      <c r="E2909" s="22">
        <f ca="1">IFERROR(__xludf.DUMMYFUNCTION("""COMPUTED_VALUE"""),499058.566361)</f>
        <v>499058.566361</v>
      </c>
      <c r="F2909" s="22">
        <f ca="1">IFERROR(__xludf.DUMMYFUNCTION("""COMPUTED_VALUE"""),411700.934846)</f>
        <v>411700.93484599999</v>
      </c>
      <c r="G2909" s="22">
        <f ca="1">IFERROR(__xludf.DUMMYFUNCTION("""COMPUTED_VALUE"""),0)</f>
        <v>0</v>
      </c>
      <c r="H2909" s="7">
        <f ca="1">IFERROR(__xludf.DUMMYFUNCTION("""COMPUTED_VALUE"""),499058.566361)</f>
        <v>499058.566361</v>
      </c>
    </row>
    <row r="2910" spans="1:8" ht="13" x14ac:dyDescent="0.15">
      <c r="A2910" s="5" t="str">
        <f ca="1">IFERROR(__xludf.DUMMYFUNCTION("""COMPUTED_VALUE"""),"46699")</f>
        <v>46699</v>
      </c>
      <c r="B2910" s="51">
        <f ca="1">IFERROR(__xludf.DUMMYFUNCTION("""COMPUTED_VALUE"""),44605)</f>
        <v>44605</v>
      </c>
      <c r="C2910" s="22">
        <f ca="1">IFERROR(__xludf.DUMMYFUNCTION("""COMPUTED_VALUE"""),411700.934846)</f>
        <v>411700.93484599999</v>
      </c>
      <c r="D2910" s="22">
        <f ca="1">IFERROR(__xludf.DUMMYFUNCTION("""COMPUTED_VALUE"""),87359.081819)</f>
        <v>87359.081818999999</v>
      </c>
      <c r="E2910" s="22">
        <f ca="1">IFERROR(__xludf.DUMMYFUNCTION("""COMPUTED_VALUE"""),499060.016665)</f>
        <v>499060.016665</v>
      </c>
      <c r="F2910" s="22">
        <f ca="1">IFERROR(__xludf.DUMMYFUNCTION("""COMPUTED_VALUE"""),411700.934846)</f>
        <v>411700.93484599999</v>
      </c>
      <c r="G2910" s="22">
        <f ca="1">IFERROR(__xludf.DUMMYFUNCTION("""COMPUTED_VALUE"""),0)</f>
        <v>0</v>
      </c>
      <c r="H2910" s="7">
        <f ca="1">IFERROR(__xludf.DUMMYFUNCTION("""COMPUTED_VALUE"""),499063.381931)</f>
        <v>499063.38193099998</v>
      </c>
    </row>
    <row r="2911" spans="1:8" ht="13" x14ac:dyDescent="0.15">
      <c r="A2911" s="5" t="str">
        <f ca="1">IFERROR(__xludf.DUMMYFUNCTION("""COMPUTED_VALUE"""),"46699")</f>
        <v>46699</v>
      </c>
      <c r="B2911" s="51">
        <f ca="1">IFERROR(__xludf.DUMMYFUNCTION("""COMPUTED_VALUE"""),44606)</f>
        <v>44606</v>
      </c>
      <c r="C2911" s="22">
        <f ca="1">IFERROR(__xludf.DUMMYFUNCTION("""COMPUTED_VALUE"""),411700.934846)</f>
        <v>411700.93484599999</v>
      </c>
      <c r="D2911" s="22">
        <f ca="1">IFERROR(__xludf.DUMMYFUNCTION("""COMPUTED_VALUE"""),87403.382739)</f>
        <v>87403.382738999993</v>
      </c>
      <c r="E2911" s="22">
        <f ca="1">IFERROR(__xludf.DUMMYFUNCTION("""COMPUTED_VALUE"""),499104.317585)</f>
        <v>499104.31758500001</v>
      </c>
      <c r="F2911" s="22">
        <f ca="1">IFERROR(__xludf.DUMMYFUNCTION("""COMPUTED_VALUE"""),411700.934846)</f>
        <v>411700.93484599999</v>
      </c>
      <c r="G2911" s="22">
        <f ca="1">IFERROR(__xludf.DUMMYFUNCTION("""COMPUTED_VALUE"""),0)</f>
        <v>0</v>
      </c>
      <c r="H2911" s="7">
        <f ca="1">IFERROR(__xludf.DUMMYFUNCTION("""COMPUTED_VALUE"""),499944.439851)</f>
        <v>499944.43985099997</v>
      </c>
    </row>
    <row r="2912" spans="1:8" ht="13" x14ac:dyDescent="0.15">
      <c r="A2912" s="5" t="str">
        <f ca="1">IFERROR(__xludf.DUMMYFUNCTION("""COMPUTED_VALUE"""),"46699")</f>
        <v>46699</v>
      </c>
      <c r="B2912" s="51">
        <f ca="1">IFERROR(__xludf.DUMMYFUNCTION("""COMPUTED_VALUE"""),44607)</f>
        <v>44607</v>
      </c>
      <c r="C2912" s="22">
        <f ca="1">IFERROR(__xludf.DUMMYFUNCTION("""COMPUTED_VALUE"""),411700.934846)</f>
        <v>411700.93484599999</v>
      </c>
      <c r="D2912" s="22">
        <f ca="1">IFERROR(__xludf.DUMMYFUNCTION("""COMPUTED_VALUE"""),88008.078316)</f>
        <v>88008.078315999999</v>
      </c>
      <c r="E2912" s="22">
        <f ca="1">IFERROR(__xludf.DUMMYFUNCTION("""COMPUTED_VALUE"""),499709.013162)</f>
        <v>499709.01316199999</v>
      </c>
      <c r="F2912" s="22">
        <f ca="1">IFERROR(__xludf.DUMMYFUNCTION("""COMPUTED_VALUE"""),411700.934846)</f>
        <v>411700.93484599999</v>
      </c>
      <c r="G2912" s="22">
        <f ca="1">IFERROR(__xludf.DUMMYFUNCTION("""COMPUTED_VALUE"""),0)</f>
        <v>0</v>
      </c>
      <c r="H2912" s="7">
        <f ca="1">IFERROR(__xludf.DUMMYFUNCTION("""COMPUTED_VALUE"""),502235.659621)</f>
        <v>502235.659621</v>
      </c>
    </row>
    <row r="2913" spans="1:8" ht="13" x14ac:dyDescent="0.15">
      <c r="A2913" s="5" t="str">
        <f ca="1">IFERROR(__xludf.DUMMYFUNCTION("""COMPUTED_VALUE"""),"46699")</f>
        <v>46699</v>
      </c>
      <c r="B2913" s="51">
        <f ca="1">IFERROR(__xludf.DUMMYFUNCTION("""COMPUTED_VALUE"""),44608)</f>
        <v>44608</v>
      </c>
      <c r="C2913" s="22">
        <f ca="1">IFERROR(__xludf.DUMMYFUNCTION("""COMPUTED_VALUE"""),411700.934846)</f>
        <v>411700.93484599999</v>
      </c>
      <c r="D2913" s="22">
        <f ca="1">IFERROR(__xludf.DUMMYFUNCTION("""COMPUTED_VALUE"""),87967.681207)</f>
        <v>87967.681207000001</v>
      </c>
      <c r="E2913" s="22">
        <f ca="1">IFERROR(__xludf.DUMMYFUNCTION("""COMPUTED_VALUE"""),499668.616053)</f>
        <v>499668.61605299998</v>
      </c>
      <c r="F2913" s="22">
        <f ca="1">IFERROR(__xludf.DUMMYFUNCTION("""COMPUTED_VALUE"""),411700.934846)</f>
        <v>411700.93484599999</v>
      </c>
      <c r="G2913" s="22">
        <f ca="1">IFERROR(__xludf.DUMMYFUNCTION("""COMPUTED_VALUE"""),0)</f>
        <v>0</v>
      </c>
      <c r="H2913" s="7">
        <f ca="1">IFERROR(__xludf.DUMMYFUNCTION("""COMPUTED_VALUE"""),500724.921146)</f>
        <v>500724.92114599998</v>
      </c>
    </row>
    <row r="2914" spans="1:8" ht="13" x14ac:dyDescent="0.15">
      <c r="A2914" s="5" t="str">
        <f ca="1">IFERROR(__xludf.DUMMYFUNCTION("""COMPUTED_VALUE"""),"46699")</f>
        <v>46699</v>
      </c>
      <c r="B2914" s="51">
        <f ca="1">IFERROR(__xludf.DUMMYFUNCTION("""COMPUTED_VALUE"""),44609)</f>
        <v>44609</v>
      </c>
      <c r="C2914" s="22">
        <f ca="1">IFERROR(__xludf.DUMMYFUNCTION("""COMPUTED_VALUE"""),411700.934846)</f>
        <v>411700.93484599999</v>
      </c>
      <c r="D2914" s="22">
        <f ca="1">IFERROR(__xludf.DUMMYFUNCTION("""COMPUTED_VALUE"""),87390.446531)</f>
        <v>87390.446530999994</v>
      </c>
      <c r="E2914" s="22">
        <f ca="1">IFERROR(__xludf.DUMMYFUNCTION("""COMPUTED_VALUE"""),499091.381377)</f>
        <v>499091.38137700001</v>
      </c>
      <c r="F2914" s="22">
        <f ca="1">IFERROR(__xludf.DUMMYFUNCTION("""COMPUTED_VALUE"""),411700.934846)</f>
        <v>411700.93484599999</v>
      </c>
      <c r="G2914" s="22">
        <f ca="1">IFERROR(__xludf.DUMMYFUNCTION("""COMPUTED_VALUE"""),0)</f>
        <v>0</v>
      </c>
      <c r="H2914" s="7">
        <f ca="1">IFERROR(__xludf.DUMMYFUNCTION("""COMPUTED_VALUE"""),498356.901610999)</f>
        <v>498356.90161099902</v>
      </c>
    </row>
    <row r="2915" spans="1:8" ht="13" x14ac:dyDescent="0.15">
      <c r="A2915" s="5" t="str">
        <f ca="1">IFERROR(__xludf.DUMMYFUNCTION("""COMPUTED_VALUE"""),"46699")</f>
        <v>46699</v>
      </c>
      <c r="B2915" s="51">
        <f ca="1">IFERROR(__xludf.DUMMYFUNCTION("""COMPUTED_VALUE"""),44610)</f>
        <v>44610</v>
      </c>
      <c r="C2915" s="22">
        <f ca="1">IFERROR(__xludf.DUMMYFUNCTION("""COMPUTED_VALUE"""),411700.934846)</f>
        <v>411700.93484599999</v>
      </c>
      <c r="D2915" s="22">
        <f ca="1">IFERROR(__xludf.DUMMYFUNCTION("""COMPUTED_VALUE"""),87148.662167)</f>
        <v>87148.662167000002</v>
      </c>
      <c r="E2915" s="22">
        <f ca="1">IFERROR(__xludf.DUMMYFUNCTION("""COMPUTED_VALUE"""),498849.597013)</f>
        <v>498849.59701299999</v>
      </c>
      <c r="F2915" s="22">
        <f ca="1">IFERROR(__xludf.DUMMYFUNCTION("""COMPUTED_VALUE"""),411700.934846)</f>
        <v>411700.93484599999</v>
      </c>
      <c r="G2915" s="22">
        <f ca="1">IFERROR(__xludf.DUMMYFUNCTION("""COMPUTED_VALUE"""),0)</f>
        <v>0</v>
      </c>
      <c r="H2915" s="7">
        <f ca="1">IFERROR(__xludf.DUMMYFUNCTION("""COMPUTED_VALUE"""),498846.672464)</f>
        <v>498846.672464</v>
      </c>
    </row>
    <row r="2916" spans="1:8" ht="13" x14ac:dyDescent="0.15">
      <c r="A2916" s="5" t="str">
        <f ca="1">IFERROR(__xludf.DUMMYFUNCTION("""COMPUTED_VALUE"""),"46699")</f>
        <v>46699</v>
      </c>
      <c r="B2916" s="51">
        <f ca="1">IFERROR(__xludf.DUMMYFUNCTION("""COMPUTED_VALUE"""),44611)</f>
        <v>44611</v>
      </c>
      <c r="C2916" s="22">
        <f ca="1">IFERROR(__xludf.DUMMYFUNCTION("""COMPUTED_VALUE"""),411700.934846)</f>
        <v>411700.93484599999</v>
      </c>
      <c r="D2916" s="22">
        <f ca="1">IFERROR(__xludf.DUMMYFUNCTION("""COMPUTED_VALUE"""),87148.662167)</f>
        <v>87148.662167000002</v>
      </c>
      <c r="E2916" s="22">
        <f ca="1">IFERROR(__xludf.DUMMYFUNCTION("""COMPUTED_VALUE"""),498849.597013)</f>
        <v>498849.59701299999</v>
      </c>
      <c r="F2916" s="22">
        <f ca="1">IFERROR(__xludf.DUMMYFUNCTION("""COMPUTED_VALUE"""),411700.934846)</f>
        <v>411700.93484599999</v>
      </c>
      <c r="G2916" s="22">
        <f ca="1">IFERROR(__xludf.DUMMYFUNCTION("""COMPUTED_VALUE"""),0)</f>
        <v>0</v>
      </c>
      <c r="H2916" s="7">
        <f ca="1">IFERROR(__xludf.DUMMYFUNCTION("""COMPUTED_VALUE"""),498846.672464)</f>
        <v>498846.672464</v>
      </c>
    </row>
    <row r="2917" spans="1:8" ht="13" x14ac:dyDescent="0.15">
      <c r="A2917" s="5" t="str">
        <f ca="1">IFERROR(__xludf.DUMMYFUNCTION("""COMPUTED_VALUE"""),"46699")</f>
        <v>46699</v>
      </c>
      <c r="B2917" s="51">
        <f ca="1">IFERROR(__xludf.DUMMYFUNCTION("""COMPUTED_VALUE"""),44612)</f>
        <v>44612</v>
      </c>
      <c r="C2917" s="22">
        <f ca="1">IFERROR(__xludf.DUMMYFUNCTION("""COMPUTED_VALUE"""),411700.934846)</f>
        <v>411700.93484599999</v>
      </c>
      <c r="D2917" s="22">
        <f ca="1">IFERROR(__xludf.DUMMYFUNCTION("""COMPUTED_VALUE"""),87147.775477)</f>
        <v>87147.775477000003</v>
      </c>
      <c r="E2917" s="22">
        <f ca="1">IFERROR(__xludf.DUMMYFUNCTION("""COMPUTED_VALUE"""),498848.710323)</f>
        <v>498848.71032299998</v>
      </c>
      <c r="F2917" s="22">
        <f ca="1">IFERROR(__xludf.DUMMYFUNCTION("""COMPUTED_VALUE"""),411700.934846)</f>
        <v>411700.93484599999</v>
      </c>
      <c r="G2917" s="22">
        <f ca="1">IFERROR(__xludf.DUMMYFUNCTION("""COMPUTED_VALUE"""),0)</f>
        <v>0</v>
      </c>
      <c r="H2917" s="7">
        <f ca="1">IFERROR(__xludf.DUMMYFUNCTION("""COMPUTED_VALUE"""),498843.711937)</f>
        <v>498843.71193699999</v>
      </c>
    </row>
    <row r="2918" spans="1:8" ht="13" x14ac:dyDescent="0.15">
      <c r="A2918" s="5" t="str">
        <f ca="1">IFERROR(__xludf.DUMMYFUNCTION("""COMPUTED_VALUE"""),"46699")</f>
        <v>46699</v>
      </c>
      <c r="B2918" s="51">
        <f ca="1">IFERROR(__xludf.DUMMYFUNCTION("""COMPUTED_VALUE"""),44613)</f>
        <v>44613</v>
      </c>
      <c r="C2918" s="22">
        <f ca="1">IFERROR(__xludf.DUMMYFUNCTION("""COMPUTED_VALUE"""),411700.934846)</f>
        <v>411700.93484599999</v>
      </c>
      <c r="D2918" s="22">
        <f ca="1">IFERROR(__xludf.DUMMYFUNCTION("""COMPUTED_VALUE"""),87150.318437)</f>
        <v>87150.318436999994</v>
      </c>
      <c r="E2918" s="22">
        <f ca="1">IFERROR(__xludf.DUMMYFUNCTION("""COMPUTED_VALUE"""),498851.253282999)</f>
        <v>498851.25328299898</v>
      </c>
      <c r="F2918" s="22">
        <f ca="1">IFERROR(__xludf.DUMMYFUNCTION("""COMPUTED_VALUE"""),411700.934846)</f>
        <v>411700.93484599999</v>
      </c>
      <c r="G2918" s="22">
        <f ca="1">IFERROR(__xludf.DUMMYFUNCTION("""COMPUTED_VALUE"""),0)</f>
        <v>0</v>
      </c>
      <c r="H2918" s="7">
        <f ca="1">IFERROR(__xludf.DUMMYFUNCTION("""COMPUTED_VALUE"""),498852.202505)</f>
        <v>498852.20250499999</v>
      </c>
    </row>
    <row r="2919" spans="1:8" ht="13" x14ac:dyDescent="0.15">
      <c r="A2919" s="5" t="str">
        <f ca="1">IFERROR(__xludf.DUMMYFUNCTION("""COMPUTED_VALUE"""),"46699")</f>
        <v>46699</v>
      </c>
      <c r="B2919" s="51">
        <f ca="1">IFERROR(__xludf.DUMMYFUNCTION("""COMPUTED_VALUE"""),44614)</f>
        <v>44614</v>
      </c>
      <c r="C2919" s="22">
        <f ca="1">IFERROR(__xludf.DUMMYFUNCTION("""COMPUTED_VALUE"""),411700.934846)</f>
        <v>411700.93484599999</v>
      </c>
      <c r="D2919" s="22">
        <f ca="1">IFERROR(__xludf.DUMMYFUNCTION("""COMPUTED_VALUE"""),86687.826907)</f>
        <v>86687.826906999995</v>
      </c>
      <c r="E2919" s="22">
        <f ca="1">IFERROR(__xludf.DUMMYFUNCTION("""COMPUTED_VALUE"""),498388.761752999)</f>
        <v>498388.76175299898</v>
      </c>
      <c r="F2919" s="22">
        <f ca="1">IFERROR(__xludf.DUMMYFUNCTION("""COMPUTED_VALUE"""),411700.934846)</f>
        <v>411700.93484599999</v>
      </c>
      <c r="G2919" s="22">
        <f ca="1">IFERROR(__xludf.DUMMYFUNCTION("""COMPUTED_VALUE"""),0)</f>
        <v>0</v>
      </c>
      <c r="H2919" s="7">
        <f ca="1">IFERROR(__xludf.DUMMYFUNCTION("""COMPUTED_VALUE"""),496225.094346)</f>
        <v>496225.094346</v>
      </c>
    </row>
    <row r="2920" spans="1:8" ht="13" x14ac:dyDescent="0.15">
      <c r="A2920" s="5" t="str">
        <f ca="1">IFERROR(__xludf.DUMMYFUNCTION("""COMPUTED_VALUE"""),"46699")</f>
        <v>46699</v>
      </c>
      <c r="B2920" s="51">
        <f ca="1">IFERROR(__xludf.DUMMYFUNCTION("""COMPUTED_VALUE"""),44615)</f>
        <v>44615</v>
      </c>
      <c r="C2920" s="22">
        <f ca="1">IFERROR(__xludf.DUMMYFUNCTION("""COMPUTED_VALUE"""),411700.934846)</f>
        <v>411700.93484599999</v>
      </c>
      <c r="D2920" s="22">
        <f ca="1">IFERROR(__xludf.DUMMYFUNCTION("""COMPUTED_VALUE"""),86036.523337)</f>
        <v>86036.523337000006</v>
      </c>
      <c r="E2920" s="22">
        <f ca="1">IFERROR(__xludf.DUMMYFUNCTION("""COMPUTED_VALUE"""),497737.458183)</f>
        <v>497737.45818299998</v>
      </c>
      <c r="F2920" s="22">
        <f ca="1">IFERROR(__xludf.DUMMYFUNCTION("""COMPUTED_VALUE"""),411700.934846)</f>
        <v>411700.93484599999</v>
      </c>
      <c r="G2920" s="22">
        <f ca="1">IFERROR(__xludf.DUMMYFUNCTION("""COMPUTED_VALUE"""),0)</f>
        <v>0</v>
      </c>
      <c r="H2920" s="7">
        <f ca="1">IFERROR(__xludf.DUMMYFUNCTION("""COMPUTED_VALUE"""),494053.115616)</f>
        <v>494053.11561600002</v>
      </c>
    </row>
    <row r="2921" spans="1:8" ht="13" x14ac:dyDescent="0.15">
      <c r="A2921" s="5" t="str">
        <f ca="1">IFERROR(__xludf.DUMMYFUNCTION("""COMPUTED_VALUE"""),"46699")</f>
        <v>46699</v>
      </c>
      <c r="B2921" s="51">
        <f ca="1">IFERROR(__xludf.DUMMYFUNCTION("""COMPUTED_VALUE"""),44616)</f>
        <v>44616</v>
      </c>
      <c r="C2921" s="22">
        <f ca="1">IFERROR(__xludf.DUMMYFUNCTION("""COMPUTED_VALUE"""),411700.934846)</f>
        <v>411700.93484599999</v>
      </c>
      <c r="D2921" s="22">
        <f ca="1">IFERROR(__xludf.DUMMYFUNCTION("""COMPUTED_VALUE"""),86460.820407)</f>
        <v>86460.820407000007</v>
      </c>
      <c r="E2921" s="22">
        <f ca="1">IFERROR(__xludf.DUMMYFUNCTION("""COMPUTED_VALUE"""),498161.755253)</f>
        <v>498161.75525300001</v>
      </c>
      <c r="F2921" s="22">
        <f ca="1">IFERROR(__xludf.DUMMYFUNCTION("""COMPUTED_VALUE"""),411700.934846)</f>
        <v>411700.93484599999</v>
      </c>
      <c r="G2921" s="22">
        <f ca="1">IFERROR(__xludf.DUMMYFUNCTION("""COMPUTED_VALUE"""),0)</f>
        <v>0</v>
      </c>
      <c r="H2921" s="7">
        <f ca="1">IFERROR(__xludf.DUMMYFUNCTION("""COMPUTED_VALUE"""),498018.734196)</f>
        <v>498018.73419599998</v>
      </c>
    </row>
    <row r="2922" spans="1:8" ht="13" x14ac:dyDescent="0.15">
      <c r="A2922" s="5" t="str">
        <f ca="1">IFERROR(__xludf.DUMMYFUNCTION("""COMPUTED_VALUE"""),"46699")</f>
        <v>46699</v>
      </c>
      <c r="B2922" s="51">
        <f ca="1">IFERROR(__xludf.DUMMYFUNCTION("""COMPUTED_VALUE"""),44617)</f>
        <v>44617</v>
      </c>
      <c r="C2922" s="22">
        <f ca="1">IFERROR(__xludf.DUMMYFUNCTION("""COMPUTED_VALUE"""),411700.934846)</f>
        <v>411700.93484599999</v>
      </c>
      <c r="D2922" s="22">
        <f ca="1">IFERROR(__xludf.DUMMYFUNCTION("""COMPUTED_VALUE"""),86792.434022)</f>
        <v>86792.434022000001</v>
      </c>
      <c r="E2922" s="22">
        <f ca="1">IFERROR(__xludf.DUMMYFUNCTION("""COMPUTED_VALUE"""),498493.368868)</f>
        <v>498493.36886799999</v>
      </c>
      <c r="F2922" s="22">
        <f ca="1">IFERROR(__xludf.DUMMYFUNCTION("""COMPUTED_VALUE"""),411700.934846)</f>
        <v>411700.93484599999</v>
      </c>
      <c r="G2922" s="22">
        <f ca="1">IFERROR(__xludf.DUMMYFUNCTION("""COMPUTED_VALUE"""),0)</f>
        <v>0</v>
      </c>
      <c r="H2922" s="7">
        <f ca="1">IFERROR(__xludf.DUMMYFUNCTION("""COMPUTED_VALUE"""),498475.628480999)</f>
        <v>498475.62848099897</v>
      </c>
    </row>
    <row r="2923" spans="1:8" ht="13" x14ac:dyDescent="0.15">
      <c r="A2923" s="5" t="str">
        <f ca="1">IFERROR(__xludf.DUMMYFUNCTION("""COMPUTED_VALUE"""),"46699")</f>
        <v>46699</v>
      </c>
      <c r="B2923" s="51">
        <f ca="1">IFERROR(__xludf.DUMMYFUNCTION("""COMPUTED_VALUE"""),44618)</f>
        <v>44618</v>
      </c>
      <c r="C2923" s="22">
        <f ca="1">IFERROR(__xludf.DUMMYFUNCTION("""COMPUTED_VALUE"""),411700.934846)</f>
        <v>411700.93484599999</v>
      </c>
      <c r="D2923" s="22">
        <f ca="1">IFERROR(__xludf.DUMMYFUNCTION("""COMPUTED_VALUE"""),86792.928572)</f>
        <v>86792.928572000004</v>
      </c>
      <c r="E2923" s="22">
        <f ca="1">IFERROR(__xludf.DUMMYFUNCTION("""COMPUTED_VALUE"""),498493.863418)</f>
        <v>498493.86341799999</v>
      </c>
      <c r="F2923" s="22">
        <f ca="1">IFERROR(__xludf.DUMMYFUNCTION("""COMPUTED_VALUE"""),411700.934846)</f>
        <v>411700.93484599999</v>
      </c>
      <c r="G2923" s="22">
        <f ca="1">IFERROR(__xludf.DUMMYFUNCTION("""COMPUTED_VALUE"""),0)</f>
        <v>0</v>
      </c>
      <c r="H2923" s="7">
        <f ca="1">IFERROR(__xludf.DUMMYFUNCTION("""COMPUTED_VALUE"""),498477.295430999)</f>
        <v>498477.29543099902</v>
      </c>
    </row>
    <row r="2924" spans="1:8" ht="13" x14ac:dyDescent="0.15">
      <c r="A2924" s="5" t="str">
        <f ca="1">IFERROR(__xludf.DUMMYFUNCTION("""COMPUTED_VALUE"""),"46699")</f>
        <v>46699</v>
      </c>
      <c r="B2924" s="51">
        <f ca="1">IFERROR(__xludf.DUMMYFUNCTION("""COMPUTED_VALUE"""),44619)</f>
        <v>44619</v>
      </c>
      <c r="C2924" s="22">
        <f ca="1">IFERROR(__xludf.DUMMYFUNCTION("""COMPUTED_VALUE"""),411700.934846)</f>
        <v>411700.93484599999</v>
      </c>
      <c r="D2924" s="22">
        <f ca="1">IFERROR(__xludf.DUMMYFUNCTION("""COMPUTED_VALUE"""),86791.791107)</f>
        <v>86791.791106999997</v>
      </c>
      <c r="E2924" s="22">
        <f ca="1">IFERROR(__xludf.DUMMYFUNCTION("""COMPUTED_VALUE"""),498492.725953)</f>
        <v>498492.72595300002</v>
      </c>
      <c r="F2924" s="22">
        <f ca="1">IFERROR(__xludf.DUMMYFUNCTION("""COMPUTED_VALUE"""),411700.934846)</f>
        <v>411700.93484599999</v>
      </c>
      <c r="G2924" s="22">
        <f ca="1">IFERROR(__xludf.DUMMYFUNCTION("""COMPUTED_VALUE"""),0)</f>
        <v>0</v>
      </c>
      <c r="H2924" s="7">
        <f ca="1">IFERROR(__xludf.DUMMYFUNCTION("""COMPUTED_VALUE"""),498473.461446)</f>
        <v>498473.46144599997</v>
      </c>
    </row>
    <row r="2925" spans="1:8" ht="13" x14ac:dyDescent="0.15">
      <c r="A2925" s="5" t="str">
        <f ca="1">IFERROR(__xludf.DUMMYFUNCTION("""COMPUTED_VALUE"""),"46699")</f>
        <v>46699</v>
      </c>
      <c r="B2925" s="51">
        <f ca="1">IFERROR(__xludf.DUMMYFUNCTION("""COMPUTED_VALUE"""),44620)</f>
        <v>44620</v>
      </c>
      <c r="C2925" s="22">
        <f ca="1">IFERROR(__xludf.DUMMYFUNCTION("""COMPUTED_VALUE"""),411700.934846)</f>
        <v>411700.93484599999</v>
      </c>
      <c r="D2925" s="22">
        <f ca="1">IFERROR(__xludf.DUMMYFUNCTION("""COMPUTED_VALUE"""),86851.292987)</f>
        <v>86851.292986999993</v>
      </c>
      <c r="E2925" s="22">
        <f ca="1">IFERROR(__xludf.DUMMYFUNCTION("""COMPUTED_VALUE"""),498552.227833)</f>
        <v>498552.22783300001</v>
      </c>
      <c r="F2925" s="22">
        <f ca="1">IFERROR(__xludf.DUMMYFUNCTION("""COMPUTED_VALUE"""),411700.934846)</f>
        <v>411700.93484599999</v>
      </c>
      <c r="G2925" s="22">
        <f ca="1">IFERROR(__xludf.DUMMYFUNCTION("""COMPUTED_VALUE"""),0)</f>
        <v>0</v>
      </c>
      <c r="H2925" s="7">
        <f ca="1">IFERROR(__xludf.DUMMYFUNCTION("""COMPUTED_VALUE"""),499155.318006)</f>
        <v>499155.31800600002</v>
      </c>
    </row>
    <row r="2926" spans="1:8" ht="13" x14ac:dyDescent="0.15">
      <c r="A2926" s="5" t="str">
        <f ca="1">IFERROR(__xludf.DUMMYFUNCTION("""COMPUTED_VALUE"""),"46699")</f>
        <v>46699</v>
      </c>
      <c r="B2926" s="51">
        <f ca="1">IFERROR(__xludf.DUMMYFUNCTION("""COMPUTED_VALUE"""),44621)</f>
        <v>44621</v>
      </c>
      <c r="C2926" s="22">
        <f ca="1">IFERROR(__xludf.DUMMYFUNCTION("""COMPUTED_VALUE"""),411700.934846)</f>
        <v>411700.93484599999</v>
      </c>
      <c r="D2926" s="22">
        <f ca="1">IFERROR(__xludf.DUMMYFUNCTION("""COMPUTED_VALUE"""),86558.943227)</f>
        <v>86558.943226999996</v>
      </c>
      <c r="E2926" s="22">
        <f ca="1">IFERROR(__xludf.DUMMYFUNCTION("""COMPUTED_VALUE"""),498259.878073)</f>
        <v>498259.878073</v>
      </c>
      <c r="F2926" s="22">
        <f ca="1">IFERROR(__xludf.DUMMYFUNCTION("""COMPUTED_VALUE"""),411700.934846)</f>
        <v>411700.93484599999</v>
      </c>
      <c r="G2926" s="22">
        <f ca="1">IFERROR(__xludf.DUMMYFUNCTION("""COMPUTED_VALUE"""),0)</f>
        <v>0</v>
      </c>
      <c r="H2926" s="7">
        <f ca="1">IFERROR(__xludf.DUMMYFUNCTION("""COMPUTED_VALUE"""),497587.25283)</f>
        <v>497587.25283000001</v>
      </c>
    </row>
    <row r="2927" spans="1:8" ht="13" x14ac:dyDescent="0.15">
      <c r="A2927" s="5" t="str">
        <f ca="1">IFERROR(__xludf.DUMMYFUNCTION("""COMPUTED_VALUE"""),"46699")</f>
        <v>46699</v>
      </c>
      <c r="B2927" s="51">
        <f ca="1">IFERROR(__xludf.DUMMYFUNCTION("""COMPUTED_VALUE"""),44622)</f>
        <v>44622</v>
      </c>
      <c r="C2927" s="22">
        <f ca="1">IFERROR(__xludf.DUMMYFUNCTION("""COMPUTED_VALUE"""),411700.934846)</f>
        <v>411700.93484599999</v>
      </c>
      <c r="D2927" s="22">
        <f ca="1">IFERROR(__xludf.DUMMYFUNCTION("""COMPUTED_VALUE"""),87077.985947)</f>
        <v>87077.985946999994</v>
      </c>
      <c r="E2927" s="22">
        <f ca="1">IFERROR(__xludf.DUMMYFUNCTION("""COMPUTED_VALUE"""),498778.920793)</f>
        <v>498778.92079300003</v>
      </c>
      <c r="F2927" s="22">
        <f ca="1">IFERROR(__xludf.DUMMYFUNCTION("""COMPUTED_VALUE"""),411700.934846)</f>
        <v>411700.93484599999</v>
      </c>
      <c r="G2927" s="22">
        <f ca="1">IFERROR(__xludf.DUMMYFUNCTION("""COMPUTED_VALUE"""),0)</f>
        <v>0</v>
      </c>
      <c r="H2927" s="7">
        <f ca="1">IFERROR(__xludf.DUMMYFUNCTION("""COMPUTED_VALUE"""),497121.473456)</f>
        <v>497121.47345599998</v>
      </c>
    </row>
    <row r="2928" spans="1:8" ht="13" x14ac:dyDescent="0.15">
      <c r="A2928" s="5" t="str">
        <f ca="1">IFERROR(__xludf.DUMMYFUNCTION("""COMPUTED_VALUE"""),"46699")</f>
        <v>46699</v>
      </c>
      <c r="B2928" s="51">
        <f ca="1">IFERROR(__xludf.DUMMYFUNCTION("""COMPUTED_VALUE"""),44623)</f>
        <v>44623</v>
      </c>
      <c r="C2928" s="22">
        <f ca="1">IFERROR(__xludf.DUMMYFUNCTION("""COMPUTED_VALUE"""),411700.934846)</f>
        <v>411700.93484599999</v>
      </c>
      <c r="D2928" s="22">
        <f ca="1">IFERROR(__xludf.DUMMYFUNCTION("""COMPUTED_VALUE"""),87032.730617)</f>
        <v>87032.730616999994</v>
      </c>
      <c r="E2928" s="22">
        <f ca="1">IFERROR(__xludf.DUMMYFUNCTION("""COMPUTED_VALUE"""),498733.665463)</f>
        <v>498733.66546300001</v>
      </c>
      <c r="F2928" s="22">
        <f ca="1">IFERROR(__xludf.DUMMYFUNCTION("""COMPUTED_VALUE"""),411700.934846)</f>
        <v>411700.93484599999</v>
      </c>
      <c r="G2928" s="22">
        <f ca="1">IFERROR(__xludf.DUMMYFUNCTION("""COMPUTED_VALUE"""),0)</f>
        <v>0</v>
      </c>
      <c r="H2928" s="7">
        <f ca="1">IFERROR(__xludf.DUMMYFUNCTION("""COMPUTED_VALUE"""),495221.107946)</f>
        <v>495221.107946</v>
      </c>
    </row>
    <row r="2929" spans="1:8" ht="13" x14ac:dyDescent="0.15">
      <c r="A2929" s="5" t="str">
        <f ca="1">IFERROR(__xludf.DUMMYFUNCTION("""COMPUTED_VALUE"""),"46699")</f>
        <v>46699</v>
      </c>
      <c r="B2929" s="51">
        <f ca="1">IFERROR(__xludf.DUMMYFUNCTION("""COMPUTED_VALUE"""),44624)</f>
        <v>44624</v>
      </c>
      <c r="C2929" s="22">
        <f ca="1">IFERROR(__xludf.DUMMYFUNCTION("""COMPUTED_VALUE"""),411700.934846)</f>
        <v>411700.93484599999</v>
      </c>
      <c r="D2929" s="22">
        <f ca="1">IFERROR(__xludf.DUMMYFUNCTION("""COMPUTED_VALUE"""),86549.277059)</f>
        <v>86549.277059</v>
      </c>
      <c r="E2929" s="22">
        <f ca="1">IFERROR(__xludf.DUMMYFUNCTION("""COMPUTED_VALUE"""),498250.211905)</f>
        <v>498250.21190499997</v>
      </c>
      <c r="F2929" s="22">
        <f ca="1">IFERROR(__xludf.DUMMYFUNCTION("""COMPUTED_VALUE"""),411700.934846)</f>
        <v>411700.93484599999</v>
      </c>
      <c r="G2929" s="22">
        <f ca="1">IFERROR(__xludf.DUMMYFUNCTION("""COMPUTED_VALUE"""),0)</f>
        <v>0</v>
      </c>
      <c r="H2929" s="7">
        <f ca="1">IFERROR(__xludf.DUMMYFUNCTION("""COMPUTED_VALUE"""),493735.246286)</f>
        <v>493735.24628600001</v>
      </c>
    </row>
    <row r="2930" spans="1:8" ht="13" x14ac:dyDescent="0.15">
      <c r="A2930" s="5" t="str">
        <f ca="1">IFERROR(__xludf.DUMMYFUNCTION("""COMPUTED_VALUE"""),"46699")</f>
        <v>46699</v>
      </c>
      <c r="B2930" s="51">
        <f ca="1">IFERROR(__xludf.DUMMYFUNCTION("""COMPUTED_VALUE"""),44625)</f>
        <v>44625</v>
      </c>
      <c r="C2930" s="22">
        <f ca="1">IFERROR(__xludf.DUMMYFUNCTION("""COMPUTED_VALUE"""),411700.934846)</f>
        <v>411700.93484599999</v>
      </c>
      <c r="D2930" s="22">
        <f ca="1">IFERROR(__xludf.DUMMYFUNCTION("""COMPUTED_VALUE"""),86549.277059)</f>
        <v>86549.277059</v>
      </c>
      <c r="E2930" s="22">
        <f ca="1">IFERROR(__xludf.DUMMYFUNCTION("""COMPUTED_VALUE"""),498250.211905)</f>
        <v>498250.21190499997</v>
      </c>
      <c r="F2930" s="22">
        <f ca="1">IFERROR(__xludf.DUMMYFUNCTION("""COMPUTED_VALUE"""),411700.934846)</f>
        <v>411700.93484599999</v>
      </c>
      <c r="G2930" s="22">
        <f ca="1">IFERROR(__xludf.DUMMYFUNCTION("""COMPUTED_VALUE"""),0)</f>
        <v>0</v>
      </c>
      <c r="H2930" s="7">
        <f ca="1">IFERROR(__xludf.DUMMYFUNCTION("""COMPUTED_VALUE"""),493735.246286)</f>
        <v>493735.24628600001</v>
      </c>
    </row>
    <row r="2931" spans="1:8" ht="13" x14ac:dyDescent="0.15">
      <c r="A2931" s="5" t="str">
        <f ca="1">IFERROR(__xludf.DUMMYFUNCTION("""COMPUTED_VALUE"""),"46699")</f>
        <v>46699</v>
      </c>
      <c r="B2931" s="51">
        <f ca="1">IFERROR(__xludf.DUMMYFUNCTION("""COMPUTED_VALUE"""),44626)</f>
        <v>44626</v>
      </c>
      <c r="C2931" s="22">
        <f ca="1">IFERROR(__xludf.DUMMYFUNCTION("""COMPUTED_VALUE"""),411700.934846)</f>
        <v>411700.93484599999</v>
      </c>
      <c r="D2931" s="22">
        <f ca="1">IFERROR(__xludf.DUMMYFUNCTION("""COMPUTED_VALUE"""),86552.785214)</f>
        <v>86552.785214000003</v>
      </c>
      <c r="E2931" s="22">
        <f ca="1">IFERROR(__xludf.DUMMYFUNCTION("""COMPUTED_VALUE"""),498253.720059999)</f>
        <v>498253.72005999897</v>
      </c>
      <c r="F2931" s="22">
        <f ca="1">IFERROR(__xludf.DUMMYFUNCTION("""COMPUTED_VALUE"""),411700.934846)</f>
        <v>411700.93484599999</v>
      </c>
      <c r="G2931" s="22">
        <f ca="1">IFERROR(__xludf.DUMMYFUNCTION("""COMPUTED_VALUE"""),0)</f>
        <v>0</v>
      </c>
      <c r="H2931" s="7">
        <f ca="1">IFERROR(__xludf.DUMMYFUNCTION("""COMPUTED_VALUE"""),493746.531636)</f>
        <v>493746.53163600003</v>
      </c>
    </row>
    <row r="2932" spans="1:8" ht="13" x14ac:dyDescent="0.15">
      <c r="A2932" s="5" t="str">
        <f ca="1">IFERROR(__xludf.DUMMYFUNCTION("""COMPUTED_VALUE"""),"46699")</f>
        <v>46699</v>
      </c>
      <c r="B2932" s="51">
        <f ca="1">IFERROR(__xludf.DUMMYFUNCTION("""COMPUTED_VALUE"""),44627)</f>
        <v>44627</v>
      </c>
      <c r="C2932" s="22">
        <f ca="1">IFERROR(__xludf.DUMMYFUNCTION("""COMPUTED_VALUE"""),411700.934846)</f>
        <v>411700.93484599999</v>
      </c>
      <c r="D2932" s="22">
        <f ca="1">IFERROR(__xludf.DUMMYFUNCTION("""COMPUTED_VALUE"""),85958.056007)</f>
        <v>85958.056007000007</v>
      </c>
      <c r="E2932" s="22">
        <f ca="1">IFERROR(__xludf.DUMMYFUNCTION("""COMPUTED_VALUE"""),497658.990852999)</f>
        <v>497658.99085299898</v>
      </c>
      <c r="F2932" s="22">
        <f ca="1">IFERROR(__xludf.DUMMYFUNCTION("""COMPUTED_VALUE"""),411700.934846)</f>
        <v>411700.93484599999</v>
      </c>
      <c r="G2932" s="22">
        <f ca="1">IFERROR(__xludf.DUMMYFUNCTION("""COMPUTED_VALUE"""),0)</f>
        <v>0</v>
      </c>
      <c r="H2932" s="7">
        <f ca="1">IFERROR(__xludf.DUMMYFUNCTION("""COMPUTED_VALUE"""),491381.341606)</f>
        <v>491381.34160599997</v>
      </c>
    </row>
    <row r="2933" spans="1:8" ht="13" x14ac:dyDescent="0.15">
      <c r="A2933" s="5" t="str">
        <f ca="1">IFERROR(__xludf.DUMMYFUNCTION("""COMPUTED_VALUE"""),"46699")</f>
        <v>46699</v>
      </c>
      <c r="B2933" s="51">
        <f ca="1">IFERROR(__xludf.DUMMYFUNCTION("""COMPUTED_VALUE"""),44628)</f>
        <v>44628</v>
      </c>
      <c r="C2933" s="22">
        <f ca="1">IFERROR(__xludf.DUMMYFUNCTION("""COMPUTED_VALUE"""),411700.934846)</f>
        <v>411700.93484599999</v>
      </c>
      <c r="D2933" s="22">
        <f ca="1">IFERROR(__xludf.DUMMYFUNCTION("""COMPUTED_VALUE"""),85668.544187)</f>
        <v>85668.544187000007</v>
      </c>
      <c r="E2933" s="22">
        <f ca="1">IFERROR(__xludf.DUMMYFUNCTION("""COMPUTED_VALUE"""),497369.479033)</f>
        <v>497369.47903300001</v>
      </c>
      <c r="F2933" s="22">
        <f ca="1">IFERROR(__xludf.DUMMYFUNCTION("""COMPUTED_VALUE"""),411700.934846)</f>
        <v>411700.93484599999</v>
      </c>
      <c r="G2933" s="22">
        <f ca="1">IFERROR(__xludf.DUMMYFUNCTION("""COMPUTED_VALUE"""),0)</f>
        <v>0</v>
      </c>
      <c r="H2933" s="7">
        <f ca="1">IFERROR(__xludf.DUMMYFUNCTION("""COMPUTED_VALUE"""),489765.581246)</f>
        <v>489765.58124600002</v>
      </c>
    </row>
    <row r="2934" spans="1:8" ht="13" x14ac:dyDescent="0.15">
      <c r="A2934" s="5" t="str">
        <f ca="1">IFERROR(__xludf.DUMMYFUNCTION("""COMPUTED_VALUE"""),"46699")</f>
        <v>46699</v>
      </c>
      <c r="B2934" s="51">
        <f ca="1">IFERROR(__xludf.DUMMYFUNCTION("""COMPUTED_VALUE"""),44629)</f>
        <v>44629</v>
      </c>
      <c r="C2934" s="22">
        <f ca="1">IFERROR(__xludf.DUMMYFUNCTION("""COMPUTED_VALUE"""),411700.934846)</f>
        <v>411700.93484599999</v>
      </c>
      <c r="D2934" s="22">
        <f ca="1">IFERROR(__xludf.DUMMYFUNCTION("""COMPUTED_VALUE"""),86531.417357)</f>
        <v>86531.417356999998</v>
      </c>
      <c r="E2934" s="22">
        <f ca="1">IFERROR(__xludf.DUMMYFUNCTION("""COMPUTED_VALUE"""),498232.352203)</f>
        <v>498232.35220299999</v>
      </c>
      <c r="F2934" s="22">
        <f ca="1">IFERROR(__xludf.DUMMYFUNCTION("""COMPUTED_VALUE"""),411700.934846)</f>
        <v>411700.93484599999</v>
      </c>
      <c r="G2934" s="22">
        <f ca="1">IFERROR(__xludf.DUMMYFUNCTION("""COMPUTED_VALUE"""),0)</f>
        <v>0</v>
      </c>
      <c r="H2934" s="7">
        <f ca="1">IFERROR(__xludf.DUMMYFUNCTION("""COMPUTED_VALUE"""),493294.288226)</f>
        <v>493294.28822599998</v>
      </c>
    </row>
    <row r="2935" spans="1:8" ht="13" x14ac:dyDescent="0.15">
      <c r="A2935" s="5" t="str">
        <f ca="1">IFERROR(__xludf.DUMMYFUNCTION("""COMPUTED_VALUE"""),"46699")</f>
        <v>46699</v>
      </c>
      <c r="B2935" s="51">
        <f ca="1">IFERROR(__xludf.DUMMYFUNCTION("""COMPUTED_VALUE"""),44630)</f>
        <v>44630</v>
      </c>
      <c r="C2935" s="22">
        <f ca="1">IFERROR(__xludf.DUMMYFUNCTION("""COMPUTED_VALUE"""),411700.934846)</f>
        <v>411700.93484599999</v>
      </c>
      <c r="D2935" s="22">
        <f ca="1">IFERROR(__xludf.DUMMYFUNCTION("""COMPUTED_VALUE"""),86542.823857)</f>
        <v>86542.823856999996</v>
      </c>
      <c r="E2935" s="22">
        <f ca="1">IFERROR(__xludf.DUMMYFUNCTION("""COMPUTED_VALUE"""),498243.758703)</f>
        <v>498243.75870300003</v>
      </c>
      <c r="F2935" s="22">
        <f ca="1">IFERROR(__xludf.DUMMYFUNCTION("""COMPUTED_VALUE"""),411700.934846)</f>
        <v>411700.93484599999</v>
      </c>
      <c r="G2935" s="22">
        <f ca="1">IFERROR(__xludf.DUMMYFUNCTION("""COMPUTED_VALUE"""),0)</f>
        <v>0</v>
      </c>
      <c r="H2935" s="7">
        <f ca="1">IFERROR(__xludf.DUMMYFUNCTION("""COMPUTED_VALUE"""),493330.810026)</f>
        <v>493330.81002600002</v>
      </c>
    </row>
    <row r="2936" spans="1:8" ht="13" x14ac:dyDescent="0.15">
      <c r="A2936" s="5" t="str">
        <f ca="1">IFERROR(__xludf.DUMMYFUNCTION("""COMPUTED_VALUE"""),"46699")</f>
        <v>46699</v>
      </c>
      <c r="B2936" s="51">
        <f ca="1">IFERROR(__xludf.DUMMYFUNCTION("""COMPUTED_VALUE"""),44631)</f>
        <v>44631</v>
      </c>
      <c r="C2936" s="22">
        <f ca="1">IFERROR(__xludf.DUMMYFUNCTION("""COMPUTED_VALUE"""),411700.934846)</f>
        <v>411700.93484599999</v>
      </c>
      <c r="D2936" s="22">
        <f ca="1">IFERROR(__xludf.DUMMYFUNCTION("""COMPUTED_VALUE"""),85277.326407)</f>
        <v>85277.326407</v>
      </c>
      <c r="E2936" s="22">
        <f ca="1">IFERROR(__xludf.DUMMYFUNCTION("""COMPUTED_VALUE"""),496978.261253)</f>
        <v>496978.261253</v>
      </c>
      <c r="F2936" s="22">
        <f ca="1">IFERROR(__xludf.DUMMYFUNCTION("""COMPUTED_VALUE"""),411700.934846)</f>
        <v>411700.93484599999</v>
      </c>
      <c r="G2936" s="22">
        <f ca="1">IFERROR(__xludf.DUMMYFUNCTION("""COMPUTED_VALUE"""),0)</f>
        <v>0</v>
      </c>
      <c r="H2936" s="7">
        <f ca="1">IFERROR(__xludf.DUMMYFUNCTION("""COMPUTED_VALUE"""),489220.814345999)</f>
        <v>489220.81434599898</v>
      </c>
    </row>
    <row r="2937" spans="1:8" ht="13" x14ac:dyDescent="0.15">
      <c r="A2937" s="5" t="str">
        <f ca="1">IFERROR(__xludf.DUMMYFUNCTION("""COMPUTED_VALUE"""),"46699")</f>
        <v>46699</v>
      </c>
      <c r="B2937" s="51">
        <f ca="1">IFERROR(__xludf.DUMMYFUNCTION("""COMPUTED_VALUE"""),44632)</f>
        <v>44632</v>
      </c>
      <c r="C2937" s="22">
        <f ca="1">IFERROR(__xludf.DUMMYFUNCTION("""COMPUTED_VALUE"""),411700.934846)</f>
        <v>411700.93484599999</v>
      </c>
      <c r="D2937" s="22">
        <f ca="1">IFERROR(__xludf.DUMMYFUNCTION("""COMPUTED_VALUE"""),85277.326407)</f>
        <v>85277.326407</v>
      </c>
      <c r="E2937" s="22">
        <f ca="1">IFERROR(__xludf.DUMMYFUNCTION("""COMPUTED_VALUE"""),496978.261253)</f>
        <v>496978.261253</v>
      </c>
      <c r="F2937" s="22">
        <f ca="1">IFERROR(__xludf.DUMMYFUNCTION("""COMPUTED_VALUE"""),411700.934846)</f>
        <v>411700.93484599999</v>
      </c>
      <c r="G2937" s="22">
        <f ca="1">IFERROR(__xludf.DUMMYFUNCTION("""COMPUTED_VALUE"""),0)</f>
        <v>0</v>
      </c>
      <c r="H2937" s="7">
        <f ca="1">IFERROR(__xludf.DUMMYFUNCTION("""COMPUTED_VALUE"""),489220.814345999)</f>
        <v>489220.81434599898</v>
      </c>
    </row>
    <row r="2938" spans="1:8" ht="13" x14ac:dyDescent="0.15">
      <c r="A2938" s="5" t="str">
        <f ca="1">IFERROR(__xludf.DUMMYFUNCTION("""COMPUTED_VALUE"""),"46699")</f>
        <v>46699</v>
      </c>
      <c r="B2938" s="51">
        <f ca="1">IFERROR(__xludf.DUMMYFUNCTION("""COMPUTED_VALUE"""),44633)</f>
        <v>44633</v>
      </c>
      <c r="C2938" s="22">
        <f ca="1">IFERROR(__xludf.DUMMYFUNCTION("""COMPUTED_VALUE"""),411700.934846)</f>
        <v>411700.93484599999</v>
      </c>
      <c r="D2938" s="22">
        <f ca="1">IFERROR(__xludf.DUMMYFUNCTION("""COMPUTED_VALUE"""),85275.253025)</f>
        <v>85275.253024999998</v>
      </c>
      <c r="E2938" s="22">
        <f ca="1">IFERROR(__xludf.DUMMYFUNCTION("""COMPUTED_VALUE"""),496976.187871)</f>
        <v>496976.18787099997</v>
      </c>
      <c r="F2938" s="22">
        <f ca="1">IFERROR(__xludf.DUMMYFUNCTION("""COMPUTED_VALUE"""),411700.934846)</f>
        <v>411700.93484599999</v>
      </c>
      <c r="G2938" s="22">
        <f ca="1">IFERROR(__xludf.DUMMYFUNCTION("""COMPUTED_VALUE"""),0)</f>
        <v>0</v>
      </c>
      <c r="H2938" s="7">
        <f ca="1">IFERROR(__xludf.DUMMYFUNCTION("""COMPUTED_VALUE"""),489214.180675999)</f>
        <v>489214.18067599903</v>
      </c>
    </row>
    <row r="2939" spans="1:8" ht="13" x14ac:dyDescent="0.15">
      <c r="A2939" s="5" t="str">
        <f ca="1">IFERROR(__xludf.DUMMYFUNCTION("""COMPUTED_VALUE"""),"46699")</f>
        <v>46699</v>
      </c>
      <c r="B2939" s="51">
        <f ca="1">IFERROR(__xludf.DUMMYFUNCTION("""COMPUTED_VALUE"""),44634)</f>
        <v>44634</v>
      </c>
      <c r="C2939" s="22">
        <f ca="1">IFERROR(__xludf.DUMMYFUNCTION("""COMPUTED_VALUE"""),411700.934846)</f>
        <v>411700.93484599999</v>
      </c>
      <c r="D2939" s="22">
        <f ca="1">IFERROR(__xludf.DUMMYFUNCTION("""COMPUTED_VALUE"""),84632.988407)</f>
        <v>84632.988406999997</v>
      </c>
      <c r="E2939" s="22">
        <f ca="1">IFERROR(__xludf.DUMMYFUNCTION("""COMPUTED_VALUE"""),496333.923253)</f>
        <v>496333.92325300002</v>
      </c>
      <c r="F2939" s="22">
        <f ca="1">IFERROR(__xludf.DUMMYFUNCTION("""COMPUTED_VALUE"""),411700.934846)</f>
        <v>411700.93484599999</v>
      </c>
      <c r="G2939" s="22">
        <f ca="1">IFERROR(__xludf.DUMMYFUNCTION("""COMPUTED_VALUE"""),0)</f>
        <v>0</v>
      </c>
      <c r="H2939" s="7">
        <f ca="1">IFERROR(__xludf.DUMMYFUNCTION("""COMPUTED_VALUE"""),487116.968396)</f>
        <v>487116.96839599998</v>
      </c>
    </row>
    <row r="2940" spans="1:8" ht="13" x14ac:dyDescent="0.15">
      <c r="A2940" s="5" t="str">
        <f ca="1">IFERROR(__xludf.DUMMYFUNCTION("""COMPUTED_VALUE"""),"46699")</f>
        <v>46699</v>
      </c>
      <c r="B2940" s="51">
        <f ca="1">IFERROR(__xludf.DUMMYFUNCTION("""COMPUTED_VALUE"""),44635)</f>
        <v>44635</v>
      </c>
      <c r="C2940" s="22">
        <f ca="1">IFERROR(__xludf.DUMMYFUNCTION("""COMPUTED_VALUE"""),411700.934846)</f>
        <v>411700.93484599999</v>
      </c>
      <c r="D2940" s="22">
        <f ca="1">IFERROR(__xludf.DUMMYFUNCTION("""COMPUTED_VALUE"""),85325.789217)</f>
        <v>85325.789216999998</v>
      </c>
      <c r="E2940" s="22">
        <f ca="1">IFERROR(__xludf.DUMMYFUNCTION("""COMPUTED_VALUE"""),497026.724063)</f>
        <v>497026.724063</v>
      </c>
      <c r="F2940" s="22">
        <f ca="1">IFERROR(__xludf.DUMMYFUNCTION("""COMPUTED_VALUE"""),411700.934846)</f>
        <v>411700.93484599999</v>
      </c>
      <c r="G2940" s="22">
        <f ca="1">IFERROR(__xludf.DUMMYFUNCTION("""COMPUTED_VALUE"""),0)</f>
        <v>0</v>
      </c>
      <c r="H2940" s="7">
        <f ca="1">IFERROR(__xludf.DUMMYFUNCTION("""COMPUTED_VALUE"""),489788.849606)</f>
        <v>489788.849606</v>
      </c>
    </row>
    <row r="2941" spans="1:8" ht="13" x14ac:dyDescent="0.15">
      <c r="A2941" s="5" t="str">
        <f ca="1">IFERROR(__xludf.DUMMYFUNCTION("""COMPUTED_VALUE"""),"46699")</f>
        <v>46699</v>
      </c>
      <c r="B2941" s="51">
        <f ca="1">IFERROR(__xludf.DUMMYFUNCTION("""COMPUTED_VALUE"""),44636)</f>
        <v>44636</v>
      </c>
      <c r="C2941" s="22">
        <f ca="1">IFERROR(__xludf.DUMMYFUNCTION("""COMPUTED_VALUE"""),411700.934846)</f>
        <v>411700.93484599999</v>
      </c>
      <c r="D2941" s="22">
        <f ca="1">IFERROR(__xludf.DUMMYFUNCTION("""COMPUTED_VALUE"""),86009.787197)</f>
        <v>86009.787196999998</v>
      </c>
      <c r="E2941" s="22">
        <f ca="1">IFERROR(__xludf.DUMMYFUNCTION("""COMPUTED_VALUE"""),497710.722043)</f>
        <v>497710.72204299999</v>
      </c>
      <c r="F2941" s="22">
        <f ca="1">IFERROR(__xludf.DUMMYFUNCTION("""COMPUTED_VALUE"""),411700.934846)</f>
        <v>411700.93484599999</v>
      </c>
      <c r="G2941" s="22">
        <f ca="1">IFERROR(__xludf.DUMMYFUNCTION("""COMPUTED_VALUE"""),0)</f>
        <v>0</v>
      </c>
      <c r="H2941" s="7">
        <f ca="1">IFERROR(__xludf.DUMMYFUNCTION("""COMPUTED_VALUE"""),492584.191166)</f>
        <v>492584.19116599998</v>
      </c>
    </row>
    <row r="2942" spans="1:8" ht="13" x14ac:dyDescent="0.15">
      <c r="A2942" s="5" t="str">
        <f ca="1">IFERROR(__xludf.DUMMYFUNCTION("""COMPUTED_VALUE"""),"46699")</f>
        <v>46699</v>
      </c>
      <c r="B2942" s="51">
        <f ca="1">IFERROR(__xludf.DUMMYFUNCTION("""COMPUTED_VALUE"""),44637)</f>
        <v>44637</v>
      </c>
      <c r="C2942" s="22">
        <f ca="1">IFERROR(__xludf.DUMMYFUNCTION("""COMPUTED_VALUE"""),411700.934846)</f>
        <v>411700.93484599999</v>
      </c>
      <c r="D2942" s="22">
        <f ca="1">IFERROR(__xludf.DUMMYFUNCTION("""COMPUTED_VALUE"""),86159.325887)</f>
        <v>86159.325886999999</v>
      </c>
      <c r="E2942" s="22">
        <f ca="1">IFERROR(__xludf.DUMMYFUNCTION("""COMPUTED_VALUE"""),497860.260733)</f>
        <v>497860.260733</v>
      </c>
      <c r="F2942" s="22">
        <f ca="1">IFERROR(__xludf.DUMMYFUNCTION("""COMPUTED_VALUE"""),411700.934846)</f>
        <v>411700.93484599999</v>
      </c>
      <c r="G2942" s="22">
        <f ca="1">IFERROR(__xludf.DUMMYFUNCTION("""COMPUTED_VALUE"""),0)</f>
        <v>0</v>
      </c>
      <c r="H2942" s="7">
        <f ca="1">IFERROR(__xludf.DUMMYFUNCTION("""COMPUTED_VALUE"""),494876.409626)</f>
        <v>494876.40962599998</v>
      </c>
    </row>
    <row r="2943" spans="1:8" ht="13" x14ac:dyDescent="0.15">
      <c r="A2943" s="5" t="str">
        <f ca="1">IFERROR(__xludf.DUMMYFUNCTION("""COMPUTED_VALUE"""),"46699")</f>
        <v>46699</v>
      </c>
      <c r="B2943" s="51">
        <f ca="1">IFERROR(__xludf.DUMMYFUNCTION("""COMPUTED_VALUE"""),44638)</f>
        <v>44638</v>
      </c>
      <c r="C2943" s="22">
        <f ca="1">IFERROR(__xludf.DUMMYFUNCTION("""COMPUTED_VALUE"""),411700.934846)</f>
        <v>411700.93484599999</v>
      </c>
      <c r="D2943" s="22">
        <f ca="1">IFERROR(__xludf.DUMMYFUNCTION("""COMPUTED_VALUE"""),86710.861727)</f>
        <v>86710.861726999996</v>
      </c>
      <c r="E2943" s="22">
        <f ca="1">IFERROR(__xludf.DUMMYFUNCTION("""COMPUTED_VALUE"""),498411.796573)</f>
        <v>498411.79657300003</v>
      </c>
      <c r="F2943" s="22">
        <f ca="1">IFERROR(__xludf.DUMMYFUNCTION("""COMPUTED_VALUE"""),411700.934846)</f>
        <v>411700.93484599999</v>
      </c>
      <c r="G2943" s="22">
        <f ca="1">IFERROR(__xludf.DUMMYFUNCTION("""COMPUTED_VALUE"""),0)</f>
        <v>0</v>
      </c>
      <c r="H2943" s="7">
        <f ca="1">IFERROR(__xludf.DUMMYFUNCTION("""COMPUTED_VALUE"""),496927.160265999)</f>
        <v>496927.16026599897</v>
      </c>
    </row>
    <row r="2944" spans="1:8" ht="13" x14ac:dyDescent="0.15">
      <c r="A2944" s="5" t="str">
        <f ca="1">IFERROR(__xludf.DUMMYFUNCTION("""COMPUTED_VALUE"""),"46699")</f>
        <v>46699</v>
      </c>
      <c r="B2944" s="51">
        <f ca="1">IFERROR(__xludf.DUMMYFUNCTION("""COMPUTED_VALUE"""),44639)</f>
        <v>44639</v>
      </c>
      <c r="C2944" s="22">
        <f ca="1">IFERROR(__xludf.DUMMYFUNCTION("""COMPUTED_VALUE"""),411700.934846)</f>
        <v>411700.93484599999</v>
      </c>
      <c r="D2944" s="22">
        <f ca="1">IFERROR(__xludf.DUMMYFUNCTION("""COMPUTED_VALUE"""),86710.861727)</f>
        <v>86710.861726999996</v>
      </c>
      <c r="E2944" s="22">
        <f ca="1">IFERROR(__xludf.DUMMYFUNCTION("""COMPUTED_VALUE"""),498411.796573)</f>
        <v>498411.79657300003</v>
      </c>
      <c r="F2944" s="22">
        <f ca="1">IFERROR(__xludf.DUMMYFUNCTION("""COMPUTED_VALUE"""),411700.934846)</f>
        <v>411700.93484599999</v>
      </c>
      <c r="G2944" s="22">
        <f ca="1">IFERROR(__xludf.DUMMYFUNCTION("""COMPUTED_VALUE"""),0)</f>
        <v>0</v>
      </c>
      <c r="H2944" s="7">
        <f ca="1">IFERROR(__xludf.DUMMYFUNCTION("""COMPUTED_VALUE"""),496927.160265999)</f>
        <v>496927.16026599897</v>
      </c>
    </row>
    <row r="2945" spans="1:8" ht="13" x14ac:dyDescent="0.15">
      <c r="A2945" s="5" t="str">
        <f ca="1">IFERROR(__xludf.DUMMYFUNCTION("""COMPUTED_VALUE"""),"46699")</f>
        <v>46699</v>
      </c>
      <c r="B2945" s="51">
        <f ca="1">IFERROR(__xludf.DUMMYFUNCTION("""COMPUTED_VALUE"""),44640)</f>
        <v>44640</v>
      </c>
      <c r="C2945" s="22">
        <f ca="1">IFERROR(__xludf.DUMMYFUNCTION("""COMPUTED_VALUE"""),411700.934846)</f>
        <v>411700.93484599999</v>
      </c>
      <c r="D2945" s="22">
        <f ca="1">IFERROR(__xludf.DUMMYFUNCTION("""COMPUTED_VALUE"""),86705.270009)</f>
        <v>86705.270009</v>
      </c>
      <c r="E2945" s="22">
        <f ca="1">IFERROR(__xludf.DUMMYFUNCTION("""COMPUTED_VALUE"""),498406.204855)</f>
        <v>498406.20485500002</v>
      </c>
      <c r="F2945" s="22">
        <f ca="1">IFERROR(__xludf.DUMMYFUNCTION("""COMPUTED_VALUE"""),411700.934846)</f>
        <v>411700.93484599999</v>
      </c>
      <c r="G2945" s="22">
        <f ca="1">IFERROR(__xludf.DUMMYFUNCTION("""COMPUTED_VALUE"""),0)</f>
        <v>0</v>
      </c>
      <c r="H2945" s="7">
        <f ca="1">IFERROR(__xludf.DUMMYFUNCTION("""COMPUTED_VALUE"""),496908.590088)</f>
        <v>496908.590088</v>
      </c>
    </row>
    <row r="2946" spans="1:8" ht="13" x14ac:dyDescent="0.15">
      <c r="A2946" s="5" t="str">
        <f ca="1">IFERROR(__xludf.DUMMYFUNCTION("""COMPUTED_VALUE"""),"46699")</f>
        <v>46699</v>
      </c>
      <c r="B2946" s="51">
        <f ca="1">IFERROR(__xludf.DUMMYFUNCTION("""COMPUTED_VALUE"""),44641)</f>
        <v>44641</v>
      </c>
      <c r="C2946" s="22">
        <f ca="1">IFERROR(__xludf.DUMMYFUNCTION("""COMPUTED_VALUE"""),411700.934846)</f>
        <v>411700.93484599999</v>
      </c>
      <c r="D2946" s="22">
        <f ca="1">IFERROR(__xludf.DUMMYFUNCTION("""COMPUTED_VALUE"""),86931.614127)</f>
        <v>86931.614126999993</v>
      </c>
      <c r="E2946" s="22">
        <f ca="1">IFERROR(__xludf.DUMMYFUNCTION("""COMPUTED_VALUE"""),498632.548973)</f>
        <v>498632.54897300003</v>
      </c>
      <c r="F2946" s="22">
        <f ca="1">IFERROR(__xludf.DUMMYFUNCTION("""COMPUTED_VALUE"""),411700.934846)</f>
        <v>411700.93484599999</v>
      </c>
      <c r="G2946" s="22">
        <f ca="1">IFERROR(__xludf.DUMMYFUNCTION("""COMPUTED_VALUE"""),0)</f>
        <v>0</v>
      </c>
      <c r="H2946" s="7">
        <f ca="1">IFERROR(__xludf.DUMMYFUNCTION("""COMPUTED_VALUE"""),496211.099576)</f>
        <v>496211.09957600001</v>
      </c>
    </row>
    <row r="2947" spans="1:8" ht="13" x14ac:dyDescent="0.15">
      <c r="A2947" s="5" t="str">
        <f ca="1">IFERROR(__xludf.DUMMYFUNCTION("""COMPUTED_VALUE"""),"46699")</f>
        <v>46699</v>
      </c>
      <c r="B2947" s="51">
        <f ca="1">IFERROR(__xludf.DUMMYFUNCTION("""COMPUTED_VALUE"""),44642)</f>
        <v>44642</v>
      </c>
      <c r="C2947" s="22">
        <f ca="1">IFERROR(__xludf.DUMMYFUNCTION("""COMPUTED_VALUE"""),411700.934846)</f>
        <v>411700.93484599999</v>
      </c>
      <c r="D2947" s="22">
        <f ca="1">IFERROR(__xludf.DUMMYFUNCTION("""COMPUTED_VALUE"""),87475.069687)</f>
        <v>87475.069686999996</v>
      </c>
      <c r="E2947" s="22">
        <f ca="1">IFERROR(__xludf.DUMMYFUNCTION("""COMPUTED_VALUE"""),499176.004533)</f>
        <v>499176.004533</v>
      </c>
      <c r="F2947" s="22">
        <f ca="1">IFERROR(__xludf.DUMMYFUNCTION("""COMPUTED_VALUE"""),411700.934846)</f>
        <v>411700.93484599999</v>
      </c>
      <c r="G2947" s="22">
        <f ca="1">IFERROR(__xludf.DUMMYFUNCTION("""COMPUTED_VALUE"""),0)</f>
        <v>0</v>
      </c>
      <c r="H2947" s="7">
        <f ca="1">IFERROR(__xludf.DUMMYFUNCTION("""COMPUTED_VALUE"""),498069.762706)</f>
        <v>498069.76270600001</v>
      </c>
    </row>
    <row r="2948" spans="1:8" ht="13" x14ac:dyDescent="0.15">
      <c r="A2948" s="5" t="str">
        <f ca="1">IFERROR(__xludf.DUMMYFUNCTION("""COMPUTED_VALUE"""),"46763")</f>
        <v>46763</v>
      </c>
      <c r="B2948" s="51">
        <f ca="1">IFERROR(__xludf.DUMMYFUNCTION("""COMPUTED_VALUE"""),44597)</f>
        <v>44597</v>
      </c>
      <c r="C2948" s="22">
        <f ca="1">IFERROR(__xludf.DUMMYFUNCTION("""COMPUTED_VALUE"""),500000)</f>
        <v>500000</v>
      </c>
      <c r="D2948" s="22">
        <f ca="1">IFERROR(__xludf.DUMMYFUNCTION("""COMPUTED_VALUE"""),0)</f>
        <v>0</v>
      </c>
      <c r="E2948" s="22">
        <f ca="1">IFERROR(__xludf.DUMMYFUNCTION("""COMPUTED_VALUE"""),500000)</f>
        <v>500000</v>
      </c>
      <c r="F2948" s="22">
        <f ca="1">IFERROR(__xludf.DUMMYFUNCTION("""COMPUTED_VALUE"""),500000)</f>
        <v>500000</v>
      </c>
      <c r="G2948" s="22">
        <f ca="1">IFERROR(__xludf.DUMMYFUNCTION("""COMPUTED_VALUE"""),0)</f>
        <v>0</v>
      </c>
      <c r="H2948" s="7">
        <f ca="1">IFERROR(__xludf.DUMMYFUNCTION("""COMPUTED_VALUE"""),500000)</f>
        <v>500000</v>
      </c>
    </row>
    <row r="2949" spans="1:8" ht="13" x14ac:dyDescent="0.15">
      <c r="A2949" s="5" t="str">
        <f ca="1">IFERROR(__xludf.DUMMYFUNCTION("""COMPUTED_VALUE"""),"46763")</f>
        <v>46763</v>
      </c>
      <c r="B2949" s="51">
        <f ca="1">IFERROR(__xludf.DUMMYFUNCTION("""COMPUTED_VALUE"""),44598)</f>
        <v>44598</v>
      </c>
      <c r="C2949" s="22">
        <f ca="1">IFERROR(__xludf.DUMMYFUNCTION("""COMPUTED_VALUE"""),500000)</f>
        <v>500000</v>
      </c>
      <c r="D2949" s="22">
        <f ca="1">IFERROR(__xludf.DUMMYFUNCTION("""COMPUTED_VALUE"""),0)</f>
        <v>0</v>
      </c>
      <c r="E2949" s="22">
        <f ca="1">IFERROR(__xludf.DUMMYFUNCTION("""COMPUTED_VALUE"""),500000)</f>
        <v>500000</v>
      </c>
      <c r="F2949" s="22">
        <f ca="1">IFERROR(__xludf.DUMMYFUNCTION("""COMPUTED_VALUE"""),500000)</f>
        <v>500000</v>
      </c>
      <c r="G2949" s="22">
        <f ca="1">IFERROR(__xludf.DUMMYFUNCTION("""COMPUTED_VALUE"""),0)</f>
        <v>0</v>
      </c>
      <c r="H2949" s="7">
        <f ca="1">IFERROR(__xludf.DUMMYFUNCTION("""COMPUTED_VALUE"""),500000)</f>
        <v>500000</v>
      </c>
    </row>
    <row r="2950" spans="1:8" ht="13" x14ac:dyDescent="0.15">
      <c r="A2950" s="5" t="str">
        <f ca="1">IFERROR(__xludf.DUMMYFUNCTION("""COMPUTED_VALUE"""),"46763")</f>
        <v>46763</v>
      </c>
      <c r="B2950" s="51">
        <f ca="1">IFERROR(__xludf.DUMMYFUNCTION("""COMPUTED_VALUE"""),44599)</f>
        <v>44599</v>
      </c>
      <c r="C2950" s="22">
        <f ca="1">IFERROR(__xludf.DUMMYFUNCTION("""COMPUTED_VALUE"""),500000)</f>
        <v>500000</v>
      </c>
      <c r="D2950" s="22">
        <f ca="1">IFERROR(__xludf.DUMMYFUNCTION("""COMPUTED_VALUE"""),0)</f>
        <v>0</v>
      </c>
      <c r="E2950" s="22">
        <f ca="1">IFERROR(__xludf.DUMMYFUNCTION("""COMPUTED_VALUE"""),500000)</f>
        <v>500000</v>
      </c>
      <c r="F2950" s="22">
        <f ca="1">IFERROR(__xludf.DUMMYFUNCTION("""COMPUTED_VALUE"""),500000)</f>
        <v>500000</v>
      </c>
      <c r="G2950" s="22">
        <f ca="1">IFERROR(__xludf.DUMMYFUNCTION("""COMPUTED_VALUE"""),0)</f>
        <v>0</v>
      </c>
      <c r="H2950" s="7">
        <f ca="1">IFERROR(__xludf.DUMMYFUNCTION("""COMPUTED_VALUE"""),500000)</f>
        <v>500000</v>
      </c>
    </row>
    <row r="2951" spans="1:8" ht="13" x14ac:dyDescent="0.15">
      <c r="A2951" s="5" t="str">
        <f ca="1">IFERROR(__xludf.DUMMYFUNCTION("""COMPUTED_VALUE"""),"46763")</f>
        <v>46763</v>
      </c>
      <c r="B2951" s="51">
        <f ca="1">IFERROR(__xludf.DUMMYFUNCTION("""COMPUTED_VALUE"""),44600)</f>
        <v>44600</v>
      </c>
      <c r="C2951" s="22">
        <f ca="1">IFERROR(__xludf.DUMMYFUNCTION("""COMPUTED_VALUE"""),500000)</f>
        <v>500000</v>
      </c>
      <c r="D2951" s="22">
        <f ca="1">IFERROR(__xludf.DUMMYFUNCTION("""COMPUTED_VALUE"""),0)</f>
        <v>0</v>
      </c>
      <c r="E2951" s="22">
        <f ca="1">IFERROR(__xludf.DUMMYFUNCTION("""COMPUTED_VALUE"""),500000)</f>
        <v>500000</v>
      </c>
      <c r="F2951" s="22">
        <f ca="1">IFERROR(__xludf.DUMMYFUNCTION("""COMPUTED_VALUE"""),500000)</f>
        <v>500000</v>
      </c>
      <c r="G2951" s="22">
        <f ca="1">IFERROR(__xludf.DUMMYFUNCTION("""COMPUTED_VALUE"""),0)</f>
        <v>0</v>
      </c>
      <c r="H2951" s="7">
        <f ca="1">IFERROR(__xludf.DUMMYFUNCTION("""COMPUTED_VALUE"""),500000)</f>
        <v>500000</v>
      </c>
    </row>
    <row r="2952" spans="1:8" ht="13" x14ac:dyDescent="0.15">
      <c r="A2952" s="5" t="str">
        <f ca="1">IFERROR(__xludf.DUMMYFUNCTION("""COMPUTED_VALUE"""),"46763")</f>
        <v>46763</v>
      </c>
      <c r="B2952" s="51">
        <f ca="1">IFERROR(__xludf.DUMMYFUNCTION("""COMPUTED_VALUE"""),44601)</f>
        <v>44601</v>
      </c>
      <c r="C2952" s="22">
        <f ca="1">IFERROR(__xludf.DUMMYFUNCTION("""COMPUTED_VALUE"""),500000)</f>
        <v>500000</v>
      </c>
      <c r="D2952" s="22">
        <f ca="1">IFERROR(__xludf.DUMMYFUNCTION("""COMPUTED_VALUE"""),0)</f>
        <v>0</v>
      </c>
      <c r="E2952" s="22">
        <f ca="1">IFERROR(__xludf.DUMMYFUNCTION("""COMPUTED_VALUE"""),500000)</f>
        <v>500000</v>
      </c>
      <c r="F2952" s="22">
        <f ca="1">IFERROR(__xludf.DUMMYFUNCTION("""COMPUTED_VALUE"""),500000)</f>
        <v>500000</v>
      </c>
      <c r="G2952" s="22">
        <f ca="1">IFERROR(__xludf.DUMMYFUNCTION("""COMPUTED_VALUE"""),0)</f>
        <v>0</v>
      </c>
      <c r="H2952" s="7">
        <f ca="1">IFERROR(__xludf.DUMMYFUNCTION("""COMPUTED_VALUE"""),500000)</f>
        <v>500000</v>
      </c>
    </row>
    <row r="2953" spans="1:8" ht="13" x14ac:dyDescent="0.15">
      <c r="A2953" s="5" t="str">
        <f ca="1">IFERROR(__xludf.DUMMYFUNCTION("""COMPUTED_VALUE"""),"46763")</f>
        <v>46763</v>
      </c>
      <c r="B2953" s="51">
        <f ca="1">IFERROR(__xludf.DUMMYFUNCTION("""COMPUTED_VALUE"""),44602)</f>
        <v>44602</v>
      </c>
      <c r="C2953" s="22">
        <f ca="1">IFERROR(__xludf.DUMMYFUNCTION("""COMPUTED_VALUE"""),500000)</f>
        <v>500000</v>
      </c>
      <c r="D2953" s="22">
        <f ca="1">IFERROR(__xludf.DUMMYFUNCTION("""COMPUTED_VALUE"""),0)</f>
        <v>0</v>
      </c>
      <c r="E2953" s="22">
        <f ca="1">IFERROR(__xludf.DUMMYFUNCTION("""COMPUTED_VALUE"""),500000)</f>
        <v>500000</v>
      </c>
      <c r="F2953" s="22">
        <f ca="1">IFERROR(__xludf.DUMMYFUNCTION("""COMPUTED_VALUE"""),500000)</f>
        <v>500000</v>
      </c>
      <c r="G2953" s="22">
        <f ca="1">IFERROR(__xludf.DUMMYFUNCTION("""COMPUTED_VALUE"""),0)</f>
        <v>0</v>
      </c>
      <c r="H2953" s="7">
        <f ca="1">IFERROR(__xludf.DUMMYFUNCTION("""COMPUTED_VALUE"""),500000)</f>
        <v>500000</v>
      </c>
    </row>
    <row r="2954" spans="1:8" ht="13" x14ac:dyDescent="0.15">
      <c r="A2954" s="5" t="str">
        <f ca="1">IFERROR(__xludf.DUMMYFUNCTION("""COMPUTED_VALUE"""),"46763")</f>
        <v>46763</v>
      </c>
      <c r="B2954" s="51">
        <f ca="1">IFERROR(__xludf.DUMMYFUNCTION("""COMPUTED_VALUE"""),44603)</f>
        <v>44603</v>
      </c>
      <c r="C2954" s="22">
        <f ca="1">IFERROR(__xludf.DUMMYFUNCTION("""COMPUTED_VALUE"""),500000)</f>
        <v>500000</v>
      </c>
      <c r="D2954" s="22">
        <f ca="1">IFERROR(__xludf.DUMMYFUNCTION("""COMPUTED_VALUE"""),0)</f>
        <v>0</v>
      </c>
      <c r="E2954" s="22">
        <f ca="1">IFERROR(__xludf.DUMMYFUNCTION("""COMPUTED_VALUE"""),500000)</f>
        <v>500000</v>
      </c>
      <c r="F2954" s="22">
        <f ca="1">IFERROR(__xludf.DUMMYFUNCTION("""COMPUTED_VALUE"""),500000)</f>
        <v>500000</v>
      </c>
      <c r="G2954" s="22">
        <f ca="1">IFERROR(__xludf.DUMMYFUNCTION("""COMPUTED_VALUE"""),0)</f>
        <v>0</v>
      </c>
      <c r="H2954" s="7">
        <f ca="1">IFERROR(__xludf.DUMMYFUNCTION("""COMPUTED_VALUE"""),500000)</f>
        <v>500000</v>
      </c>
    </row>
    <row r="2955" spans="1:8" ht="13" x14ac:dyDescent="0.15">
      <c r="A2955" s="5" t="str">
        <f ca="1">IFERROR(__xludf.DUMMYFUNCTION("""COMPUTED_VALUE"""),"46763")</f>
        <v>46763</v>
      </c>
      <c r="B2955" s="51">
        <f ca="1">IFERROR(__xludf.DUMMYFUNCTION("""COMPUTED_VALUE"""),44604)</f>
        <v>44604</v>
      </c>
      <c r="C2955" s="22">
        <f ca="1">IFERROR(__xludf.DUMMYFUNCTION("""COMPUTED_VALUE"""),500000)</f>
        <v>500000</v>
      </c>
      <c r="D2955" s="22">
        <f ca="1">IFERROR(__xludf.DUMMYFUNCTION("""COMPUTED_VALUE"""),0)</f>
        <v>0</v>
      </c>
      <c r="E2955" s="22">
        <f ca="1">IFERROR(__xludf.DUMMYFUNCTION("""COMPUTED_VALUE"""),500000)</f>
        <v>500000</v>
      </c>
      <c r="F2955" s="22">
        <f ca="1">IFERROR(__xludf.DUMMYFUNCTION("""COMPUTED_VALUE"""),500000)</f>
        <v>500000</v>
      </c>
      <c r="G2955" s="22">
        <f ca="1">IFERROR(__xludf.DUMMYFUNCTION("""COMPUTED_VALUE"""),0)</f>
        <v>0</v>
      </c>
      <c r="H2955" s="7">
        <f ca="1">IFERROR(__xludf.DUMMYFUNCTION("""COMPUTED_VALUE"""),500000)</f>
        <v>500000</v>
      </c>
    </row>
    <row r="2956" spans="1:8" ht="13" x14ac:dyDescent="0.15">
      <c r="A2956" s="5" t="str">
        <f ca="1">IFERROR(__xludf.DUMMYFUNCTION("""COMPUTED_VALUE"""),"46763")</f>
        <v>46763</v>
      </c>
      <c r="B2956" s="51">
        <f ca="1">IFERROR(__xludf.DUMMYFUNCTION("""COMPUTED_VALUE"""),44605)</f>
        <v>44605</v>
      </c>
      <c r="C2956" s="22">
        <f ca="1">IFERROR(__xludf.DUMMYFUNCTION("""COMPUTED_VALUE"""),500000)</f>
        <v>500000</v>
      </c>
      <c r="D2956" s="22">
        <f ca="1">IFERROR(__xludf.DUMMYFUNCTION("""COMPUTED_VALUE"""),0)</f>
        <v>0</v>
      </c>
      <c r="E2956" s="22">
        <f ca="1">IFERROR(__xludf.DUMMYFUNCTION("""COMPUTED_VALUE"""),500000)</f>
        <v>500000</v>
      </c>
      <c r="F2956" s="22">
        <f ca="1">IFERROR(__xludf.DUMMYFUNCTION("""COMPUTED_VALUE"""),500000)</f>
        <v>500000</v>
      </c>
      <c r="G2956" s="22">
        <f ca="1">IFERROR(__xludf.DUMMYFUNCTION("""COMPUTED_VALUE"""),0)</f>
        <v>0</v>
      </c>
      <c r="H2956" s="7">
        <f ca="1">IFERROR(__xludf.DUMMYFUNCTION("""COMPUTED_VALUE"""),500000)</f>
        <v>500000</v>
      </c>
    </row>
    <row r="2957" spans="1:8" ht="13" x14ac:dyDescent="0.15">
      <c r="A2957" s="5" t="str">
        <f ca="1">IFERROR(__xludf.DUMMYFUNCTION("""COMPUTED_VALUE"""),"46763")</f>
        <v>46763</v>
      </c>
      <c r="B2957" s="51">
        <f ca="1">IFERROR(__xludf.DUMMYFUNCTION("""COMPUTED_VALUE"""),44606)</f>
        <v>44606</v>
      </c>
      <c r="C2957" s="22">
        <f ca="1">IFERROR(__xludf.DUMMYFUNCTION("""COMPUTED_VALUE"""),500000)</f>
        <v>500000</v>
      </c>
      <c r="D2957" s="22">
        <f ca="1">IFERROR(__xludf.DUMMYFUNCTION("""COMPUTED_VALUE"""),0)</f>
        <v>0</v>
      </c>
      <c r="E2957" s="22">
        <f ca="1">IFERROR(__xludf.DUMMYFUNCTION("""COMPUTED_VALUE"""),500000)</f>
        <v>500000</v>
      </c>
      <c r="F2957" s="22">
        <f ca="1">IFERROR(__xludf.DUMMYFUNCTION("""COMPUTED_VALUE"""),500000)</f>
        <v>500000</v>
      </c>
      <c r="G2957" s="22">
        <f ca="1">IFERROR(__xludf.DUMMYFUNCTION("""COMPUTED_VALUE"""),0)</f>
        <v>0</v>
      </c>
      <c r="H2957" s="7">
        <f ca="1">IFERROR(__xludf.DUMMYFUNCTION("""COMPUTED_VALUE"""),500000)</f>
        <v>500000</v>
      </c>
    </row>
    <row r="2958" spans="1:8" ht="13" x14ac:dyDescent="0.15">
      <c r="A2958" s="5" t="str">
        <f ca="1">IFERROR(__xludf.DUMMYFUNCTION("""COMPUTED_VALUE"""),"46763")</f>
        <v>46763</v>
      </c>
      <c r="B2958" s="51">
        <f ca="1">IFERROR(__xludf.DUMMYFUNCTION("""COMPUTED_VALUE"""),44607)</f>
        <v>44607</v>
      </c>
      <c r="C2958" s="22">
        <f ca="1">IFERROR(__xludf.DUMMYFUNCTION("""COMPUTED_VALUE"""),500000)</f>
        <v>500000</v>
      </c>
      <c r="D2958" s="22">
        <f ca="1">IFERROR(__xludf.DUMMYFUNCTION("""COMPUTED_VALUE"""),0)</f>
        <v>0</v>
      </c>
      <c r="E2958" s="22">
        <f ca="1">IFERROR(__xludf.DUMMYFUNCTION("""COMPUTED_VALUE"""),500000)</f>
        <v>500000</v>
      </c>
      <c r="F2958" s="22">
        <f ca="1">IFERROR(__xludf.DUMMYFUNCTION("""COMPUTED_VALUE"""),500000)</f>
        <v>500000</v>
      </c>
      <c r="G2958" s="22">
        <f ca="1">IFERROR(__xludf.DUMMYFUNCTION("""COMPUTED_VALUE"""),0)</f>
        <v>0</v>
      </c>
      <c r="H2958" s="7">
        <f ca="1">IFERROR(__xludf.DUMMYFUNCTION("""COMPUTED_VALUE"""),500000)</f>
        <v>500000</v>
      </c>
    </row>
    <row r="2959" spans="1:8" ht="13" x14ac:dyDescent="0.15">
      <c r="A2959" s="5" t="str">
        <f ca="1">IFERROR(__xludf.DUMMYFUNCTION("""COMPUTED_VALUE"""),"46763")</f>
        <v>46763</v>
      </c>
      <c r="B2959" s="51">
        <f ca="1">IFERROR(__xludf.DUMMYFUNCTION("""COMPUTED_VALUE"""),44608)</f>
        <v>44608</v>
      </c>
      <c r="C2959" s="22">
        <f ca="1">IFERROR(__xludf.DUMMYFUNCTION("""COMPUTED_VALUE"""),500000)</f>
        <v>500000</v>
      </c>
      <c r="D2959" s="22">
        <f ca="1">IFERROR(__xludf.DUMMYFUNCTION("""COMPUTED_VALUE"""),0)</f>
        <v>0</v>
      </c>
      <c r="E2959" s="22">
        <f ca="1">IFERROR(__xludf.DUMMYFUNCTION("""COMPUTED_VALUE"""),500000)</f>
        <v>500000</v>
      </c>
      <c r="F2959" s="22">
        <f ca="1">IFERROR(__xludf.DUMMYFUNCTION("""COMPUTED_VALUE"""),500000)</f>
        <v>500000</v>
      </c>
      <c r="G2959" s="22">
        <f ca="1">IFERROR(__xludf.DUMMYFUNCTION("""COMPUTED_VALUE"""),0)</f>
        <v>0</v>
      </c>
      <c r="H2959" s="7">
        <f ca="1">IFERROR(__xludf.DUMMYFUNCTION("""COMPUTED_VALUE"""),500000)</f>
        <v>500000</v>
      </c>
    </row>
    <row r="2960" spans="1:8" ht="13" x14ac:dyDescent="0.15">
      <c r="A2960" s="5" t="str">
        <f ca="1">IFERROR(__xludf.DUMMYFUNCTION("""COMPUTED_VALUE"""),"46763")</f>
        <v>46763</v>
      </c>
      <c r="B2960" s="51">
        <f ca="1">IFERROR(__xludf.DUMMYFUNCTION("""COMPUTED_VALUE"""),44609)</f>
        <v>44609</v>
      </c>
      <c r="C2960" s="22">
        <f ca="1">IFERROR(__xludf.DUMMYFUNCTION("""COMPUTED_VALUE"""),500000)</f>
        <v>500000</v>
      </c>
      <c r="D2960" s="22">
        <f ca="1">IFERROR(__xludf.DUMMYFUNCTION("""COMPUTED_VALUE"""),0)</f>
        <v>0</v>
      </c>
      <c r="E2960" s="22">
        <f ca="1">IFERROR(__xludf.DUMMYFUNCTION("""COMPUTED_VALUE"""),500000)</f>
        <v>500000</v>
      </c>
      <c r="F2960" s="22">
        <f ca="1">IFERROR(__xludf.DUMMYFUNCTION("""COMPUTED_VALUE"""),500000)</f>
        <v>500000</v>
      </c>
      <c r="G2960" s="22">
        <f ca="1">IFERROR(__xludf.DUMMYFUNCTION("""COMPUTED_VALUE"""),0)</f>
        <v>0</v>
      </c>
      <c r="H2960" s="7">
        <f ca="1">IFERROR(__xludf.DUMMYFUNCTION("""COMPUTED_VALUE"""),500000)</f>
        <v>500000</v>
      </c>
    </row>
    <row r="2961" spans="1:8" ht="13" x14ac:dyDescent="0.15">
      <c r="A2961" s="5" t="str">
        <f ca="1">IFERROR(__xludf.DUMMYFUNCTION("""COMPUTED_VALUE"""),"46763")</f>
        <v>46763</v>
      </c>
      <c r="B2961" s="51">
        <f ca="1">IFERROR(__xludf.DUMMYFUNCTION("""COMPUTED_VALUE"""),44610)</f>
        <v>44610</v>
      </c>
      <c r="C2961" s="22">
        <f ca="1">IFERROR(__xludf.DUMMYFUNCTION("""COMPUTED_VALUE"""),500000)</f>
        <v>500000</v>
      </c>
      <c r="D2961" s="22">
        <f ca="1">IFERROR(__xludf.DUMMYFUNCTION("""COMPUTED_VALUE"""),0)</f>
        <v>0</v>
      </c>
      <c r="E2961" s="22">
        <f ca="1">IFERROR(__xludf.DUMMYFUNCTION("""COMPUTED_VALUE"""),500000)</f>
        <v>500000</v>
      </c>
      <c r="F2961" s="22">
        <f ca="1">IFERROR(__xludf.DUMMYFUNCTION("""COMPUTED_VALUE"""),500000)</f>
        <v>500000</v>
      </c>
      <c r="G2961" s="22">
        <f ca="1">IFERROR(__xludf.DUMMYFUNCTION("""COMPUTED_VALUE"""),0)</f>
        <v>0</v>
      </c>
      <c r="H2961" s="7">
        <f ca="1">IFERROR(__xludf.DUMMYFUNCTION("""COMPUTED_VALUE"""),500000)</f>
        <v>500000</v>
      </c>
    </row>
    <row r="2962" spans="1:8" ht="13" x14ac:dyDescent="0.15">
      <c r="A2962" s="5" t="str">
        <f ca="1">IFERROR(__xludf.DUMMYFUNCTION("""COMPUTED_VALUE"""),"46763")</f>
        <v>46763</v>
      </c>
      <c r="B2962" s="51">
        <f ca="1">IFERROR(__xludf.DUMMYFUNCTION("""COMPUTED_VALUE"""),44611)</f>
        <v>44611</v>
      </c>
      <c r="C2962" s="22">
        <f ca="1">IFERROR(__xludf.DUMMYFUNCTION("""COMPUTED_VALUE"""),500000)</f>
        <v>500000</v>
      </c>
      <c r="D2962" s="22">
        <f ca="1">IFERROR(__xludf.DUMMYFUNCTION("""COMPUTED_VALUE"""),0)</f>
        <v>0</v>
      </c>
      <c r="E2962" s="22">
        <f ca="1">IFERROR(__xludf.DUMMYFUNCTION("""COMPUTED_VALUE"""),500000)</f>
        <v>500000</v>
      </c>
      <c r="F2962" s="22">
        <f ca="1">IFERROR(__xludf.DUMMYFUNCTION("""COMPUTED_VALUE"""),500000)</f>
        <v>500000</v>
      </c>
      <c r="G2962" s="22">
        <f ca="1">IFERROR(__xludf.DUMMYFUNCTION("""COMPUTED_VALUE"""),0)</f>
        <v>0</v>
      </c>
      <c r="H2962" s="7">
        <f ca="1">IFERROR(__xludf.DUMMYFUNCTION("""COMPUTED_VALUE"""),500000)</f>
        <v>500000</v>
      </c>
    </row>
    <row r="2963" spans="1:8" ht="13" x14ac:dyDescent="0.15">
      <c r="A2963" s="5" t="str">
        <f ca="1">IFERROR(__xludf.DUMMYFUNCTION("""COMPUTED_VALUE"""),"46763")</f>
        <v>46763</v>
      </c>
      <c r="B2963" s="51">
        <f ca="1">IFERROR(__xludf.DUMMYFUNCTION("""COMPUTED_VALUE"""),44612)</f>
        <v>44612</v>
      </c>
      <c r="C2963" s="22">
        <f ca="1">IFERROR(__xludf.DUMMYFUNCTION("""COMPUTED_VALUE"""),500000)</f>
        <v>500000</v>
      </c>
      <c r="D2963" s="22">
        <f ca="1">IFERROR(__xludf.DUMMYFUNCTION("""COMPUTED_VALUE"""),0)</f>
        <v>0</v>
      </c>
      <c r="E2963" s="22">
        <f ca="1">IFERROR(__xludf.DUMMYFUNCTION("""COMPUTED_VALUE"""),500000)</f>
        <v>500000</v>
      </c>
      <c r="F2963" s="22">
        <f ca="1">IFERROR(__xludf.DUMMYFUNCTION("""COMPUTED_VALUE"""),500000)</f>
        <v>500000</v>
      </c>
      <c r="G2963" s="22">
        <f ca="1">IFERROR(__xludf.DUMMYFUNCTION("""COMPUTED_VALUE"""),0)</f>
        <v>0</v>
      </c>
      <c r="H2963" s="7">
        <f ca="1">IFERROR(__xludf.DUMMYFUNCTION("""COMPUTED_VALUE"""),500000)</f>
        <v>500000</v>
      </c>
    </row>
    <row r="2964" spans="1:8" ht="13" x14ac:dyDescent="0.15">
      <c r="A2964" s="5" t="str">
        <f ca="1">IFERROR(__xludf.DUMMYFUNCTION("""COMPUTED_VALUE"""),"46763")</f>
        <v>46763</v>
      </c>
      <c r="B2964" s="51">
        <f ca="1">IFERROR(__xludf.DUMMYFUNCTION("""COMPUTED_VALUE"""),44613)</f>
        <v>44613</v>
      </c>
      <c r="C2964" s="22">
        <f ca="1">IFERROR(__xludf.DUMMYFUNCTION("""COMPUTED_VALUE"""),500000)</f>
        <v>500000</v>
      </c>
      <c r="D2964" s="22">
        <f ca="1">IFERROR(__xludf.DUMMYFUNCTION("""COMPUTED_VALUE"""),0)</f>
        <v>0</v>
      </c>
      <c r="E2964" s="22">
        <f ca="1">IFERROR(__xludf.DUMMYFUNCTION("""COMPUTED_VALUE"""),500000)</f>
        <v>500000</v>
      </c>
      <c r="F2964" s="22">
        <f ca="1">IFERROR(__xludf.DUMMYFUNCTION("""COMPUTED_VALUE"""),500000)</f>
        <v>500000</v>
      </c>
      <c r="G2964" s="22">
        <f ca="1">IFERROR(__xludf.DUMMYFUNCTION("""COMPUTED_VALUE"""),0)</f>
        <v>0</v>
      </c>
      <c r="H2964" s="7">
        <f ca="1">IFERROR(__xludf.DUMMYFUNCTION("""COMPUTED_VALUE"""),500000)</f>
        <v>500000</v>
      </c>
    </row>
    <row r="2965" spans="1:8" ht="13" x14ac:dyDescent="0.15">
      <c r="A2965" s="5" t="str">
        <f ca="1">IFERROR(__xludf.DUMMYFUNCTION("""COMPUTED_VALUE"""),"46763")</f>
        <v>46763</v>
      </c>
      <c r="B2965" s="51">
        <f ca="1">IFERROR(__xludf.DUMMYFUNCTION("""COMPUTED_VALUE"""),44614)</f>
        <v>44614</v>
      </c>
      <c r="C2965" s="22">
        <f ca="1">IFERROR(__xludf.DUMMYFUNCTION("""COMPUTED_VALUE"""),500000)</f>
        <v>500000</v>
      </c>
      <c r="D2965" s="22">
        <f ca="1">IFERROR(__xludf.DUMMYFUNCTION("""COMPUTED_VALUE"""),0)</f>
        <v>0</v>
      </c>
      <c r="E2965" s="22">
        <f ca="1">IFERROR(__xludf.DUMMYFUNCTION("""COMPUTED_VALUE"""),500000)</f>
        <v>500000</v>
      </c>
      <c r="F2965" s="22">
        <f ca="1">IFERROR(__xludf.DUMMYFUNCTION("""COMPUTED_VALUE"""),500000)</f>
        <v>500000</v>
      </c>
      <c r="G2965" s="22">
        <f ca="1">IFERROR(__xludf.DUMMYFUNCTION("""COMPUTED_VALUE"""),0)</f>
        <v>0</v>
      </c>
      <c r="H2965" s="7">
        <f ca="1">IFERROR(__xludf.DUMMYFUNCTION("""COMPUTED_VALUE"""),500000)</f>
        <v>500000</v>
      </c>
    </row>
    <row r="2966" spans="1:8" ht="13" x14ac:dyDescent="0.15">
      <c r="A2966" s="5" t="str">
        <f ca="1">IFERROR(__xludf.DUMMYFUNCTION("""COMPUTED_VALUE"""),"46763")</f>
        <v>46763</v>
      </c>
      <c r="B2966" s="51">
        <f ca="1">IFERROR(__xludf.DUMMYFUNCTION("""COMPUTED_VALUE"""),44615)</f>
        <v>44615</v>
      </c>
      <c r="C2966" s="22">
        <f ca="1">IFERROR(__xludf.DUMMYFUNCTION("""COMPUTED_VALUE"""),500000)</f>
        <v>500000</v>
      </c>
      <c r="D2966" s="22">
        <f ca="1">IFERROR(__xludf.DUMMYFUNCTION("""COMPUTED_VALUE"""),0)</f>
        <v>0</v>
      </c>
      <c r="E2966" s="22">
        <f ca="1">IFERROR(__xludf.DUMMYFUNCTION("""COMPUTED_VALUE"""),500000)</f>
        <v>500000</v>
      </c>
      <c r="F2966" s="22">
        <f ca="1">IFERROR(__xludf.DUMMYFUNCTION("""COMPUTED_VALUE"""),500000)</f>
        <v>500000</v>
      </c>
      <c r="G2966" s="22">
        <f ca="1">IFERROR(__xludf.DUMMYFUNCTION("""COMPUTED_VALUE"""),0)</f>
        <v>0</v>
      </c>
      <c r="H2966" s="7">
        <f ca="1">IFERROR(__xludf.DUMMYFUNCTION("""COMPUTED_VALUE"""),500000)</f>
        <v>500000</v>
      </c>
    </row>
    <row r="2967" spans="1:8" ht="13" x14ac:dyDescent="0.15">
      <c r="A2967" s="5" t="str">
        <f ca="1">IFERROR(__xludf.DUMMYFUNCTION("""COMPUTED_VALUE"""),"46763")</f>
        <v>46763</v>
      </c>
      <c r="B2967" s="51">
        <f ca="1">IFERROR(__xludf.DUMMYFUNCTION("""COMPUTED_VALUE"""),44616)</f>
        <v>44616</v>
      </c>
      <c r="C2967" s="22">
        <f ca="1">IFERROR(__xludf.DUMMYFUNCTION("""COMPUTED_VALUE"""),500000)</f>
        <v>500000</v>
      </c>
      <c r="D2967" s="22">
        <f ca="1">IFERROR(__xludf.DUMMYFUNCTION("""COMPUTED_VALUE"""),0)</f>
        <v>0</v>
      </c>
      <c r="E2967" s="22">
        <f ca="1">IFERROR(__xludf.DUMMYFUNCTION("""COMPUTED_VALUE"""),500000)</f>
        <v>500000</v>
      </c>
      <c r="F2967" s="22">
        <f ca="1">IFERROR(__xludf.DUMMYFUNCTION("""COMPUTED_VALUE"""),500000)</f>
        <v>500000</v>
      </c>
      <c r="G2967" s="22">
        <f ca="1">IFERROR(__xludf.DUMMYFUNCTION("""COMPUTED_VALUE"""),0)</f>
        <v>0</v>
      </c>
      <c r="H2967" s="7">
        <f ca="1">IFERROR(__xludf.DUMMYFUNCTION("""COMPUTED_VALUE"""),500000)</f>
        <v>500000</v>
      </c>
    </row>
    <row r="2968" spans="1:8" ht="13" x14ac:dyDescent="0.15">
      <c r="A2968" s="5" t="str">
        <f ca="1">IFERROR(__xludf.DUMMYFUNCTION("""COMPUTED_VALUE"""),"46763")</f>
        <v>46763</v>
      </c>
      <c r="B2968" s="51">
        <f ca="1">IFERROR(__xludf.DUMMYFUNCTION("""COMPUTED_VALUE"""),44617)</f>
        <v>44617</v>
      </c>
      <c r="C2968" s="22">
        <f ca="1">IFERROR(__xludf.DUMMYFUNCTION("""COMPUTED_VALUE"""),500000)</f>
        <v>500000</v>
      </c>
      <c r="D2968" s="22">
        <f ca="1">IFERROR(__xludf.DUMMYFUNCTION("""COMPUTED_VALUE"""),0)</f>
        <v>0</v>
      </c>
      <c r="E2968" s="22">
        <f ca="1">IFERROR(__xludf.DUMMYFUNCTION("""COMPUTED_VALUE"""),500000)</f>
        <v>500000</v>
      </c>
      <c r="F2968" s="22">
        <f ca="1">IFERROR(__xludf.DUMMYFUNCTION("""COMPUTED_VALUE"""),500000)</f>
        <v>500000</v>
      </c>
      <c r="G2968" s="22">
        <f ca="1">IFERROR(__xludf.DUMMYFUNCTION("""COMPUTED_VALUE"""),0)</f>
        <v>0</v>
      </c>
      <c r="H2968" s="7">
        <f ca="1">IFERROR(__xludf.DUMMYFUNCTION("""COMPUTED_VALUE"""),500000)</f>
        <v>500000</v>
      </c>
    </row>
    <row r="2969" spans="1:8" ht="13" x14ac:dyDescent="0.15">
      <c r="A2969" s="5" t="str">
        <f ca="1">IFERROR(__xludf.DUMMYFUNCTION("""COMPUTED_VALUE"""),"46763")</f>
        <v>46763</v>
      </c>
      <c r="B2969" s="51">
        <f ca="1">IFERROR(__xludf.DUMMYFUNCTION("""COMPUTED_VALUE"""),44618)</f>
        <v>44618</v>
      </c>
      <c r="C2969" s="22">
        <f ca="1">IFERROR(__xludf.DUMMYFUNCTION("""COMPUTED_VALUE"""),500000)</f>
        <v>500000</v>
      </c>
      <c r="D2969" s="22">
        <f ca="1">IFERROR(__xludf.DUMMYFUNCTION("""COMPUTED_VALUE"""),0)</f>
        <v>0</v>
      </c>
      <c r="E2969" s="22">
        <f ca="1">IFERROR(__xludf.DUMMYFUNCTION("""COMPUTED_VALUE"""),500000)</f>
        <v>500000</v>
      </c>
      <c r="F2969" s="22">
        <f ca="1">IFERROR(__xludf.DUMMYFUNCTION("""COMPUTED_VALUE"""),500000)</f>
        <v>500000</v>
      </c>
      <c r="G2969" s="22">
        <f ca="1">IFERROR(__xludf.DUMMYFUNCTION("""COMPUTED_VALUE"""),0)</f>
        <v>0</v>
      </c>
      <c r="H2969" s="7">
        <f ca="1">IFERROR(__xludf.DUMMYFUNCTION("""COMPUTED_VALUE"""),500000)</f>
        <v>500000</v>
      </c>
    </row>
    <row r="2970" spans="1:8" ht="13" x14ac:dyDescent="0.15">
      <c r="A2970" s="5" t="str">
        <f ca="1">IFERROR(__xludf.DUMMYFUNCTION("""COMPUTED_VALUE"""),"46763")</f>
        <v>46763</v>
      </c>
      <c r="B2970" s="51">
        <f ca="1">IFERROR(__xludf.DUMMYFUNCTION("""COMPUTED_VALUE"""),44619)</f>
        <v>44619</v>
      </c>
      <c r="C2970" s="22">
        <f ca="1">IFERROR(__xludf.DUMMYFUNCTION("""COMPUTED_VALUE"""),500000)</f>
        <v>500000</v>
      </c>
      <c r="D2970" s="22">
        <f ca="1">IFERROR(__xludf.DUMMYFUNCTION("""COMPUTED_VALUE"""),0)</f>
        <v>0</v>
      </c>
      <c r="E2970" s="22">
        <f ca="1">IFERROR(__xludf.DUMMYFUNCTION("""COMPUTED_VALUE"""),500000)</f>
        <v>500000</v>
      </c>
      <c r="F2970" s="22">
        <f ca="1">IFERROR(__xludf.DUMMYFUNCTION("""COMPUTED_VALUE"""),500000)</f>
        <v>500000</v>
      </c>
      <c r="G2970" s="22">
        <f ca="1">IFERROR(__xludf.DUMMYFUNCTION("""COMPUTED_VALUE"""),0)</f>
        <v>0</v>
      </c>
      <c r="H2970" s="7">
        <f ca="1">IFERROR(__xludf.DUMMYFUNCTION("""COMPUTED_VALUE"""),500000)</f>
        <v>500000</v>
      </c>
    </row>
    <row r="2971" spans="1:8" ht="13" x14ac:dyDescent="0.15">
      <c r="A2971" s="5" t="str">
        <f ca="1">IFERROR(__xludf.DUMMYFUNCTION("""COMPUTED_VALUE"""),"46763")</f>
        <v>46763</v>
      </c>
      <c r="B2971" s="51">
        <f ca="1">IFERROR(__xludf.DUMMYFUNCTION("""COMPUTED_VALUE"""),44620)</f>
        <v>44620</v>
      </c>
      <c r="C2971" s="22">
        <f ca="1">IFERROR(__xludf.DUMMYFUNCTION("""COMPUTED_VALUE"""),500000)</f>
        <v>500000</v>
      </c>
      <c r="D2971" s="22">
        <f ca="1">IFERROR(__xludf.DUMMYFUNCTION("""COMPUTED_VALUE"""),0)</f>
        <v>0</v>
      </c>
      <c r="E2971" s="22">
        <f ca="1">IFERROR(__xludf.DUMMYFUNCTION("""COMPUTED_VALUE"""),500000)</f>
        <v>500000</v>
      </c>
      <c r="F2971" s="22">
        <f ca="1">IFERROR(__xludf.DUMMYFUNCTION("""COMPUTED_VALUE"""),500000)</f>
        <v>500000</v>
      </c>
      <c r="G2971" s="22">
        <f ca="1">IFERROR(__xludf.DUMMYFUNCTION("""COMPUTED_VALUE"""),0)</f>
        <v>0</v>
      </c>
      <c r="H2971" s="7">
        <f ca="1">IFERROR(__xludf.DUMMYFUNCTION("""COMPUTED_VALUE"""),500000)</f>
        <v>500000</v>
      </c>
    </row>
    <row r="2972" spans="1:8" ht="13" x14ac:dyDescent="0.15">
      <c r="A2972" s="5" t="str">
        <f ca="1">IFERROR(__xludf.DUMMYFUNCTION("""COMPUTED_VALUE"""),"46763")</f>
        <v>46763</v>
      </c>
      <c r="B2972" s="51">
        <f ca="1">IFERROR(__xludf.DUMMYFUNCTION("""COMPUTED_VALUE"""),44621)</f>
        <v>44621</v>
      </c>
      <c r="C2972" s="22">
        <f ca="1">IFERROR(__xludf.DUMMYFUNCTION("""COMPUTED_VALUE"""),500000)</f>
        <v>500000</v>
      </c>
      <c r="D2972" s="22">
        <f ca="1">IFERROR(__xludf.DUMMYFUNCTION("""COMPUTED_VALUE"""),0)</f>
        <v>0</v>
      </c>
      <c r="E2972" s="22">
        <f ca="1">IFERROR(__xludf.DUMMYFUNCTION("""COMPUTED_VALUE"""),500000)</f>
        <v>500000</v>
      </c>
      <c r="F2972" s="22">
        <f ca="1">IFERROR(__xludf.DUMMYFUNCTION("""COMPUTED_VALUE"""),500000)</f>
        <v>500000</v>
      </c>
      <c r="G2972" s="22">
        <f ca="1">IFERROR(__xludf.DUMMYFUNCTION("""COMPUTED_VALUE"""),0)</f>
        <v>0</v>
      </c>
      <c r="H2972" s="7">
        <f ca="1">IFERROR(__xludf.DUMMYFUNCTION("""COMPUTED_VALUE"""),500000)</f>
        <v>500000</v>
      </c>
    </row>
    <row r="2973" spans="1:8" ht="13" x14ac:dyDescent="0.15">
      <c r="A2973" s="5" t="str">
        <f ca="1">IFERROR(__xludf.DUMMYFUNCTION("""COMPUTED_VALUE"""),"46763")</f>
        <v>46763</v>
      </c>
      <c r="B2973" s="51">
        <f ca="1">IFERROR(__xludf.DUMMYFUNCTION("""COMPUTED_VALUE"""),44622)</f>
        <v>44622</v>
      </c>
      <c r="C2973" s="22">
        <f ca="1">IFERROR(__xludf.DUMMYFUNCTION("""COMPUTED_VALUE"""),500000)</f>
        <v>500000</v>
      </c>
      <c r="D2973" s="22">
        <f ca="1">IFERROR(__xludf.DUMMYFUNCTION("""COMPUTED_VALUE"""),0)</f>
        <v>0</v>
      </c>
      <c r="E2973" s="22">
        <f ca="1">IFERROR(__xludf.DUMMYFUNCTION("""COMPUTED_VALUE"""),500000)</f>
        <v>500000</v>
      </c>
      <c r="F2973" s="22">
        <f ca="1">IFERROR(__xludf.DUMMYFUNCTION("""COMPUTED_VALUE"""),500000)</f>
        <v>500000</v>
      </c>
      <c r="G2973" s="22">
        <f ca="1">IFERROR(__xludf.DUMMYFUNCTION("""COMPUTED_VALUE"""),0)</f>
        <v>0</v>
      </c>
      <c r="H2973" s="7">
        <f ca="1">IFERROR(__xludf.DUMMYFUNCTION("""COMPUTED_VALUE"""),500000)</f>
        <v>500000</v>
      </c>
    </row>
    <row r="2974" spans="1:8" ht="13" x14ac:dyDescent="0.15">
      <c r="A2974" s="5" t="str">
        <f ca="1">IFERROR(__xludf.DUMMYFUNCTION("""COMPUTED_VALUE"""),"46763")</f>
        <v>46763</v>
      </c>
      <c r="B2974" s="51">
        <f ca="1">IFERROR(__xludf.DUMMYFUNCTION("""COMPUTED_VALUE"""),44623)</f>
        <v>44623</v>
      </c>
      <c r="C2974" s="22">
        <f ca="1">IFERROR(__xludf.DUMMYFUNCTION("""COMPUTED_VALUE"""),500000)</f>
        <v>500000</v>
      </c>
      <c r="D2974" s="22">
        <f ca="1">IFERROR(__xludf.DUMMYFUNCTION("""COMPUTED_VALUE"""),0)</f>
        <v>0</v>
      </c>
      <c r="E2974" s="22">
        <f ca="1">IFERROR(__xludf.DUMMYFUNCTION("""COMPUTED_VALUE"""),500000)</f>
        <v>500000</v>
      </c>
      <c r="F2974" s="22">
        <f ca="1">IFERROR(__xludf.DUMMYFUNCTION("""COMPUTED_VALUE"""),500000)</f>
        <v>500000</v>
      </c>
      <c r="G2974" s="22">
        <f ca="1">IFERROR(__xludf.DUMMYFUNCTION("""COMPUTED_VALUE"""),0)</f>
        <v>0</v>
      </c>
      <c r="H2974" s="7">
        <f ca="1">IFERROR(__xludf.DUMMYFUNCTION("""COMPUTED_VALUE"""),500000)</f>
        <v>500000</v>
      </c>
    </row>
    <row r="2975" spans="1:8" ht="13" x14ac:dyDescent="0.15">
      <c r="A2975" s="5" t="str">
        <f ca="1">IFERROR(__xludf.DUMMYFUNCTION("""COMPUTED_VALUE"""),"46763")</f>
        <v>46763</v>
      </c>
      <c r="B2975" s="51">
        <f ca="1">IFERROR(__xludf.DUMMYFUNCTION("""COMPUTED_VALUE"""),44624)</f>
        <v>44624</v>
      </c>
      <c r="C2975" s="22">
        <f ca="1">IFERROR(__xludf.DUMMYFUNCTION("""COMPUTED_VALUE"""),500000)</f>
        <v>500000</v>
      </c>
      <c r="D2975" s="22">
        <f ca="1">IFERROR(__xludf.DUMMYFUNCTION("""COMPUTED_VALUE"""),0)</f>
        <v>0</v>
      </c>
      <c r="E2975" s="22">
        <f ca="1">IFERROR(__xludf.DUMMYFUNCTION("""COMPUTED_VALUE"""),500000)</f>
        <v>500000</v>
      </c>
      <c r="F2975" s="22">
        <f ca="1">IFERROR(__xludf.DUMMYFUNCTION("""COMPUTED_VALUE"""),500000)</f>
        <v>500000</v>
      </c>
      <c r="G2975" s="22">
        <f ca="1">IFERROR(__xludf.DUMMYFUNCTION("""COMPUTED_VALUE"""),0)</f>
        <v>0</v>
      </c>
      <c r="H2975" s="7">
        <f ca="1">IFERROR(__xludf.DUMMYFUNCTION("""COMPUTED_VALUE"""),500000)</f>
        <v>500000</v>
      </c>
    </row>
    <row r="2976" spans="1:8" ht="13" x14ac:dyDescent="0.15">
      <c r="A2976" s="5" t="str">
        <f ca="1">IFERROR(__xludf.DUMMYFUNCTION("""COMPUTED_VALUE"""),"46763")</f>
        <v>46763</v>
      </c>
      <c r="B2976" s="51">
        <f ca="1">IFERROR(__xludf.DUMMYFUNCTION("""COMPUTED_VALUE"""),44625)</f>
        <v>44625</v>
      </c>
      <c r="C2976" s="22">
        <f ca="1">IFERROR(__xludf.DUMMYFUNCTION("""COMPUTED_VALUE"""),500000)</f>
        <v>500000</v>
      </c>
      <c r="D2976" s="22">
        <f ca="1">IFERROR(__xludf.DUMMYFUNCTION("""COMPUTED_VALUE"""),0)</f>
        <v>0</v>
      </c>
      <c r="E2976" s="22">
        <f ca="1">IFERROR(__xludf.DUMMYFUNCTION("""COMPUTED_VALUE"""),500000)</f>
        <v>500000</v>
      </c>
      <c r="F2976" s="22">
        <f ca="1">IFERROR(__xludf.DUMMYFUNCTION("""COMPUTED_VALUE"""),500000)</f>
        <v>500000</v>
      </c>
      <c r="G2976" s="22">
        <f ca="1">IFERROR(__xludf.DUMMYFUNCTION("""COMPUTED_VALUE"""),0)</f>
        <v>0</v>
      </c>
      <c r="H2976" s="7">
        <f ca="1">IFERROR(__xludf.DUMMYFUNCTION("""COMPUTED_VALUE"""),500000)</f>
        <v>500000</v>
      </c>
    </row>
    <row r="2977" spans="1:8" ht="13" x14ac:dyDescent="0.15">
      <c r="A2977" s="5" t="str">
        <f ca="1">IFERROR(__xludf.DUMMYFUNCTION("""COMPUTED_VALUE"""),"46763")</f>
        <v>46763</v>
      </c>
      <c r="B2977" s="51">
        <f ca="1">IFERROR(__xludf.DUMMYFUNCTION("""COMPUTED_VALUE"""),44626)</f>
        <v>44626</v>
      </c>
      <c r="C2977" s="22">
        <f ca="1">IFERROR(__xludf.DUMMYFUNCTION("""COMPUTED_VALUE"""),500000)</f>
        <v>500000</v>
      </c>
      <c r="D2977" s="22">
        <f ca="1">IFERROR(__xludf.DUMMYFUNCTION("""COMPUTED_VALUE"""),0)</f>
        <v>0</v>
      </c>
      <c r="E2977" s="22">
        <f ca="1">IFERROR(__xludf.DUMMYFUNCTION("""COMPUTED_VALUE"""),500000)</f>
        <v>500000</v>
      </c>
      <c r="F2977" s="22">
        <f ca="1">IFERROR(__xludf.DUMMYFUNCTION("""COMPUTED_VALUE"""),500000)</f>
        <v>500000</v>
      </c>
      <c r="G2977" s="22">
        <f ca="1">IFERROR(__xludf.DUMMYFUNCTION("""COMPUTED_VALUE"""),0)</f>
        <v>0</v>
      </c>
      <c r="H2977" s="7">
        <f ca="1">IFERROR(__xludf.DUMMYFUNCTION("""COMPUTED_VALUE"""),500000)</f>
        <v>500000</v>
      </c>
    </row>
    <row r="2978" spans="1:8" ht="13" x14ac:dyDescent="0.15">
      <c r="A2978" s="5" t="str">
        <f ca="1">IFERROR(__xludf.DUMMYFUNCTION("""COMPUTED_VALUE"""),"46763")</f>
        <v>46763</v>
      </c>
      <c r="B2978" s="51">
        <f ca="1">IFERROR(__xludf.DUMMYFUNCTION("""COMPUTED_VALUE"""),44627)</f>
        <v>44627</v>
      </c>
      <c r="C2978" s="22">
        <f ca="1">IFERROR(__xludf.DUMMYFUNCTION("""COMPUTED_VALUE"""),341750)</f>
        <v>341750</v>
      </c>
      <c r="D2978" s="22">
        <f ca="1">IFERROR(__xludf.DUMMYFUNCTION("""COMPUTED_VALUE"""),158250)</f>
        <v>158250</v>
      </c>
      <c r="E2978" s="22">
        <f ca="1">IFERROR(__xludf.DUMMYFUNCTION("""COMPUTED_VALUE"""),500000)</f>
        <v>500000</v>
      </c>
      <c r="F2978" s="22">
        <f ca="1">IFERROR(__xludf.DUMMYFUNCTION("""COMPUTED_VALUE"""),341750)</f>
        <v>341750</v>
      </c>
      <c r="G2978" s="22">
        <f ca="1">IFERROR(__xludf.DUMMYFUNCTION("""COMPUTED_VALUE"""),0)</f>
        <v>0</v>
      </c>
      <c r="H2978" s="7">
        <f ca="1">IFERROR(__xludf.DUMMYFUNCTION("""COMPUTED_VALUE"""),500000)</f>
        <v>500000</v>
      </c>
    </row>
    <row r="2979" spans="1:8" ht="13" x14ac:dyDescent="0.15">
      <c r="A2979" s="5" t="str">
        <f ca="1">IFERROR(__xludf.DUMMYFUNCTION("""COMPUTED_VALUE"""),"46763")</f>
        <v>46763</v>
      </c>
      <c r="B2979" s="51">
        <f ca="1">IFERROR(__xludf.DUMMYFUNCTION("""COMPUTED_VALUE"""),44628)</f>
        <v>44628</v>
      </c>
      <c r="C2979" s="22">
        <f ca="1">IFERROR(__xludf.DUMMYFUNCTION("""COMPUTED_VALUE"""),421250)</f>
        <v>421250</v>
      </c>
      <c r="D2979" s="22">
        <f ca="1">IFERROR(__xludf.DUMMYFUNCTION("""COMPUTED_VALUE"""),77300)</f>
        <v>77300</v>
      </c>
      <c r="E2979" s="22">
        <f ca="1">IFERROR(__xludf.DUMMYFUNCTION("""COMPUTED_VALUE"""),498550)</f>
        <v>498550</v>
      </c>
      <c r="F2979" s="22">
        <f ca="1">IFERROR(__xludf.DUMMYFUNCTION("""COMPUTED_VALUE"""),421250)</f>
        <v>421250</v>
      </c>
      <c r="G2979" s="22">
        <f ca="1">IFERROR(__xludf.DUMMYFUNCTION("""COMPUTED_VALUE"""),0)</f>
        <v>0</v>
      </c>
      <c r="H2979" s="7">
        <f ca="1">IFERROR(__xludf.DUMMYFUNCTION("""COMPUTED_VALUE"""),500750)</f>
        <v>500750</v>
      </c>
    </row>
    <row r="2980" spans="1:8" ht="13" x14ac:dyDescent="0.15">
      <c r="A2980" s="5" t="str">
        <f ca="1">IFERROR(__xludf.DUMMYFUNCTION("""COMPUTED_VALUE"""),"46763")</f>
        <v>46763</v>
      </c>
      <c r="B2980" s="51">
        <f ca="1">IFERROR(__xludf.DUMMYFUNCTION("""COMPUTED_VALUE"""),44629)</f>
        <v>44629</v>
      </c>
      <c r="C2980" s="22">
        <f ca="1">IFERROR(__xludf.DUMMYFUNCTION("""COMPUTED_VALUE"""),421250)</f>
        <v>421250</v>
      </c>
      <c r="D2980" s="22">
        <f ca="1">IFERROR(__xludf.DUMMYFUNCTION("""COMPUTED_VALUE"""),73825)</f>
        <v>73825</v>
      </c>
      <c r="E2980" s="22">
        <f ca="1">IFERROR(__xludf.DUMMYFUNCTION("""COMPUTED_VALUE"""),495075)</f>
        <v>495075</v>
      </c>
      <c r="F2980" s="22">
        <f ca="1">IFERROR(__xludf.DUMMYFUNCTION("""COMPUTED_VALUE"""),421250)</f>
        <v>421250</v>
      </c>
      <c r="G2980" s="22">
        <f ca="1">IFERROR(__xludf.DUMMYFUNCTION("""COMPUTED_VALUE"""),0)</f>
        <v>0</v>
      </c>
      <c r="H2980" s="7">
        <f ca="1">IFERROR(__xludf.DUMMYFUNCTION("""COMPUTED_VALUE"""),500675)</f>
        <v>500675</v>
      </c>
    </row>
    <row r="2981" spans="1:8" ht="13" x14ac:dyDescent="0.15">
      <c r="A2981" s="5" t="str">
        <f ca="1">IFERROR(__xludf.DUMMYFUNCTION("""COMPUTED_VALUE"""),"46763")</f>
        <v>46763</v>
      </c>
      <c r="B2981" s="51">
        <f ca="1">IFERROR(__xludf.DUMMYFUNCTION("""COMPUTED_VALUE"""),44630)</f>
        <v>44630</v>
      </c>
      <c r="C2981" s="22">
        <f ca="1">IFERROR(__xludf.DUMMYFUNCTION("""COMPUTED_VALUE"""),421250)</f>
        <v>421250</v>
      </c>
      <c r="D2981" s="22">
        <f ca="1">IFERROR(__xludf.DUMMYFUNCTION("""COMPUTED_VALUE"""),78400)</f>
        <v>78400</v>
      </c>
      <c r="E2981" s="22">
        <f ca="1">IFERROR(__xludf.DUMMYFUNCTION("""COMPUTED_VALUE"""),499650)</f>
        <v>499650</v>
      </c>
      <c r="F2981" s="22">
        <f ca="1">IFERROR(__xludf.DUMMYFUNCTION("""COMPUTED_VALUE"""),421250)</f>
        <v>421250</v>
      </c>
      <c r="G2981" s="22">
        <f ca="1">IFERROR(__xludf.DUMMYFUNCTION("""COMPUTED_VALUE"""),0)</f>
        <v>0</v>
      </c>
      <c r="H2981" s="7">
        <f ca="1">IFERROR(__xludf.DUMMYFUNCTION("""COMPUTED_VALUE"""),503750)</f>
        <v>503750</v>
      </c>
    </row>
    <row r="2982" spans="1:8" ht="13" x14ac:dyDescent="0.15">
      <c r="A2982" s="5" t="str">
        <f ca="1">IFERROR(__xludf.DUMMYFUNCTION("""COMPUTED_VALUE"""),"46763")</f>
        <v>46763</v>
      </c>
      <c r="B2982" s="51">
        <f ca="1">IFERROR(__xludf.DUMMYFUNCTION("""COMPUTED_VALUE"""),44631)</f>
        <v>44631</v>
      </c>
      <c r="C2982" s="22">
        <f ca="1">IFERROR(__xludf.DUMMYFUNCTION("""COMPUTED_VALUE"""),421250)</f>
        <v>421250</v>
      </c>
      <c r="D2982" s="22">
        <f ca="1">IFERROR(__xludf.DUMMYFUNCTION("""COMPUTED_VALUE"""),78625)</f>
        <v>78625</v>
      </c>
      <c r="E2982" s="22">
        <f ca="1">IFERROR(__xludf.DUMMYFUNCTION("""COMPUTED_VALUE"""),499875)</f>
        <v>499875</v>
      </c>
      <c r="F2982" s="22">
        <f ca="1">IFERROR(__xludf.DUMMYFUNCTION("""COMPUTED_VALUE"""),421250)</f>
        <v>421250</v>
      </c>
      <c r="G2982" s="22">
        <f ca="1">IFERROR(__xludf.DUMMYFUNCTION("""COMPUTED_VALUE"""),0)</f>
        <v>0</v>
      </c>
      <c r="H2982" s="7">
        <f ca="1">IFERROR(__xludf.DUMMYFUNCTION("""COMPUTED_VALUE"""),503075)</f>
        <v>503075</v>
      </c>
    </row>
    <row r="2983" spans="1:8" ht="13" x14ac:dyDescent="0.15">
      <c r="A2983" s="5" t="str">
        <f ca="1">IFERROR(__xludf.DUMMYFUNCTION("""COMPUTED_VALUE"""),"46763")</f>
        <v>46763</v>
      </c>
      <c r="B2983" s="51">
        <f ca="1">IFERROR(__xludf.DUMMYFUNCTION("""COMPUTED_VALUE"""),44632)</f>
        <v>44632</v>
      </c>
      <c r="C2983" s="22">
        <f ca="1">IFERROR(__xludf.DUMMYFUNCTION("""COMPUTED_VALUE"""),421250)</f>
        <v>421250</v>
      </c>
      <c r="D2983" s="22">
        <f ca="1">IFERROR(__xludf.DUMMYFUNCTION("""COMPUTED_VALUE"""),78625)</f>
        <v>78625</v>
      </c>
      <c r="E2983" s="22">
        <f ca="1">IFERROR(__xludf.DUMMYFUNCTION("""COMPUTED_VALUE"""),499875)</f>
        <v>499875</v>
      </c>
      <c r="F2983" s="22">
        <f ca="1">IFERROR(__xludf.DUMMYFUNCTION("""COMPUTED_VALUE"""),421250)</f>
        <v>421250</v>
      </c>
      <c r="G2983" s="22">
        <f ca="1">IFERROR(__xludf.DUMMYFUNCTION("""COMPUTED_VALUE"""),0)</f>
        <v>0</v>
      </c>
      <c r="H2983" s="7">
        <f ca="1">IFERROR(__xludf.DUMMYFUNCTION("""COMPUTED_VALUE"""),503075)</f>
        <v>503075</v>
      </c>
    </row>
    <row r="2984" spans="1:8" ht="13" x14ac:dyDescent="0.15">
      <c r="A2984" s="5" t="str">
        <f ca="1">IFERROR(__xludf.DUMMYFUNCTION("""COMPUTED_VALUE"""),"46763")</f>
        <v>46763</v>
      </c>
      <c r="B2984" s="51">
        <f ca="1">IFERROR(__xludf.DUMMYFUNCTION("""COMPUTED_VALUE"""),44633)</f>
        <v>44633</v>
      </c>
      <c r="C2984" s="22">
        <f ca="1">IFERROR(__xludf.DUMMYFUNCTION("""COMPUTED_VALUE"""),421250)</f>
        <v>421250</v>
      </c>
      <c r="D2984" s="22">
        <f ca="1">IFERROR(__xludf.DUMMYFUNCTION("""COMPUTED_VALUE"""),78625)</f>
        <v>78625</v>
      </c>
      <c r="E2984" s="22">
        <f ca="1">IFERROR(__xludf.DUMMYFUNCTION("""COMPUTED_VALUE"""),499875)</f>
        <v>499875</v>
      </c>
      <c r="F2984" s="22">
        <f ca="1">IFERROR(__xludf.DUMMYFUNCTION("""COMPUTED_VALUE"""),421250)</f>
        <v>421250</v>
      </c>
      <c r="G2984" s="22">
        <f ca="1">IFERROR(__xludf.DUMMYFUNCTION("""COMPUTED_VALUE"""),0)</f>
        <v>0</v>
      </c>
      <c r="H2984" s="7">
        <f ca="1">IFERROR(__xludf.DUMMYFUNCTION("""COMPUTED_VALUE"""),503075)</f>
        <v>503075</v>
      </c>
    </row>
    <row r="2985" spans="1:8" ht="13" x14ac:dyDescent="0.15">
      <c r="A2985" s="5" t="str">
        <f ca="1">IFERROR(__xludf.DUMMYFUNCTION("""COMPUTED_VALUE"""),"46763")</f>
        <v>46763</v>
      </c>
      <c r="B2985" s="51">
        <f ca="1">IFERROR(__xludf.DUMMYFUNCTION("""COMPUTED_VALUE"""),44634)</f>
        <v>44634</v>
      </c>
      <c r="C2985" s="22">
        <f ca="1">IFERROR(__xludf.DUMMYFUNCTION("""COMPUTED_VALUE"""),343450)</f>
        <v>343450</v>
      </c>
      <c r="D2985" s="22">
        <f ca="1">IFERROR(__xludf.DUMMYFUNCTION("""COMPUTED_VALUE"""),159250)</f>
        <v>159250</v>
      </c>
      <c r="E2985" s="22">
        <f ca="1">IFERROR(__xludf.DUMMYFUNCTION("""COMPUTED_VALUE"""),502700)</f>
        <v>502700</v>
      </c>
      <c r="F2985" s="22">
        <f ca="1">IFERROR(__xludf.DUMMYFUNCTION("""COMPUTED_VALUE"""),343450)</f>
        <v>343450</v>
      </c>
      <c r="G2985" s="22">
        <f ca="1">IFERROR(__xludf.DUMMYFUNCTION("""COMPUTED_VALUE"""),0)</f>
        <v>0</v>
      </c>
      <c r="H2985" s="7">
        <f ca="1">IFERROR(__xludf.DUMMYFUNCTION("""COMPUTED_VALUE"""),502700)</f>
        <v>502700</v>
      </c>
    </row>
    <row r="2986" spans="1:8" ht="13" x14ac:dyDescent="0.15">
      <c r="A2986" s="5" t="str">
        <f ca="1">IFERROR(__xludf.DUMMYFUNCTION("""COMPUTED_VALUE"""),"46763")</f>
        <v>46763</v>
      </c>
      <c r="B2986" s="51">
        <f ca="1">IFERROR(__xludf.DUMMYFUNCTION("""COMPUTED_VALUE"""),44635)</f>
        <v>44635</v>
      </c>
      <c r="C2986" s="22">
        <f ca="1">IFERROR(__xludf.DUMMYFUNCTION("""COMPUTED_VALUE"""),343450)</f>
        <v>343450</v>
      </c>
      <c r="D2986" s="22">
        <f ca="1">IFERROR(__xludf.DUMMYFUNCTION("""COMPUTED_VALUE"""),156475)</f>
        <v>156475</v>
      </c>
      <c r="E2986" s="22">
        <f ca="1">IFERROR(__xludf.DUMMYFUNCTION("""COMPUTED_VALUE"""),499925)</f>
        <v>499925</v>
      </c>
      <c r="F2986" s="22">
        <f ca="1">IFERROR(__xludf.DUMMYFUNCTION("""COMPUTED_VALUE"""),343450)</f>
        <v>343450</v>
      </c>
      <c r="G2986" s="22">
        <f ca="1">IFERROR(__xludf.DUMMYFUNCTION("""COMPUTED_VALUE"""),0)</f>
        <v>0</v>
      </c>
      <c r="H2986" s="7">
        <f ca="1">IFERROR(__xludf.DUMMYFUNCTION("""COMPUTED_VALUE"""),499025)</f>
        <v>499025</v>
      </c>
    </row>
    <row r="2987" spans="1:8" ht="13" x14ac:dyDescent="0.15">
      <c r="A2987" s="5" t="str">
        <f ca="1">IFERROR(__xludf.DUMMYFUNCTION("""COMPUTED_VALUE"""),"46763")</f>
        <v>46763</v>
      </c>
      <c r="B2987" s="51">
        <f ca="1">IFERROR(__xludf.DUMMYFUNCTION("""COMPUTED_VALUE"""),44636)</f>
        <v>44636</v>
      </c>
      <c r="C2987" s="22">
        <f ca="1">IFERROR(__xludf.DUMMYFUNCTION("""COMPUTED_VALUE"""),343450)</f>
        <v>343450</v>
      </c>
      <c r="D2987" s="22">
        <f ca="1">IFERROR(__xludf.DUMMYFUNCTION("""COMPUTED_VALUE"""),156925)</f>
        <v>156925</v>
      </c>
      <c r="E2987" s="22">
        <f ca="1">IFERROR(__xludf.DUMMYFUNCTION("""COMPUTED_VALUE"""),500375)</f>
        <v>500375</v>
      </c>
      <c r="F2987" s="22">
        <f ca="1">IFERROR(__xludf.DUMMYFUNCTION("""COMPUTED_VALUE"""),343450)</f>
        <v>343450</v>
      </c>
      <c r="G2987" s="22">
        <f ca="1">IFERROR(__xludf.DUMMYFUNCTION("""COMPUTED_VALUE"""),0)</f>
        <v>0</v>
      </c>
      <c r="H2987" s="7">
        <f ca="1">IFERROR(__xludf.DUMMYFUNCTION("""COMPUTED_VALUE"""),503675)</f>
        <v>503675</v>
      </c>
    </row>
    <row r="2988" spans="1:8" ht="13" x14ac:dyDescent="0.15">
      <c r="A2988" s="5" t="str">
        <f ca="1">IFERROR(__xludf.DUMMYFUNCTION("""COMPUTED_VALUE"""),"46763")</f>
        <v>46763</v>
      </c>
      <c r="B2988" s="51">
        <f ca="1">IFERROR(__xludf.DUMMYFUNCTION("""COMPUTED_VALUE"""),44637)</f>
        <v>44637</v>
      </c>
      <c r="C2988" s="22">
        <f ca="1">IFERROR(__xludf.DUMMYFUNCTION("""COMPUTED_VALUE"""),343450)</f>
        <v>343450</v>
      </c>
      <c r="D2988" s="22">
        <f ca="1">IFERROR(__xludf.DUMMYFUNCTION("""COMPUTED_VALUE"""),160300)</f>
        <v>160300</v>
      </c>
      <c r="E2988" s="22">
        <f ca="1">IFERROR(__xludf.DUMMYFUNCTION("""COMPUTED_VALUE"""),503750)</f>
        <v>503750</v>
      </c>
      <c r="F2988" s="22">
        <f ca="1">IFERROR(__xludf.DUMMYFUNCTION("""COMPUTED_VALUE"""),343450)</f>
        <v>343450</v>
      </c>
      <c r="G2988" s="22">
        <f ca="1">IFERROR(__xludf.DUMMYFUNCTION("""COMPUTED_VALUE"""),0)</f>
        <v>0</v>
      </c>
      <c r="H2988" s="7">
        <f ca="1">IFERROR(__xludf.DUMMYFUNCTION("""COMPUTED_VALUE"""),503050)</f>
        <v>503050</v>
      </c>
    </row>
    <row r="2989" spans="1:8" ht="13" x14ac:dyDescent="0.15">
      <c r="A2989" s="5" t="str">
        <f ca="1">IFERROR(__xludf.DUMMYFUNCTION("""COMPUTED_VALUE"""),"46763")</f>
        <v>46763</v>
      </c>
      <c r="B2989" s="51">
        <f ca="1">IFERROR(__xludf.DUMMYFUNCTION("""COMPUTED_VALUE"""),44638)</f>
        <v>44638</v>
      </c>
      <c r="C2989" s="22">
        <f ca="1">IFERROR(__xludf.DUMMYFUNCTION("""COMPUTED_VALUE"""),343450)</f>
        <v>343450</v>
      </c>
      <c r="D2989" s="22">
        <f ca="1">IFERROR(__xludf.DUMMYFUNCTION("""COMPUTED_VALUE"""),163450)</f>
        <v>163450</v>
      </c>
      <c r="E2989" s="22">
        <f ca="1">IFERROR(__xludf.DUMMYFUNCTION("""COMPUTED_VALUE"""),506900)</f>
        <v>506900</v>
      </c>
      <c r="F2989" s="22">
        <f ca="1">IFERROR(__xludf.DUMMYFUNCTION("""COMPUTED_VALUE"""),343450)</f>
        <v>343450</v>
      </c>
      <c r="G2989" s="22">
        <f ca="1">IFERROR(__xludf.DUMMYFUNCTION("""COMPUTED_VALUE"""),0)</f>
        <v>0</v>
      </c>
      <c r="H2989" s="7">
        <f ca="1">IFERROR(__xludf.DUMMYFUNCTION("""COMPUTED_VALUE"""),506800)</f>
        <v>506800</v>
      </c>
    </row>
    <row r="2990" spans="1:8" ht="13" x14ac:dyDescent="0.15">
      <c r="A2990" s="5" t="str">
        <f ca="1">IFERROR(__xludf.DUMMYFUNCTION("""COMPUTED_VALUE"""),"46763")</f>
        <v>46763</v>
      </c>
      <c r="B2990" s="51">
        <f ca="1">IFERROR(__xludf.DUMMYFUNCTION("""COMPUTED_VALUE"""),44639)</f>
        <v>44639</v>
      </c>
      <c r="C2990" s="22">
        <f ca="1">IFERROR(__xludf.DUMMYFUNCTION("""COMPUTED_VALUE"""),343450)</f>
        <v>343450</v>
      </c>
      <c r="D2990" s="22">
        <f ca="1">IFERROR(__xludf.DUMMYFUNCTION("""COMPUTED_VALUE"""),163450)</f>
        <v>163450</v>
      </c>
      <c r="E2990" s="22">
        <f ca="1">IFERROR(__xludf.DUMMYFUNCTION("""COMPUTED_VALUE"""),506900)</f>
        <v>506900</v>
      </c>
      <c r="F2990" s="22">
        <f ca="1">IFERROR(__xludf.DUMMYFUNCTION("""COMPUTED_VALUE"""),343450)</f>
        <v>343450</v>
      </c>
      <c r="G2990" s="22">
        <f ca="1">IFERROR(__xludf.DUMMYFUNCTION("""COMPUTED_VALUE"""),0)</f>
        <v>0</v>
      </c>
      <c r="H2990" s="7">
        <f ca="1">IFERROR(__xludf.DUMMYFUNCTION("""COMPUTED_VALUE"""),506800)</f>
        <v>506800</v>
      </c>
    </row>
    <row r="2991" spans="1:8" ht="13" x14ac:dyDescent="0.15">
      <c r="A2991" s="5" t="str">
        <f ca="1">IFERROR(__xludf.DUMMYFUNCTION("""COMPUTED_VALUE"""),"46763")</f>
        <v>46763</v>
      </c>
      <c r="B2991" s="51">
        <f ca="1">IFERROR(__xludf.DUMMYFUNCTION("""COMPUTED_VALUE"""),44640)</f>
        <v>44640</v>
      </c>
      <c r="C2991" s="22">
        <f ca="1">IFERROR(__xludf.DUMMYFUNCTION("""COMPUTED_VALUE"""),343450)</f>
        <v>343450</v>
      </c>
      <c r="D2991" s="22">
        <f ca="1">IFERROR(__xludf.DUMMYFUNCTION("""COMPUTED_VALUE"""),163450)</f>
        <v>163450</v>
      </c>
      <c r="E2991" s="22">
        <f ca="1">IFERROR(__xludf.DUMMYFUNCTION("""COMPUTED_VALUE"""),506900)</f>
        <v>506900</v>
      </c>
      <c r="F2991" s="22">
        <f ca="1">IFERROR(__xludf.DUMMYFUNCTION("""COMPUTED_VALUE"""),343450)</f>
        <v>343450</v>
      </c>
      <c r="G2991" s="22">
        <f ca="1">IFERROR(__xludf.DUMMYFUNCTION("""COMPUTED_VALUE"""),0)</f>
        <v>0</v>
      </c>
      <c r="H2991" s="7">
        <f ca="1">IFERROR(__xludf.DUMMYFUNCTION("""COMPUTED_VALUE"""),506800)</f>
        <v>506800</v>
      </c>
    </row>
    <row r="2992" spans="1:8" ht="13" x14ac:dyDescent="0.15">
      <c r="A2992" s="5" t="str">
        <f ca="1">IFERROR(__xludf.DUMMYFUNCTION("""COMPUTED_VALUE"""),"46763")</f>
        <v>46763</v>
      </c>
      <c r="B2992" s="51">
        <f ca="1">IFERROR(__xludf.DUMMYFUNCTION("""COMPUTED_VALUE"""),44641)</f>
        <v>44641</v>
      </c>
      <c r="C2992" s="22">
        <f ca="1">IFERROR(__xludf.DUMMYFUNCTION("""COMPUTED_VALUE"""),343450)</f>
        <v>343450</v>
      </c>
      <c r="D2992" s="22">
        <f ca="1">IFERROR(__xludf.DUMMYFUNCTION("""COMPUTED_VALUE"""),163825)</f>
        <v>163825</v>
      </c>
      <c r="E2992" s="22">
        <f ca="1">IFERROR(__xludf.DUMMYFUNCTION("""COMPUTED_VALUE"""),507275)</f>
        <v>507275</v>
      </c>
      <c r="F2992" s="22">
        <f ca="1">IFERROR(__xludf.DUMMYFUNCTION("""COMPUTED_VALUE"""),343450)</f>
        <v>343450</v>
      </c>
      <c r="G2992" s="22">
        <f ca="1">IFERROR(__xludf.DUMMYFUNCTION("""COMPUTED_VALUE"""),0)</f>
        <v>0</v>
      </c>
      <c r="H2992" s="7">
        <f ca="1">IFERROR(__xludf.DUMMYFUNCTION("""COMPUTED_VALUE"""),504775)</f>
        <v>504775</v>
      </c>
    </row>
    <row r="2993" spans="1:8" ht="13" x14ac:dyDescent="0.15">
      <c r="A2993" s="5" t="str">
        <f ca="1">IFERROR(__xludf.DUMMYFUNCTION("""COMPUTED_VALUE"""),"46763")</f>
        <v>46763</v>
      </c>
      <c r="B2993" s="51">
        <f ca="1">IFERROR(__xludf.DUMMYFUNCTION("""COMPUTED_VALUE"""),44642)</f>
        <v>44642</v>
      </c>
      <c r="C2993" s="22">
        <f ca="1">IFERROR(__xludf.DUMMYFUNCTION("""COMPUTED_VALUE"""),343450)</f>
        <v>343450</v>
      </c>
      <c r="D2993" s="22">
        <f ca="1">IFERROR(__xludf.DUMMYFUNCTION("""COMPUTED_VALUE"""),164125)</f>
        <v>164125</v>
      </c>
      <c r="E2993" s="22">
        <f ca="1">IFERROR(__xludf.DUMMYFUNCTION("""COMPUTED_VALUE"""),507575)</f>
        <v>507575</v>
      </c>
      <c r="F2993" s="22">
        <f ca="1">IFERROR(__xludf.DUMMYFUNCTION("""COMPUTED_VALUE"""),343450)</f>
        <v>343450</v>
      </c>
      <c r="G2993" s="22">
        <f ca="1">IFERROR(__xludf.DUMMYFUNCTION("""COMPUTED_VALUE"""),0)</f>
        <v>0</v>
      </c>
      <c r="H2993" s="7">
        <f ca="1">IFERROR(__xludf.DUMMYFUNCTION("""COMPUTED_VALUE"""),503075)</f>
        <v>503075</v>
      </c>
    </row>
    <row r="2994" spans="1:8" ht="13" x14ac:dyDescent="0.15">
      <c r="A2994" s="5" t="str">
        <f ca="1">IFERROR(__xludf.DUMMYFUNCTION("""COMPUTED_VALUE"""),"46876")</f>
        <v>46876</v>
      </c>
      <c r="B2994" s="51">
        <f ca="1">IFERROR(__xludf.DUMMYFUNCTION("""COMPUTED_VALUE"""),44597)</f>
        <v>44597</v>
      </c>
      <c r="C2994" s="22">
        <f ca="1">IFERROR(__xludf.DUMMYFUNCTION("""COMPUTED_VALUE"""),500000)</f>
        <v>500000</v>
      </c>
      <c r="D2994" s="22">
        <f ca="1">IFERROR(__xludf.DUMMYFUNCTION("""COMPUTED_VALUE"""),0)</f>
        <v>0</v>
      </c>
      <c r="E2994" s="22">
        <f ca="1">IFERROR(__xludf.DUMMYFUNCTION("""COMPUTED_VALUE"""),500000)</f>
        <v>500000</v>
      </c>
      <c r="F2994" s="22">
        <f ca="1">IFERROR(__xludf.DUMMYFUNCTION("""COMPUTED_VALUE"""),500000)</f>
        <v>500000</v>
      </c>
      <c r="G2994" s="22">
        <f ca="1">IFERROR(__xludf.DUMMYFUNCTION("""COMPUTED_VALUE"""),0)</f>
        <v>0</v>
      </c>
      <c r="H2994" s="7">
        <f ca="1">IFERROR(__xludf.DUMMYFUNCTION("""COMPUTED_VALUE"""),500000)</f>
        <v>500000</v>
      </c>
    </row>
    <row r="2995" spans="1:8" ht="13" x14ac:dyDescent="0.15">
      <c r="A2995" s="5" t="str">
        <f ca="1">IFERROR(__xludf.DUMMYFUNCTION("""COMPUTED_VALUE"""),"46876")</f>
        <v>46876</v>
      </c>
      <c r="B2995" s="51">
        <f ca="1">IFERROR(__xludf.DUMMYFUNCTION("""COMPUTED_VALUE"""),44598)</f>
        <v>44598</v>
      </c>
      <c r="C2995" s="22">
        <f ca="1">IFERROR(__xludf.DUMMYFUNCTION("""COMPUTED_VALUE"""),500000)</f>
        <v>500000</v>
      </c>
      <c r="D2995" s="22">
        <f ca="1">IFERROR(__xludf.DUMMYFUNCTION("""COMPUTED_VALUE"""),0)</f>
        <v>0</v>
      </c>
      <c r="E2995" s="22">
        <f ca="1">IFERROR(__xludf.DUMMYFUNCTION("""COMPUTED_VALUE"""),500000)</f>
        <v>500000</v>
      </c>
      <c r="F2995" s="22">
        <f ca="1">IFERROR(__xludf.DUMMYFUNCTION("""COMPUTED_VALUE"""),500000)</f>
        <v>500000</v>
      </c>
      <c r="G2995" s="22">
        <f ca="1">IFERROR(__xludf.DUMMYFUNCTION("""COMPUTED_VALUE"""),0)</f>
        <v>0</v>
      </c>
      <c r="H2995" s="7">
        <f ca="1">IFERROR(__xludf.DUMMYFUNCTION("""COMPUTED_VALUE"""),500000)</f>
        <v>500000</v>
      </c>
    </row>
    <row r="2996" spans="1:8" ht="13" x14ac:dyDescent="0.15">
      <c r="A2996" s="5" t="str">
        <f ca="1">IFERROR(__xludf.DUMMYFUNCTION("""COMPUTED_VALUE"""),"46876")</f>
        <v>46876</v>
      </c>
      <c r="B2996" s="51">
        <f ca="1">IFERROR(__xludf.DUMMYFUNCTION("""COMPUTED_VALUE"""),44599)</f>
        <v>44599</v>
      </c>
      <c r="C2996" s="22">
        <f ca="1">IFERROR(__xludf.DUMMYFUNCTION("""COMPUTED_VALUE"""),500000)</f>
        <v>500000</v>
      </c>
      <c r="D2996" s="22">
        <f ca="1">IFERROR(__xludf.DUMMYFUNCTION("""COMPUTED_VALUE"""),0)</f>
        <v>0</v>
      </c>
      <c r="E2996" s="22">
        <f ca="1">IFERROR(__xludf.DUMMYFUNCTION("""COMPUTED_VALUE"""),500000)</f>
        <v>500000</v>
      </c>
      <c r="F2996" s="22">
        <f ca="1">IFERROR(__xludf.DUMMYFUNCTION("""COMPUTED_VALUE"""),500000)</f>
        <v>500000</v>
      </c>
      <c r="G2996" s="22">
        <f ca="1">IFERROR(__xludf.DUMMYFUNCTION("""COMPUTED_VALUE"""),0)</f>
        <v>0</v>
      </c>
      <c r="H2996" s="7">
        <f ca="1">IFERROR(__xludf.DUMMYFUNCTION("""COMPUTED_VALUE"""),500000)</f>
        <v>500000</v>
      </c>
    </row>
    <row r="2997" spans="1:8" ht="13" x14ac:dyDescent="0.15">
      <c r="A2997" s="5" t="str">
        <f ca="1">IFERROR(__xludf.DUMMYFUNCTION("""COMPUTED_VALUE"""),"46876")</f>
        <v>46876</v>
      </c>
      <c r="B2997" s="51">
        <f ca="1">IFERROR(__xludf.DUMMYFUNCTION("""COMPUTED_VALUE"""),44600)</f>
        <v>44600</v>
      </c>
      <c r="C2997" s="22">
        <f ca="1">IFERROR(__xludf.DUMMYFUNCTION("""COMPUTED_VALUE"""),500000)</f>
        <v>500000</v>
      </c>
      <c r="D2997" s="22">
        <f ca="1">IFERROR(__xludf.DUMMYFUNCTION("""COMPUTED_VALUE"""),0)</f>
        <v>0</v>
      </c>
      <c r="E2997" s="22">
        <f ca="1">IFERROR(__xludf.DUMMYFUNCTION("""COMPUTED_VALUE"""),500000)</f>
        <v>500000</v>
      </c>
      <c r="F2997" s="22">
        <f ca="1">IFERROR(__xludf.DUMMYFUNCTION("""COMPUTED_VALUE"""),500000)</f>
        <v>500000</v>
      </c>
      <c r="G2997" s="22">
        <f ca="1">IFERROR(__xludf.DUMMYFUNCTION("""COMPUTED_VALUE"""),0)</f>
        <v>0</v>
      </c>
      <c r="H2997" s="7">
        <f ca="1">IFERROR(__xludf.DUMMYFUNCTION("""COMPUTED_VALUE"""),500000)</f>
        <v>500000</v>
      </c>
    </row>
    <row r="2998" spans="1:8" ht="13" x14ac:dyDescent="0.15">
      <c r="A2998" s="5" t="str">
        <f ca="1">IFERROR(__xludf.DUMMYFUNCTION("""COMPUTED_VALUE"""),"46876")</f>
        <v>46876</v>
      </c>
      <c r="B2998" s="51">
        <f ca="1">IFERROR(__xludf.DUMMYFUNCTION("""COMPUTED_VALUE"""),44601)</f>
        <v>44601</v>
      </c>
      <c r="C2998" s="22">
        <f ca="1">IFERROR(__xludf.DUMMYFUNCTION("""COMPUTED_VALUE"""),500000)</f>
        <v>500000</v>
      </c>
      <c r="D2998" s="22">
        <f ca="1">IFERROR(__xludf.DUMMYFUNCTION("""COMPUTED_VALUE"""),0)</f>
        <v>0</v>
      </c>
      <c r="E2998" s="22">
        <f ca="1">IFERROR(__xludf.DUMMYFUNCTION("""COMPUTED_VALUE"""),500000)</f>
        <v>500000</v>
      </c>
      <c r="F2998" s="22">
        <f ca="1">IFERROR(__xludf.DUMMYFUNCTION("""COMPUTED_VALUE"""),500000)</f>
        <v>500000</v>
      </c>
      <c r="G2998" s="22">
        <f ca="1">IFERROR(__xludf.DUMMYFUNCTION("""COMPUTED_VALUE"""),0)</f>
        <v>0</v>
      </c>
      <c r="H2998" s="7">
        <f ca="1">IFERROR(__xludf.DUMMYFUNCTION("""COMPUTED_VALUE"""),500000)</f>
        <v>500000</v>
      </c>
    </row>
    <row r="2999" spans="1:8" ht="13" x14ac:dyDescent="0.15">
      <c r="A2999" s="5" t="str">
        <f ca="1">IFERROR(__xludf.DUMMYFUNCTION("""COMPUTED_VALUE"""),"46876")</f>
        <v>46876</v>
      </c>
      <c r="B2999" s="51">
        <f ca="1">IFERROR(__xludf.DUMMYFUNCTION("""COMPUTED_VALUE"""),44602)</f>
        <v>44602</v>
      </c>
      <c r="C2999" s="22">
        <f ca="1">IFERROR(__xludf.DUMMYFUNCTION("""COMPUTED_VALUE"""),500000)</f>
        <v>500000</v>
      </c>
      <c r="D2999" s="22">
        <f ca="1">IFERROR(__xludf.DUMMYFUNCTION("""COMPUTED_VALUE"""),0)</f>
        <v>0</v>
      </c>
      <c r="E2999" s="22">
        <f ca="1">IFERROR(__xludf.DUMMYFUNCTION("""COMPUTED_VALUE"""),500000)</f>
        <v>500000</v>
      </c>
      <c r="F2999" s="22">
        <f ca="1">IFERROR(__xludf.DUMMYFUNCTION("""COMPUTED_VALUE"""),500000)</f>
        <v>500000</v>
      </c>
      <c r="G2999" s="22">
        <f ca="1">IFERROR(__xludf.DUMMYFUNCTION("""COMPUTED_VALUE"""),0)</f>
        <v>0</v>
      </c>
      <c r="H2999" s="7">
        <f ca="1">IFERROR(__xludf.DUMMYFUNCTION("""COMPUTED_VALUE"""),500000)</f>
        <v>500000</v>
      </c>
    </row>
    <row r="3000" spans="1:8" ht="13" x14ac:dyDescent="0.15">
      <c r="A3000" s="5" t="str">
        <f ca="1">IFERROR(__xludf.DUMMYFUNCTION("""COMPUTED_VALUE"""),"46876")</f>
        <v>46876</v>
      </c>
      <c r="B3000" s="51">
        <f ca="1">IFERROR(__xludf.DUMMYFUNCTION("""COMPUTED_VALUE"""),44603)</f>
        <v>44603</v>
      </c>
      <c r="C3000" s="22">
        <f ca="1">IFERROR(__xludf.DUMMYFUNCTION("""COMPUTED_VALUE"""),500000)</f>
        <v>500000</v>
      </c>
      <c r="D3000" s="22">
        <f ca="1">IFERROR(__xludf.DUMMYFUNCTION("""COMPUTED_VALUE"""),0)</f>
        <v>0</v>
      </c>
      <c r="E3000" s="22">
        <f ca="1">IFERROR(__xludf.DUMMYFUNCTION("""COMPUTED_VALUE"""),500000)</f>
        <v>500000</v>
      </c>
      <c r="F3000" s="22">
        <f ca="1">IFERROR(__xludf.DUMMYFUNCTION("""COMPUTED_VALUE"""),500000)</f>
        <v>500000</v>
      </c>
      <c r="G3000" s="22">
        <f ca="1">IFERROR(__xludf.DUMMYFUNCTION("""COMPUTED_VALUE"""),0)</f>
        <v>0</v>
      </c>
      <c r="H3000" s="7">
        <f ca="1">IFERROR(__xludf.DUMMYFUNCTION("""COMPUTED_VALUE"""),500000)</f>
        <v>500000</v>
      </c>
    </row>
    <row r="3001" spans="1:8" ht="13" x14ac:dyDescent="0.15">
      <c r="A3001" s="5" t="str">
        <f ca="1">IFERROR(__xludf.DUMMYFUNCTION("""COMPUTED_VALUE"""),"46876")</f>
        <v>46876</v>
      </c>
      <c r="B3001" s="51">
        <f ca="1">IFERROR(__xludf.DUMMYFUNCTION("""COMPUTED_VALUE"""),44604)</f>
        <v>44604</v>
      </c>
      <c r="C3001" s="22">
        <f ca="1">IFERROR(__xludf.DUMMYFUNCTION("""COMPUTED_VALUE"""),500000)</f>
        <v>500000</v>
      </c>
      <c r="D3001" s="22">
        <f ca="1">IFERROR(__xludf.DUMMYFUNCTION("""COMPUTED_VALUE"""),0)</f>
        <v>0</v>
      </c>
      <c r="E3001" s="22">
        <f ca="1">IFERROR(__xludf.DUMMYFUNCTION("""COMPUTED_VALUE"""),500000)</f>
        <v>500000</v>
      </c>
      <c r="F3001" s="22">
        <f ca="1">IFERROR(__xludf.DUMMYFUNCTION("""COMPUTED_VALUE"""),500000)</f>
        <v>500000</v>
      </c>
      <c r="G3001" s="22">
        <f ca="1">IFERROR(__xludf.DUMMYFUNCTION("""COMPUTED_VALUE"""),0)</f>
        <v>0</v>
      </c>
      <c r="H3001" s="7">
        <f ca="1">IFERROR(__xludf.DUMMYFUNCTION("""COMPUTED_VALUE"""),500000)</f>
        <v>500000</v>
      </c>
    </row>
    <row r="3002" spans="1:8" ht="13" x14ac:dyDescent="0.15">
      <c r="A3002" s="5" t="str">
        <f ca="1">IFERROR(__xludf.DUMMYFUNCTION("""COMPUTED_VALUE"""),"46876")</f>
        <v>46876</v>
      </c>
      <c r="B3002" s="51">
        <f ca="1">IFERROR(__xludf.DUMMYFUNCTION("""COMPUTED_VALUE"""),44605)</f>
        <v>44605</v>
      </c>
      <c r="C3002" s="22">
        <f ca="1">IFERROR(__xludf.DUMMYFUNCTION("""COMPUTED_VALUE"""),500000)</f>
        <v>500000</v>
      </c>
      <c r="D3002" s="22">
        <f ca="1">IFERROR(__xludf.DUMMYFUNCTION("""COMPUTED_VALUE"""),0)</f>
        <v>0</v>
      </c>
      <c r="E3002" s="22">
        <f ca="1">IFERROR(__xludf.DUMMYFUNCTION("""COMPUTED_VALUE"""),500000)</f>
        <v>500000</v>
      </c>
      <c r="F3002" s="22">
        <f ca="1">IFERROR(__xludf.DUMMYFUNCTION("""COMPUTED_VALUE"""),500000)</f>
        <v>500000</v>
      </c>
      <c r="G3002" s="22">
        <f ca="1">IFERROR(__xludf.DUMMYFUNCTION("""COMPUTED_VALUE"""),0)</f>
        <v>0</v>
      </c>
      <c r="H3002" s="7">
        <f ca="1">IFERROR(__xludf.DUMMYFUNCTION("""COMPUTED_VALUE"""),500000)</f>
        <v>500000</v>
      </c>
    </row>
    <row r="3003" spans="1:8" ht="13" x14ac:dyDescent="0.15">
      <c r="A3003" s="5" t="str">
        <f ca="1">IFERROR(__xludf.DUMMYFUNCTION("""COMPUTED_VALUE"""),"46876")</f>
        <v>46876</v>
      </c>
      <c r="B3003" s="51">
        <f ca="1">IFERROR(__xludf.DUMMYFUNCTION("""COMPUTED_VALUE"""),44606)</f>
        <v>44606</v>
      </c>
      <c r="C3003" s="22">
        <f ca="1">IFERROR(__xludf.DUMMYFUNCTION("""COMPUTED_VALUE"""),500000)</f>
        <v>500000</v>
      </c>
      <c r="D3003" s="22">
        <f ca="1">IFERROR(__xludf.DUMMYFUNCTION("""COMPUTED_VALUE"""),0)</f>
        <v>0</v>
      </c>
      <c r="E3003" s="22">
        <f ca="1">IFERROR(__xludf.DUMMYFUNCTION("""COMPUTED_VALUE"""),500000)</f>
        <v>500000</v>
      </c>
      <c r="F3003" s="22">
        <f ca="1">IFERROR(__xludf.DUMMYFUNCTION("""COMPUTED_VALUE"""),500000)</f>
        <v>500000</v>
      </c>
      <c r="G3003" s="22">
        <f ca="1">IFERROR(__xludf.DUMMYFUNCTION("""COMPUTED_VALUE"""),0)</f>
        <v>0</v>
      </c>
      <c r="H3003" s="7">
        <f ca="1">IFERROR(__xludf.DUMMYFUNCTION("""COMPUTED_VALUE"""),500000)</f>
        <v>500000</v>
      </c>
    </row>
    <row r="3004" spans="1:8" ht="13" x14ac:dyDescent="0.15">
      <c r="A3004" s="5" t="str">
        <f ca="1">IFERROR(__xludf.DUMMYFUNCTION("""COMPUTED_VALUE"""),"46876")</f>
        <v>46876</v>
      </c>
      <c r="B3004" s="51">
        <f ca="1">IFERROR(__xludf.DUMMYFUNCTION("""COMPUTED_VALUE"""),44607)</f>
        <v>44607</v>
      </c>
      <c r="C3004" s="22">
        <f ca="1">IFERROR(__xludf.DUMMYFUNCTION("""COMPUTED_VALUE"""),500000)</f>
        <v>500000</v>
      </c>
      <c r="D3004" s="22">
        <f ca="1">IFERROR(__xludf.DUMMYFUNCTION("""COMPUTED_VALUE"""),0)</f>
        <v>0</v>
      </c>
      <c r="E3004" s="22">
        <f ca="1">IFERROR(__xludf.DUMMYFUNCTION("""COMPUTED_VALUE"""),500000)</f>
        <v>500000</v>
      </c>
      <c r="F3004" s="22">
        <f ca="1">IFERROR(__xludf.DUMMYFUNCTION("""COMPUTED_VALUE"""),500000)</f>
        <v>500000</v>
      </c>
      <c r="G3004" s="22">
        <f ca="1">IFERROR(__xludf.DUMMYFUNCTION("""COMPUTED_VALUE"""),0)</f>
        <v>0</v>
      </c>
      <c r="H3004" s="7">
        <f ca="1">IFERROR(__xludf.DUMMYFUNCTION("""COMPUTED_VALUE"""),500000)</f>
        <v>500000</v>
      </c>
    </row>
    <row r="3005" spans="1:8" ht="13" x14ac:dyDescent="0.15">
      <c r="A3005" s="5" t="str">
        <f ca="1">IFERROR(__xludf.DUMMYFUNCTION("""COMPUTED_VALUE"""),"46876")</f>
        <v>46876</v>
      </c>
      <c r="B3005" s="51">
        <f ca="1">IFERROR(__xludf.DUMMYFUNCTION("""COMPUTED_VALUE"""),44608)</f>
        <v>44608</v>
      </c>
      <c r="C3005" s="22">
        <f ca="1">IFERROR(__xludf.DUMMYFUNCTION("""COMPUTED_VALUE"""),500000)</f>
        <v>500000</v>
      </c>
      <c r="D3005" s="22">
        <f ca="1">IFERROR(__xludf.DUMMYFUNCTION("""COMPUTED_VALUE"""),0)</f>
        <v>0</v>
      </c>
      <c r="E3005" s="22">
        <f ca="1">IFERROR(__xludf.DUMMYFUNCTION("""COMPUTED_VALUE"""),500000)</f>
        <v>500000</v>
      </c>
      <c r="F3005" s="22">
        <f ca="1">IFERROR(__xludf.DUMMYFUNCTION("""COMPUTED_VALUE"""),500000)</f>
        <v>500000</v>
      </c>
      <c r="G3005" s="22">
        <f ca="1">IFERROR(__xludf.DUMMYFUNCTION("""COMPUTED_VALUE"""),0)</f>
        <v>0</v>
      </c>
      <c r="H3005" s="7">
        <f ca="1">IFERROR(__xludf.DUMMYFUNCTION("""COMPUTED_VALUE"""),500000)</f>
        <v>500000</v>
      </c>
    </row>
    <row r="3006" spans="1:8" ht="13" x14ac:dyDescent="0.15">
      <c r="A3006" s="5" t="str">
        <f ca="1">IFERROR(__xludf.DUMMYFUNCTION("""COMPUTED_VALUE"""),"46876")</f>
        <v>46876</v>
      </c>
      <c r="B3006" s="51">
        <f ca="1">IFERROR(__xludf.DUMMYFUNCTION("""COMPUTED_VALUE"""),44609)</f>
        <v>44609</v>
      </c>
      <c r="C3006" s="22">
        <f ca="1">IFERROR(__xludf.DUMMYFUNCTION("""COMPUTED_VALUE"""),500000)</f>
        <v>500000</v>
      </c>
      <c r="D3006" s="22">
        <f ca="1">IFERROR(__xludf.DUMMYFUNCTION("""COMPUTED_VALUE"""),0)</f>
        <v>0</v>
      </c>
      <c r="E3006" s="22">
        <f ca="1">IFERROR(__xludf.DUMMYFUNCTION("""COMPUTED_VALUE"""),500000)</f>
        <v>500000</v>
      </c>
      <c r="F3006" s="22">
        <f ca="1">IFERROR(__xludf.DUMMYFUNCTION("""COMPUTED_VALUE"""),500000)</f>
        <v>500000</v>
      </c>
      <c r="G3006" s="22">
        <f ca="1">IFERROR(__xludf.DUMMYFUNCTION("""COMPUTED_VALUE"""),0)</f>
        <v>0</v>
      </c>
      <c r="H3006" s="7">
        <f ca="1">IFERROR(__xludf.DUMMYFUNCTION("""COMPUTED_VALUE"""),500000)</f>
        <v>500000</v>
      </c>
    </row>
    <row r="3007" spans="1:8" ht="13" x14ac:dyDescent="0.15">
      <c r="A3007" s="5" t="str">
        <f ca="1">IFERROR(__xludf.DUMMYFUNCTION("""COMPUTED_VALUE"""),"46876")</f>
        <v>46876</v>
      </c>
      <c r="B3007" s="51">
        <f ca="1">IFERROR(__xludf.DUMMYFUNCTION("""COMPUTED_VALUE"""),44610)</f>
        <v>44610</v>
      </c>
      <c r="C3007" s="22">
        <f ca="1">IFERROR(__xludf.DUMMYFUNCTION("""COMPUTED_VALUE"""),500000)</f>
        <v>500000</v>
      </c>
      <c r="D3007" s="22">
        <f ca="1">IFERROR(__xludf.DUMMYFUNCTION("""COMPUTED_VALUE"""),0)</f>
        <v>0</v>
      </c>
      <c r="E3007" s="22">
        <f ca="1">IFERROR(__xludf.DUMMYFUNCTION("""COMPUTED_VALUE"""),500000)</f>
        <v>500000</v>
      </c>
      <c r="F3007" s="22">
        <f ca="1">IFERROR(__xludf.DUMMYFUNCTION("""COMPUTED_VALUE"""),500000)</f>
        <v>500000</v>
      </c>
      <c r="G3007" s="22">
        <f ca="1">IFERROR(__xludf.DUMMYFUNCTION("""COMPUTED_VALUE"""),0)</f>
        <v>0</v>
      </c>
      <c r="H3007" s="7">
        <f ca="1">IFERROR(__xludf.DUMMYFUNCTION("""COMPUTED_VALUE"""),500000)</f>
        <v>500000</v>
      </c>
    </row>
    <row r="3008" spans="1:8" ht="13" x14ac:dyDescent="0.15">
      <c r="A3008" s="5" t="str">
        <f ca="1">IFERROR(__xludf.DUMMYFUNCTION("""COMPUTED_VALUE"""),"46876")</f>
        <v>46876</v>
      </c>
      <c r="B3008" s="51">
        <f ca="1">IFERROR(__xludf.DUMMYFUNCTION("""COMPUTED_VALUE"""),44611)</f>
        <v>44611</v>
      </c>
      <c r="C3008" s="22">
        <f ca="1">IFERROR(__xludf.DUMMYFUNCTION("""COMPUTED_VALUE"""),500000)</f>
        <v>500000</v>
      </c>
      <c r="D3008" s="22">
        <f ca="1">IFERROR(__xludf.DUMMYFUNCTION("""COMPUTED_VALUE"""),0)</f>
        <v>0</v>
      </c>
      <c r="E3008" s="22">
        <f ca="1">IFERROR(__xludf.DUMMYFUNCTION("""COMPUTED_VALUE"""),500000)</f>
        <v>500000</v>
      </c>
      <c r="F3008" s="22">
        <f ca="1">IFERROR(__xludf.DUMMYFUNCTION("""COMPUTED_VALUE"""),500000)</f>
        <v>500000</v>
      </c>
      <c r="G3008" s="22">
        <f ca="1">IFERROR(__xludf.DUMMYFUNCTION("""COMPUTED_VALUE"""),0)</f>
        <v>0</v>
      </c>
      <c r="H3008" s="7">
        <f ca="1">IFERROR(__xludf.DUMMYFUNCTION("""COMPUTED_VALUE"""),500000)</f>
        <v>500000</v>
      </c>
    </row>
    <row r="3009" spans="1:8" ht="13" x14ac:dyDescent="0.15">
      <c r="A3009" s="5" t="str">
        <f ca="1">IFERROR(__xludf.DUMMYFUNCTION("""COMPUTED_VALUE"""),"46876")</f>
        <v>46876</v>
      </c>
      <c r="B3009" s="51">
        <f ca="1">IFERROR(__xludf.DUMMYFUNCTION("""COMPUTED_VALUE"""),44612)</f>
        <v>44612</v>
      </c>
      <c r="C3009" s="22">
        <f ca="1">IFERROR(__xludf.DUMMYFUNCTION("""COMPUTED_VALUE"""),500000)</f>
        <v>500000</v>
      </c>
      <c r="D3009" s="22">
        <f ca="1">IFERROR(__xludf.DUMMYFUNCTION("""COMPUTED_VALUE"""),0)</f>
        <v>0</v>
      </c>
      <c r="E3009" s="22">
        <f ca="1">IFERROR(__xludf.DUMMYFUNCTION("""COMPUTED_VALUE"""),500000)</f>
        <v>500000</v>
      </c>
      <c r="F3009" s="22">
        <f ca="1">IFERROR(__xludf.DUMMYFUNCTION("""COMPUTED_VALUE"""),500000)</f>
        <v>500000</v>
      </c>
      <c r="G3009" s="22">
        <f ca="1">IFERROR(__xludf.DUMMYFUNCTION("""COMPUTED_VALUE"""),0)</f>
        <v>0</v>
      </c>
      <c r="H3009" s="7">
        <f ca="1">IFERROR(__xludf.DUMMYFUNCTION("""COMPUTED_VALUE"""),500000)</f>
        <v>500000</v>
      </c>
    </row>
    <row r="3010" spans="1:8" ht="13" x14ac:dyDescent="0.15">
      <c r="A3010" s="5" t="str">
        <f ca="1">IFERROR(__xludf.DUMMYFUNCTION("""COMPUTED_VALUE"""),"46876")</f>
        <v>46876</v>
      </c>
      <c r="B3010" s="51">
        <f ca="1">IFERROR(__xludf.DUMMYFUNCTION("""COMPUTED_VALUE"""),44613)</f>
        <v>44613</v>
      </c>
      <c r="C3010" s="22">
        <f ca="1">IFERROR(__xludf.DUMMYFUNCTION("""COMPUTED_VALUE"""),500000)</f>
        <v>500000</v>
      </c>
      <c r="D3010" s="22">
        <f ca="1">IFERROR(__xludf.DUMMYFUNCTION("""COMPUTED_VALUE"""),0)</f>
        <v>0</v>
      </c>
      <c r="E3010" s="22">
        <f ca="1">IFERROR(__xludf.DUMMYFUNCTION("""COMPUTED_VALUE"""),500000)</f>
        <v>500000</v>
      </c>
      <c r="F3010" s="22">
        <f ca="1">IFERROR(__xludf.DUMMYFUNCTION("""COMPUTED_VALUE"""),500000)</f>
        <v>500000</v>
      </c>
      <c r="G3010" s="22">
        <f ca="1">IFERROR(__xludf.DUMMYFUNCTION("""COMPUTED_VALUE"""),0)</f>
        <v>0</v>
      </c>
      <c r="H3010" s="7">
        <f ca="1">IFERROR(__xludf.DUMMYFUNCTION("""COMPUTED_VALUE"""),500000)</f>
        <v>500000</v>
      </c>
    </row>
    <row r="3011" spans="1:8" ht="13" x14ac:dyDescent="0.15">
      <c r="A3011" s="5" t="str">
        <f ca="1">IFERROR(__xludf.DUMMYFUNCTION("""COMPUTED_VALUE"""),"46876")</f>
        <v>46876</v>
      </c>
      <c r="B3011" s="51">
        <f ca="1">IFERROR(__xludf.DUMMYFUNCTION("""COMPUTED_VALUE"""),44614)</f>
        <v>44614</v>
      </c>
      <c r="C3011" s="22">
        <f ca="1">IFERROR(__xludf.DUMMYFUNCTION("""COMPUTED_VALUE"""),500000)</f>
        <v>500000</v>
      </c>
      <c r="D3011" s="22">
        <f ca="1">IFERROR(__xludf.DUMMYFUNCTION("""COMPUTED_VALUE"""),0)</f>
        <v>0</v>
      </c>
      <c r="E3011" s="22">
        <f ca="1">IFERROR(__xludf.DUMMYFUNCTION("""COMPUTED_VALUE"""),500000)</f>
        <v>500000</v>
      </c>
      <c r="F3011" s="22">
        <f ca="1">IFERROR(__xludf.DUMMYFUNCTION("""COMPUTED_VALUE"""),500000)</f>
        <v>500000</v>
      </c>
      <c r="G3011" s="22">
        <f ca="1">IFERROR(__xludf.DUMMYFUNCTION("""COMPUTED_VALUE"""),0)</f>
        <v>0</v>
      </c>
      <c r="H3011" s="7">
        <f ca="1">IFERROR(__xludf.DUMMYFUNCTION("""COMPUTED_VALUE"""),500000)</f>
        <v>500000</v>
      </c>
    </row>
    <row r="3012" spans="1:8" ht="13" x14ac:dyDescent="0.15">
      <c r="A3012" s="5" t="str">
        <f ca="1">IFERROR(__xludf.DUMMYFUNCTION("""COMPUTED_VALUE"""),"46876")</f>
        <v>46876</v>
      </c>
      <c r="B3012" s="51">
        <f ca="1">IFERROR(__xludf.DUMMYFUNCTION("""COMPUTED_VALUE"""),44615)</f>
        <v>44615</v>
      </c>
      <c r="C3012" s="22">
        <f ca="1">IFERROR(__xludf.DUMMYFUNCTION("""COMPUTED_VALUE"""),500000)</f>
        <v>500000</v>
      </c>
      <c r="D3012" s="22">
        <f ca="1">IFERROR(__xludf.DUMMYFUNCTION("""COMPUTED_VALUE"""),0)</f>
        <v>0</v>
      </c>
      <c r="E3012" s="22">
        <f ca="1">IFERROR(__xludf.DUMMYFUNCTION("""COMPUTED_VALUE"""),500000)</f>
        <v>500000</v>
      </c>
      <c r="F3012" s="22">
        <f ca="1">IFERROR(__xludf.DUMMYFUNCTION("""COMPUTED_VALUE"""),500000)</f>
        <v>500000</v>
      </c>
      <c r="G3012" s="22">
        <f ca="1">IFERROR(__xludf.DUMMYFUNCTION("""COMPUTED_VALUE"""),0)</f>
        <v>0</v>
      </c>
      <c r="H3012" s="7">
        <f ca="1">IFERROR(__xludf.DUMMYFUNCTION("""COMPUTED_VALUE"""),500000)</f>
        <v>500000</v>
      </c>
    </row>
    <row r="3013" spans="1:8" ht="13" x14ac:dyDescent="0.15">
      <c r="A3013" s="5" t="str">
        <f ca="1">IFERROR(__xludf.DUMMYFUNCTION("""COMPUTED_VALUE"""),"46876")</f>
        <v>46876</v>
      </c>
      <c r="B3013" s="51">
        <f ca="1">IFERROR(__xludf.DUMMYFUNCTION("""COMPUTED_VALUE"""),44616)</f>
        <v>44616</v>
      </c>
      <c r="C3013" s="22">
        <f ca="1">IFERROR(__xludf.DUMMYFUNCTION("""COMPUTED_VALUE"""),500000)</f>
        <v>500000</v>
      </c>
      <c r="D3013" s="22">
        <f ca="1">IFERROR(__xludf.DUMMYFUNCTION("""COMPUTED_VALUE"""),0)</f>
        <v>0</v>
      </c>
      <c r="E3013" s="22">
        <f ca="1">IFERROR(__xludf.DUMMYFUNCTION("""COMPUTED_VALUE"""),500000)</f>
        <v>500000</v>
      </c>
      <c r="F3013" s="22">
        <f ca="1">IFERROR(__xludf.DUMMYFUNCTION("""COMPUTED_VALUE"""),500000)</f>
        <v>500000</v>
      </c>
      <c r="G3013" s="22">
        <f ca="1">IFERROR(__xludf.DUMMYFUNCTION("""COMPUTED_VALUE"""),0)</f>
        <v>0</v>
      </c>
      <c r="H3013" s="7">
        <f ca="1">IFERROR(__xludf.DUMMYFUNCTION("""COMPUTED_VALUE"""),500000)</f>
        <v>500000</v>
      </c>
    </row>
    <row r="3014" spans="1:8" ht="13" x14ac:dyDescent="0.15">
      <c r="A3014" s="5" t="str">
        <f ca="1">IFERROR(__xludf.DUMMYFUNCTION("""COMPUTED_VALUE"""),"46876")</f>
        <v>46876</v>
      </c>
      <c r="B3014" s="51">
        <f ca="1">IFERROR(__xludf.DUMMYFUNCTION("""COMPUTED_VALUE"""),44617)</f>
        <v>44617</v>
      </c>
      <c r="C3014" s="22">
        <f ca="1">IFERROR(__xludf.DUMMYFUNCTION("""COMPUTED_VALUE"""),500000)</f>
        <v>500000</v>
      </c>
      <c r="D3014" s="22">
        <f ca="1">IFERROR(__xludf.DUMMYFUNCTION("""COMPUTED_VALUE"""),0)</f>
        <v>0</v>
      </c>
      <c r="E3014" s="22">
        <f ca="1">IFERROR(__xludf.DUMMYFUNCTION("""COMPUTED_VALUE"""),500000)</f>
        <v>500000</v>
      </c>
      <c r="F3014" s="22">
        <f ca="1">IFERROR(__xludf.DUMMYFUNCTION("""COMPUTED_VALUE"""),500000)</f>
        <v>500000</v>
      </c>
      <c r="G3014" s="22">
        <f ca="1">IFERROR(__xludf.DUMMYFUNCTION("""COMPUTED_VALUE"""),0)</f>
        <v>0</v>
      </c>
      <c r="H3014" s="7">
        <f ca="1">IFERROR(__xludf.DUMMYFUNCTION("""COMPUTED_VALUE"""),500000)</f>
        <v>500000</v>
      </c>
    </row>
    <row r="3015" spans="1:8" ht="13" x14ac:dyDescent="0.15">
      <c r="A3015" s="5" t="str">
        <f ca="1">IFERROR(__xludf.DUMMYFUNCTION("""COMPUTED_VALUE"""),"46876")</f>
        <v>46876</v>
      </c>
      <c r="B3015" s="51">
        <f ca="1">IFERROR(__xludf.DUMMYFUNCTION("""COMPUTED_VALUE"""),44618)</f>
        <v>44618</v>
      </c>
      <c r="C3015" s="22">
        <f ca="1">IFERROR(__xludf.DUMMYFUNCTION("""COMPUTED_VALUE"""),500000)</f>
        <v>500000</v>
      </c>
      <c r="D3015" s="22">
        <f ca="1">IFERROR(__xludf.DUMMYFUNCTION("""COMPUTED_VALUE"""),0)</f>
        <v>0</v>
      </c>
      <c r="E3015" s="22">
        <f ca="1">IFERROR(__xludf.DUMMYFUNCTION("""COMPUTED_VALUE"""),500000)</f>
        <v>500000</v>
      </c>
      <c r="F3015" s="22">
        <f ca="1">IFERROR(__xludf.DUMMYFUNCTION("""COMPUTED_VALUE"""),500000)</f>
        <v>500000</v>
      </c>
      <c r="G3015" s="22">
        <f ca="1">IFERROR(__xludf.DUMMYFUNCTION("""COMPUTED_VALUE"""),0)</f>
        <v>0</v>
      </c>
      <c r="H3015" s="7">
        <f ca="1">IFERROR(__xludf.DUMMYFUNCTION("""COMPUTED_VALUE"""),500000)</f>
        <v>500000</v>
      </c>
    </row>
    <row r="3016" spans="1:8" ht="13" x14ac:dyDescent="0.15">
      <c r="A3016" s="5" t="str">
        <f ca="1">IFERROR(__xludf.DUMMYFUNCTION("""COMPUTED_VALUE"""),"46876")</f>
        <v>46876</v>
      </c>
      <c r="B3016" s="51">
        <f ca="1">IFERROR(__xludf.DUMMYFUNCTION("""COMPUTED_VALUE"""),44619)</f>
        <v>44619</v>
      </c>
      <c r="C3016" s="22">
        <f ca="1">IFERROR(__xludf.DUMMYFUNCTION("""COMPUTED_VALUE"""),500000)</f>
        <v>500000</v>
      </c>
      <c r="D3016" s="22">
        <f ca="1">IFERROR(__xludf.DUMMYFUNCTION("""COMPUTED_VALUE"""),0)</f>
        <v>0</v>
      </c>
      <c r="E3016" s="22">
        <f ca="1">IFERROR(__xludf.DUMMYFUNCTION("""COMPUTED_VALUE"""),500000)</f>
        <v>500000</v>
      </c>
      <c r="F3016" s="22">
        <f ca="1">IFERROR(__xludf.DUMMYFUNCTION("""COMPUTED_VALUE"""),500000)</f>
        <v>500000</v>
      </c>
      <c r="G3016" s="22">
        <f ca="1">IFERROR(__xludf.DUMMYFUNCTION("""COMPUTED_VALUE"""),0)</f>
        <v>0</v>
      </c>
      <c r="H3016" s="7">
        <f ca="1">IFERROR(__xludf.DUMMYFUNCTION("""COMPUTED_VALUE"""),500000)</f>
        <v>500000</v>
      </c>
    </row>
    <row r="3017" spans="1:8" ht="13" x14ac:dyDescent="0.15">
      <c r="A3017" s="5" t="str">
        <f ca="1">IFERROR(__xludf.DUMMYFUNCTION("""COMPUTED_VALUE"""),"46876")</f>
        <v>46876</v>
      </c>
      <c r="B3017" s="51">
        <f ca="1">IFERROR(__xludf.DUMMYFUNCTION("""COMPUTED_VALUE"""),44620)</f>
        <v>44620</v>
      </c>
      <c r="C3017" s="22">
        <f ca="1">IFERROR(__xludf.DUMMYFUNCTION("""COMPUTED_VALUE"""),500000)</f>
        <v>500000</v>
      </c>
      <c r="D3017" s="22">
        <f ca="1">IFERROR(__xludf.DUMMYFUNCTION("""COMPUTED_VALUE"""),0)</f>
        <v>0</v>
      </c>
      <c r="E3017" s="22">
        <f ca="1">IFERROR(__xludf.DUMMYFUNCTION("""COMPUTED_VALUE"""),500000)</f>
        <v>500000</v>
      </c>
      <c r="F3017" s="22">
        <f ca="1">IFERROR(__xludf.DUMMYFUNCTION("""COMPUTED_VALUE"""),500000)</f>
        <v>500000</v>
      </c>
      <c r="G3017" s="22">
        <f ca="1">IFERROR(__xludf.DUMMYFUNCTION("""COMPUTED_VALUE"""),0)</f>
        <v>0</v>
      </c>
      <c r="H3017" s="7">
        <f ca="1">IFERROR(__xludf.DUMMYFUNCTION("""COMPUTED_VALUE"""),500000)</f>
        <v>500000</v>
      </c>
    </row>
    <row r="3018" spans="1:8" ht="13" x14ac:dyDescent="0.15">
      <c r="A3018" s="5" t="str">
        <f ca="1">IFERROR(__xludf.DUMMYFUNCTION("""COMPUTED_VALUE"""),"46876")</f>
        <v>46876</v>
      </c>
      <c r="B3018" s="51">
        <f ca="1">IFERROR(__xludf.DUMMYFUNCTION("""COMPUTED_VALUE"""),44621)</f>
        <v>44621</v>
      </c>
      <c r="C3018" s="22">
        <f ca="1">IFERROR(__xludf.DUMMYFUNCTION("""COMPUTED_VALUE"""),500000)</f>
        <v>500000</v>
      </c>
      <c r="D3018" s="22">
        <f ca="1">IFERROR(__xludf.DUMMYFUNCTION("""COMPUTED_VALUE"""),0)</f>
        <v>0</v>
      </c>
      <c r="E3018" s="22">
        <f ca="1">IFERROR(__xludf.DUMMYFUNCTION("""COMPUTED_VALUE"""),500000)</f>
        <v>500000</v>
      </c>
      <c r="F3018" s="22">
        <f ca="1">IFERROR(__xludf.DUMMYFUNCTION("""COMPUTED_VALUE"""),500000)</f>
        <v>500000</v>
      </c>
      <c r="G3018" s="22">
        <f ca="1">IFERROR(__xludf.DUMMYFUNCTION("""COMPUTED_VALUE"""),0)</f>
        <v>0</v>
      </c>
      <c r="H3018" s="7">
        <f ca="1">IFERROR(__xludf.DUMMYFUNCTION("""COMPUTED_VALUE"""),500000)</f>
        <v>500000</v>
      </c>
    </row>
    <row r="3019" spans="1:8" ht="13" x14ac:dyDescent="0.15">
      <c r="A3019" s="5" t="str">
        <f ca="1">IFERROR(__xludf.DUMMYFUNCTION("""COMPUTED_VALUE"""),"46876")</f>
        <v>46876</v>
      </c>
      <c r="B3019" s="51">
        <f ca="1">IFERROR(__xludf.DUMMYFUNCTION("""COMPUTED_VALUE"""),44622)</f>
        <v>44622</v>
      </c>
      <c r="C3019" s="22">
        <f ca="1">IFERROR(__xludf.DUMMYFUNCTION("""COMPUTED_VALUE"""),500000)</f>
        <v>500000</v>
      </c>
      <c r="D3019" s="22">
        <f ca="1">IFERROR(__xludf.DUMMYFUNCTION("""COMPUTED_VALUE"""),0)</f>
        <v>0</v>
      </c>
      <c r="E3019" s="22">
        <f ca="1">IFERROR(__xludf.DUMMYFUNCTION("""COMPUTED_VALUE"""),500000)</f>
        <v>500000</v>
      </c>
      <c r="F3019" s="22">
        <f ca="1">IFERROR(__xludf.DUMMYFUNCTION("""COMPUTED_VALUE"""),500000)</f>
        <v>500000</v>
      </c>
      <c r="G3019" s="22">
        <f ca="1">IFERROR(__xludf.DUMMYFUNCTION("""COMPUTED_VALUE"""),0)</f>
        <v>0</v>
      </c>
      <c r="H3019" s="7">
        <f ca="1">IFERROR(__xludf.DUMMYFUNCTION("""COMPUTED_VALUE"""),500000)</f>
        <v>500000</v>
      </c>
    </row>
    <row r="3020" spans="1:8" ht="13" x14ac:dyDescent="0.15">
      <c r="A3020" s="5" t="str">
        <f ca="1">IFERROR(__xludf.DUMMYFUNCTION("""COMPUTED_VALUE"""),"46876")</f>
        <v>46876</v>
      </c>
      <c r="B3020" s="51">
        <f ca="1">IFERROR(__xludf.DUMMYFUNCTION("""COMPUTED_VALUE"""),44623)</f>
        <v>44623</v>
      </c>
      <c r="C3020" s="22">
        <f ca="1">IFERROR(__xludf.DUMMYFUNCTION("""COMPUTED_VALUE"""),500000)</f>
        <v>500000</v>
      </c>
      <c r="D3020" s="22">
        <f ca="1">IFERROR(__xludf.DUMMYFUNCTION("""COMPUTED_VALUE"""),0)</f>
        <v>0</v>
      </c>
      <c r="E3020" s="22">
        <f ca="1">IFERROR(__xludf.DUMMYFUNCTION("""COMPUTED_VALUE"""),500000)</f>
        <v>500000</v>
      </c>
      <c r="F3020" s="22">
        <f ca="1">IFERROR(__xludf.DUMMYFUNCTION("""COMPUTED_VALUE"""),500000)</f>
        <v>500000</v>
      </c>
      <c r="G3020" s="22">
        <f ca="1">IFERROR(__xludf.DUMMYFUNCTION("""COMPUTED_VALUE"""),0)</f>
        <v>0</v>
      </c>
      <c r="H3020" s="7">
        <f ca="1">IFERROR(__xludf.DUMMYFUNCTION("""COMPUTED_VALUE"""),500000)</f>
        <v>500000</v>
      </c>
    </row>
    <row r="3021" spans="1:8" ht="13" x14ac:dyDescent="0.15">
      <c r="A3021" s="5" t="str">
        <f ca="1">IFERROR(__xludf.DUMMYFUNCTION("""COMPUTED_VALUE"""),"46876")</f>
        <v>46876</v>
      </c>
      <c r="B3021" s="51">
        <f ca="1">IFERROR(__xludf.DUMMYFUNCTION("""COMPUTED_VALUE"""),44624)</f>
        <v>44624</v>
      </c>
      <c r="C3021" s="22">
        <f ca="1">IFERROR(__xludf.DUMMYFUNCTION("""COMPUTED_VALUE"""),500000)</f>
        <v>500000</v>
      </c>
      <c r="D3021" s="22">
        <f ca="1">IFERROR(__xludf.DUMMYFUNCTION("""COMPUTED_VALUE"""),0)</f>
        <v>0</v>
      </c>
      <c r="E3021" s="22">
        <f ca="1">IFERROR(__xludf.DUMMYFUNCTION("""COMPUTED_VALUE"""),500000)</f>
        <v>500000</v>
      </c>
      <c r="F3021" s="22">
        <f ca="1">IFERROR(__xludf.DUMMYFUNCTION("""COMPUTED_VALUE"""),500000)</f>
        <v>500000</v>
      </c>
      <c r="G3021" s="22">
        <f ca="1">IFERROR(__xludf.DUMMYFUNCTION("""COMPUTED_VALUE"""),0)</f>
        <v>0</v>
      </c>
      <c r="H3021" s="7">
        <f ca="1">IFERROR(__xludf.DUMMYFUNCTION("""COMPUTED_VALUE"""),500000)</f>
        <v>500000</v>
      </c>
    </row>
    <row r="3022" spans="1:8" ht="13" x14ac:dyDescent="0.15">
      <c r="A3022" s="5" t="str">
        <f ca="1">IFERROR(__xludf.DUMMYFUNCTION("""COMPUTED_VALUE"""),"46876")</f>
        <v>46876</v>
      </c>
      <c r="B3022" s="51">
        <f ca="1">IFERROR(__xludf.DUMMYFUNCTION("""COMPUTED_VALUE"""),44625)</f>
        <v>44625</v>
      </c>
      <c r="C3022" s="22">
        <f ca="1">IFERROR(__xludf.DUMMYFUNCTION("""COMPUTED_VALUE"""),500000)</f>
        <v>500000</v>
      </c>
      <c r="D3022" s="22">
        <f ca="1">IFERROR(__xludf.DUMMYFUNCTION("""COMPUTED_VALUE"""),0)</f>
        <v>0</v>
      </c>
      <c r="E3022" s="22">
        <f ca="1">IFERROR(__xludf.DUMMYFUNCTION("""COMPUTED_VALUE"""),500000)</f>
        <v>500000</v>
      </c>
      <c r="F3022" s="22">
        <f ca="1">IFERROR(__xludf.DUMMYFUNCTION("""COMPUTED_VALUE"""),500000)</f>
        <v>500000</v>
      </c>
      <c r="G3022" s="22">
        <f ca="1">IFERROR(__xludf.DUMMYFUNCTION("""COMPUTED_VALUE"""),0)</f>
        <v>0</v>
      </c>
      <c r="H3022" s="7">
        <f ca="1">IFERROR(__xludf.DUMMYFUNCTION("""COMPUTED_VALUE"""),500000)</f>
        <v>500000</v>
      </c>
    </row>
    <row r="3023" spans="1:8" ht="13" x14ac:dyDescent="0.15">
      <c r="A3023" s="5" t="str">
        <f ca="1">IFERROR(__xludf.DUMMYFUNCTION("""COMPUTED_VALUE"""),"46876")</f>
        <v>46876</v>
      </c>
      <c r="B3023" s="51">
        <f ca="1">IFERROR(__xludf.DUMMYFUNCTION("""COMPUTED_VALUE"""),44626)</f>
        <v>44626</v>
      </c>
      <c r="C3023" s="22">
        <f ca="1">IFERROR(__xludf.DUMMYFUNCTION("""COMPUTED_VALUE"""),500000)</f>
        <v>500000</v>
      </c>
      <c r="D3023" s="22">
        <f ca="1">IFERROR(__xludf.DUMMYFUNCTION("""COMPUTED_VALUE"""),0)</f>
        <v>0</v>
      </c>
      <c r="E3023" s="22">
        <f ca="1">IFERROR(__xludf.DUMMYFUNCTION("""COMPUTED_VALUE"""),500000)</f>
        <v>500000</v>
      </c>
      <c r="F3023" s="22">
        <f ca="1">IFERROR(__xludf.DUMMYFUNCTION("""COMPUTED_VALUE"""),500000)</f>
        <v>500000</v>
      </c>
      <c r="G3023" s="22">
        <f ca="1">IFERROR(__xludf.DUMMYFUNCTION("""COMPUTED_VALUE"""),0)</f>
        <v>0</v>
      </c>
      <c r="H3023" s="7">
        <f ca="1">IFERROR(__xludf.DUMMYFUNCTION("""COMPUTED_VALUE"""),500000)</f>
        <v>500000</v>
      </c>
    </row>
    <row r="3024" spans="1:8" ht="13" x14ac:dyDescent="0.15">
      <c r="A3024" s="5" t="str">
        <f ca="1">IFERROR(__xludf.DUMMYFUNCTION("""COMPUTED_VALUE"""),"46876")</f>
        <v>46876</v>
      </c>
      <c r="B3024" s="51">
        <f ca="1">IFERROR(__xludf.DUMMYFUNCTION("""COMPUTED_VALUE"""),44627)</f>
        <v>44627</v>
      </c>
      <c r="C3024" s="22">
        <f ca="1">IFERROR(__xludf.DUMMYFUNCTION("""COMPUTED_VALUE"""),500000)</f>
        <v>500000</v>
      </c>
      <c r="D3024" s="22">
        <f ca="1">IFERROR(__xludf.DUMMYFUNCTION("""COMPUTED_VALUE"""),0)</f>
        <v>0</v>
      </c>
      <c r="E3024" s="22">
        <f ca="1">IFERROR(__xludf.DUMMYFUNCTION("""COMPUTED_VALUE"""),500000)</f>
        <v>500000</v>
      </c>
      <c r="F3024" s="22">
        <f ca="1">IFERROR(__xludf.DUMMYFUNCTION("""COMPUTED_VALUE"""),500000)</f>
        <v>500000</v>
      </c>
      <c r="G3024" s="22">
        <f ca="1">IFERROR(__xludf.DUMMYFUNCTION("""COMPUTED_VALUE"""),0)</f>
        <v>0</v>
      </c>
      <c r="H3024" s="7">
        <f ca="1">IFERROR(__xludf.DUMMYFUNCTION("""COMPUTED_VALUE"""),500000)</f>
        <v>500000</v>
      </c>
    </row>
    <row r="3025" spans="1:8" ht="13" x14ac:dyDescent="0.15">
      <c r="A3025" s="5" t="str">
        <f ca="1">IFERROR(__xludf.DUMMYFUNCTION("""COMPUTED_VALUE"""),"46876")</f>
        <v>46876</v>
      </c>
      <c r="B3025" s="51">
        <f ca="1">IFERROR(__xludf.DUMMYFUNCTION("""COMPUTED_VALUE"""),44628)</f>
        <v>44628</v>
      </c>
      <c r="C3025" s="22">
        <f ca="1">IFERROR(__xludf.DUMMYFUNCTION("""COMPUTED_VALUE"""),500000)</f>
        <v>500000</v>
      </c>
      <c r="D3025" s="22">
        <f ca="1">IFERROR(__xludf.DUMMYFUNCTION("""COMPUTED_VALUE"""),0)</f>
        <v>0</v>
      </c>
      <c r="E3025" s="22">
        <f ca="1">IFERROR(__xludf.DUMMYFUNCTION("""COMPUTED_VALUE"""),500000)</f>
        <v>500000</v>
      </c>
      <c r="F3025" s="22">
        <f ca="1">IFERROR(__xludf.DUMMYFUNCTION("""COMPUTED_VALUE"""),500000)</f>
        <v>500000</v>
      </c>
      <c r="G3025" s="22">
        <f ca="1">IFERROR(__xludf.DUMMYFUNCTION("""COMPUTED_VALUE"""),0)</f>
        <v>0</v>
      </c>
      <c r="H3025" s="7">
        <f ca="1">IFERROR(__xludf.DUMMYFUNCTION("""COMPUTED_VALUE"""),500000)</f>
        <v>500000</v>
      </c>
    </row>
    <row r="3026" spans="1:8" ht="13" x14ac:dyDescent="0.15">
      <c r="A3026" s="5" t="str">
        <f ca="1">IFERROR(__xludf.DUMMYFUNCTION("""COMPUTED_VALUE"""),"46876")</f>
        <v>46876</v>
      </c>
      <c r="B3026" s="51">
        <f ca="1">IFERROR(__xludf.DUMMYFUNCTION("""COMPUTED_VALUE"""),44629)</f>
        <v>44629</v>
      </c>
      <c r="C3026" s="22">
        <f ca="1">IFERROR(__xludf.DUMMYFUNCTION("""COMPUTED_VALUE"""),500000)</f>
        <v>500000</v>
      </c>
      <c r="D3026" s="22">
        <f ca="1">IFERROR(__xludf.DUMMYFUNCTION("""COMPUTED_VALUE"""),0)</f>
        <v>0</v>
      </c>
      <c r="E3026" s="22">
        <f ca="1">IFERROR(__xludf.DUMMYFUNCTION("""COMPUTED_VALUE"""),500000)</f>
        <v>500000</v>
      </c>
      <c r="F3026" s="22">
        <f ca="1">IFERROR(__xludf.DUMMYFUNCTION("""COMPUTED_VALUE"""),500000)</f>
        <v>500000</v>
      </c>
      <c r="G3026" s="22">
        <f ca="1">IFERROR(__xludf.DUMMYFUNCTION("""COMPUTED_VALUE"""),0)</f>
        <v>0</v>
      </c>
      <c r="H3026" s="7">
        <f ca="1">IFERROR(__xludf.DUMMYFUNCTION("""COMPUTED_VALUE"""),500000)</f>
        <v>500000</v>
      </c>
    </row>
    <row r="3027" spans="1:8" ht="13" x14ac:dyDescent="0.15">
      <c r="A3027" s="5" t="str">
        <f ca="1">IFERROR(__xludf.DUMMYFUNCTION("""COMPUTED_VALUE"""),"46876")</f>
        <v>46876</v>
      </c>
      <c r="B3027" s="51">
        <f ca="1">IFERROR(__xludf.DUMMYFUNCTION("""COMPUTED_VALUE"""),44630)</f>
        <v>44630</v>
      </c>
      <c r="C3027" s="22">
        <f ca="1">IFERROR(__xludf.DUMMYFUNCTION("""COMPUTED_VALUE"""),500000)</f>
        <v>500000</v>
      </c>
      <c r="D3027" s="22">
        <f ca="1">IFERROR(__xludf.DUMMYFUNCTION("""COMPUTED_VALUE"""),0)</f>
        <v>0</v>
      </c>
      <c r="E3027" s="22">
        <f ca="1">IFERROR(__xludf.DUMMYFUNCTION("""COMPUTED_VALUE"""),500000)</f>
        <v>500000</v>
      </c>
      <c r="F3027" s="22">
        <f ca="1">IFERROR(__xludf.DUMMYFUNCTION("""COMPUTED_VALUE"""),500000)</f>
        <v>500000</v>
      </c>
      <c r="G3027" s="22">
        <f ca="1">IFERROR(__xludf.DUMMYFUNCTION("""COMPUTED_VALUE"""),0)</f>
        <v>0</v>
      </c>
      <c r="H3027" s="7">
        <f ca="1">IFERROR(__xludf.DUMMYFUNCTION("""COMPUTED_VALUE"""),500000)</f>
        <v>500000</v>
      </c>
    </row>
    <row r="3028" spans="1:8" ht="13" x14ac:dyDescent="0.15">
      <c r="A3028" s="5" t="str">
        <f ca="1">IFERROR(__xludf.DUMMYFUNCTION("""COMPUTED_VALUE"""),"46876")</f>
        <v>46876</v>
      </c>
      <c r="B3028" s="51">
        <f ca="1">IFERROR(__xludf.DUMMYFUNCTION("""COMPUTED_VALUE"""),44631)</f>
        <v>44631</v>
      </c>
      <c r="C3028" s="22">
        <f ca="1">IFERROR(__xludf.DUMMYFUNCTION("""COMPUTED_VALUE"""),500000)</f>
        <v>500000</v>
      </c>
      <c r="D3028" s="22">
        <f ca="1">IFERROR(__xludf.DUMMYFUNCTION("""COMPUTED_VALUE"""),0)</f>
        <v>0</v>
      </c>
      <c r="E3028" s="22">
        <f ca="1">IFERROR(__xludf.DUMMYFUNCTION("""COMPUTED_VALUE"""),500000)</f>
        <v>500000</v>
      </c>
      <c r="F3028" s="22">
        <f ca="1">IFERROR(__xludf.DUMMYFUNCTION("""COMPUTED_VALUE"""),500000)</f>
        <v>500000</v>
      </c>
      <c r="G3028" s="22">
        <f ca="1">IFERROR(__xludf.DUMMYFUNCTION("""COMPUTED_VALUE"""),0)</f>
        <v>0</v>
      </c>
      <c r="H3028" s="7">
        <f ca="1">IFERROR(__xludf.DUMMYFUNCTION("""COMPUTED_VALUE"""),500000)</f>
        <v>500000</v>
      </c>
    </row>
    <row r="3029" spans="1:8" ht="13" x14ac:dyDescent="0.15">
      <c r="A3029" s="5" t="str">
        <f ca="1">IFERROR(__xludf.DUMMYFUNCTION("""COMPUTED_VALUE"""),"46876")</f>
        <v>46876</v>
      </c>
      <c r="B3029" s="51">
        <f ca="1">IFERROR(__xludf.DUMMYFUNCTION("""COMPUTED_VALUE"""),44632)</f>
        <v>44632</v>
      </c>
      <c r="C3029" s="22">
        <f ca="1">IFERROR(__xludf.DUMMYFUNCTION("""COMPUTED_VALUE"""),500000)</f>
        <v>500000</v>
      </c>
      <c r="D3029" s="22">
        <f ca="1">IFERROR(__xludf.DUMMYFUNCTION("""COMPUTED_VALUE"""),0)</f>
        <v>0</v>
      </c>
      <c r="E3029" s="22">
        <f ca="1">IFERROR(__xludf.DUMMYFUNCTION("""COMPUTED_VALUE"""),500000)</f>
        <v>500000</v>
      </c>
      <c r="F3029" s="22">
        <f ca="1">IFERROR(__xludf.DUMMYFUNCTION("""COMPUTED_VALUE"""),500000)</f>
        <v>500000</v>
      </c>
      <c r="G3029" s="22">
        <f ca="1">IFERROR(__xludf.DUMMYFUNCTION("""COMPUTED_VALUE"""),0)</f>
        <v>0</v>
      </c>
      <c r="H3029" s="7">
        <f ca="1">IFERROR(__xludf.DUMMYFUNCTION("""COMPUTED_VALUE"""),500000)</f>
        <v>500000</v>
      </c>
    </row>
    <row r="3030" spans="1:8" ht="13" x14ac:dyDescent="0.15">
      <c r="A3030" s="5" t="str">
        <f ca="1">IFERROR(__xludf.DUMMYFUNCTION("""COMPUTED_VALUE"""),"46876")</f>
        <v>46876</v>
      </c>
      <c r="B3030" s="51">
        <f ca="1">IFERROR(__xludf.DUMMYFUNCTION("""COMPUTED_VALUE"""),44633)</f>
        <v>44633</v>
      </c>
      <c r="C3030" s="22">
        <f ca="1">IFERROR(__xludf.DUMMYFUNCTION("""COMPUTED_VALUE"""),500000)</f>
        <v>500000</v>
      </c>
      <c r="D3030" s="22">
        <f ca="1">IFERROR(__xludf.DUMMYFUNCTION("""COMPUTED_VALUE"""),0)</f>
        <v>0</v>
      </c>
      <c r="E3030" s="22">
        <f ca="1">IFERROR(__xludf.DUMMYFUNCTION("""COMPUTED_VALUE"""),500000)</f>
        <v>500000</v>
      </c>
      <c r="F3030" s="22">
        <f ca="1">IFERROR(__xludf.DUMMYFUNCTION("""COMPUTED_VALUE"""),500000)</f>
        <v>500000</v>
      </c>
      <c r="G3030" s="22">
        <f ca="1">IFERROR(__xludf.DUMMYFUNCTION("""COMPUTED_VALUE"""),0)</f>
        <v>0</v>
      </c>
      <c r="H3030" s="7">
        <f ca="1">IFERROR(__xludf.DUMMYFUNCTION("""COMPUTED_VALUE"""),500000)</f>
        <v>500000</v>
      </c>
    </row>
    <row r="3031" spans="1:8" ht="13" x14ac:dyDescent="0.15">
      <c r="A3031" s="5" t="str">
        <f ca="1">IFERROR(__xludf.DUMMYFUNCTION("""COMPUTED_VALUE"""),"46876")</f>
        <v>46876</v>
      </c>
      <c r="B3031" s="51">
        <f ca="1">IFERROR(__xludf.DUMMYFUNCTION("""COMPUTED_VALUE"""),44634)</f>
        <v>44634</v>
      </c>
      <c r="C3031" s="22">
        <f ca="1">IFERROR(__xludf.DUMMYFUNCTION("""COMPUTED_VALUE"""),247550)</f>
        <v>247550</v>
      </c>
      <c r="D3031" s="22">
        <f ca="1">IFERROR(__xludf.DUMMYFUNCTION("""COMPUTED_VALUE"""),252450)</f>
        <v>252450</v>
      </c>
      <c r="E3031" s="22">
        <f ca="1">IFERROR(__xludf.DUMMYFUNCTION("""COMPUTED_VALUE"""),500000)</f>
        <v>500000</v>
      </c>
      <c r="F3031" s="22">
        <f ca="1">IFERROR(__xludf.DUMMYFUNCTION("""COMPUTED_VALUE"""),247550)</f>
        <v>247550</v>
      </c>
      <c r="G3031" s="22">
        <f ca="1">IFERROR(__xludf.DUMMYFUNCTION("""COMPUTED_VALUE"""),0)</f>
        <v>0</v>
      </c>
      <c r="H3031" s="7">
        <f ca="1">IFERROR(__xludf.DUMMYFUNCTION("""COMPUTED_VALUE"""),500000)</f>
        <v>500000</v>
      </c>
    </row>
    <row r="3032" spans="1:8" ht="13" x14ac:dyDescent="0.15">
      <c r="A3032" s="5" t="str">
        <f ca="1">IFERROR(__xludf.DUMMYFUNCTION("""COMPUTED_VALUE"""),"46876")</f>
        <v>46876</v>
      </c>
      <c r="B3032" s="51">
        <f ca="1">IFERROR(__xludf.DUMMYFUNCTION("""COMPUTED_VALUE"""),44635)</f>
        <v>44635</v>
      </c>
      <c r="C3032" s="22">
        <f ca="1">IFERROR(__xludf.DUMMYFUNCTION("""COMPUTED_VALUE"""),247550)</f>
        <v>247550</v>
      </c>
      <c r="D3032" s="22">
        <f ca="1">IFERROR(__xludf.DUMMYFUNCTION("""COMPUTED_VALUE"""),252450)</f>
        <v>252450</v>
      </c>
      <c r="E3032" s="22">
        <f ca="1">IFERROR(__xludf.DUMMYFUNCTION("""COMPUTED_VALUE"""),500000)</f>
        <v>500000</v>
      </c>
      <c r="F3032" s="22">
        <f ca="1">IFERROR(__xludf.DUMMYFUNCTION("""COMPUTED_VALUE"""),247550)</f>
        <v>247550</v>
      </c>
      <c r="G3032" s="22">
        <f ca="1">IFERROR(__xludf.DUMMYFUNCTION("""COMPUTED_VALUE"""),0)</f>
        <v>0</v>
      </c>
      <c r="H3032" s="7">
        <f ca="1">IFERROR(__xludf.DUMMYFUNCTION("""COMPUTED_VALUE"""),477450)</f>
        <v>477450</v>
      </c>
    </row>
    <row r="3033" spans="1:8" ht="13" x14ac:dyDescent="0.15">
      <c r="A3033" s="5" t="str">
        <f ca="1">IFERROR(__xludf.DUMMYFUNCTION("""COMPUTED_VALUE"""),"46876")</f>
        <v>46876</v>
      </c>
      <c r="B3033" s="51">
        <f ca="1">IFERROR(__xludf.DUMMYFUNCTION("""COMPUTED_VALUE"""),44636)</f>
        <v>44636</v>
      </c>
      <c r="C3033" s="22">
        <f ca="1">IFERROR(__xludf.DUMMYFUNCTION("""COMPUTED_VALUE"""),247550)</f>
        <v>247550</v>
      </c>
      <c r="D3033" s="22">
        <f ca="1">IFERROR(__xludf.DUMMYFUNCTION("""COMPUTED_VALUE"""),252450)</f>
        <v>252450</v>
      </c>
      <c r="E3033" s="22">
        <f ca="1">IFERROR(__xludf.DUMMYFUNCTION("""COMPUTED_VALUE"""),500000)</f>
        <v>500000</v>
      </c>
      <c r="F3033" s="22">
        <f ca="1">IFERROR(__xludf.DUMMYFUNCTION("""COMPUTED_VALUE"""),247550)</f>
        <v>247550</v>
      </c>
      <c r="G3033" s="22">
        <f ca="1">IFERROR(__xludf.DUMMYFUNCTION("""COMPUTED_VALUE"""),0)</f>
        <v>0</v>
      </c>
      <c r="H3033" s="7">
        <f ca="1">IFERROR(__xludf.DUMMYFUNCTION("""COMPUTED_VALUE"""),489000)</f>
        <v>489000</v>
      </c>
    </row>
    <row r="3034" spans="1:8" ht="13" x14ac:dyDescent="0.15">
      <c r="A3034" s="5" t="str">
        <f ca="1">IFERROR(__xludf.DUMMYFUNCTION("""COMPUTED_VALUE"""),"46876")</f>
        <v>46876</v>
      </c>
      <c r="B3034" s="51">
        <f ca="1">IFERROR(__xludf.DUMMYFUNCTION("""COMPUTED_VALUE"""),44637)</f>
        <v>44637</v>
      </c>
      <c r="C3034" s="22">
        <f ca="1">IFERROR(__xludf.DUMMYFUNCTION("""COMPUTED_VALUE"""),247550)</f>
        <v>247550</v>
      </c>
      <c r="D3034" s="22">
        <f ca="1">IFERROR(__xludf.DUMMYFUNCTION("""COMPUTED_VALUE"""),252450)</f>
        <v>252450</v>
      </c>
      <c r="E3034" s="22">
        <f ca="1">IFERROR(__xludf.DUMMYFUNCTION("""COMPUTED_VALUE"""),500000)</f>
        <v>500000</v>
      </c>
      <c r="F3034" s="22">
        <f ca="1">IFERROR(__xludf.DUMMYFUNCTION("""COMPUTED_VALUE"""),247550)</f>
        <v>247550</v>
      </c>
      <c r="G3034" s="22">
        <f ca="1">IFERROR(__xludf.DUMMYFUNCTION("""COMPUTED_VALUE"""),0)</f>
        <v>0</v>
      </c>
      <c r="H3034" s="7">
        <f ca="1">IFERROR(__xludf.DUMMYFUNCTION("""COMPUTED_VALUE"""),509350)</f>
        <v>509350</v>
      </c>
    </row>
    <row r="3035" spans="1:8" ht="13" x14ac:dyDescent="0.15">
      <c r="A3035" s="5" t="str">
        <f ca="1">IFERROR(__xludf.DUMMYFUNCTION("""COMPUTED_VALUE"""),"46876")</f>
        <v>46876</v>
      </c>
      <c r="B3035" s="51">
        <f ca="1">IFERROR(__xludf.DUMMYFUNCTION("""COMPUTED_VALUE"""),44638)</f>
        <v>44638</v>
      </c>
      <c r="C3035" s="22">
        <f ca="1">IFERROR(__xludf.DUMMYFUNCTION("""COMPUTED_VALUE"""),345900)</f>
        <v>345900</v>
      </c>
      <c r="D3035" s="22">
        <f ca="1">IFERROR(__xludf.DUMMYFUNCTION("""COMPUTED_VALUE"""),171700)</f>
        <v>171700</v>
      </c>
      <c r="E3035" s="22">
        <f ca="1">IFERROR(__xludf.DUMMYFUNCTION("""COMPUTED_VALUE"""),517600)</f>
        <v>517600</v>
      </c>
      <c r="F3035" s="22">
        <f ca="1">IFERROR(__xludf.DUMMYFUNCTION("""COMPUTED_VALUE"""),149200)</f>
        <v>149200</v>
      </c>
      <c r="G3035" s="22">
        <f ca="1">IFERROR(__xludf.DUMMYFUNCTION("""COMPUTED_VALUE"""),0)</f>
        <v>0</v>
      </c>
      <c r="H3035" s="7">
        <f ca="1">IFERROR(__xludf.DUMMYFUNCTION("""COMPUTED_VALUE"""),517600)</f>
        <v>517600</v>
      </c>
    </row>
    <row r="3036" spans="1:8" ht="13" x14ac:dyDescent="0.15">
      <c r="A3036" s="5" t="str">
        <f ca="1">IFERROR(__xludf.DUMMYFUNCTION("""COMPUTED_VALUE"""),"46876")</f>
        <v>46876</v>
      </c>
      <c r="B3036" s="51">
        <f ca="1">IFERROR(__xludf.DUMMYFUNCTION("""COMPUTED_VALUE"""),44639)</f>
        <v>44639</v>
      </c>
      <c r="C3036" s="22">
        <f ca="1">IFERROR(__xludf.DUMMYFUNCTION("""COMPUTED_VALUE"""),345900)</f>
        <v>345900</v>
      </c>
      <c r="D3036" s="22">
        <f ca="1">IFERROR(__xludf.DUMMYFUNCTION("""COMPUTED_VALUE"""),171700)</f>
        <v>171700</v>
      </c>
      <c r="E3036" s="22">
        <f ca="1">IFERROR(__xludf.DUMMYFUNCTION("""COMPUTED_VALUE"""),517600)</f>
        <v>517600</v>
      </c>
      <c r="F3036" s="22">
        <f ca="1">IFERROR(__xludf.DUMMYFUNCTION("""COMPUTED_VALUE"""),149200)</f>
        <v>149200</v>
      </c>
      <c r="G3036" s="22">
        <f ca="1">IFERROR(__xludf.DUMMYFUNCTION("""COMPUTED_VALUE"""),0)</f>
        <v>0</v>
      </c>
      <c r="H3036" s="7">
        <f ca="1">IFERROR(__xludf.DUMMYFUNCTION("""COMPUTED_VALUE"""),517600)</f>
        <v>517600</v>
      </c>
    </row>
    <row r="3037" spans="1:8" ht="13" x14ac:dyDescent="0.15">
      <c r="A3037" s="5" t="str">
        <f ca="1">IFERROR(__xludf.DUMMYFUNCTION("""COMPUTED_VALUE"""),"46876")</f>
        <v>46876</v>
      </c>
      <c r="B3037" s="51">
        <f ca="1">IFERROR(__xludf.DUMMYFUNCTION("""COMPUTED_VALUE"""),44640)</f>
        <v>44640</v>
      </c>
      <c r="C3037" s="22">
        <f ca="1">IFERROR(__xludf.DUMMYFUNCTION("""COMPUTED_VALUE"""),345900)</f>
        <v>345900</v>
      </c>
      <c r="D3037" s="22">
        <f ca="1">IFERROR(__xludf.DUMMYFUNCTION("""COMPUTED_VALUE"""),171700)</f>
        <v>171700</v>
      </c>
      <c r="E3037" s="22">
        <f ca="1">IFERROR(__xludf.DUMMYFUNCTION("""COMPUTED_VALUE"""),517600)</f>
        <v>517600</v>
      </c>
      <c r="F3037" s="22">
        <f ca="1">IFERROR(__xludf.DUMMYFUNCTION("""COMPUTED_VALUE"""),149200)</f>
        <v>149200</v>
      </c>
      <c r="G3037" s="22">
        <f ca="1">IFERROR(__xludf.DUMMYFUNCTION("""COMPUTED_VALUE"""),0)</f>
        <v>0</v>
      </c>
      <c r="H3037" s="7">
        <f ca="1">IFERROR(__xludf.DUMMYFUNCTION("""COMPUTED_VALUE"""),517600)</f>
        <v>517600</v>
      </c>
    </row>
    <row r="3038" spans="1:8" ht="13" x14ac:dyDescent="0.15">
      <c r="A3038" s="5" t="str">
        <f ca="1">IFERROR(__xludf.DUMMYFUNCTION("""COMPUTED_VALUE"""),"46876")</f>
        <v>46876</v>
      </c>
      <c r="B3038" s="51">
        <f ca="1">IFERROR(__xludf.DUMMYFUNCTION("""COMPUTED_VALUE"""),44641)</f>
        <v>44641</v>
      </c>
      <c r="C3038" s="22">
        <f ca="1">IFERROR(__xludf.DUMMYFUNCTION("""COMPUTED_VALUE"""),345900)</f>
        <v>345900</v>
      </c>
      <c r="D3038" s="22">
        <f ca="1">IFERROR(__xludf.DUMMYFUNCTION("""COMPUTED_VALUE"""),179400)</f>
        <v>179400</v>
      </c>
      <c r="E3038" s="22">
        <f ca="1">IFERROR(__xludf.DUMMYFUNCTION("""COMPUTED_VALUE"""),525300)</f>
        <v>525300</v>
      </c>
      <c r="F3038" s="22">
        <f ca="1">IFERROR(__xludf.DUMMYFUNCTION("""COMPUTED_VALUE"""),149200)</f>
        <v>149200</v>
      </c>
      <c r="G3038" s="22">
        <f ca="1">IFERROR(__xludf.DUMMYFUNCTION("""COMPUTED_VALUE"""),0)</f>
        <v>0</v>
      </c>
      <c r="H3038" s="7">
        <f ca="1">IFERROR(__xludf.DUMMYFUNCTION("""COMPUTED_VALUE"""),524550)</f>
        <v>524550</v>
      </c>
    </row>
    <row r="3039" spans="1:8" ht="13" x14ac:dyDescent="0.15">
      <c r="A3039" s="5" t="str">
        <f ca="1">IFERROR(__xludf.DUMMYFUNCTION("""COMPUTED_VALUE"""),"46876")</f>
        <v>46876</v>
      </c>
      <c r="B3039" s="51">
        <f ca="1">IFERROR(__xludf.DUMMYFUNCTION("""COMPUTED_VALUE"""),44642)</f>
        <v>44642</v>
      </c>
      <c r="C3039" s="22">
        <f ca="1">IFERROR(__xludf.DUMMYFUNCTION("""COMPUTED_VALUE"""),345900)</f>
        <v>345900</v>
      </c>
      <c r="D3039" s="22">
        <f ca="1">IFERROR(__xludf.DUMMYFUNCTION("""COMPUTED_VALUE"""),201950)</f>
        <v>201950</v>
      </c>
      <c r="E3039" s="22">
        <f ca="1">IFERROR(__xludf.DUMMYFUNCTION("""COMPUTED_VALUE"""),547850)</f>
        <v>547850</v>
      </c>
      <c r="F3039" s="22">
        <f ca="1">IFERROR(__xludf.DUMMYFUNCTION("""COMPUTED_VALUE"""),149200)</f>
        <v>149200</v>
      </c>
      <c r="G3039" s="22">
        <f ca="1">IFERROR(__xludf.DUMMYFUNCTION("""COMPUTED_VALUE"""),0)</f>
        <v>0</v>
      </c>
      <c r="H3039" s="7">
        <f ca="1">IFERROR(__xludf.DUMMYFUNCTION("""COMPUTED_VALUE"""),536000)</f>
        <v>536000</v>
      </c>
    </row>
    <row r="3040" spans="1:8" ht="13" x14ac:dyDescent="0.15">
      <c r="A3040" s="5" t="str">
        <f ca="1">IFERROR(__xludf.DUMMYFUNCTION("""COMPUTED_VALUE"""),"46975")</f>
        <v>46975</v>
      </c>
      <c r="B3040" s="51">
        <f ca="1">IFERROR(__xludf.DUMMYFUNCTION("""COMPUTED_VALUE"""),44597)</f>
        <v>44597</v>
      </c>
      <c r="C3040" s="22">
        <f ca="1">IFERROR(__xludf.DUMMYFUNCTION("""COMPUTED_VALUE"""),500000)</f>
        <v>500000</v>
      </c>
      <c r="D3040" s="22">
        <f ca="1">IFERROR(__xludf.DUMMYFUNCTION("""COMPUTED_VALUE"""),0)</f>
        <v>0</v>
      </c>
      <c r="E3040" s="22">
        <f ca="1">IFERROR(__xludf.DUMMYFUNCTION("""COMPUTED_VALUE"""),500000)</f>
        <v>500000</v>
      </c>
      <c r="F3040" s="22">
        <f ca="1">IFERROR(__xludf.DUMMYFUNCTION("""COMPUTED_VALUE"""),500000)</f>
        <v>500000</v>
      </c>
      <c r="G3040" s="22">
        <f ca="1">IFERROR(__xludf.DUMMYFUNCTION("""COMPUTED_VALUE"""),0)</f>
        <v>0</v>
      </c>
      <c r="H3040" s="7">
        <f ca="1">IFERROR(__xludf.DUMMYFUNCTION("""COMPUTED_VALUE"""),500000)</f>
        <v>500000</v>
      </c>
    </row>
    <row r="3041" spans="1:8" ht="13" x14ac:dyDescent="0.15">
      <c r="A3041" s="5" t="str">
        <f ca="1">IFERROR(__xludf.DUMMYFUNCTION("""COMPUTED_VALUE"""),"46975")</f>
        <v>46975</v>
      </c>
      <c r="B3041" s="51">
        <f ca="1">IFERROR(__xludf.DUMMYFUNCTION("""COMPUTED_VALUE"""),44598)</f>
        <v>44598</v>
      </c>
      <c r="C3041" s="22">
        <f ca="1">IFERROR(__xludf.DUMMYFUNCTION("""COMPUTED_VALUE"""),500000)</f>
        <v>500000</v>
      </c>
      <c r="D3041" s="22">
        <f ca="1">IFERROR(__xludf.DUMMYFUNCTION("""COMPUTED_VALUE"""),0)</f>
        <v>0</v>
      </c>
      <c r="E3041" s="22">
        <f ca="1">IFERROR(__xludf.DUMMYFUNCTION("""COMPUTED_VALUE"""),500000)</f>
        <v>500000</v>
      </c>
      <c r="F3041" s="22">
        <f ca="1">IFERROR(__xludf.DUMMYFUNCTION("""COMPUTED_VALUE"""),500000)</f>
        <v>500000</v>
      </c>
      <c r="G3041" s="22">
        <f ca="1">IFERROR(__xludf.DUMMYFUNCTION("""COMPUTED_VALUE"""),0)</f>
        <v>0</v>
      </c>
      <c r="H3041" s="7">
        <f ca="1">IFERROR(__xludf.DUMMYFUNCTION("""COMPUTED_VALUE"""),500000)</f>
        <v>500000</v>
      </c>
    </row>
    <row r="3042" spans="1:8" ht="13" x14ac:dyDescent="0.15">
      <c r="A3042" s="5" t="str">
        <f ca="1">IFERROR(__xludf.DUMMYFUNCTION("""COMPUTED_VALUE"""),"46975")</f>
        <v>46975</v>
      </c>
      <c r="B3042" s="51">
        <f ca="1">IFERROR(__xludf.DUMMYFUNCTION("""COMPUTED_VALUE"""),44599)</f>
        <v>44599</v>
      </c>
      <c r="C3042" s="22">
        <f ca="1">IFERROR(__xludf.DUMMYFUNCTION("""COMPUTED_VALUE"""),500000)</f>
        <v>500000</v>
      </c>
      <c r="D3042" s="22">
        <f ca="1">IFERROR(__xludf.DUMMYFUNCTION("""COMPUTED_VALUE"""),0)</f>
        <v>0</v>
      </c>
      <c r="E3042" s="22">
        <f ca="1">IFERROR(__xludf.DUMMYFUNCTION("""COMPUTED_VALUE"""),500000)</f>
        <v>500000</v>
      </c>
      <c r="F3042" s="22">
        <f ca="1">IFERROR(__xludf.DUMMYFUNCTION("""COMPUTED_VALUE"""),500000)</f>
        <v>500000</v>
      </c>
      <c r="G3042" s="22">
        <f ca="1">IFERROR(__xludf.DUMMYFUNCTION("""COMPUTED_VALUE"""),0)</f>
        <v>0</v>
      </c>
      <c r="H3042" s="7">
        <f ca="1">IFERROR(__xludf.DUMMYFUNCTION("""COMPUTED_VALUE"""),500000)</f>
        <v>500000</v>
      </c>
    </row>
    <row r="3043" spans="1:8" ht="13" x14ac:dyDescent="0.15">
      <c r="A3043" s="5" t="str">
        <f ca="1">IFERROR(__xludf.DUMMYFUNCTION("""COMPUTED_VALUE"""),"46975")</f>
        <v>46975</v>
      </c>
      <c r="B3043" s="51">
        <f ca="1">IFERROR(__xludf.DUMMYFUNCTION("""COMPUTED_VALUE"""),44600)</f>
        <v>44600</v>
      </c>
      <c r="C3043" s="22">
        <f ca="1">IFERROR(__xludf.DUMMYFUNCTION("""COMPUTED_VALUE"""),500000)</f>
        <v>500000</v>
      </c>
      <c r="D3043" s="22">
        <f ca="1">IFERROR(__xludf.DUMMYFUNCTION("""COMPUTED_VALUE"""),0)</f>
        <v>0</v>
      </c>
      <c r="E3043" s="22">
        <f ca="1">IFERROR(__xludf.DUMMYFUNCTION("""COMPUTED_VALUE"""),500000)</f>
        <v>500000</v>
      </c>
      <c r="F3043" s="22">
        <f ca="1">IFERROR(__xludf.DUMMYFUNCTION("""COMPUTED_VALUE"""),500000)</f>
        <v>500000</v>
      </c>
      <c r="G3043" s="22">
        <f ca="1">IFERROR(__xludf.DUMMYFUNCTION("""COMPUTED_VALUE"""),0)</f>
        <v>0</v>
      </c>
      <c r="H3043" s="7">
        <f ca="1">IFERROR(__xludf.DUMMYFUNCTION("""COMPUTED_VALUE"""),500000)</f>
        <v>500000</v>
      </c>
    </row>
    <row r="3044" spans="1:8" ht="13" x14ac:dyDescent="0.15">
      <c r="A3044" s="5" t="str">
        <f ca="1">IFERROR(__xludf.DUMMYFUNCTION("""COMPUTED_VALUE"""),"46975")</f>
        <v>46975</v>
      </c>
      <c r="B3044" s="51">
        <f ca="1">IFERROR(__xludf.DUMMYFUNCTION("""COMPUTED_VALUE"""),44601)</f>
        <v>44601</v>
      </c>
      <c r="C3044" s="22">
        <f ca="1">IFERROR(__xludf.DUMMYFUNCTION("""COMPUTED_VALUE"""),500000)</f>
        <v>500000</v>
      </c>
      <c r="D3044" s="22">
        <f ca="1">IFERROR(__xludf.DUMMYFUNCTION("""COMPUTED_VALUE"""),0)</f>
        <v>0</v>
      </c>
      <c r="E3044" s="22">
        <f ca="1">IFERROR(__xludf.DUMMYFUNCTION("""COMPUTED_VALUE"""),500000)</f>
        <v>500000</v>
      </c>
      <c r="F3044" s="22">
        <f ca="1">IFERROR(__xludf.DUMMYFUNCTION("""COMPUTED_VALUE"""),500000)</f>
        <v>500000</v>
      </c>
      <c r="G3044" s="22">
        <f ca="1">IFERROR(__xludf.DUMMYFUNCTION("""COMPUTED_VALUE"""),0)</f>
        <v>0</v>
      </c>
      <c r="H3044" s="7">
        <f ca="1">IFERROR(__xludf.DUMMYFUNCTION("""COMPUTED_VALUE"""),500000)</f>
        <v>500000</v>
      </c>
    </row>
    <row r="3045" spans="1:8" ht="13" x14ac:dyDescent="0.15">
      <c r="A3045" s="5" t="str">
        <f ca="1">IFERROR(__xludf.DUMMYFUNCTION("""COMPUTED_VALUE"""),"46975")</f>
        <v>46975</v>
      </c>
      <c r="B3045" s="51">
        <f ca="1">IFERROR(__xludf.DUMMYFUNCTION("""COMPUTED_VALUE"""),44602)</f>
        <v>44602</v>
      </c>
      <c r="C3045" s="22">
        <f ca="1">IFERROR(__xludf.DUMMYFUNCTION("""COMPUTED_VALUE"""),500000)</f>
        <v>500000</v>
      </c>
      <c r="D3045" s="22">
        <f ca="1">IFERROR(__xludf.DUMMYFUNCTION("""COMPUTED_VALUE"""),0)</f>
        <v>0</v>
      </c>
      <c r="E3045" s="22">
        <f ca="1">IFERROR(__xludf.DUMMYFUNCTION("""COMPUTED_VALUE"""),500000)</f>
        <v>500000</v>
      </c>
      <c r="F3045" s="22">
        <f ca="1">IFERROR(__xludf.DUMMYFUNCTION("""COMPUTED_VALUE"""),500000)</f>
        <v>500000</v>
      </c>
      <c r="G3045" s="22">
        <f ca="1">IFERROR(__xludf.DUMMYFUNCTION("""COMPUTED_VALUE"""),0)</f>
        <v>0</v>
      </c>
      <c r="H3045" s="7">
        <f ca="1">IFERROR(__xludf.DUMMYFUNCTION("""COMPUTED_VALUE"""),500000)</f>
        <v>500000</v>
      </c>
    </row>
    <row r="3046" spans="1:8" ht="13" x14ac:dyDescent="0.15">
      <c r="A3046" s="5" t="str">
        <f ca="1">IFERROR(__xludf.DUMMYFUNCTION("""COMPUTED_VALUE"""),"46975")</f>
        <v>46975</v>
      </c>
      <c r="B3046" s="51">
        <f ca="1">IFERROR(__xludf.DUMMYFUNCTION("""COMPUTED_VALUE"""),44603)</f>
        <v>44603</v>
      </c>
      <c r="C3046" s="22">
        <f ca="1">IFERROR(__xludf.DUMMYFUNCTION("""COMPUTED_VALUE"""),500000)</f>
        <v>500000</v>
      </c>
      <c r="D3046" s="22">
        <f ca="1">IFERROR(__xludf.DUMMYFUNCTION("""COMPUTED_VALUE"""),0)</f>
        <v>0</v>
      </c>
      <c r="E3046" s="22">
        <f ca="1">IFERROR(__xludf.DUMMYFUNCTION("""COMPUTED_VALUE"""),500000)</f>
        <v>500000</v>
      </c>
      <c r="F3046" s="22">
        <f ca="1">IFERROR(__xludf.DUMMYFUNCTION("""COMPUTED_VALUE"""),500000)</f>
        <v>500000</v>
      </c>
      <c r="G3046" s="22">
        <f ca="1">IFERROR(__xludf.DUMMYFUNCTION("""COMPUTED_VALUE"""),0)</f>
        <v>0</v>
      </c>
      <c r="H3046" s="7">
        <f ca="1">IFERROR(__xludf.DUMMYFUNCTION("""COMPUTED_VALUE"""),500000)</f>
        <v>500000</v>
      </c>
    </row>
    <row r="3047" spans="1:8" ht="13" x14ac:dyDescent="0.15">
      <c r="A3047" s="5" t="str">
        <f ca="1">IFERROR(__xludf.DUMMYFUNCTION("""COMPUTED_VALUE"""),"46975")</f>
        <v>46975</v>
      </c>
      <c r="B3047" s="51">
        <f ca="1">IFERROR(__xludf.DUMMYFUNCTION("""COMPUTED_VALUE"""),44604)</f>
        <v>44604</v>
      </c>
      <c r="C3047" s="22">
        <f ca="1">IFERROR(__xludf.DUMMYFUNCTION("""COMPUTED_VALUE"""),500000)</f>
        <v>500000</v>
      </c>
      <c r="D3047" s="22">
        <f ca="1">IFERROR(__xludf.DUMMYFUNCTION("""COMPUTED_VALUE"""),0)</f>
        <v>0</v>
      </c>
      <c r="E3047" s="22">
        <f ca="1">IFERROR(__xludf.DUMMYFUNCTION("""COMPUTED_VALUE"""),500000)</f>
        <v>500000</v>
      </c>
      <c r="F3047" s="22">
        <f ca="1">IFERROR(__xludf.DUMMYFUNCTION("""COMPUTED_VALUE"""),500000)</f>
        <v>500000</v>
      </c>
      <c r="G3047" s="22">
        <f ca="1">IFERROR(__xludf.DUMMYFUNCTION("""COMPUTED_VALUE"""),0)</f>
        <v>0</v>
      </c>
      <c r="H3047" s="7">
        <f ca="1">IFERROR(__xludf.DUMMYFUNCTION("""COMPUTED_VALUE"""),500000)</f>
        <v>500000</v>
      </c>
    </row>
    <row r="3048" spans="1:8" ht="13" x14ac:dyDescent="0.15">
      <c r="A3048" s="5" t="str">
        <f ca="1">IFERROR(__xludf.DUMMYFUNCTION("""COMPUTED_VALUE"""),"46975")</f>
        <v>46975</v>
      </c>
      <c r="B3048" s="51">
        <f ca="1">IFERROR(__xludf.DUMMYFUNCTION("""COMPUTED_VALUE"""),44605)</f>
        <v>44605</v>
      </c>
      <c r="C3048" s="22">
        <f ca="1">IFERROR(__xludf.DUMMYFUNCTION("""COMPUTED_VALUE"""),500000)</f>
        <v>500000</v>
      </c>
      <c r="D3048" s="22">
        <f ca="1">IFERROR(__xludf.DUMMYFUNCTION("""COMPUTED_VALUE"""),0)</f>
        <v>0</v>
      </c>
      <c r="E3048" s="22">
        <f ca="1">IFERROR(__xludf.DUMMYFUNCTION("""COMPUTED_VALUE"""),500000)</f>
        <v>500000</v>
      </c>
      <c r="F3048" s="22">
        <f ca="1">IFERROR(__xludf.DUMMYFUNCTION("""COMPUTED_VALUE"""),500000)</f>
        <v>500000</v>
      </c>
      <c r="G3048" s="22">
        <f ca="1">IFERROR(__xludf.DUMMYFUNCTION("""COMPUTED_VALUE"""),0)</f>
        <v>0</v>
      </c>
      <c r="H3048" s="7">
        <f ca="1">IFERROR(__xludf.DUMMYFUNCTION("""COMPUTED_VALUE"""),500000)</f>
        <v>500000</v>
      </c>
    </row>
    <row r="3049" spans="1:8" ht="13" x14ac:dyDescent="0.15">
      <c r="A3049" s="5" t="str">
        <f ca="1">IFERROR(__xludf.DUMMYFUNCTION("""COMPUTED_VALUE"""),"46975")</f>
        <v>46975</v>
      </c>
      <c r="B3049" s="51">
        <f ca="1">IFERROR(__xludf.DUMMYFUNCTION("""COMPUTED_VALUE"""),44606)</f>
        <v>44606</v>
      </c>
      <c r="C3049" s="22">
        <f ca="1">IFERROR(__xludf.DUMMYFUNCTION("""COMPUTED_VALUE"""),500000)</f>
        <v>500000</v>
      </c>
      <c r="D3049" s="22">
        <f ca="1">IFERROR(__xludf.DUMMYFUNCTION("""COMPUTED_VALUE"""),0)</f>
        <v>0</v>
      </c>
      <c r="E3049" s="22">
        <f ca="1">IFERROR(__xludf.DUMMYFUNCTION("""COMPUTED_VALUE"""),500000)</f>
        <v>500000</v>
      </c>
      <c r="F3049" s="22">
        <f ca="1">IFERROR(__xludf.DUMMYFUNCTION("""COMPUTED_VALUE"""),500000)</f>
        <v>500000</v>
      </c>
      <c r="G3049" s="22">
        <f ca="1">IFERROR(__xludf.DUMMYFUNCTION("""COMPUTED_VALUE"""),0)</f>
        <v>0</v>
      </c>
      <c r="H3049" s="7">
        <f ca="1">IFERROR(__xludf.DUMMYFUNCTION("""COMPUTED_VALUE"""),500000)</f>
        <v>500000</v>
      </c>
    </row>
    <row r="3050" spans="1:8" ht="13" x14ac:dyDescent="0.15">
      <c r="A3050" s="5" t="str">
        <f ca="1">IFERROR(__xludf.DUMMYFUNCTION("""COMPUTED_VALUE"""),"46975")</f>
        <v>46975</v>
      </c>
      <c r="B3050" s="51">
        <f ca="1">IFERROR(__xludf.DUMMYFUNCTION("""COMPUTED_VALUE"""),44607)</f>
        <v>44607</v>
      </c>
      <c r="C3050" s="22">
        <f ca="1">IFERROR(__xludf.DUMMYFUNCTION("""COMPUTED_VALUE"""),500000)</f>
        <v>500000</v>
      </c>
      <c r="D3050" s="22">
        <f ca="1">IFERROR(__xludf.DUMMYFUNCTION("""COMPUTED_VALUE"""),0)</f>
        <v>0</v>
      </c>
      <c r="E3050" s="22">
        <f ca="1">IFERROR(__xludf.DUMMYFUNCTION("""COMPUTED_VALUE"""),500000)</f>
        <v>500000</v>
      </c>
      <c r="F3050" s="22">
        <f ca="1">IFERROR(__xludf.DUMMYFUNCTION("""COMPUTED_VALUE"""),500000)</f>
        <v>500000</v>
      </c>
      <c r="G3050" s="22">
        <f ca="1">IFERROR(__xludf.DUMMYFUNCTION("""COMPUTED_VALUE"""),0)</f>
        <v>0</v>
      </c>
      <c r="H3050" s="7">
        <f ca="1">IFERROR(__xludf.DUMMYFUNCTION("""COMPUTED_VALUE"""),500000)</f>
        <v>500000</v>
      </c>
    </row>
    <row r="3051" spans="1:8" ht="13" x14ac:dyDescent="0.15">
      <c r="A3051" s="5" t="str">
        <f ca="1">IFERROR(__xludf.DUMMYFUNCTION("""COMPUTED_VALUE"""),"46975")</f>
        <v>46975</v>
      </c>
      <c r="B3051" s="51">
        <f ca="1">IFERROR(__xludf.DUMMYFUNCTION("""COMPUTED_VALUE"""),44608)</f>
        <v>44608</v>
      </c>
      <c r="C3051" s="22">
        <f ca="1">IFERROR(__xludf.DUMMYFUNCTION("""COMPUTED_VALUE"""),500000)</f>
        <v>500000</v>
      </c>
      <c r="D3051" s="22">
        <f ca="1">IFERROR(__xludf.DUMMYFUNCTION("""COMPUTED_VALUE"""),0)</f>
        <v>0</v>
      </c>
      <c r="E3051" s="22">
        <f ca="1">IFERROR(__xludf.DUMMYFUNCTION("""COMPUTED_VALUE"""),500000)</f>
        <v>500000</v>
      </c>
      <c r="F3051" s="22">
        <f ca="1">IFERROR(__xludf.DUMMYFUNCTION("""COMPUTED_VALUE"""),500000)</f>
        <v>500000</v>
      </c>
      <c r="G3051" s="22">
        <f ca="1">IFERROR(__xludf.DUMMYFUNCTION("""COMPUTED_VALUE"""),0)</f>
        <v>0</v>
      </c>
      <c r="H3051" s="7">
        <f ca="1">IFERROR(__xludf.DUMMYFUNCTION("""COMPUTED_VALUE"""),500000)</f>
        <v>500000</v>
      </c>
    </row>
    <row r="3052" spans="1:8" ht="13" x14ac:dyDescent="0.15">
      <c r="A3052" s="5" t="str">
        <f ca="1">IFERROR(__xludf.DUMMYFUNCTION("""COMPUTED_VALUE"""),"46975")</f>
        <v>46975</v>
      </c>
      <c r="B3052" s="51">
        <f ca="1">IFERROR(__xludf.DUMMYFUNCTION("""COMPUTED_VALUE"""),44609)</f>
        <v>44609</v>
      </c>
      <c r="C3052" s="22">
        <f ca="1">IFERROR(__xludf.DUMMYFUNCTION("""COMPUTED_VALUE"""),500000)</f>
        <v>500000</v>
      </c>
      <c r="D3052" s="22">
        <f ca="1">IFERROR(__xludf.DUMMYFUNCTION("""COMPUTED_VALUE"""),0)</f>
        <v>0</v>
      </c>
      <c r="E3052" s="22">
        <f ca="1">IFERROR(__xludf.DUMMYFUNCTION("""COMPUTED_VALUE"""),500000)</f>
        <v>500000</v>
      </c>
      <c r="F3052" s="22">
        <f ca="1">IFERROR(__xludf.DUMMYFUNCTION("""COMPUTED_VALUE"""),500000)</f>
        <v>500000</v>
      </c>
      <c r="G3052" s="22">
        <f ca="1">IFERROR(__xludf.DUMMYFUNCTION("""COMPUTED_VALUE"""),0)</f>
        <v>0</v>
      </c>
      <c r="H3052" s="7">
        <f ca="1">IFERROR(__xludf.DUMMYFUNCTION("""COMPUTED_VALUE"""),500000)</f>
        <v>500000</v>
      </c>
    </row>
    <row r="3053" spans="1:8" ht="13" x14ac:dyDescent="0.15">
      <c r="A3053" s="5" t="str">
        <f ca="1">IFERROR(__xludf.DUMMYFUNCTION("""COMPUTED_VALUE"""),"46975")</f>
        <v>46975</v>
      </c>
      <c r="B3053" s="51">
        <f ca="1">IFERROR(__xludf.DUMMYFUNCTION("""COMPUTED_VALUE"""),44610)</f>
        <v>44610</v>
      </c>
      <c r="C3053" s="22">
        <f ca="1">IFERROR(__xludf.DUMMYFUNCTION("""COMPUTED_VALUE"""),500000)</f>
        <v>500000</v>
      </c>
      <c r="D3053" s="22">
        <f ca="1">IFERROR(__xludf.DUMMYFUNCTION("""COMPUTED_VALUE"""),0)</f>
        <v>0</v>
      </c>
      <c r="E3053" s="22">
        <f ca="1">IFERROR(__xludf.DUMMYFUNCTION("""COMPUTED_VALUE"""),500000)</f>
        <v>500000</v>
      </c>
      <c r="F3053" s="22">
        <f ca="1">IFERROR(__xludf.DUMMYFUNCTION("""COMPUTED_VALUE"""),500000)</f>
        <v>500000</v>
      </c>
      <c r="G3053" s="22">
        <f ca="1">IFERROR(__xludf.DUMMYFUNCTION("""COMPUTED_VALUE"""),0)</f>
        <v>0</v>
      </c>
      <c r="H3053" s="7">
        <f ca="1">IFERROR(__xludf.DUMMYFUNCTION("""COMPUTED_VALUE"""),500000)</f>
        <v>500000</v>
      </c>
    </row>
    <row r="3054" spans="1:8" ht="13" x14ac:dyDescent="0.15">
      <c r="A3054" s="5" t="str">
        <f ca="1">IFERROR(__xludf.DUMMYFUNCTION("""COMPUTED_VALUE"""),"46975")</f>
        <v>46975</v>
      </c>
      <c r="B3054" s="51">
        <f ca="1">IFERROR(__xludf.DUMMYFUNCTION("""COMPUTED_VALUE"""),44611)</f>
        <v>44611</v>
      </c>
      <c r="C3054" s="22">
        <f ca="1">IFERROR(__xludf.DUMMYFUNCTION("""COMPUTED_VALUE"""),500000)</f>
        <v>500000</v>
      </c>
      <c r="D3054" s="22">
        <f ca="1">IFERROR(__xludf.DUMMYFUNCTION("""COMPUTED_VALUE"""),0)</f>
        <v>0</v>
      </c>
      <c r="E3054" s="22">
        <f ca="1">IFERROR(__xludf.DUMMYFUNCTION("""COMPUTED_VALUE"""),500000)</f>
        <v>500000</v>
      </c>
      <c r="F3054" s="22">
        <f ca="1">IFERROR(__xludf.DUMMYFUNCTION("""COMPUTED_VALUE"""),500000)</f>
        <v>500000</v>
      </c>
      <c r="G3054" s="22">
        <f ca="1">IFERROR(__xludf.DUMMYFUNCTION("""COMPUTED_VALUE"""),0)</f>
        <v>0</v>
      </c>
      <c r="H3054" s="7">
        <f ca="1">IFERROR(__xludf.DUMMYFUNCTION("""COMPUTED_VALUE"""),500000)</f>
        <v>500000</v>
      </c>
    </row>
    <row r="3055" spans="1:8" ht="13" x14ac:dyDescent="0.15">
      <c r="A3055" s="5" t="str">
        <f ca="1">IFERROR(__xludf.DUMMYFUNCTION("""COMPUTED_VALUE"""),"46975")</f>
        <v>46975</v>
      </c>
      <c r="B3055" s="51">
        <f ca="1">IFERROR(__xludf.DUMMYFUNCTION("""COMPUTED_VALUE"""),44612)</f>
        <v>44612</v>
      </c>
      <c r="C3055" s="22">
        <f ca="1">IFERROR(__xludf.DUMMYFUNCTION("""COMPUTED_VALUE"""),500000)</f>
        <v>500000</v>
      </c>
      <c r="D3055" s="22">
        <f ca="1">IFERROR(__xludf.DUMMYFUNCTION("""COMPUTED_VALUE"""),0)</f>
        <v>0</v>
      </c>
      <c r="E3055" s="22">
        <f ca="1">IFERROR(__xludf.DUMMYFUNCTION("""COMPUTED_VALUE"""),500000)</f>
        <v>500000</v>
      </c>
      <c r="F3055" s="22">
        <f ca="1">IFERROR(__xludf.DUMMYFUNCTION("""COMPUTED_VALUE"""),500000)</f>
        <v>500000</v>
      </c>
      <c r="G3055" s="22">
        <f ca="1">IFERROR(__xludf.DUMMYFUNCTION("""COMPUTED_VALUE"""),0)</f>
        <v>0</v>
      </c>
      <c r="H3055" s="7">
        <f ca="1">IFERROR(__xludf.DUMMYFUNCTION("""COMPUTED_VALUE"""),500000)</f>
        <v>500000</v>
      </c>
    </row>
    <row r="3056" spans="1:8" ht="13" x14ac:dyDescent="0.15">
      <c r="A3056" s="5" t="str">
        <f ca="1">IFERROR(__xludf.DUMMYFUNCTION("""COMPUTED_VALUE"""),"46975")</f>
        <v>46975</v>
      </c>
      <c r="B3056" s="51">
        <f ca="1">IFERROR(__xludf.DUMMYFUNCTION("""COMPUTED_VALUE"""),44613)</f>
        <v>44613</v>
      </c>
      <c r="C3056" s="22">
        <f ca="1">IFERROR(__xludf.DUMMYFUNCTION("""COMPUTED_VALUE"""),500000)</f>
        <v>500000</v>
      </c>
      <c r="D3056" s="22">
        <f ca="1">IFERROR(__xludf.DUMMYFUNCTION("""COMPUTED_VALUE"""),0)</f>
        <v>0</v>
      </c>
      <c r="E3056" s="22">
        <f ca="1">IFERROR(__xludf.DUMMYFUNCTION("""COMPUTED_VALUE"""),500000)</f>
        <v>500000</v>
      </c>
      <c r="F3056" s="22">
        <f ca="1">IFERROR(__xludf.DUMMYFUNCTION("""COMPUTED_VALUE"""),500000)</f>
        <v>500000</v>
      </c>
      <c r="G3056" s="22">
        <f ca="1">IFERROR(__xludf.DUMMYFUNCTION("""COMPUTED_VALUE"""),0)</f>
        <v>0</v>
      </c>
      <c r="H3056" s="7">
        <f ca="1">IFERROR(__xludf.DUMMYFUNCTION("""COMPUTED_VALUE"""),500000)</f>
        <v>500000</v>
      </c>
    </row>
    <row r="3057" spans="1:8" ht="13" x14ac:dyDescent="0.15">
      <c r="A3057" s="5" t="str">
        <f ca="1">IFERROR(__xludf.DUMMYFUNCTION("""COMPUTED_VALUE"""),"46975")</f>
        <v>46975</v>
      </c>
      <c r="B3057" s="51">
        <f ca="1">IFERROR(__xludf.DUMMYFUNCTION("""COMPUTED_VALUE"""),44614)</f>
        <v>44614</v>
      </c>
      <c r="C3057" s="22">
        <f ca="1">IFERROR(__xludf.DUMMYFUNCTION("""COMPUTED_VALUE"""),500000)</f>
        <v>500000</v>
      </c>
      <c r="D3057" s="22">
        <f ca="1">IFERROR(__xludf.DUMMYFUNCTION("""COMPUTED_VALUE"""),0)</f>
        <v>0</v>
      </c>
      <c r="E3057" s="22">
        <f ca="1">IFERROR(__xludf.DUMMYFUNCTION("""COMPUTED_VALUE"""),500000)</f>
        <v>500000</v>
      </c>
      <c r="F3057" s="22">
        <f ca="1">IFERROR(__xludf.DUMMYFUNCTION("""COMPUTED_VALUE"""),500000)</f>
        <v>500000</v>
      </c>
      <c r="G3057" s="22">
        <f ca="1">IFERROR(__xludf.DUMMYFUNCTION("""COMPUTED_VALUE"""),0)</f>
        <v>0</v>
      </c>
      <c r="H3057" s="7">
        <f ca="1">IFERROR(__xludf.DUMMYFUNCTION("""COMPUTED_VALUE"""),500000)</f>
        <v>500000</v>
      </c>
    </row>
    <row r="3058" spans="1:8" ht="13" x14ac:dyDescent="0.15">
      <c r="A3058" s="5" t="str">
        <f ca="1">IFERROR(__xludf.DUMMYFUNCTION("""COMPUTED_VALUE"""),"46975")</f>
        <v>46975</v>
      </c>
      <c r="B3058" s="51">
        <f ca="1">IFERROR(__xludf.DUMMYFUNCTION("""COMPUTED_VALUE"""),44615)</f>
        <v>44615</v>
      </c>
      <c r="C3058" s="22">
        <f ca="1">IFERROR(__xludf.DUMMYFUNCTION("""COMPUTED_VALUE"""),500000)</f>
        <v>500000</v>
      </c>
      <c r="D3058" s="22">
        <f ca="1">IFERROR(__xludf.DUMMYFUNCTION("""COMPUTED_VALUE"""),0)</f>
        <v>0</v>
      </c>
      <c r="E3058" s="22">
        <f ca="1">IFERROR(__xludf.DUMMYFUNCTION("""COMPUTED_VALUE"""),500000)</f>
        <v>500000</v>
      </c>
      <c r="F3058" s="22">
        <f ca="1">IFERROR(__xludf.DUMMYFUNCTION("""COMPUTED_VALUE"""),500000)</f>
        <v>500000</v>
      </c>
      <c r="G3058" s="22">
        <f ca="1">IFERROR(__xludf.DUMMYFUNCTION("""COMPUTED_VALUE"""),0)</f>
        <v>0</v>
      </c>
      <c r="H3058" s="7">
        <f ca="1">IFERROR(__xludf.DUMMYFUNCTION("""COMPUTED_VALUE"""),500000)</f>
        <v>500000</v>
      </c>
    </row>
    <row r="3059" spans="1:8" ht="13" x14ac:dyDescent="0.15">
      <c r="A3059" s="5" t="str">
        <f ca="1">IFERROR(__xludf.DUMMYFUNCTION("""COMPUTED_VALUE"""),"46975")</f>
        <v>46975</v>
      </c>
      <c r="B3059" s="51">
        <f ca="1">IFERROR(__xludf.DUMMYFUNCTION("""COMPUTED_VALUE"""),44616)</f>
        <v>44616</v>
      </c>
      <c r="C3059" s="22">
        <f ca="1">IFERROR(__xludf.DUMMYFUNCTION("""COMPUTED_VALUE"""),500000)</f>
        <v>500000</v>
      </c>
      <c r="D3059" s="22">
        <f ca="1">IFERROR(__xludf.DUMMYFUNCTION("""COMPUTED_VALUE"""),0)</f>
        <v>0</v>
      </c>
      <c r="E3059" s="22">
        <f ca="1">IFERROR(__xludf.DUMMYFUNCTION("""COMPUTED_VALUE"""),500000)</f>
        <v>500000</v>
      </c>
      <c r="F3059" s="22">
        <f ca="1">IFERROR(__xludf.DUMMYFUNCTION("""COMPUTED_VALUE"""),500000)</f>
        <v>500000</v>
      </c>
      <c r="G3059" s="22">
        <f ca="1">IFERROR(__xludf.DUMMYFUNCTION("""COMPUTED_VALUE"""),0)</f>
        <v>0</v>
      </c>
      <c r="H3059" s="7">
        <f ca="1">IFERROR(__xludf.DUMMYFUNCTION("""COMPUTED_VALUE"""),500000)</f>
        <v>500000</v>
      </c>
    </row>
    <row r="3060" spans="1:8" ht="13" x14ac:dyDescent="0.15">
      <c r="A3060" s="5" t="str">
        <f ca="1">IFERROR(__xludf.DUMMYFUNCTION("""COMPUTED_VALUE"""),"46975")</f>
        <v>46975</v>
      </c>
      <c r="B3060" s="51">
        <f ca="1">IFERROR(__xludf.DUMMYFUNCTION("""COMPUTED_VALUE"""),44617)</f>
        <v>44617</v>
      </c>
      <c r="C3060" s="22">
        <f ca="1">IFERROR(__xludf.DUMMYFUNCTION("""COMPUTED_VALUE"""),500000)</f>
        <v>500000</v>
      </c>
      <c r="D3060" s="22">
        <f ca="1">IFERROR(__xludf.DUMMYFUNCTION("""COMPUTED_VALUE"""),0)</f>
        <v>0</v>
      </c>
      <c r="E3060" s="22">
        <f ca="1">IFERROR(__xludf.DUMMYFUNCTION("""COMPUTED_VALUE"""),500000)</f>
        <v>500000</v>
      </c>
      <c r="F3060" s="22">
        <f ca="1">IFERROR(__xludf.DUMMYFUNCTION("""COMPUTED_VALUE"""),500000)</f>
        <v>500000</v>
      </c>
      <c r="G3060" s="22">
        <f ca="1">IFERROR(__xludf.DUMMYFUNCTION("""COMPUTED_VALUE"""),0)</f>
        <v>0</v>
      </c>
      <c r="H3060" s="7">
        <f ca="1">IFERROR(__xludf.DUMMYFUNCTION("""COMPUTED_VALUE"""),500000)</f>
        <v>500000</v>
      </c>
    </row>
    <row r="3061" spans="1:8" ht="13" x14ac:dyDescent="0.15">
      <c r="A3061" s="5" t="str">
        <f ca="1">IFERROR(__xludf.DUMMYFUNCTION("""COMPUTED_VALUE"""),"46975")</f>
        <v>46975</v>
      </c>
      <c r="B3061" s="51">
        <f ca="1">IFERROR(__xludf.DUMMYFUNCTION("""COMPUTED_VALUE"""),44618)</f>
        <v>44618</v>
      </c>
      <c r="C3061" s="22">
        <f ca="1">IFERROR(__xludf.DUMMYFUNCTION("""COMPUTED_VALUE"""),500000)</f>
        <v>500000</v>
      </c>
      <c r="D3061" s="22">
        <f ca="1">IFERROR(__xludf.DUMMYFUNCTION("""COMPUTED_VALUE"""),0)</f>
        <v>0</v>
      </c>
      <c r="E3061" s="22">
        <f ca="1">IFERROR(__xludf.DUMMYFUNCTION("""COMPUTED_VALUE"""),500000)</f>
        <v>500000</v>
      </c>
      <c r="F3061" s="22">
        <f ca="1">IFERROR(__xludf.DUMMYFUNCTION("""COMPUTED_VALUE"""),500000)</f>
        <v>500000</v>
      </c>
      <c r="G3061" s="22">
        <f ca="1">IFERROR(__xludf.DUMMYFUNCTION("""COMPUTED_VALUE"""),0)</f>
        <v>0</v>
      </c>
      <c r="H3061" s="7">
        <f ca="1">IFERROR(__xludf.DUMMYFUNCTION("""COMPUTED_VALUE"""),500000)</f>
        <v>500000</v>
      </c>
    </row>
    <row r="3062" spans="1:8" ht="13" x14ac:dyDescent="0.15">
      <c r="A3062" s="5" t="str">
        <f ca="1">IFERROR(__xludf.DUMMYFUNCTION("""COMPUTED_VALUE"""),"46975")</f>
        <v>46975</v>
      </c>
      <c r="B3062" s="51">
        <f ca="1">IFERROR(__xludf.DUMMYFUNCTION("""COMPUTED_VALUE"""),44619)</f>
        <v>44619</v>
      </c>
      <c r="C3062" s="22">
        <f ca="1">IFERROR(__xludf.DUMMYFUNCTION("""COMPUTED_VALUE"""),500000)</f>
        <v>500000</v>
      </c>
      <c r="D3062" s="22">
        <f ca="1">IFERROR(__xludf.DUMMYFUNCTION("""COMPUTED_VALUE"""),0)</f>
        <v>0</v>
      </c>
      <c r="E3062" s="22">
        <f ca="1">IFERROR(__xludf.DUMMYFUNCTION("""COMPUTED_VALUE"""),500000)</f>
        <v>500000</v>
      </c>
      <c r="F3062" s="22">
        <f ca="1">IFERROR(__xludf.DUMMYFUNCTION("""COMPUTED_VALUE"""),500000)</f>
        <v>500000</v>
      </c>
      <c r="G3062" s="22">
        <f ca="1">IFERROR(__xludf.DUMMYFUNCTION("""COMPUTED_VALUE"""),0)</f>
        <v>0</v>
      </c>
      <c r="H3062" s="7">
        <f ca="1">IFERROR(__xludf.DUMMYFUNCTION("""COMPUTED_VALUE"""),500000)</f>
        <v>500000</v>
      </c>
    </row>
    <row r="3063" spans="1:8" ht="13" x14ac:dyDescent="0.15">
      <c r="A3063" s="5" t="str">
        <f ca="1">IFERROR(__xludf.DUMMYFUNCTION("""COMPUTED_VALUE"""),"46975")</f>
        <v>46975</v>
      </c>
      <c r="B3063" s="51">
        <f ca="1">IFERROR(__xludf.DUMMYFUNCTION("""COMPUTED_VALUE"""),44620)</f>
        <v>44620</v>
      </c>
      <c r="C3063" s="22">
        <f ca="1">IFERROR(__xludf.DUMMYFUNCTION("""COMPUTED_VALUE"""),500000)</f>
        <v>500000</v>
      </c>
      <c r="D3063" s="22">
        <f ca="1">IFERROR(__xludf.DUMMYFUNCTION("""COMPUTED_VALUE"""),0)</f>
        <v>0</v>
      </c>
      <c r="E3063" s="22">
        <f ca="1">IFERROR(__xludf.DUMMYFUNCTION("""COMPUTED_VALUE"""),500000)</f>
        <v>500000</v>
      </c>
      <c r="F3063" s="22">
        <f ca="1">IFERROR(__xludf.DUMMYFUNCTION("""COMPUTED_VALUE"""),500000)</f>
        <v>500000</v>
      </c>
      <c r="G3063" s="22">
        <f ca="1">IFERROR(__xludf.DUMMYFUNCTION("""COMPUTED_VALUE"""),0)</f>
        <v>0</v>
      </c>
      <c r="H3063" s="7">
        <f ca="1">IFERROR(__xludf.DUMMYFUNCTION("""COMPUTED_VALUE"""),500000)</f>
        <v>500000</v>
      </c>
    </row>
    <row r="3064" spans="1:8" ht="13" x14ac:dyDescent="0.15">
      <c r="A3064" s="5" t="str">
        <f ca="1">IFERROR(__xludf.DUMMYFUNCTION("""COMPUTED_VALUE"""),"46975")</f>
        <v>46975</v>
      </c>
      <c r="B3064" s="51">
        <f ca="1">IFERROR(__xludf.DUMMYFUNCTION("""COMPUTED_VALUE"""),44621)</f>
        <v>44621</v>
      </c>
      <c r="C3064" s="22">
        <f ca="1">IFERROR(__xludf.DUMMYFUNCTION("""COMPUTED_VALUE"""),372446.0624)</f>
        <v>372446.0624</v>
      </c>
      <c r="D3064" s="22">
        <f ca="1">IFERROR(__xludf.DUMMYFUNCTION("""COMPUTED_VALUE"""),127553.937599999)</f>
        <v>127553.937599999</v>
      </c>
      <c r="E3064" s="22">
        <f ca="1">IFERROR(__xludf.DUMMYFUNCTION("""COMPUTED_VALUE"""),500000)</f>
        <v>500000</v>
      </c>
      <c r="F3064" s="22">
        <f ca="1">IFERROR(__xludf.DUMMYFUNCTION("""COMPUTED_VALUE"""),372446.0624)</f>
        <v>372446.0624</v>
      </c>
      <c r="G3064" s="22">
        <f ca="1">IFERROR(__xludf.DUMMYFUNCTION("""COMPUTED_VALUE"""),0)</f>
        <v>0</v>
      </c>
      <c r="H3064" s="7">
        <f ca="1">IFERROR(__xludf.DUMMYFUNCTION("""COMPUTED_VALUE"""),500000)</f>
        <v>500000</v>
      </c>
    </row>
    <row r="3065" spans="1:8" ht="13" x14ac:dyDescent="0.15">
      <c r="A3065" s="5" t="str">
        <f ca="1">IFERROR(__xludf.DUMMYFUNCTION("""COMPUTED_VALUE"""),"46975")</f>
        <v>46975</v>
      </c>
      <c r="B3065" s="51">
        <f ca="1">IFERROR(__xludf.DUMMYFUNCTION("""COMPUTED_VALUE"""),44622)</f>
        <v>44622</v>
      </c>
      <c r="C3065" s="22">
        <f ca="1">IFERROR(__xludf.DUMMYFUNCTION("""COMPUTED_VALUE"""),372446.0624)</f>
        <v>372446.0624</v>
      </c>
      <c r="D3065" s="22">
        <f ca="1">IFERROR(__xludf.DUMMYFUNCTION("""COMPUTED_VALUE"""),127553.937599999)</f>
        <v>127553.937599999</v>
      </c>
      <c r="E3065" s="22">
        <f ca="1">IFERROR(__xludf.DUMMYFUNCTION("""COMPUTED_VALUE"""),500000)</f>
        <v>500000</v>
      </c>
      <c r="F3065" s="22">
        <f ca="1">IFERROR(__xludf.DUMMYFUNCTION("""COMPUTED_VALUE"""),372446.0624)</f>
        <v>372446.0624</v>
      </c>
      <c r="G3065" s="22">
        <f ca="1">IFERROR(__xludf.DUMMYFUNCTION("""COMPUTED_VALUE"""),0)</f>
        <v>0</v>
      </c>
      <c r="H3065" s="7">
        <f ca="1">IFERROR(__xludf.DUMMYFUNCTION("""COMPUTED_VALUE"""),502595.2136)</f>
        <v>502595.21360000002</v>
      </c>
    </row>
    <row r="3066" spans="1:8" ht="13" x14ac:dyDescent="0.15">
      <c r="A3066" s="5" t="str">
        <f ca="1">IFERROR(__xludf.DUMMYFUNCTION("""COMPUTED_VALUE"""),"46975")</f>
        <v>46975</v>
      </c>
      <c r="B3066" s="51">
        <f ca="1">IFERROR(__xludf.DUMMYFUNCTION("""COMPUTED_VALUE"""),44623)</f>
        <v>44623</v>
      </c>
      <c r="C3066" s="22">
        <f ca="1">IFERROR(__xludf.DUMMYFUNCTION("""COMPUTED_VALUE"""),372446.0624)</f>
        <v>372446.0624</v>
      </c>
      <c r="D3066" s="22">
        <f ca="1">IFERROR(__xludf.DUMMYFUNCTION("""COMPUTED_VALUE"""),127553.937599999)</f>
        <v>127553.937599999</v>
      </c>
      <c r="E3066" s="22">
        <f ca="1">IFERROR(__xludf.DUMMYFUNCTION("""COMPUTED_VALUE"""),500000)</f>
        <v>500000</v>
      </c>
      <c r="F3066" s="22">
        <f ca="1">IFERROR(__xludf.DUMMYFUNCTION("""COMPUTED_VALUE"""),372446.0624)</f>
        <v>372446.0624</v>
      </c>
      <c r="G3066" s="22">
        <f ca="1">IFERROR(__xludf.DUMMYFUNCTION("""COMPUTED_VALUE"""),0)</f>
        <v>0</v>
      </c>
      <c r="H3066" s="7">
        <f ca="1">IFERROR(__xludf.DUMMYFUNCTION("""COMPUTED_VALUE"""),502368.93695)</f>
        <v>502368.93695</v>
      </c>
    </row>
    <row r="3067" spans="1:8" ht="13" x14ac:dyDescent="0.15">
      <c r="A3067" s="5" t="str">
        <f ca="1">IFERROR(__xludf.DUMMYFUNCTION("""COMPUTED_VALUE"""),"46975")</f>
        <v>46975</v>
      </c>
      <c r="B3067" s="51">
        <f ca="1">IFERROR(__xludf.DUMMYFUNCTION("""COMPUTED_VALUE"""),44624)</f>
        <v>44624</v>
      </c>
      <c r="C3067" s="22">
        <f ca="1">IFERROR(__xludf.DUMMYFUNCTION("""COMPUTED_VALUE"""),372446.0624)</f>
        <v>372446.0624</v>
      </c>
      <c r="D3067" s="22">
        <f ca="1">IFERROR(__xludf.DUMMYFUNCTION("""COMPUTED_VALUE"""),127553.937599999)</f>
        <v>127553.937599999</v>
      </c>
      <c r="E3067" s="22">
        <f ca="1">IFERROR(__xludf.DUMMYFUNCTION("""COMPUTED_VALUE"""),500000)</f>
        <v>500000</v>
      </c>
      <c r="F3067" s="22">
        <f ca="1">IFERROR(__xludf.DUMMYFUNCTION("""COMPUTED_VALUE"""),372446.0624)</f>
        <v>372446.0624</v>
      </c>
      <c r="G3067" s="22">
        <f ca="1">IFERROR(__xludf.DUMMYFUNCTION("""COMPUTED_VALUE"""),0)</f>
        <v>0</v>
      </c>
      <c r="H3067" s="7">
        <f ca="1">IFERROR(__xludf.DUMMYFUNCTION("""COMPUTED_VALUE"""),499951.66916)</f>
        <v>499951.66915999999</v>
      </c>
    </row>
    <row r="3068" spans="1:8" ht="13" x14ac:dyDescent="0.15">
      <c r="A3068" s="5" t="str">
        <f ca="1">IFERROR(__xludf.DUMMYFUNCTION("""COMPUTED_VALUE"""),"46975")</f>
        <v>46975</v>
      </c>
      <c r="B3068" s="51">
        <f ca="1">IFERROR(__xludf.DUMMYFUNCTION("""COMPUTED_VALUE"""),44625)</f>
        <v>44625</v>
      </c>
      <c r="C3068" s="22">
        <f ca="1">IFERROR(__xludf.DUMMYFUNCTION("""COMPUTED_VALUE"""),372446.0624)</f>
        <v>372446.0624</v>
      </c>
      <c r="D3068" s="22">
        <f ca="1">IFERROR(__xludf.DUMMYFUNCTION("""COMPUTED_VALUE"""),127553.937599999)</f>
        <v>127553.937599999</v>
      </c>
      <c r="E3068" s="22">
        <f ca="1">IFERROR(__xludf.DUMMYFUNCTION("""COMPUTED_VALUE"""),500000)</f>
        <v>500000</v>
      </c>
      <c r="F3068" s="22">
        <f ca="1">IFERROR(__xludf.DUMMYFUNCTION("""COMPUTED_VALUE"""),372446.0624)</f>
        <v>372446.0624</v>
      </c>
      <c r="G3068" s="22">
        <f ca="1">IFERROR(__xludf.DUMMYFUNCTION("""COMPUTED_VALUE"""),0)</f>
        <v>0</v>
      </c>
      <c r="H3068" s="7">
        <f ca="1">IFERROR(__xludf.DUMMYFUNCTION("""COMPUTED_VALUE"""),499951.66916)</f>
        <v>499951.66915999999</v>
      </c>
    </row>
    <row r="3069" spans="1:8" ht="13" x14ac:dyDescent="0.15">
      <c r="A3069" s="5" t="str">
        <f ca="1">IFERROR(__xludf.DUMMYFUNCTION("""COMPUTED_VALUE"""),"46975")</f>
        <v>46975</v>
      </c>
      <c r="B3069" s="51">
        <f ca="1">IFERROR(__xludf.DUMMYFUNCTION("""COMPUTED_VALUE"""),44626)</f>
        <v>44626</v>
      </c>
      <c r="C3069" s="22">
        <f ca="1">IFERROR(__xludf.DUMMYFUNCTION("""COMPUTED_VALUE"""),372446.0624)</f>
        <v>372446.0624</v>
      </c>
      <c r="D3069" s="22">
        <f ca="1">IFERROR(__xludf.DUMMYFUNCTION("""COMPUTED_VALUE"""),127553.937599999)</f>
        <v>127553.937599999</v>
      </c>
      <c r="E3069" s="22">
        <f ca="1">IFERROR(__xludf.DUMMYFUNCTION("""COMPUTED_VALUE"""),500000)</f>
        <v>500000</v>
      </c>
      <c r="F3069" s="22">
        <f ca="1">IFERROR(__xludf.DUMMYFUNCTION("""COMPUTED_VALUE"""),372446.0624)</f>
        <v>372446.0624</v>
      </c>
      <c r="G3069" s="22">
        <f ca="1">IFERROR(__xludf.DUMMYFUNCTION("""COMPUTED_VALUE"""),0)</f>
        <v>0</v>
      </c>
      <c r="H3069" s="7">
        <f ca="1">IFERROR(__xludf.DUMMYFUNCTION("""COMPUTED_VALUE"""),499969.209935)</f>
        <v>499969.20993499999</v>
      </c>
    </row>
    <row r="3070" spans="1:8" ht="13" x14ac:dyDescent="0.15">
      <c r="A3070" s="5" t="str">
        <f ca="1">IFERROR(__xludf.DUMMYFUNCTION("""COMPUTED_VALUE"""),"46975")</f>
        <v>46975</v>
      </c>
      <c r="B3070" s="51">
        <f ca="1">IFERROR(__xludf.DUMMYFUNCTION("""COMPUTED_VALUE"""),44627)</f>
        <v>44627</v>
      </c>
      <c r="C3070" s="22">
        <f ca="1">IFERROR(__xludf.DUMMYFUNCTION("""COMPUTED_VALUE"""),372446.0624)</f>
        <v>372446.0624</v>
      </c>
      <c r="D3070" s="22">
        <f ca="1">IFERROR(__xludf.DUMMYFUNCTION("""COMPUTED_VALUE"""),127553.937599999)</f>
        <v>127553.937599999</v>
      </c>
      <c r="E3070" s="22">
        <f ca="1">IFERROR(__xludf.DUMMYFUNCTION("""COMPUTED_VALUE"""),500000)</f>
        <v>500000</v>
      </c>
      <c r="F3070" s="22">
        <f ca="1">IFERROR(__xludf.DUMMYFUNCTION("""COMPUTED_VALUE"""),372446.0624)</f>
        <v>372446.0624</v>
      </c>
      <c r="G3070" s="22">
        <f ca="1">IFERROR(__xludf.DUMMYFUNCTION("""COMPUTED_VALUE"""),0)</f>
        <v>0</v>
      </c>
      <c r="H3070" s="7">
        <f ca="1">IFERROR(__xludf.DUMMYFUNCTION("""COMPUTED_VALUE"""),496995.5639)</f>
        <v>496995.56390000001</v>
      </c>
    </row>
    <row r="3071" spans="1:8" ht="13" x14ac:dyDescent="0.15">
      <c r="A3071" s="5" t="str">
        <f ca="1">IFERROR(__xludf.DUMMYFUNCTION("""COMPUTED_VALUE"""),"46975")</f>
        <v>46975</v>
      </c>
      <c r="B3071" s="51">
        <f ca="1">IFERROR(__xludf.DUMMYFUNCTION("""COMPUTED_VALUE"""),44628)</f>
        <v>44628</v>
      </c>
      <c r="C3071" s="22">
        <f ca="1">IFERROR(__xludf.DUMMYFUNCTION("""COMPUTED_VALUE"""),372446.0624)</f>
        <v>372446.0624</v>
      </c>
      <c r="D3071" s="22">
        <f ca="1">IFERROR(__xludf.DUMMYFUNCTION("""COMPUTED_VALUE"""),127553.937599999)</f>
        <v>127553.937599999</v>
      </c>
      <c r="E3071" s="22">
        <f ca="1">IFERROR(__xludf.DUMMYFUNCTION("""COMPUTED_VALUE"""),500000)</f>
        <v>500000</v>
      </c>
      <c r="F3071" s="22">
        <f ca="1">IFERROR(__xludf.DUMMYFUNCTION("""COMPUTED_VALUE"""),372446.0624)</f>
        <v>372446.0624</v>
      </c>
      <c r="G3071" s="22">
        <f ca="1">IFERROR(__xludf.DUMMYFUNCTION("""COMPUTED_VALUE"""),0)</f>
        <v>0</v>
      </c>
      <c r="H3071" s="7">
        <f ca="1">IFERROR(__xludf.DUMMYFUNCTION("""COMPUTED_VALUE"""),495548.0048)</f>
        <v>495548.0048</v>
      </c>
    </row>
    <row r="3072" spans="1:8" ht="13" x14ac:dyDescent="0.15">
      <c r="A3072" s="5" t="str">
        <f ca="1">IFERROR(__xludf.DUMMYFUNCTION("""COMPUTED_VALUE"""),"46975")</f>
        <v>46975</v>
      </c>
      <c r="B3072" s="51">
        <f ca="1">IFERROR(__xludf.DUMMYFUNCTION("""COMPUTED_VALUE"""),44629)</f>
        <v>44629</v>
      </c>
      <c r="C3072" s="22">
        <f ca="1">IFERROR(__xludf.DUMMYFUNCTION("""COMPUTED_VALUE"""),372446.0624)</f>
        <v>372446.0624</v>
      </c>
      <c r="D3072" s="22">
        <f ca="1">IFERROR(__xludf.DUMMYFUNCTION("""COMPUTED_VALUE"""),127553.937599999)</f>
        <v>127553.937599999</v>
      </c>
      <c r="E3072" s="22">
        <f ca="1">IFERROR(__xludf.DUMMYFUNCTION("""COMPUTED_VALUE"""),500000)</f>
        <v>500000</v>
      </c>
      <c r="F3072" s="22">
        <f ca="1">IFERROR(__xludf.DUMMYFUNCTION("""COMPUTED_VALUE"""),372446.0624)</f>
        <v>372446.0624</v>
      </c>
      <c r="G3072" s="22">
        <f ca="1">IFERROR(__xludf.DUMMYFUNCTION("""COMPUTED_VALUE"""),0)</f>
        <v>0</v>
      </c>
      <c r="H3072" s="7">
        <f ca="1">IFERROR(__xludf.DUMMYFUNCTION("""COMPUTED_VALUE"""),499862.37065)</f>
        <v>499862.37065</v>
      </c>
    </row>
    <row r="3073" spans="1:8" ht="13" x14ac:dyDescent="0.15">
      <c r="A3073" s="5" t="str">
        <f ca="1">IFERROR(__xludf.DUMMYFUNCTION("""COMPUTED_VALUE"""),"46975")</f>
        <v>46975</v>
      </c>
      <c r="B3073" s="51">
        <f ca="1">IFERROR(__xludf.DUMMYFUNCTION("""COMPUTED_VALUE"""),44630)</f>
        <v>44630</v>
      </c>
      <c r="C3073" s="22">
        <f ca="1">IFERROR(__xludf.DUMMYFUNCTION("""COMPUTED_VALUE"""),372446.0624)</f>
        <v>372446.0624</v>
      </c>
      <c r="D3073" s="22">
        <f ca="1">IFERROR(__xludf.DUMMYFUNCTION("""COMPUTED_VALUE"""),127553.937599999)</f>
        <v>127553.937599999</v>
      </c>
      <c r="E3073" s="22">
        <f ca="1">IFERROR(__xludf.DUMMYFUNCTION("""COMPUTED_VALUE"""),500000)</f>
        <v>500000</v>
      </c>
      <c r="F3073" s="22">
        <f ca="1">IFERROR(__xludf.DUMMYFUNCTION("""COMPUTED_VALUE"""),372446.0624)</f>
        <v>372446.0624</v>
      </c>
      <c r="G3073" s="22">
        <f ca="1">IFERROR(__xludf.DUMMYFUNCTION("""COMPUTED_VALUE"""),0)</f>
        <v>0</v>
      </c>
      <c r="H3073" s="7">
        <f ca="1">IFERROR(__xludf.DUMMYFUNCTION("""COMPUTED_VALUE"""),499919.403149999)</f>
        <v>499919.40314999898</v>
      </c>
    </row>
    <row r="3074" spans="1:8" ht="13" x14ac:dyDescent="0.15">
      <c r="A3074" s="5" t="str">
        <f ca="1">IFERROR(__xludf.DUMMYFUNCTION("""COMPUTED_VALUE"""),"46975")</f>
        <v>46975</v>
      </c>
      <c r="B3074" s="51">
        <f ca="1">IFERROR(__xludf.DUMMYFUNCTION("""COMPUTED_VALUE"""),44631)</f>
        <v>44631</v>
      </c>
      <c r="C3074" s="22">
        <f ca="1">IFERROR(__xludf.DUMMYFUNCTION("""COMPUTED_VALUE"""),372446.0624)</f>
        <v>372446.0624</v>
      </c>
      <c r="D3074" s="22">
        <f ca="1">IFERROR(__xludf.DUMMYFUNCTION("""COMPUTED_VALUE"""),127553.937599999)</f>
        <v>127553.937599999</v>
      </c>
      <c r="E3074" s="22">
        <f ca="1">IFERROR(__xludf.DUMMYFUNCTION("""COMPUTED_VALUE"""),500000)</f>
        <v>500000</v>
      </c>
      <c r="F3074" s="22">
        <f ca="1">IFERROR(__xludf.DUMMYFUNCTION("""COMPUTED_VALUE"""),372446.0624)</f>
        <v>372446.0624</v>
      </c>
      <c r="G3074" s="22">
        <f ca="1">IFERROR(__xludf.DUMMYFUNCTION("""COMPUTED_VALUE"""),0)</f>
        <v>0</v>
      </c>
      <c r="H3074" s="7">
        <f ca="1">IFERROR(__xludf.DUMMYFUNCTION("""COMPUTED_VALUE"""),493591.9159)</f>
        <v>493591.91590000002</v>
      </c>
    </row>
    <row r="3075" spans="1:8" ht="13" x14ac:dyDescent="0.15">
      <c r="A3075" s="5" t="str">
        <f ca="1">IFERROR(__xludf.DUMMYFUNCTION("""COMPUTED_VALUE"""),"46975")</f>
        <v>46975</v>
      </c>
      <c r="B3075" s="51">
        <f ca="1">IFERROR(__xludf.DUMMYFUNCTION("""COMPUTED_VALUE"""),44632)</f>
        <v>44632</v>
      </c>
      <c r="C3075" s="22">
        <f ca="1">IFERROR(__xludf.DUMMYFUNCTION("""COMPUTED_VALUE"""),372446.0624)</f>
        <v>372446.0624</v>
      </c>
      <c r="D3075" s="22">
        <f ca="1">IFERROR(__xludf.DUMMYFUNCTION("""COMPUTED_VALUE"""),127553.937599999)</f>
        <v>127553.937599999</v>
      </c>
      <c r="E3075" s="22">
        <f ca="1">IFERROR(__xludf.DUMMYFUNCTION("""COMPUTED_VALUE"""),500000)</f>
        <v>500000</v>
      </c>
      <c r="F3075" s="22">
        <f ca="1">IFERROR(__xludf.DUMMYFUNCTION("""COMPUTED_VALUE"""),372446.0624)</f>
        <v>372446.0624</v>
      </c>
      <c r="G3075" s="22">
        <f ca="1">IFERROR(__xludf.DUMMYFUNCTION("""COMPUTED_VALUE"""),0)</f>
        <v>0</v>
      </c>
      <c r="H3075" s="7">
        <f ca="1">IFERROR(__xludf.DUMMYFUNCTION("""COMPUTED_VALUE"""),493591.9159)</f>
        <v>493591.91590000002</v>
      </c>
    </row>
    <row r="3076" spans="1:8" ht="13" x14ac:dyDescent="0.15">
      <c r="A3076" s="5" t="str">
        <f ca="1">IFERROR(__xludf.DUMMYFUNCTION("""COMPUTED_VALUE"""),"46975")</f>
        <v>46975</v>
      </c>
      <c r="B3076" s="51">
        <f ca="1">IFERROR(__xludf.DUMMYFUNCTION("""COMPUTED_VALUE"""),44633)</f>
        <v>44633</v>
      </c>
      <c r="C3076" s="22">
        <f ca="1">IFERROR(__xludf.DUMMYFUNCTION("""COMPUTED_VALUE"""),372446.0624)</f>
        <v>372446.0624</v>
      </c>
      <c r="D3076" s="22">
        <f ca="1">IFERROR(__xludf.DUMMYFUNCTION("""COMPUTED_VALUE"""),127553.937599999)</f>
        <v>127553.937599999</v>
      </c>
      <c r="E3076" s="22">
        <f ca="1">IFERROR(__xludf.DUMMYFUNCTION("""COMPUTED_VALUE"""),500000)</f>
        <v>500000</v>
      </c>
      <c r="F3076" s="22">
        <f ca="1">IFERROR(__xludf.DUMMYFUNCTION("""COMPUTED_VALUE"""),372446.0624)</f>
        <v>372446.0624</v>
      </c>
      <c r="G3076" s="22">
        <f ca="1">IFERROR(__xludf.DUMMYFUNCTION("""COMPUTED_VALUE"""),0)</f>
        <v>0</v>
      </c>
      <c r="H3076" s="7">
        <f ca="1">IFERROR(__xludf.DUMMYFUNCTION("""COMPUTED_VALUE"""),493581.54899)</f>
        <v>493581.54898999998</v>
      </c>
    </row>
    <row r="3077" spans="1:8" ht="13" x14ac:dyDescent="0.15">
      <c r="A3077" s="5" t="str">
        <f ca="1">IFERROR(__xludf.DUMMYFUNCTION("""COMPUTED_VALUE"""),"46975")</f>
        <v>46975</v>
      </c>
      <c r="B3077" s="51">
        <f ca="1">IFERROR(__xludf.DUMMYFUNCTION("""COMPUTED_VALUE"""),44634)</f>
        <v>44634</v>
      </c>
      <c r="C3077" s="22">
        <f ca="1">IFERROR(__xludf.DUMMYFUNCTION("""COMPUTED_VALUE"""),373568.0624)</f>
        <v>373568.0624</v>
      </c>
      <c r="D3077" s="22">
        <f ca="1">IFERROR(__xludf.DUMMYFUNCTION("""COMPUTED_VALUE"""),116802.1635)</f>
        <v>116802.1635</v>
      </c>
      <c r="E3077" s="22">
        <f ca="1">IFERROR(__xludf.DUMMYFUNCTION("""COMPUTED_VALUE"""),490370.2259)</f>
        <v>490370.22590000002</v>
      </c>
      <c r="F3077" s="22">
        <f ca="1">IFERROR(__xludf.DUMMYFUNCTION("""COMPUTED_VALUE"""),371324.0624)</f>
        <v>371324.0624</v>
      </c>
      <c r="G3077" s="22">
        <f ca="1">IFERROR(__xludf.DUMMYFUNCTION("""COMPUTED_VALUE"""),0)</f>
        <v>0</v>
      </c>
      <c r="H3077" s="7">
        <f ca="1">IFERROR(__xludf.DUMMYFUNCTION("""COMPUTED_VALUE"""),490370.2259)</f>
        <v>490370.22590000002</v>
      </c>
    </row>
    <row r="3078" spans="1:8" ht="13" x14ac:dyDescent="0.15">
      <c r="A3078" s="5" t="str">
        <f ca="1">IFERROR(__xludf.DUMMYFUNCTION("""COMPUTED_VALUE"""),"46975")</f>
        <v>46975</v>
      </c>
      <c r="B3078" s="51">
        <f ca="1">IFERROR(__xludf.DUMMYFUNCTION("""COMPUTED_VALUE"""),44635)</f>
        <v>44635</v>
      </c>
      <c r="C3078" s="22">
        <f ca="1">IFERROR(__xludf.DUMMYFUNCTION("""COMPUTED_VALUE"""),403368.0624)</f>
        <v>403368.0624</v>
      </c>
      <c r="D3078" s="22">
        <f ca="1">IFERROR(__xludf.DUMMYFUNCTION("""COMPUTED_VALUE"""),90580.16755)</f>
        <v>90580.167549999998</v>
      </c>
      <c r="E3078" s="22">
        <f ca="1">IFERROR(__xludf.DUMMYFUNCTION("""COMPUTED_VALUE"""),493948.22995)</f>
        <v>493948.22995000001</v>
      </c>
      <c r="F3078" s="22">
        <f ca="1">IFERROR(__xludf.DUMMYFUNCTION("""COMPUTED_VALUE"""),341524.0624)</f>
        <v>341524.0624</v>
      </c>
      <c r="G3078" s="22">
        <f ca="1">IFERROR(__xludf.DUMMYFUNCTION("""COMPUTED_VALUE"""),0)</f>
        <v>0</v>
      </c>
      <c r="H3078" s="7">
        <f ca="1">IFERROR(__xludf.DUMMYFUNCTION("""COMPUTED_VALUE"""),493948.22995)</f>
        <v>493948.22995000001</v>
      </c>
    </row>
    <row r="3079" spans="1:8" ht="13" x14ac:dyDescent="0.15">
      <c r="A3079" s="5" t="str">
        <f ca="1">IFERROR(__xludf.DUMMYFUNCTION("""COMPUTED_VALUE"""),"46975")</f>
        <v>46975</v>
      </c>
      <c r="B3079" s="51">
        <f ca="1">IFERROR(__xludf.DUMMYFUNCTION("""COMPUTED_VALUE"""),44636)</f>
        <v>44636</v>
      </c>
      <c r="C3079" s="22">
        <f ca="1">IFERROR(__xludf.DUMMYFUNCTION("""COMPUTED_VALUE"""),327524.0624)</f>
        <v>327524.0624</v>
      </c>
      <c r="D3079" s="22">
        <f ca="1">IFERROR(__xludf.DUMMYFUNCTION("""COMPUTED_VALUE"""),162730.15745)</f>
        <v>162730.15745</v>
      </c>
      <c r="E3079" s="22">
        <f ca="1">IFERROR(__xludf.DUMMYFUNCTION("""COMPUTED_VALUE"""),490254.21985)</f>
        <v>490254.21984999999</v>
      </c>
      <c r="F3079" s="22">
        <f ca="1">IFERROR(__xludf.DUMMYFUNCTION("""COMPUTED_VALUE"""),341524.0624)</f>
        <v>341524.0624</v>
      </c>
      <c r="G3079" s="22">
        <f ca="1">IFERROR(__xludf.DUMMYFUNCTION("""COMPUTED_VALUE"""),0)</f>
        <v>0</v>
      </c>
      <c r="H3079" s="7">
        <f ca="1">IFERROR(__xludf.DUMMYFUNCTION("""COMPUTED_VALUE"""),490254.21985)</f>
        <v>490254.21984999999</v>
      </c>
    </row>
    <row r="3080" spans="1:8" ht="13" x14ac:dyDescent="0.15">
      <c r="A3080" s="5" t="str">
        <f ca="1">IFERROR(__xludf.DUMMYFUNCTION("""COMPUTED_VALUE"""),"46975")</f>
        <v>46975</v>
      </c>
      <c r="B3080" s="51">
        <f ca="1">IFERROR(__xludf.DUMMYFUNCTION("""COMPUTED_VALUE"""),44637)</f>
        <v>44637</v>
      </c>
      <c r="C3080" s="22">
        <f ca="1">IFERROR(__xludf.DUMMYFUNCTION("""COMPUTED_VALUE"""),327524.0624)</f>
        <v>327524.0624</v>
      </c>
      <c r="D3080" s="22">
        <f ca="1">IFERROR(__xludf.DUMMYFUNCTION("""COMPUTED_VALUE"""),165635.8509)</f>
        <v>165635.85089999999</v>
      </c>
      <c r="E3080" s="22">
        <f ca="1">IFERROR(__xludf.DUMMYFUNCTION("""COMPUTED_VALUE"""),493159.9133)</f>
        <v>493159.91330000001</v>
      </c>
      <c r="F3080" s="22">
        <f ca="1">IFERROR(__xludf.DUMMYFUNCTION("""COMPUTED_VALUE"""),341524.0624)</f>
        <v>341524.0624</v>
      </c>
      <c r="G3080" s="22">
        <f ca="1">IFERROR(__xludf.DUMMYFUNCTION("""COMPUTED_VALUE"""),0)</f>
        <v>0</v>
      </c>
      <c r="H3080" s="7">
        <f ca="1">IFERROR(__xludf.DUMMYFUNCTION("""COMPUTED_VALUE"""),493443.9133)</f>
        <v>493443.91330000001</v>
      </c>
    </row>
    <row r="3081" spans="1:8" ht="13" x14ac:dyDescent="0.15">
      <c r="A3081" s="5" t="str">
        <f ca="1">IFERROR(__xludf.DUMMYFUNCTION("""COMPUTED_VALUE"""),"46975")</f>
        <v>46975</v>
      </c>
      <c r="B3081" s="51">
        <f ca="1">IFERROR(__xludf.DUMMYFUNCTION("""COMPUTED_VALUE"""),44638)</f>
        <v>44638</v>
      </c>
      <c r="C3081" s="22">
        <f ca="1">IFERROR(__xludf.DUMMYFUNCTION("""COMPUTED_VALUE"""),327524.0624)</f>
        <v>327524.0624</v>
      </c>
      <c r="D3081" s="22">
        <f ca="1">IFERROR(__xludf.DUMMYFUNCTION("""COMPUTED_VALUE"""),167471.5301)</f>
        <v>167471.5301</v>
      </c>
      <c r="E3081" s="22">
        <f ca="1">IFERROR(__xludf.DUMMYFUNCTION("""COMPUTED_VALUE"""),494995.5925)</f>
        <v>494995.59250000003</v>
      </c>
      <c r="F3081" s="22">
        <f ca="1">IFERROR(__xludf.DUMMYFUNCTION("""COMPUTED_VALUE"""),341524.0624)</f>
        <v>341524.0624</v>
      </c>
      <c r="G3081" s="22">
        <f ca="1">IFERROR(__xludf.DUMMYFUNCTION("""COMPUTED_VALUE"""),0)</f>
        <v>0</v>
      </c>
      <c r="H3081" s="7">
        <f ca="1">IFERROR(__xludf.DUMMYFUNCTION("""COMPUTED_VALUE"""),495323.5925)</f>
        <v>495323.59250000003</v>
      </c>
    </row>
    <row r="3082" spans="1:8" ht="13" x14ac:dyDescent="0.15">
      <c r="A3082" s="5" t="str">
        <f ca="1">IFERROR(__xludf.DUMMYFUNCTION("""COMPUTED_VALUE"""),"46975")</f>
        <v>46975</v>
      </c>
      <c r="B3082" s="51">
        <f ca="1">IFERROR(__xludf.DUMMYFUNCTION("""COMPUTED_VALUE"""),44639)</f>
        <v>44639</v>
      </c>
      <c r="C3082" s="22">
        <f ca="1">IFERROR(__xludf.DUMMYFUNCTION("""COMPUTED_VALUE"""),327524.0624)</f>
        <v>327524.0624</v>
      </c>
      <c r="D3082" s="22">
        <f ca="1">IFERROR(__xludf.DUMMYFUNCTION("""COMPUTED_VALUE"""),167471.5301)</f>
        <v>167471.5301</v>
      </c>
      <c r="E3082" s="22">
        <f ca="1">IFERROR(__xludf.DUMMYFUNCTION("""COMPUTED_VALUE"""),494995.5925)</f>
        <v>494995.59250000003</v>
      </c>
      <c r="F3082" s="22">
        <f ca="1">IFERROR(__xludf.DUMMYFUNCTION("""COMPUTED_VALUE"""),341524.0624)</f>
        <v>341524.0624</v>
      </c>
      <c r="G3082" s="22">
        <f ca="1">IFERROR(__xludf.DUMMYFUNCTION("""COMPUTED_VALUE"""),0)</f>
        <v>0</v>
      </c>
      <c r="H3082" s="7">
        <f ca="1">IFERROR(__xludf.DUMMYFUNCTION("""COMPUTED_VALUE"""),495323.5925)</f>
        <v>495323.59250000003</v>
      </c>
    </row>
    <row r="3083" spans="1:8" ht="13" x14ac:dyDescent="0.15">
      <c r="A3083" s="5" t="str">
        <f ca="1">IFERROR(__xludf.DUMMYFUNCTION("""COMPUTED_VALUE"""),"46975")</f>
        <v>46975</v>
      </c>
      <c r="B3083" s="51">
        <f ca="1">IFERROR(__xludf.DUMMYFUNCTION("""COMPUTED_VALUE"""),44640)</f>
        <v>44640</v>
      </c>
      <c r="C3083" s="22">
        <f ca="1">IFERROR(__xludf.DUMMYFUNCTION("""COMPUTED_VALUE"""),327524.0624)</f>
        <v>327524.0624</v>
      </c>
      <c r="D3083" s="22">
        <f ca="1">IFERROR(__xludf.DUMMYFUNCTION("""COMPUTED_VALUE"""),167443.571509999)</f>
        <v>167443.57150999899</v>
      </c>
      <c r="E3083" s="22">
        <f ca="1">IFERROR(__xludf.DUMMYFUNCTION("""COMPUTED_VALUE"""),494967.63391)</f>
        <v>494967.63390999998</v>
      </c>
      <c r="F3083" s="22">
        <f ca="1">IFERROR(__xludf.DUMMYFUNCTION("""COMPUTED_VALUE"""),341524.0624)</f>
        <v>341524.0624</v>
      </c>
      <c r="G3083" s="22">
        <f ca="1">IFERROR(__xludf.DUMMYFUNCTION("""COMPUTED_VALUE"""),0)</f>
        <v>0</v>
      </c>
      <c r="H3083" s="7">
        <f ca="1">IFERROR(__xludf.DUMMYFUNCTION("""COMPUTED_VALUE"""),495295.63391)</f>
        <v>495295.63390999998</v>
      </c>
    </row>
    <row r="3084" spans="1:8" ht="13" x14ac:dyDescent="0.15">
      <c r="A3084" s="5" t="str">
        <f ca="1">IFERROR(__xludf.DUMMYFUNCTION("""COMPUTED_VALUE"""),"46975")</f>
        <v>46975</v>
      </c>
      <c r="B3084" s="51">
        <f ca="1">IFERROR(__xludf.DUMMYFUNCTION("""COMPUTED_VALUE"""),44641)</f>
        <v>44641</v>
      </c>
      <c r="C3084" s="22">
        <f ca="1">IFERROR(__xludf.DUMMYFUNCTION("""COMPUTED_VALUE"""),327524.0624)</f>
        <v>327524.0624</v>
      </c>
      <c r="D3084" s="22">
        <f ca="1">IFERROR(__xludf.DUMMYFUNCTION("""COMPUTED_VALUE"""),167827.2921)</f>
        <v>167827.29209999999</v>
      </c>
      <c r="E3084" s="22">
        <f ca="1">IFERROR(__xludf.DUMMYFUNCTION("""COMPUTED_VALUE"""),495351.3545)</f>
        <v>495351.35450000002</v>
      </c>
      <c r="F3084" s="22">
        <f ca="1">IFERROR(__xludf.DUMMYFUNCTION("""COMPUTED_VALUE"""),341524.0624)</f>
        <v>341524.0624</v>
      </c>
      <c r="G3084" s="22">
        <f ca="1">IFERROR(__xludf.DUMMYFUNCTION("""COMPUTED_VALUE"""),0)</f>
        <v>0</v>
      </c>
      <c r="H3084" s="7">
        <f ca="1">IFERROR(__xludf.DUMMYFUNCTION("""COMPUTED_VALUE"""),495455.3545)</f>
        <v>495455.35450000002</v>
      </c>
    </row>
    <row r="3085" spans="1:8" ht="13" x14ac:dyDescent="0.15">
      <c r="A3085" s="5" t="str">
        <f ca="1">IFERROR(__xludf.DUMMYFUNCTION("""COMPUTED_VALUE"""),"46975")</f>
        <v>46975</v>
      </c>
      <c r="B3085" s="51">
        <f ca="1">IFERROR(__xludf.DUMMYFUNCTION("""COMPUTED_VALUE"""),44642)</f>
        <v>44642</v>
      </c>
      <c r="C3085" s="22">
        <f ca="1">IFERROR(__xludf.DUMMYFUNCTION("""COMPUTED_VALUE"""),327524.0624)</f>
        <v>327524.0624</v>
      </c>
      <c r="D3085" s="22">
        <f ca="1">IFERROR(__xludf.DUMMYFUNCTION("""COMPUTED_VALUE"""),172100.5699)</f>
        <v>172100.5699</v>
      </c>
      <c r="E3085" s="22">
        <f ca="1">IFERROR(__xludf.DUMMYFUNCTION("""COMPUTED_VALUE"""),499624.6323)</f>
        <v>499624.6323</v>
      </c>
      <c r="F3085" s="22">
        <f ca="1">IFERROR(__xludf.DUMMYFUNCTION("""COMPUTED_VALUE"""),341524.0624)</f>
        <v>341524.0624</v>
      </c>
      <c r="G3085" s="22">
        <f ca="1">IFERROR(__xludf.DUMMYFUNCTION("""COMPUTED_VALUE"""),0)</f>
        <v>0</v>
      </c>
      <c r="H3085" s="7">
        <f ca="1">IFERROR(__xludf.DUMMYFUNCTION("""COMPUTED_VALUE"""),499736.6323)</f>
        <v>499736.6323</v>
      </c>
    </row>
    <row r="3086" spans="1:8" ht="13" x14ac:dyDescent="0.15">
      <c r="A3086" s="5" t="str">
        <f ca="1">IFERROR(__xludf.DUMMYFUNCTION("""COMPUTED_VALUE"""),"52981")</f>
        <v>52981</v>
      </c>
      <c r="B3086" s="51">
        <f ca="1">IFERROR(__xludf.DUMMYFUNCTION("""COMPUTED_VALUE"""),44597)</f>
        <v>44597</v>
      </c>
      <c r="C3086" s="22">
        <f ca="1">IFERROR(__xludf.DUMMYFUNCTION("""COMPUTED_VALUE"""),500000)</f>
        <v>500000</v>
      </c>
      <c r="D3086" s="22">
        <f ca="1">IFERROR(__xludf.DUMMYFUNCTION("""COMPUTED_VALUE"""),0)</f>
        <v>0</v>
      </c>
      <c r="E3086" s="22">
        <f ca="1">IFERROR(__xludf.DUMMYFUNCTION("""COMPUTED_VALUE"""),500000)</f>
        <v>500000</v>
      </c>
      <c r="F3086" s="22">
        <f ca="1">IFERROR(__xludf.DUMMYFUNCTION("""COMPUTED_VALUE"""),500000)</f>
        <v>500000</v>
      </c>
      <c r="G3086" s="22">
        <f ca="1">IFERROR(__xludf.DUMMYFUNCTION("""COMPUTED_VALUE"""),0)</f>
        <v>0</v>
      </c>
      <c r="H3086" s="7">
        <f ca="1">IFERROR(__xludf.DUMMYFUNCTION("""COMPUTED_VALUE"""),500000)</f>
        <v>500000</v>
      </c>
    </row>
    <row r="3087" spans="1:8" ht="13" x14ac:dyDescent="0.15">
      <c r="A3087" s="5" t="str">
        <f ca="1">IFERROR(__xludf.DUMMYFUNCTION("""COMPUTED_VALUE"""),"52981")</f>
        <v>52981</v>
      </c>
      <c r="B3087" s="51">
        <f ca="1">IFERROR(__xludf.DUMMYFUNCTION("""COMPUTED_VALUE"""),44598)</f>
        <v>44598</v>
      </c>
      <c r="C3087" s="22">
        <f ca="1">IFERROR(__xludf.DUMMYFUNCTION("""COMPUTED_VALUE"""),500000)</f>
        <v>500000</v>
      </c>
      <c r="D3087" s="22">
        <f ca="1">IFERROR(__xludf.DUMMYFUNCTION("""COMPUTED_VALUE"""),0)</f>
        <v>0</v>
      </c>
      <c r="E3087" s="22">
        <f ca="1">IFERROR(__xludf.DUMMYFUNCTION("""COMPUTED_VALUE"""),500000)</f>
        <v>500000</v>
      </c>
      <c r="F3087" s="22">
        <f ca="1">IFERROR(__xludf.DUMMYFUNCTION("""COMPUTED_VALUE"""),500000)</f>
        <v>500000</v>
      </c>
      <c r="G3087" s="22">
        <f ca="1">IFERROR(__xludf.DUMMYFUNCTION("""COMPUTED_VALUE"""),0)</f>
        <v>0</v>
      </c>
      <c r="H3087" s="7">
        <f ca="1">IFERROR(__xludf.DUMMYFUNCTION("""COMPUTED_VALUE"""),500000)</f>
        <v>500000</v>
      </c>
    </row>
    <row r="3088" spans="1:8" ht="13" x14ac:dyDescent="0.15">
      <c r="A3088" s="5" t="str">
        <f ca="1">IFERROR(__xludf.DUMMYFUNCTION("""COMPUTED_VALUE"""),"52981")</f>
        <v>52981</v>
      </c>
      <c r="B3088" s="51">
        <f ca="1">IFERROR(__xludf.DUMMYFUNCTION("""COMPUTED_VALUE"""),44599)</f>
        <v>44599</v>
      </c>
      <c r="C3088" s="22">
        <f ca="1">IFERROR(__xludf.DUMMYFUNCTION("""COMPUTED_VALUE"""),500000)</f>
        <v>500000</v>
      </c>
      <c r="D3088" s="22">
        <f ca="1">IFERROR(__xludf.DUMMYFUNCTION("""COMPUTED_VALUE"""),0)</f>
        <v>0</v>
      </c>
      <c r="E3088" s="22">
        <f ca="1">IFERROR(__xludf.DUMMYFUNCTION("""COMPUTED_VALUE"""),500000)</f>
        <v>500000</v>
      </c>
      <c r="F3088" s="22">
        <f ca="1">IFERROR(__xludf.DUMMYFUNCTION("""COMPUTED_VALUE"""),500000)</f>
        <v>500000</v>
      </c>
      <c r="G3088" s="22">
        <f ca="1">IFERROR(__xludf.DUMMYFUNCTION("""COMPUTED_VALUE"""),0)</f>
        <v>0</v>
      </c>
      <c r="H3088" s="7">
        <f ca="1">IFERROR(__xludf.DUMMYFUNCTION("""COMPUTED_VALUE"""),500000)</f>
        <v>500000</v>
      </c>
    </row>
    <row r="3089" spans="1:8" ht="13" x14ac:dyDescent="0.15">
      <c r="A3089" s="5" t="str">
        <f ca="1">IFERROR(__xludf.DUMMYFUNCTION("""COMPUTED_VALUE"""),"52981")</f>
        <v>52981</v>
      </c>
      <c r="B3089" s="51">
        <f ca="1">IFERROR(__xludf.DUMMYFUNCTION("""COMPUTED_VALUE"""),44600)</f>
        <v>44600</v>
      </c>
      <c r="C3089" s="22">
        <f ca="1">IFERROR(__xludf.DUMMYFUNCTION("""COMPUTED_VALUE"""),500000)</f>
        <v>500000</v>
      </c>
      <c r="D3089" s="22">
        <f ca="1">IFERROR(__xludf.DUMMYFUNCTION("""COMPUTED_VALUE"""),0)</f>
        <v>0</v>
      </c>
      <c r="E3089" s="22">
        <f ca="1">IFERROR(__xludf.DUMMYFUNCTION("""COMPUTED_VALUE"""),500000)</f>
        <v>500000</v>
      </c>
      <c r="F3089" s="22">
        <f ca="1">IFERROR(__xludf.DUMMYFUNCTION("""COMPUTED_VALUE"""),500000)</f>
        <v>500000</v>
      </c>
      <c r="G3089" s="22">
        <f ca="1">IFERROR(__xludf.DUMMYFUNCTION("""COMPUTED_VALUE"""),0)</f>
        <v>0</v>
      </c>
      <c r="H3089" s="7">
        <f ca="1">IFERROR(__xludf.DUMMYFUNCTION("""COMPUTED_VALUE"""),500000)</f>
        <v>500000</v>
      </c>
    </row>
    <row r="3090" spans="1:8" ht="13" x14ac:dyDescent="0.15">
      <c r="A3090" s="5" t="str">
        <f ca="1">IFERROR(__xludf.DUMMYFUNCTION("""COMPUTED_VALUE"""),"52981")</f>
        <v>52981</v>
      </c>
      <c r="B3090" s="51">
        <f ca="1">IFERROR(__xludf.DUMMYFUNCTION("""COMPUTED_VALUE"""),44601)</f>
        <v>44601</v>
      </c>
      <c r="C3090" s="22">
        <f ca="1">IFERROR(__xludf.DUMMYFUNCTION("""COMPUTED_VALUE"""),500000)</f>
        <v>500000</v>
      </c>
      <c r="D3090" s="22">
        <f ca="1">IFERROR(__xludf.DUMMYFUNCTION("""COMPUTED_VALUE"""),0)</f>
        <v>0</v>
      </c>
      <c r="E3090" s="22">
        <f ca="1">IFERROR(__xludf.DUMMYFUNCTION("""COMPUTED_VALUE"""),500000)</f>
        <v>500000</v>
      </c>
      <c r="F3090" s="22">
        <f ca="1">IFERROR(__xludf.DUMMYFUNCTION("""COMPUTED_VALUE"""),500000)</f>
        <v>500000</v>
      </c>
      <c r="G3090" s="22">
        <f ca="1">IFERROR(__xludf.DUMMYFUNCTION("""COMPUTED_VALUE"""),0)</f>
        <v>0</v>
      </c>
      <c r="H3090" s="7">
        <f ca="1">IFERROR(__xludf.DUMMYFUNCTION("""COMPUTED_VALUE"""),500000)</f>
        <v>500000</v>
      </c>
    </row>
    <row r="3091" spans="1:8" ht="13" x14ac:dyDescent="0.15">
      <c r="A3091" s="5" t="str">
        <f ca="1">IFERROR(__xludf.DUMMYFUNCTION("""COMPUTED_VALUE"""),"52981")</f>
        <v>52981</v>
      </c>
      <c r="B3091" s="51">
        <f ca="1">IFERROR(__xludf.DUMMYFUNCTION("""COMPUTED_VALUE"""),44602)</f>
        <v>44602</v>
      </c>
      <c r="C3091" s="22">
        <f ca="1">IFERROR(__xludf.DUMMYFUNCTION("""COMPUTED_VALUE"""),500000)</f>
        <v>500000</v>
      </c>
      <c r="D3091" s="22">
        <f ca="1">IFERROR(__xludf.DUMMYFUNCTION("""COMPUTED_VALUE"""),0)</f>
        <v>0</v>
      </c>
      <c r="E3091" s="22">
        <f ca="1">IFERROR(__xludf.DUMMYFUNCTION("""COMPUTED_VALUE"""),500000)</f>
        <v>500000</v>
      </c>
      <c r="F3091" s="22">
        <f ca="1">IFERROR(__xludf.DUMMYFUNCTION("""COMPUTED_VALUE"""),500000)</f>
        <v>500000</v>
      </c>
      <c r="G3091" s="22">
        <f ca="1">IFERROR(__xludf.DUMMYFUNCTION("""COMPUTED_VALUE"""),0)</f>
        <v>0</v>
      </c>
      <c r="H3091" s="7">
        <f ca="1">IFERROR(__xludf.DUMMYFUNCTION("""COMPUTED_VALUE"""),500000)</f>
        <v>500000</v>
      </c>
    </row>
    <row r="3092" spans="1:8" ht="13" x14ac:dyDescent="0.15">
      <c r="A3092" s="5" t="str">
        <f ca="1">IFERROR(__xludf.DUMMYFUNCTION("""COMPUTED_VALUE"""),"52981")</f>
        <v>52981</v>
      </c>
      <c r="B3092" s="51">
        <f ca="1">IFERROR(__xludf.DUMMYFUNCTION("""COMPUTED_VALUE"""),44603)</f>
        <v>44603</v>
      </c>
      <c r="C3092" s="22">
        <f ca="1">IFERROR(__xludf.DUMMYFUNCTION("""COMPUTED_VALUE"""),500000)</f>
        <v>500000</v>
      </c>
      <c r="D3092" s="22">
        <f ca="1">IFERROR(__xludf.DUMMYFUNCTION("""COMPUTED_VALUE"""),0)</f>
        <v>0</v>
      </c>
      <c r="E3092" s="22">
        <f ca="1">IFERROR(__xludf.DUMMYFUNCTION("""COMPUTED_VALUE"""),500000)</f>
        <v>500000</v>
      </c>
      <c r="F3092" s="22">
        <f ca="1">IFERROR(__xludf.DUMMYFUNCTION("""COMPUTED_VALUE"""),500000)</f>
        <v>500000</v>
      </c>
      <c r="G3092" s="22">
        <f ca="1">IFERROR(__xludf.DUMMYFUNCTION("""COMPUTED_VALUE"""),0)</f>
        <v>0</v>
      </c>
      <c r="H3092" s="7">
        <f ca="1">IFERROR(__xludf.DUMMYFUNCTION("""COMPUTED_VALUE"""),500000)</f>
        <v>500000</v>
      </c>
    </row>
    <row r="3093" spans="1:8" ht="13" x14ac:dyDescent="0.15">
      <c r="A3093" s="5" t="str">
        <f ca="1">IFERROR(__xludf.DUMMYFUNCTION("""COMPUTED_VALUE"""),"52981")</f>
        <v>52981</v>
      </c>
      <c r="B3093" s="51">
        <f ca="1">IFERROR(__xludf.DUMMYFUNCTION("""COMPUTED_VALUE"""),44604)</f>
        <v>44604</v>
      </c>
      <c r="C3093" s="22">
        <f ca="1">IFERROR(__xludf.DUMMYFUNCTION("""COMPUTED_VALUE"""),500000)</f>
        <v>500000</v>
      </c>
      <c r="D3093" s="22">
        <f ca="1">IFERROR(__xludf.DUMMYFUNCTION("""COMPUTED_VALUE"""),0)</f>
        <v>0</v>
      </c>
      <c r="E3093" s="22">
        <f ca="1">IFERROR(__xludf.DUMMYFUNCTION("""COMPUTED_VALUE"""),500000)</f>
        <v>500000</v>
      </c>
      <c r="F3093" s="22">
        <f ca="1">IFERROR(__xludf.DUMMYFUNCTION("""COMPUTED_VALUE"""),500000)</f>
        <v>500000</v>
      </c>
      <c r="G3093" s="22">
        <f ca="1">IFERROR(__xludf.DUMMYFUNCTION("""COMPUTED_VALUE"""),0)</f>
        <v>0</v>
      </c>
      <c r="H3093" s="7">
        <f ca="1">IFERROR(__xludf.DUMMYFUNCTION("""COMPUTED_VALUE"""),500000)</f>
        <v>500000</v>
      </c>
    </row>
    <row r="3094" spans="1:8" ht="13" x14ac:dyDescent="0.15">
      <c r="A3094" s="5" t="str">
        <f ca="1">IFERROR(__xludf.DUMMYFUNCTION("""COMPUTED_VALUE"""),"52981")</f>
        <v>52981</v>
      </c>
      <c r="B3094" s="51">
        <f ca="1">IFERROR(__xludf.DUMMYFUNCTION("""COMPUTED_VALUE"""),44605)</f>
        <v>44605</v>
      </c>
      <c r="C3094" s="22">
        <f ca="1">IFERROR(__xludf.DUMMYFUNCTION("""COMPUTED_VALUE"""),500000)</f>
        <v>500000</v>
      </c>
      <c r="D3094" s="22">
        <f ca="1">IFERROR(__xludf.DUMMYFUNCTION("""COMPUTED_VALUE"""),0)</f>
        <v>0</v>
      </c>
      <c r="E3094" s="22">
        <f ca="1">IFERROR(__xludf.DUMMYFUNCTION("""COMPUTED_VALUE"""),500000)</f>
        <v>500000</v>
      </c>
      <c r="F3094" s="22">
        <f ca="1">IFERROR(__xludf.DUMMYFUNCTION("""COMPUTED_VALUE"""),500000)</f>
        <v>500000</v>
      </c>
      <c r="G3094" s="22">
        <f ca="1">IFERROR(__xludf.DUMMYFUNCTION("""COMPUTED_VALUE"""),0)</f>
        <v>0</v>
      </c>
      <c r="H3094" s="7">
        <f ca="1">IFERROR(__xludf.DUMMYFUNCTION("""COMPUTED_VALUE"""),500000)</f>
        <v>500000</v>
      </c>
    </row>
    <row r="3095" spans="1:8" ht="13" x14ac:dyDescent="0.15">
      <c r="A3095" s="5" t="str">
        <f ca="1">IFERROR(__xludf.DUMMYFUNCTION("""COMPUTED_VALUE"""),"52981")</f>
        <v>52981</v>
      </c>
      <c r="B3095" s="51">
        <f ca="1">IFERROR(__xludf.DUMMYFUNCTION("""COMPUTED_VALUE"""),44606)</f>
        <v>44606</v>
      </c>
      <c r="C3095" s="22">
        <f ca="1">IFERROR(__xludf.DUMMYFUNCTION("""COMPUTED_VALUE"""),500000)</f>
        <v>500000</v>
      </c>
      <c r="D3095" s="22">
        <f ca="1">IFERROR(__xludf.DUMMYFUNCTION("""COMPUTED_VALUE"""),0)</f>
        <v>0</v>
      </c>
      <c r="E3095" s="22">
        <f ca="1">IFERROR(__xludf.DUMMYFUNCTION("""COMPUTED_VALUE"""),500000)</f>
        <v>500000</v>
      </c>
      <c r="F3095" s="22">
        <f ca="1">IFERROR(__xludf.DUMMYFUNCTION("""COMPUTED_VALUE"""),500000)</f>
        <v>500000</v>
      </c>
      <c r="G3095" s="22">
        <f ca="1">IFERROR(__xludf.DUMMYFUNCTION("""COMPUTED_VALUE"""),0)</f>
        <v>0</v>
      </c>
      <c r="H3095" s="7">
        <f ca="1">IFERROR(__xludf.DUMMYFUNCTION("""COMPUTED_VALUE"""),500000)</f>
        <v>500000</v>
      </c>
    </row>
    <row r="3096" spans="1:8" ht="13" x14ac:dyDescent="0.15">
      <c r="A3096" s="5" t="str">
        <f ca="1">IFERROR(__xludf.DUMMYFUNCTION("""COMPUTED_VALUE"""),"52981")</f>
        <v>52981</v>
      </c>
      <c r="B3096" s="51">
        <f ca="1">IFERROR(__xludf.DUMMYFUNCTION("""COMPUTED_VALUE"""),44607)</f>
        <v>44607</v>
      </c>
      <c r="C3096" s="22">
        <f ca="1">IFERROR(__xludf.DUMMYFUNCTION("""COMPUTED_VALUE"""),500000)</f>
        <v>500000</v>
      </c>
      <c r="D3096" s="22">
        <f ca="1">IFERROR(__xludf.DUMMYFUNCTION("""COMPUTED_VALUE"""),0)</f>
        <v>0</v>
      </c>
      <c r="E3096" s="22">
        <f ca="1">IFERROR(__xludf.DUMMYFUNCTION("""COMPUTED_VALUE"""),500000)</f>
        <v>500000</v>
      </c>
      <c r="F3096" s="22">
        <f ca="1">IFERROR(__xludf.DUMMYFUNCTION("""COMPUTED_VALUE"""),500000)</f>
        <v>500000</v>
      </c>
      <c r="G3096" s="22">
        <f ca="1">IFERROR(__xludf.DUMMYFUNCTION("""COMPUTED_VALUE"""),0)</f>
        <v>0</v>
      </c>
      <c r="H3096" s="7">
        <f ca="1">IFERROR(__xludf.DUMMYFUNCTION("""COMPUTED_VALUE"""),500000)</f>
        <v>500000</v>
      </c>
    </row>
    <row r="3097" spans="1:8" ht="13" x14ac:dyDescent="0.15">
      <c r="A3097" s="5" t="str">
        <f ca="1">IFERROR(__xludf.DUMMYFUNCTION("""COMPUTED_VALUE"""),"52981")</f>
        <v>52981</v>
      </c>
      <c r="B3097" s="51">
        <f ca="1">IFERROR(__xludf.DUMMYFUNCTION("""COMPUTED_VALUE"""),44608)</f>
        <v>44608</v>
      </c>
      <c r="C3097" s="22">
        <f ca="1">IFERROR(__xludf.DUMMYFUNCTION("""COMPUTED_VALUE"""),500000)</f>
        <v>500000</v>
      </c>
      <c r="D3097" s="22">
        <f ca="1">IFERROR(__xludf.DUMMYFUNCTION("""COMPUTED_VALUE"""),0)</f>
        <v>0</v>
      </c>
      <c r="E3097" s="22">
        <f ca="1">IFERROR(__xludf.DUMMYFUNCTION("""COMPUTED_VALUE"""),500000)</f>
        <v>500000</v>
      </c>
      <c r="F3097" s="22">
        <f ca="1">IFERROR(__xludf.DUMMYFUNCTION("""COMPUTED_VALUE"""),500000)</f>
        <v>500000</v>
      </c>
      <c r="G3097" s="22">
        <f ca="1">IFERROR(__xludf.DUMMYFUNCTION("""COMPUTED_VALUE"""),0)</f>
        <v>0</v>
      </c>
      <c r="H3097" s="7">
        <f ca="1">IFERROR(__xludf.DUMMYFUNCTION("""COMPUTED_VALUE"""),500000)</f>
        <v>500000</v>
      </c>
    </row>
    <row r="3098" spans="1:8" ht="13" x14ac:dyDescent="0.15">
      <c r="A3098" s="5" t="str">
        <f ca="1">IFERROR(__xludf.DUMMYFUNCTION("""COMPUTED_VALUE"""),"52981")</f>
        <v>52981</v>
      </c>
      <c r="B3098" s="51">
        <f ca="1">IFERROR(__xludf.DUMMYFUNCTION("""COMPUTED_VALUE"""),44609)</f>
        <v>44609</v>
      </c>
      <c r="C3098" s="22">
        <f ca="1">IFERROR(__xludf.DUMMYFUNCTION("""COMPUTED_VALUE"""),500000)</f>
        <v>500000</v>
      </c>
      <c r="D3098" s="22">
        <f ca="1">IFERROR(__xludf.DUMMYFUNCTION("""COMPUTED_VALUE"""),0)</f>
        <v>0</v>
      </c>
      <c r="E3098" s="22">
        <f ca="1">IFERROR(__xludf.DUMMYFUNCTION("""COMPUTED_VALUE"""),500000)</f>
        <v>500000</v>
      </c>
      <c r="F3098" s="22">
        <f ca="1">IFERROR(__xludf.DUMMYFUNCTION("""COMPUTED_VALUE"""),500000)</f>
        <v>500000</v>
      </c>
      <c r="G3098" s="22">
        <f ca="1">IFERROR(__xludf.DUMMYFUNCTION("""COMPUTED_VALUE"""),0)</f>
        <v>0</v>
      </c>
      <c r="H3098" s="7">
        <f ca="1">IFERROR(__xludf.DUMMYFUNCTION("""COMPUTED_VALUE"""),500000)</f>
        <v>500000</v>
      </c>
    </row>
    <row r="3099" spans="1:8" ht="13" x14ac:dyDescent="0.15">
      <c r="A3099" s="5" t="str">
        <f ca="1">IFERROR(__xludf.DUMMYFUNCTION("""COMPUTED_VALUE"""),"52981")</f>
        <v>52981</v>
      </c>
      <c r="B3099" s="51">
        <f ca="1">IFERROR(__xludf.DUMMYFUNCTION("""COMPUTED_VALUE"""),44610)</f>
        <v>44610</v>
      </c>
      <c r="C3099" s="22">
        <f ca="1">IFERROR(__xludf.DUMMYFUNCTION("""COMPUTED_VALUE"""),500000)</f>
        <v>500000</v>
      </c>
      <c r="D3099" s="22">
        <f ca="1">IFERROR(__xludf.DUMMYFUNCTION("""COMPUTED_VALUE"""),0)</f>
        <v>0</v>
      </c>
      <c r="E3099" s="22">
        <f ca="1">IFERROR(__xludf.DUMMYFUNCTION("""COMPUTED_VALUE"""),500000)</f>
        <v>500000</v>
      </c>
      <c r="F3099" s="22">
        <f ca="1">IFERROR(__xludf.DUMMYFUNCTION("""COMPUTED_VALUE"""),500000)</f>
        <v>500000</v>
      </c>
      <c r="G3099" s="22">
        <f ca="1">IFERROR(__xludf.DUMMYFUNCTION("""COMPUTED_VALUE"""),0)</f>
        <v>0</v>
      </c>
      <c r="H3099" s="7">
        <f ca="1">IFERROR(__xludf.DUMMYFUNCTION("""COMPUTED_VALUE"""),500000)</f>
        <v>500000</v>
      </c>
    </row>
    <row r="3100" spans="1:8" ht="13" x14ac:dyDescent="0.15">
      <c r="A3100" s="5" t="str">
        <f ca="1">IFERROR(__xludf.DUMMYFUNCTION("""COMPUTED_VALUE"""),"52981")</f>
        <v>52981</v>
      </c>
      <c r="B3100" s="51">
        <f ca="1">IFERROR(__xludf.DUMMYFUNCTION("""COMPUTED_VALUE"""),44611)</f>
        <v>44611</v>
      </c>
      <c r="C3100" s="22">
        <f ca="1">IFERROR(__xludf.DUMMYFUNCTION("""COMPUTED_VALUE"""),500000)</f>
        <v>500000</v>
      </c>
      <c r="D3100" s="22">
        <f ca="1">IFERROR(__xludf.DUMMYFUNCTION("""COMPUTED_VALUE"""),0)</f>
        <v>0</v>
      </c>
      <c r="E3100" s="22">
        <f ca="1">IFERROR(__xludf.DUMMYFUNCTION("""COMPUTED_VALUE"""),500000)</f>
        <v>500000</v>
      </c>
      <c r="F3100" s="22">
        <f ca="1">IFERROR(__xludf.DUMMYFUNCTION("""COMPUTED_VALUE"""),500000)</f>
        <v>500000</v>
      </c>
      <c r="G3100" s="22">
        <f ca="1">IFERROR(__xludf.DUMMYFUNCTION("""COMPUTED_VALUE"""),0)</f>
        <v>0</v>
      </c>
      <c r="H3100" s="7">
        <f ca="1">IFERROR(__xludf.DUMMYFUNCTION("""COMPUTED_VALUE"""),500000)</f>
        <v>500000</v>
      </c>
    </row>
    <row r="3101" spans="1:8" ht="13" x14ac:dyDescent="0.15">
      <c r="A3101" s="5" t="str">
        <f ca="1">IFERROR(__xludf.DUMMYFUNCTION("""COMPUTED_VALUE"""),"52981")</f>
        <v>52981</v>
      </c>
      <c r="B3101" s="51">
        <f ca="1">IFERROR(__xludf.DUMMYFUNCTION("""COMPUTED_VALUE"""),44612)</f>
        <v>44612</v>
      </c>
      <c r="C3101" s="22">
        <f ca="1">IFERROR(__xludf.DUMMYFUNCTION("""COMPUTED_VALUE"""),500000)</f>
        <v>500000</v>
      </c>
      <c r="D3101" s="22">
        <f ca="1">IFERROR(__xludf.DUMMYFUNCTION("""COMPUTED_VALUE"""),0)</f>
        <v>0</v>
      </c>
      <c r="E3101" s="22">
        <f ca="1">IFERROR(__xludf.DUMMYFUNCTION("""COMPUTED_VALUE"""),500000)</f>
        <v>500000</v>
      </c>
      <c r="F3101" s="22">
        <f ca="1">IFERROR(__xludf.DUMMYFUNCTION("""COMPUTED_VALUE"""),500000)</f>
        <v>500000</v>
      </c>
      <c r="G3101" s="22">
        <f ca="1">IFERROR(__xludf.DUMMYFUNCTION("""COMPUTED_VALUE"""),0)</f>
        <v>0</v>
      </c>
      <c r="H3101" s="7">
        <f ca="1">IFERROR(__xludf.DUMMYFUNCTION("""COMPUTED_VALUE"""),500000)</f>
        <v>500000</v>
      </c>
    </row>
    <row r="3102" spans="1:8" ht="13" x14ac:dyDescent="0.15">
      <c r="A3102" s="5" t="str">
        <f ca="1">IFERROR(__xludf.DUMMYFUNCTION("""COMPUTED_VALUE"""),"52981")</f>
        <v>52981</v>
      </c>
      <c r="B3102" s="51">
        <f ca="1">IFERROR(__xludf.DUMMYFUNCTION("""COMPUTED_VALUE"""),44613)</f>
        <v>44613</v>
      </c>
      <c r="C3102" s="22">
        <f ca="1">IFERROR(__xludf.DUMMYFUNCTION("""COMPUTED_VALUE"""),500000)</f>
        <v>500000</v>
      </c>
      <c r="D3102" s="22">
        <f ca="1">IFERROR(__xludf.DUMMYFUNCTION("""COMPUTED_VALUE"""),0)</f>
        <v>0</v>
      </c>
      <c r="E3102" s="22">
        <f ca="1">IFERROR(__xludf.DUMMYFUNCTION("""COMPUTED_VALUE"""),500000)</f>
        <v>500000</v>
      </c>
      <c r="F3102" s="22">
        <f ca="1">IFERROR(__xludf.DUMMYFUNCTION("""COMPUTED_VALUE"""),500000)</f>
        <v>500000</v>
      </c>
      <c r="G3102" s="22">
        <f ca="1">IFERROR(__xludf.DUMMYFUNCTION("""COMPUTED_VALUE"""),0)</f>
        <v>0</v>
      </c>
      <c r="H3102" s="7">
        <f ca="1">IFERROR(__xludf.DUMMYFUNCTION("""COMPUTED_VALUE"""),500000)</f>
        <v>500000</v>
      </c>
    </row>
    <row r="3103" spans="1:8" ht="13" x14ac:dyDescent="0.15">
      <c r="A3103" s="5" t="str">
        <f ca="1">IFERROR(__xludf.DUMMYFUNCTION("""COMPUTED_VALUE"""),"52981")</f>
        <v>52981</v>
      </c>
      <c r="B3103" s="51">
        <f ca="1">IFERROR(__xludf.DUMMYFUNCTION("""COMPUTED_VALUE"""),44614)</f>
        <v>44614</v>
      </c>
      <c r="C3103" s="22">
        <f ca="1">IFERROR(__xludf.DUMMYFUNCTION("""COMPUTED_VALUE"""),500000)</f>
        <v>500000</v>
      </c>
      <c r="D3103" s="22">
        <f ca="1">IFERROR(__xludf.DUMMYFUNCTION("""COMPUTED_VALUE"""),0)</f>
        <v>0</v>
      </c>
      <c r="E3103" s="22">
        <f ca="1">IFERROR(__xludf.DUMMYFUNCTION("""COMPUTED_VALUE"""),500000)</f>
        <v>500000</v>
      </c>
      <c r="F3103" s="22">
        <f ca="1">IFERROR(__xludf.DUMMYFUNCTION("""COMPUTED_VALUE"""),500000)</f>
        <v>500000</v>
      </c>
      <c r="G3103" s="22">
        <f ca="1">IFERROR(__xludf.DUMMYFUNCTION("""COMPUTED_VALUE"""),0)</f>
        <v>0</v>
      </c>
      <c r="H3103" s="7">
        <f ca="1">IFERROR(__xludf.DUMMYFUNCTION("""COMPUTED_VALUE"""),500000)</f>
        <v>500000</v>
      </c>
    </row>
    <row r="3104" spans="1:8" ht="13" x14ac:dyDescent="0.15">
      <c r="A3104" s="5" t="str">
        <f ca="1">IFERROR(__xludf.DUMMYFUNCTION("""COMPUTED_VALUE"""),"52981")</f>
        <v>52981</v>
      </c>
      <c r="B3104" s="51">
        <f ca="1">IFERROR(__xludf.DUMMYFUNCTION("""COMPUTED_VALUE"""),44615)</f>
        <v>44615</v>
      </c>
      <c r="C3104" s="22">
        <f ca="1">IFERROR(__xludf.DUMMYFUNCTION("""COMPUTED_VALUE"""),500000)</f>
        <v>500000</v>
      </c>
      <c r="D3104" s="22">
        <f ca="1">IFERROR(__xludf.DUMMYFUNCTION("""COMPUTED_VALUE"""),0)</f>
        <v>0</v>
      </c>
      <c r="E3104" s="22">
        <f ca="1">IFERROR(__xludf.DUMMYFUNCTION("""COMPUTED_VALUE"""),500000)</f>
        <v>500000</v>
      </c>
      <c r="F3104" s="22">
        <f ca="1">IFERROR(__xludf.DUMMYFUNCTION("""COMPUTED_VALUE"""),500000)</f>
        <v>500000</v>
      </c>
      <c r="G3104" s="22">
        <f ca="1">IFERROR(__xludf.DUMMYFUNCTION("""COMPUTED_VALUE"""),0)</f>
        <v>0</v>
      </c>
      <c r="H3104" s="7">
        <f ca="1">IFERROR(__xludf.DUMMYFUNCTION("""COMPUTED_VALUE"""),500000)</f>
        <v>500000</v>
      </c>
    </row>
    <row r="3105" spans="1:8" ht="13" x14ac:dyDescent="0.15">
      <c r="A3105" s="5" t="str">
        <f ca="1">IFERROR(__xludf.DUMMYFUNCTION("""COMPUTED_VALUE"""),"52981")</f>
        <v>52981</v>
      </c>
      <c r="B3105" s="51">
        <f ca="1">IFERROR(__xludf.DUMMYFUNCTION("""COMPUTED_VALUE"""),44616)</f>
        <v>44616</v>
      </c>
      <c r="C3105" s="22">
        <f ca="1">IFERROR(__xludf.DUMMYFUNCTION("""COMPUTED_VALUE"""),500000)</f>
        <v>500000</v>
      </c>
      <c r="D3105" s="22">
        <f ca="1">IFERROR(__xludf.DUMMYFUNCTION("""COMPUTED_VALUE"""),0)</f>
        <v>0</v>
      </c>
      <c r="E3105" s="22">
        <f ca="1">IFERROR(__xludf.DUMMYFUNCTION("""COMPUTED_VALUE"""),500000)</f>
        <v>500000</v>
      </c>
      <c r="F3105" s="22">
        <f ca="1">IFERROR(__xludf.DUMMYFUNCTION("""COMPUTED_VALUE"""),500000)</f>
        <v>500000</v>
      </c>
      <c r="G3105" s="22">
        <f ca="1">IFERROR(__xludf.DUMMYFUNCTION("""COMPUTED_VALUE"""),0)</f>
        <v>0</v>
      </c>
      <c r="H3105" s="7">
        <f ca="1">IFERROR(__xludf.DUMMYFUNCTION("""COMPUTED_VALUE"""),500000)</f>
        <v>500000</v>
      </c>
    </row>
    <row r="3106" spans="1:8" ht="13" x14ac:dyDescent="0.15">
      <c r="A3106" s="5" t="str">
        <f ca="1">IFERROR(__xludf.DUMMYFUNCTION("""COMPUTED_VALUE"""),"52981")</f>
        <v>52981</v>
      </c>
      <c r="B3106" s="51">
        <f ca="1">IFERROR(__xludf.DUMMYFUNCTION("""COMPUTED_VALUE"""),44617)</f>
        <v>44617</v>
      </c>
      <c r="C3106" s="22">
        <f ca="1">IFERROR(__xludf.DUMMYFUNCTION("""COMPUTED_VALUE"""),500000)</f>
        <v>500000</v>
      </c>
      <c r="D3106" s="22">
        <f ca="1">IFERROR(__xludf.DUMMYFUNCTION("""COMPUTED_VALUE"""),0)</f>
        <v>0</v>
      </c>
      <c r="E3106" s="22">
        <f ca="1">IFERROR(__xludf.DUMMYFUNCTION("""COMPUTED_VALUE"""),500000)</f>
        <v>500000</v>
      </c>
      <c r="F3106" s="22">
        <f ca="1">IFERROR(__xludf.DUMMYFUNCTION("""COMPUTED_VALUE"""),500000)</f>
        <v>500000</v>
      </c>
      <c r="G3106" s="22">
        <f ca="1">IFERROR(__xludf.DUMMYFUNCTION("""COMPUTED_VALUE"""),0)</f>
        <v>0</v>
      </c>
      <c r="H3106" s="7">
        <f ca="1">IFERROR(__xludf.DUMMYFUNCTION("""COMPUTED_VALUE"""),500000)</f>
        <v>500000</v>
      </c>
    </row>
    <row r="3107" spans="1:8" ht="13" x14ac:dyDescent="0.15">
      <c r="A3107" s="5" t="str">
        <f ca="1">IFERROR(__xludf.DUMMYFUNCTION("""COMPUTED_VALUE"""),"52981")</f>
        <v>52981</v>
      </c>
      <c r="B3107" s="51">
        <f ca="1">IFERROR(__xludf.DUMMYFUNCTION("""COMPUTED_VALUE"""),44618)</f>
        <v>44618</v>
      </c>
      <c r="C3107" s="22">
        <f ca="1">IFERROR(__xludf.DUMMYFUNCTION("""COMPUTED_VALUE"""),500000)</f>
        <v>500000</v>
      </c>
      <c r="D3107" s="22">
        <f ca="1">IFERROR(__xludf.DUMMYFUNCTION("""COMPUTED_VALUE"""),0)</f>
        <v>0</v>
      </c>
      <c r="E3107" s="22">
        <f ca="1">IFERROR(__xludf.DUMMYFUNCTION("""COMPUTED_VALUE"""),500000)</f>
        <v>500000</v>
      </c>
      <c r="F3107" s="22">
        <f ca="1">IFERROR(__xludf.DUMMYFUNCTION("""COMPUTED_VALUE"""),500000)</f>
        <v>500000</v>
      </c>
      <c r="G3107" s="22">
        <f ca="1">IFERROR(__xludf.DUMMYFUNCTION("""COMPUTED_VALUE"""),0)</f>
        <v>0</v>
      </c>
      <c r="H3107" s="7">
        <f ca="1">IFERROR(__xludf.DUMMYFUNCTION("""COMPUTED_VALUE"""),500000)</f>
        <v>500000</v>
      </c>
    </row>
    <row r="3108" spans="1:8" ht="13" x14ac:dyDescent="0.15">
      <c r="A3108" s="5" t="str">
        <f ca="1">IFERROR(__xludf.DUMMYFUNCTION("""COMPUTED_VALUE"""),"52981")</f>
        <v>52981</v>
      </c>
      <c r="B3108" s="51">
        <f ca="1">IFERROR(__xludf.DUMMYFUNCTION("""COMPUTED_VALUE"""),44619)</f>
        <v>44619</v>
      </c>
      <c r="C3108" s="22">
        <f ca="1">IFERROR(__xludf.DUMMYFUNCTION("""COMPUTED_VALUE"""),500000)</f>
        <v>500000</v>
      </c>
      <c r="D3108" s="22">
        <f ca="1">IFERROR(__xludf.DUMMYFUNCTION("""COMPUTED_VALUE"""),0)</f>
        <v>0</v>
      </c>
      <c r="E3108" s="22">
        <f ca="1">IFERROR(__xludf.DUMMYFUNCTION("""COMPUTED_VALUE"""),500000)</f>
        <v>500000</v>
      </c>
      <c r="F3108" s="22">
        <f ca="1">IFERROR(__xludf.DUMMYFUNCTION("""COMPUTED_VALUE"""),500000)</f>
        <v>500000</v>
      </c>
      <c r="G3108" s="22">
        <f ca="1">IFERROR(__xludf.DUMMYFUNCTION("""COMPUTED_VALUE"""),0)</f>
        <v>0</v>
      </c>
      <c r="H3108" s="7">
        <f ca="1">IFERROR(__xludf.DUMMYFUNCTION("""COMPUTED_VALUE"""),500000)</f>
        <v>500000</v>
      </c>
    </row>
    <row r="3109" spans="1:8" ht="13" x14ac:dyDescent="0.15">
      <c r="A3109" s="5" t="str">
        <f ca="1">IFERROR(__xludf.DUMMYFUNCTION("""COMPUTED_VALUE"""),"52981")</f>
        <v>52981</v>
      </c>
      <c r="B3109" s="51">
        <f ca="1">IFERROR(__xludf.DUMMYFUNCTION("""COMPUTED_VALUE"""),44620)</f>
        <v>44620</v>
      </c>
      <c r="C3109" s="22">
        <f ca="1">IFERROR(__xludf.DUMMYFUNCTION("""COMPUTED_VALUE"""),500000)</f>
        <v>500000</v>
      </c>
      <c r="D3109" s="22">
        <f ca="1">IFERROR(__xludf.DUMMYFUNCTION("""COMPUTED_VALUE"""),0)</f>
        <v>0</v>
      </c>
      <c r="E3109" s="22">
        <f ca="1">IFERROR(__xludf.DUMMYFUNCTION("""COMPUTED_VALUE"""),500000)</f>
        <v>500000</v>
      </c>
      <c r="F3109" s="22">
        <f ca="1">IFERROR(__xludf.DUMMYFUNCTION("""COMPUTED_VALUE"""),500000)</f>
        <v>500000</v>
      </c>
      <c r="G3109" s="22">
        <f ca="1">IFERROR(__xludf.DUMMYFUNCTION("""COMPUTED_VALUE"""),0)</f>
        <v>0</v>
      </c>
      <c r="H3109" s="7">
        <f ca="1">IFERROR(__xludf.DUMMYFUNCTION("""COMPUTED_VALUE"""),500000)</f>
        <v>500000</v>
      </c>
    </row>
    <row r="3110" spans="1:8" ht="13" x14ac:dyDescent="0.15">
      <c r="A3110" s="5" t="str">
        <f ca="1">IFERROR(__xludf.DUMMYFUNCTION("""COMPUTED_VALUE"""),"52981")</f>
        <v>52981</v>
      </c>
      <c r="B3110" s="51">
        <f ca="1">IFERROR(__xludf.DUMMYFUNCTION("""COMPUTED_VALUE"""),44621)</f>
        <v>44621</v>
      </c>
      <c r="C3110" s="22">
        <f ca="1">IFERROR(__xludf.DUMMYFUNCTION("""COMPUTED_VALUE"""),500000)</f>
        <v>500000</v>
      </c>
      <c r="D3110" s="22">
        <f ca="1">IFERROR(__xludf.DUMMYFUNCTION("""COMPUTED_VALUE"""),0)</f>
        <v>0</v>
      </c>
      <c r="E3110" s="22">
        <f ca="1">IFERROR(__xludf.DUMMYFUNCTION("""COMPUTED_VALUE"""),500000)</f>
        <v>500000</v>
      </c>
      <c r="F3110" s="22">
        <f ca="1">IFERROR(__xludf.DUMMYFUNCTION("""COMPUTED_VALUE"""),500000)</f>
        <v>500000</v>
      </c>
      <c r="G3110" s="22">
        <f ca="1">IFERROR(__xludf.DUMMYFUNCTION("""COMPUTED_VALUE"""),0)</f>
        <v>0</v>
      </c>
      <c r="H3110" s="7">
        <f ca="1">IFERROR(__xludf.DUMMYFUNCTION("""COMPUTED_VALUE"""),500000)</f>
        <v>500000</v>
      </c>
    </row>
    <row r="3111" spans="1:8" ht="13" x14ac:dyDescent="0.15">
      <c r="A3111" s="5" t="str">
        <f ca="1">IFERROR(__xludf.DUMMYFUNCTION("""COMPUTED_VALUE"""),"52981")</f>
        <v>52981</v>
      </c>
      <c r="B3111" s="51">
        <f ca="1">IFERROR(__xludf.DUMMYFUNCTION("""COMPUTED_VALUE"""),44622)</f>
        <v>44622</v>
      </c>
      <c r="C3111" s="22">
        <f ca="1">IFERROR(__xludf.DUMMYFUNCTION("""COMPUTED_VALUE"""),500000)</f>
        <v>500000</v>
      </c>
      <c r="D3111" s="22">
        <f ca="1">IFERROR(__xludf.DUMMYFUNCTION("""COMPUTED_VALUE"""),0)</f>
        <v>0</v>
      </c>
      <c r="E3111" s="22">
        <f ca="1">IFERROR(__xludf.DUMMYFUNCTION("""COMPUTED_VALUE"""),500000)</f>
        <v>500000</v>
      </c>
      <c r="F3111" s="22">
        <f ca="1">IFERROR(__xludf.DUMMYFUNCTION("""COMPUTED_VALUE"""),500000)</f>
        <v>500000</v>
      </c>
      <c r="G3111" s="22">
        <f ca="1">IFERROR(__xludf.DUMMYFUNCTION("""COMPUTED_VALUE"""),0)</f>
        <v>0</v>
      </c>
      <c r="H3111" s="7">
        <f ca="1">IFERROR(__xludf.DUMMYFUNCTION("""COMPUTED_VALUE"""),500000)</f>
        <v>500000</v>
      </c>
    </row>
    <row r="3112" spans="1:8" ht="13" x14ac:dyDescent="0.15">
      <c r="A3112" s="5" t="str">
        <f ca="1">IFERROR(__xludf.DUMMYFUNCTION("""COMPUTED_VALUE"""),"52981")</f>
        <v>52981</v>
      </c>
      <c r="B3112" s="51">
        <f ca="1">IFERROR(__xludf.DUMMYFUNCTION("""COMPUTED_VALUE"""),44623)</f>
        <v>44623</v>
      </c>
      <c r="C3112" s="22">
        <f ca="1">IFERROR(__xludf.DUMMYFUNCTION("""COMPUTED_VALUE"""),500000)</f>
        <v>500000</v>
      </c>
      <c r="D3112" s="22">
        <f ca="1">IFERROR(__xludf.DUMMYFUNCTION("""COMPUTED_VALUE"""),0)</f>
        <v>0</v>
      </c>
      <c r="E3112" s="22">
        <f ca="1">IFERROR(__xludf.DUMMYFUNCTION("""COMPUTED_VALUE"""),500000)</f>
        <v>500000</v>
      </c>
      <c r="F3112" s="22">
        <f ca="1">IFERROR(__xludf.DUMMYFUNCTION("""COMPUTED_VALUE"""),500000)</f>
        <v>500000</v>
      </c>
      <c r="G3112" s="22">
        <f ca="1">IFERROR(__xludf.DUMMYFUNCTION("""COMPUTED_VALUE"""),0)</f>
        <v>0</v>
      </c>
      <c r="H3112" s="7">
        <f ca="1">IFERROR(__xludf.DUMMYFUNCTION("""COMPUTED_VALUE"""),500000)</f>
        <v>500000</v>
      </c>
    </row>
    <row r="3113" spans="1:8" ht="13" x14ac:dyDescent="0.15">
      <c r="A3113" s="5" t="str">
        <f ca="1">IFERROR(__xludf.DUMMYFUNCTION("""COMPUTED_VALUE"""),"52981")</f>
        <v>52981</v>
      </c>
      <c r="B3113" s="51">
        <f ca="1">IFERROR(__xludf.DUMMYFUNCTION("""COMPUTED_VALUE"""),44624)</f>
        <v>44624</v>
      </c>
      <c r="C3113" s="22">
        <f ca="1">IFERROR(__xludf.DUMMYFUNCTION("""COMPUTED_VALUE"""),500000)</f>
        <v>500000</v>
      </c>
      <c r="D3113" s="22">
        <f ca="1">IFERROR(__xludf.DUMMYFUNCTION("""COMPUTED_VALUE"""),0)</f>
        <v>0</v>
      </c>
      <c r="E3113" s="22">
        <f ca="1">IFERROR(__xludf.DUMMYFUNCTION("""COMPUTED_VALUE"""),500000)</f>
        <v>500000</v>
      </c>
      <c r="F3113" s="22">
        <f ca="1">IFERROR(__xludf.DUMMYFUNCTION("""COMPUTED_VALUE"""),500000)</f>
        <v>500000</v>
      </c>
      <c r="G3113" s="22">
        <f ca="1">IFERROR(__xludf.DUMMYFUNCTION("""COMPUTED_VALUE"""),0)</f>
        <v>0</v>
      </c>
      <c r="H3113" s="7">
        <f ca="1">IFERROR(__xludf.DUMMYFUNCTION("""COMPUTED_VALUE"""),500000)</f>
        <v>500000</v>
      </c>
    </row>
    <row r="3114" spans="1:8" ht="13" x14ac:dyDescent="0.15">
      <c r="A3114" s="5" t="str">
        <f ca="1">IFERROR(__xludf.DUMMYFUNCTION("""COMPUTED_VALUE"""),"52981")</f>
        <v>52981</v>
      </c>
      <c r="B3114" s="51">
        <f ca="1">IFERROR(__xludf.DUMMYFUNCTION("""COMPUTED_VALUE"""),44625)</f>
        <v>44625</v>
      </c>
      <c r="C3114" s="22">
        <f ca="1">IFERROR(__xludf.DUMMYFUNCTION("""COMPUTED_VALUE"""),500000)</f>
        <v>500000</v>
      </c>
      <c r="D3114" s="22">
        <f ca="1">IFERROR(__xludf.DUMMYFUNCTION("""COMPUTED_VALUE"""),0)</f>
        <v>0</v>
      </c>
      <c r="E3114" s="22">
        <f ca="1">IFERROR(__xludf.DUMMYFUNCTION("""COMPUTED_VALUE"""),500000)</f>
        <v>500000</v>
      </c>
      <c r="F3114" s="22">
        <f ca="1">IFERROR(__xludf.DUMMYFUNCTION("""COMPUTED_VALUE"""),500000)</f>
        <v>500000</v>
      </c>
      <c r="G3114" s="22">
        <f ca="1">IFERROR(__xludf.DUMMYFUNCTION("""COMPUTED_VALUE"""),0)</f>
        <v>0</v>
      </c>
      <c r="H3114" s="7">
        <f ca="1">IFERROR(__xludf.DUMMYFUNCTION("""COMPUTED_VALUE"""),500000)</f>
        <v>500000</v>
      </c>
    </row>
    <row r="3115" spans="1:8" ht="13" x14ac:dyDescent="0.15">
      <c r="A3115" s="5" t="str">
        <f ca="1">IFERROR(__xludf.DUMMYFUNCTION("""COMPUTED_VALUE"""),"52981")</f>
        <v>52981</v>
      </c>
      <c r="B3115" s="51">
        <f ca="1">IFERROR(__xludf.DUMMYFUNCTION("""COMPUTED_VALUE"""),44626)</f>
        <v>44626</v>
      </c>
      <c r="C3115" s="22">
        <f ca="1">IFERROR(__xludf.DUMMYFUNCTION("""COMPUTED_VALUE"""),500000)</f>
        <v>500000</v>
      </c>
      <c r="D3115" s="22">
        <f ca="1">IFERROR(__xludf.DUMMYFUNCTION("""COMPUTED_VALUE"""),0)</f>
        <v>0</v>
      </c>
      <c r="E3115" s="22">
        <f ca="1">IFERROR(__xludf.DUMMYFUNCTION("""COMPUTED_VALUE"""),500000)</f>
        <v>500000</v>
      </c>
      <c r="F3115" s="22">
        <f ca="1">IFERROR(__xludf.DUMMYFUNCTION("""COMPUTED_VALUE"""),500000)</f>
        <v>500000</v>
      </c>
      <c r="G3115" s="22">
        <f ca="1">IFERROR(__xludf.DUMMYFUNCTION("""COMPUTED_VALUE"""),0)</f>
        <v>0</v>
      </c>
      <c r="H3115" s="7">
        <f ca="1">IFERROR(__xludf.DUMMYFUNCTION("""COMPUTED_VALUE"""),500000)</f>
        <v>500000</v>
      </c>
    </row>
    <row r="3116" spans="1:8" ht="13" x14ac:dyDescent="0.15">
      <c r="A3116" s="5" t="str">
        <f ca="1">IFERROR(__xludf.DUMMYFUNCTION("""COMPUTED_VALUE"""),"52981")</f>
        <v>52981</v>
      </c>
      <c r="B3116" s="51">
        <f ca="1">IFERROR(__xludf.DUMMYFUNCTION("""COMPUTED_VALUE"""),44627)</f>
        <v>44627</v>
      </c>
      <c r="C3116" s="22">
        <f ca="1">IFERROR(__xludf.DUMMYFUNCTION("""COMPUTED_VALUE"""),500000)</f>
        <v>500000</v>
      </c>
      <c r="D3116" s="22">
        <f ca="1">IFERROR(__xludf.DUMMYFUNCTION("""COMPUTED_VALUE"""),0)</f>
        <v>0</v>
      </c>
      <c r="E3116" s="22">
        <f ca="1">IFERROR(__xludf.DUMMYFUNCTION("""COMPUTED_VALUE"""),500000)</f>
        <v>500000</v>
      </c>
      <c r="F3116" s="22">
        <f ca="1">IFERROR(__xludf.DUMMYFUNCTION("""COMPUTED_VALUE"""),500000)</f>
        <v>500000</v>
      </c>
      <c r="G3116" s="22">
        <f ca="1">IFERROR(__xludf.DUMMYFUNCTION("""COMPUTED_VALUE"""),0)</f>
        <v>0</v>
      </c>
      <c r="H3116" s="7">
        <f ca="1">IFERROR(__xludf.DUMMYFUNCTION("""COMPUTED_VALUE"""),500000)</f>
        <v>500000</v>
      </c>
    </row>
    <row r="3117" spans="1:8" ht="13" x14ac:dyDescent="0.15">
      <c r="A3117" s="5" t="str">
        <f ca="1">IFERROR(__xludf.DUMMYFUNCTION("""COMPUTED_VALUE"""),"52981")</f>
        <v>52981</v>
      </c>
      <c r="B3117" s="51">
        <f ca="1">IFERROR(__xludf.DUMMYFUNCTION("""COMPUTED_VALUE"""),44628)</f>
        <v>44628</v>
      </c>
      <c r="C3117" s="22">
        <f ca="1">IFERROR(__xludf.DUMMYFUNCTION("""COMPUTED_VALUE"""),500000)</f>
        <v>500000</v>
      </c>
      <c r="D3117" s="22">
        <f ca="1">IFERROR(__xludf.DUMMYFUNCTION("""COMPUTED_VALUE"""),0)</f>
        <v>0</v>
      </c>
      <c r="E3117" s="22">
        <f ca="1">IFERROR(__xludf.DUMMYFUNCTION("""COMPUTED_VALUE"""),500000)</f>
        <v>500000</v>
      </c>
      <c r="F3117" s="22">
        <f ca="1">IFERROR(__xludf.DUMMYFUNCTION("""COMPUTED_VALUE"""),500000)</f>
        <v>500000</v>
      </c>
      <c r="G3117" s="22">
        <f ca="1">IFERROR(__xludf.DUMMYFUNCTION("""COMPUTED_VALUE"""),0)</f>
        <v>0</v>
      </c>
      <c r="H3117" s="7">
        <f ca="1">IFERROR(__xludf.DUMMYFUNCTION("""COMPUTED_VALUE"""),500000)</f>
        <v>500000</v>
      </c>
    </row>
    <row r="3118" spans="1:8" ht="13" x14ac:dyDescent="0.15">
      <c r="A3118" s="5" t="str">
        <f ca="1">IFERROR(__xludf.DUMMYFUNCTION("""COMPUTED_VALUE"""),"52981")</f>
        <v>52981</v>
      </c>
      <c r="B3118" s="51">
        <f ca="1">IFERROR(__xludf.DUMMYFUNCTION("""COMPUTED_VALUE"""),44629)</f>
        <v>44629</v>
      </c>
      <c r="C3118" s="22">
        <f ca="1">IFERROR(__xludf.DUMMYFUNCTION("""COMPUTED_VALUE"""),500000)</f>
        <v>500000</v>
      </c>
      <c r="D3118" s="22">
        <f ca="1">IFERROR(__xludf.DUMMYFUNCTION("""COMPUTED_VALUE"""),0)</f>
        <v>0</v>
      </c>
      <c r="E3118" s="22">
        <f ca="1">IFERROR(__xludf.DUMMYFUNCTION("""COMPUTED_VALUE"""),500000)</f>
        <v>500000</v>
      </c>
      <c r="F3118" s="22">
        <f ca="1">IFERROR(__xludf.DUMMYFUNCTION("""COMPUTED_VALUE"""),500000)</f>
        <v>500000</v>
      </c>
      <c r="G3118" s="22">
        <f ca="1">IFERROR(__xludf.DUMMYFUNCTION("""COMPUTED_VALUE"""),0)</f>
        <v>0</v>
      </c>
      <c r="H3118" s="7">
        <f ca="1">IFERROR(__xludf.DUMMYFUNCTION("""COMPUTED_VALUE"""),500000)</f>
        <v>500000</v>
      </c>
    </row>
    <row r="3119" spans="1:8" ht="13" x14ac:dyDescent="0.15">
      <c r="A3119" s="5" t="str">
        <f ca="1">IFERROR(__xludf.DUMMYFUNCTION("""COMPUTED_VALUE"""),"52981")</f>
        <v>52981</v>
      </c>
      <c r="B3119" s="51">
        <f ca="1">IFERROR(__xludf.DUMMYFUNCTION("""COMPUTED_VALUE"""),44630)</f>
        <v>44630</v>
      </c>
      <c r="C3119" s="22">
        <f ca="1">IFERROR(__xludf.DUMMYFUNCTION("""COMPUTED_VALUE"""),500000)</f>
        <v>500000</v>
      </c>
      <c r="D3119" s="22">
        <f ca="1">IFERROR(__xludf.DUMMYFUNCTION("""COMPUTED_VALUE"""),0)</f>
        <v>0</v>
      </c>
      <c r="E3119" s="22">
        <f ca="1">IFERROR(__xludf.DUMMYFUNCTION("""COMPUTED_VALUE"""),500000)</f>
        <v>500000</v>
      </c>
      <c r="F3119" s="22">
        <f ca="1">IFERROR(__xludf.DUMMYFUNCTION("""COMPUTED_VALUE"""),500000)</f>
        <v>500000</v>
      </c>
      <c r="G3119" s="22">
        <f ca="1">IFERROR(__xludf.DUMMYFUNCTION("""COMPUTED_VALUE"""),0)</f>
        <v>0</v>
      </c>
      <c r="H3119" s="7">
        <f ca="1">IFERROR(__xludf.DUMMYFUNCTION("""COMPUTED_VALUE"""),500000)</f>
        <v>500000</v>
      </c>
    </row>
    <row r="3120" spans="1:8" ht="13" x14ac:dyDescent="0.15">
      <c r="A3120" s="5" t="str">
        <f ca="1">IFERROR(__xludf.DUMMYFUNCTION("""COMPUTED_VALUE"""),"52981")</f>
        <v>52981</v>
      </c>
      <c r="B3120" s="51">
        <f ca="1">IFERROR(__xludf.DUMMYFUNCTION("""COMPUTED_VALUE"""),44631)</f>
        <v>44631</v>
      </c>
      <c r="C3120" s="22">
        <f ca="1">IFERROR(__xludf.DUMMYFUNCTION("""COMPUTED_VALUE"""),500000)</f>
        <v>500000</v>
      </c>
      <c r="D3120" s="22">
        <f ca="1">IFERROR(__xludf.DUMMYFUNCTION("""COMPUTED_VALUE"""),0)</f>
        <v>0</v>
      </c>
      <c r="E3120" s="22">
        <f ca="1">IFERROR(__xludf.DUMMYFUNCTION("""COMPUTED_VALUE"""),500000)</f>
        <v>500000</v>
      </c>
      <c r="F3120" s="22">
        <f ca="1">IFERROR(__xludf.DUMMYFUNCTION("""COMPUTED_VALUE"""),500000)</f>
        <v>500000</v>
      </c>
      <c r="G3120" s="22">
        <f ca="1">IFERROR(__xludf.DUMMYFUNCTION("""COMPUTED_VALUE"""),0)</f>
        <v>0</v>
      </c>
      <c r="H3120" s="7">
        <f ca="1">IFERROR(__xludf.DUMMYFUNCTION("""COMPUTED_VALUE"""),500000)</f>
        <v>500000</v>
      </c>
    </row>
    <row r="3121" spans="1:8" ht="13" x14ac:dyDescent="0.15">
      <c r="A3121" s="5" t="str">
        <f ca="1">IFERROR(__xludf.DUMMYFUNCTION("""COMPUTED_VALUE"""),"52981")</f>
        <v>52981</v>
      </c>
      <c r="B3121" s="51">
        <f ca="1">IFERROR(__xludf.DUMMYFUNCTION("""COMPUTED_VALUE"""),44632)</f>
        <v>44632</v>
      </c>
      <c r="C3121" s="22">
        <f ca="1">IFERROR(__xludf.DUMMYFUNCTION("""COMPUTED_VALUE"""),500000)</f>
        <v>500000</v>
      </c>
      <c r="D3121" s="22">
        <f ca="1">IFERROR(__xludf.DUMMYFUNCTION("""COMPUTED_VALUE"""),0)</f>
        <v>0</v>
      </c>
      <c r="E3121" s="22">
        <f ca="1">IFERROR(__xludf.DUMMYFUNCTION("""COMPUTED_VALUE"""),500000)</f>
        <v>500000</v>
      </c>
      <c r="F3121" s="22">
        <f ca="1">IFERROR(__xludf.DUMMYFUNCTION("""COMPUTED_VALUE"""),500000)</f>
        <v>500000</v>
      </c>
      <c r="G3121" s="22">
        <f ca="1">IFERROR(__xludf.DUMMYFUNCTION("""COMPUTED_VALUE"""),0)</f>
        <v>0</v>
      </c>
      <c r="H3121" s="7">
        <f ca="1">IFERROR(__xludf.DUMMYFUNCTION("""COMPUTED_VALUE"""),500000)</f>
        <v>500000</v>
      </c>
    </row>
    <row r="3122" spans="1:8" ht="13" x14ac:dyDescent="0.15">
      <c r="A3122" s="5" t="str">
        <f ca="1">IFERROR(__xludf.DUMMYFUNCTION("""COMPUTED_VALUE"""),"52981")</f>
        <v>52981</v>
      </c>
      <c r="B3122" s="51">
        <f ca="1">IFERROR(__xludf.DUMMYFUNCTION("""COMPUTED_VALUE"""),44633)</f>
        <v>44633</v>
      </c>
      <c r="C3122" s="22">
        <f ca="1">IFERROR(__xludf.DUMMYFUNCTION("""COMPUTED_VALUE"""),500000)</f>
        <v>500000</v>
      </c>
      <c r="D3122" s="22">
        <f ca="1">IFERROR(__xludf.DUMMYFUNCTION("""COMPUTED_VALUE"""),0)</f>
        <v>0</v>
      </c>
      <c r="E3122" s="22">
        <f ca="1">IFERROR(__xludf.DUMMYFUNCTION("""COMPUTED_VALUE"""),500000)</f>
        <v>500000</v>
      </c>
      <c r="F3122" s="22">
        <f ca="1">IFERROR(__xludf.DUMMYFUNCTION("""COMPUTED_VALUE"""),500000)</f>
        <v>500000</v>
      </c>
      <c r="G3122" s="22">
        <f ca="1">IFERROR(__xludf.DUMMYFUNCTION("""COMPUTED_VALUE"""),0)</f>
        <v>0</v>
      </c>
      <c r="H3122" s="7">
        <f ca="1">IFERROR(__xludf.DUMMYFUNCTION("""COMPUTED_VALUE"""),500000)</f>
        <v>500000</v>
      </c>
    </row>
    <row r="3123" spans="1:8" ht="13" x14ac:dyDescent="0.15">
      <c r="A3123" s="5" t="str">
        <f ca="1">IFERROR(__xludf.DUMMYFUNCTION("""COMPUTED_VALUE"""),"52981")</f>
        <v>52981</v>
      </c>
      <c r="B3123" s="51">
        <f ca="1">IFERROR(__xludf.DUMMYFUNCTION("""COMPUTED_VALUE"""),44634)</f>
        <v>44634</v>
      </c>
      <c r="C3123" s="22">
        <f ca="1">IFERROR(__xludf.DUMMYFUNCTION("""COMPUTED_VALUE"""),500000)</f>
        <v>500000</v>
      </c>
      <c r="D3123" s="22">
        <f ca="1">IFERROR(__xludf.DUMMYFUNCTION("""COMPUTED_VALUE"""),0)</f>
        <v>0</v>
      </c>
      <c r="E3123" s="22">
        <f ca="1">IFERROR(__xludf.DUMMYFUNCTION("""COMPUTED_VALUE"""),500000)</f>
        <v>500000</v>
      </c>
      <c r="F3123" s="22">
        <f ca="1">IFERROR(__xludf.DUMMYFUNCTION("""COMPUTED_VALUE"""),500000)</f>
        <v>500000</v>
      </c>
      <c r="G3123" s="22">
        <f ca="1">IFERROR(__xludf.DUMMYFUNCTION("""COMPUTED_VALUE"""),0)</f>
        <v>0</v>
      </c>
      <c r="H3123" s="7">
        <f ca="1">IFERROR(__xludf.DUMMYFUNCTION("""COMPUTED_VALUE"""),500000)</f>
        <v>500000</v>
      </c>
    </row>
    <row r="3124" spans="1:8" ht="13" x14ac:dyDescent="0.15">
      <c r="A3124" s="5" t="str">
        <f ca="1">IFERROR(__xludf.DUMMYFUNCTION("""COMPUTED_VALUE"""),"52981")</f>
        <v>52981</v>
      </c>
      <c r="B3124" s="51">
        <f ca="1">IFERROR(__xludf.DUMMYFUNCTION("""COMPUTED_VALUE"""),44635)</f>
        <v>44635</v>
      </c>
      <c r="C3124" s="22">
        <f ca="1">IFERROR(__xludf.DUMMYFUNCTION("""COMPUTED_VALUE"""),500000)</f>
        <v>500000</v>
      </c>
      <c r="D3124" s="22">
        <f ca="1">IFERROR(__xludf.DUMMYFUNCTION("""COMPUTED_VALUE"""),0)</f>
        <v>0</v>
      </c>
      <c r="E3124" s="22">
        <f ca="1">IFERROR(__xludf.DUMMYFUNCTION("""COMPUTED_VALUE"""),500000)</f>
        <v>500000</v>
      </c>
      <c r="F3124" s="22">
        <f ca="1">IFERROR(__xludf.DUMMYFUNCTION("""COMPUTED_VALUE"""),500000)</f>
        <v>500000</v>
      </c>
      <c r="G3124" s="22">
        <f ca="1">IFERROR(__xludf.DUMMYFUNCTION("""COMPUTED_VALUE"""),0)</f>
        <v>0</v>
      </c>
      <c r="H3124" s="7">
        <f ca="1">IFERROR(__xludf.DUMMYFUNCTION("""COMPUTED_VALUE"""),500000)</f>
        <v>500000</v>
      </c>
    </row>
    <row r="3125" spans="1:8" ht="13" x14ac:dyDescent="0.15">
      <c r="A3125" s="5" t="str">
        <f ca="1">IFERROR(__xludf.DUMMYFUNCTION("""COMPUTED_VALUE"""),"52981")</f>
        <v>52981</v>
      </c>
      <c r="B3125" s="51">
        <f ca="1">IFERROR(__xludf.DUMMYFUNCTION("""COMPUTED_VALUE"""),44636)</f>
        <v>44636</v>
      </c>
      <c r="C3125" s="22">
        <f ca="1">IFERROR(__xludf.DUMMYFUNCTION("""COMPUTED_VALUE"""),500000)</f>
        <v>500000</v>
      </c>
      <c r="D3125" s="22">
        <f ca="1">IFERROR(__xludf.DUMMYFUNCTION("""COMPUTED_VALUE"""),0)</f>
        <v>0</v>
      </c>
      <c r="E3125" s="22">
        <f ca="1">IFERROR(__xludf.DUMMYFUNCTION("""COMPUTED_VALUE"""),500000)</f>
        <v>500000</v>
      </c>
      <c r="F3125" s="22">
        <f ca="1">IFERROR(__xludf.DUMMYFUNCTION("""COMPUTED_VALUE"""),500000)</f>
        <v>500000</v>
      </c>
      <c r="G3125" s="22">
        <f ca="1">IFERROR(__xludf.DUMMYFUNCTION("""COMPUTED_VALUE"""),0)</f>
        <v>0</v>
      </c>
      <c r="H3125" s="7">
        <f ca="1">IFERROR(__xludf.DUMMYFUNCTION("""COMPUTED_VALUE"""),500000)</f>
        <v>500000</v>
      </c>
    </row>
    <row r="3126" spans="1:8" ht="13" x14ac:dyDescent="0.15">
      <c r="A3126" s="5" t="str">
        <f ca="1">IFERROR(__xludf.DUMMYFUNCTION("""COMPUTED_VALUE"""),"52981")</f>
        <v>52981</v>
      </c>
      <c r="B3126" s="51">
        <f ca="1">IFERROR(__xludf.DUMMYFUNCTION("""COMPUTED_VALUE"""),44637)</f>
        <v>44637</v>
      </c>
      <c r="C3126" s="22">
        <f ca="1">IFERROR(__xludf.DUMMYFUNCTION("""COMPUTED_VALUE"""),500000)</f>
        <v>500000</v>
      </c>
      <c r="D3126" s="22">
        <f ca="1">IFERROR(__xludf.DUMMYFUNCTION("""COMPUTED_VALUE"""),0)</f>
        <v>0</v>
      </c>
      <c r="E3126" s="22">
        <f ca="1">IFERROR(__xludf.DUMMYFUNCTION("""COMPUTED_VALUE"""),500000)</f>
        <v>500000</v>
      </c>
      <c r="F3126" s="22">
        <f ca="1">IFERROR(__xludf.DUMMYFUNCTION("""COMPUTED_VALUE"""),500000)</f>
        <v>500000</v>
      </c>
      <c r="G3126" s="22">
        <f ca="1">IFERROR(__xludf.DUMMYFUNCTION("""COMPUTED_VALUE"""),0)</f>
        <v>0</v>
      </c>
      <c r="H3126" s="7">
        <f ca="1">IFERROR(__xludf.DUMMYFUNCTION("""COMPUTED_VALUE"""),500000)</f>
        <v>500000</v>
      </c>
    </row>
    <row r="3127" spans="1:8" ht="13" x14ac:dyDescent="0.15">
      <c r="A3127" s="5" t="str">
        <f ca="1">IFERROR(__xludf.DUMMYFUNCTION("""COMPUTED_VALUE"""),"52981")</f>
        <v>52981</v>
      </c>
      <c r="B3127" s="51">
        <f ca="1">IFERROR(__xludf.DUMMYFUNCTION("""COMPUTED_VALUE"""),44638)</f>
        <v>44638</v>
      </c>
      <c r="C3127" s="22">
        <f ca="1">IFERROR(__xludf.DUMMYFUNCTION("""COMPUTED_VALUE"""),500000)</f>
        <v>500000</v>
      </c>
      <c r="D3127" s="22">
        <f ca="1">IFERROR(__xludf.DUMMYFUNCTION("""COMPUTED_VALUE"""),0)</f>
        <v>0</v>
      </c>
      <c r="E3127" s="22">
        <f ca="1">IFERROR(__xludf.DUMMYFUNCTION("""COMPUTED_VALUE"""),500000)</f>
        <v>500000</v>
      </c>
      <c r="F3127" s="22">
        <f ca="1">IFERROR(__xludf.DUMMYFUNCTION("""COMPUTED_VALUE"""),500000)</f>
        <v>500000</v>
      </c>
      <c r="G3127" s="22">
        <f ca="1">IFERROR(__xludf.DUMMYFUNCTION("""COMPUTED_VALUE"""),0)</f>
        <v>0</v>
      </c>
      <c r="H3127" s="7">
        <f ca="1">IFERROR(__xludf.DUMMYFUNCTION("""COMPUTED_VALUE"""),500000)</f>
        <v>500000</v>
      </c>
    </row>
    <row r="3128" spans="1:8" ht="13" x14ac:dyDescent="0.15">
      <c r="A3128" s="5" t="str">
        <f ca="1">IFERROR(__xludf.DUMMYFUNCTION("""COMPUTED_VALUE"""),"52981")</f>
        <v>52981</v>
      </c>
      <c r="B3128" s="51">
        <f ca="1">IFERROR(__xludf.DUMMYFUNCTION("""COMPUTED_VALUE"""),44639)</f>
        <v>44639</v>
      </c>
      <c r="C3128" s="22">
        <f ca="1">IFERROR(__xludf.DUMMYFUNCTION("""COMPUTED_VALUE"""),500000)</f>
        <v>500000</v>
      </c>
      <c r="D3128" s="22">
        <f ca="1">IFERROR(__xludf.DUMMYFUNCTION("""COMPUTED_VALUE"""),0)</f>
        <v>0</v>
      </c>
      <c r="E3128" s="22">
        <f ca="1">IFERROR(__xludf.DUMMYFUNCTION("""COMPUTED_VALUE"""),500000)</f>
        <v>500000</v>
      </c>
      <c r="F3128" s="22">
        <f ca="1">IFERROR(__xludf.DUMMYFUNCTION("""COMPUTED_VALUE"""),500000)</f>
        <v>500000</v>
      </c>
      <c r="G3128" s="22">
        <f ca="1">IFERROR(__xludf.DUMMYFUNCTION("""COMPUTED_VALUE"""),0)</f>
        <v>0</v>
      </c>
      <c r="H3128" s="7">
        <f ca="1">IFERROR(__xludf.DUMMYFUNCTION("""COMPUTED_VALUE"""),500000)</f>
        <v>500000</v>
      </c>
    </row>
    <row r="3129" spans="1:8" ht="13" x14ac:dyDescent="0.15">
      <c r="A3129" s="5" t="str">
        <f ca="1">IFERROR(__xludf.DUMMYFUNCTION("""COMPUTED_VALUE"""),"52981")</f>
        <v>52981</v>
      </c>
      <c r="B3129" s="51">
        <f ca="1">IFERROR(__xludf.DUMMYFUNCTION("""COMPUTED_VALUE"""),44640)</f>
        <v>44640</v>
      </c>
      <c r="C3129" s="22">
        <f ca="1">IFERROR(__xludf.DUMMYFUNCTION("""COMPUTED_VALUE"""),500000)</f>
        <v>500000</v>
      </c>
      <c r="D3129" s="22">
        <f ca="1">IFERROR(__xludf.DUMMYFUNCTION("""COMPUTED_VALUE"""),0)</f>
        <v>0</v>
      </c>
      <c r="E3129" s="22">
        <f ca="1">IFERROR(__xludf.DUMMYFUNCTION("""COMPUTED_VALUE"""),500000)</f>
        <v>500000</v>
      </c>
      <c r="F3129" s="22">
        <f ca="1">IFERROR(__xludf.DUMMYFUNCTION("""COMPUTED_VALUE"""),500000)</f>
        <v>500000</v>
      </c>
      <c r="G3129" s="22">
        <f ca="1">IFERROR(__xludf.DUMMYFUNCTION("""COMPUTED_VALUE"""),0)</f>
        <v>0</v>
      </c>
      <c r="H3129" s="7">
        <f ca="1">IFERROR(__xludf.DUMMYFUNCTION("""COMPUTED_VALUE"""),500000)</f>
        <v>500000</v>
      </c>
    </row>
    <row r="3130" spans="1:8" ht="13" x14ac:dyDescent="0.15">
      <c r="A3130" s="5" t="str">
        <f ca="1">IFERROR(__xludf.DUMMYFUNCTION("""COMPUTED_VALUE"""),"52981")</f>
        <v>52981</v>
      </c>
      <c r="B3130" s="51">
        <f ca="1">IFERROR(__xludf.DUMMYFUNCTION("""COMPUTED_VALUE"""),44641)</f>
        <v>44641</v>
      </c>
      <c r="C3130" s="22">
        <f ca="1">IFERROR(__xludf.DUMMYFUNCTION("""COMPUTED_VALUE"""),500000)</f>
        <v>500000</v>
      </c>
      <c r="D3130" s="22">
        <f ca="1">IFERROR(__xludf.DUMMYFUNCTION("""COMPUTED_VALUE"""),0)</f>
        <v>0</v>
      </c>
      <c r="E3130" s="22">
        <f ca="1">IFERROR(__xludf.DUMMYFUNCTION("""COMPUTED_VALUE"""),500000)</f>
        <v>500000</v>
      </c>
      <c r="F3130" s="22">
        <f ca="1">IFERROR(__xludf.DUMMYFUNCTION("""COMPUTED_VALUE"""),500000)</f>
        <v>500000</v>
      </c>
      <c r="G3130" s="22">
        <f ca="1">IFERROR(__xludf.DUMMYFUNCTION("""COMPUTED_VALUE"""),0)</f>
        <v>0</v>
      </c>
      <c r="H3130" s="7">
        <f ca="1">IFERROR(__xludf.DUMMYFUNCTION("""COMPUTED_VALUE"""),500000)</f>
        <v>500000</v>
      </c>
    </row>
    <row r="3131" spans="1:8" ht="13" x14ac:dyDescent="0.15">
      <c r="A3131" s="5" t="str">
        <f ca="1">IFERROR(__xludf.DUMMYFUNCTION("""COMPUTED_VALUE"""),"52981")</f>
        <v>52981</v>
      </c>
      <c r="B3131" s="51">
        <f ca="1">IFERROR(__xludf.DUMMYFUNCTION("""COMPUTED_VALUE"""),44642)</f>
        <v>44642</v>
      </c>
      <c r="C3131" s="22">
        <f ca="1">IFERROR(__xludf.DUMMYFUNCTION("""COMPUTED_VALUE"""),500000)</f>
        <v>500000</v>
      </c>
      <c r="D3131" s="22">
        <f ca="1">IFERROR(__xludf.DUMMYFUNCTION("""COMPUTED_VALUE"""),0)</f>
        <v>0</v>
      </c>
      <c r="E3131" s="22">
        <f ca="1">IFERROR(__xludf.DUMMYFUNCTION("""COMPUTED_VALUE"""),500000)</f>
        <v>500000</v>
      </c>
      <c r="F3131" s="22">
        <f ca="1">IFERROR(__xludf.DUMMYFUNCTION("""COMPUTED_VALUE"""),500000)</f>
        <v>500000</v>
      </c>
      <c r="G3131" s="22">
        <f ca="1">IFERROR(__xludf.DUMMYFUNCTION("""COMPUTED_VALUE"""),0)</f>
        <v>0</v>
      </c>
      <c r="H3131" s="7">
        <f ca="1">IFERROR(__xludf.DUMMYFUNCTION("""COMPUTED_VALUE"""),500000)</f>
        <v>500000</v>
      </c>
    </row>
    <row r="3132" spans="1:8" ht="13" x14ac:dyDescent="0.15">
      <c r="A3132" s="5" t="str">
        <f ca="1">IFERROR(__xludf.DUMMYFUNCTION("""COMPUTED_VALUE"""),"56118")</f>
        <v>56118</v>
      </c>
      <c r="B3132" s="51">
        <f ca="1">IFERROR(__xludf.DUMMYFUNCTION("""COMPUTED_VALUE"""),44597)</f>
        <v>44597</v>
      </c>
      <c r="C3132" s="22">
        <f ca="1">IFERROR(__xludf.DUMMYFUNCTION("""COMPUTED_VALUE"""),500000)</f>
        <v>500000</v>
      </c>
      <c r="D3132" s="22">
        <f ca="1">IFERROR(__xludf.DUMMYFUNCTION("""COMPUTED_VALUE"""),0)</f>
        <v>0</v>
      </c>
      <c r="E3132" s="22">
        <f ca="1">IFERROR(__xludf.DUMMYFUNCTION("""COMPUTED_VALUE"""),500000)</f>
        <v>500000</v>
      </c>
      <c r="F3132" s="22">
        <f ca="1">IFERROR(__xludf.DUMMYFUNCTION("""COMPUTED_VALUE"""),500000)</f>
        <v>500000</v>
      </c>
      <c r="G3132" s="22">
        <f ca="1">IFERROR(__xludf.DUMMYFUNCTION("""COMPUTED_VALUE"""),0)</f>
        <v>0</v>
      </c>
      <c r="H3132" s="7">
        <f ca="1">IFERROR(__xludf.DUMMYFUNCTION("""COMPUTED_VALUE"""),500000)</f>
        <v>500000</v>
      </c>
    </row>
    <row r="3133" spans="1:8" ht="13" x14ac:dyDescent="0.15">
      <c r="A3133" s="5" t="str">
        <f ca="1">IFERROR(__xludf.DUMMYFUNCTION("""COMPUTED_VALUE"""),"56118")</f>
        <v>56118</v>
      </c>
      <c r="B3133" s="51">
        <f ca="1">IFERROR(__xludf.DUMMYFUNCTION("""COMPUTED_VALUE"""),44598)</f>
        <v>44598</v>
      </c>
      <c r="C3133" s="22">
        <f ca="1">IFERROR(__xludf.DUMMYFUNCTION("""COMPUTED_VALUE"""),500000)</f>
        <v>500000</v>
      </c>
      <c r="D3133" s="22">
        <f ca="1">IFERROR(__xludf.DUMMYFUNCTION("""COMPUTED_VALUE"""),0)</f>
        <v>0</v>
      </c>
      <c r="E3133" s="22">
        <f ca="1">IFERROR(__xludf.DUMMYFUNCTION("""COMPUTED_VALUE"""),500000)</f>
        <v>500000</v>
      </c>
      <c r="F3133" s="22">
        <f ca="1">IFERROR(__xludf.DUMMYFUNCTION("""COMPUTED_VALUE"""),500000)</f>
        <v>500000</v>
      </c>
      <c r="G3133" s="22">
        <f ca="1">IFERROR(__xludf.DUMMYFUNCTION("""COMPUTED_VALUE"""),0)</f>
        <v>0</v>
      </c>
      <c r="H3133" s="7">
        <f ca="1">IFERROR(__xludf.DUMMYFUNCTION("""COMPUTED_VALUE"""),500000)</f>
        <v>500000</v>
      </c>
    </row>
    <row r="3134" spans="1:8" ht="13" x14ac:dyDescent="0.15">
      <c r="A3134" s="5" t="str">
        <f ca="1">IFERROR(__xludf.DUMMYFUNCTION("""COMPUTED_VALUE"""),"56118")</f>
        <v>56118</v>
      </c>
      <c r="B3134" s="51">
        <f ca="1">IFERROR(__xludf.DUMMYFUNCTION("""COMPUTED_VALUE"""),44599)</f>
        <v>44599</v>
      </c>
      <c r="C3134" s="22">
        <f ca="1">IFERROR(__xludf.DUMMYFUNCTION("""COMPUTED_VALUE"""),500000)</f>
        <v>500000</v>
      </c>
      <c r="D3134" s="22">
        <f ca="1">IFERROR(__xludf.DUMMYFUNCTION("""COMPUTED_VALUE"""),0)</f>
        <v>0</v>
      </c>
      <c r="E3134" s="22">
        <f ca="1">IFERROR(__xludf.DUMMYFUNCTION("""COMPUTED_VALUE"""),500000)</f>
        <v>500000</v>
      </c>
      <c r="F3134" s="22">
        <f ca="1">IFERROR(__xludf.DUMMYFUNCTION("""COMPUTED_VALUE"""),500000)</f>
        <v>500000</v>
      </c>
      <c r="G3134" s="22">
        <f ca="1">IFERROR(__xludf.DUMMYFUNCTION("""COMPUTED_VALUE"""),0)</f>
        <v>0</v>
      </c>
      <c r="H3134" s="7">
        <f ca="1">IFERROR(__xludf.DUMMYFUNCTION("""COMPUTED_VALUE"""),500000)</f>
        <v>500000</v>
      </c>
    </row>
    <row r="3135" spans="1:8" ht="13" x14ac:dyDescent="0.15">
      <c r="A3135" s="5" t="str">
        <f ca="1">IFERROR(__xludf.DUMMYFUNCTION("""COMPUTED_VALUE"""),"56118")</f>
        <v>56118</v>
      </c>
      <c r="B3135" s="51">
        <f ca="1">IFERROR(__xludf.DUMMYFUNCTION("""COMPUTED_VALUE"""),44600)</f>
        <v>44600</v>
      </c>
      <c r="C3135" s="22">
        <f ca="1">IFERROR(__xludf.DUMMYFUNCTION("""COMPUTED_VALUE"""),500000)</f>
        <v>500000</v>
      </c>
      <c r="D3135" s="22">
        <f ca="1">IFERROR(__xludf.DUMMYFUNCTION("""COMPUTED_VALUE"""),0)</f>
        <v>0</v>
      </c>
      <c r="E3135" s="22">
        <f ca="1">IFERROR(__xludf.DUMMYFUNCTION("""COMPUTED_VALUE"""),500000)</f>
        <v>500000</v>
      </c>
      <c r="F3135" s="22">
        <f ca="1">IFERROR(__xludf.DUMMYFUNCTION("""COMPUTED_VALUE"""),500000)</f>
        <v>500000</v>
      </c>
      <c r="G3135" s="22">
        <f ca="1">IFERROR(__xludf.DUMMYFUNCTION("""COMPUTED_VALUE"""),0)</f>
        <v>0</v>
      </c>
      <c r="H3135" s="7">
        <f ca="1">IFERROR(__xludf.DUMMYFUNCTION("""COMPUTED_VALUE"""),500000)</f>
        <v>500000</v>
      </c>
    </row>
    <row r="3136" spans="1:8" ht="13" x14ac:dyDescent="0.15">
      <c r="A3136" s="5" t="str">
        <f ca="1">IFERROR(__xludf.DUMMYFUNCTION("""COMPUTED_VALUE"""),"56118")</f>
        <v>56118</v>
      </c>
      <c r="B3136" s="51">
        <f ca="1">IFERROR(__xludf.DUMMYFUNCTION("""COMPUTED_VALUE"""),44601)</f>
        <v>44601</v>
      </c>
      <c r="C3136" s="22">
        <f ca="1">IFERROR(__xludf.DUMMYFUNCTION("""COMPUTED_VALUE"""),500000)</f>
        <v>500000</v>
      </c>
      <c r="D3136" s="22">
        <f ca="1">IFERROR(__xludf.DUMMYFUNCTION("""COMPUTED_VALUE"""),0)</f>
        <v>0</v>
      </c>
      <c r="E3136" s="22">
        <f ca="1">IFERROR(__xludf.DUMMYFUNCTION("""COMPUTED_VALUE"""),500000)</f>
        <v>500000</v>
      </c>
      <c r="F3136" s="22">
        <f ca="1">IFERROR(__xludf.DUMMYFUNCTION("""COMPUTED_VALUE"""),500000)</f>
        <v>500000</v>
      </c>
      <c r="G3136" s="22">
        <f ca="1">IFERROR(__xludf.DUMMYFUNCTION("""COMPUTED_VALUE"""),0)</f>
        <v>0</v>
      </c>
      <c r="H3136" s="7">
        <f ca="1">IFERROR(__xludf.DUMMYFUNCTION("""COMPUTED_VALUE"""),500000)</f>
        <v>500000</v>
      </c>
    </row>
    <row r="3137" spans="1:8" ht="13" x14ac:dyDescent="0.15">
      <c r="A3137" s="5" t="str">
        <f ca="1">IFERROR(__xludf.DUMMYFUNCTION("""COMPUTED_VALUE"""),"56118")</f>
        <v>56118</v>
      </c>
      <c r="B3137" s="51">
        <f ca="1">IFERROR(__xludf.DUMMYFUNCTION("""COMPUTED_VALUE"""),44602)</f>
        <v>44602</v>
      </c>
      <c r="C3137" s="22">
        <f ca="1">IFERROR(__xludf.DUMMYFUNCTION("""COMPUTED_VALUE"""),500000)</f>
        <v>500000</v>
      </c>
      <c r="D3137" s="22">
        <f ca="1">IFERROR(__xludf.DUMMYFUNCTION("""COMPUTED_VALUE"""),0)</f>
        <v>0</v>
      </c>
      <c r="E3137" s="22">
        <f ca="1">IFERROR(__xludf.DUMMYFUNCTION("""COMPUTED_VALUE"""),500000)</f>
        <v>500000</v>
      </c>
      <c r="F3137" s="22">
        <f ca="1">IFERROR(__xludf.DUMMYFUNCTION("""COMPUTED_VALUE"""),500000)</f>
        <v>500000</v>
      </c>
      <c r="G3137" s="22">
        <f ca="1">IFERROR(__xludf.DUMMYFUNCTION("""COMPUTED_VALUE"""),0)</f>
        <v>0</v>
      </c>
      <c r="H3137" s="7">
        <f ca="1">IFERROR(__xludf.DUMMYFUNCTION("""COMPUTED_VALUE"""),500000)</f>
        <v>500000</v>
      </c>
    </row>
    <row r="3138" spans="1:8" ht="13" x14ac:dyDescent="0.15">
      <c r="A3138" s="5" t="str">
        <f ca="1">IFERROR(__xludf.DUMMYFUNCTION("""COMPUTED_VALUE"""),"56118")</f>
        <v>56118</v>
      </c>
      <c r="B3138" s="51">
        <f ca="1">IFERROR(__xludf.DUMMYFUNCTION("""COMPUTED_VALUE"""),44603)</f>
        <v>44603</v>
      </c>
      <c r="C3138" s="22">
        <f ca="1">IFERROR(__xludf.DUMMYFUNCTION("""COMPUTED_VALUE"""),500000)</f>
        <v>500000</v>
      </c>
      <c r="D3138" s="22">
        <f ca="1">IFERROR(__xludf.DUMMYFUNCTION("""COMPUTED_VALUE"""),0)</f>
        <v>0</v>
      </c>
      <c r="E3138" s="22">
        <f ca="1">IFERROR(__xludf.DUMMYFUNCTION("""COMPUTED_VALUE"""),500000)</f>
        <v>500000</v>
      </c>
      <c r="F3138" s="22">
        <f ca="1">IFERROR(__xludf.DUMMYFUNCTION("""COMPUTED_VALUE"""),500000)</f>
        <v>500000</v>
      </c>
      <c r="G3138" s="22">
        <f ca="1">IFERROR(__xludf.DUMMYFUNCTION("""COMPUTED_VALUE"""),0)</f>
        <v>0</v>
      </c>
      <c r="H3138" s="7">
        <f ca="1">IFERROR(__xludf.DUMMYFUNCTION("""COMPUTED_VALUE"""),500000)</f>
        <v>500000</v>
      </c>
    </row>
    <row r="3139" spans="1:8" ht="13" x14ac:dyDescent="0.15">
      <c r="A3139" s="5" t="str">
        <f ca="1">IFERROR(__xludf.DUMMYFUNCTION("""COMPUTED_VALUE"""),"56118")</f>
        <v>56118</v>
      </c>
      <c r="B3139" s="51">
        <f ca="1">IFERROR(__xludf.DUMMYFUNCTION("""COMPUTED_VALUE"""),44604)</f>
        <v>44604</v>
      </c>
      <c r="C3139" s="22">
        <f ca="1">IFERROR(__xludf.DUMMYFUNCTION("""COMPUTED_VALUE"""),500000)</f>
        <v>500000</v>
      </c>
      <c r="D3139" s="22">
        <f ca="1">IFERROR(__xludf.DUMMYFUNCTION("""COMPUTED_VALUE"""),0)</f>
        <v>0</v>
      </c>
      <c r="E3139" s="22">
        <f ca="1">IFERROR(__xludf.DUMMYFUNCTION("""COMPUTED_VALUE"""),500000)</f>
        <v>500000</v>
      </c>
      <c r="F3139" s="22">
        <f ca="1">IFERROR(__xludf.DUMMYFUNCTION("""COMPUTED_VALUE"""),500000)</f>
        <v>500000</v>
      </c>
      <c r="G3139" s="22">
        <f ca="1">IFERROR(__xludf.DUMMYFUNCTION("""COMPUTED_VALUE"""),0)</f>
        <v>0</v>
      </c>
      <c r="H3139" s="7">
        <f ca="1">IFERROR(__xludf.DUMMYFUNCTION("""COMPUTED_VALUE"""),500000)</f>
        <v>500000</v>
      </c>
    </row>
    <row r="3140" spans="1:8" ht="13" x14ac:dyDescent="0.15">
      <c r="A3140" s="5" t="str">
        <f ca="1">IFERROR(__xludf.DUMMYFUNCTION("""COMPUTED_VALUE"""),"56118")</f>
        <v>56118</v>
      </c>
      <c r="B3140" s="51">
        <f ca="1">IFERROR(__xludf.DUMMYFUNCTION("""COMPUTED_VALUE"""),44605)</f>
        <v>44605</v>
      </c>
      <c r="C3140" s="22">
        <f ca="1">IFERROR(__xludf.DUMMYFUNCTION("""COMPUTED_VALUE"""),500000)</f>
        <v>500000</v>
      </c>
      <c r="D3140" s="22">
        <f ca="1">IFERROR(__xludf.DUMMYFUNCTION("""COMPUTED_VALUE"""),0)</f>
        <v>0</v>
      </c>
      <c r="E3140" s="22">
        <f ca="1">IFERROR(__xludf.DUMMYFUNCTION("""COMPUTED_VALUE"""),500000)</f>
        <v>500000</v>
      </c>
      <c r="F3140" s="22">
        <f ca="1">IFERROR(__xludf.DUMMYFUNCTION("""COMPUTED_VALUE"""),500000)</f>
        <v>500000</v>
      </c>
      <c r="G3140" s="22">
        <f ca="1">IFERROR(__xludf.DUMMYFUNCTION("""COMPUTED_VALUE"""),0)</f>
        <v>0</v>
      </c>
      <c r="H3140" s="7">
        <f ca="1">IFERROR(__xludf.DUMMYFUNCTION("""COMPUTED_VALUE"""),500000)</f>
        <v>500000</v>
      </c>
    </row>
    <row r="3141" spans="1:8" ht="13" x14ac:dyDescent="0.15">
      <c r="A3141" s="5" t="str">
        <f ca="1">IFERROR(__xludf.DUMMYFUNCTION("""COMPUTED_VALUE"""),"56118")</f>
        <v>56118</v>
      </c>
      <c r="B3141" s="51">
        <f ca="1">IFERROR(__xludf.DUMMYFUNCTION("""COMPUTED_VALUE"""),44606)</f>
        <v>44606</v>
      </c>
      <c r="C3141" s="22">
        <f ca="1">IFERROR(__xludf.DUMMYFUNCTION("""COMPUTED_VALUE"""),500000)</f>
        <v>500000</v>
      </c>
      <c r="D3141" s="22">
        <f ca="1">IFERROR(__xludf.DUMMYFUNCTION("""COMPUTED_VALUE"""),0)</f>
        <v>0</v>
      </c>
      <c r="E3141" s="22">
        <f ca="1">IFERROR(__xludf.DUMMYFUNCTION("""COMPUTED_VALUE"""),500000)</f>
        <v>500000</v>
      </c>
      <c r="F3141" s="22">
        <f ca="1">IFERROR(__xludf.DUMMYFUNCTION("""COMPUTED_VALUE"""),500000)</f>
        <v>500000</v>
      </c>
      <c r="G3141" s="22">
        <f ca="1">IFERROR(__xludf.DUMMYFUNCTION("""COMPUTED_VALUE"""),0)</f>
        <v>0</v>
      </c>
      <c r="H3141" s="7">
        <f ca="1">IFERROR(__xludf.DUMMYFUNCTION("""COMPUTED_VALUE"""),500000)</f>
        <v>500000</v>
      </c>
    </row>
    <row r="3142" spans="1:8" ht="13" x14ac:dyDescent="0.15">
      <c r="A3142" s="5" t="str">
        <f ca="1">IFERROR(__xludf.DUMMYFUNCTION("""COMPUTED_VALUE"""),"56118")</f>
        <v>56118</v>
      </c>
      <c r="B3142" s="51">
        <f ca="1">IFERROR(__xludf.DUMMYFUNCTION("""COMPUTED_VALUE"""),44607)</f>
        <v>44607</v>
      </c>
      <c r="C3142" s="22">
        <f ca="1">IFERROR(__xludf.DUMMYFUNCTION("""COMPUTED_VALUE"""),500000)</f>
        <v>500000</v>
      </c>
      <c r="D3142" s="22">
        <f ca="1">IFERROR(__xludf.DUMMYFUNCTION("""COMPUTED_VALUE"""),0)</f>
        <v>0</v>
      </c>
      <c r="E3142" s="22">
        <f ca="1">IFERROR(__xludf.DUMMYFUNCTION("""COMPUTED_VALUE"""),500000)</f>
        <v>500000</v>
      </c>
      <c r="F3142" s="22">
        <f ca="1">IFERROR(__xludf.DUMMYFUNCTION("""COMPUTED_VALUE"""),500000)</f>
        <v>500000</v>
      </c>
      <c r="G3142" s="22">
        <f ca="1">IFERROR(__xludf.DUMMYFUNCTION("""COMPUTED_VALUE"""),0)</f>
        <v>0</v>
      </c>
      <c r="H3142" s="7">
        <f ca="1">IFERROR(__xludf.DUMMYFUNCTION("""COMPUTED_VALUE"""),500000)</f>
        <v>500000</v>
      </c>
    </row>
    <row r="3143" spans="1:8" ht="13" x14ac:dyDescent="0.15">
      <c r="A3143" s="5" t="str">
        <f ca="1">IFERROR(__xludf.DUMMYFUNCTION("""COMPUTED_VALUE"""),"56118")</f>
        <v>56118</v>
      </c>
      <c r="B3143" s="51">
        <f ca="1">IFERROR(__xludf.DUMMYFUNCTION("""COMPUTED_VALUE"""),44608)</f>
        <v>44608</v>
      </c>
      <c r="C3143" s="22">
        <f ca="1">IFERROR(__xludf.DUMMYFUNCTION("""COMPUTED_VALUE"""),500000)</f>
        <v>500000</v>
      </c>
      <c r="D3143" s="22">
        <f ca="1">IFERROR(__xludf.DUMMYFUNCTION("""COMPUTED_VALUE"""),0)</f>
        <v>0</v>
      </c>
      <c r="E3143" s="22">
        <f ca="1">IFERROR(__xludf.DUMMYFUNCTION("""COMPUTED_VALUE"""),500000)</f>
        <v>500000</v>
      </c>
      <c r="F3143" s="22">
        <f ca="1">IFERROR(__xludf.DUMMYFUNCTION("""COMPUTED_VALUE"""),500000)</f>
        <v>500000</v>
      </c>
      <c r="G3143" s="22">
        <f ca="1">IFERROR(__xludf.DUMMYFUNCTION("""COMPUTED_VALUE"""),0)</f>
        <v>0</v>
      </c>
      <c r="H3143" s="7">
        <f ca="1">IFERROR(__xludf.DUMMYFUNCTION("""COMPUTED_VALUE"""),500000)</f>
        <v>500000</v>
      </c>
    </row>
    <row r="3144" spans="1:8" ht="13" x14ac:dyDescent="0.15">
      <c r="A3144" s="5" t="str">
        <f ca="1">IFERROR(__xludf.DUMMYFUNCTION("""COMPUTED_VALUE"""),"56118")</f>
        <v>56118</v>
      </c>
      <c r="B3144" s="51">
        <f ca="1">IFERROR(__xludf.DUMMYFUNCTION("""COMPUTED_VALUE"""),44609)</f>
        <v>44609</v>
      </c>
      <c r="C3144" s="22">
        <f ca="1">IFERROR(__xludf.DUMMYFUNCTION("""COMPUTED_VALUE"""),500000)</f>
        <v>500000</v>
      </c>
      <c r="D3144" s="22">
        <f ca="1">IFERROR(__xludf.DUMMYFUNCTION("""COMPUTED_VALUE"""),0)</f>
        <v>0</v>
      </c>
      <c r="E3144" s="22">
        <f ca="1">IFERROR(__xludf.DUMMYFUNCTION("""COMPUTED_VALUE"""),500000)</f>
        <v>500000</v>
      </c>
      <c r="F3144" s="22">
        <f ca="1">IFERROR(__xludf.DUMMYFUNCTION("""COMPUTED_VALUE"""),500000)</f>
        <v>500000</v>
      </c>
      <c r="G3144" s="22">
        <f ca="1">IFERROR(__xludf.DUMMYFUNCTION("""COMPUTED_VALUE"""),0)</f>
        <v>0</v>
      </c>
      <c r="H3144" s="7">
        <f ca="1">IFERROR(__xludf.DUMMYFUNCTION("""COMPUTED_VALUE"""),500000)</f>
        <v>500000</v>
      </c>
    </row>
    <row r="3145" spans="1:8" ht="13" x14ac:dyDescent="0.15">
      <c r="A3145" s="5" t="str">
        <f ca="1">IFERROR(__xludf.DUMMYFUNCTION("""COMPUTED_VALUE"""),"56118")</f>
        <v>56118</v>
      </c>
      <c r="B3145" s="51">
        <f ca="1">IFERROR(__xludf.DUMMYFUNCTION("""COMPUTED_VALUE"""),44610)</f>
        <v>44610</v>
      </c>
      <c r="C3145" s="22">
        <f ca="1">IFERROR(__xludf.DUMMYFUNCTION("""COMPUTED_VALUE"""),500000)</f>
        <v>500000</v>
      </c>
      <c r="D3145" s="22">
        <f ca="1">IFERROR(__xludf.DUMMYFUNCTION("""COMPUTED_VALUE"""),0)</f>
        <v>0</v>
      </c>
      <c r="E3145" s="22">
        <f ca="1">IFERROR(__xludf.DUMMYFUNCTION("""COMPUTED_VALUE"""),500000)</f>
        <v>500000</v>
      </c>
      <c r="F3145" s="22">
        <f ca="1">IFERROR(__xludf.DUMMYFUNCTION("""COMPUTED_VALUE"""),500000)</f>
        <v>500000</v>
      </c>
      <c r="G3145" s="22">
        <f ca="1">IFERROR(__xludf.DUMMYFUNCTION("""COMPUTED_VALUE"""),0)</f>
        <v>0</v>
      </c>
      <c r="H3145" s="7">
        <f ca="1">IFERROR(__xludf.DUMMYFUNCTION("""COMPUTED_VALUE"""),500000)</f>
        <v>500000</v>
      </c>
    </row>
    <row r="3146" spans="1:8" ht="13" x14ac:dyDescent="0.15">
      <c r="A3146" s="5" t="str">
        <f ca="1">IFERROR(__xludf.DUMMYFUNCTION("""COMPUTED_VALUE"""),"56118")</f>
        <v>56118</v>
      </c>
      <c r="B3146" s="51">
        <f ca="1">IFERROR(__xludf.DUMMYFUNCTION("""COMPUTED_VALUE"""),44611)</f>
        <v>44611</v>
      </c>
      <c r="C3146" s="22">
        <f ca="1">IFERROR(__xludf.DUMMYFUNCTION("""COMPUTED_VALUE"""),500000)</f>
        <v>500000</v>
      </c>
      <c r="D3146" s="22">
        <f ca="1">IFERROR(__xludf.DUMMYFUNCTION("""COMPUTED_VALUE"""),0)</f>
        <v>0</v>
      </c>
      <c r="E3146" s="22">
        <f ca="1">IFERROR(__xludf.DUMMYFUNCTION("""COMPUTED_VALUE"""),500000)</f>
        <v>500000</v>
      </c>
      <c r="F3146" s="22">
        <f ca="1">IFERROR(__xludf.DUMMYFUNCTION("""COMPUTED_VALUE"""),500000)</f>
        <v>500000</v>
      </c>
      <c r="G3146" s="22">
        <f ca="1">IFERROR(__xludf.DUMMYFUNCTION("""COMPUTED_VALUE"""),0)</f>
        <v>0</v>
      </c>
      <c r="H3146" s="7">
        <f ca="1">IFERROR(__xludf.DUMMYFUNCTION("""COMPUTED_VALUE"""),500000)</f>
        <v>500000</v>
      </c>
    </row>
    <row r="3147" spans="1:8" ht="13" x14ac:dyDescent="0.15">
      <c r="A3147" s="5" t="str">
        <f ca="1">IFERROR(__xludf.DUMMYFUNCTION("""COMPUTED_VALUE"""),"56118")</f>
        <v>56118</v>
      </c>
      <c r="B3147" s="51">
        <f ca="1">IFERROR(__xludf.DUMMYFUNCTION("""COMPUTED_VALUE"""),44612)</f>
        <v>44612</v>
      </c>
      <c r="C3147" s="22">
        <f ca="1">IFERROR(__xludf.DUMMYFUNCTION("""COMPUTED_VALUE"""),500000)</f>
        <v>500000</v>
      </c>
      <c r="D3147" s="22">
        <f ca="1">IFERROR(__xludf.DUMMYFUNCTION("""COMPUTED_VALUE"""),0)</f>
        <v>0</v>
      </c>
      <c r="E3147" s="22">
        <f ca="1">IFERROR(__xludf.DUMMYFUNCTION("""COMPUTED_VALUE"""),500000)</f>
        <v>500000</v>
      </c>
      <c r="F3147" s="22">
        <f ca="1">IFERROR(__xludf.DUMMYFUNCTION("""COMPUTED_VALUE"""),500000)</f>
        <v>500000</v>
      </c>
      <c r="G3147" s="22">
        <f ca="1">IFERROR(__xludf.DUMMYFUNCTION("""COMPUTED_VALUE"""),0)</f>
        <v>0</v>
      </c>
      <c r="H3147" s="7">
        <f ca="1">IFERROR(__xludf.DUMMYFUNCTION("""COMPUTED_VALUE"""),500000)</f>
        <v>500000</v>
      </c>
    </row>
    <row r="3148" spans="1:8" ht="13" x14ac:dyDescent="0.15">
      <c r="A3148" s="5" t="str">
        <f ca="1">IFERROR(__xludf.DUMMYFUNCTION("""COMPUTED_VALUE"""),"56118")</f>
        <v>56118</v>
      </c>
      <c r="B3148" s="51">
        <f ca="1">IFERROR(__xludf.DUMMYFUNCTION("""COMPUTED_VALUE"""),44613)</f>
        <v>44613</v>
      </c>
      <c r="C3148" s="22">
        <f ca="1">IFERROR(__xludf.DUMMYFUNCTION("""COMPUTED_VALUE"""),500000)</f>
        <v>500000</v>
      </c>
      <c r="D3148" s="22">
        <f ca="1">IFERROR(__xludf.DUMMYFUNCTION("""COMPUTED_VALUE"""),0)</f>
        <v>0</v>
      </c>
      <c r="E3148" s="22">
        <f ca="1">IFERROR(__xludf.DUMMYFUNCTION("""COMPUTED_VALUE"""),500000)</f>
        <v>500000</v>
      </c>
      <c r="F3148" s="22">
        <f ca="1">IFERROR(__xludf.DUMMYFUNCTION("""COMPUTED_VALUE"""),500000)</f>
        <v>500000</v>
      </c>
      <c r="G3148" s="22">
        <f ca="1">IFERROR(__xludf.DUMMYFUNCTION("""COMPUTED_VALUE"""),0)</f>
        <v>0</v>
      </c>
      <c r="H3148" s="7">
        <f ca="1">IFERROR(__xludf.DUMMYFUNCTION("""COMPUTED_VALUE"""),500000)</f>
        <v>500000</v>
      </c>
    </row>
    <row r="3149" spans="1:8" ht="13" x14ac:dyDescent="0.15">
      <c r="A3149" s="5" t="str">
        <f ca="1">IFERROR(__xludf.DUMMYFUNCTION("""COMPUTED_VALUE"""),"56118")</f>
        <v>56118</v>
      </c>
      <c r="B3149" s="51">
        <f ca="1">IFERROR(__xludf.DUMMYFUNCTION("""COMPUTED_VALUE"""),44614)</f>
        <v>44614</v>
      </c>
      <c r="C3149" s="22">
        <f ca="1">IFERROR(__xludf.DUMMYFUNCTION("""COMPUTED_VALUE"""),500000)</f>
        <v>500000</v>
      </c>
      <c r="D3149" s="22">
        <f ca="1">IFERROR(__xludf.DUMMYFUNCTION("""COMPUTED_VALUE"""),0)</f>
        <v>0</v>
      </c>
      <c r="E3149" s="22">
        <f ca="1">IFERROR(__xludf.DUMMYFUNCTION("""COMPUTED_VALUE"""),500000)</f>
        <v>500000</v>
      </c>
      <c r="F3149" s="22">
        <f ca="1">IFERROR(__xludf.DUMMYFUNCTION("""COMPUTED_VALUE"""),500000)</f>
        <v>500000</v>
      </c>
      <c r="G3149" s="22">
        <f ca="1">IFERROR(__xludf.DUMMYFUNCTION("""COMPUTED_VALUE"""),0)</f>
        <v>0</v>
      </c>
      <c r="H3149" s="7">
        <f ca="1">IFERROR(__xludf.DUMMYFUNCTION("""COMPUTED_VALUE"""),500000)</f>
        <v>500000</v>
      </c>
    </row>
    <row r="3150" spans="1:8" ht="13" x14ac:dyDescent="0.15">
      <c r="A3150" s="5" t="str">
        <f ca="1">IFERROR(__xludf.DUMMYFUNCTION("""COMPUTED_VALUE"""),"56118")</f>
        <v>56118</v>
      </c>
      <c r="B3150" s="51">
        <f ca="1">IFERROR(__xludf.DUMMYFUNCTION("""COMPUTED_VALUE"""),44615)</f>
        <v>44615</v>
      </c>
      <c r="C3150" s="22">
        <f ca="1">IFERROR(__xludf.DUMMYFUNCTION("""COMPUTED_VALUE"""),500000)</f>
        <v>500000</v>
      </c>
      <c r="D3150" s="22">
        <f ca="1">IFERROR(__xludf.DUMMYFUNCTION("""COMPUTED_VALUE"""),0)</f>
        <v>0</v>
      </c>
      <c r="E3150" s="22">
        <f ca="1">IFERROR(__xludf.DUMMYFUNCTION("""COMPUTED_VALUE"""),500000)</f>
        <v>500000</v>
      </c>
      <c r="F3150" s="22">
        <f ca="1">IFERROR(__xludf.DUMMYFUNCTION("""COMPUTED_VALUE"""),500000)</f>
        <v>500000</v>
      </c>
      <c r="G3150" s="22">
        <f ca="1">IFERROR(__xludf.DUMMYFUNCTION("""COMPUTED_VALUE"""),0)</f>
        <v>0</v>
      </c>
      <c r="H3150" s="7">
        <f ca="1">IFERROR(__xludf.DUMMYFUNCTION("""COMPUTED_VALUE"""),500000)</f>
        <v>500000</v>
      </c>
    </row>
    <row r="3151" spans="1:8" ht="13" x14ac:dyDescent="0.15">
      <c r="A3151" s="5" t="str">
        <f ca="1">IFERROR(__xludf.DUMMYFUNCTION("""COMPUTED_VALUE"""),"56118")</f>
        <v>56118</v>
      </c>
      <c r="B3151" s="51">
        <f ca="1">IFERROR(__xludf.DUMMYFUNCTION("""COMPUTED_VALUE"""),44616)</f>
        <v>44616</v>
      </c>
      <c r="C3151" s="22">
        <f ca="1">IFERROR(__xludf.DUMMYFUNCTION("""COMPUTED_VALUE"""),500000)</f>
        <v>500000</v>
      </c>
      <c r="D3151" s="22">
        <f ca="1">IFERROR(__xludf.DUMMYFUNCTION("""COMPUTED_VALUE"""),0)</f>
        <v>0</v>
      </c>
      <c r="E3151" s="22">
        <f ca="1">IFERROR(__xludf.DUMMYFUNCTION("""COMPUTED_VALUE"""),500000)</f>
        <v>500000</v>
      </c>
      <c r="F3151" s="22">
        <f ca="1">IFERROR(__xludf.DUMMYFUNCTION("""COMPUTED_VALUE"""),500000)</f>
        <v>500000</v>
      </c>
      <c r="G3151" s="22">
        <f ca="1">IFERROR(__xludf.DUMMYFUNCTION("""COMPUTED_VALUE"""),0)</f>
        <v>0</v>
      </c>
      <c r="H3151" s="7">
        <f ca="1">IFERROR(__xludf.DUMMYFUNCTION("""COMPUTED_VALUE"""),500000)</f>
        <v>500000</v>
      </c>
    </row>
    <row r="3152" spans="1:8" ht="13" x14ac:dyDescent="0.15">
      <c r="A3152" s="5" t="str">
        <f ca="1">IFERROR(__xludf.DUMMYFUNCTION("""COMPUTED_VALUE"""),"56118")</f>
        <v>56118</v>
      </c>
      <c r="B3152" s="51">
        <f ca="1">IFERROR(__xludf.DUMMYFUNCTION("""COMPUTED_VALUE"""),44617)</f>
        <v>44617</v>
      </c>
      <c r="C3152" s="22">
        <f ca="1">IFERROR(__xludf.DUMMYFUNCTION("""COMPUTED_VALUE"""),500000)</f>
        <v>500000</v>
      </c>
      <c r="D3152" s="22">
        <f ca="1">IFERROR(__xludf.DUMMYFUNCTION("""COMPUTED_VALUE"""),0)</f>
        <v>0</v>
      </c>
      <c r="E3152" s="22">
        <f ca="1">IFERROR(__xludf.DUMMYFUNCTION("""COMPUTED_VALUE"""),500000)</f>
        <v>500000</v>
      </c>
      <c r="F3152" s="22">
        <f ca="1">IFERROR(__xludf.DUMMYFUNCTION("""COMPUTED_VALUE"""),500000)</f>
        <v>500000</v>
      </c>
      <c r="G3152" s="22">
        <f ca="1">IFERROR(__xludf.DUMMYFUNCTION("""COMPUTED_VALUE"""),0)</f>
        <v>0</v>
      </c>
      <c r="H3152" s="7">
        <f ca="1">IFERROR(__xludf.DUMMYFUNCTION("""COMPUTED_VALUE"""),500000)</f>
        <v>500000</v>
      </c>
    </row>
    <row r="3153" spans="1:8" ht="13" x14ac:dyDescent="0.15">
      <c r="A3153" s="5" t="str">
        <f ca="1">IFERROR(__xludf.DUMMYFUNCTION("""COMPUTED_VALUE"""),"56118")</f>
        <v>56118</v>
      </c>
      <c r="B3153" s="51">
        <f ca="1">IFERROR(__xludf.DUMMYFUNCTION("""COMPUTED_VALUE"""),44618)</f>
        <v>44618</v>
      </c>
      <c r="C3153" s="22">
        <f ca="1">IFERROR(__xludf.DUMMYFUNCTION("""COMPUTED_VALUE"""),500000)</f>
        <v>500000</v>
      </c>
      <c r="D3153" s="22">
        <f ca="1">IFERROR(__xludf.DUMMYFUNCTION("""COMPUTED_VALUE"""),0)</f>
        <v>0</v>
      </c>
      <c r="E3153" s="22">
        <f ca="1">IFERROR(__xludf.DUMMYFUNCTION("""COMPUTED_VALUE"""),500000)</f>
        <v>500000</v>
      </c>
      <c r="F3153" s="22">
        <f ca="1">IFERROR(__xludf.DUMMYFUNCTION("""COMPUTED_VALUE"""),500000)</f>
        <v>500000</v>
      </c>
      <c r="G3153" s="22">
        <f ca="1">IFERROR(__xludf.DUMMYFUNCTION("""COMPUTED_VALUE"""),0)</f>
        <v>0</v>
      </c>
      <c r="H3153" s="7">
        <f ca="1">IFERROR(__xludf.DUMMYFUNCTION("""COMPUTED_VALUE"""),500000)</f>
        <v>500000</v>
      </c>
    </row>
    <row r="3154" spans="1:8" ht="13" x14ac:dyDescent="0.15">
      <c r="A3154" s="5" t="str">
        <f ca="1">IFERROR(__xludf.DUMMYFUNCTION("""COMPUTED_VALUE"""),"56118")</f>
        <v>56118</v>
      </c>
      <c r="B3154" s="51">
        <f ca="1">IFERROR(__xludf.DUMMYFUNCTION("""COMPUTED_VALUE"""),44619)</f>
        <v>44619</v>
      </c>
      <c r="C3154" s="22">
        <f ca="1">IFERROR(__xludf.DUMMYFUNCTION("""COMPUTED_VALUE"""),500000)</f>
        <v>500000</v>
      </c>
      <c r="D3154" s="22">
        <f ca="1">IFERROR(__xludf.DUMMYFUNCTION("""COMPUTED_VALUE"""),0)</f>
        <v>0</v>
      </c>
      <c r="E3154" s="22">
        <f ca="1">IFERROR(__xludf.DUMMYFUNCTION("""COMPUTED_VALUE"""),500000)</f>
        <v>500000</v>
      </c>
      <c r="F3154" s="22">
        <f ca="1">IFERROR(__xludf.DUMMYFUNCTION("""COMPUTED_VALUE"""),500000)</f>
        <v>500000</v>
      </c>
      <c r="G3154" s="22">
        <f ca="1">IFERROR(__xludf.DUMMYFUNCTION("""COMPUTED_VALUE"""),0)</f>
        <v>0</v>
      </c>
      <c r="H3154" s="7">
        <f ca="1">IFERROR(__xludf.DUMMYFUNCTION("""COMPUTED_VALUE"""),500000)</f>
        <v>500000</v>
      </c>
    </row>
    <row r="3155" spans="1:8" ht="13" x14ac:dyDescent="0.15">
      <c r="A3155" s="5" t="str">
        <f ca="1">IFERROR(__xludf.DUMMYFUNCTION("""COMPUTED_VALUE"""),"56118")</f>
        <v>56118</v>
      </c>
      <c r="B3155" s="51">
        <f ca="1">IFERROR(__xludf.DUMMYFUNCTION("""COMPUTED_VALUE"""),44620)</f>
        <v>44620</v>
      </c>
      <c r="C3155" s="22">
        <f ca="1">IFERROR(__xludf.DUMMYFUNCTION("""COMPUTED_VALUE"""),500000)</f>
        <v>500000</v>
      </c>
      <c r="D3155" s="22">
        <f ca="1">IFERROR(__xludf.DUMMYFUNCTION("""COMPUTED_VALUE"""),0)</f>
        <v>0</v>
      </c>
      <c r="E3155" s="22">
        <f ca="1">IFERROR(__xludf.DUMMYFUNCTION("""COMPUTED_VALUE"""),500000)</f>
        <v>500000</v>
      </c>
      <c r="F3155" s="22">
        <f ca="1">IFERROR(__xludf.DUMMYFUNCTION("""COMPUTED_VALUE"""),500000)</f>
        <v>500000</v>
      </c>
      <c r="G3155" s="22">
        <f ca="1">IFERROR(__xludf.DUMMYFUNCTION("""COMPUTED_VALUE"""),0)</f>
        <v>0</v>
      </c>
      <c r="H3155" s="7">
        <f ca="1">IFERROR(__xludf.DUMMYFUNCTION("""COMPUTED_VALUE"""),500000)</f>
        <v>500000</v>
      </c>
    </row>
    <row r="3156" spans="1:8" ht="13" x14ac:dyDescent="0.15">
      <c r="A3156" s="5" t="str">
        <f ca="1">IFERROR(__xludf.DUMMYFUNCTION("""COMPUTED_VALUE"""),"56118")</f>
        <v>56118</v>
      </c>
      <c r="B3156" s="51">
        <f ca="1">IFERROR(__xludf.DUMMYFUNCTION("""COMPUTED_VALUE"""),44621)</f>
        <v>44621</v>
      </c>
      <c r="C3156" s="22">
        <f ca="1">IFERROR(__xludf.DUMMYFUNCTION("""COMPUTED_VALUE"""),500000)</f>
        <v>500000</v>
      </c>
      <c r="D3156" s="22">
        <f ca="1">IFERROR(__xludf.DUMMYFUNCTION("""COMPUTED_VALUE"""),0)</f>
        <v>0</v>
      </c>
      <c r="E3156" s="22">
        <f ca="1">IFERROR(__xludf.DUMMYFUNCTION("""COMPUTED_VALUE"""),500000)</f>
        <v>500000</v>
      </c>
      <c r="F3156" s="22">
        <f ca="1">IFERROR(__xludf.DUMMYFUNCTION("""COMPUTED_VALUE"""),500000)</f>
        <v>500000</v>
      </c>
      <c r="G3156" s="22">
        <f ca="1">IFERROR(__xludf.DUMMYFUNCTION("""COMPUTED_VALUE"""),0)</f>
        <v>0</v>
      </c>
      <c r="H3156" s="7">
        <f ca="1">IFERROR(__xludf.DUMMYFUNCTION("""COMPUTED_VALUE"""),500000)</f>
        <v>500000</v>
      </c>
    </row>
    <row r="3157" spans="1:8" ht="13" x14ac:dyDescent="0.15">
      <c r="A3157" s="5" t="str">
        <f ca="1">IFERROR(__xludf.DUMMYFUNCTION("""COMPUTED_VALUE"""),"56118")</f>
        <v>56118</v>
      </c>
      <c r="B3157" s="51">
        <f ca="1">IFERROR(__xludf.DUMMYFUNCTION("""COMPUTED_VALUE"""),44622)</f>
        <v>44622</v>
      </c>
      <c r="C3157" s="22">
        <f ca="1">IFERROR(__xludf.DUMMYFUNCTION("""COMPUTED_VALUE"""),500000)</f>
        <v>500000</v>
      </c>
      <c r="D3157" s="22">
        <f ca="1">IFERROR(__xludf.DUMMYFUNCTION("""COMPUTED_VALUE"""),0)</f>
        <v>0</v>
      </c>
      <c r="E3157" s="22">
        <f ca="1">IFERROR(__xludf.DUMMYFUNCTION("""COMPUTED_VALUE"""),500000)</f>
        <v>500000</v>
      </c>
      <c r="F3157" s="22">
        <f ca="1">IFERROR(__xludf.DUMMYFUNCTION("""COMPUTED_VALUE"""),500000)</f>
        <v>500000</v>
      </c>
      <c r="G3157" s="22">
        <f ca="1">IFERROR(__xludf.DUMMYFUNCTION("""COMPUTED_VALUE"""),0)</f>
        <v>0</v>
      </c>
      <c r="H3157" s="7">
        <f ca="1">IFERROR(__xludf.DUMMYFUNCTION("""COMPUTED_VALUE"""),500000)</f>
        <v>500000</v>
      </c>
    </row>
    <row r="3158" spans="1:8" ht="13" x14ac:dyDescent="0.15">
      <c r="A3158" s="5" t="str">
        <f ca="1">IFERROR(__xludf.DUMMYFUNCTION("""COMPUTED_VALUE"""),"56118")</f>
        <v>56118</v>
      </c>
      <c r="B3158" s="51">
        <f ca="1">IFERROR(__xludf.DUMMYFUNCTION("""COMPUTED_VALUE"""),44623)</f>
        <v>44623</v>
      </c>
      <c r="C3158" s="22">
        <f ca="1">IFERROR(__xludf.DUMMYFUNCTION("""COMPUTED_VALUE"""),500000)</f>
        <v>500000</v>
      </c>
      <c r="D3158" s="22">
        <f ca="1">IFERROR(__xludf.DUMMYFUNCTION("""COMPUTED_VALUE"""),0)</f>
        <v>0</v>
      </c>
      <c r="E3158" s="22">
        <f ca="1">IFERROR(__xludf.DUMMYFUNCTION("""COMPUTED_VALUE"""),500000)</f>
        <v>500000</v>
      </c>
      <c r="F3158" s="22">
        <f ca="1">IFERROR(__xludf.DUMMYFUNCTION("""COMPUTED_VALUE"""),500000)</f>
        <v>500000</v>
      </c>
      <c r="G3158" s="22">
        <f ca="1">IFERROR(__xludf.DUMMYFUNCTION("""COMPUTED_VALUE"""),0)</f>
        <v>0</v>
      </c>
      <c r="H3158" s="7">
        <f ca="1">IFERROR(__xludf.DUMMYFUNCTION("""COMPUTED_VALUE"""),500000)</f>
        <v>500000</v>
      </c>
    </row>
    <row r="3159" spans="1:8" ht="13" x14ac:dyDescent="0.15">
      <c r="A3159" s="5" t="str">
        <f ca="1">IFERROR(__xludf.DUMMYFUNCTION("""COMPUTED_VALUE"""),"56118")</f>
        <v>56118</v>
      </c>
      <c r="B3159" s="51">
        <f ca="1">IFERROR(__xludf.DUMMYFUNCTION("""COMPUTED_VALUE"""),44624)</f>
        <v>44624</v>
      </c>
      <c r="C3159" s="22">
        <f ca="1">IFERROR(__xludf.DUMMYFUNCTION("""COMPUTED_VALUE"""),500000)</f>
        <v>500000</v>
      </c>
      <c r="D3159" s="22">
        <f ca="1">IFERROR(__xludf.DUMMYFUNCTION("""COMPUTED_VALUE"""),0)</f>
        <v>0</v>
      </c>
      <c r="E3159" s="22">
        <f ca="1">IFERROR(__xludf.DUMMYFUNCTION("""COMPUTED_VALUE"""),500000)</f>
        <v>500000</v>
      </c>
      <c r="F3159" s="22">
        <f ca="1">IFERROR(__xludf.DUMMYFUNCTION("""COMPUTED_VALUE"""),500000)</f>
        <v>500000</v>
      </c>
      <c r="G3159" s="22">
        <f ca="1">IFERROR(__xludf.DUMMYFUNCTION("""COMPUTED_VALUE"""),0)</f>
        <v>0</v>
      </c>
      <c r="H3159" s="7">
        <f ca="1">IFERROR(__xludf.DUMMYFUNCTION("""COMPUTED_VALUE"""),500000)</f>
        <v>500000</v>
      </c>
    </row>
    <row r="3160" spans="1:8" ht="13" x14ac:dyDescent="0.15">
      <c r="A3160" s="5" t="str">
        <f ca="1">IFERROR(__xludf.DUMMYFUNCTION("""COMPUTED_VALUE"""),"56118")</f>
        <v>56118</v>
      </c>
      <c r="B3160" s="51">
        <f ca="1">IFERROR(__xludf.DUMMYFUNCTION("""COMPUTED_VALUE"""),44625)</f>
        <v>44625</v>
      </c>
      <c r="C3160" s="22">
        <f ca="1">IFERROR(__xludf.DUMMYFUNCTION("""COMPUTED_VALUE"""),500000)</f>
        <v>500000</v>
      </c>
      <c r="D3160" s="22">
        <f ca="1">IFERROR(__xludf.DUMMYFUNCTION("""COMPUTED_VALUE"""),0)</f>
        <v>0</v>
      </c>
      <c r="E3160" s="22">
        <f ca="1">IFERROR(__xludf.DUMMYFUNCTION("""COMPUTED_VALUE"""),500000)</f>
        <v>500000</v>
      </c>
      <c r="F3160" s="22">
        <f ca="1">IFERROR(__xludf.DUMMYFUNCTION("""COMPUTED_VALUE"""),500000)</f>
        <v>500000</v>
      </c>
      <c r="G3160" s="22">
        <f ca="1">IFERROR(__xludf.DUMMYFUNCTION("""COMPUTED_VALUE"""),0)</f>
        <v>0</v>
      </c>
      <c r="H3160" s="7">
        <f ca="1">IFERROR(__xludf.DUMMYFUNCTION("""COMPUTED_VALUE"""),500000)</f>
        <v>500000</v>
      </c>
    </row>
    <row r="3161" spans="1:8" ht="13" x14ac:dyDescent="0.15">
      <c r="A3161" s="5" t="str">
        <f ca="1">IFERROR(__xludf.DUMMYFUNCTION("""COMPUTED_VALUE"""),"56118")</f>
        <v>56118</v>
      </c>
      <c r="B3161" s="51">
        <f ca="1">IFERROR(__xludf.DUMMYFUNCTION("""COMPUTED_VALUE"""),44626)</f>
        <v>44626</v>
      </c>
      <c r="C3161" s="22">
        <f ca="1">IFERROR(__xludf.DUMMYFUNCTION("""COMPUTED_VALUE"""),500000)</f>
        <v>500000</v>
      </c>
      <c r="D3161" s="22">
        <f ca="1">IFERROR(__xludf.DUMMYFUNCTION("""COMPUTED_VALUE"""),0)</f>
        <v>0</v>
      </c>
      <c r="E3161" s="22">
        <f ca="1">IFERROR(__xludf.DUMMYFUNCTION("""COMPUTED_VALUE"""),500000)</f>
        <v>500000</v>
      </c>
      <c r="F3161" s="22">
        <f ca="1">IFERROR(__xludf.DUMMYFUNCTION("""COMPUTED_VALUE"""),500000)</f>
        <v>500000</v>
      </c>
      <c r="G3161" s="22">
        <f ca="1">IFERROR(__xludf.DUMMYFUNCTION("""COMPUTED_VALUE"""),0)</f>
        <v>0</v>
      </c>
      <c r="H3161" s="7">
        <f ca="1">IFERROR(__xludf.DUMMYFUNCTION("""COMPUTED_VALUE"""),500000)</f>
        <v>500000</v>
      </c>
    </row>
    <row r="3162" spans="1:8" ht="13" x14ac:dyDescent="0.15">
      <c r="A3162" s="5" t="str">
        <f ca="1">IFERROR(__xludf.DUMMYFUNCTION("""COMPUTED_VALUE"""),"56118")</f>
        <v>56118</v>
      </c>
      <c r="B3162" s="51">
        <f ca="1">IFERROR(__xludf.DUMMYFUNCTION("""COMPUTED_VALUE"""),44627)</f>
        <v>44627</v>
      </c>
      <c r="C3162" s="22">
        <f ca="1">IFERROR(__xludf.DUMMYFUNCTION("""COMPUTED_VALUE"""),500000)</f>
        <v>500000</v>
      </c>
      <c r="D3162" s="22">
        <f ca="1">IFERROR(__xludf.DUMMYFUNCTION("""COMPUTED_VALUE"""),0)</f>
        <v>0</v>
      </c>
      <c r="E3162" s="22">
        <f ca="1">IFERROR(__xludf.DUMMYFUNCTION("""COMPUTED_VALUE"""),500000)</f>
        <v>500000</v>
      </c>
      <c r="F3162" s="22">
        <f ca="1">IFERROR(__xludf.DUMMYFUNCTION("""COMPUTED_VALUE"""),500000)</f>
        <v>500000</v>
      </c>
      <c r="G3162" s="22">
        <f ca="1">IFERROR(__xludf.DUMMYFUNCTION("""COMPUTED_VALUE"""),0)</f>
        <v>0</v>
      </c>
      <c r="H3162" s="7">
        <f ca="1">IFERROR(__xludf.DUMMYFUNCTION("""COMPUTED_VALUE"""),500000)</f>
        <v>500000</v>
      </c>
    </row>
    <row r="3163" spans="1:8" ht="13" x14ac:dyDescent="0.15">
      <c r="A3163" s="5" t="str">
        <f ca="1">IFERROR(__xludf.DUMMYFUNCTION("""COMPUTED_VALUE"""),"56118")</f>
        <v>56118</v>
      </c>
      <c r="B3163" s="51">
        <f ca="1">IFERROR(__xludf.DUMMYFUNCTION("""COMPUTED_VALUE"""),44628)</f>
        <v>44628</v>
      </c>
      <c r="C3163" s="22">
        <f ca="1">IFERROR(__xludf.DUMMYFUNCTION("""COMPUTED_VALUE"""),500000)</f>
        <v>500000</v>
      </c>
      <c r="D3163" s="22">
        <f ca="1">IFERROR(__xludf.DUMMYFUNCTION("""COMPUTED_VALUE"""),0)</f>
        <v>0</v>
      </c>
      <c r="E3163" s="22">
        <f ca="1">IFERROR(__xludf.DUMMYFUNCTION("""COMPUTED_VALUE"""),500000)</f>
        <v>500000</v>
      </c>
      <c r="F3163" s="22">
        <f ca="1">IFERROR(__xludf.DUMMYFUNCTION("""COMPUTED_VALUE"""),500000)</f>
        <v>500000</v>
      </c>
      <c r="G3163" s="22">
        <f ca="1">IFERROR(__xludf.DUMMYFUNCTION("""COMPUTED_VALUE"""),0)</f>
        <v>0</v>
      </c>
      <c r="H3163" s="7">
        <f ca="1">IFERROR(__xludf.DUMMYFUNCTION("""COMPUTED_VALUE"""),500000)</f>
        <v>500000</v>
      </c>
    </row>
    <row r="3164" spans="1:8" ht="13" x14ac:dyDescent="0.15">
      <c r="A3164" s="5" t="str">
        <f ca="1">IFERROR(__xludf.DUMMYFUNCTION("""COMPUTED_VALUE"""),"56118")</f>
        <v>56118</v>
      </c>
      <c r="B3164" s="51">
        <f ca="1">IFERROR(__xludf.DUMMYFUNCTION("""COMPUTED_VALUE"""),44629)</f>
        <v>44629</v>
      </c>
      <c r="C3164" s="22">
        <f ca="1">IFERROR(__xludf.DUMMYFUNCTION("""COMPUTED_VALUE"""),500000)</f>
        <v>500000</v>
      </c>
      <c r="D3164" s="22">
        <f ca="1">IFERROR(__xludf.DUMMYFUNCTION("""COMPUTED_VALUE"""),0)</f>
        <v>0</v>
      </c>
      <c r="E3164" s="22">
        <f ca="1">IFERROR(__xludf.DUMMYFUNCTION("""COMPUTED_VALUE"""),500000)</f>
        <v>500000</v>
      </c>
      <c r="F3164" s="22">
        <f ca="1">IFERROR(__xludf.DUMMYFUNCTION("""COMPUTED_VALUE"""),500000)</f>
        <v>500000</v>
      </c>
      <c r="G3164" s="22">
        <f ca="1">IFERROR(__xludf.DUMMYFUNCTION("""COMPUTED_VALUE"""),0)</f>
        <v>0</v>
      </c>
      <c r="H3164" s="7">
        <f ca="1">IFERROR(__xludf.DUMMYFUNCTION("""COMPUTED_VALUE"""),500000)</f>
        <v>500000</v>
      </c>
    </row>
    <row r="3165" spans="1:8" ht="13" x14ac:dyDescent="0.15">
      <c r="A3165" s="5" t="str">
        <f ca="1">IFERROR(__xludf.DUMMYFUNCTION("""COMPUTED_VALUE"""),"56118")</f>
        <v>56118</v>
      </c>
      <c r="B3165" s="51">
        <f ca="1">IFERROR(__xludf.DUMMYFUNCTION("""COMPUTED_VALUE"""),44630)</f>
        <v>44630</v>
      </c>
      <c r="C3165" s="22">
        <f ca="1">IFERROR(__xludf.DUMMYFUNCTION("""COMPUTED_VALUE"""),500000)</f>
        <v>500000</v>
      </c>
      <c r="D3165" s="22">
        <f ca="1">IFERROR(__xludf.DUMMYFUNCTION("""COMPUTED_VALUE"""),0)</f>
        <v>0</v>
      </c>
      <c r="E3165" s="22">
        <f ca="1">IFERROR(__xludf.DUMMYFUNCTION("""COMPUTED_VALUE"""),500000)</f>
        <v>500000</v>
      </c>
      <c r="F3165" s="22">
        <f ca="1">IFERROR(__xludf.DUMMYFUNCTION("""COMPUTED_VALUE"""),500000)</f>
        <v>500000</v>
      </c>
      <c r="G3165" s="22">
        <f ca="1">IFERROR(__xludf.DUMMYFUNCTION("""COMPUTED_VALUE"""),0)</f>
        <v>0</v>
      </c>
      <c r="H3165" s="7">
        <f ca="1">IFERROR(__xludf.DUMMYFUNCTION("""COMPUTED_VALUE"""),500000)</f>
        <v>500000</v>
      </c>
    </row>
    <row r="3166" spans="1:8" ht="13" x14ac:dyDescent="0.15">
      <c r="A3166" s="5" t="str">
        <f ca="1">IFERROR(__xludf.DUMMYFUNCTION("""COMPUTED_VALUE"""),"56118")</f>
        <v>56118</v>
      </c>
      <c r="B3166" s="51">
        <f ca="1">IFERROR(__xludf.DUMMYFUNCTION("""COMPUTED_VALUE"""),44631)</f>
        <v>44631</v>
      </c>
      <c r="C3166" s="22">
        <f ca="1">IFERROR(__xludf.DUMMYFUNCTION("""COMPUTED_VALUE"""),500000)</f>
        <v>500000</v>
      </c>
      <c r="D3166" s="22">
        <f ca="1">IFERROR(__xludf.DUMMYFUNCTION("""COMPUTED_VALUE"""),0)</f>
        <v>0</v>
      </c>
      <c r="E3166" s="22">
        <f ca="1">IFERROR(__xludf.DUMMYFUNCTION("""COMPUTED_VALUE"""),500000)</f>
        <v>500000</v>
      </c>
      <c r="F3166" s="22">
        <f ca="1">IFERROR(__xludf.DUMMYFUNCTION("""COMPUTED_VALUE"""),500000)</f>
        <v>500000</v>
      </c>
      <c r="G3166" s="22">
        <f ca="1">IFERROR(__xludf.DUMMYFUNCTION("""COMPUTED_VALUE"""),0)</f>
        <v>0</v>
      </c>
      <c r="H3166" s="7">
        <f ca="1">IFERROR(__xludf.DUMMYFUNCTION("""COMPUTED_VALUE"""),500000)</f>
        <v>500000</v>
      </c>
    </row>
    <row r="3167" spans="1:8" ht="13" x14ac:dyDescent="0.15">
      <c r="A3167" s="5" t="str">
        <f ca="1">IFERROR(__xludf.DUMMYFUNCTION("""COMPUTED_VALUE"""),"56118")</f>
        <v>56118</v>
      </c>
      <c r="B3167" s="51">
        <f ca="1">IFERROR(__xludf.DUMMYFUNCTION("""COMPUTED_VALUE"""),44632)</f>
        <v>44632</v>
      </c>
      <c r="C3167" s="22">
        <f ca="1">IFERROR(__xludf.DUMMYFUNCTION("""COMPUTED_VALUE"""),500000)</f>
        <v>500000</v>
      </c>
      <c r="D3167" s="22">
        <f ca="1">IFERROR(__xludf.DUMMYFUNCTION("""COMPUTED_VALUE"""),0)</f>
        <v>0</v>
      </c>
      <c r="E3167" s="22">
        <f ca="1">IFERROR(__xludf.DUMMYFUNCTION("""COMPUTED_VALUE"""),500000)</f>
        <v>500000</v>
      </c>
      <c r="F3167" s="22">
        <f ca="1">IFERROR(__xludf.DUMMYFUNCTION("""COMPUTED_VALUE"""),500000)</f>
        <v>500000</v>
      </c>
      <c r="G3167" s="22">
        <f ca="1">IFERROR(__xludf.DUMMYFUNCTION("""COMPUTED_VALUE"""),0)</f>
        <v>0</v>
      </c>
      <c r="H3167" s="7">
        <f ca="1">IFERROR(__xludf.DUMMYFUNCTION("""COMPUTED_VALUE"""),500000)</f>
        <v>500000</v>
      </c>
    </row>
    <row r="3168" spans="1:8" ht="13" x14ac:dyDescent="0.15">
      <c r="A3168" s="5" t="str">
        <f ca="1">IFERROR(__xludf.DUMMYFUNCTION("""COMPUTED_VALUE"""),"56118")</f>
        <v>56118</v>
      </c>
      <c r="B3168" s="51">
        <f ca="1">IFERROR(__xludf.DUMMYFUNCTION("""COMPUTED_VALUE"""),44633)</f>
        <v>44633</v>
      </c>
      <c r="C3168" s="22">
        <f ca="1">IFERROR(__xludf.DUMMYFUNCTION("""COMPUTED_VALUE"""),500000)</f>
        <v>500000</v>
      </c>
      <c r="D3168" s="22">
        <f ca="1">IFERROR(__xludf.DUMMYFUNCTION("""COMPUTED_VALUE"""),0)</f>
        <v>0</v>
      </c>
      <c r="E3168" s="22">
        <f ca="1">IFERROR(__xludf.DUMMYFUNCTION("""COMPUTED_VALUE"""),500000)</f>
        <v>500000</v>
      </c>
      <c r="F3168" s="22">
        <f ca="1">IFERROR(__xludf.DUMMYFUNCTION("""COMPUTED_VALUE"""),500000)</f>
        <v>500000</v>
      </c>
      <c r="G3168" s="22">
        <f ca="1">IFERROR(__xludf.DUMMYFUNCTION("""COMPUTED_VALUE"""),0)</f>
        <v>0</v>
      </c>
      <c r="H3168" s="7">
        <f ca="1">IFERROR(__xludf.DUMMYFUNCTION("""COMPUTED_VALUE"""),500000)</f>
        <v>500000</v>
      </c>
    </row>
    <row r="3169" spans="1:8" ht="13" x14ac:dyDescent="0.15">
      <c r="A3169" s="5" t="str">
        <f ca="1">IFERROR(__xludf.DUMMYFUNCTION("""COMPUTED_VALUE"""),"56118")</f>
        <v>56118</v>
      </c>
      <c r="B3169" s="51">
        <f ca="1">IFERROR(__xludf.DUMMYFUNCTION("""COMPUTED_VALUE"""),44634)</f>
        <v>44634</v>
      </c>
      <c r="C3169" s="22">
        <f ca="1">IFERROR(__xludf.DUMMYFUNCTION("""COMPUTED_VALUE"""),500000)</f>
        <v>500000</v>
      </c>
      <c r="D3169" s="22">
        <f ca="1">IFERROR(__xludf.DUMMYFUNCTION("""COMPUTED_VALUE"""),0)</f>
        <v>0</v>
      </c>
      <c r="E3169" s="22">
        <f ca="1">IFERROR(__xludf.DUMMYFUNCTION("""COMPUTED_VALUE"""),500000)</f>
        <v>500000</v>
      </c>
      <c r="F3169" s="22">
        <f ca="1">IFERROR(__xludf.DUMMYFUNCTION("""COMPUTED_VALUE"""),500000)</f>
        <v>500000</v>
      </c>
      <c r="G3169" s="22">
        <f ca="1">IFERROR(__xludf.DUMMYFUNCTION("""COMPUTED_VALUE"""),0)</f>
        <v>0</v>
      </c>
      <c r="H3169" s="7">
        <f ca="1">IFERROR(__xludf.DUMMYFUNCTION("""COMPUTED_VALUE"""),500000)</f>
        <v>500000</v>
      </c>
    </row>
    <row r="3170" spans="1:8" ht="13" x14ac:dyDescent="0.15">
      <c r="A3170" s="5" t="str">
        <f ca="1">IFERROR(__xludf.DUMMYFUNCTION("""COMPUTED_VALUE"""),"56118")</f>
        <v>56118</v>
      </c>
      <c r="B3170" s="51">
        <f ca="1">IFERROR(__xludf.DUMMYFUNCTION("""COMPUTED_VALUE"""),44635)</f>
        <v>44635</v>
      </c>
      <c r="C3170" s="22">
        <f ca="1">IFERROR(__xludf.DUMMYFUNCTION("""COMPUTED_VALUE"""),27443.11712)</f>
        <v>27443.117119999999</v>
      </c>
      <c r="D3170" s="22">
        <f ca="1">IFERROR(__xludf.DUMMYFUNCTION("""COMPUTED_VALUE"""),472556.88288)</f>
        <v>472556.88287999999</v>
      </c>
      <c r="E3170" s="22">
        <f ca="1">IFERROR(__xludf.DUMMYFUNCTION("""COMPUTED_VALUE"""),500000)</f>
        <v>500000</v>
      </c>
      <c r="F3170" s="22">
        <f ca="1">IFERROR(__xludf.DUMMYFUNCTION("""COMPUTED_VALUE"""),27443.1171199999)</f>
        <v>27443.117119999901</v>
      </c>
      <c r="G3170" s="22">
        <f ca="1">IFERROR(__xludf.DUMMYFUNCTION("""COMPUTED_VALUE"""),0)</f>
        <v>0</v>
      </c>
      <c r="H3170" s="7">
        <f ca="1">IFERROR(__xludf.DUMMYFUNCTION("""COMPUTED_VALUE"""),500000)</f>
        <v>500000</v>
      </c>
    </row>
    <row r="3171" spans="1:8" ht="13" x14ac:dyDescent="0.15">
      <c r="A3171" s="5" t="str">
        <f ca="1">IFERROR(__xludf.DUMMYFUNCTION("""COMPUTED_VALUE"""),"56118")</f>
        <v>56118</v>
      </c>
      <c r="B3171" s="51">
        <f ca="1">IFERROR(__xludf.DUMMYFUNCTION("""COMPUTED_VALUE"""),44636)</f>
        <v>44636</v>
      </c>
      <c r="C3171" s="22">
        <f ca="1">IFERROR(__xludf.DUMMYFUNCTION("""COMPUTED_VALUE"""),-179488.63588)</f>
        <v>-179488.63587999999</v>
      </c>
      <c r="D3171" s="22">
        <f ca="1">IFERROR(__xludf.DUMMYFUNCTION("""COMPUTED_VALUE"""),681765.71674)</f>
        <v>681765.71673999995</v>
      </c>
      <c r="E3171" s="22">
        <f ca="1">IFERROR(__xludf.DUMMYFUNCTION("""COMPUTED_VALUE"""),502277.08086)</f>
        <v>502277.08085999999</v>
      </c>
      <c r="F3171" s="22">
        <f ca="1">IFERROR(__xludf.DUMMYFUNCTION("""COMPUTED_VALUE"""),-179488.63588)</f>
        <v>-179488.63587999999</v>
      </c>
      <c r="G3171" s="22">
        <f ca="1">IFERROR(__xludf.DUMMYFUNCTION("""COMPUTED_VALUE"""),179488.63588)</f>
        <v>179488.63587999999</v>
      </c>
      <c r="H3171" s="7">
        <f ca="1">IFERROR(__xludf.DUMMYFUNCTION("""COMPUTED_VALUE"""),502277.08086)</f>
        <v>502277.08085999999</v>
      </c>
    </row>
    <row r="3172" spans="1:8" ht="13" x14ac:dyDescent="0.15">
      <c r="A3172" s="5" t="str">
        <f ca="1">IFERROR(__xludf.DUMMYFUNCTION("""COMPUTED_VALUE"""),"56118")</f>
        <v>56118</v>
      </c>
      <c r="B3172" s="51">
        <f ca="1">IFERROR(__xludf.DUMMYFUNCTION("""COMPUTED_VALUE"""),44637)</f>
        <v>44637</v>
      </c>
      <c r="C3172" s="22">
        <f ca="1">IFERROR(__xludf.DUMMYFUNCTION("""COMPUTED_VALUE"""),-193418.44078)</f>
        <v>-193418.44078</v>
      </c>
      <c r="D3172" s="22">
        <f ca="1">IFERROR(__xludf.DUMMYFUNCTION("""COMPUTED_VALUE"""),722926.50491)</f>
        <v>722926.50491000002</v>
      </c>
      <c r="E3172" s="22">
        <f ca="1">IFERROR(__xludf.DUMMYFUNCTION("""COMPUTED_VALUE"""),529508.06413)</f>
        <v>529508.06412999996</v>
      </c>
      <c r="F3172" s="22">
        <f ca="1">IFERROR(__xludf.DUMMYFUNCTION("""COMPUTED_VALUE"""),-193418.44078)</f>
        <v>-193418.44078</v>
      </c>
      <c r="G3172" s="22">
        <f ca="1">IFERROR(__xludf.DUMMYFUNCTION("""COMPUTED_VALUE"""),193418.44078)</f>
        <v>193418.44078</v>
      </c>
      <c r="H3172" s="7">
        <f ca="1">IFERROR(__xludf.DUMMYFUNCTION("""COMPUTED_VALUE"""),529508.06413)</f>
        <v>529508.06412999996</v>
      </c>
    </row>
    <row r="3173" spans="1:8" ht="13" x14ac:dyDescent="0.15">
      <c r="A3173" s="5" t="str">
        <f ca="1">IFERROR(__xludf.DUMMYFUNCTION("""COMPUTED_VALUE"""),"56118")</f>
        <v>56118</v>
      </c>
      <c r="B3173" s="51">
        <f ca="1">IFERROR(__xludf.DUMMYFUNCTION("""COMPUTED_VALUE"""),44638)</f>
        <v>44638</v>
      </c>
      <c r="C3173" s="22">
        <f ca="1">IFERROR(__xludf.DUMMYFUNCTION("""COMPUTED_VALUE"""),-193421.27416)</f>
        <v>-193421.27416</v>
      </c>
      <c r="D3173" s="22">
        <f ca="1">IFERROR(__xludf.DUMMYFUNCTION("""COMPUTED_VALUE"""),717167.4066)</f>
        <v>717167.40659999999</v>
      </c>
      <c r="E3173" s="22">
        <f ca="1">IFERROR(__xludf.DUMMYFUNCTION("""COMPUTED_VALUE"""),523746.132439999)</f>
        <v>523746.13243999903</v>
      </c>
      <c r="F3173" s="22">
        <f ca="1">IFERROR(__xludf.DUMMYFUNCTION("""COMPUTED_VALUE"""),-193421.27416)</f>
        <v>-193421.27416</v>
      </c>
      <c r="G3173" s="22">
        <f ca="1">IFERROR(__xludf.DUMMYFUNCTION("""COMPUTED_VALUE"""),193421.27416)</f>
        <v>193421.27416</v>
      </c>
      <c r="H3173" s="7">
        <f ca="1">IFERROR(__xludf.DUMMYFUNCTION("""COMPUTED_VALUE"""),525259.94546)</f>
        <v>525259.94545999996</v>
      </c>
    </row>
    <row r="3174" spans="1:8" ht="13" x14ac:dyDescent="0.15">
      <c r="A3174" s="5" t="str">
        <f ca="1">IFERROR(__xludf.DUMMYFUNCTION("""COMPUTED_VALUE"""),"56118")</f>
        <v>56118</v>
      </c>
      <c r="B3174" s="51">
        <f ca="1">IFERROR(__xludf.DUMMYFUNCTION("""COMPUTED_VALUE"""),44639)</f>
        <v>44639</v>
      </c>
      <c r="C3174" s="22">
        <f ca="1">IFERROR(__xludf.DUMMYFUNCTION("""COMPUTED_VALUE"""),-193421.27416)</f>
        <v>-193421.27416</v>
      </c>
      <c r="D3174" s="22">
        <f ca="1">IFERROR(__xludf.DUMMYFUNCTION("""COMPUTED_VALUE"""),717167.4066)</f>
        <v>717167.40659999999</v>
      </c>
      <c r="E3174" s="22">
        <f ca="1">IFERROR(__xludf.DUMMYFUNCTION("""COMPUTED_VALUE"""),523746.132439999)</f>
        <v>523746.13243999903</v>
      </c>
      <c r="F3174" s="22">
        <f ca="1">IFERROR(__xludf.DUMMYFUNCTION("""COMPUTED_VALUE"""),-193421.27416)</f>
        <v>-193421.27416</v>
      </c>
      <c r="G3174" s="22">
        <f ca="1">IFERROR(__xludf.DUMMYFUNCTION("""COMPUTED_VALUE"""),193421.27416)</f>
        <v>193421.27416</v>
      </c>
      <c r="H3174" s="7">
        <f ca="1">IFERROR(__xludf.DUMMYFUNCTION("""COMPUTED_VALUE"""),525259.94546)</f>
        <v>525259.94545999996</v>
      </c>
    </row>
    <row r="3175" spans="1:8" ht="13" x14ac:dyDescent="0.15">
      <c r="A3175" s="5" t="str">
        <f ca="1">IFERROR(__xludf.DUMMYFUNCTION("""COMPUTED_VALUE"""),"56118")</f>
        <v>56118</v>
      </c>
      <c r="B3175" s="51">
        <f ca="1">IFERROR(__xludf.DUMMYFUNCTION("""COMPUTED_VALUE"""),44640)</f>
        <v>44640</v>
      </c>
      <c r="C3175" s="22">
        <f ca="1">IFERROR(__xludf.DUMMYFUNCTION("""COMPUTED_VALUE"""),-193421.27416)</f>
        <v>-193421.27416</v>
      </c>
      <c r="D3175" s="22">
        <f ca="1">IFERROR(__xludf.DUMMYFUNCTION("""COMPUTED_VALUE"""),717059.934311999)</f>
        <v>717059.93431199901</v>
      </c>
      <c r="E3175" s="22">
        <f ca="1">IFERROR(__xludf.DUMMYFUNCTION("""COMPUTED_VALUE"""),523638.660151999)</f>
        <v>523638.66015199898</v>
      </c>
      <c r="F3175" s="22">
        <f ca="1">IFERROR(__xludf.DUMMYFUNCTION("""COMPUTED_VALUE"""),-193421.27416)</f>
        <v>-193421.27416</v>
      </c>
      <c r="G3175" s="22">
        <f ca="1">IFERROR(__xludf.DUMMYFUNCTION("""COMPUTED_VALUE"""),193421.27416)</f>
        <v>193421.27416</v>
      </c>
      <c r="H3175" s="7">
        <f ca="1">IFERROR(__xludf.DUMMYFUNCTION("""COMPUTED_VALUE"""),525149.107501999)</f>
        <v>525149.10750199901</v>
      </c>
    </row>
    <row r="3176" spans="1:8" ht="13" x14ac:dyDescent="0.15">
      <c r="A3176" s="5" t="str">
        <f ca="1">IFERROR(__xludf.DUMMYFUNCTION("""COMPUTED_VALUE"""),"56118")</f>
        <v>56118</v>
      </c>
      <c r="B3176" s="51">
        <f ca="1">IFERROR(__xludf.DUMMYFUNCTION("""COMPUTED_VALUE"""),44641)</f>
        <v>44641</v>
      </c>
      <c r="C3176" s="22">
        <f ca="1">IFERROR(__xludf.DUMMYFUNCTION("""COMPUTED_VALUE"""),-153870.667315)</f>
        <v>-153870.667315</v>
      </c>
      <c r="D3176" s="22">
        <f ca="1">IFERROR(__xludf.DUMMYFUNCTION("""COMPUTED_VALUE"""),679352.399955)</f>
        <v>679352.39995500003</v>
      </c>
      <c r="E3176" s="22">
        <f ca="1">IFERROR(__xludf.DUMMYFUNCTION("""COMPUTED_VALUE"""),525481.73264)</f>
        <v>525481.73263999994</v>
      </c>
      <c r="F3176" s="22">
        <f ca="1">IFERROR(__xludf.DUMMYFUNCTION("""COMPUTED_VALUE"""),-153870.667315)</f>
        <v>-153870.667315</v>
      </c>
      <c r="G3176" s="22">
        <f ca="1">IFERROR(__xludf.DUMMYFUNCTION("""COMPUTED_VALUE"""),153870.667315)</f>
        <v>153870.667315</v>
      </c>
      <c r="H3176" s="7">
        <f ca="1">IFERROR(__xludf.DUMMYFUNCTION("""COMPUTED_VALUE"""),525481.73264)</f>
        <v>525481.73263999994</v>
      </c>
    </row>
    <row r="3177" spans="1:8" ht="13" x14ac:dyDescent="0.15">
      <c r="A3177" s="5" t="str">
        <f ca="1">IFERROR(__xludf.DUMMYFUNCTION("""COMPUTED_VALUE"""),"56118")</f>
        <v>56118</v>
      </c>
      <c r="B3177" s="51">
        <f ca="1">IFERROR(__xludf.DUMMYFUNCTION("""COMPUTED_VALUE"""),44642)</f>
        <v>44642</v>
      </c>
      <c r="C3177" s="22">
        <f ca="1">IFERROR(__xludf.DUMMYFUNCTION("""COMPUTED_VALUE"""),-153870.667315)</f>
        <v>-153870.667315</v>
      </c>
      <c r="D3177" s="22">
        <f ca="1">IFERROR(__xludf.DUMMYFUNCTION("""COMPUTED_VALUE"""),671433.53375)</f>
        <v>671433.53374999994</v>
      </c>
      <c r="E3177" s="22">
        <f ca="1">IFERROR(__xludf.DUMMYFUNCTION("""COMPUTED_VALUE"""),517562.866435)</f>
        <v>517562.86643499997</v>
      </c>
      <c r="F3177" s="22">
        <f ca="1">IFERROR(__xludf.DUMMYFUNCTION("""COMPUTED_VALUE"""),-153870.667315)</f>
        <v>-153870.667315</v>
      </c>
      <c r="G3177" s="22">
        <f ca="1">IFERROR(__xludf.DUMMYFUNCTION("""COMPUTED_VALUE"""),153870.667315)</f>
        <v>153870.667315</v>
      </c>
      <c r="H3177" s="7">
        <f ca="1">IFERROR(__xludf.DUMMYFUNCTION("""COMPUTED_VALUE"""),517457.308425)</f>
        <v>517457.308425</v>
      </c>
    </row>
    <row r="3178" spans="1:8" ht="13" x14ac:dyDescent="0.15">
      <c r="A3178" s="5" t="str">
        <f ca="1">IFERROR(__xludf.DUMMYFUNCTION("""COMPUTED_VALUE"""),"69930")</f>
        <v>69930</v>
      </c>
      <c r="B3178" s="51">
        <f ca="1">IFERROR(__xludf.DUMMYFUNCTION("""COMPUTED_VALUE"""),44597)</f>
        <v>44597</v>
      </c>
      <c r="C3178" s="22">
        <f ca="1">IFERROR(__xludf.DUMMYFUNCTION("""COMPUTED_VALUE"""),500000)</f>
        <v>500000</v>
      </c>
      <c r="D3178" s="22">
        <f ca="1">IFERROR(__xludf.DUMMYFUNCTION("""COMPUTED_VALUE"""),0)</f>
        <v>0</v>
      </c>
      <c r="E3178" s="22">
        <f ca="1">IFERROR(__xludf.DUMMYFUNCTION("""COMPUTED_VALUE"""),500000)</f>
        <v>500000</v>
      </c>
      <c r="F3178" s="22">
        <f ca="1">IFERROR(__xludf.DUMMYFUNCTION("""COMPUTED_VALUE"""),500000)</f>
        <v>500000</v>
      </c>
      <c r="G3178" s="22">
        <f ca="1">IFERROR(__xludf.DUMMYFUNCTION("""COMPUTED_VALUE"""),0)</f>
        <v>0</v>
      </c>
      <c r="H3178" s="7">
        <f ca="1">IFERROR(__xludf.DUMMYFUNCTION("""COMPUTED_VALUE"""),500000)</f>
        <v>500000</v>
      </c>
    </row>
    <row r="3179" spans="1:8" ht="13" x14ac:dyDescent="0.15">
      <c r="A3179" s="5" t="str">
        <f ca="1">IFERROR(__xludf.DUMMYFUNCTION("""COMPUTED_VALUE"""),"69930")</f>
        <v>69930</v>
      </c>
      <c r="B3179" s="51">
        <f ca="1">IFERROR(__xludf.DUMMYFUNCTION("""COMPUTED_VALUE"""),44598)</f>
        <v>44598</v>
      </c>
      <c r="C3179" s="22">
        <f ca="1">IFERROR(__xludf.DUMMYFUNCTION("""COMPUTED_VALUE"""),500000)</f>
        <v>500000</v>
      </c>
      <c r="D3179" s="22">
        <f ca="1">IFERROR(__xludf.DUMMYFUNCTION("""COMPUTED_VALUE"""),0)</f>
        <v>0</v>
      </c>
      <c r="E3179" s="22">
        <f ca="1">IFERROR(__xludf.DUMMYFUNCTION("""COMPUTED_VALUE"""),500000)</f>
        <v>500000</v>
      </c>
      <c r="F3179" s="22">
        <f ca="1">IFERROR(__xludf.DUMMYFUNCTION("""COMPUTED_VALUE"""),500000)</f>
        <v>500000</v>
      </c>
      <c r="G3179" s="22">
        <f ca="1">IFERROR(__xludf.DUMMYFUNCTION("""COMPUTED_VALUE"""),0)</f>
        <v>0</v>
      </c>
      <c r="H3179" s="7">
        <f ca="1">IFERROR(__xludf.DUMMYFUNCTION("""COMPUTED_VALUE"""),500000)</f>
        <v>500000</v>
      </c>
    </row>
    <row r="3180" spans="1:8" ht="13" x14ac:dyDescent="0.15">
      <c r="A3180" s="5" t="str">
        <f ca="1">IFERROR(__xludf.DUMMYFUNCTION("""COMPUTED_VALUE"""),"69930")</f>
        <v>69930</v>
      </c>
      <c r="B3180" s="51">
        <f ca="1">IFERROR(__xludf.DUMMYFUNCTION("""COMPUTED_VALUE"""),44599)</f>
        <v>44599</v>
      </c>
      <c r="C3180" s="22">
        <f ca="1">IFERROR(__xludf.DUMMYFUNCTION("""COMPUTED_VALUE"""),500000)</f>
        <v>500000</v>
      </c>
      <c r="D3180" s="22">
        <f ca="1">IFERROR(__xludf.DUMMYFUNCTION("""COMPUTED_VALUE"""),0)</f>
        <v>0</v>
      </c>
      <c r="E3180" s="22">
        <f ca="1">IFERROR(__xludf.DUMMYFUNCTION("""COMPUTED_VALUE"""),500000)</f>
        <v>500000</v>
      </c>
      <c r="F3180" s="22">
        <f ca="1">IFERROR(__xludf.DUMMYFUNCTION("""COMPUTED_VALUE"""),500000)</f>
        <v>500000</v>
      </c>
      <c r="G3180" s="22">
        <f ca="1">IFERROR(__xludf.DUMMYFUNCTION("""COMPUTED_VALUE"""),0)</f>
        <v>0</v>
      </c>
      <c r="H3180" s="7">
        <f ca="1">IFERROR(__xludf.DUMMYFUNCTION("""COMPUTED_VALUE"""),500000)</f>
        <v>500000</v>
      </c>
    </row>
    <row r="3181" spans="1:8" ht="13" x14ac:dyDescent="0.15">
      <c r="A3181" s="5" t="str">
        <f ca="1">IFERROR(__xludf.DUMMYFUNCTION("""COMPUTED_VALUE"""),"69930")</f>
        <v>69930</v>
      </c>
      <c r="B3181" s="51">
        <f ca="1">IFERROR(__xludf.DUMMYFUNCTION("""COMPUTED_VALUE"""),44600)</f>
        <v>44600</v>
      </c>
      <c r="C3181" s="22">
        <f ca="1">IFERROR(__xludf.DUMMYFUNCTION("""COMPUTED_VALUE"""),500000)</f>
        <v>500000</v>
      </c>
      <c r="D3181" s="22">
        <f ca="1">IFERROR(__xludf.DUMMYFUNCTION("""COMPUTED_VALUE"""),0)</f>
        <v>0</v>
      </c>
      <c r="E3181" s="22">
        <f ca="1">IFERROR(__xludf.DUMMYFUNCTION("""COMPUTED_VALUE"""),500000)</f>
        <v>500000</v>
      </c>
      <c r="F3181" s="22">
        <f ca="1">IFERROR(__xludf.DUMMYFUNCTION("""COMPUTED_VALUE"""),500000)</f>
        <v>500000</v>
      </c>
      <c r="G3181" s="22">
        <f ca="1">IFERROR(__xludf.DUMMYFUNCTION("""COMPUTED_VALUE"""),0)</f>
        <v>0</v>
      </c>
      <c r="H3181" s="7">
        <f ca="1">IFERROR(__xludf.DUMMYFUNCTION("""COMPUTED_VALUE"""),500000)</f>
        <v>500000</v>
      </c>
    </row>
    <row r="3182" spans="1:8" ht="13" x14ac:dyDescent="0.15">
      <c r="A3182" s="5" t="str">
        <f ca="1">IFERROR(__xludf.DUMMYFUNCTION("""COMPUTED_VALUE"""),"69930")</f>
        <v>69930</v>
      </c>
      <c r="B3182" s="51">
        <f ca="1">IFERROR(__xludf.DUMMYFUNCTION("""COMPUTED_VALUE"""),44601)</f>
        <v>44601</v>
      </c>
      <c r="C3182" s="22">
        <f ca="1">IFERROR(__xludf.DUMMYFUNCTION("""COMPUTED_VALUE"""),500000)</f>
        <v>500000</v>
      </c>
      <c r="D3182" s="22">
        <f ca="1">IFERROR(__xludf.DUMMYFUNCTION("""COMPUTED_VALUE"""),0)</f>
        <v>0</v>
      </c>
      <c r="E3182" s="22">
        <f ca="1">IFERROR(__xludf.DUMMYFUNCTION("""COMPUTED_VALUE"""),500000)</f>
        <v>500000</v>
      </c>
      <c r="F3182" s="22">
        <f ca="1">IFERROR(__xludf.DUMMYFUNCTION("""COMPUTED_VALUE"""),500000)</f>
        <v>500000</v>
      </c>
      <c r="G3182" s="22">
        <f ca="1">IFERROR(__xludf.DUMMYFUNCTION("""COMPUTED_VALUE"""),0)</f>
        <v>0</v>
      </c>
      <c r="H3182" s="7">
        <f ca="1">IFERROR(__xludf.DUMMYFUNCTION("""COMPUTED_VALUE"""),500000)</f>
        <v>500000</v>
      </c>
    </row>
    <row r="3183" spans="1:8" ht="13" x14ac:dyDescent="0.15">
      <c r="A3183" s="5" t="str">
        <f ca="1">IFERROR(__xludf.DUMMYFUNCTION("""COMPUTED_VALUE"""),"69930")</f>
        <v>69930</v>
      </c>
      <c r="B3183" s="51">
        <f ca="1">IFERROR(__xludf.DUMMYFUNCTION("""COMPUTED_VALUE"""),44602)</f>
        <v>44602</v>
      </c>
      <c r="C3183" s="22">
        <f ca="1">IFERROR(__xludf.DUMMYFUNCTION("""COMPUTED_VALUE"""),500000)</f>
        <v>500000</v>
      </c>
      <c r="D3183" s="22">
        <f ca="1">IFERROR(__xludf.DUMMYFUNCTION("""COMPUTED_VALUE"""),0)</f>
        <v>0</v>
      </c>
      <c r="E3183" s="22">
        <f ca="1">IFERROR(__xludf.DUMMYFUNCTION("""COMPUTED_VALUE"""),500000)</f>
        <v>500000</v>
      </c>
      <c r="F3183" s="22">
        <f ca="1">IFERROR(__xludf.DUMMYFUNCTION("""COMPUTED_VALUE"""),500000)</f>
        <v>500000</v>
      </c>
      <c r="G3183" s="22">
        <f ca="1">IFERROR(__xludf.DUMMYFUNCTION("""COMPUTED_VALUE"""),0)</f>
        <v>0</v>
      </c>
      <c r="H3183" s="7">
        <f ca="1">IFERROR(__xludf.DUMMYFUNCTION("""COMPUTED_VALUE"""),500000)</f>
        <v>500000</v>
      </c>
    </row>
    <row r="3184" spans="1:8" ht="13" x14ac:dyDescent="0.15">
      <c r="A3184" s="5" t="str">
        <f ca="1">IFERROR(__xludf.DUMMYFUNCTION("""COMPUTED_VALUE"""),"69930")</f>
        <v>69930</v>
      </c>
      <c r="B3184" s="51">
        <f ca="1">IFERROR(__xludf.DUMMYFUNCTION("""COMPUTED_VALUE"""),44603)</f>
        <v>44603</v>
      </c>
      <c r="C3184" s="22">
        <f ca="1">IFERROR(__xludf.DUMMYFUNCTION("""COMPUTED_VALUE"""),493070)</f>
        <v>493070</v>
      </c>
      <c r="D3184" s="22">
        <f ca="1">IFERROR(__xludf.DUMMYFUNCTION("""COMPUTED_VALUE"""),6930)</f>
        <v>6930</v>
      </c>
      <c r="E3184" s="22">
        <f ca="1">IFERROR(__xludf.DUMMYFUNCTION("""COMPUTED_VALUE"""),500000)</f>
        <v>500000</v>
      </c>
      <c r="F3184" s="22">
        <f ca="1">IFERROR(__xludf.DUMMYFUNCTION("""COMPUTED_VALUE"""),493070)</f>
        <v>493070</v>
      </c>
      <c r="G3184" s="22">
        <f ca="1">IFERROR(__xludf.DUMMYFUNCTION("""COMPUTED_VALUE"""),0)</f>
        <v>0</v>
      </c>
      <c r="H3184" s="7">
        <f ca="1">IFERROR(__xludf.DUMMYFUNCTION("""COMPUTED_VALUE"""),500000)</f>
        <v>500000</v>
      </c>
    </row>
    <row r="3185" spans="1:8" ht="13" x14ac:dyDescent="0.15">
      <c r="A3185" s="5" t="str">
        <f ca="1">IFERROR(__xludf.DUMMYFUNCTION("""COMPUTED_VALUE"""),"69930")</f>
        <v>69930</v>
      </c>
      <c r="B3185" s="51">
        <f ca="1">IFERROR(__xludf.DUMMYFUNCTION("""COMPUTED_VALUE"""),44604)</f>
        <v>44604</v>
      </c>
      <c r="C3185" s="22">
        <f ca="1">IFERROR(__xludf.DUMMYFUNCTION("""COMPUTED_VALUE"""),493070)</f>
        <v>493070</v>
      </c>
      <c r="D3185" s="22">
        <f ca="1">IFERROR(__xludf.DUMMYFUNCTION("""COMPUTED_VALUE"""),6930)</f>
        <v>6930</v>
      </c>
      <c r="E3185" s="22">
        <f ca="1">IFERROR(__xludf.DUMMYFUNCTION("""COMPUTED_VALUE"""),500000)</f>
        <v>500000</v>
      </c>
      <c r="F3185" s="22">
        <f ca="1">IFERROR(__xludf.DUMMYFUNCTION("""COMPUTED_VALUE"""),493070)</f>
        <v>493070</v>
      </c>
      <c r="G3185" s="22">
        <f ca="1">IFERROR(__xludf.DUMMYFUNCTION("""COMPUTED_VALUE"""),0)</f>
        <v>0</v>
      </c>
      <c r="H3185" s="7">
        <f ca="1">IFERROR(__xludf.DUMMYFUNCTION("""COMPUTED_VALUE"""),500000)</f>
        <v>500000</v>
      </c>
    </row>
    <row r="3186" spans="1:8" ht="13" x14ac:dyDescent="0.15">
      <c r="A3186" s="5" t="str">
        <f ca="1">IFERROR(__xludf.DUMMYFUNCTION("""COMPUTED_VALUE"""),"69930")</f>
        <v>69930</v>
      </c>
      <c r="B3186" s="51">
        <f ca="1">IFERROR(__xludf.DUMMYFUNCTION("""COMPUTED_VALUE"""),44605)</f>
        <v>44605</v>
      </c>
      <c r="C3186" s="22">
        <f ca="1">IFERROR(__xludf.DUMMYFUNCTION("""COMPUTED_VALUE"""),493070)</f>
        <v>493070</v>
      </c>
      <c r="D3186" s="22">
        <f ca="1">IFERROR(__xludf.DUMMYFUNCTION("""COMPUTED_VALUE"""),6930)</f>
        <v>6930</v>
      </c>
      <c r="E3186" s="22">
        <f ca="1">IFERROR(__xludf.DUMMYFUNCTION("""COMPUTED_VALUE"""),500000)</f>
        <v>500000</v>
      </c>
      <c r="F3186" s="22">
        <f ca="1">IFERROR(__xludf.DUMMYFUNCTION("""COMPUTED_VALUE"""),493070)</f>
        <v>493070</v>
      </c>
      <c r="G3186" s="22">
        <f ca="1">IFERROR(__xludf.DUMMYFUNCTION("""COMPUTED_VALUE"""),0)</f>
        <v>0</v>
      </c>
      <c r="H3186" s="7">
        <f ca="1">IFERROR(__xludf.DUMMYFUNCTION("""COMPUTED_VALUE"""),500000)</f>
        <v>500000</v>
      </c>
    </row>
    <row r="3187" spans="1:8" ht="13" x14ac:dyDescent="0.15">
      <c r="A3187" s="5" t="str">
        <f ca="1">IFERROR(__xludf.DUMMYFUNCTION("""COMPUTED_VALUE"""),"69930")</f>
        <v>69930</v>
      </c>
      <c r="B3187" s="51">
        <f ca="1">IFERROR(__xludf.DUMMYFUNCTION("""COMPUTED_VALUE"""),44606)</f>
        <v>44606</v>
      </c>
      <c r="C3187" s="22">
        <f ca="1">IFERROR(__xludf.DUMMYFUNCTION("""COMPUTED_VALUE"""),493070)</f>
        <v>493070</v>
      </c>
      <c r="D3187" s="22">
        <f ca="1">IFERROR(__xludf.DUMMYFUNCTION("""COMPUTED_VALUE"""),6930)</f>
        <v>6930</v>
      </c>
      <c r="E3187" s="22">
        <f ca="1">IFERROR(__xludf.DUMMYFUNCTION("""COMPUTED_VALUE"""),500000)</f>
        <v>500000</v>
      </c>
      <c r="F3187" s="22">
        <f ca="1">IFERROR(__xludf.DUMMYFUNCTION("""COMPUTED_VALUE"""),493070)</f>
        <v>493070</v>
      </c>
      <c r="G3187" s="22">
        <f ca="1">IFERROR(__xludf.DUMMYFUNCTION("""COMPUTED_VALUE"""),0)</f>
        <v>0</v>
      </c>
      <c r="H3187" s="7">
        <f ca="1">IFERROR(__xludf.DUMMYFUNCTION("""COMPUTED_VALUE"""),499735)</f>
        <v>499735</v>
      </c>
    </row>
    <row r="3188" spans="1:8" ht="13" x14ac:dyDescent="0.15">
      <c r="A3188" s="5" t="str">
        <f ca="1">IFERROR(__xludf.DUMMYFUNCTION("""COMPUTED_VALUE"""),"69930")</f>
        <v>69930</v>
      </c>
      <c r="B3188" s="51">
        <f ca="1">IFERROR(__xludf.DUMMYFUNCTION("""COMPUTED_VALUE"""),44607)</f>
        <v>44607</v>
      </c>
      <c r="C3188" s="22">
        <f ca="1">IFERROR(__xludf.DUMMYFUNCTION("""COMPUTED_VALUE"""),493070)</f>
        <v>493070</v>
      </c>
      <c r="D3188" s="22">
        <f ca="1">IFERROR(__xludf.DUMMYFUNCTION("""COMPUTED_VALUE"""),6930)</f>
        <v>6930</v>
      </c>
      <c r="E3188" s="22">
        <f ca="1">IFERROR(__xludf.DUMMYFUNCTION("""COMPUTED_VALUE"""),500000)</f>
        <v>500000</v>
      </c>
      <c r="F3188" s="22">
        <f ca="1">IFERROR(__xludf.DUMMYFUNCTION("""COMPUTED_VALUE"""),493070)</f>
        <v>493070</v>
      </c>
      <c r="G3188" s="22">
        <f ca="1">IFERROR(__xludf.DUMMYFUNCTION("""COMPUTED_VALUE"""),0)</f>
        <v>0</v>
      </c>
      <c r="H3188" s="7">
        <f ca="1">IFERROR(__xludf.DUMMYFUNCTION("""COMPUTED_VALUE"""),499500)</f>
        <v>499500</v>
      </c>
    </row>
    <row r="3189" spans="1:8" ht="13" x14ac:dyDescent="0.15">
      <c r="A3189" s="5" t="str">
        <f ca="1">IFERROR(__xludf.DUMMYFUNCTION("""COMPUTED_VALUE"""),"69930")</f>
        <v>69930</v>
      </c>
      <c r="B3189" s="51">
        <f ca="1">IFERROR(__xludf.DUMMYFUNCTION("""COMPUTED_VALUE"""),44608)</f>
        <v>44608</v>
      </c>
      <c r="C3189" s="22">
        <f ca="1">IFERROR(__xludf.DUMMYFUNCTION("""COMPUTED_VALUE"""),493070)</f>
        <v>493070</v>
      </c>
      <c r="D3189" s="22">
        <f ca="1">IFERROR(__xludf.DUMMYFUNCTION("""COMPUTED_VALUE"""),6930)</f>
        <v>6930</v>
      </c>
      <c r="E3189" s="22">
        <f ca="1">IFERROR(__xludf.DUMMYFUNCTION("""COMPUTED_VALUE"""),500000)</f>
        <v>500000</v>
      </c>
      <c r="F3189" s="22">
        <f ca="1">IFERROR(__xludf.DUMMYFUNCTION("""COMPUTED_VALUE"""),493070)</f>
        <v>493070</v>
      </c>
      <c r="G3189" s="22">
        <f ca="1">IFERROR(__xludf.DUMMYFUNCTION("""COMPUTED_VALUE"""),0)</f>
        <v>0</v>
      </c>
      <c r="H3189" s="7">
        <f ca="1">IFERROR(__xludf.DUMMYFUNCTION("""COMPUTED_VALUE"""),499725)</f>
        <v>499725</v>
      </c>
    </row>
    <row r="3190" spans="1:8" ht="13" x14ac:dyDescent="0.15">
      <c r="A3190" s="5" t="str">
        <f ca="1">IFERROR(__xludf.DUMMYFUNCTION("""COMPUTED_VALUE"""),"69930")</f>
        <v>69930</v>
      </c>
      <c r="B3190" s="51">
        <f ca="1">IFERROR(__xludf.DUMMYFUNCTION("""COMPUTED_VALUE"""),44609)</f>
        <v>44609</v>
      </c>
      <c r="C3190" s="22">
        <f ca="1">IFERROR(__xludf.DUMMYFUNCTION("""COMPUTED_VALUE"""),493070)</f>
        <v>493070</v>
      </c>
      <c r="D3190" s="22">
        <f ca="1">IFERROR(__xludf.DUMMYFUNCTION("""COMPUTED_VALUE"""),6930)</f>
        <v>6930</v>
      </c>
      <c r="E3190" s="22">
        <f ca="1">IFERROR(__xludf.DUMMYFUNCTION("""COMPUTED_VALUE"""),500000)</f>
        <v>500000</v>
      </c>
      <c r="F3190" s="22">
        <f ca="1">IFERROR(__xludf.DUMMYFUNCTION("""COMPUTED_VALUE"""),493070)</f>
        <v>493070</v>
      </c>
      <c r="G3190" s="22">
        <f ca="1">IFERROR(__xludf.DUMMYFUNCTION("""COMPUTED_VALUE"""),0)</f>
        <v>0</v>
      </c>
      <c r="H3190" s="7">
        <f ca="1">IFERROR(__xludf.DUMMYFUNCTION("""COMPUTED_VALUE"""),499730)</f>
        <v>499730</v>
      </c>
    </row>
    <row r="3191" spans="1:8" ht="13" x14ac:dyDescent="0.15">
      <c r="A3191" s="5" t="str">
        <f ca="1">IFERROR(__xludf.DUMMYFUNCTION("""COMPUTED_VALUE"""),"69930")</f>
        <v>69930</v>
      </c>
      <c r="B3191" s="51">
        <f ca="1">IFERROR(__xludf.DUMMYFUNCTION("""COMPUTED_VALUE"""),44610)</f>
        <v>44610</v>
      </c>
      <c r="C3191" s="22">
        <f ca="1">IFERROR(__xludf.DUMMYFUNCTION("""COMPUTED_VALUE"""),493070)</f>
        <v>493070</v>
      </c>
      <c r="D3191" s="22">
        <f ca="1">IFERROR(__xludf.DUMMYFUNCTION("""COMPUTED_VALUE"""),6930)</f>
        <v>6930</v>
      </c>
      <c r="E3191" s="22">
        <f ca="1">IFERROR(__xludf.DUMMYFUNCTION("""COMPUTED_VALUE"""),500000)</f>
        <v>500000</v>
      </c>
      <c r="F3191" s="22">
        <f ca="1">IFERROR(__xludf.DUMMYFUNCTION("""COMPUTED_VALUE"""),493070)</f>
        <v>493070</v>
      </c>
      <c r="G3191" s="22">
        <f ca="1">IFERROR(__xludf.DUMMYFUNCTION("""COMPUTED_VALUE"""),0)</f>
        <v>0</v>
      </c>
      <c r="H3191" s="7">
        <f ca="1">IFERROR(__xludf.DUMMYFUNCTION("""COMPUTED_VALUE"""),499740)</f>
        <v>499740</v>
      </c>
    </row>
    <row r="3192" spans="1:8" ht="13" x14ac:dyDescent="0.15">
      <c r="A3192" s="5" t="str">
        <f ca="1">IFERROR(__xludf.DUMMYFUNCTION("""COMPUTED_VALUE"""),"69930")</f>
        <v>69930</v>
      </c>
      <c r="B3192" s="51">
        <f ca="1">IFERROR(__xludf.DUMMYFUNCTION("""COMPUTED_VALUE"""),44611)</f>
        <v>44611</v>
      </c>
      <c r="C3192" s="22">
        <f ca="1">IFERROR(__xludf.DUMMYFUNCTION("""COMPUTED_VALUE"""),493070)</f>
        <v>493070</v>
      </c>
      <c r="D3192" s="22">
        <f ca="1">IFERROR(__xludf.DUMMYFUNCTION("""COMPUTED_VALUE"""),6930)</f>
        <v>6930</v>
      </c>
      <c r="E3192" s="22">
        <f ca="1">IFERROR(__xludf.DUMMYFUNCTION("""COMPUTED_VALUE"""),500000)</f>
        <v>500000</v>
      </c>
      <c r="F3192" s="22">
        <f ca="1">IFERROR(__xludf.DUMMYFUNCTION("""COMPUTED_VALUE"""),493070)</f>
        <v>493070</v>
      </c>
      <c r="G3192" s="22">
        <f ca="1">IFERROR(__xludf.DUMMYFUNCTION("""COMPUTED_VALUE"""),0)</f>
        <v>0</v>
      </c>
      <c r="H3192" s="7">
        <f ca="1">IFERROR(__xludf.DUMMYFUNCTION("""COMPUTED_VALUE"""),499740)</f>
        <v>499740</v>
      </c>
    </row>
    <row r="3193" spans="1:8" ht="13" x14ac:dyDescent="0.15">
      <c r="A3193" s="5" t="str">
        <f ca="1">IFERROR(__xludf.DUMMYFUNCTION("""COMPUTED_VALUE"""),"69930")</f>
        <v>69930</v>
      </c>
      <c r="B3193" s="51">
        <f ca="1">IFERROR(__xludf.DUMMYFUNCTION("""COMPUTED_VALUE"""),44612)</f>
        <v>44612</v>
      </c>
      <c r="C3193" s="22">
        <f ca="1">IFERROR(__xludf.DUMMYFUNCTION("""COMPUTED_VALUE"""),493070)</f>
        <v>493070</v>
      </c>
      <c r="D3193" s="22">
        <f ca="1">IFERROR(__xludf.DUMMYFUNCTION("""COMPUTED_VALUE"""),6930)</f>
        <v>6930</v>
      </c>
      <c r="E3193" s="22">
        <f ca="1">IFERROR(__xludf.DUMMYFUNCTION("""COMPUTED_VALUE"""),500000)</f>
        <v>500000</v>
      </c>
      <c r="F3193" s="22">
        <f ca="1">IFERROR(__xludf.DUMMYFUNCTION("""COMPUTED_VALUE"""),493070)</f>
        <v>493070</v>
      </c>
      <c r="G3193" s="22">
        <f ca="1">IFERROR(__xludf.DUMMYFUNCTION("""COMPUTED_VALUE"""),0)</f>
        <v>0</v>
      </c>
      <c r="H3193" s="7">
        <f ca="1">IFERROR(__xludf.DUMMYFUNCTION("""COMPUTED_VALUE"""),499740)</f>
        <v>499740</v>
      </c>
    </row>
    <row r="3194" spans="1:8" ht="13" x14ac:dyDescent="0.15">
      <c r="A3194" s="5" t="str">
        <f ca="1">IFERROR(__xludf.DUMMYFUNCTION("""COMPUTED_VALUE"""),"69930")</f>
        <v>69930</v>
      </c>
      <c r="B3194" s="51">
        <f ca="1">IFERROR(__xludf.DUMMYFUNCTION("""COMPUTED_VALUE"""),44613)</f>
        <v>44613</v>
      </c>
      <c r="C3194" s="22">
        <f ca="1">IFERROR(__xludf.DUMMYFUNCTION("""COMPUTED_VALUE"""),493070)</f>
        <v>493070</v>
      </c>
      <c r="D3194" s="22">
        <f ca="1">IFERROR(__xludf.DUMMYFUNCTION("""COMPUTED_VALUE"""),6930)</f>
        <v>6930</v>
      </c>
      <c r="E3194" s="22">
        <f ca="1">IFERROR(__xludf.DUMMYFUNCTION("""COMPUTED_VALUE"""),500000)</f>
        <v>500000</v>
      </c>
      <c r="F3194" s="22">
        <f ca="1">IFERROR(__xludf.DUMMYFUNCTION("""COMPUTED_VALUE"""),493070)</f>
        <v>493070</v>
      </c>
      <c r="G3194" s="22">
        <f ca="1">IFERROR(__xludf.DUMMYFUNCTION("""COMPUTED_VALUE"""),0)</f>
        <v>0</v>
      </c>
      <c r="H3194" s="7">
        <f ca="1">IFERROR(__xludf.DUMMYFUNCTION("""COMPUTED_VALUE"""),499790)</f>
        <v>499790</v>
      </c>
    </row>
    <row r="3195" spans="1:8" ht="13" x14ac:dyDescent="0.15">
      <c r="A3195" s="5" t="str">
        <f ca="1">IFERROR(__xludf.DUMMYFUNCTION("""COMPUTED_VALUE"""),"69930")</f>
        <v>69930</v>
      </c>
      <c r="B3195" s="51">
        <f ca="1">IFERROR(__xludf.DUMMYFUNCTION("""COMPUTED_VALUE"""),44614)</f>
        <v>44614</v>
      </c>
      <c r="C3195" s="22">
        <f ca="1">IFERROR(__xludf.DUMMYFUNCTION("""COMPUTED_VALUE"""),493070)</f>
        <v>493070</v>
      </c>
      <c r="D3195" s="22">
        <f ca="1">IFERROR(__xludf.DUMMYFUNCTION("""COMPUTED_VALUE"""),6930)</f>
        <v>6930</v>
      </c>
      <c r="E3195" s="22">
        <f ca="1">IFERROR(__xludf.DUMMYFUNCTION("""COMPUTED_VALUE"""),500000)</f>
        <v>500000</v>
      </c>
      <c r="F3195" s="22">
        <f ca="1">IFERROR(__xludf.DUMMYFUNCTION("""COMPUTED_VALUE"""),493070)</f>
        <v>493070</v>
      </c>
      <c r="G3195" s="22">
        <f ca="1">IFERROR(__xludf.DUMMYFUNCTION("""COMPUTED_VALUE"""),0)</f>
        <v>0</v>
      </c>
      <c r="H3195" s="7">
        <f ca="1">IFERROR(__xludf.DUMMYFUNCTION("""COMPUTED_VALUE"""),499515)</f>
        <v>499515</v>
      </c>
    </row>
    <row r="3196" spans="1:8" ht="13" x14ac:dyDescent="0.15">
      <c r="A3196" s="5" t="str">
        <f ca="1">IFERROR(__xludf.DUMMYFUNCTION("""COMPUTED_VALUE"""),"69930")</f>
        <v>69930</v>
      </c>
      <c r="B3196" s="51">
        <f ca="1">IFERROR(__xludf.DUMMYFUNCTION("""COMPUTED_VALUE"""),44615)</f>
        <v>44615</v>
      </c>
      <c r="C3196" s="22">
        <f ca="1">IFERROR(__xludf.DUMMYFUNCTION("""COMPUTED_VALUE"""),493070)</f>
        <v>493070</v>
      </c>
      <c r="D3196" s="22">
        <f ca="1">IFERROR(__xludf.DUMMYFUNCTION("""COMPUTED_VALUE"""),6930)</f>
        <v>6930</v>
      </c>
      <c r="E3196" s="22">
        <f ca="1">IFERROR(__xludf.DUMMYFUNCTION("""COMPUTED_VALUE"""),500000)</f>
        <v>500000</v>
      </c>
      <c r="F3196" s="22">
        <f ca="1">IFERROR(__xludf.DUMMYFUNCTION("""COMPUTED_VALUE"""),493070)</f>
        <v>493070</v>
      </c>
      <c r="G3196" s="22">
        <f ca="1">IFERROR(__xludf.DUMMYFUNCTION("""COMPUTED_VALUE"""),0)</f>
        <v>0</v>
      </c>
      <c r="H3196" s="7">
        <f ca="1">IFERROR(__xludf.DUMMYFUNCTION("""COMPUTED_VALUE"""),499485)</f>
        <v>499485</v>
      </c>
    </row>
    <row r="3197" spans="1:8" ht="13" x14ac:dyDescent="0.15">
      <c r="A3197" s="5" t="str">
        <f ca="1">IFERROR(__xludf.DUMMYFUNCTION("""COMPUTED_VALUE"""),"69930")</f>
        <v>69930</v>
      </c>
      <c r="B3197" s="51">
        <f ca="1">IFERROR(__xludf.DUMMYFUNCTION("""COMPUTED_VALUE"""),44616)</f>
        <v>44616</v>
      </c>
      <c r="C3197" s="22">
        <f ca="1">IFERROR(__xludf.DUMMYFUNCTION("""COMPUTED_VALUE"""),493070)</f>
        <v>493070</v>
      </c>
      <c r="D3197" s="22">
        <f ca="1">IFERROR(__xludf.DUMMYFUNCTION("""COMPUTED_VALUE"""),6930)</f>
        <v>6930</v>
      </c>
      <c r="E3197" s="22">
        <f ca="1">IFERROR(__xludf.DUMMYFUNCTION("""COMPUTED_VALUE"""),500000)</f>
        <v>500000</v>
      </c>
      <c r="F3197" s="22">
        <f ca="1">IFERROR(__xludf.DUMMYFUNCTION("""COMPUTED_VALUE"""),493070)</f>
        <v>493070</v>
      </c>
      <c r="G3197" s="22">
        <f ca="1">IFERROR(__xludf.DUMMYFUNCTION("""COMPUTED_VALUE"""),0)</f>
        <v>0</v>
      </c>
      <c r="H3197" s="7">
        <f ca="1">IFERROR(__xludf.DUMMYFUNCTION("""COMPUTED_VALUE"""),499205)</f>
        <v>499205</v>
      </c>
    </row>
    <row r="3198" spans="1:8" ht="13" x14ac:dyDescent="0.15">
      <c r="A3198" s="5" t="str">
        <f ca="1">IFERROR(__xludf.DUMMYFUNCTION("""COMPUTED_VALUE"""),"69930")</f>
        <v>69930</v>
      </c>
      <c r="B3198" s="51">
        <f ca="1">IFERROR(__xludf.DUMMYFUNCTION("""COMPUTED_VALUE"""),44617)</f>
        <v>44617</v>
      </c>
      <c r="C3198" s="22">
        <f ca="1">IFERROR(__xludf.DUMMYFUNCTION("""COMPUTED_VALUE"""),493070)</f>
        <v>493070</v>
      </c>
      <c r="D3198" s="22">
        <f ca="1">IFERROR(__xludf.DUMMYFUNCTION("""COMPUTED_VALUE"""),6930)</f>
        <v>6930</v>
      </c>
      <c r="E3198" s="22">
        <f ca="1">IFERROR(__xludf.DUMMYFUNCTION("""COMPUTED_VALUE"""),500000)</f>
        <v>500000</v>
      </c>
      <c r="F3198" s="22">
        <f ca="1">IFERROR(__xludf.DUMMYFUNCTION("""COMPUTED_VALUE"""),493070)</f>
        <v>493070</v>
      </c>
      <c r="G3198" s="22">
        <f ca="1">IFERROR(__xludf.DUMMYFUNCTION("""COMPUTED_VALUE"""),0)</f>
        <v>0</v>
      </c>
      <c r="H3198" s="7">
        <f ca="1">IFERROR(__xludf.DUMMYFUNCTION("""COMPUTED_VALUE"""),499130)</f>
        <v>499130</v>
      </c>
    </row>
    <row r="3199" spans="1:8" ht="13" x14ac:dyDescent="0.15">
      <c r="A3199" s="5" t="str">
        <f ca="1">IFERROR(__xludf.DUMMYFUNCTION("""COMPUTED_VALUE"""),"69930")</f>
        <v>69930</v>
      </c>
      <c r="B3199" s="51">
        <f ca="1">IFERROR(__xludf.DUMMYFUNCTION("""COMPUTED_VALUE"""),44618)</f>
        <v>44618</v>
      </c>
      <c r="C3199" s="22">
        <f ca="1">IFERROR(__xludf.DUMMYFUNCTION("""COMPUTED_VALUE"""),493070)</f>
        <v>493070</v>
      </c>
      <c r="D3199" s="22">
        <f ca="1">IFERROR(__xludf.DUMMYFUNCTION("""COMPUTED_VALUE"""),6930)</f>
        <v>6930</v>
      </c>
      <c r="E3199" s="22">
        <f ca="1">IFERROR(__xludf.DUMMYFUNCTION("""COMPUTED_VALUE"""),500000)</f>
        <v>500000</v>
      </c>
      <c r="F3199" s="22">
        <f ca="1">IFERROR(__xludf.DUMMYFUNCTION("""COMPUTED_VALUE"""),493070)</f>
        <v>493070</v>
      </c>
      <c r="G3199" s="22">
        <f ca="1">IFERROR(__xludf.DUMMYFUNCTION("""COMPUTED_VALUE"""),0)</f>
        <v>0</v>
      </c>
      <c r="H3199" s="7">
        <f ca="1">IFERROR(__xludf.DUMMYFUNCTION("""COMPUTED_VALUE"""),499130)</f>
        <v>499130</v>
      </c>
    </row>
    <row r="3200" spans="1:8" ht="13" x14ac:dyDescent="0.15">
      <c r="A3200" s="5" t="str">
        <f ca="1">IFERROR(__xludf.DUMMYFUNCTION("""COMPUTED_VALUE"""),"69930")</f>
        <v>69930</v>
      </c>
      <c r="B3200" s="51">
        <f ca="1">IFERROR(__xludf.DUMMYFUNCTION("""COMPUTED_VALUE"""),44619)</f>
        <v>44619</v>
      </c>
      <c r="C3200" s="22">
        <f ca="1">IFERROR(__xludf.DUMMYFUNCTION("""COMPUTED_VALUE"""),493070)</f>
        <v>493070</v>
      </c>
      <c r="D3200" s="22">
        <f ca="1">IFERROR(__xludf.DUMMYFUNCTION("""COMPUTED_VALUE"""),6930)</f>
        <v>6930</v>
      </c>
      <c r="E3200" s="22">
        <f ca="1">IFERROR(__xludf.DUMMYFUNCTION("""COMPUTED_VALUE"""),500000)</f>
        <v>500000</v>
      </c>
      <c r="F3200" s="22">
        <f ca="1">IFERROR(__xludf.DUMMYFUNCTION("""COMPUTED_VALUE"""),493070)</f>
        <v>493070</v>
      </c>
      <c r="G3200" s="22">
        <f ca="1">IFERROR(__xludf.DUMMYFUNCTION("""COMPUTED_VALUE"""),0)</f>
        <v>0</v>
      </c>
      <c r="H3200" s="7">
        <f ca="1">IFERROR(__xludf.DUMMYFUNCTION("""COMPUTED_VALUE"""),499130)</f>
        <v>499130</v>
      </c>
    </row>
    <row r="3201" spans="1:8" ht="13" x14ac:dyDescent="0.15">
      <c r="A3201" s="5" t="str">
        <f ca="1">IFERROR(__xludf.DUMMYFUNCTION("""COMPUTED_VALUE"""),"69930")</f>
        <v>69930</v>
      </c>
      <c r="B3201" s="51">
        <f ca="1">IFERROR(__xludf.DUMMYFUNCTION("""COMPUTED_VALUE"""),44620)</f>
        <v>44620</v>
      </c>
      <c r="C3201" s="22">
        <f ca="1">IFERROR(__xludf.DUMMYFUNCTION("""COMPUTED_VALUE"""),493070)</f>
        <v>493070</v>
      </c>
      <c r="D3201" s="22">
        <f ca="1">IFERROR(__xludf.DUMMYFUNCTION("""COMPUTED_VALUE"""),6930)</f>
        <v>6930</v>
      </c>
      <c r="E3201" s="22">
        <f ca="1">IFERROR(__xludf.DUMMYFUNCTION("""COMPUTED_VALUE"""),500000)</f>
        <v>500000</v>
      </c>
      <c r="F3201" s="22">
        <f ca="1">IFERROR(__xludf.DUMMYFUNCTION("""COMPUTED_VALUE"""),493070)</f>
        <v>493070</v>
      </c>
      <c r="G3201" s="22">
        <f ca="1">IFERROR(__xludf.DUMMYFUNCTION("""COMPUTED_VALUE"""),0)</f>
        <v>0</v>
      </c>
      <c r="H3201" s="7">
        <f ca="1">IFERROR(__xludf.DUMMYFUNCTION("""COMPUTED_VALUE"""),499110)</f>
        <v>499110</v>
      </c>
    </row>
    <row r="3202" spans="1:8" ht="13" x14ac:dyDescent="0.15">
      <c r="A3202" s="5" t="str">
        <f ca="1">IFERROR(__xludf.DUMMYFUNCTION("""COMPUTED_VALUE"""),"69930")</f>
        <v>69930</v>
      </c>
      <c r="B3202" s="51">
        <f ca="1">IFERROR(__xludf.DUMMYFUNCTION("""COMPUTED_VALUE"""),44621)</f>
        <v>44621</v>
      </c>
      <c r="C3202" s="22">
        <f ca="1">IFERROR(__xludf.DUMMYFUNCTION("""COMPUTED_VALUE"""),493070)</f>
        <v>493070</v>
      </c>
      <c r="D3202" s="22">
        <f ca="1">IFERROR(__xludf.DUMMYFUNCTION("""COMPUTED_VALUE"""),6930)</f>
        <v>6930</v>
      </c>
      <c r="E3202" s="22">
        <f ca="1">IFERROR(__xludf.DUMMYFUNCTION("""COMPUTED_VALUE"""),500000)</f>
        <v>500000</v>
      </c>
      <c r="F3202" s="22">
        <f ca="1">IFERROR(__xludf.DUMMYFUNCTION("""COMPUTED_VALUE"""),493070)</f>
        <v>493070</v>
      </c>
      <c r="G3202" s="22">
        <f ca="1">IFERROR(__xludf.DUMMYFUNCTION("""COMPUTED_VALUE"""),0)</f>
        <v>0</v>
      </c>
      <c r="H3202" s="7">
        <f ca="1">IFERROR(__xludf.DUMMYFUNCTION("""COMPUTED_VALUE"""),499140)</f>
        <v>499140</v>
      </c>
    </row>
    <row r="3203" spans="1:8" ht="13" x14ac:dyDescent="0.15">
      <c r="A3203" s="5" t="str">
        <f ca="1">IFERROR(__xludf.DUMMYFUNCTION("""COMPUTED_VALUE"""),"69930")</f>
        <v>69930</v>
      </c>
      <c r="B3203" s="51">
        <f ca="1">IFERROR(__xludf.DUMMYFUNCTION("""COMPUTED_VALUE"""),44622)</f>
        <v>44622</v>
      </c>
      <c r="C3203" s="22">
        <f ca="1">IFERROR(__xludf.DUMMYFUNCTION("""COMPUTED_VALUE"""),493070)</f>
        <v>493070</v>
      </c>
      <c r="D3203" s="22">
        <f ca="1">IFERROR(__xludf.DUMMYFUNCTION("""COMPUTED_VALUE"""),6930)</f>
        <v>6930</v>
      </c>
      <c r="E3203" s="22">
        <f ca="1">IFERROR(__xludf.DUMMYFUNCTION("""COMPUTED_VALUE"""),500000)</f>
        <v>500000</v>
      </c>
      <c r="F3203" s="22">
        <f ca="1">IFERROR(__xludf.DUMMYFUNCTION("""COMPUTED_VALUE"""),493070)</f>
        <v>493070</v>
      </c>
      <c r="G3203" s="22">
        <f ca="1">IFERROR(__xludf.DUMMYFUNCTION("""COMPUTED_VALUE"""),0)</f>
        <v>0</v>
      </c>
      <c r="H3203" s="7">
        <f ca="1">IFERROR(__xludf.DUMMYFUNCTION("""COMPUTED_VALUE"""),498955)</f>
        <v>498955</v>
      </c>
    </row>
    <row r="3204" spans="1:8" ht="13" x14ac:dyDescent="0.15">
      <c r="A3204" s="5" t="str">
        <f ca="1">IFERROR(__xludf.DUMMYFUNCTION("""COMPUTED_VALUE"""),"69930")</f>
        <v>69930</v>
      </c>
      <c r="B3204" s="51">
        <f ca="1">IFERROR(__xludf.DUMMYFUNCTION("""COMPUTED_VALUE"""),44623)</f>
        <v>44623</v>
      </c>
      <c r="C3204" s="22">
        <f ca="1">IFERROR(__xludf.DUMMYFUNCTION("""COMPUTED_VALUE"""),493070)</f>
        <v>493070</v>
      </c>
      <c r="D3204" s="22">
        <f ca="1">IFERROR(__xludf.DUMMYFUNCTION("""COMPUTED_VALUE"""),6930)</f>
        <v>6930</v>
      </c>
      <c r="E3204" s="22">
        <f ca="1">IFERROR(__xludf.DUMMYFUNCTION("""COMPUTED_VALUE"""),500000)</f>
        <v>500000</v>
      </c>
      <c r="F3204" s="22">
        <f ca="1">IFERROR(__xludf.DUMMYFUNCTION("""COMPUTED_VALUE"""),493070)</f>
        <v>493070</v>
      </c>
      <c r="G3204" s="22">
        <f ca="1">IFERROR(__xludf.DUMMYFUNCTION("""COMPUTED_VALUE"""),0)</f>
        <v>0</v>
      </c>
      <c r="H3204" s="7">
        <f ca="1">IFERROR(__xludf.DUMMYFUNCTION("""COMPUTED_VALUE"""),498975)</f>
        <v>498975</v>
      </c>
    </row>
    <row r="3205" spans="1:8" ht="13" x14ac:dyDescent="0.15">
      <c r="A3205" s="5" t="str">
        <f ca="1">IFERROR(__xludf.DUMMYFUNCTION("""COMPUTED_VALUE"""),"69930")</f>
        <v>69930</v>
      </c>
      <c r="B3205" s="51">
        <f ca="1">IFERROR(__xludf.DUMMYFUNCTION("""COMPUTED_VALUE"""),44624)</f>
        <v>44624</v>
      </c>
      <c r="C3205" s="22">
        <f ca="1">IFERROR(__xludf.DUMMYFUNCTION("""COMPUTED_VALUE"""),493070)</f>
        <v>493070</v>
      </c>
      <c r="D3205" s="22">
        <f ca="1">IFERROR(__xludf.DUMMYFUNCTION("""COMPUTED_VALUE"""),6930)</f>
        <v>6930</v>
      </c>
      <c r="E3205" s="22">
        <f ca="1">IFERROR(__xludf.DUMMYFUNCTION("""COMPUTED_VALUE"""),500000)</f>
        <v>500000</v>
      </c>
      <c r="F3205" s="22">
        <f ca="1">IFERROR(__xludf.DUMMYFUNCTION("""COMPUTED_VALUE"""),493070)</f>
        <v>493070</v>
      </c>
      <c r="G3205" s="22">
        <f ca="1">IFERROR(__xludf.DUMMYFUNCTION("""COMPUTED_VALUE"""),0)</f>
        <v>0</v>
      </c>
      <c r="H3205" s="7">
        <f ca="1">IFERROR(__xludf.DUMMYFUNCTION("""COMPUTED_VALUE"""),498875)</f>
        <v>498875</v>
      </c>
    </row>
    <row r="3206" spans="1:8" ht="13" x14ac:dyDescent="0.15">
      <c r="A3206" s="5" t="str">
        <f ca="1">IFERROR(__xludf.DUMMYFUNCTION("""COMPUTED_VALUE"""),"69930")</f>
        <v>69930</v>
      </c>
      <c r="B3206" s="51">
        <f ca="1">IFERROR(__xludf.DUMMYFUNCTION("""COMPUTED_VALUE"""),44625)</f>
        <v>44625</v>
      </c>
      <c r="C3206" s="22">
        <f ca="1">IFERROR(__xludf.DUMMYFUNCTION("""COMPUTED_VALUE"""),493070)</f>
        <v>493070</v>
      </c>
      <c r="D3206" s="22">
        <f ca="1">IFERROR(__xludf.DUMMYFUNCTION("""COMPUTED_VALUE"""),6930)</f>
        <v>6930</v>
      </c>
      <c r="E3206" s="22">
        <f ca="1">IFERROR(__xludf.DUMMYFUNCTION("""COMPUTED_VALUE"""),500000)</f>
        <v>500000</v>
      </c>
      <c r="F3206" s="22">
        <f ca="1">IFERROR(__xludf.DUMMYFUNCTION("""COMPUTED_VALUE"""),493070)</f>
        <v>493070</v>
      </c>
      <c r="G3206" s="22">
        <f ca="1">IFERROR(__xludf.DUMMYFUNCTION("""COMPUTED_VALUE"""),0)</f>
        <v>0</v>
      </c>
      <c r="H3206" s="7">
        <f ca="1">IFERROR(__xludf.DUMMYFUNCTION("""COMPUTED_VALUE"""),498875)</f>
        <v>498875</v>
      </c>
    </row>
    <row r="3207" spans="1:8" ht="13" x14ac:dyDescent="0.15">
      <c r="A3207" s="5" t="str">
        <f ca="1">IFERROR(__xludf.DUMMYFUNCTION("""COMPUTED_VALUE"""),"69930")</f>
        <v>69930</v>
      </c>
      <c r="B3207" s="51">
        <f ca="1">IFERROR(__xludf.DUMMYFUNCTION("""COMPUTED_VALUE"""),44626)</f>
        <v>44626</v>
      </c>
      <c r="C3207" s="22">
        <f ca="1">IFERROR(__xludf.DUMMYFUNCTION("""COMPUTED_VALUE"""),493070)</f>
        <v>493070</v>
      </c>
      <c r="D3207" s="22">
        <f ca="1">IFERROR(__xludf.DUMMYFUNCTION("""COMPUTED_VALUE"""),6930)</f>
        <v>6930</v>
      </c>
      <c r="E3207" s="22">
        <f ca="1">IFERROR(__xludf.DUMMYFUNCTION("""COMPUTED_VALUE"""),500000)</f>
        <v>500000</v>
      </c>
      <c r="F3207" s="22">
        <f ca="1">IFERROR(__xludf.DUMMYFUNCTION("""COMPUTED_VALUE"""),493070)</f>
        <v>493070</v>
      </c>
      <c r="G3207" s="22">
        <f ca="1">IFERROR(__xludf.DUMMYFUNCTION("""COMPUTED_VALUE"""),0)</f>
        <v>0</v>
      </c>
      <c r="H3207" s="7">
        <f ca="1">IFERROR(__xludf.DUMMYFUNCTION("""COMPUTED_VALUE"""),498875)</f>
        <v>498875</v>
      </c>
    </row>
    <row r="3208" spans="1:8" ht="13" x14ac:dyDescent="0.15">
      <c r="A3208" s="5" t="str">
        <f ca="1">IFERROR(__xludf.DUMMYFUNCTION("""COMPUTED_VALUE"""),"69930")</f>
        <v>69930</v>
      </c>
      <c r="B3208" s="51">
        <f ca="1">IFERROR(__xludf.DUMMYFUNCTION("""COMPUTED_VALUE"""),44627)</f>
        <v>44627</v>
      </c>
      <c r="C3208" s="22">
        <f ca="1">IFERROR(__xludf.DUMMYFUNCTION("""COMPUTED_VALUE"""),493070)</f>
        <v>493070</v>
      </c>
      <c r="D3208" s="22">
        <f ca="1">IFERROR(__xludf.DUMMYFUNCTION("""COMPUTED_VALUE"""),6930)</f>
        <v>6930</v>
      </c>
      <c r="E3208" s="22">
        <f ca="1">IFERROR(__xludf.DUMMYFUNCTION("""COMPUTED_VALUE"""),500000)</f>
        <v>500000</v>
      </c>
      <c r="F3208" s="22">
        <f ca="1">IFERROR(__xludf.DUMMYFUNCTION("""COMPUTED_VALUE"""),493070)</f>
        <v>493070</v>
      </c>
      <c r="G3208" s="22">
        <f ca="1">IFERROR(__xludf.DUMMYFUNCTION("""COMPUTED_VALUE"""),0)</f>
        <v>0</v>
      </c>
      <c r="H3208" s="7">
        <f ca="1">IFERROR(__xludf.DUMMYFUNCTION("""COMPUTED_VALUE"""),498575)</f>
        <v>498575</v>
      </c>
    </row>
    <row r="3209" spans="1:8" ht="13" x14ac:dyDescent="0.15">
      <c r="A3209" s="5" t="str">
        <f ca="1">IFERROR(__xludf.DUMMYFUNCTION("""COMPUTED_VALUE"""),"69930")</f>
        <v>69930</v>
      </c>
      <c r="B3209" s="51">
        <f ca="1">IFERROR(__xludf.DUMMYFUNCTION("""COMPUTED_VALUE"""),44628)</f>
        <v>44628</v>
      </c>
      <c r="C3209" s="22">
        <f ca="1">IFERROR(__xludf.DUMMYFUNCTION("""COMPUTED_VALUE"""),493070)</f>
        <v>493070</v>
      </c>
      <c r="D3209" s="22">
        <f ca="1">IFERROR(__xludf.DUMMYFUNCTION("""COMPUTED_VALUE"""),6930)</f>
        <v>6930</v>
      </c>
      <c r="E3209" s="22">
        <f ca="1">IFERROR(__xludf.DUMMYFUNCTION("""COMPUTED_VALUE"""),500000)</f>
        <v>500000</v>
      </c>
      <c r="F3209" s="22">
        <f ca="1">IFERROR(__xludf.DUMMYFUNCTION("""COMPUTED_VALUE"""),493070)</f>
        <v>493070</v>
      </c>
      <c r="G3209" s="22">
        <f ca="1">IFERROR(__xludf.DUMMYFUNCTION("""COMPUTED_VALUE"""),0)</f>
        <v>0</v>
      </c>
      <c r="H3209" s="7">
        <f ca="1">IFERROR(__xludf.DUMMYFUNCTION("""COMPUTED_VALUE"""),498465)</f>
        <v>498465</v>
      </c>
    </row>
    <row r="3210" spans="1:8" ht="13" x14ac:dyDescent="0.15">
      <c r="A3210" s="5" t="str">
        <f ca="1">IFERROR(__xludf.DUMMYFUNCTION("""COMPUTED_VALUE"""),"69930")</f>
        <v>69930</v>
      </c>
      <c r="B3210" s="51">
        <f ca="1">IFERROR(__xludf.DUMMYFUNCTION("""COMPUTED_VALUE"""),44629)</f>
        <v>44629</v>
      </c>
      <c r="C3210" s="22">
        <f ca="1">IFERROR(__xludf.DUMMYFUNCTION("""COMPUTED_VALUE"""),495737.5)</f>
        <v>495737.5</v>
      </c>
      <c r="D3210" s="22">
        <f ca="1">IFERROR(__xludf.DUMMYFUNCTION("""COMPUTED_VALUE"""),2667.5)</f>
        <v>2667.5</v>
      </c>
      <c r="E3210" s="22">
        <f ca="1">IFERROR(__xludf.DUMMYFUNCTION("""COMPUTED_VALUE"""),498405)</f>
        <v>498405</v>
      </c>
      <c r="F3210" s="22">
        <f ca="1">IFERROR(__xludf.DUMMYFUNCTION("""COMPUTED_VALUE"""),495737.5)</f>
        <v>495737.5</v>
      </c>
      <c r="G3210" s="22">
        <f ca="1">IFERROR(__xludf.DUMMYFUNCTION("""COMPUTED_VALUE"""),0)</f>
        <v>0</v>
      </c>
      <c r="H3210" s="7">
        <f ca="1">IFERROR(__xludf.DUMMYFUNCTION("""COMPUTED_VALUE"""),498405)</f>
        <v>498405</v>
      </c>
    </row>
    <row r="3211" spans="1:8" ht="13" x14ac:dyDescent="0.15">
      <c r="A3211" s="5" t="str">
        <f ca="1">IFERROR(__xludf.DUMMYFUNCTION("""COMPUTED_VALUE"""),"69930")</f>
        <v>69930</v>
      </c>
      <c r="B3211" s="51">
        <f ca="1">IFERROR(__xludf.DUMMYFUNCTION("""COMPUTED_VALUE"""),44630)</f>
        <v>44630</v>
      </c>
      <c r="C3211" s="22">
        <f ca="1">IFERROR(__xludf.DUMMYFUNCTION("""COMPUTED_VALUE"""),495737.5)</f>
        <v>495737.5</v>
      </c>
      <c r="D3211" s="22">
        <f ca="1">IFERROR(__xludf.DUMMYFUNCTION("""COMPUTED_VALUE"""),2837.5)</f>
        <v>2837.5</v>
      </c>
      <c r="E3211" s="22">
        <f ca="1">IFERROR(__xludf.DUMMYFUNCTION("""COMPUTED_VALUE"""),498575)</f>
        <v>498575</v>
      </c>
      <c r="F3211" s="22">
        <f ca="1">IFERROR(__xludf.DUMMYFUNCTION("""COMPUTED_VALUE"""),495737.5)</f>
        <v>495737.5</v>
      </c>
      <c r="G3211" s="22">
        <f ca="1">IFERROR(__xludf.DUMMYFUNCTION("""COMPUTED_VALUE"""),0)</f>
        <v>0</v>
      </c>
      <c r="H3211" s="7">
        <f ca="1">IFERROR(__xludf.DUMMYFUNCTION("""COMPUTED_VALUE"""),498490)</f>
        <v>498490</v>
      </c>
    </row>
    <row r="3212" spans="1:8" ht="13" x14ac:dyDescent="0.15">
      <c r="A3212" s="5" t="str">
        <f ca="1">IFERROR(__xludf.DUMMYFUNCTION("""COMPUTED_VALUE"""),"69930")</f>
        <v>69930</v>
      </c>
      <c r="B3212" s="51">
        <f ca="1">IFERROR(__xludf.DUMMYFUNCTION("""COMPUTED_VALUE"""),44631)</f>
        <v>44631</v>
      </c>
      <c r="C3212" s="22">
        <f ca="1">IFERROR(__xludf.DUMMYFUNCTION("""COMPUTED_VALUE"""),495737.5)</f>
        <v>495737.5</v>
      </c>
      <c r="D3212" s="22">
        <f ca="1">IFERROR(__xludf.DUMMYFUNCTION("""COMPUTED_VALUE"""),2817.5)</f>
        <v>2817.5</v>
      </c>
      <c r="E3212" s="22">
        <f ca="1">IFERROR(__xludf.DUMMYFUNCTION("""COMPUTED_VALUE"""),498555)</f>
        <v>498555</v>
      </c>
      <c r="F3212" s="22">
        <f ca="1">IFERROR(__xludf.DUMMYFUNCTION("""COMPUTED_VALUE"""),495737.5)</f>
        <v>495737.5</v>
      </c>
      <c r="G3212" s="22">
        <f ca="1">IFERROR(__xludf.DUMMYFUNCTION("""COMPUTED_VALUE"""),0)</f>
        <v>0</v>
      </c>
      <c r="H3212" s="7">
        <f ca="1">IFERROR(__xludf.DUMMYFUNCTION("""COMPUTED_VALUE"""),498480)</f>
        <v>498480</v>
      </c>
    </row>
    <row r="3213" spans="1:8" ht="13" x14ac:dyDescent="0.15">
      <c r="A3213" s="5" t="str">
        <f ca="1">IFERROR(__xludf.DUMMYFUNCTION("""COMPUTED_VALUE"""),"69930")</f>
        <v>69930</v>
      </c>
      <c r="B3213" s="51">
        <f ca="1">IFERROR(__xludf.DUMMYFUNCTION("""COMPUTED_VALUE"""),44632)</f>
        <v>44632</v>
      </c>
      <c r="C3213" s="22">
        <f ca="1">IFERROR(__xludf.DUMMYFUNCTION("""COMPUTED_VALUE"""),495737.5)</f>
        <v>495737.5</v>
      </c>
      <c r="D3213" s="22">
        <f ca="1">IFERROR(__xludf.DUMMYFUNCTION("""COMPUTED_VALUE"""),2817.5)</f>
        <v>2817.5</v>
      </c>
      <c r="E3213" s="22">
        <f ca="1">IFERROR(__xludf.DUMMYFUNCTION("""COMPUTED_VALUE"""),498555)</f>
        <v>498555</v>
      </c>
      <c r="F3213" s="22">
        <f ca="1">IFERROR(__xludf.DUMMYFUNCTION("""COMPUTED_VALUE"""),495737.5)</f>
        <v>495737.5</v>
      </c>
      <c r="G3213" s="22">
        <f ca="1">IFERROR(__xludf.DUMMYFUNCTION("""COMPUTED_VALUE"""),0)</f>
        <v>0</v>
      </c>
      <c r="H3213" s="7">
        <f ca="1">IFERROR(__xludf.DUMMYFUNCTION("""COMPUTED_VALUE"""),498480)</f>
        <v>498480</v>
      </c>
    </row>
    <row r="3214" spans="1:8" ht="13" x14ac:dyDescent="0.15">
      <c r="A3214" s="5" t="str">
        <f ca="1">IFERROR(__xludf.DUMMYFUNCTION("""COMPUTED_VALUE"""),"69930")</f>
        <v>69930</v>
      </c>
      <c r="B3214" s="51">
        <f ca="1">IFERROR(__xludf.DUMMYFUNCTION("""COMPUTED_VALUE"""),44633)</f>
        <v>44633</v>
      </c>
      <c r="C3214" s="22">
        <f ca="1">IFERROR(__xludf.DUMMYFUNCTION("""COMPUTED_VALUE"""),495737.5)</f>
        <v>495737.5</v>
      </c>
      <c r="D3214" s="22">
        <f ca="1">IFERROR(__xludf.DUMMYFUNCTION("""COMPUTED_VALUE"""),2817.5)</f>
        <v>2817.5</v>
      </c>
      <c r="E3214" s="22">
        <f ca="1">IFERROR(__xludf.DUMMYFUNCTION("""COMPUTED_VALUE"""),498555)</f>
        <v>498555</v>
      </c>
      <c r="F3214" s="22">
        <f ca="1">IFERROR(__xludf.DUMMYFUNCTION("""COMPUTED_VALUE"""),495737.5)</f>
        <v>495737.5</v>
      </c>
      <c r="G3214" s="22">
        <f ca="1">IFERROR(__xludf.DUMMYFUNCTION("""COMPUTED_VALUE"""),0)</f>
        <v>0</v>
      </c>
      <c r="H3214" s="7">
        <f ca="1">IFERROR(__xludf.DUMMYFUNCTION("""COMPUTED_VALUE"""),498480)</f>
        <v>498480</v>
      </c>
    </row>
    <row r="3215" spans="1:8" ht="13" x14ac:dyDescent="0.15">
      <c r="A3215" s="5" t="str">
        <f ca="1">IFERROR(__xludf.DUMMYFUNCTION("""COMPUTED_VALUE"""),"69930")</f>
        <v>69930</v>
      </c>
      <c r="B3215" s="51">
        <f ca="1">IFERROR(__xludf.DUMMYFUNCTION("""COMPUTED_VALUE"""),44634)</f>
        <v>44634</v>
      </c>
      <c r="C3215" s="22">
        <f ca="1">IFERROR(__xludf.DUMMYFUNCTION("""COMPUTED_VALUE"""),495737.5)</f>
        <v>495737.5</v>
      </c>
      <c r="D3215" s="22">
        <f ca="1">IFERROR(__xludf.DUMMYFUNCTION("""COMPUTED_VALUE"""),2637.5)</f>
        <v>2637.5</v>
      </c>
      <c r="E3215" s="22">
        <f ca="1">IFERROR(__xludf.DUMMYFUNCTION("""COMPUTED_VALUE"""),498375)</f>
        <v>498375</v>
      </c>
      <c r="F3215" s="22">
        <f ca="1">IFERROR(__xludf.DUMMYFUNCTION("""COMPUTED_VALUE"""),495737.5)</f>
        <v>495737.5</v>
      </c>
      <c r="G3215" s="22">
        <f ca="1">IFERROR(__xludf.DUMMYFUNCTION("""COMPUTED_VALUE"""),0)</f>
        <v>0</v>
      </c>
      <c r="H3215" s="7">
        <f ca="1">IFERROR(__xludf.DUMMYFUNCTION("""COMPUTED_VALUE"""),498390)</f>
        <v>498390</v>
      </c>
    </row>
    <row r="3216" spans="1:8" ht="13" x14ac:dyDescent="0.15">
      <c r="A3216" s="5" t="str">
        <f ca="1">IFERROR(__xludf.DUMMYFUNCTION("""COMPUTED_VALUE"""),"69930")</f>
        <v>69930</v>
      </c>
      <c r="B3216" s="51">
        <f ca="1">IFERROR(__xludf.DUMMYFUNCTION("""COMPUTED_VALUE"""),44635)</f>
        <v>44635</v>
      </c>
      <c r="C3216" s="22">
        <f ca="1">IFERROR(__xludf.DUMMYFUNCTION("""COMPUTED_VALUE"""),495737.5)</f>
        <v>495737.5</v>
      </c>
      <c r="D3216" s="22">
        <f ca="1">IFERROR(__xludf.DUMMYFUNCTION("""COMPUTED_VALUE"""),1967.5)</f>
        <v>1967.5</v>
      </c>
      <c r="E3216" s="22">
        <f ca="1">IFERROR(__xludf.DUMMYFUNCTION("""COMPUTED_VALUE"""),497705)</f>
        <v>497705</v>
      </c>
      <c r="F3216" s="22">
        <f ca="1">IFERROR(__xludf.DUMMYFUNCTION("""COMPUTED_VALUE"""),495737.5)</f>
        <v>495737.5</v>
      </c>
      <c r="G3216" s="22">
        <f ca="1">IFERROR(__xludf.DUMMYFUNCTION("""COMPUTED_VALUE"""),0)</f>
        <v>0</v>
      </c>
      <c r="H3216" s="7">
        <f ca="1">IFERROR(__xludf.DUMMYFUNCTION("""COMPUTED_VALUE"""),498055)</f>
        <v>498055</v>
      </c>
    </row>
    <row r="3217" spans="1:8" ht="13" x14ac:dyDescent="0.15">
      <c r="A3217" s="5" t="str">
        <f ca="1">IFERROR(__xludf.DUMMYFUNCTION("""COMPUTED_VALUE"""),"69930")</f>
        <v>69930</v>
      </c>
      <c r="B3217" s="51">
        <f ca="1">IFERROR(__xludf.DUMMYFUNCTION("""COMPUTED_VALUE"""),44636)</f>
        <v>44636</v>
      </c>
      <c r="C3217" s="22">
        <f ca="1">IFERROR(__xludf.DUMMYFUNCTION("""COMPUTED_VALUE"""),495737.5)</f>
        <v>495737.5</v>
      </c>
      <c r="D3217" s="22">
        <f ca="1">IFERROR(__xludf.DUMMYFUNCTION("""COMPUTED_VALUE"""),2337.5)</f>
        <v>2337.5</v>
      </c>
      <c r="E3217" s="22">
        <f ca="1">IFERROR(__xludf.DUMMYFUNCTION("""COMPUTED_VALUE"""),498075)</f>
        <v>498075</v>
      </c>
      <c r="F3217" s="22">
        <f ca="1">IFERROR(__xludf.DUMMYFUNCTION("""COMPUTED_VALUE"""),495737.5)</f>
        <v>495737.5</v>
      </c>
      <c r="G3217" s="22">
        <f ca="1">IFERROR(__xludf.DUMMYFUNCTION("""COMPUTED_VALUE"""),0)</f>
        <v>0</v>
      </c>
      <c r="H3217" s="7">
        <f ca="1">IFERROR(__xludf.DUMMYFUNCTION("""COMPUTED_VALUE"""),498240)</f>
        <v>498240</v>
      </c>
    </row>
    <row r="3218" spans="1:8" ht="13" x14ac:dyDescent="0.15">
      <c r="A3218" s="5" t="str">
        <f ca="1">IFERROR(__xludf.DUMMYFUNCTION("""COMPUTED_VALUE"""),"69930")</f>
        <v>69930</v>
      </c>
      <c r="B3218" s="51">
        <f ca="1">IFERROR(__xludf.DUMMYFUNCTION("""COMPUTED_VALUE"""),44637)</f>
        <v>44637</v>
      </c>
      <c r="C3218" s="22">
        <f ca="1">IFERROR(__xludf.DUMMYFUNCTION("""COMPUTED_VALUE"""),495737.5)</f>
        <v>495737.5</v>
      </c>
      <c r="D3218" s="22">
        <f ca="1">IFERROR(__xludf.DUMMYFUNCTION("""COMPUTED_VALUE"""),2862.5)</f>
        <v>2862.5</v>
      </c>
      <c r="E3218" s="22">
        <f ca="1">IFERROR(__xludf.DUMMYFUNCTION("""COMPUTED_VALUE"""),498600)</f>
        <v>498600</v>
      </c>
      <c r="F3218" s="22">
        <f ca="1">IFERROR(__xludf.DUMMYFUNCTION("""COMPUTED_VALUE"""),495737.5)</f>
        <v>495737.5</v>
      </c>
      <c r="G3218" s="22">
        <f ca="1">IFERROR(__xludf.DUMMYFUNCTION("""COMPUTED_VALUE"""),0)</f>
        <v>0</v>
      </c>
      <c r="H3218" s="7">
        <f ca="1">IFERROR(__xludf.DUMMYFUNCTION("""COMPUTED_VALUE"""),498502.5)</f>
        <v>498502.5</v>
      </c>
    </row>
    <row r="3219" spans="1:8" ht="13" x14ac:dyDescent="0.15">
      <c r="A3219" s="5" t="str">
        <f ca="1">IFERROR(__xludf.DUMMYFUNCTION("""COMPUTED_VALUE"""),"69930")</f>
        <v>69930</v>
      </c>
      <c r="B3219" s="51">
        <f ca="1">IFERROR(__xludf.DUMMYFUNCTION("""COMPUTED_VALUE"""),44638)</f>
        <v>44638</v>
      </c>
      <c r="C3219" s="22">
        <f ca="1">IFERROR(__xludf.DUMMYFUNCTION("""COMPUTED_VALUE"""),495737.5)</f>
        <v>495737.5</v>
      </c>
      <c r="D3219" s="22">
        <f ca="1">IFERROR(__xludf.DUMMYFUNCTION("""COMPUTED_VALUE"""),3127.5)</f>
        <v>3127.5</v>
      </c>
      <c r="E3219" s="22">
        <f ca="1">IFERROR(__xludf.DUMMYFUNCTION("""COMPUTED_VALUE"""),498865)</f>
        <v>498865</v>
      </c>
      <c r="F3219" s="22">
        <f ca="1">IFERROR(__xludf.DUMMYFUNCTION("""COMPUTED_VALUE"""),495737.5)</f>
        <v>495737.5</v>
      </c>
      <c r="G3219" s="22">
        <f ca="1">IFERROR(__xludf.DUMMYFUNCTION("""COMPUTED_VALUE"""),0)</f>
        <v>0</v>
      </c>
      <c r="H3219" s="7">
        <f ca="1">IFERROR(__xludf.DUMMYFUNCTION("""COMPUTED_VALUE"""),498635)</f>
        <v>498635</v>
      </c>
    </row>
    <row r="3220" spans="1:8" ht="13" x14ac:dyDescent="0.15">
      <c r="A3220" s="5" t="str">
        <f ca="1">IFERROR(__xludf.DUMMYFUNCTION("""COMPUTED_VALUE"""),"69930")</f>
        <v>69930</v>
      </c>
      <c r="B3220" s="51">
        <f ca="1">IFERROR(__xludf.DUMMYFUNCTION("""COMPUTED_VALUE"""),44639)</f>
        <v>44639</v>
      </c>
      <c r="C3220" s="22">
        <f ca="1">IFERROR(__xludf.DUMMYFUNCTION("""COMPUTED_VALUE"""),495737.5)</f>
        <v>495737.5</v>
      </c>
      <c r="D3220" s="22">
        <f ca="1">IFERROR(__xludf.DUMMYFUNCTION("""COMPUTED_VALUE"""),3127.5)</f>
        <v>3127.5</v>
      </c>
      <c r="E3220" s="22">
        <f ca="1">IFERROR(__xludf.DUMMYFUNCTION("""COMPUTED_VALUE"""),498865)</f>
        <v>498865</v>
      </c>
      <c r="F3220" s="22">
        <f ca="1">IFERROR(__xludf.DUMMYFUNCTION("""COMPUTED_VALUE"""),495737.5)</f>
        <v>495737.5</v>
      </c>
      <c r="G3220" s="22">
        <f ca="1">IFERROR(__xludf.DUMMYFUNCTION("""COMPUTED_VALUE"""),0)</f>
        <v>0</v>
      </c>
      <c r="H3220" s="7">
        <f ca="1">IFERROR(__xludf.DUMMYFUNCTION("""COMPUTED_VALUE"""),498635)</f>
        <v>498635</v>
      </c>
    </row>
    <row r="3221" spans="1:8" ht="13" x14ac:dyDescent="0.15">
      <c r="A3221" s="5" t="str">
        <f ca="1">IFERROR(__xludf.DUMMYFUNCTION("""COMPUTED_VALUE"""),"69930")</f>
        <v>69930</v>
      </c>
      <c r="B3221" s="51">
        <f ca="1">IFERROR(__xludf.DUMMYFUNCTION("""COMPUTED_VALUE"""),44640)</f>
        <v>44640</v>
      </c>
      <c r="C3221" s="22">
        <f ca="1">IFERROR(__xludf.DUMMYFUNCTION("""COMPUTED_VALUE"""),495737.5)</f>
        <v>495737.5</v>
      </c>
      <c r="D3221" s="22">
        <f ca="1">IFERROR(__xludf.DUMMYFUNCTION("""COMPUTED_VALUE"""),3127.5)</f>
        <v>3127.5</v>
      </c>
      <c r="E3221" s="22">
        <f ca="1">IFERROR(__xludf.DUMMYFUNCTION("""COMPUTED_VALUE"""),498865)</f>
        <v>498865</v>
      </c>
      <c r="F3221" s="22">
        <f ca="1">IFERROR(__xludf.DUMMYFUNCTION("""COMPUTED_VALUE"""),495737.5)</f>
        <v>495737.5</v>
      </c>
      <c r="G3221" s="22">
        <f ca="1">IFERROR(__xludf.DUMMYFUNCTION("""COMPUTED_VALUE"""),0)</f>
        <v>0</v>
      </c>
      <c r="H3221" s="7">
        <f ca="1">IFERROR(__xludf.DUMMYFUNCTION("""COMPUTED_VALUE"""),498635)</f>
        <v>498635</v>
      </c>
    </row>
    <row r="3222" spans="1:8" ht="13" x14ac:dyDescent="0.15">
      <c r="A3222" s="5" t="str">
        <f ca="1">IFERROR(__xludf.DUMMYFUNCTION("""COMPUTED_VALUE"""),"69930")</f>
        <v>69930</v>
      </c>
      <c r="B3222" s="51">
        <f ca="1">IFERROR(__xludf.DUMMYFUNCTION("""COMPUTED_VALUE"""),44641)</f>
        <v>44641</v>
      </c>
      <c r="C3222" s="22">
        <f ca="1">IFERROR(__xludf.DUMMYFUNCTION("""COMPUTED_VALUE"""),495737.5)</f>
        <v>495737.5</v>
      </c>
      <c r="D3222" s="22">
        <f ca="1">IFERROR(__xludf.DUMMYFUNCTION("""COMPUTED_VALUE"""),2802.5)</f>
        <v>2802.5</v>
      </c>
      <c r="E3222" s="22">
        <f ca="1">IFERROR(__xludf.DUMMYFUNCTION("""COMPUTED_VALUE"""),498540)</f>
        <v>498540</v>
      </c>
      <c r="F3222" s="22">
        <f ca="1">IFERROR(__xludf.DUMMYFUNCTION("""COMPUTED_VALUE"""),495737.5)</f>
        <v>495737.5</v>
      </c>
      <c r="G3222" s="22">
        <f ca="1">IFERROR(__xludf.DUMMYFUNCTION("""COMPUTED_VALUE"""),0)</f>
        <v>0</v>
      </c>
      <c r="H3222" s="7">
        <f ca="1">IFERROR(__xludf.DUMMYFUNCTION("""COMPUTED_VALUE"""),498472.5)</f>
        <v>498472.5</v>
      </c>
    </row>
    <row r="3223" spans="1:8" ht="13" x14ac:dyDescent="0.15">
      <c r="A3223" s="5" t="str">
        <f ca="1">IFERROR(__xludf.DUMMYFUNCTION("""COMPUTED_VALUE"""),"69930")</f>
        <v>69930</v>
      </c>
      <c r="B3223" s="51">
        <f ca="1">IFERROR(__xludf.DUMMYFUNCTION("""COMPUTED_VALUE"""),44642)</f>
        <v>44642</v>
      </c>
      <c r="C3223" s="22">
        <f ca="1">IFERROR(__xludf.DUMMYFUNCTION("""COMPUTED_VALUE"""),495737.5)</f>
        <v>495737.5</v>
      </c>
      <c r="D3223" s="22">
        <f ca="1">IFERROR(__xludf.DUMMYFUNCTION("""COMPUTED_VALUE"""),2922.5)</f>
        <v>2922.5</v>
      </c>
      <c r="E3223" s="22">
        <f ca="1">IFERROR(__xludf.DUMMYFUNCTION("""COMPUTED_VALUE"""),498660)</f>
        <v>498660</v>
      </c>
      <c r="F3223" s="22">
        <f ca="1">IFERROR(__xludf.DUMMYFUNCTION("""COMPUTED_VALUE"""),495737.5)</f>
        <v>495737.5</v>
      </c>
      <c r="G3223" s="22">
        <f ca="1">IFERROR(__xludf.DUMMYFUNCTION("""COMPUTED_VALUE"""),0)</f>
        <v>0</v>
      </c>
      <c r="H3223" s="7">
        <f ca="1">IFERROR(__xludf.DUMMYFUNCTION("""COMPUTED_VALUE"""),498532.5)</f>
        <v>498532.5</v>
      </c>
    </row>
    <row r="3224" spans="1:8" ht="13" x14ac:dyDescent="0.15">
      <c r="A3224" s="5" t="str">
        <f ca="1">IFERROR(__xludf.DUMMYFUNCTION("""COMPUTED_VALUE"""),"70227")</f>
        <v>70227</v>
      </c>
      <c r="B3224" s="51">
        <f ca="1">IFERROR(__xludf.DUMMYFUNCTION("""COMPUTED_VALUE"""),44597)</f>
        <v>44597</v>
      </c>
      <c r="C3224" s="22">
        <f ca="1">IFERROR(__xludf.DUMMYFUNCTION("""COMPUTED_VALUE"""),500000)</f>
        <v>500000</v>
      </c>
      <c r="D3224" s="22">
        <f ca="1">IFERROR(__xludf.DUMMYFUNCTION("""COMPUTED_VALUE"""),0)</f>
        <v>0</v>
      </c>
      <c r="E3224" s="22">
        <f ca="1">IFERROR(__xludf.DUMMYFUNCTION("""COMPUTED_VALUE"""),500000)</f>
        <v>500000</v>
      </c>
      <c r="F3224" s="22">
        <f ca="1">IFERROR(__xludf.DUMMYFUNCTION("""COMPUTED_VALUE"""),500000)</f>
        <v>500000</v>
      </c>
      <c r="G3224" s="22">
        <f ca="1">IFERROR(__xludf.DUMMYFUNCTION("""COMPUTED_VALUE"""),0)</f>
        <v>0</v>
      </c>
      <c r="H3224" s="7">
        <f ca="1">IFERROR(__xludf.DUMMYFUNCTION("""COMPUTED_VALUE"""),500000)</f>
        <v>500000</v>
      </c>
    </row>
    <row r="3225" spans="1:8" ht="13" x14ac:dyDescent="0.15">
      <c r="A3225" s="5" t="str">
        <f ca="1">IFERROR(__xludf.DUMMYFUNCTION("""COMPUTED_VALUE"""),"70227")</f>
        <v>70227</v>
      </c>
      <c r="B3225" s="51">
        <f ca="1">IFERROR(__xludf.DUMMYFUNCTION("""COMPUTED_VALUE"""),44598)</f>
        <v>44598</v>
      </c>
      <c r="C3225" s="22">
        <f ca="1">IFERROR(__xludf.DUMMYFUNCTION("""COMPUTED_VALUE"""),500000)</f>
        <v>500000</v>
      </c>
      <c r="D3225" s="22">
        <f ca="1">IFERROR(__xludf.DUMMYFUNCTION("""COMPUTED_VALUE"""),0)</f>
        <v>0</v>
      </c>
      <c r="E3225" s="22">
        <f ca="1">IFERROR(__xludf.DUMMYFUNCTION("""COMPUTED_VALUE"""),500000)</f>
        <v>500000</v>
      </c>
      <c r="F3225" s="22">
        <f ca="1">IFERROR(__xludf.DUMMYFUNCTION("""COMPUTED_VALUE"""),500000)</f>
        <v>500000</v>
      </c>
      <c r="G3225" s="22">
        <f ca="1">IFERROR(__xludf.DUMMYFUNCTION("""COMPUTED_VALUE"""),0)</f>
        <v>0</v>
      </c>
      <c r="H3225" s="7">
        <f ca="1">IFERROR(__xludf.DUMMYFUNCTION("""COMPUTED_VALUE"""),500000)</f>
        <v>500000</v>
      </c>
    </row>
    <row r="3226" spans="1:8" ht="13" x14ac:dyDescent="0.15">
      <c r="A3226" s="5" t="str">
        <f ca="1">IFERROR(__xludf.DUMMYFUNCTION("""COMPUTED_VALUE"""),"70227")</f>
        <v>70227</v>
      </c>
      <c r="B3226" s="51">
        <f ca="1">IFERROR(__xludf.DUMMYFUNCTION("""COMPUTED_VALUE"""),44599)</f>
        <v>44599</v>
      </c>
      <c r="C3226" s="22">
        <f ca="1">IFERROR(__xludf.DUMMYFUNCTION("""COMPUTED_VALUE"""),500000)</f>
        <v>500000</v>
      </c>
      <c r="D3226" s="22">
        <f ca="1">IFERROR(__xludf.DUMMYFUNCTION("""COMPUTED_VALUE"""),0)</f>
        <v>0</v>
      </c>
      <c r="E3226" s="22">
        <f ca="1">IFERROR(__xludf.DUMMYFUNCTION("""COMPUTED_VALUE"""),500000)</f>
        <v>500000</v>
      </c>
      <c r="F3226" s="22">
        <f ca="1">IFERROR(__xludf.DUMMYFUNCTION("""COMPUTED_VALUE"""),500000)</f>
        <v>500000</v>
      </c>
      <c r="G3226" s="22">
        <f ca="1">IFERROR(__xludf.DUMMYFUNCTION("""COMPUTED_VALUE"""),0)</f>
        <v>0</v>
      </c>
      <c r="H3226" s="7">
        <f ca="1">IFERROR(__xludf.DUMMYFUNCTION("""COMPUTED_VALUE"""),500000)</f>
        <v>500000</v>
      </c>
    </row>
    <row r="3227" spans="1:8" ht="13" x14ac:dyDescent="0.15">
      <c r="A3227" s="5" t="str">
        <f ca="1">IFERROR(__xludf.DUMMYFUNCTION("""COMPUTED_VALUE"""),"70227")</f>
        <v>70227</v>
      </c>
      <c r="B3227" s="51">
        <f ca="1">IFERROR(__xludf.DUMMYFUNCTION("""COMPUTED_VALUE"""),44600)</f>
        <v>44600</v>
      </c>
      <c r="C3227" s="22">
        <f ca="1">IFERROR(__xludf.DUMMYFUNCTION("""COMPUTED_VALUE"""),500000)</f>
        <v>500000</v>
      </c>
      <c r="D3227" s="22">
        <f ca="1">IFERROR(__xludf.DUMMYFUNCTION("""COMPUTED_VALUE"""),0)</f>
        <v>0</v>
      </c>
      <c r="E3227" s="22">
        <f ca="1">IFERROR(__xludf.DUMMYFUNCTION("""COMPUTED_VALUE"""),500000)</f>
        <v>500000</v>
      </c>
      <c r="F3227" s="22">
        <f ca="1">IFERROR(__xludf.DUMMYFUNCTION("""COMPUTED_VALUE"""),500000)</f>
        <v>500000</v>
      </c>
      <c r="G3227" s="22">
        <f ca="1">IFERROR(__xludf.DUMMYFUNCTION("""COMPUTED_VALUE"""),0)</f>
        <v>0</v>
      </c>
      <c r="H3227" s="7">
        <f ca="1">IFERROR(__xludf.DUMMYFUNCTION("""COMPUTED_VALUE"""),500000)</f>
        <v>500000</v>
      </c>
    </row>
    <row r="3228" spans="1:8" ht="13" x14ac:dyDescent="0.15">
      <c r="A3228" s="5" t="str">
        <f ca="1">IFERROR(__xludf.DUMMYFUNCTION("""COMPUTED_VALUE"""),"70227")</f>
        <v>70227</v>
      </c>
      <c r="B3228" s="51">
        <f ca="1">IFERROR(__xludf.DUMMYFUNCTION("""COMPUTED_VALUE"""),44601)</f>
        <v>44601</v>
      </c>
      <c r="C3228" s="22">
        <f ca="1">IFERROR(__xludf.DUMMYFUNCTION("""COMPUTED_VALUE"""),500000)</f>
        <v>500000</v>
      </c>
      <c r="D3228" s="22">
        <f ca="1">IFERROR(__xludf.DUMMYFUNCTION("""COMPUTED_VALUE"""),0)</f>
        <v>0</v>
      </c>
      <c r="E3228" s="22">
        <f ca="1">IFERROR(__xludf.DUMMYFUNCTION("""COMPUTED_VALUE"""),500000)</f>
        <v>500000</v>
      </c>
      <c r="F3228" s="22">
        <f ca="1">IFERROR(__xludf.DUMMYFUNCTION("""COMPUTED_VALUE"""),500000)</f>
        <v>500000</v>
      </c>
      <c r="G3228" s="22">
        <f ca="1">IFERROR(__xludf.DUMMYFUNCTION("""COMPUTED_VALUE"""),0)</f>
        <v>0</v>
      </c>
      <c r="H3228" s="7">
        <f ca="1">IFERROR(__xludf.DUMMYFUNCTION("""COMPUTED_VALUE"""),500000)</f>
        <v>500000</v>
      </c>
    </row>
    <row r="3229" spans="1:8" ht="13" x14ac:dyDescent="0.15">
      <c r="A3229" s="5" t="str">
        <f ca="1">IFERROR(__xludf.DUMMYFUNCTION("""COMPUTED_VALUE"""),"70227")</f>
        <v>70227</v>
      </c>
      <c r="B3229" s="51">
        <f ca="1">IFERROR(__xludf.DUMMYFUNCTION("""COMPUTED_VALUE"""),44602)</f>
        <v>44602</v>
      </c>
      <c r="C3229" s="22">
        <f ca="1">IFERROR(__xludf.DUMMYFUNCTION("""COMPUTED_VALUE"""),500000)</f>
        <v>500000</v>
      </c>
      <c r="D3229" s="22">
        <f ca="1">IFERROR(__xludf.DUMMYFUNCTION("""COMPUTED_VALUE"""),0)</f>
        <v>0</v>
      </c>
      <c r="E3229" s="22">
        <f ca="1">IFERROR(__xludf.DUMMYFUNCTION("""COMPUTED_VALUE"""),500000)</f>
        <v>500000</v>
      </c>
      <c r="F3229" s="22">
        <f ca="1">IFERROR(__xludf.DUMMYFUNCTION("""COMPUTED_VALUE"""),500000)</f>
        <v>500000</v>
      </c>
      <c r="G3229" s="22">
        <f ca="1">IFERROR(__xludf.DUMMYFUNCTION("""COMPUTED_VALUE"""),0)</f>
        <v>0</v>
      </c>
      <c r="H3229" s="7">
        <f ca="1">IFERROR(__xludf.DUMMYFUNCTION("""COMPUTED_VALUE"""),500000)</f>
        <v>500000</v>
      </c>
    </row>
    <row r="3230" spans="1:8" ht="13" x14ac:dyDescent="0.15">
      <c r="A3230" s="5" t="str">
        <f ca="1">IFERROR(__xludf.DUMMYFUNCTION("""COMPUTED_VALUE"""),"70227")</f>
        <v>70227</v>
      </c>
      <c r="B3230" s="51">
        <f ca="1">IFERROR(__xludf.DUMMYFUNCTION("""COMPUTED_VALUE"""),44603)</f>
        <v>44603</v>
      </c>
      <c r="C3230" s="22">
        <f ca="1">IFERROR(__xludf.DUMMYFUNCTION("""COMPUTED_VALUE"""),500000)</f>
        <v>500000</v>
      </c>
      <c r="D3230" s="22">
        <f ca="1">IFERROR(__xludf.DUMMYFUNCTION("""COMPUTED_VALUE"""),0)</f>
        <v>0</v>
      </c>
      <c r="E3230" s="22">
        <f ca="1">IFERROR(__xludf.DUMMYFUNCTION("""COMPUTED_VALUE"""),500000)</f>
        <v>500000</v>
      </c>
      <c r="F3230" s="22">
        <f ca="1">IFERROR(__xludf.DUMMYFUNCTION("""COMPUTED_VALUE"""),500000)</f>
        <v>500000</v>
      </c>
      <c r="G3230" s="22">
        <f ca="1">IFERROR(__xludf.DUMMYFUNCTION("""COMPUTED_VALUE"""),0)</f>
        <v>0</v>
      </c>
      <c r="H3230" s="7">
        <f ca="1">IFERROR(__xludf.DUMMYFUNCTION("""COMPUTED_VALUE"""),500000)</f>
        <v>500000</v>
      </c>
    </row>
    <row r="3231" spans="1:8" ht="13" x14ac:dyDescent="0.15">
      <c r="A3231" s="5" t="str">
        <f ca="1">IFERROR(__xludf.DUMMYFUNCTION("""COMPUTED_VALUE"""),"70227")</f>
        <v>70227</v>
      </c>
      <c r="B3231" s="51">
        <f ca="1">IFERROR(__xludf.DUMMYFUNCTION("""COMPUTED_VALUE"""),44604)</f>
        <v>44604</v>
      </c>
      <c r="C3231" s="22">
        <f ca="1">IFERROR(__xludf.DUMMYFUNCTION("""COMPUTED_VALUE"""),500000)</f>
        <v>500000</v>
      </c>
      <c r="D3231" s="22">
        <f ca="1">IFERROR(__xludf.DUMMYFUNCTION("""COMPUTED_VALUE"""),0)</f>
        <v>0</v>
      </c>
      <c r="E3231" s="22">
        <f ca="1">IFERROR(__xludf.DUMMYFUNCTION("""COMPUTED_VALUE"""),500000)</f>
        <v>500000</v>
      </c>
      <c r="F3231" s="22">
        <f ca="1">IFERROR(__xludf.DUMMYFUNCTION("""COMPUTED_VALUE"""),500000)</f>
        <v>500000</v>
      </c>
      <c r="G3231" s="22">
        <f ca="1">IFERROR(__xludf.DUMMYFUNCTION("""COMPUTED_VALUE"""),0)</f>
        <v>0</v>
      </c>
      <c r="H3231" s="7">
        <f ca="1">IFERROR(__xludf.DUMMYFUNCTION("""COMPUTED_VALUE"""),500000)</f>
        <v>500000</v>
      </c>
    </row>
    <row r="3232" spans="1:8" ht="13" x14ac:dyDescent="0.15">
      <c r="A3232" s="5" t="str">
        <f ca="1">IFERROR(__xludf.DUMMYFUNCTION("""COMPUTED_VALUE"""),"70227")</f>
        <v>70227</v>
      </c>
      <c r="B3232" s="51">
        <f ca="1">IFERROR(__xludf.DUMMYFUNCTION("""COMPUTED_VALUE"""),44605)</f>
        <v>44605</v>
      </c>
      <c r="C3232" s="22">
        <f ca="1">IFERROR(__xludf.DUMMYFUNCTION("""COMPUTED_VALUE"""),500000)</f>
        <v>500000</v>
      </c>
      <c r="D3232" s="22">
        <f ca="1">IFERROR(__xludf.DUMMYFUNCTION("""COMPUTED_VALUE"""),0)</f>
        <v>0</v>
      </c>
      <c r="E3232" s="22">
        <f ca="1">IFERROR(__xludf.DUMMYFUNCTION("""COMPUTED_VALUE"""),500000)</f>
        <v>500000</v>
      </c>
      <c r="F3232" s="22">
        <f ca="1">IFERROR(__xludf.DUMMYFUNCTION("""COMPUTED_VALUE"""),500000)</f>
        <v>500000</v>
      </c>
      <c r="G3232" s="22">
        <f ca="1">IFERROR(__xludf.DUMMYFUNCTION("""COMPUTED_VALUE"""),0)</f>
        <v>0</v>
      </c>
      <c r="H3232" s="7">
        <f ca="1">IFERROR(__xludf.DUMMYFUNCTION("""COMPUTED_VALUE"""),500000)</f>
        <v>500000</v>
      </c>
    </row>
    <row r="3233" spans="1:8" ht="13" x14ac:dyDescent="0.15">
      <c r="A3233" s="5" t="str">
        <f ca="1">IFERROR(__xludf.DUMMYFUNCTION("""COMPUTED_VALUE"""),"70227")</f>
        <v>70227</v>
      </c>
      <c r="B3233" s="51">
        <f ca="1">IFERROR(__xludf.DUMMYFUNCTION("""COMPUTED_VALUE"""),44606)</f>
        <v>44606</v>
      </c>
      <c r="C3233" s="22">
        <f ca="1">IFERROR(__xludf.DUMMYFUNCTION("""COMPUTED_VALUE"""),500000)</f>
        <v>500000</v>
      </c>
      <c r="D3233" s="22">
        <f ca="1">IFERROR(__xludf.DUMMYFUNCTION("""COMPUTED_VALUE"""),0)</f>
        <v>0</v>
      </c>
      <c r="E3233" s="22">
        <f ca="1">IFERROR(__xludf.DUMMYFUNCTION("""COMPUTED_VALUE"""),500000)</f>
        <v>500000</v>
      </c>
      <c r="F3233" s="22">
        <f ca="1">IFERROR(__xludf.DUMMYFUNCTION("""COMPUTED_VALUE"""),500000)</f>
        <v>500000</v>
      </c>
      <c r="G3233" s="22">
        <f ca="1">IFERROR(__xludf.DUMMYFUNCTION("""COMPUTED_VALUE"""),0)</f>
        <v>0</v>
      </c>
      <c r="H3233" s="7">
        <f ca="1">IFERROR(__xludf.DUMMYFUNCTION("""COMPUTED_VALUE"""),500000)</f>
        <v>500000</v>
      </c>
    </row>
    <row r="3234" spans="1:8" ht="13" x14ac:dyDescent="0.15">
      <c r="A3234" s="5" t="str">
        <f ca="1">IFERROR(__xludf.DUMMYFUNCTION("""COMPUTED_VALUE"""),"70227")</f>
        <v>70227</v>
      </c>
      <c r="B3234" s="51">
        <f ca="1">IFERROR(__xludf.DUMMYFUNCTION("""COMPUTED_VALUE"""),44607)</f>
        <v>44607</v>
      </c>
      <c r="C3234" s="22">
        <f ca="1">IFERROR(__xludf.DUMMYFUNCTION("""COMPUTED_VALUE"""),500000)</f>
        <v>500000</v>
      </c>
      <c r="D3234" s="22">
        <f ca="1">IFERROR(__xludf.DUMMYFUNCTION("""COMPUTED_VALUE"""),0)</f>
        <v>0</v>
      </c>
      <c r="E3234" s="22">
        <f ca="1">IFERROR(__xludf.DUMMYFUNCTION("""COMPUTED_VALUE"""),500000)</f>
        <v>500000</v>
      </c>
      <c r="F3234" s="22">
        <f ca="1">IFERROR(__xludf.DUMMYFUNCTION("""COMPUTED_VALUE"""),500000)</f>
        <v>500000</v>
      </c>
      <c r="G3234" s="22">
        <f ca="1">IFERROR(__xludf.DUMMYFUNCTION("""COMPUTED_VALUE"""),0)</f>
        <v>0</v>
      </c>
      <c r="H3234" s="7">
        <f ca="1">IFERROR(__xludf.DUMMYFUNCTION("""COMPUTED_VALUE"""),500000)</f>
        <v>500000</v>
      </c>
    </row>
    <row r="3235" spans="1:8" ht="13" x14ac:dyDescent="0.15">
      <c r="A3235" s="5" t="str">
        <f ca="1">IFERROR(__xludf.DUMMYFUNCTION("""COMPUTED_VALUE"""),"70227")</f>
        <v>70227</v>
      </c>
      <c r="B3235" s="51">
        <f ca="1">IFERROR(__xludf.DUMMYFUNCTION("""COMPUTED_VALUE"""),44608)</f>
        <v>44608</v>
      </c>
      <c r="C3235" s="22">
        <f ca="1">IFERROR(__xludf.DUMMYFUNCTION("""COMPUTED_VALUE"""),500000)</f>
        <v>500000</v>
      </c>
      <c r="D3235" s="22">
        <f ca="1">IFERROR(__xludf.DUMMYFUNCTION("""COMPUTED_VALUE"""),0)</f>
        <v>0</v>
      </c>
      <c r="E3235" s="22">
        <f ca="1">IFERROR(__xludf.DUMMYFUNCTION("""COMPUTED_VALUE"""),500000)</f>
        <v>500000</v>
      </c>
      <c r="F3235" s="22">
        <f ca="1">IFERROR(__xludf.DUMMYFUNCTION("""COMPUTED_VALUE"""),500000)</f>
        <v>500000</v>
      </c>
      <c r="G3235" s="22">
        <f ca="1">IFERROR(__xludf.DUMMYFUNCTION("""COMPUTED_VALUE"""),0)</f>
        <v>0</v>
      </c>
      <c r="H3235" s="7">
        <f ca="1">IFERROR(__xludf.DUMMYFUNCTION("""COMPUTED_VALUE"""),500000)</f>
        <v>500000</v>
      </c>
    </row>
    <row r="3236" spans="1:8" ht="13" x14ac:dyDescent="0.15">
      <c r="A3236" s="5" t="str">
        <f ca="1">IFERROR(__xludf.DUMMYFUNCTION("""COMPUTED_VALUE"""),"70227")</f>
        <v>70227</v>
      </c>
      <c r="B3236" s="51">
        <f ca="1">IFERROR(__xludf.DUMMYFUNCTION("""COMPUTED_VALUE"""),44609)</f>
        <v>44609</v>
      </c>
      <c r="C3236" s="22">
        <f ca="1">IFERROR(__xludf.DUMMYFUNCTION("""COMPUTED_VALUE"""),500000)</f>
        <v>500000</v>
      </c>
      <c r="D3236" s="22">
        <f ca="1">IFERROR(__xludf.DUMMYFUNCTION("""COMPUTED_VALUE"""),0)</f>
        <v>0</v>
      </c>
      <c r="E3236" s="22">
        <f ca="1">IFERROR(__xludf.DUMMYFUNCTION("""COMPUTED_VALUE"""),500000)</f>
        <v>500000</v>
      </c>
      <c r="F3236" s="22">
        <f ca="1">IFERROR(__xludf.DUMMYFUNCTION("""COMPUTED_VALUE"""),500000)</f>
        <v>500000</v>
      </c>
      <c r="G3236" s="22">
        <f ca="1">IFERROR(__xludf.DUMMYFUNCTION("""COMPUTED_VALUE"""),0)</f>
        <v>0</v>
      </c>
      <c r="H3236" s="7">
        <f ca="1">IFERROR(__xludf.DUMMYFUNCTION("""COMPUTED_VALUE"""),500000)</f>
        <v>500000</v>
      </c>
    </row>
    <row r="3237" spans="1:8" ht="13" x14ac:dyDescent="0.15">
      <c r="A3237" s="5" t="str">
        <f ca="1">IFERROR(__xludf.DUMMYFUNCTION("""COMPUTED_VALUE"""),"70227")</f>
        <v>70227</v>
      </c>
      <c r="B3237" s="51">
        <f ca="1">IFERROR(__xludf.DUMMYFUNCTION("""COMPUTED_VALUE"""),44610)</f>
        <v>44610</v>
      </c>
      <c r="C3237" s="22">
        <f ca="1">IFERROR(__xludf.DUMMYFUNCTION("""COMPUTED_VALUE"""),500000)</f>
        <v>500000</v>
      </c>
      <c r="D3237" s="22">
        <f ca="1">IFERROR(__xludf.DUMMYFUNCTION("""COMPUTED_VALUE"""),0)</f>
        <v>0</v>
      </c>
      <c r="E3237" s="22">
        <f ca="1">IFERROR(__xludf.DUMMYFUNCTION("""COMPUTED_VALUE"""),500000)</f>
        <v>500000</v>
      </c>
      <c r="F3237" s="22">
        <f ca="1">IFERROR(__xludf.DUMMYFUNCTION("""COMPUTED_VALUE"""),500000)</f>
        <v>500000</v>
      </c>
      <c r="G3237" s="22">
        <f ca="1">IFERROR(__xludf.DUMMYFUNCTION("""COMPUTED_VALUE"""),0)</f>
        <v>0</v>
      </c>
      <c r="H3237" s="7">
        <f ca="1">IFERROR(__xludf.DUMMYFUNCTION("""COMPUTED_VALUE"""),500000)</f>
        <v>500000</v>
      </c>
    </row>
    <row r="3238" spans="1:8" ht="13" x14ac:dyDescent="0.15">
      <c r="A3238" s="5" t="str">
        <f ca="1">IFERROR(__xludf.DUMMYFUNCTION("""COMPUTED_VALUE"""),"70227")</f>
        <v>70227</v>
      </c>
      <c r="B3238" s="51">
        <f ca="1">IFERROR(__xludf.DUMMYFUNCTION("""COMPUTED_VALUE"""),44611)</f>
        <v>44611</v>
      </c>
      <c r="C3238" s="22">
        <f ca="1">IFERROR(__xludf.DUMMYFUNCTION("""COMPUTED_VALUE"""),500000)</f>
        <v>500000</v>
      </c>
      <c r="D3238" s="22">
        <f ca="1">IFERROR(__xludf.DUMMYFUNCTION("""COMPUTED_VALUE"""),0)</f>
        <v>0</v>
      </c>
      <c r="E3238" s="22">
        <f ca="1">IFERROR(__xludf.DUMMYFUNCTION("""COMPUTED_VALUE"""),500000)</f>
        <v>500000</v>
      </c>
      <c r="F3238" s="22">
        <f ca="1">IFERROR(__xludf.DUMMYFUNCTION("""COMPUTED_VALUE"""),500000)</f>
        <v>500000</v>
      </c>
      <c r="G3238" s="22">
        <f ca="1">IFERROR(__xludf.DUMMYFUNCTION("""COMPUTED_VALUE"""),0)</f>
        <v>0</v>
      </c>
      <c r="H3238" s="7">
        <f ca="1">IFERROR(__xludf.DUMMYFUNCTION("""COMPUTED_VALUE"""),500000)</f>
        <v>500000</v>
      </c>
    </row>
    <row r="3239" spans="1:8" ht="13" x14ac:dyDescent="0.15">
      <c r="A3239" s="5" t="str">
        <f ca="1">IFERROR(__xludf.DUMMYFUNCTION("""COMPUTED_VALUE"""),"70227")</f>
        <v>70227</v>
      </c>
      <c r="B3239" s="51">
        <f ca="1">IFERROR(__xludf.DUMMYFUNCTION("""COMPUTED_VALUE"""),44612)</f>
        <v>44612</v>
      </c>
      <c r="C3239" s="22">
        <f ca="1">IFERROR(__xludf.DUMMYFUNCTION("""COMPUTED_VALUE"""),500000)</f>
        <v>500000</v>
      </c>
      <c r="D3239" s="22">
        <f ca="1">IFERROR(__xludf.DUMMYFUNCTION("""COMPUTED_VALUE"""),0)</f>
        <v>0</v>
      </c>
      <c r="E3239" s="22">
        <f ca="1">IFERROR(__xludf.DUMMYFUNCTION("""COMPUTED_VALUE"""),500000)</f>
        <v>500000</v>
      </c>
      <c r="F3239" s="22">
        <f ca="1">IFERROR(__xludf.DUMMYFUNCTION("""COMPUTED_VALUE"""),500000)</f>
        <v>500000</v>
      </c>
      <c r="G3239" s="22">
        <f ca="1">IFERROR(__xludf.DUMMYFUNCTION("""COMPUTED_VALUE"""),0)</f>
        <v>0</v>
      </c>
      <c r="H3239" s="7">
        <f ca="1">IFERROR(__xludf.DUMMYFUNCTION("""COMPUTED_VALUE"""),500000)</f>
        <v>500000</v>
      </c>
    </row>
    <row r="3240" spans="1:8" ht="13" x14ac:dyDescent="0.15">
      <c r="A3240" s="5" t="str">
        <f ca="1">IFERROR(__xludf.DUMMYFUNCTION("""COMPUTED_VALUE"""),"70227")</f>
        <v>70227</v>
      </c>
      <c r="B3240" s="51">
        <f ca="1">IFERROR(__xludf.DUMMYFUNCTION("""COMPUTED_VALUE"""),44613)</f>
        <v>44613</v>
      </c>
      <c r="C3240" s="22">
        <f ca="1">IFERROR(__xludf.DUMMYFUNCTION("""COMPUTED_VALUE"""),500000)</f>
        <v>500000</v>
      </c>
      <c r="D3240" s="22">
        <f ca="1">IFERROR(__xludf.DUMMYFUNCTION("""COMPUTED_VALUE"""),0)</f>
        <v>0</v>
      </c>
      <c r="E3240" s="22">
        <f ca="1">IFERROR(__xludf.DUMMYFUNCTION("""COMPUTED_VALUE"""),500000)</f>
        <v>500000</v>
      </c>
      <c r="F3240" s="22">
        <f ca="1">IFERROR(__xludf.DUMMYFUNCTION("""COMPUTED_VALUE"""),500000)</f>
        <v>500000</v>
      </c>
      <c r="G3240" s="22">
        <f ca="1">IFERROR(__xludf.DUMMYFUNCTION("""COMPUTED_VALUE"""),0)</f>
        <v>0</v>
      </c>
      <c r="H3240" s="7">
        <f ca="1">IFERROR(__xludf.DUMMYFUNCTION("""COMPUTED_VALUE"""),500000)</f>
        <v>500000</v>
      </c>
    </row>
    <row r="3241" spans="1:8" ht="13" x14ac:dyDescent="0.15">
      <c r="A3241" s="5" t="str">
        <f ca="1">IFERROR(__xludf.DUMMYFUNCTION("""COMPUTED_VALUE"""),"70227")</f>
        <v>70227</v>
      </c>
      <c r="B3241" s="51">
        <f ca="1">IFERROR(__xludf.DUMMYFUNCTION("""COMPUTED_VALUE"""),44614)</f>
        <v>44614</v>
      </c>
      <c r="C3241" s="22">
        <f ca="1">IFERROR(__xludf.DUMMYFUNCTION("""COMPUTED_VALUE"""),500000)</f>
        <v>500000</v>
      </c>
      <c r="D3241" s="22">
        <f ca="1">IFERROR(__xludf.DUMMYFUNCTION("""COMPUTED_VALUE"""),0)</f>
        <v>0</v>
      </c>
      <c r="E3241" s="22">
        <f ca="1">IFERROR(__xludf.DUMMYFUNCTION("""COMPUTED_VALUE"""),500000)</f>
        <v>500000</v>
      </c>
      <c r="F3241" s="22">
        <f ca="1">IFERROR(__xludf.DUMMYFUNCTION("""COMPUTED_VALUE"""),500000)</f>
        <v>500000</v>
      </c>
      <c r="G3241" s="22">
        <f ca="1">IFERROR(__xludf.DUMMYFUNCTION("""COMPUTED_VALUE"""),0)</f>
        <v>0</v>
      </c>
      <c r="H3241" s="7">
        <f ca="1">IFERROR(__xludf.DUMMYFUNCTION("""COMPUTED_VALUE"""),500000)</f>
        <v>500000</v>
      </c>
    </row>
    <row r="3242" spans="1:8" ht="13" x14ac:dyDescent="0.15">
      <c r="A3242" s="5" t="str">
        <f ca="1">IFERROR(__xludf.DUMMYFUNCTION("""COMPUTED_VALUE"""),"70227")</f>
        <v>70227</v>
      </c>
      <c r="B3242" s="51">
        <f ca="1">IFERROR(__xludf.DUMMYFUNCTION("""COMPUTED_VALUE"""),44615)</f>
        <v>44615</v>
      </c>
      <c r="C3242" s="22">
        <f ca="1">IFERROR(__xludf.DUMMYFUNCTION("""COMPUTED_VALUE"""),500000)</f>
        <v>500000</v>
      </c>
      <c r="D3242" s="22">
        <f ca="1">IFERROR(__xludf.DUMMYFUNCTION("""COMPUTED_VALUE"""),0)</f>
        <v>0</v>
      </c>
      <c r="E3242" s="22">
        <f ca="1">IFERROR(__xludf.DUMMYFUNCTION("""COMPUTED_VALUE"""),500000)</f>
        <v>500000</v>
      </c>
      <c r="F3242" s="22">
        <f ca="1">IFERROR(__xludf.DUMMYFUNCTION("""COMPUTED_VALUE"""),500000)</f>
        <v>500000</v>
      </c>
      <c r="G3242" s="22">
        <f ca="1">IFERROR(__xludf.DUMMYFUNCTION("""COMPUTED_VALUE"""),0)</f>
        <v>0</v>
      </c>
      <c r="H3242" s="7">
        <f ca="1">IFERROR(__xludf.DUMMYFUNCTION("""COMPUTED_VALUE"""),500000)</f>
        <v>500000</v>
      </c>
    </row>
    <row r="3243" spans="1:8" ht="13" x14ac:dyDescent="0.15">
      <c r="A3243" s="5" t="str">
        <f ca="1">IFERROR(__xludf.DUMMYFUNCTION("""COMPUTED_VALUE"""),"70227")</f>
        <v>70227</v>
      </c>
      <c r="B3243" s="51">
        <f ca="1">IFERROR(__xludf.DUMMYFUNCTION("""COMPUTED_VALUE"""),44616)</f>
        <v>44616</v>
      </c>
      <c r="C3243" s="22">
        <f ca="1">IFERROR(__xludf.DUMMYFUNCTION("""COMPUTED_VALUE"""),500000)</f>
        <v>500000</v>
      </c>
      <c r="D3243" s="22">
        <f ca="1">IFERROR(__xludf.DUMMYFUNCTION("""COMPUTED_VALUE"""),0)</f>
        <v>0</v>
      </c>
      <c r="E3243" s="22">
        <f ca="1">IFERROR(__xludf.DUMMYFUNCTION("""COMPUTED_VALUE"""),500000)</f>
        <v>500000</v>
      </c>
      <c r="F3243" s="22">
        <f ca="1">IFERROR(__xludf.DUMMYFUNCTION("""COMPUTED_VALUE"""),500000)</f>
        <v>500000</v>
      </c>
      <c r="G3243" s="22">
        <f ca="1">IFERROR(__xludf.DUMMYFUNCTION("""COMPUTED_VALUE"""),0)</f>
        <v>0</v>
      </c>
      <c r="H3243" s="7">
        <f ca="1">IFERROR(__xludf.DUMMYFUNCTION("""COMPUTED_VALUE"""),500000)</f>
        <v>500000</v>
      </c>
    </row>
    <row r="3244" spans="1:8" ht="13" x14ac:dyDescent="0.15">
      <c r="A3244" s="5" t="str">
        <f ca="1">IFERROR(__xludf.DUMMYFUNCTION("""COMPUTED_VALUE"""),"70227")</f>
        <v>70227</v>
      </c>
      <c r="B3244" s="51">
        <f ca="1">IFERROR(__xludf.DUMMYFUNCTION("""COMPUTED_VALUE"""),44617)</f>
        <v>44617</v>
      </c>
      <c r="C3244" s="22">
        <f ca="1">IFERROR(__xludf.DUMMYFUNCTION("""COMPUTED_VALUE"""),500000)</f>
        <v>500000</v>
      </c>
      <c r="D3244" s="22">
        <f ca="1">IFERROR(__xludf.DUMMYFUNCTION("""COMPUTED_VALUE"""),0)</f>
        <v>0</v>
      </c>
      <c r="E3244" s="22">
        <f ca="1">IFERROR(__xludf.DUMMYFUNCTION("""COMPUTED_VALUE"""),500000)</f>
        <v>500000</v>
      </c>
      <c r="F3244" s="22">
        <f ca="1">IFERROR(__xludf.DUMMYFUNCTION("""COMPUTED_VALUE"""),500000)</f>
        <v>500000</v>
      </c>
      <c r="G3244" s="22">
        <f ca="1">IFERROR(__xludf.DUMMYFUNCTION("""COMPUTED_VALUE"""),0)</f>
        <v>0</v>
      </c>
      <c r="H3244" s="7">
        <f ca="1">IFERROR(__xludf.DUMMYFUNCTION("""COMPUTED_VALUE"""),500000)</f>
        <v>500000</v>
      </c>
    </row>
    <row r="3245" spans="1:8" ht="13" x14ac:dyDescent="0.15">
      <c r="A3245" s="5" t="str">
        <f ca="1">IFERROR(__xludf.DUMMYFUNCTION("""COMPUTED_VALUE"""),"70227")</f>
        <v>70227</v>
      </c>
      <c r="B3245" s="51">
        <f ca="1">IFERROR(__xludf.DUMMYFUNCTION("""COMPUTED_VALUE"""),44618)</f>
        <v>44618</v>
      </c>
      <c r="C3245" s="22">
        <f ca="1">IFERROR(__xludf.DUMMYFUNCTION("""COMPUTED_VALUE"""),500000)</f>
        <v>500000</v>
      </c>
      <c r="D3245" s="22">
        <f ca="1">IFERROR(__xludf.DUMMYFUNCTION("""COMPUTED_VALUE"""),0)</f>
        <v>0</v>
      </c>
      <c r="E3245" s="22">
        <f ca="1">IFERROR(__xludf.DUMMYFUNCTION("""COMPUTED_VALUE"""),500000)</f>
        <v>500000</v>
      </c>
      <c r="F3245" s="22">
        <f ca="1">IFERROR(__xludf.DUMMYFUNCTION("""COMPUTED_VALUE"""),500000)</f>
        <v>500000</v>
      </c>
      <c r="G3245" s="22">
        <f ca="1">IFERROR(__xludf.DUMMYFUNCTION("""COMPUTED_VALUE"""),0)</f>
        <v>0</v>
      </c>
      <c r="H3245" s="7">
        <f ca="1">IFERROR(__xludf.DUMMYFUNCTION("""COMPUTED_VALUE"""),500000)</f>
        <v>500000</v>
      </c>
    </row>
    <row r="3246" spans="1:8" ht="13" x14ac:dyDescent="0.15">
      <c r="A3246" s="5" t="str">
        <f ca="1">IFERROR(__xludf.DUMMYFUNCTION("""COMPUTED_VALUE"""),"70227")</f>
        <v>70227</v>
      </c>
      <c r="B3246" s="51">
        <f ca="1">IFERROR(__xludf.DUMMYFUNCTION("""COMPUTED_VALUE"""),44619)</f>
        <v>44619</v>
      </c>
      <c r="C3246" s="22">
        <f ca="1">IFERROR(__xludf.DUMMYFUNCTION("""COMPUTED_VALUE"""),500000)</f>
        <v>500000</v>
      </c>
      <c r="D3246" s="22">
        <f ca="1">IFERROR(__xludf.DUMMYFUNCTION("""COMPUTED_VALUE"""),0)</f>
        <v>0</v>
      </c>
      <c r="E3246" s="22">
        <f ca="1">IFERROR(__xludf.DUMMYFUNCTION("""COMPUTED_VALUE"""),500000)</f>
        <v>500000</v>
      </c>
      <c r="F3246" s="22">
        <f ca="1">IFERROR(__xludf.DUMMYFUNCTION("""COMPUTED_VALUE"""),500000)</f>
        <v>500000</v>
      </c>
      <c r="G3246" s="22">
        <f ca="1">IFERROR(__xludf.DUMMYFUNCTION("""COMPUTED_VALUE"""),0)</f>
        <v>0</v>
      </c>
      <c r="H3246" s="7">
        <f ca="1">IFERROR(__xludf.DUMMYFUNCTION("""COMPUTED_VALUE"""),500000)</f>
        <v>500000</v>
      </c>
    </row>
    <row r="3247" spans="1:8" ht="13" x14ac:dyDescent="0.15">
      <c r="A3247" s="5" t="str">
        <f ca="1">IFERROR(__xludf.DUMMYFUNCTION("""COMPUTED_VALUE"""),"70227")</f>
        <v>70227</v>
      </c>
      <c r="B3247" s="51">
        <f ca="1">IFERROR(__xludf.DUMMYFUNCTION("""COMPUTED_VALUE"""),44620)</f>
        <v>44620</v>
      </c>
      <c r="C3247" s="22">
        <f ca="1">IFERROR(__xludf.DUMMYFUNCTION("""COMPUTED_VALUE"""),500000)</f>
        <v>500000</v>
      </c>
      <c r="D3247" s="22">
        <f ca="1">IFERROR(__xludf.DUMMYFUNCTION("""COMPUTED_VALUE"""),0)</f>
        <v>0</v>
      </c>
      <c r="E3247" s="22">
        <f ca="1">IFERROR(__xludf.DUMMYFUNCTION("""COMPUTED_VALUE"""),500000)</f>
        <v>500000</v>
      </c>
      <c r="F3247" s="22">
        <f ca="1">IFERROR(__xludf.DUMMYFUNCTION("""COMPUTED_VALUE"""),500000)</f>
        <v>500000</v>
      </c>
      <c r="G3247" s="22">
        <f ca="1">IFERROR(__xludf.DUMMYFUNCTION("""COMPUTED_VALUE"""),0)</f>
        <v>0</v>
      </c>
      <c r="H3247" s="7">
        <f ca="1">IFERROR(__xludf.DUMMYFUNCTION("""COMPUTED_VALUE"""),500000)</f>
        <v>500000</v>
      </c>
    </row>
    <row r="3248" spans="1:8" ht="13" x14ac:dyDescent="0.15">
      <c r="A3248" s="5" t="str">
        <f ca="1">IFERROR(__xludf.DUMMYFUNCTION("""COMPUTED_VALUE"""),"70227")</f>
        <v>70227</v>
      </c>
      <c r="B3248" s="51">
        <f ca="1">IFERROR(__xludf.DUMMYFUNCTION("""COMPUTED_VALUE"""),44621)</f>
        <v>44621</v>
      </c>
      <c r="C3248" s="22">
        <f ca="1">IFERROR(__xludf.DUMMYFUNCTION("""COMPUTED_VALUE"""),500000)</f>
        <v>500000</v>
      </c>
      <c r="D3248" s="22">
        <f ca="1">IFERROR(__xludf.DUMMYFUNCTION("""COMPUTED_VALUE"""),0)</f>
        <v>0</v>
      </c>
      <c r="E3248" s="22">
        <f ca="1">IFERROR(__xludf.DUMMYFUNCTION("""COMPUTED_VALUE"""),500000)</f>
        <v>500000</v>
      </c>
      <c r="F3248" s="22">
        <f ca="1">IFERROR(__xludf.DUMMYFUNCTION("""COMPUTED_VALUE"""),500000)</f>
        <v>500000</v>
      </c>
      <c r="G3248" s="22">
        <f ca="1">IFERROR(__xludf.DUMMYFUNCTION("""COMPUTED_VALUE"""),0)</f>
        <v>0</v>
      </c>
      <c r="H3248" s="7">
        <f ca="1">IFERROR(__xludf.DUMMYFUNCTION("""COMPUTED_VALUE"""),500000)</f>
        <v>500000</v>
      </c>
    </row>
    <row r="3249" spans="1:8" ht="13" x14ac:dyDescent="0.15">
      <c r="A3249" s="5" t="str">
        <f ca="1">IFERROR(__xludf.DUMMYFUNCTION("""COMPUTED_VALUE"""),"70227")</f>
        <v>70227</v>
      </c>
      <c r="B3249" s="51">
        <f ca="1">IFERROR(__xludf.DUMMYFUNCTION("""COMPUTED_VALUE"""),44622)</f>
        <v>44622</v>
      </c>
      <c r="C3249" s="22">
        <f ca="1">IFERROR(__xludf.DUMMYFUNCTION("""COMPUTED_VALUE"""),500000)</f>
        <v>500000</v>
      </c>
      <c r="D3249" s="22">
        <f ca="1">IFERROR(__xludf.DUMMYFUNCTION("""COMPUTED_VALUE"""),0)</f>
        <v>0</v>
      </c>
      <c r="E3249" s="22">
        <f ca="1">IFERROR(__xludf.DUMMYFUNCTION("""COMPUTED_VALUE"""),500000)</f>
        <v>500000</v>
      </c>
      <c r="F3249" s="22">
        <f ca="1">IFERROR(__xludf.DUMMYFUNCTION("""COMPUTED_VALUE"""),500000)</f>
        <v>500000</v>
      </c>
      <c r="G3249" s="22">
        <f ca="1">IFERROR(__xludf.DUMMYFUNCTION("""COMPUTED_VALUE"""),0)</f>
        <v>0</v>
      </c>
      <c r="H3249" s="7">
        <f ca="1">IFERROR(__xludf.DUMMYFUNCTION("""COMPUTED_VALUE"""),500000)</f>
        <v>500000</v>
      </c>
    </row>
    <row r="3250" spans="1:8" ht="13" x14ac:dyDescent="0.15">
      <c r="A3250" s="5" t="str">
        <f ca="1">IFERROR(__xludf.DUMMYFUNCTION("""COMPUTED_VALUE"""),"70227")</f>
        <v>70227</v>
      </c>
      <c r="B3250" s="51">
        <f ca="1">IFERROR(__xludf.DUMMYFUNCTION("""COMPUTED_VALUE"""),44623)</f>
        <v>44623</v>
      </c>
      <c r="C3250" s="22">
        <f ca="1">IFERROR(__xludf.DUMMYFUNCTION("""COMPUTED_VALUE"""),500000)</f>
        <v>500000</v>
      </c>
      <c r="D3250" s="22">
        <f ca="1">IFERROR(__xludf.DUMMYFUNCTION("""COMPUTED_VALUE"""),0)</f>
        <v>0</v>
      </c>
      <c r="E3250" s="22">
        <f ca="1">IFERROR(__xludf.DUMMYFUNCTION("""COMPUTED_VALUE"""),500000)</f>
        <v>500000</v>
      </c>
      <c r="F3250" s="22">
        <f ca="1">IFERROR(__xludf.DUMMYFUNCTION("""COMPUTED_VALUE"""),500000)</f>
        <v>500000</v>
      </c>
      <c r="G3250" s="22">
        <f ca="1">IFERROR(__xludf.DUMMYFUNCTION("""COMPUTED_VALUE"""),0)</f>
        <v>0</v>
      </c>
      <c r="H3250" s="7">
        <f ca="1">IFERROR(__xludf.DUMMYFUNCTION("""COMPUTED_VALUE"""),500000)</f>
        <v>500000</v>
      </c>
    </row>
    <row r="3251" spans="1:8" ht="13" x14ac:dyDescent="0.15">
      <c r="A3251" s="5" t="str">
        <f ca="1">IFERROR(__xludf.DUMMYFUNCTION("""COMPUTED_VALUE"""),"70227")</f>
        <v>70227</v>
      </c>
      <c r="B3251" s="51">
        <f ca="1">IFERROR(__xludf.DUMMYFUNCTION("""COMPUTED_VALUE"""),44624)</f>
        <v>44624</v>
      </c>
      <c r="C3251" s="22">
        <f ca="1">IFERROR(__xludf.DUMMYFUNCTION("""COMPUTED_VALUE"""),500000)</f>
        <v>500000</v>
      </c>
      <c r="D3251" s="22">
        <f ca="1">IFERROR(__xludf.DUMMYFUNCTION("""COMPUTED_VALUE"""),0)</f>
        <v>0</v>
      </c>
      <c r="E3251" s="22">
        <f ca="1">IFERROR(__xludf.DUMMYFUNCTION("""COMPUTED_VALUE"""),500000)</f>
        <v>500000</v>
      </c>
      <c r="F3251" s="22">
        <f ca="1">IFERROR(__xludf.DUMMYFUNCTION("""COMPUTED_VALUE"""),500000)</f>
        <v>500000</v>
      </c>
      <c r="G3251" s="22">
        <f ca="1">IFERROR(__xludf.DUMMYFUNCTION("""COMPUTED_VALUE"""),0)</f>
        <v>0</v>
      </c>
      <c r="H3251" s="7">
        <f ca="1">IFERROR(__xludf.DUMMYFUNCTION("""COMPUTED_VALUE"""),500000)</f>
        <v>500000</v>
      </c>
    </row>
    <row r="3252" spans="1:8" ht="13" x14ac:dyDescent="0.15">
      <c r="A3252" s="5" t="str">
        <f ca="1">IFERROR(__xludf.DUMMYFUNCTION("""COMPUTED_VALUE"""),"70227")</f>
        <v>70227</v>
      </c>
      <c r="B3252" s="51">
        <f ca="1">IFERROR(__xludf.DUMMYFUNCTION("""COMPUTED_VALUE"""),44625)</f>
        <v>44625</v>
      </c>
      <c r="C3252" s="22">
        <f ca="1">IFERROR(__xludf.DUMMYFUNCTION("""COMPUTED_VALUE"""),500000)</f>
        <v>500000</v>
      </c>
      <c r="D3252" s="22">
        <f ca="1">IFERROR(__xludf.DUMMYFUNCTION("""COMPUTED_VALUE"""),0)</f>
        <v>0</v>
      </c>
      <c r="E3252" s="22">
        <f ca="1">IFERROR(__xludf.DUMMYFUNCTION("""COMPUTED_VALUE"""),500000)</f>
        <v>500000</v>
      </c>
      <c r="F3252" s="22">
        <f ca="1">IFERROR(__xludf.DUMMYFUNCTION("""COMPUTED_VALUE"""),500000)</f>
        <v>500000</v>
      </c>
      <c r="G3252" s="22">
        <f ca="1">IFERROR(__xludf.DUMMYFUNCTION("""COMPUTED_VALUE"""),0)</f>
        <v>0</v>
      </c>
      <c r="H3252" s="7">
        <f ca="1">IFERROR(__xludf.DUMMYFUNCTION("""COMPUTED_VALUE"""),500000)</f>
        <v>500000</v>
      </c>
    </row>
    <row r="3253" spans="1:8" ht="13" x14ac:dyDescent="0.15">
      <c r="A3253" s="5" t="str">
        <f ca="1">IFERROR(__xludf.DUMMYFUNCTION("""COMPUTED_VALUE"""),"70227")</f>
        <v>70227</v>
      </c>
      <c r="B3253" s="51">
        <f ca="1">IFERROR(__xludf.DUMMYFUNCTION("""COMPUTED_VALUE"""),44626)</f>
        <v>44626</v>
      </c>
      <c r="C3253" s="22">
        <f ca="1">IFERROR(__xludf.DUMMYFUNCTION("""COMPUTED_VALUE"""),500000)</f>
        <v>500000</v>
      </c>
      <c r="D3253" s="22">
        <f ca="1">IFERROR(__xludf.DUMMYFUNCTION("""COMPUTED_VALUE"""),0)</f>
        <v>0</v>
      </c>
      <c r="E3253" s="22">
        <f ca="1">IFERROR(__xludf.DUMMYFUNCTION("""COMPUTED_VALUE"""),500000)</f>
        <v>500000</v>
      </c>
      <c r="F3253" s="22">
        <f ca="1">IFERROR(__xludf.DUMMYFUNCTION("""COMPUTED_VALUE"""),500000)</f>
        <v>500000</v>
      </c>
      <c r="G3253" s="22">
        <f ca="1">IFERROR(__xludf.DUMMYFUNCTION("""COMPUTED_VALUE"""),0)</f>
        <v>0</v>
      </c>
      <c r="H3253" s="7">
        <f ca="1">IFERROR(__xludf.DUMMYFUNCTION("""COMPUTED_VALUE"""),500000)</f>
        <v>500000</v>
      </c>
    </row>
    <row r="3254" spans="1:8" ht="13" x14ac:dyDescent="0.15">
      <c r="A3254" s="5" t="str">
        <f ca="1">IFERROR(__xludf.DUMMYFUNCTION("""COMPUTED_VALUE"""),"70227")</f>
        <v>70227</v>
      </c>
      <c r="B3254" s="51">
        <f ca="1">IFERROR(__xludf.DUMMYFUNCTION("""COMPUTED_VALUE"""),44627)</f>
        <v>44627</v>
      </c>
      <c r="C3254" s="22">
        <f ca="1">IFERROR(__xludf.DUMMYFUNCTION("""COMPUTED_VALUE"""),500000)</f>
        <v>500000</v>
      </c>
      <c r="D3254" s="22">
        <f ca="1">IFERROR(__xludf.DUMMYFUNCTION("""COMPUTED_VALUE"""),0)</f>
        <v>0</v>
      </c>
      <c r="E3254" s="22">
        <f ca="1">IFERROR(__xludf.DUMMYFUNCTION("""COMPUTED_VALUE"""),500000)</f>
        <v>500000</v>
      </c>
      <c r="F3254" s="22">
        <f ca="1">IFERROR(__xludf.DUMMYFUNCTION("""COMPUTED_VALUE"""),500000)</f>
        <v>500000</v>
      </c>
      <c r="G3254" s="22">
        <f ca="1">IFERROR(__xludf.DUMMYFUNCTION("""COMPUTED_VALUE"""),0)</f>
        <v>0</v>
      </c>
      <c r="H3254" s="7">
        <f ca="1">IFERROR(__xludf.DUMMYFUNCTION("""COMPUTED_VALUE"""),500000)</f>
        <v>500000</v>
      </c>
    </row>
    <row r="3255" spans="1:8" ht="13" x14ac:dyDescent="0.15">
      <c r="A3255" s="5" t="str">
        <f ca="1">IFERROR(__xludf.DUMMYFUNCTION("""COMPUTED_VALUE"""),"70227")</f>
        <v>70227</v>
      </c>
      <c r="B3255" s="51">
        <f ca="1">IFERROR(__xludf.DUMMYFUNCTION("""COMPUTED_VALUE"""),44628)</f>
        <v>44628</v>
      </c>
      <c r="C3255" s="22">
        <f ca="1">IFERROR(__xludf.DUMMYFUNCTION("""COMPUTED_VALUE"""),500000)</f>
        <v>500000</v>
      </c>
      <c r="D3255" s="22">
        <f ca="1">IFERROR(__xludf.DUMMYFUNCTION("""COMPUTED_VALUE"""),0)</f>
        <v>0</v>
      </c>
      <c r="E3255" s="22">
        <f ca="1">IFERROR(__xludf.DUMMYFUNCTION("""COMPUTED_VALUE"""),500000)</f>
        <v>500000</v>
      </c>
      <c r="F3255" s="22">
        <f ca="1">IFERROR(__xludf.DUMMYFUNCTION("""COMPUTED_VALUE"""),500000)</f>
        <v>500000</v>
      </c>
      <c r="G3255" s="22">
        <f ca="1">IFERROR(__xludf.DUMMYFUNCTION("""COMPUTED_VALUE"""),0)</f>
        <v>0</v>
      </c>
      <c r="H3255" s="7">
        <f ca="1">IFERROR(__xludf.DUMMYFUNCTION("""COMPUTED_VALUE"""),500000)</f>
        <v>500000</v>
      </c>
    </row>
    <row r="3256" spans="1:8" ht="13" x14ac:dyDescent="0.15">
      <c r="A3256" s="5" t="str">
        <f ca="1">IFERROR(__xludf.DUMMYFUNCTION("""COMPUTED_VALUE"""),"70227")</f>
        <v>70227</v>
      </c>
      <c r="B3256" s="51">
        <f ca="1">IFERROR(__xludf.DUMMYFUNCTION("""COMPUTED_VALUE"""),44629)</f>
        <v>44629</v>
      </c>
      <c r="C3256" s="22">
        <f ca="1">IFERROR(__xludf.DUMMYFUNCTION("""COMPUTED_VALUE"""),500000)</f>
        <v>500000</v>
      </c>
      <c r="D3256" s="22">
        <f ca="1">IFERROR(__xludf.DUMMYFUNCTION("""COMPUTED_VALUE"""),0)</f>
        <v>0</v>
      </c>
      <c r="E3256" s="22">
        <f ca="1">IFERROR(__xludf.DUMMYFUNCTION("""COMPUTED_VALUE"""),500000)</f>
        <v>500000</v>
      </c>
      <c r="F3256" s="22">
        <f ca="1">IFERROR(__xludf.DUMMYFUNCTION("""COMPUTED_VALUE"""),500000)</f>
        <v>500000</v>
      </c>
      <c r="G3256" s="22">
        <f ca="1">IFERROR(__xludf.DUMMYFUNCTION("""COMPUTED_VALUE"""),0)</f>
        <v>0</v>
      </c>
      <c r="H3256" s="7">
        <f ca="1">IFERROR(__xludf.DUMMYFUNCTION("""COMPUTED_VALUE"""),500000)</f>
        <v>500000</v>
      </c>
    </row>
    <row r="3257" spans="1:8" ht="13" x14ac:dyDescent="0.15">
      <c r="A3257" s="5" t="str">
        <f ca="1">IFERROR(__xludf.DUMMYFUNCTION("""COMPUTED_VALUE"""),"70227")</f>
        <v>70227</v>
      </c>
      <c r="B3257" s="51">
        <f ca="1">IFERROR(__xludf.DUMMYFUNCTION("""COMPUTED_VALUE"""),44630)</f>
        <v>44630</v>
      </c>
      <c r="C3257" s="22">
        <f ca="1">IFERROR(__xludf.DUMMYFUNCTION("""COMPUTED_VALUE"""),500000)</f>
        <v>500000</v>
      </c>
      <c r="D3257" s="22">
        <f ca="1">IFERROR(__xludf.DUMMYFUNCTION("""COMPUTED_VALUE"""),0)</f>
        <v>0</v>
      </c>
      <c r="E3257" s="22">
        <f ca="1">IFERROR(__xludf.DUMMYFUNCTION("""COMPUTED_VALUE"""),500000)</f>
        <v>500000</v>
      </c>
      <c r="F3257" s="22">
        <f ca="1">IFERROR(__xludf.DUMMYFUNCTION("""COMPUTED_VALUE"""),500000)</f>
        <v>500000</v>
      </c>
      <c r="G3257" s="22">
        <f ca="1">IFERROR(__xludf.DUMMYFUNCTION("""COMPUTED_VALUE"""),0)</f>
        <v>0</v>
      </c>
      <c r="H3257" s="7">
        <f ca="1">IFERROR(__xludf.DUMMYFUNCTION("""COMPUTED_VALUE"""),500000)</f>
        <v>500000</v>
      </c>
    </row>
    <row r="3258" spans="1:8" ht="13" x14ac:dyDescent="0.15">
      <c r="A3258" s="5" t="str">
        <f ca="1">IFERROR(__xludf.DUMMYFUNCTION("""COMPUTED_VALUE"""),"70227")</f>
        <v>70227</v>
      </c>
      <c r="B3258" s="51">
        <f ca="1">IFERROR(__xludf.DUMMYFUNCTION("""COMPUTED_VALUE"""),44631)</f>
        <v>44631</v>
      </c>
      <c r="C3258" s="22">
        <f ca="1">IFERROR(__xludf.DUMMYFUNCTION("""COMPUTED_VALUE"""),500000)</f>
        <v>500000</v>
      </c>
      <c r="D3258" s="22">
        <f ca="1">IFERROR(__xludf.DUMMYFUNCTION("""COMPUTED_VALUE"""),0)</f>
        <v>0</v>
      </c>
      <c r="E3258" s="22">
        <f ca="1">IFERROR(__xludf.DUMMYFUNCTION("""COMPUTED_VALUE"""),500000)</f>
        <v>500000</v>
      </c>
      <c r="F3258" s="22">
        <f ca="1">IFERROR(__xludf.DUMMYFUNCTION("""COMPUTED_VALUE"""),500000)</f>
        <v>500000</v>
      </c>
      <c r="G3258" s="22">
        <f ca="1">IFERROR(__xludf.DUMMYFUNCTION("""COMPUTED_VALUE"""),0)</f>
        <v>0</v>
      </c>
      <c r="H3258" s="7">
        <f ca="1">IFERROR(__xludf.DUMMYFUNCTION("""COMPUTED_VALUE"""),500000)</f>
        <v>500000</v>
      </c>
    </row>
    <row r="3259" spans="1:8" ht="13" x14ac:dyDescent="0.15">
      <c r="A3259" s="5" t="str">
        <f ca="1">IFERROR(__xludf.DUMMYFUNCTION("""COMPUTED_VALUE"""),"70227")</f>
        <v>70227</v>
      </c>
      <c r="B3259" s="51">
        <f ca="1">IFERROR(__xludf.DUMMYFUNCTION("""COMPUTED_VALUE"""),44632)</f>
        <v>44632</v>
      </c>
      <c r="C3259" s="22">
        <f ca="1">IFERROR(__xludf.DUMMYFUNCTION("""COMPUTED_VALUE"""),500000)</f>
        <v>500000</v>
      </c>
      <c r="D3259" s="22">
        <f ca="1">IFERROR(__xludf.DUMMYFUNCTION("""COMPUTED_VALUE"""),0)</f>
        <v>0</v>
      </c>
      <c r="E3259" s="22">
        <f ca="1">IFERROR(__xludf.DUMMYFUNCTION("""COMPUTED_VALUE"""),500000)</f>
        <v>500000</v>
      </c>
      <c r="F3259" s="22">
        <f ca="1">IFERROR(__xludf.DUMMYFUNCTION("""COMPUTED_VALUE"""),500000)</f>
        <v>500000</v>
      </c>
      <c r="G3259" s="22">
        <f ca="1">IFERROR(__xludf.DUMMYFUNCTION("""COMPUTED_VALUE"""),0)</f>
        <v>0</v>
      </c>
      <c r="H3259" s="7">
        <f ca="1">IFERROR(__xludf.DUMMYFUNCTION("""COMPUTED_VALUE"""),500000)</f>
        <v>500000</v>
      </c>
    </row>
    <row r="3260" spans="1:8" ht="13" x14ac:dyDescent="0.15">
      <c r="A3260" s="5" t="str">
        <f ca="1">IFERROR(__xludf.DUMMYFUNCTION("""COMPUTED_VALUE"""),"70227")</f>
        <v>70227</v>
      </c>
      <c r="B3260" s="51">
        <f ca="1">IFERROR(__xludf.DUMMYFUNCTION("""COMPUTED_VALUE"""),44633)</f>
        <v>44633</v>
      </c>
      <c r="C3260" s="22">
        <f ca="1">IFERROR(__xludf.DUMMYFUNCTION("""COMPUTED_VALUE"""),500000)</f>
        <v>500000</v>
      </c>
      <c r="D3260" s="22">
        <f ca="1">IFERROR(__xludf.DUMMYFUNCTION("""COMPUTED_VALUE"""),0)</f>
        <v>0</v>
      </c>
      <c r="E3260" s="22">
        <f ca="1">IFERROR(__xludf.DUMMYFUNCTION("""COMPUTED_VALUE"""),500000)</f>
        <v>500000</v>
      </c>
      <c r="F3260" s="22">
        <f ca="1">IFERROR(__xludf.DUMMYFUNCTION("""COMPUTED_VALUE"""),500000)</f>
        <v>500000</v>
      </c>
      <c r="G3260" s="22">
        <f ca="1">IFERROR(__xludf.DUMMYFUNCTION("""COMPUTED_VALUE"""),0)</f>
        <v>0</v>
      </c>
      <c r="H3260" s="7">
        <f ca="1">IFERROR(__xludf.DUMMYFUNCTION("""COMPUTED_VALUE"""),500000)</f>
        <v>500000</v>
      </c>
    </row>
    <row r="3261" spans="1:8" ht="13" x14ac:dyDescent="0.15">
      <c r="A3261" s="5" t="str">
        <f ca="1">IFERROR(__xludf.DUMMYFUNCTION("""COMPUTED_VALUE"""),"70227")</f>
        <v>70227</v>
      </c>
      <c r="B3261" s="51">
        <f ca="1">IFERROR(__xludf.DUMMYFUNCTION("""COMPUTED_VALUE"""),44634)</f>
        <v>44634</v>
      </c>
      <c r="C3261" s="22">
        <f ca="1">IFERROR(__xludf.DUMMYFUNCTION("""COMPUTED_VALUE"""),500000)</f>
        <v>500000</v>
      </c>
      <c r="D3261" s="22">
        <f ca="1">IFERROR(__xludf.DUMMYFUNCTION("""COMPUTED_VALUE"""),0)</f>
        <v>0</v>
      </c>
      <c r="E3261" s="22">
        <f ca="1">IFERROR(__xludf.DUMMYFUNCTION("""COMPUTED_VALUE"""),500000)</f>
        <v>500000</v>
      </c>
      <c r="F3261" s="22">
        <f ca="1">IFERROR(__xludf.DUMMYFUNCTION("""COMPUTED_VALUE"""),500000)</f>
        <v>500000</v>
      </c>
      <c r="G3261" s="22">
        <f ca="1">IFERROR(__xludf.DUMMYFUNCTION("""COMPUTED_VALUE"""),0)</f>
        <v>0</v>
      </c>
      <c r="H3261" s="7">
        <f ca="1">IFERROR(__xludf.DUMMYFUNCTION("""COMPUTED_VALUE"""),500000)</f>
        <v>500000</v>
      </c>
    </row>
    <row r="3262" spans="1:8" ht="13" x14ac:dyDescent="0.15">
      <c r="A3262" s="5" t="str">
        <f ca="1">IFERROR(__xludf.DUMMYFUNCTION("""COMPUTED_VALUE"""),"70227")</f>
        <v>70227</v>
      </c>
      <c r="B3262" s="51">
        <f ca="1">IFERROR(__xludf.DUMMYFUNCTION("""COMPUTED_VALUE"""),44635)</f>
        <v>44635</v>
      </c>
      <c r="C3262" s="22">
        <f ca="1">IFERROR(__xludf.DUMMYFUNCTION("""COMPUTED_VALUE"""),500000)</f>
        <v>500000</v>
      </c>
      <c r="D3262" s="22">
        <f ca="1">IFERROR(__xludf.DUMMYFUNCTION("""COMPUTED_VALUE"""),0)</f>
        <v>0</v>
      </c>
      <c r="E3262" s="22">
        <f ca="1">IFERROR(__xludf.DUMMYFUNCTION("""COMPUTED_VALUE"""),500000)</f>
        <v>500000</v>
      </c>
      <c r="F3262" s="22">
        <f ca="1">IFERROR(__xludf.DUMMYFUNCTION("""COMPUTED_VALUE"""),500000)</f>
        <v>500000</v>
      </c>
      <c r="G3262" s="22">
        <f ca="1">IFERROR(__xludf.DUMMYFUNCTION("""COMPUTED_VALUE"""),0)</f>
        <v>0</v>
      </c>
      <c r="H3262" s="7">
        <f ca="1">IFERROR(__xludf.DUMMYFUNCTION("""COMPUTED_VALUE"""),500000)</f>
        <v>500000</v>
      </c>
    </row>
    <row r="3263" spans="1:8" ht="13" x14ac:dyDescent="0.15">
      <c r="A3263" s="5" t="str">
        <f ca="1">IFERROR(__xludf.DUMMYFUNCTION("""COMPUTED_VALUE"""),"70227")</f>
        <v>70227</v>
      </c>
      <c r="B3263" s="51">
        <f ca="1">IFERROR(__xludf.DUMMYFUNCTION("""COMPUTED_VALUE"""),44636)</f>
        <v>44636</v>
      </c>
      <c r="C3263" s="22">
        <f ca="1">IFERROR(__xludf.DUMMYFUNCTION("""COMPUTED_VALUE"""),500000)</f>
        <v>500000</v>
      </c>
      <c r="D3263" s="22">
        <f ca="1">IFERROR(__xludf.DUMMYFUNCTION("""COMPUTED_VALUE"""),0)</f>
        <v>0</v>
      </c>
      <c r="E3263" s="22">
        <f ca="1">IFERROR(__xludf.DUMMYFUNCTION("""COMPUTED_VALUE"""),500000)</f>
        <v>500000</v>
      </c>
      <c r="F3263" s="22">
        <f ca="1">IFERROR(__xludf.DUMMYFUNCTION("""COMPUTED_VALUE"""),500000)</f>
        <v>500000</v>
      </c>
      <c r="G3263" s="22">
        <f ca="1">IFERROR(__xludf.DUMMYFUNCTION("""COMPUTED_VALUE"""),0)</f>
        <v>0</v>
      </c>
      <c r="H3263" s="7">
        <f ca="1">IFERROR(__xludf.DUMMYFUNCTION("""COMPUTED_VALUE"""),500000)</f>
        <v>500000</v>
      </c>
    </row>
    <row r="3264" spans="1:8" ht="13" x14ac:dyDescent="0.15">
      <c r="A3264" s="5" t="str">
        <f ca="1">IFERROR(__xludf.DUMMYFUNCTION("""COMPUTED_VALUE"""),"70227")</f>
        <v>70227</v>
      </c>
      <c r="B3264" s="51">
        <f ca="1">IFERROR(__xludf.DUMMYFUNCTION("""COMPUTED_VALUE"""),44637)</f>
        <v>44637</v>
      </c>
      <c r="C3264" s="22">
        <f ca="1">IFERROR(__xludf.DUMMYFUNCTION("""COMPUTED_VALUE"""),500000)</f>
        <v>500000</v>
      </c>
      <c r="D3264" s="22">
        <f ca="1">IFERROR(__xludf.DUMMYFUNCTION("""COMPUTED_VALUE"""),0)</f>
        <v>0</v>
      </c>
      <c r="E3264" s="22">
        <f ca="1">IFERROR(__xludf.DUMMYFUNCTION("""COMPUTED_VALUE"""),500000)</f>
        <v>500000</v>
      </c>
      <c r="F3264" s="22">
        <f ca="1">IFERROR(__xludf.DUMMYFUNCTION("""COMPUTED_VALUE"""),500000)</f>
        <v>500000</v>
      </c>
      <c r="G3264" s="22">
        <f ca="1">IFERROR(__xludf.DUMMYFUNCTION("""COMPUTED_VALUE"""),0)</f>
        <v>0</v>
      </c>
      <c r="H3264" s="7">
        <f ca="1">IFERROR(__xludf.DUMMYFUNCTION("""COMPUTED_VALUE"""),500000)</f>
        <v>500000</v>
      </c>
    </row>
    <row r="3265" spans="1:8" ht="13" x14ac:dyDescent="0.15">
      <c r="A3265" s="5" t="str">
        <f ca="1">IFERROR(__xludf.DUMMYFUNCTION("""COMPUTED_VALUE"""),"70227")</f>
        <v>70227</v>
      </c>
      <c r="B3265" s="51">
        <f ca="1">IFERROR(__xludf.DUMMYFUNCTION("""COMPUTED_VALUE"""),44638)</f>
        <v>44638</v>
      </c>
      <c r="C3265" s="22">
        <f ca="1">IFERROR(__xludf.DUMMYFUNCTION("""COMPUTED_VALUE"""),500000)</f>
        <v>500000</v>
      </c>
      <c r="D3265" s="22">
        <f ca="1">IFERROR(__xludf.DUMMYFUNCTION("""COMPUTED_VALUE"""),0)</f>
        <v>0</v>
      </c>
      <c r="E3265" s="22">
        <f ca="1">IFERROR(__xludf.DUMMYFUNCTION("""COMPUTED_VALUE"""),500000)</f>
        <v>500000</v>
      </c>
      <c r="F3265" s="22">
        <f ca="1">IFERROR(__xludf.DUMMYFUNCTION("""COMPUTED_VALUE"""),500000)</f>
        <v>500000</v>
      </c>
      <c r="G3265" s="22">
        <f ca="1">IFERROR(__xludf.DUMMYFUNCTION("""COMPUTED_VALUE"""),0)</f>
        <v>0</v>
      </c>
      <c r="H3265" s="7">
        <f ca="1">IFERROR(__xludf.DUMMYFUNCTION("""COMPUTED_VALUE"""),500000)</f>
        <v>500000</v>
      </c>
    </row>
    <row r="3266" spans="1:8" ht="13" x14ac:dyDescent="0.15">
      <c r="A3266" s="5" t="str">
        <f ca="1">IFERROR(__xludf.DUMMYFUNCTION("""COMPUTED_VALUE"""),"70227")</f>
        <v>70227</v>
      </c>
      <c r="B3266" s="51">
        <f ca="1">IFERROR(__xludf.DUMMYFUNCTION("""COMPUTED_VALUE"""),44639)</f>
        <v>44639</v>
      </c>
      <c r="C3266" s="22">
        <f ca="1">IFERROR(__xludf.DUMMYFUNCTION("""COMPUTED_VALUE"""),500000)</f>
        <v>500000</v>
      </c>
      <c r="D3266" s="22">
        <f ca="1">IFERROR(__xludf.DUMMYFUNCTION("""COMPUTED_VALUE"""),0)</f>
        <v>0</v>
      </c>
      <c r="E3266" s="22">
        <f ca="1">IFERROR(__xludf.DUMMYFUNCTION("""COMPUTED_VALUE"""),500000)</f>
        <v>500000</v>
      </c>
      <c r="F3266" s="22">
        <f ca="1">IFERROR(__xludf.DUMMYFUNCTION("""COMPUTED_VALUE"""),500000)</f>
        <v>500000</v>
      </c>
      <c r="G3266" s="22">
        <f ca="1">IFERROR(__xludf.DUMMYFUNCTION("""COMPUTED_VALUE"""),0)</f>
        <v>0</v>
      </c>
      <c r="H3266" s="7">
        <f ca="1">IFERROR(__xludf.DUMMYFUNCTION("""COMPUTED_VALUE"""),500000)</f>
        <v>500000</v>
      </c>
    </row>
    <row r="3267" spans="1:8" ht="13" x14ac:dyDescent="0.15">
      <c r="A3267" s="5" t="str">
        <f ca="1">IFERROR(__xludf.DUMMYFUNCTION("""COMPUTED_VALUE"""),"70227")</f>
        <v>70227</v>
      </c>
      <c r="B3267" s="51">
        <f ca="1">IFERROR(__xludf.DUMMYFUNCTION("""COMPUTED_VALUE"""),44640)</f>
        <v>44640</v>
      </c>
      <c r="C3267" s="22">
        <f ca="1">IFERROR(__xludf.DUMMYFUNCTION("""COMPUTED_VALUE"""),500000)</f>
        <v>500000</v>
      </c>
      <c r="D3267" s="22">
        <f ca="1">IFERROR(__xludf.DUMMYFUNCTION("""COMPUTED_VALUE"""),0)</f>
        <v>0</v>
      </c>
      <c r="E3267" s="22">
        <f ca="1">IFERROR(__xludf.DUMMYFUNCTION("""COMPUTED_VALUE"""),500000)</f>
        <v>500000</v>
      </c>
      <c r="F3267" s="22">
        <f ca="1">IFERROR(__xludf.DUMMYFUNCTION("""COMPUTED_VALUE"""),500000)</f>
        <v>500000</v>
      </c>
      <c r="G3267" s="22">
        <f ca="1">IFERROR(__xludf.DUMMYFUNCTION("""COMPUTED_VALUE"""),0)</f>
        <v>0</v>
      </c>
      <c r="H3267" s="7">
        <f ca="1">IFERROR(__xludf.DUMMYFUNCTION("""COMPUTED_VALUE"""),500000)</f>
        <v>500000</v>
      </c>
    </row>
    <row r="3268" spans="1:8" ht="13" x14ac:dyDescent="0.15">
      <c r="A3268" s="5" t="str">
        <f ca="1">IFERROR(__xludf.DUMMYFUNCTION("""COMPUTED_VALUE"""),"70227")</f>
        <v>70227</v>
      </c>
      <c r="B3268" s="51">
        <f ca="1">IFERROR(__xludf.DUMMYFUNCTION("""COMPUTED_VALUE"""),44641)</f>
        <v>44641</v>
      </c>
      <c r="C3268" s="22">
        <f ca="1">IFERROR(__xludf.DUMMYFUNCTION("""COMPUTED_VALUE"""),500000)</f>
        <v>500000</v>
      </c>
      <c r="D3268" s="22">
        <f ca="1">IFERROR(__xludf.DUMMYFUNCTION("""COMPUTED_VALUE"""),0)</f>
        <v>0</v>
      </c>
      <c r="E3268" s="22">
        <f ca="1">IFERROR(__xludf.DUMMYFUNCTION("""COMPUTED_VALUE"""),500000)</f>
        <v>500000</v>
      </c>
      <c r="F3268" s="22">
        <f ca="1">IFERROR(__xludf.DUMMYFUNCTION("""COMPUTED_VALUE"""),500000)</f>
        <v>500000</v>
      </c>
      <c r="G3268" s="22">
        <f ca="1">IFERROR(__xludf.DUMMYFUNCTION("""COMPUTED_VALUE"""),0)</f>
        <v>0</v>
      </c>
      <c r="H3268" s="7">
        <f ca="1">IFERROR(__xludf.DUMMYFUNCTION("""COMPUTED_VALUE"""),500000)</f>
        <v>500000</v>
      </c>
    </row>
    <row r="3269" spans="1:8" ht="13" x14ac:dyDescent="0.15">
      <c r="A3269" s="5" t="str">
        <f ca="1">IFERROR(__xludf.DUMMYFUNCTION("""COMPUTED_VALUE"""),"70227")</f>
        <v>70227</v>
      </c>
      <c r="B3269" s="51">
        <f ca="1">IFERROR(__xludf.DUMMYFUNCTION("""COMPUTED_VALUE"""),44642)</f>
        <v>44642</v>
      </c>
      <c r="C3269" s="22">
        <f ca="1">IFERROR(__xludf.DUMMYFUNCTION("""COMPUTED_VALUE"""),500000)</f>
        <v>500000</v>
      </c>
      <c r="D3269" s="22">
        <f ca="1">IFERROR(__xludf.DUMMYFUNCTION("""COMPUTED_VALUE"""),0)</f>
        <v>0</v>
      </c>
      <c r="E3269" s="22">
        <f ca="1">IFERROR(__xludf.DUMMYFUNCTION("""COMPUTED_VALUE"""),500000)</f>
        <v>500000</v>
      </c>
      <c r="F3269" s="22">
        <f ca="1">IFERROR(__xludf.DUMMYFUNCTION("""COMPUTED_VALUE"""),500000)</f>
        <v>500000</v>
      </c>
      <c r="G3269" s="22">
        <f ca="1">IFERROR(__xludf.DUMMYFUNCTION("""COMPUTED_VALUE"""),0)</f>
        <v>0</v>
      </c>
      <c r="H3269" s="7">
        <f ca="1">IFERROR(__xludf.DUMMYFUNCTION("""COMPUTED_VALUE"""),500000)</f>
        <v>500000</v>
      </c>
    </row>
    <row r="3270" spans="1:8" ht="13" x14ac:dyDescent="0.15">
      <c r="A3270" s="5" t="str">
        <f ca="1">IFERROR(__xludf.DUMMYFUNCTION("""COMPUTED_VALUE"""),"70236")</f>
        <v>70236</v>
      </c>
      <c r="B3270" s="51">
        <f ca="1">IFERROR(__xludf.DUMMYFUNCTION("""COMPUTED_VALUE"""),44597)</f>
        <v>44597</v>
      </c>
      <c r="C3270" s="22">
        <f ca="1">IFERROR(__xludf.DUMMYFUNCTION("""COMPUTED_VALUE"""),500000)</f>
        <v>500000</v>
      </c>
      <c r="D3270" s="22">
        <f ca="1">IFERROR(__xludf.DUMMYFUNCTION("""COMPUTED_VALUE"""),0)</f>
        <v>0</v>
      </c>
      <c r="E3270" s="22">
        <f ca="1">IFERROR(__xludf.DUMMYFUNCTION("""COMPUTED_VALUE"""),500000)</f>
        <v>500000</v>
      </c>
      <c r="F3270" s="22">
        <f ca="1">IFERROR(__xludf.DUMMYFUNCTION("""COMPUTED_VALUE"""),500000)</f>
        <v>500000</v>
      </c>
      <c r="G3270" s="22">
        <f ca="1">IFERROR(__xludf.DUMMYFUNCTION("""COMPUTED_VALUE"""),0)</f>
        <v>0</v>
      </c>
      <c r="H3270" s="7">
        <f ca="1">IFERROR(__xludf.DUMMYFUNCTION("""COMPUTED_VALUE"""),500000)</f>
        <v>500000</v>
      </c>
    </row>
    <row r="3271" spans="1:8" ht="13" x14ac:dyDescent="0.15">
      <c r="A3271" s="5" t="str">
        <f ca="1">IFERROR(__xludf.DUMMYFUNCTION("""COMPUTED_VALUE"""),"70236")</f>
        <v>70236</v>
      </c>
      <c r="B3271" s="51">
        <f ca="1">IFERROR(__xludf.DUMMYFUNCTION("""COMPUTED_VALUE"""),44598)</f>
        <v>44598</v>
      </c>
      <c r="C3271" s="22">
        <f ca="1">IFERROR(__xludf.DUMMYFUNCTION("""COMPUTED_VALUE"""),500000)</f>
        <v>500000</v>
      </c>
      <c r="D3271" s="22">
        <f ca="1">IFERROR(__xludf.DUMMYFUNCTION("""COMPUTED_VALUE"""),0)</f>
        <v>0</v>
      </c>
      <c r="E3271" s="22">
        <f ca="1">IFERROR(__xludf.DUMMYFUNCTION("""COMPUTED_VALUE"""),500000)</f>
        <v>500000</v>
      </c>
      <c r="F3271" s="22">
        <f ca="1">IFERROR(__xludf.DUMMYFUNCTION("""COMPUTED_VALUE"""),500000)</f>
        <v>500000</v>
      </c>
      <c r="G3271" s="22">
        <f ca="1">IFERROR(__xludf.DUMMYFUNCTION("""COMPUTED_VALUE"""),0)</f>
        <v>0</v>
      </c>
      <c r="H3271" s="7">
        <f ca="1">IFERROR(__xludf.DUMMYFUNCTION("""COMPUTED_VALUE"""),500000)</f>
        <v>500000</v>
      </c>
    </row>
    <row r="3272" spans="1:8" ht="13" x14ac:dyDescent="0.15">
      <c r="A3272" s="5" t="str">
        <f ca="1">IFERROR(__xludf.DUMMYFUNCTION("""COMPUTED_VALUE"""),"70236")</f>
        <v>70236</v>
      </c>
      <c r="B3272" s="51">
        <f ca="1">IFERROR(__xludf.DUMMYFUNCTION("""COMPUTED_VALUE"""),44599)</f>
        <v>44599</v>
      </c>
      <c r="C3272" s="22">
        <f ca="1">IFERROR(__xludf.DUMMYFUNCTION("""COMPUTED_VALUE"""),500000)</f>
        <v>500000</v>
      </c>
      <c r="D3272" s="22">
        <f ca="1">IFERROR(__xludf.DUMMYFUNCTION("""COMPUTED_VALUE"""),0)</f>
        <v>0</v>
      </c>
      <c r="E3272" s="22">
        <f ca="1">IFERROR(__xludf.DUMMYFUNCTION("""COMPUTED_VALUE"""),500000)</f>
        <v>500000</v>
      </c>
      <c r="F3272" s="22">
        <f ca="1">IFERROR(__xludf.DUMMYFUNCTION("""COMPUTED_VALUE"""),500000)</f>
        <v>500000</v>
      </c>
      <c r="G3272" s="22">
        <f ca="1">IFERROR(__xludf.DUMMYFUNCTION("""COMPUTED_VALUE"""),0)</f>
        <v>0</v>
      </c>
      <c r="H3272" s="7">
        <f ca="1">IFERROR(__xludf.DUMMYFUNCTION("""COMPUTED_VALUE"""),500000)</f>
        <v>500000</v>
      </c>
    </row>
    <row r="3273" spans="1:8" ht="13" x14ac:dyDescent="0.15">
      <c r="A3273" s="5" t="str">
        <f ca="1">IFERROR(__xludf.DUMMYFUNCTION("""COMPUTED_VALUE"""),"70236")</f>
        <v>70236</v>
      </c>
      <c r="B3273" s="51">
        <f ca="1">IFERROR(__xludf.DUMMYFUNCTION("""COMPUTED_VALUE"""),44600)</f>
        <v>44600</v>
      </c>
      <c r="C3273" s="22">
        <f ca="1">IFERROR(__xludf.DUMMYFUNCTION("""COMPUTED_VALUE"""),500000)</f>
        <v>500000</v>
      </c>
      <c r="D3273" s="22">
        <f ca="1">IFERROR(__xludf.DUMMYFUNCTION("""COMPUTED_VALUE"""),0)</f>
        <v>0</v>
      </c>
      <c r="E3273" s="22">
        <f ca="1">IFERROR(__xludf.DUMMYFUNCTION("""COMPUTED_VALUE"""),500000)</f>
        <v>500000</v>
      </c>
      <c r="F3273" s="22">
        <f ca="1">IFERROR(__xludf.DUMMYFUNCTION("""COMPUTED_VALUE"""),500000)</f>
        <v>500000</v>
      </c>
      <c r="G3273" s="22">
        <f ca="1">IFERROR(__xludf.DUMMYFUNCTION("""COMPUTED_VALUE"""),0)</f>
        <v>0</v>
      </c>
      <c r="H3273" s="7">
        <f ca="1">IFERROR(__xludf.DUMMYFUNCTION("""COMPUTED_VALUE"""),500000)</f>
        <v>500000</v>
      </c>
    </row>
    <row r="3274" spans="1:8" ht="13" x14ac:dyDescent="0.15">
      <c r="A3274" s="5" t="str">
        <f ca="1">IFERROR(__xludf.DUMMYFUNCTION("""COMPUTED_VALUE"""),"70236")</f>
        <v>70236</v>
      </c>
      <c r="B3274" s="51">
        <f ca="1">IFERROR(__xludf.DUMMYFUNCTION("""COMPUTED_VALUE"""),44601)</f>
        <v>44601</v>
      </c>
      <c r="C3274" s="22">
        <f ca="1">IFERROR(__xludf.DUMMYFUNCTION("""COMPUTED_VALUE"""),500000)</f>
        <v>500000</v>
      </c>
      <c r="D3274" s="22">
        <f ca="1">IFERROR(__xludf.DUMMYFUNCTION("""COMPUTED_VALUE"""),0)</f>
        <v>0</v>
      </c>
      <c r="E3274" s="22">
        <f ca="1">IFERROR(__xludf.DUMMYFUNCTION("""COMPUTED_VALUE"""),500000)</f>
        <v>500000</v>
      </c>
      <c r="F3274" s="22">
        <f ca="1">IFERROR(__xludf.DUMMYFUNCTION("""COMPUTED_VALUE"""),500000)</f>
        <v>500000</v>
      </c>
      <c r="G3274" s="22">
        <f ca="1">IFERROR(__xludf.DUMMYFUNCTION("""COMPUTED_VALUE"""),0)</f>
        <v>0</v>
      </c>
      <c r="H3274" s="7">
        <f ca="1">IFERROR(__xludf.DUMMYFUNCTION("""COMPUTED_VALUE"""),500000)</f>
        <v>500000</v>
      </c>
    </row>
    <row r="3275" spans="1:8" ht="13" x14ac:dyDescent="0.15">
      <c r="A3275" s="5" t="str">
        <f ca="1">IFERROR(__xludf.DUMMYFUNCTION("""COMPUTED_VALUE"""),"70236")</f>
        <v>70236</v>
      </c>
      <c r="B3275" s="51">
        <f ca="1">IFERROR(__xludf.DUMMYFUNCTION("""COMPUTED_VALUE"""),44602)</f>
        <v>44602</v>
      </c>
      <c r="C3275" s="22">
        <f ca="1">IFERROR(__xludf.DUMMYFUNCTION("""COMPUTED_VALUE"""),500000)</f>
        <v>500000</v>
      </c>
      <c r="D3275" s="22">
        <f ca="1">IFERROR(__xludf.DUMMYFUNCTION("""COMPUTED_VALUE"""),0)</f>
        <v>0</v>
      </c>
      <c r="E3275" s="22">
        <f ca="1">IFERROR(__xludf.DUMMYFUNCTION("""COMPUTED_VALUE"""),500000)</f>
        <v>500000</v>
      </c>
      <c r="F3275" s="22">
        <f ca="1">IFERROR(__xludf.DUMMYFUNCTION("""COMPUTED_VALUE"""),500000)</f>
        <v>500000</v>
      </c>
      <c r="G3275" s="22">
        <f ca="1">IFERROR(__xludf.DUMMYFUNCTION("""COMPUTED_VALUE"""),0)</f>
        <v>0</v>
      </c>
      <c r="H3275" s="7">
        <f ca="1">IFERROR(__xludf.DUMMYFUNCTION("""COMPUTED_VALUE"""),500000)</f>
        <v>500000</v>
      </c>
    </row>
    <row r="3276" spans="1:8" ht="13" x14ac:dyDescent="0.15">
      <c r="A3276" s="5" t="str">
        <f ca="1">IFERROR(__xludf.DUMMYFUNCTION("""COMPUTED_VALUE"""),"70236")</f>
        <v>70236</v>
      </c>
      <c r="B3276" s="51">
        <f ca="1">IFERROR(__xludf.DUMMYFUNCTION("""COMPUTED_VALUE"""),44603)</f>
        <v>44603</v>
      </c>
      <c r="C3276" s="22">
        <f ca="1">IFERROR(__xludf.DUMMYFUNCTION("""COMPUTED_VALUE"""),500000)</f>
        <v>500000</v>
      </c>
      <c r="D3276" s="22">
        <f ca="1">IFERROR(__xludf.DUMMYFUNCTION("""COMPUTED_VALUE"""),0)</f>
        <v>0</v>
      </c>
      <c r="E3276" s="22">
        <f ca="1">IFERROR(__xludf.DUMMYFUNCTION("""COMPUTED_VALUE"""),500000)</f>
        <v>500000</v>
      </c>
      <c r="F3276" s="22">
        <f ca="1">IFERROR(__xludf.DUMMYFUNCTION("""COMPUTED_VALUE"""),500000)</f>
        <v>500000</v>
      </c>
      <c r="G3276" s="22">
        <f ca="1">IFERROR(__xludf.DUMMYFUNCTION("""COMPUTED_VALUE"""),0)</f>
        <v>0</v>
      </c>
      <c r="H3276" s="7">
        <f ca="1">IFERROR(__xludf.DUMMYFUNCTION("""COMPUTED_VALUE"""),500000)</f>
        <v>500000</v>
      </c>
    </row>
    <row r="3277" spans="1:8" ht="13" x14ac:dyDescent="0.15">
      <c r="A3277" s="5" t="str">
        <f ca="1">IFERROR(__xludf.DUMMYFUNCTION("""COMPUTED_VALUE"""),"70236")</f>
        <v>70236</v>
      </c>
      <c r="B3277" s="51">
        <f ca="1">IFERROR(__xludf.DUMMYFUNCTION("""COMPUTED_VALUE"""),44604)</f>
        <v>44604</v>
      </c>
      <c r="C3277" s="22">
        <f ca="1">IFERROR(__xludf.DUMMYFUNCTION("""COMPUTED_VALUE"""),500000)</f>
        <v>500000</v>
      </c>
      <c r="D3277" s="22">
        <f ca="1">IFERROR(__xludf.DUMMYFUNCTION("""COMPUTED_VALUE"""),0)</f>
        <v>0</v>
      </c>
      <c r="E3277" s="22">
        <f ca="1">IFERROR(__xludf.DUMMYFUNCTION("""COMPUTED_VALUE"""),500000)</f>
        <v>500000</v>
      </c>
      <c r="F3277" s="22">
        <f ca="1">IFERROR(__xludf.DUMMYFUNCTION("""COMPUTED_VALUE"""),500000)</f>
        <v>500000</v>
      </c>
      <c r="G3277" s="22">
        <f ca="1">IFERROR(__xludf.DUMMYFUNCTION("""COMPUTED_VALUE"""),0)</f>
        <v>0</v>
      </c>
      <c r="H3277" s="7">
        <f ca="1">IFERROR(__xludf.DUMMYFUNCTION("""COMPUTED_VALUE"""),500000)</f>
        <v>500000</v>
      </c>
    </row>
    <row r="3278" spans="1:8" ht="13" x14ac:dyDescent="0.15">
      <c r="A3278" s="5" t="str">
        <f ca="1">IFERROR(__xludf.DUMMYFUNCTION("""COMPUTED_VALUE"""),"70236")</f>
        <v>70236</v>
      </c>
      <c r="B3278" s="51">
        <f ca="1">IFERROR(__xludf.DUMMYFUNCTION("""COMPUTED_VALUE"""),44605)</f>
        <v>44605</v>
      </c>
      <c r="C3278" s="22">
        <f ca="1">IFERROR(__xludf.DUMMYFUNCTION("""COMPUTED_VALUE"""),500000)</f>
        <v>500000</v>
      </c>
      <c r="D3278" s="22">
        <f ca="1">IFERROR(__xludf.DUMMYFUNCTION("""COMPUTED_VALUE"""),0)</f>
        <v>0</v>
      </c>
      <c r="E3278" s="22">
        <f ca="1">IFERROR(__xludf.DUMMYFUNCTION("""COMPUTED_VALUE"""),500000)</f>
        <v>500000</v>
      </c>
      <c r="F3278" s="22">
        <f ca="1">IFERROR(__xludf.DUMMYFUNCTION("""COMPUTED_VALUE"""),500000)</f>
        <v>500000</v>
      </c>
      <c r="G3278" s="22">
        <f ca="1">IFERROR(__xludf.DUMMYFUNCTION("""COMPUTED_VALUE"""),0)</f>
        <v>0</v>
      </c>
      <c r="H3278" s="7">
        <f ca="1">IFERROR(__xludf.DUMMYFUNCTION("""COMPUTED_VALUE"""),500000)</f>
        <v>500000</v>
      </c>
    </row>
    <row r="3279" spans="1:8" ht="13" x14ac:dyDescent="0.15">
      <c r="A3279" s="5" t="str">
        <f ca="1">IFERROR(__xludf.DUMMYFUNCTION("""COMPUTED_VALUE"""),"70236")</f>
        <v>70236</v>
      </c>
      <c r="B3279" s="51">
        <f ca="1">IFERROR(__xludf.DUMMYFUNCTION("""COMPUTED_VALUE"""),44606)</f>
        <v>44606</v>
      </c>
      <c r="C3279" s="22">
        <f ca="1">IFERROR(__xludf.DUMMYFUNCTION("""COMPUTED_VALUE"""),500000)</f>
        <v>500000</v>
      </c>
      <c r="D3279" s="22">
        <f ca="1">IFERROR(__xludf.DUMMYFUNCTION("""COMPUTED_VALUE"""),0)</f>
        <v>0</v>
      </c>
      <c r="E3279" s="22">
        <f ca="1">IFERROR(__xludf.DUMMYFUNCTION("""COMPUTED_VALUE"""),500000)</f>
        <v>500000</v>
      </c>
      <c r="F3279" s="22">
        <f ca="1">IFERROR(__xludf.DUMMYFUNCTION("""COMPUTED_VALUE"""),500000)</f>
        <v>500000</v>
      </c>
      <c r="G3279" s="22">
        <f ca="1">IFERROR(__xludf.DUMMYFUNCTION("""COMPUTED_VALUE"""),0)</f>
        <v>0</v>
      </c>
      <c r="H3279" s="7">
        <f ca="1">IFERROR(__xludf.DUMMYFUNCTION("""COMPUTED_VALUE"""),500000)</f>
        <v>500000</v>
      </c>
    </row>
    <row r="3280" spans="1:8" ht="13" x14ac:dyDescent="0.15">
      <c r="A3280" s="5" t="str">
        <f ca="1">IFERROR(__xludf.DUMMYFUNCTION("""COMPUTED_VALUE"""),"70236")</f>
        <v>70236</v>
      </c>
      <c r="B3280" s="51">
        <f ca="1">IFERROR(__xludf.DUMMYFUNCTION("""COMPUTED_VALUE"""),44607)</f>
        <v>44607</v>
      </c>
      <c r="C3280" s="22">
        <f ca="1">IFERROR(__xludf.DUMMYFUNCTION("""COMPUTED_VALUE"""),500000)</f>
        <v>500000</v>
      </c>
      <c r="D3280" s="22">
        <f ca="1">IFERROR(__xludf.DUMMYFUNCTION("""COMPUTED_VALUE"""),0)</f>
        <v>0</v>
      </c>
      <c r="E3280" s="22">
        <f ca="1">IFERROR(__xludf.DUMMYFUNCTION("""COMPUTED_VALUE"""),500000)</f>
        <v>500000</v>
      </c>
      <c r="F3280" s="22">
        <f ca="1">IFERROR(__xludf.DUMMYFUNCTION("""COMPUTED_VALUE"""),500000)</f>
        <v>500000</v>
      </c>
      <c r="G3280" s="22">
        <f ca="1">IFERROR(__xludf.DUMMYFUNCTION("""COMPUTED_VALUE"""),0)</f>
        <v>0</v>
      </c>
      <c r="H3280" s="7">
        <f ca="1">IFERROR(__xludf.DUMMYFUNCTION("""COMPUTED_VALUE"""),500000)</f>
        <v>500000</v>
      </c>
    </row>
    <row r="3281" spans="1:8" ht="13" x14ac:dyDescent="0.15">
      <c r="A3281" s="5" t="str">
        <f ca="1">IFERROR(__xludf.DUMMYFUNCTION("""COMPUTED_VALUE"""),"70236")</f>
        <v>70236</v>
      </c>
      <c r="B3281" s="51">
        <f ca="1">IFERROR(__xludf.DUMMYFUNCTION("""COMPUTED_VALUE"""),44608)</f>
        <v>44608</v>
      </c>
      <c r="C3281" s="22">
        <f ca="1">IFERROR(__xludf.DUMMYFUNCTION("""COMPUTED_VALUE"""),500000)</f>
        <v>500000</v>
      </c>
      <c r="D3281" s="22">
        <f ca="1">IFERROR(__xludf.DUMMYFUNCTION("""COMPUTED_VALUE"""),0)</f>
        <v>0</v>
      </c>
      <c r="E3281" s="22">
        <f ca="1">IFERROR(__xludf.DUMMYFUNCTION("""COMPUTED_VALUE"""),500000)</f>
        <v>500000</v>
      </c>
      <c r="F3281" s="22">
        <f ca="1">IFERROR(__xludf.DUMMYFUNCTION("""COMPUTED_VALUE"""),500000)</f>
        <v>500000</v>
      </c>
      <c r="G3281" s="22">
        <f ca="1">IFERROR(__xludf.DUMMYFUNCTION("""COMPUTED_VALUE"""),0)</f>
        <v>0</v>
      </c>
      <c r="H3281" s="7">
        <f ca="1">IFERROR(__xludf.DUMMYFUNCTION("""COMPUTED_VALUE"""),500000)</f>
        <v>500000</v>
      </c>
    </row>
    <row r="3282" spans="1:8" ht="13" x14ac:dyDescent="0.15">
      <c r="A3282" s="5" t="str">
        <f ca="1">IFERROR(__xludf.DUMMYFUNCTION("""COMPUTED_VALUE"""),"70236")</f>
        <v>70236</v>
      </c>
      <c r="B3282" s="51">
        <f ca="1">IFERROR(__xludf.DUMMYFUNCTION("""COMPUTED_VALUE"""),44609)</f>
        <v>44609</v>
      </c>
      <c r="C3282" s="22">
        <f ca="1">IFERROR(__xludf.DUMMYFUNCTION("""COMPUTED_VALUE"""),500000)</f>
        <v>500000</v>
      </c>
      <c r="D3282" s="22">
        <f ca="1">IFERROR(__xludf.DUMMYFUNCTION("""COMPUTED_VALUE"""),0)</f>
        <v>0</v>
      </c>
      <c r="E3282" s="22">
        <f ca="1">IFERROR(__xludf.DUMMYFUNCTION("""COMPUTED_VALUE"""),500000)</f>
        <v>500000</v>
      </c>
      <c r="F3282" s="22">
        <f ca="1">IFERROR(__xludf.DUMMYFUNCTION("""COMPUTED_VALUE"""),500000)</f>
        <v>500000</v>
      </c>
      <c r="G3282" s="22">
        <f ca="1">IFERROR(__xludf.DUMMYFUNCTION("""COMPUTED_VALUE"""),0)</f>
        <v>0</v>
      </c>
      <c r="H3282" s="7">
        <f ca="1">IFERROR(__xludf.DUMMYFUNCTION("""COMPUTED_VALUE"""),500000)</f>
        <v>500000</v>
      </c>
    </row>
    <row r="3283" spans="1:8" ht="13" x14ac:dyDescent="0.15">
      <c r="A3283" s="5" t="str">
        <f ca="1">IFERROR(__xludf.DUMMYFUNCTION("""COMPUTED_VALUE"""),"70236")</f>
        <v>70236</v>
      </c>
      <c r="B3283" s="51">
        <f ca="1">IFERROR(__xludf.DUMMYFUNCTION("""COMPUTED_VALUE"""),44610)</f>
        <v>44610</v>
      </c>
      <c r="C3283" s="22">
        <f ca="1">IFERROR(__xludf.DUMMYFUNCTION("""COMPUTED_VALUE"""),500000)</f>
        <v>500000</v>
      </c>
      <c r="D3283" s="22">
        <f ca="1">IFERROR(__xludf.DUMMYFUNCTION("""COMPUTED_VALUE"""),0)</f>
        <v>0</v>
      </c>
      <c r="E3283" s="22">
        <f ca="1">IFERROR(__xludf.DUMMYFUNCTION("""COMPUTED_VALUE"""),500000)</f>
        <v>500000</v>
      </c>
      <c r="F3283" s="22">
        <f ca="1">IFERROR(__xludf.DUMMYFUNCTION("""COMPUTED_VALUE"""),500000)</f>
        <v>500000</v>
      </c>
      <c r="G3283" s="22">
        <f ca="1">IFERROR(__xludf.DUMMYFUNCTION("""COMPUTED_VALUE"""),0)</f>
        <v>0</v>
      </c>
      <c r="H3283" s="7">
        <f ca="1">IFERROR(__xludf.DUMMYFUNCTION("""COMPUTED_VALUE"""),500000)</f>
        <v>500000</v>
      </c>
    </row>
    <row r="3284" spans="1:8" ht="13" x14ac:dyDescent="0.15">
      <c r="A3284" s="5" t="str">
        <f ca="1">IFERROR(__xludf.DUMMYFUNCTION("""COMPUTED_VALUE"""),"70236")</f>
        <v>70236</v>
      </c>
      <c r="B3284" s="51">
        <f ca="1">IFERROR(__xludf.DUMMYFUNCTION("""COMPUTED_VALUE"""),44611)</f>
        <v>44611</v>
      </c>
      <c r="C3284" s="22">
        <f ca="1">IFERROR(__xludf.DUMMYFUNCTION("""COMPUTED_VALUE"""),500000)</f>
        <v>500000</v>
      </c>
      <c r="D3284" s="22">
        <f ca="1">IFERROR(__xludf.DUMMYFUNCTION("""COMPUTED_VALUE"""),0)</f>
        <v>0</v>
      </c>
      <c r="E3284" s="22">
        <f ca="1">IFERROR(__xludf.DUMMYFUNCTION("""COMPUTED_VALUE"""),500000)</f>
        <v>500000</v>
      </c>
      <c r="F3284" s="22">
        <f ca="1">IFERROR(__xludf.DUMMYFUNCTION("""COMPUTED_VALUE"""),500000)</f>
        <v>500000</v>
      </c>
      <c r="G3284" s="22">
        <f ca="1">IFERROR(__xludf.DUMMYFUNCTION("""COMPUTED_VALUE"""),0)</f>
        <v>0</v>
      </c>
      <c r="H3284" s="7">
        <f ca="1">IFERROR(__xludf.DUMMYFUNCTION("""COMPUTED_VALUE"""),500000)</f>
        <v>500000</v>
      </c>
    </row>
    <row r="3285" spans="1:8" ht="13" x14ac:dyDescent="0.15">
      <c r="A3285" s="5" t="str">
        <f ca="1">IFERROR(__xludf.DUMMYFUNCTION("""COMPUTED_VALUE"""),"70236")</f>
        <v>70236</v>
      </c>
      <c r="B3285" s="51">
        <f ca="1">IFERROR(__xludf.DUMMYFUNCTION("""COMPUTED_VALUE"""),44612)</f>
        <v>44612</v>
      </c>
      <c r="C3285" s="22">
        <f ca="1">IFERROR(__xludf.DUMMYFUNCTION("""COMPUTED_VALUE"""),500000)</f>
        <v>500000</v>
      </c>
      <c r="D3285" s="22">
        <f ca="1">IFERROR(__xludf.DUMMYFUNCTION("""COMPUTED_VALUE"""),0)</f>
        <v>0</v>
      </c>
      <c r="E3285" s="22">
        <f ca="1">IFERROR(__xludf.DUMMYFUNCTION("""COMPUTED_VALUE"""),500000)</f>
        <v>500000</v>
      </c>
      <c r="F3285" s="22">
        <f ca="1">IFERROR(__xludf.DUMMYFUNCTION("""COMPUTED_VALUE"""),500000)</f>
        <v>500000</v>
      </c>
      <c r="G3285" s="22">
        <f ca="1">IFERROR(__xludf.DUMMYFUNCTION("""COMPUTED_VALUE"""),0)</f>
        <v>0</v>
      </c>
      <c r="H3285" s="7">
        <f ca="1">IFERROR(__xludf.DUMMYFUNCTION("""COMPUTED_VALUE"""),500000)</f>
        <v>500000</v>
      </c>
    </row>
    <row r="3286" spans="1:8" ht="13" x14ac:dyDescent="0.15">
      <c r="A3286" s="5" t="str">
        <f ca="1">IFERROR(__xludf.DUMMYFUNCTION("""COMPUTED_VALUE"""),"70236")</f>
        <v>70236</v>
      </c>
      <c r="B3286" s="51">
        <f ca="1">IFERROR(__xludf.DUMMYFUNCTION("""COMPUTED_VALUE"""),44613)</f>
        <v>44613</v>
      </c>
      <c r="C3286" s="22">
        <f ca="1">IFERROR(__xludf.DUMMYFUNCTION("""COMPUTED_VALUE"""),500000)</f>
        <v>500000</v>
      </c>
      <c r="D3286" s="22">
        <f ca="1">IFERROR(__xludf.DUMMYFUNCTION("""COMPUTED_VALUE"""),0)</f>
        <v>0</v>
      </c>
      <c r="E3286" s="22">
        <f ca="1">IFERROR(__xludf.DUMMYFUNCTION("""COMPUTED_VALUE"""),500000)</f>
        <v>500000</v>
      </c>
      <c r="F3286" s="22">
        <f ca="1">IFERROR(__xludf.DUMMYFUNCTION("""COMPUTED_VALUE"""),500000)</f>
        <v>500000</v>
      </c>
      <c r="G3286" s="22">
        <f ca="1">IFERROR(__xludf.DUMMYFUNCTION("""COMPUTED_VALUE"""),0)</f>
        <v>0</v>
      </c>
      <c r="H3286" s="7">
        <f ca="1">IFERROR(__xludf.DUMMYFUNCTION("""COMPUTED_VALUE"""),500000)</f>
        <v>500000</v>
      </c>
    </row>
    <row r="3287" spans="1:8" ht="13" x14ac:dyDescent="0.15">
      <c r="A3287" s="5" t="str">
        <f ca="1">IFERROR(__xludf.DUMMYFUNCTION("""COMPUTED_VALUE"""),"70236")</f>
        <v>70236</v>
      </c>
      <c r="B3287" s="51">
        <f ca="1">IFERROR(__xludf.DUMMYFUNCTION("""COMPUTED_VALUE"""),44614)</f>
        <v>44614</v>
      </c>
      <c r="C3287" s="22">
        <f ca="1">IFERROR(__xludf.DUMMYFUNCTION("""COMPUTED_VALUE"""),500000)</f>
        <v>500000</v>
      </c>
      <c r="D3287" s="22">
        <f ca="1">IFERROR(__xludf.DUMMYFUNCTION("""COMPUTED_VALUE"""),0)</f>
        <v>0</v>
      </c>
      <c r="E3287" s="22">
        <f ca="1">IFERROR(__xludf.DUMMYFUNCTION("""COMPUTED_VALUE"""),500000)</f>
        <v>500000</v>
      </c>
      <c r="F3287" s="22">
        <f ca="1">IFERROR(__xludf.DUMMYFUNCTION("""COMPUTED_VALUE"""),500000)</f>
        <v>500000</v>
      </c>
      <c r="G3287" s="22">
        <f ca="1">IFERROR(__xludf.DUMMYFUNCTION("""COMPUTED_VALUE"""),0)</f>
        <v>0</v>
      </c>
      <c r="H3287" s="7">
        <f ca="1">IFERROR(__xludf.DUMMYFUNCTION("""COMPUTED_VALUE"""),500000)</f>
        <v>500000</v>
      </c>
    </row>
    <row r="3288" spans="1:8" ht="13" x14ac:dyDescent="0.15">
      <c r="A3288" s="5" t="str">
        <f ca="1">IFERROR(__xludf.DUMMYFUNCTION("""COMPUTED_VALUE"""),"70236")</f>
        <v>70236</v>
      </c>
      <c r="B3288" s="51">
        <f ca="1">IFERROR(__xludf.DUMMYFUNCTION("""COMPUTED_VALUE"""),44615)</f>
        <v>44615</v>
      </c>
      <c r="C3288" s="22">
        <f ca="1">IFERROR(__xludf.DUMMYFUNCTION("""COMPUTED_VALUE"""),500000)</f>
        <v>500000</v>
      </c>
      <c r="D3288" s="22">
        <f ca="1">IFERROR(__xludf.DUMMYFUNCTION("""COMPUTED_VALUE"""),0)</f>
        <v>0</v>
      </c>
      <c r="E3288" s="22">
        <f ca="1">IFERROR(__xludf.DUMMYFUNCTION("""COMPUTED_VALUE"""),500000)</f>
        <v>500000</v>
      </c>
      <c r="F3288" s="22">
        <f ca="1">IFERROR(__xludf.DUMMYFUNCTION("""COMPUTED_VALUE"""),500000)</f>
        <v>500000</v>
      </c>
      <c r="G3288" s="22">
        <f ca="1">IFERROR(__xludf.DUMMYFUNCTION("""COMPUTED_VALUE"""),0)</f>
        <v>0</v>
      </c>
      <c r="H3288" s="7">
        <f ca="1">IFERROR(__xludf.DUMMYFUNCTION("""COMPUTED_VALUE"""),500000)</f>
        <v>500000</v>
      </c>
    </row>
    <row r="3289" spans="1:8" ht="13" x14ac:dyDescent="0.15">
      <c r="A3289" s="5" t="str">
        <f ca="1">IFERROR(__xludf.DUMMYFUNCTION("""COMPUTED_VALUE"""),"70236")</f>
        <v>70236</v>
      </c>
      <c r="B3289" s="51">
        <f ca="1">IFERROR(__xludf.DUMMYFUNCTION("""COMPUTED_VALUE"""),44616)</f>
        <v>44616</v>
      </c>
      <c r="C3289" s="22">
        <f ca="1">IFERROR(__xludf.DUMMYFUNCTION("""COMPUTED_VALUE"""),500000)</f>
        <v>500000</v>
      </c>
      <c r="D3289" s="22">
        <f ca="1">IFERROR(__xludf.DUMMYFUNCTION("""COMPUTED_VALUE"""),0)</f>
        <v>0</v>
      </c>
      <c r="E3289" s="22">
        <f ca="1">IFERROR(__xludf.DUMMYFUNCTION("""COMPUTED_VALUE"""),500000)</f>
        <v>500000</v>
      </c>
      <c r="F3289" s="22">
        <f ca="1">IFERROR(__xludf.DUMMYFUNCTION("""COMPUTED_VALUE"""),500000)</f>
        <v>500000</v>
      </c>
      <c r="G3289" s="22">
        <f ca="1">IFERROR(__xludf.DUMMYFUNCTION("""COMPUTED_VALUE"""),0)</f>
        <v>0</v>
      </c>
      <c r="H3289" s="7">
        <f ca="1">IFERROR(__xludf.DUMMYFUNCTION("""COMPUTED_VALUE"""),500000)</f>
        <v>500000</v>
      </c>
    </row>
    <row r="3290" spans="1:8" ht="13" x14ac:dyDescent="0.15">
      <c r="A3290" s="5" t="str">
        <f ca="1">IFERROR(__xludf.DUMMYFUNCTION("""COMPUTED_VALUE"""),"70236")</f>
        <v>70236</v>
      </c>
      <c r="B3290" s="51">
        <f ca="1">IFERROR(__xludf.DUMMYFUNCTION("""COMPUTED_VALUE"""),44617)</f>
        <v>44617</v>
      </c>
      <c r="C3290" s="22">
        <f ca="1">IFERROR(__xludf.DUMMYFUNCTION("""COMPUTED_VALUE"""),500000)</f>
        <v>500000</v>
      </c>
      <c r="D3290" s="22">
        <f ca="1">IFERROR(__xludf.DUMMYFUNCTION("""COMPUTED_VALUE"""),0)</f>
        <v>0</v>
      </c>
      <c r="E3290" s="22">
        <f ca="1">IFERROR(__xludf.DUMMYFUNCTION("""COMPUTED_VALUE"""),500000)</f>
        <v>500000</v>
      </c>
      <c r="F3290" s="22">
        <f ca="1">IFERROR(__xludf.DUMMYFUNCTION("""COMPUTED_VALUE"""),500000)</f>
        <v>500000</v>
      </c>
      <c r="G3290" s="22">
        <f ca="1">IFERROR(__xludf.DUMMYFUNCTION("""COMPUTED_VALUE"""),0)</f>
        <v>0</v>
      </c>
      <c r="H3290" s="7">
        <f ca="1">IFERROR(__xludf.DUMMYFUNCTION("""COMPUTED_VALUE"""),500000)</f>
        <v>500000</v>
      </c>
    </row>
    <row r="3291" spans="1:8" ht="13" x14ac:dyDescent="0.15">
      <c r="A3291" s="5" t="str">
        <f ca="1">IFERROR(__xludf.DUMMYFUNCTION("""COMPUTED_VALUE"""),"70236")</f>
        <v>70236</v>
      </c>
      <c r="B3291" s="51">
        <f ca="1">IFERROR(__xludf.DUMMYFUNCTION("""COMPUTED_VALUE"""),44618)</f>
        <v>44618</v>
      </c>
      <c r="C3291" s="22">
        <f ca="1">IFERROR(__xludf.DUMMYFUNCTION("""COMPUTED_VALUE"""),500000)</f>
        <v>500000</v>
      </c>
      <c r="D3291" s="22">
        <f ca="1">IFERROR(__xludf.DUMMYFUNCTION("""COMPUTED_VALUE"""),0)</f>
        <v>0</v>
      </c>
      <c r="E3291" s="22">
        <f ca="1">IFERROR(__xludf.DUMMYFUNCTION("""COMPUTED_VALUE"""),500000)</f>
        <v>500000</v>
      </c>
      <c r="F3291" s="22">
        <f ca="1">IFERROR(__xludf.DUMMYFUNCTION("""COMPUTED_VALUE"""),500000)</f>
        <v>500000</v>
      </c>
      <c r="G3291" s="22">
        <f ca="1">IFERROR(__xludf.DUMMYFUNCTION("""COMPUTED_VALUE"""),0)</f>
        <v>0</v>
      </c>
      <c r="H3291" s="7">
        <f ca="1">IFERROR(__xludf.DUMMYFUNCTION("""COMPUTED_VALUE"""),500000)</f>
        <v>500000</v>
      </c>
    </row>
    <row r="3292" spans="1:8" ht="13" x14ac:dyDescent="0.15">
      <c r="A3292" s="5" t="str">
        <f ca="1">IFERROR(__xludf.DUMMYFUNCTION("""COMPUTED_VALUE"""),"70236")</f>
        <v>70236</v>
      </c>
      <c r="B3292" s="51">
        <f ca="1">IFERROR(__xludf.DUMMYFUNCTION("""COMPUTED_VALUE"""),44619)</f>
        <v>44619</v>
      </c>
      <c r="C3292" s="22">
        <f ca="1">IFERROR(__xludf.DUMMYFUNCTION("""COMPUTED_VALUE"""),500000)</f>
        <v>500000</v>
      </c>
      <c r="D3292" s="22">
        <f ca="1">IFERROR(__xludf.DUMMYFUNCTION("""COMPUTED_VALUE"""),0)</f>
        <v>0</v>
      </c>
      <c r="E3292" s="22">
        <f ca="1">IFERROR(__xludf.DUMMYFUNCTION("""COMPUTED_VALUE"""),500000)</f>
        <v>500000</v>
      </c>
      <c r="F3292" s="22">
        <f ca="1">IFERROR(__xludf.DUMMYFUNCTION("""COMPUTED_VALUE"""),500000)</f>
        <v>500000</v>
      </c>
      <c r="G3292" s="22">
        <f ca="1">IFERROR(__xludf.DUMMYFUNCTION("""COMPUTED_VALUE"""),0)</f>
        <v>0</v>
      </c>
      <c r="H3292" s="7">
        <f ca="1">IFERROR(__xludf.DUMMYFUNCTION("""COMPUTED_VALUE"""),500000)</f>
        <v>500000</v>
      </c>
    </row>
    <row r="3293" spans="1:8" ht="13" x14ac:dyDescent="0.15">
      <c r="A3293" s="5" t="str">
        <f ca="1">IFERROR(__xludf.DUMMYFUNCTION("""COMPUTED_VALUE"""),"70236")</f>
        <v>70236</v>
      </c>
      <c r="B3293" s="51">
        <f ca="1">IFERROR(__xludf.DUMMYFUNCTION("""COMPUTED_VALUE"""),44620)</f>
        <v>44620</v>
      </c>
      <c r="C3293" s="22">
        <f ca="1">IFERROR(__xludf.DUMMYFUNCTION("""COMPUTED_VALUE"""),500000)</f>
        <v>500000</v>
      </c>
      <c r="D3293" s="22">
        <f ca="1">IFERROR(__xludf.DUMMYFUNCTION("""COMPUTED_VALUE"""),0)</f>
        <v>0</v>
      </c>
      <c r="E3293" s="22">
        <f ca="1">IFERROR(__xludf.DUMMYFUNCTION("""COMPUTED_VALUE"""),500000)</f>
        <v>500000</v>
      </c>
      <c r="F3293" s="22">
        <f ca="1">IFERROR(__xludf.DUMMYFUNCTION("""COMPUTED_VALUE"""),500000)</f>
        <v>500000</v>
      </c>
      <c r="G3293" s="22">
        <f ca="1">IFERROR(__xludf.DUMMYFUNCTION("""COMPUTED_VALUE"""),0)</f>
        <v>0</v>
      </c>
      <c r="H3293" s="7">
        <f ca="1">IFERROR(__xludf.DUMMYFUNCTION("""COMPUTED_VALUE"""),500000)</f>
        <v>500000</v>
      </c>
    </row>
    <row r="3294" spans="1:8" ht="13" x14ac:dyDescent="0.15">
      <c r="A3294" s="5" t="str">
        <f ca="1">IFERROR(__xludf.DUMMYFUNCTION("""COMPUTED_VALUE"""),"70236")</f>
        <v>70236</v>
      </c>
      <c r="B3294" s="51">
        <f ca="1">IFERROR(__xludf.DUMMYFUNCTION("""COMPUTED_VALUE"""),44621)</f>
        <v>44621</v>
      </c>
      <c r="C3294" s="22">
        <f ca="1">IFERROR(__xludf.DUMMYFUNCTION("""COMPUTED_VALUE"""),500000)</f>
        <v>500000</v>
      </c>
      <c r="D3294" s="22">
        <f ca="1">IFERROR(__xludf.DUMMYFUNCTION("""COMPUTED_VALUE"""),0)</f>
        <v>0</v>
      </c>
      <c r="E3294" s="22">
        <f ca="1">IFERROR(__xludf.DUMMYFUNCTION("""COMPUTED_VALUE"""),500000)</f>
        <v>500000</v>
      </c>
      <c r="F3294" s="22">
        <f ca="1">IFERROR(__xludf.DUMMYFUNCTION("""COMPUTED_VALUE"""),500000)</f>
        <v>500000</v>
      </c>
      <c r="G3294" s="22">
        <f ca="1">IFERROR(__xludf.DUMMYFUNCTION("""COMPUTED_VALUE"""),0)</f>
        <v>0</v>
      </c>
      <c r="H3294" s="7">
        <f ca="1">IFERROR(__xludf.DUMMYFUNCTION("""COMPUTED_VALUE"""),500000)</f>
        <v>500000</v>
      </c>
    </row>
    <row r="3295" spans="1:8" ht="13" x14ac:dyDescent="0.15">
      <c r="A3295" s="5" t="str">
        <f ca="1">IFERROR(__xludf.DUMMYFUNCTION("""COMPUTED_VALUE"""),"70236")</f>
        <v>70236</v>
      </c>
      <c r="B3295" s="51">
        <f ca="1">IFERROR(__xludf.DUMMYFUNCTION("""COMPUTED_VALUE"""),44622)</f>
        <v>44622</v>
      </c>
      <c r="C3295" s="22">
        <f ca="1">IFERROR(__xludf.DUMMYFUNCTION("""COMPUTED_VALUE"""),500000)</f>
        <v>500000</v>
      </c>
      <c r="D3295" s="22">
        <f ca="1">IFERROR(__xludf.DUMMYFUNCTION("""COMPUTED_VALUE"""),0)</f>
        <v>0</v>
      </c>
      <c r="E3295" s="22">
        <f ca="1">IFERROR(__xludf.DUMMYFUNCTION("""COMPUTED_VALUE"""),500000)</f>
        <v>500000</v>
      </c>
      <c r="F3295" s="22">
        <f ca="1">IFERROR(__xludf.DUMMYFUNCTION("""COMPUTED_VALUE"""),500000)</f>
        <v>500000</v>
      </c>
      <c r="G3295" s="22">
        <f ca="1">IFERROR(__xludf.DUMMYFUNCTION("""COMPUTED_VALUE"""),0)</f>
        <v>0</v>
      </c>
      <c r="H3295" s="7">
        <f ca="1">IFERROR(__xludf.DUMMYFUNCTION("""COMPUTED_VALUE"""),500000)</f>
        <v>500000</v>
      </c>
    </row>
    <row r="3296" spans="1:8" ht="13" x14ac:dyDescent="0.15">
      <c r="A3296" s="5" t="str">
        <f ca="1">IFERROR(__xludf.DUMMYFUNCTION("""COMPUTED_VALUE"""),"70236")</f>
        <v>70236</v>
      </c>
      <c r="B3296" s="51">
        <f ca="1">IFERROR(__xludf.DUMMYFUNCTION("""COMPUTED_VALUE"""),44623)</f>
        <v>44623</v>
      </c>
      <c r="C3296" s="22">
        <f ca="1">IFERROR(__xludf.DUMMYFUNCTION("""COMPUTED_VALUE"""),500000)</f>
        <v>500000</v>
      </c>
      <c r="D3296" s="22">
        <f ca="1">IFERROR(__xludf.DUMMYFUNCTION("""COMPUTED_VALUE"""),0)</f>
        <v>0</v>
      </c>
      <c r="E3296" s="22">
        <f ca="1">IFERROR(__xludf.DUMMYFUNCTION("""COMPUTED_VALUE"""),500000)</f>
        <v>500000</v>
      </c>
      <c r="F3296" s="22">
        <f ca="1">IFERROR(__xludf.DUMMYFUNCTION("""COMPUTED_VALUE"""),500000)</f>
        <v>500000</v>
      </c>
      <c r="G3296" s="22">
        <f ca="1">IFERROR(__xludf.DUMMYFUNCTION("""COMPUTED_VALUE"""),0)</f>
        <v>0</v>
      </c>
      <c r="H3296" s="7">
        <f ca="1">IFERROR(__xludf.DUMMYFUNCTION("""COMPUTED_VALUE"""),500000)</f>
        <v>500000</v>
      </c>
    </row>
    <row r="3297" spans="1:8" ht="13" x14ac:dyDescent="0.15">
      <c r="A3297" s="5" t="str">
        <f ca="1">IFERROR(__xludf.DUMMYFUNCTION("""COMPUTED_VALUE"""),"70236")</f>
        <v>70236</v>
      </c>
      <c r="B3297" s="51">
        <f ca="1">IFERROR(__xludf.DUMMYFUNCTION("""COMPUTED_VALUE"""),44624)</f>
        <v>44624</v>
      </c>
      <c r="C3297" s="22">
        <f ca="1">IFERROR(__xludf.DUMMYFUNCTION("""COMPUTED_VALUE"""),500000)</f>
        <v>500000</v>
      </c>
      <c r="D3297" s="22">
        <f ca="1">IFERROR(__xludf.DUMMYFUNCTION("""COMPUTED_VALUE"""),0)</f>
        <v>0</v>
      </c>
      <c r="E3297" s="22">
        <f ca="1">IFERROR(__xludf.DUMMYFUNCTION("""COMPUTED_VALUE"""),500000)</f>
        <v>500000</v>
      </c>
      <c r="F3297" s="22">
        <f ca="1">IFERROR(__xludf.DUMMYFUNCTION("""COMPUTED_VALUE"""),500000)</f>
        <v>500000</v>
      </c>
      <c r="G3297" s="22">
        <f ca="1">IFERROR(__xludf.DUMMYFUNCTION("""COMPUTED_VALUE"""),0)</f>
        <v>0</v>
      </c>
      <c r="H3297" s="7">
        <f ca="1">IFERROR(__xludf.DUMMYFUNCTION("""COMPUTED_VALUE"""),500000)</f>
        <v>500000</v>
      </c>
    </row>
    <row r="3298" spans="1:8" ht="13" x14ac:dyDescent="0.15">
      <c r="A3298" s="5" t="str">
        <f ca="1">IFERROR(__xludf.DUMMYFUNCTION("""COMPUTED_VALUE"""),"70236")</f>
        <v>70236</v>
      </c>
      <c r="B3298" s="51">
        <f ca="1">IFERROR(__xludf.DUMMYFUNCTION("""COMPUTED_VALUE"""),44625)</f>
        <v>44625</v>
      </c>
      <c r="C3298" s="22">
        <f ca="1">IFERROR(__xludf.DUMMYFUNCTION("""COMPUTED_VALUE"""),500000)</f>
        <v>500000</v>
      </c>
      <c r="D3298" s="22">
        <f ca="1">IFERROR(__xludf.DUMMYFUNCTION("""COMPUTED_VALUE"""),0)</f>
        <v>0</v>
      </c>
      <c r="E3298" s="22">
        <f ca="1">IFERROR(__xludf.DUMMYFUNCTION("""COMPUTED_VALUE"""),500000)</f>
        <v>500000</v>
      </c>
      <c r="F3298" s="22">
        <f ca="1">IFERROR(__xludf.DUMMYFUNCTION("""COMPUTED_VALUE"""),500000)</f>
        <v>500000</v>
      </c>
      <c r="G3298" s="22">
        <f ca="1">IFERROR(__xludf.DUMMYFUNCTION("""COMPUTED_VALUE"""),0)</f>
        <v>0</v>
      </c>
      <c r="H3298" s="7">
        <f ca="1">IFERROR(__xludf.DUMMYFUNCTION("""COMPUTED_VALUE"""),500000)</f>
        <v>500000</v>
      </c>
    </row>
    <row r="3299" spans="1:8" ht="13" x14ac:dyDescent="0.15">
      <c r="A3299" s="5" t="str">
        <f ca="1">IFERROR(__xludf.DUMMYFUNCTION("""COMPUTED_VALUE"""),"70236")</f>
        <v>70236</v>
      </c>
      <c r="B3299" s="51">
        <f ca="1">IFERROR(__xludf.DUMMYFUNCTION("""COMPUTED_VALUE"""),44626)</f>
        <v>44626</v>
      </c>
      <c r="C3299" s="22">
        <f ca="1">IFERROR(__xludf.DUMMYFUNCTION("""COMPUTED_VALUE"""),500000)</f>
        <v>500000</v>
      </c>
      <c r="D3299" s="22">
        <f ca="1">IFERROR(__xludf.DUMMYFUNCTION("""COMPUTED_VALUE"""),0)</f>
        <v>0</v>
      </c>
      <c r="E3299" s="22">
        <f ca="1">IFERROR(__xludf.DUMMYFUNCTION("""COMPUTED_VALUE"""),500000)</f>
        <v>500000</v>
      </c>
      <c r="F3299" s="22">
        <f ca="1">IFERROR(__xludf.DUMMYFUNCTION("""COMPUTED_VALUE"""),500000)</f>
        <v>500000</v>
      </c>
      <c r="G3299" s="22">
        <f ca="1">IFERROR(__xludf.DUMMYFUNCTION("""COMPUTED_VALUE"""),0)</f>
        <v>0</v>
      </c>
      <c r="H3299" s="7">
        <f ca="1">IFERROR(__xludf.DUMMYFUNCTION("""COMPUTED_VALUE"""),500000)</f>
        <v>500000</v>
      </c>
    </row>
    <row r="3300" spans="1:8" ht="13" x14ac:dyDescent="0.15">
      <c r="A3300" s="5" t="str">
        <f ca="1">IFERROR(__xludf.DUMMYFUNCTION("""COMPUTED_VALUE"""),"70236")</f>
        <v>70236</v>
      </c>
      <c r="B3300" s="51">
        <f ca="1">IFERROR(__xludf.DUMMYFUNCTION("""COMPUTED_VALUE"""),44627)</f>
        <v>44627</v>
      </c>
      <c r="C3300" s="22">
        <f ca="1">IFERROR(__xludf.DUMMYFUNCTION("""COMPUTED_VALUE"""),500000)</f>
        <v>500000</v>
      </c>
      <c r="D3300" s="22">
        <f ca="1">IFERROR(__xludf.DUMMYFUNCTION("""COMPUTED_VALUE"""),0)</f>
        <v>0</v>
      </c>
      <c r="E3300" s="22">
        <f ca="1">IFERROR(__xludf.DUMMYFUNCTION("""COMPUTED_VALUE"""),500000)</f>
        <v>500000</v>
      </c>
      <c r="F3300" s="22">
        <f ca="1">IFERROR(__xludf.DUMMYFUNCTION("""COMPUTED_VALUE"""),500000)</f>
        <v>500000</v>
      </c>
      <c r="G3300" s="22">
        <f ca="1">IFERROR(__xludf.DUMMYFUNCTION("""COMPUTED_VALUE"""),0)</f>
        <v>0</v>
      </c>
      <c r="H3300" s="7">
        <f ca="1">IFERROR(__xludf.DUMMYFUNCTION("""COMPUTED_VALUE"""),500000)</f>
        <v>500000</v>
      </c>
    </row>
    <row r="3301" spans="1:8" ht="13" x14ac:dyDescent="0.15">
      <c r="A3301" s="5" t="str">
        <f ca="1">IFERROR(__xludf.DUMMYFUNCTION("""COMPUTED_VALUE"""),"70236")</f>
        <v>70236</v>
      </c>
      <c r="B3301" s="51">
        <f ca="1">IFERROR(__xludf.DUMMYFUNCTION("""COMPUTED_VALUE"""),44628)</f>
        <v>44628</v>
      </c>
      <c r="C3301" s="22">
        <f ca="1">IFERROR(__xludf.DUMMYFUNCTION("""COMPUTED_VALUE"""),500000)</f>
        <v>500000</v>
      </c>
      <c r="D3301" s="22">
        <f ca="1">IFERROR(__xludf.DUMMYFUNCTION("""COMPUTED_VALUE"""),0)</f>
        <v>0</v>
      </c>
      <c r="E3301" s="22">
        <f ca="1">IFERROR(__xludf.DUMMYFUNCTION("""COMPUTED_VALUE"""),500000)</f>
        <v>500000</v>
      </c>
      <c r="F3301" s="22">
        <f ca="1">IFERROR(__xludf.DUMMYFUNCTION("""COMPUTED_VALUE"""),500000)</f>
        <v>500000</v>
      </c>
      <c r="G3301" s="22">
        <f ca="1">IFERROR(__xludf.DUMMYFUNCTION("""COMPUTED_VALUE"""),0)</f>
        <v>0</v>
      </c>
      <c r="H3301" s="7">
        <f ca="1">IFERROR(__xludf.DUMMYFUNCTION("""COMPUTED_VALUE"""),500000)</f>
        <v>500000</v>
      </c>
    </row>
    <row r="3302" spans="1:8" ht="13" x14ac:dyDescent="0.15">
      <c r="A3302" s="5" t="str">
        <f ca="1">IFERROR(__xludf.DUMMYFUNCTION("""COMPUTED_VALUE"""),"70236")</f>
        <v>70236</v>
      </c>
      <c r="B3302" s="51">
        <f ca="1">IFERROR(__xludf.DUMMYFUNCTION("""COMPUTED_VALUE"""),44629)</f>
        <v>44629</v>
      </c>
      <c r="C3302" s="22">
        <f ca="1">IFERROR(__xludf.DUMMYFUNCTION("""COMPUTED_VALUE"""),500000)</f>
        <v>500000</v>
      </c>
      <c r="D3302" s="22">
        <f ca="1">IFERROR(__xludf.DUMMYFUNCTION("""COMPUTED_VALUE"""),0)</f>
        <v>0</v>
      </c>
      <c r="E3302" s="22">
        <f ca="1">IFERROR(__xludf.DUMMYFUNCTION("""COMPUTED_VALUE"""),500000)</f>
        <v>500000</v>
      </c>
      <c r="F3302" s="22">
        <f ca="1">IFERROR(__xludf.DUMMYFUNCTION("""COMPUTED_VALUE"""),500000)</f>
        <v>500000</v>
      </c>
      <c r="G3302" s="22">
        <f ca="1">IFERROR(__xludf.DUMMYFUNCTION("""COMPUTED_VALUE"""),0)</f>
        <v>0</v>
      </c>
      <c r="H3302" s="7">
        <f ca="1">IFERROR(__xludf.DUMMYFUNCTION("""COMPUTED_VALUE"""),500000)</f>
        <v>500000</v>
      </c>
    </row>
    <row r="3303" spans="1:8" ht="13" x14ac:dyDescent="0.15">
      <c r="A3303" s="5" t="str">
        <f ca="1">IFERROR(__xludf.DUMMYFUNCTION("""COMPUTED_VALUE"""),"70236")</f>
        <v>70236</v>
      </c>
      <c r="B3303" s="51">
        <f ca="1">IFERROR(__xludf.DUMMYFUNCTION("""COMPUTED_VALUE"""),44630)</f>
        <v>44630</v>
      </c>
      <c r="C3303" s="22">
        <f ca="1">IFERROR(__xludf.DUMMYFUNCTION("""COMPUTED_VALUE"""),500000)</f>
        <v>500000</v>
      </c>
      <c r="D3303" s="22">
        <f ca="1">IFERROR(__xludf.DUMMYFUNCTION("""COMPUTED_VALUE"""),0)</f>
        <v>0</v>
      </c>
      <c r="E3303" s="22">
        <f ca="1">IFERROR(__xludf.DUMMYFUNCTION("""COMPUTED_VALUE"""),500000)</f>
        <v>500000</v>
      </c>
      <c r="F3303" s="22">
        <f ca="1">IFERROR(__xludf.DUMMYFUNCTION("""COMPUTED_VALUE"""),500000)</f>
        <v>500000</v>
      </c>
      <c r="G3303" s="22">
        <f ca="1">IFERROR(__xludf.DUMMYFUNCTION("""COMPUTED_VALUE"""),0)</f>
        <v>0</v>
      </c>
      <c r="H3303" s="7">
        <f ca="1">IFERROR(__xludf.DUMMYFUNCTION("""COMPUTED_VALUE"""),500000)</f>
        <v>500000</v>
      </c>
    </row>
    <row r="3304" spans="1:8" ht="13" x14ac:dyDescent="0.15">
      <c r="A3304" s="5" t="str">
        <f ca="1">IFERROR(__xludf.DUMMYFUNCTION("""COMPUTED_VALUE"""),"70236")</f>
        <v>70236</v>
      </c>
      <c r="B3304" s="51">
        <f ca="1">IFERROR(__xludf.DUMMYFUNCTION("""COMPUTED_VALUE"""),44631)</f>
        <v>44631</v>
      </c>
      <c r="C3304" s="22">
        <f ca="1">IFERROR(__xludf.DUMMYFUNCTION("""COMPUTED_VALUE"""),500000)</f>
        <v>500000</v>
      </c>
      <c r="D3304" s="22">
        <f ca="1">IFERROR(__xludf.DUMMYFUNCTION("""COMPUTED_VALUE"""),0)</f>
        <v>0</v>
      </c>
      <c r="E3304" s="22">
        <f ca="1">IFERROR(__xludf.DUMMYFUNCTION("""COMPUTED_VALUE"""),500000)</f>
        <v>500000</v>
      </c>
      <c r="F3304" s="22">
        <f ca="1">IFERROR(__xludf.DUMMYFUNCTION("""COMPUTED_VALUE"""),500000)</f>
        <v>500000</v>
      </c>
      <c r="G3304" s="22">
        <f ca="1">IFERROR(__xludf.DUMMYFUNCTION("""COMPUTED_VALUE"""),0)</f>
        <v>0</v>
      </c>
      <c r="H3304" s="7">
        <f ca="1">IFERROR(__xludf.DUMMYFUNCTION("""COMPUTED_VALUE"""),500000)</f>
        <v>500000</v>
      </c>
    </row>
    <row r="3305" spans="1:8" ht="13" x14ac:dyDescent="0.15">
      <c r="A3305" s="5" t="str">
        <f ca="1">IFERROR(__xludf.DUMMYFUNCTION("""COMPUTED_VALUE"""),"70236")</f>
        <v>70236</v>
      </c>
      <c r="B3305" s="51">
        <f ca="1">IFERROR(__xludf.DUMMYFUNCTION("""COMPUTED_VALUE"""),44632)</f>
        <v>44632</v>
      </c>
      <c r="C3305" s="22">
        <f ca="1">IFERROR(__xludf.DUMMYFUNCTION("""COMPUTED_VALUE"""),500000)</f>
        <v>500000</v>
      </c>
      <c r="D3305" s="22">
        <f ca="1">IFERROR(__xludf.DUMMYFUNCTION("""COMPUTED_VALUE"""),0)</f>
        <v>0</v>
      </c>
      <c r="E3305" s="22">
        <f ca="1">IFERROR(__xludf.DUMMYFUNCTION("""COMPUTED_VALUE"""),500000)</f>
        <v>500000</v>
      </c>
      <c r="F3305" s="22">
        <f ca="1">IFERROR(__xludf.DUMMYFUNCTION("""COMPUTED_VALUE"""),500000)</f>
        <v>500000</v>
      </c>
      <c r="G3305" s="22">
        <f ca="1">IFERROR(__xludf.DUMMYFUNCTION("""COMPUTED_VALUE"""),0)</f>
        <v>0</v>
      </c>
      <c r="H3305" s="7">
        <f ca="1">IFERROR(__xludf.DUMMYFUNCTION("""COMPUTED_VALUE"""),500000)</f>
        <v>500000</v>
      </c>
    </row>
    <row r="3306" spans="1:8" ht="13" x14ac:dyDescent="0.15">
      <c r="A3306" s="5" t="str">
        <f ca="1">IFERROR(__xludf.DUMMYFUNCTION("""COMPUTED_VALUE"""),"70236")</f>
        <v>70236</v>
      </c>
      <c r="B3306" s="51">
        <f ca="1">IFERROR(__xludf.DUMMYFUNCTION("""COMPUTED_VALUE"""),44633)</f>
        <v>44633</v>
      </c>
      <c r="C3306" s="22">
        <f ca="1">IFERROR(__xludf.DUMMYFUNCTION("""COMPUTED_VALUE"""),500000)</f>
        <v>500000</v>
      </c>
      <c r="D3306" s="22">
        <f ca="1">IFERROR(__xludf.DUMMYFUNCTION("""COMPUTED_VALUE"""),0)</f>
        <v>0</v>
      </c>
      <c r="E3306" s="22">
        <f ca="1">IFERROR(__xludf.DUMMYFUNCTION("""COMPUTED_VALUE"""),500000)</f>
        <v>500000</v>
      </c>
      <c r="F3306" s="22">
        <f ca="1">IFERROR(__xludf.DUMMYFUNCTION("""COMPUTED_VALUE"""),500000)</f>
        <v>500000</v>
      </c>
      <c r="G3306" s="22">
        <f ca="1">IFERROR(__xludf.DUMMYFUNCTION("""COMPUTED_VALUE"""),0)</f>
        <v>0</v>
      </c>
      <c r="H3306" s="7">
        <f ca="1">IFERROR(__xludf.DUMMYFUNCTION("""COMPUTED_VALUE"""),500000)</f>
        <v>500000</v>
      </c>
    </row>
    <row r="3307" spans="1:8" ht="13" x14ac:dyDescent="0.15">
      <c r="A3307" s="5" t="str">
        <f ca="1">IFERROR(__xludf.DUMMYFUNCTION("""COMPUTED_VALUE"""),"70236")</f>
        <v>70236</v>
      </c>
      <c r="B3307" s="51">
        <f ca="1">IFERROR(__xludf.DUMMYFUNCTION("""COMPUTED_VALUE"""),44634)</f>
        <v>44634</v>
      </c>
      <c r="C3307" s="22">
        <f ca="1">IFERROR(__xludf.DUMMYFUNCTION("""COMPUTED_VALUE"""),500000)</f>
        <v>500000</v>
      </c>
      <c r="D3307" s="22">
        <f ca="1">IFERROR(__xludf.DUMMYFUNCTION("""COMPUTED_VALUE"""),0)</f>
        <v>0</v>
      </c>
      <c r="E3307" s="22">
        <f ca="1">IFERROR(__xludf.DUMMYFUNCTION("""COMPUTED_VALUE"""),500000)</f>
        <v>500000</v>
      </c>
      <c r="F3307" s="22">
        <f ca="1">IFERROR(__xludf.DUMMYFUNCTION("""COMPUTED_VALUE"""),500000)</f>
        <v>500000</v>
      </c>
      <c r="G3307" s="22">
        <f ca="1">IFERROR(__xludf.DUMMYFUNCTION("""COMPUTED_VALUE"""),0)</f>
        <v>0</v>
      </c>
      <c r="H3307" s="7">
        <f ca="1">IFERROR(__xludf.DUMMYFUNCTION("""COMPUTED_VALUE"""),500000)</f>
        <v>500000</v>
      </c>
    </row>
    <row r="3308" spans="1:8" ht="13" x14ac:dyDescent="0.15">
      <c r="A3308" s="5" t="str">
        <f ca="1">IFERROR(__xludf.DUMMYFUNCTION("""COMPUTED_VALUE"""),"70236")</f>
        <v>70236</v>
      </c>
      <c r="B3308" s="51">
        <f ca="1">IFERROR(__xludf.DUMMYFUNCTION("""COMPUTED_VALUE"""),44635)</f>
        <v>44635</v>
      </c>
      <c r="C3308" s="22">
        <f ca="1">IFERROR(__xludf.DUMMYFUNCTION("""COMPUTED_VALUE"""),500000)</f>
        <v>500000</v>
      </c>
      <c r="D3308" s="22">
        <f ca="1">IFERROR(__xludf.DUMMYFUNCTION("""COMPUTED_VALUE"""),0)</f>
        <v>0</v>
      </c>
      <c r="E3308" s="22">
        <f ca="1">IFERROR(__xludf.DUMMYFUNCTION("""COMPUTED_VALUE"""),500000)</f>
        <v>500000</v>
      </c>
      <c r="F3308" s="22">
        <f ca="1">IFERROR(__xludf.DUMMYFUNCTION("""COMPUTED_VALUE"""),500000)</f>
        <v>500000</v>
      </c>
      <c r="G3308" s="22">
        <f ca="1">IFERROR(__xludf.DUMMYFUNCTION("""COMPUTED_VALUE"""),0)</f>
        <v>0</v>
      </c>
      <c r="H3308" s="7">
        <f ca="1">IFERROR(__xludf.DUMMYFUNCTION("""COMPUTED_VALUE"""),500000)</f>
        <v>500000</v>
      </c>
    </row>
    <row r="3309" spans="1:8" ht="13" x14ac:dyDescent="0.15">
      <c r="A3309" s="5" t="str">
        <f ca="1">IFERROR(__xludf.DUMMYFUNCTION("""COMPUTED_VALUE"""),"70236")</f>
        <v>70236</v>
      </c>
      <c r="B3309" s="51">
        <f ca="1">IFERROR(__xludf.DUMMYFUNCTION("""COMPUTED_VALUE"""),44636)</f>
        <v>44636</v>
      </c>
      <c r="C3309" s="22">
        <f ca="1">IFERROR(__xludf.DUMMYFUNCTION("""COMPUTED_VALUE"""),500000)</f>
        <v>500000</v>
      </c>
      <c r="D3309" s="22">
        <f ca="1">IFERROR(__xludf.DUMMYFUNCTION("""COMPUTED_VALUE"""),0)</f>
        <v>0</v>
      </c>
      <c r="E3309" s="22">
        <f ca="1">IFERROR(__xludf.DUMMYFUNCTION("""COMPUTED_VALUE"""),500000)</f>
        <v>500000</v>
      </c>
      <c r="F3309" s="22">
        <f ca="1">IFERROR(__xludf.DUMMYFUNCTION("""COMPUTED_VALUE"""),500000)</f>
        <v>500000</v>
      </c>
      <c r="G3309" s="22">
        <f ca="1">IFERROR(__xludf.DUMMYFUNCTION("""COMPUTED_VALUE"""),0)</f>
        <v>0</v>
      </c>
      <c r="H3309" s="7">
        <f ca="1">IFERROR(__xludf.DUMMYFUNCTION("""COMPUTED_VALUE"""),500000)</f>
        <v>500000</v>
      </c>
    </row>
    <row r="3310" spans="1:8" ht="13" x14ac:dyDescent="0.15">
      <c r="A3310" s="5" t="str">
        <f ca="1">IFERROR(__xludf.DUMMYFUNCTION("""COMPUTED_VALUE"""),"70236")</f>
        <v>70236</v>
      </c>
      <c r="B3310" s="51">
        <f ca="1">IFERROR(__xludf.DUMMYFUNCTION("""COMPUTED_VALUE"""),44637)</f>
        <v>44637</v>
      </c>
      <c r="C3310" s="22">
        <f ca="1">IFERROR(__xludf.DUMMYFUNCTION("""COMPUTED_VALUE"""),500000)</f>
        <v>500000</v>
      </c>
      <c r="D3310" s="22">
        <f ca="1">IFERROR(__xludf.DUMMYFUNCTION("""COMPUTED_VALUE"""),0)</f>
        <v>0</v>
      </c>
      <c r="E3310" s="22">
        <f ca="1">IFERROR(__xludf.DUMMYFUNCTION("""COMPUTED_VALUE"""),500000)</f>
        <v>500000</v>
      </c>
      <c r="F3310" s="22">
        <f ca="1">IFERROR(__xludf.DUMMYFUNCTION("""COMPUTED_VALUE"""),500000)</f>
        <v>500000</v>
      </c>
      <c r="G3310" s="22">
        <f ca="1">IFERROR(__xludf.DUMMYFUNCTION("""COMPUTED_VALUE"""),0)</f>
        <v>0</v>
      </c>
      <c r="H3310" s="7">
        <f ca="1">IFERROR(__xludf.DUMMYFUNCTION("""COMPUTED_VALUE"""),500000)</f>
        <v>500000</v>
      </c>
    </row>
    <row r="3311" spans="1:8" ht="13" x14ac:dyDescent="0.15">
      <c r="A3311" s="5" t="str">
        <f ca="1">IFERROR(__xludf.DUMMYFUNCTION("""COMPUTED_VALUE"""),"70236")</f>
        <v>70236</v>
      </c>
      <c r="B3311" s="51">
        <f ca="1">IFERROR(__xludf.DUMMYFUNCTION("""COMPUTED_VALUE"""),44638)</f>
        <v>44638</v>
      </c>
      <c r="C3311" s="22">
        <f ca="1">IFERROR(__xludf.DUMMYFUNCTION("""COMPUTED_VALUE"""),500000)</f>
        <v>500000</v>
      </c>
      <c r="D3311" s="22">
        <f ca="1">IFERROR(__xludf.DUMMYFUNCTION("""COMPUTED_VALUE"""),0)</f>
        <v>0</v>
      </c>
      <c r="E3311" s="22">
        <f ca="1">IFERROR(__xludf.DUMMYFUNCTION("""COMPUTED_VALUE"""),500000)</f>
        <v>500000</v>
      </c>
      <c r="F3311" s="22">
        <f ca="1">IFERROR(__xludf.DUMMYFUNCTION("""COMPUTED_VALUE"""),500000)</f>
        <v>500000</v>
      </c>
      <c r="G3311" s="22">
        <f ca="1">IFERROR(__xludf.DUMMYFUNCTION("""COMPUTED_VALUE"""),0)</f>
        <v>0</v>
      </c>
      <c r="H3311" s="7">
        <f ca="1">IFERROR(__xludf.DUMMYFUNCTION("""COMPUTED_VALUE"""),500000)</f>
        <v>500000</v>
      </c>
    </row>
    <row r="3312" spans="1:8" ht="13" x14ac:dyDescent="0.15">
      <c r="A3312" s="5" t="str">
        <f ca="1">IFERROR(__xludf.DUMMYFUNCTION("""COMPUTED_VALUE"""),"70236")</f>
        <v>70236</v>
      </c>
      <c r="B3312" s="51">
        <f ca="1">IFERROR(__xludf.DUMMYFUNCTION("""COMPUTED_VALUE"""),44639)</f>
        <v>44639</v>
      </c>
      <c r="C3312" s="22">
        <f ca="1">IFERROR(__xludf.DUMMYFUNCTION("""COMPUTED_VALUE"""),500000)</f>
        <v>500000</v>
      </c>
      <c r="D3312" s="22">
        <f ca="1">IFERROR(__xludf.DUMMYFUNCTION("""COMPUTED_VALUE"""),0)</f>
        <v>0</v>
      </c>
      <c r="E3312" s="22">
        <f ca="1">IFERROR(__xludf.DUMMYFUNCTION("""COMPUTED_VALUE"""),500000)</f>
        <v>500000</v>
      </c>
      <c r="F3312" s="22">
        <f ca="1">IFERROR(__xludf.DUMMYFUNCTION("""COMPUTED_VALUE"""),500000)</f>
        <v>500000</v>
      </c>
      <c r="G3312" s="22">
        <f ca="1">IFERROR(__xludf.DUMMYFUNCTION("""COMPUTED_VALUE"""),0)</f>
        <v>0</v>
      </c>
      <c r="H3312" s="7">
        <f ca="1">IFERROR(__xludf.DUMMYFUNCTION("""COMPUTED_VALUE"""),500000)</f>
        <v>500000</v>
      </c>
    </row>
    <row r="3313" spans="1:8" ht="13" x14ac:dyDescent="0.15">
      <c r="A3313" s="5" t="str">
        <f ca="1">IFERROR(__xludf.DUMMYFUNCTION("""COMPUTED_VALUE"""),"70236")</f>
        <v>70236</v>
      </c>
      <c r="B3313" s="51">
        <f ca="1">IFERROR(__xludf.DUMMYFUNCTION("""COMPUTED_VALUE"""),44640)</f>
        <v>44640</v>
      </c>
      <c r="C3313" s="22">
        <f ca="1">IFERROR(__xludf.DUMMYFUNCTION("""COMPUTED_VALUE"""),500000)</f>
        <v>500000</v>
      </c>
      <c r="D3313" s="22">
        <f ca="1">IFERROR(__xludf.DUMMYFUNCTION("""COMPUTED_VALUE"""),0)</f>
        <v>0</v>
      </c>
      <c r="E3313" s="22">
        <f ca="1">IFERROR(__xludf.DUMMYFUNCTION("""COMPUTED_VALUE"""),500000)</f>
        <v>500000</v>
      </c>
      <c r="F3313" s="22">
        <f ca="1">IFERROR(__xludf.DUMMYFUNCTION("""COMPUTED_VALUE"""),500000)</f>
        <v>500000</v>
      </c>
      <c r="G3313" s="22">
        <f ca="1">IFERROR(__xludf.DUMMYFUNCTION("""COMPUTED_VALUE"""),0)</f>
        <v>0</v>
      </c>
      <c r="H3313" s="7">
        <f ca="1">IFERROR(__xludf.DUMMYFUNCTION("""COMPUTED_VALUE"""),500000)</f>
        <v>500000</v>
      </c>
    </row>
    <row r="3314" spans="1:8" ht="13" x14ac:dyDescent="0.15">
      <c r="A3314" s="5" t="str">
        <f ca="1">IFERROR(__xludf.DUMMYFUNCTION("""COMPUTED_VALUE"""),"70236")</f>
        <v>70236</v>
      </c>
      <c r="B3314" s="51">
        <f ca="1">IFERROR(__xludf.DUMMYFUNCTION("""COMPUTED_VALUE"""),44641)</f>
        <v>44641</v>
      </c>
      <c r="C3314" s="22">
        <f ca="1">IFERROR(__xludf.DUMMYFUNCTION("""COMPUTED_VALUE"""),500000)</f>
        <v>500000</v>
      </c>
      <c r="D3314" s="22">
        <f ca="1">IFERROR(__xludf.DUMMYFUNCTION("""COMPUTED_VALUE"""),0)</f>
        <v>0</v>
      </c>
      <c r="E3314" s="22">
        <f ca="1">IFERROR(__xludf.DUMMYFUNCTION("""COMPUTED_VALUE"""),500000)</f>
        <v>500000</v>
      </c>
      <c r="F3314" s="22">
        <f ca="1">IFERROR(__xludf.DUMMYFUNCTION("""COMPUTED_VALUE"""),500000)</f>
        <v>500000</v>
      </c>
      <c r="G3314" s="22">
        <f ca="1">IFERROR(__xludf.DUMMYFUNCTION("""COMPUTED_VALUE"""),0)</f>
        <v>0</v>
      </c>
      <c r="H3314" s="7">
        <f ca="1">IFERROR(__xludf.DUMMYFUNCTION("""COMPUTED_VALUE"""),500000)</f>
        <v>500000</v>
      </c>
    </row>
    <row r="3315" spans="1:8" ht="13" x14ac:dyDescent="0.15">
      <c r="A3315" s="5" t="str">
        <f ca="1">IFERROR(__xludf.DUMMYFUNCTION("""COMPUTED_VALUE"""),"70236")</f>
        <v>70236</v>
      </c>
      <c r="B3315" s="51">
        <f ca="1">IFERROR(__xludf.DUMMYFUNCTION("""COMPUTED_VALUE"""),44642)</f>
        <v>44642</v>
      </c>
      <c r="C3315" s="22">
        <f ca="1">IFERROR(__xludf.DUMMYFUNCTION("""COMPUTED_VALUE"""),500000)</f>
        <v>500000</v>
      </c>
      <c r="D3315" s="22">
        <f ca="1">IFERROR(__xludf.DUMMYFUNCTION("""COMPUTED_VALUE"""),0)</f>
        <v>0</v>
      </c>
      <c r="E3315" s="22">
        <f ca="1">IFERROR(__xludf.DUMMYFUNCTION("""COMPUTED_VALUE"""),500000)</f>
        <v>500000</v>
      </c>
      <c r="F3315" s="22">
        <f ca="1">IFERROR(__xludf.DUMMYFUNCTION("""COMPUTED_VALUE"""),500000)</f>
        <v>500000</v>
      </c>
      <c r="G3315" s="22">
        <f ca="1">IFERROR(__xludf.DUMMYFUNCTION("""COMPUTED_VALUE"""),0)</f>
        <v>0</v>
      </c>
      <c r="H3315" s="7">
        <f ca="1">IFERROR(__xludf.DUMMYFUNCTION("""COMPUTED_VALUE"""),500000)</f>
        <v>500000</v>
      </c>
    </row>
    <row r="3316" spans="1:8" ht="13" x14ac:dyDescent="0.15">
      <c r="A3316" s="5" t="str">
        <f ca="1">IFERROR(__xludf.DUMMYFUNCTION("""COMPUTED_VALUE"""),"70628")</f>
        <v>70628</v>
      </c>
      <c r="B3316" s="51">
        <f ca="1">IFERROR(__xludf.DUMMYFUNCTION("""COMPUTED_VALUE"""),44597)</f>
        <v>44597</v>
      </c>
      <c r="C3316" s="22">
        <f ca="1">IFERROR(__xludf.DUMMYFUNCTION("""COMPUTED_VALUE"""),500000)</f>
        <v>500000</v>
      </c>
      <c r="D3316" s="22">
        <f ca="1">IFERROR(__xludf.DUMMYFUNCTION("""COMPUTED_VALUE"""),0)</f>
        <v>0</v>
      </c>
      <c r="E3316" s="22">
        <f ca="1">IFERROR(__xludf.DUMMYFUNCTION("""COMPUTED_VALUE"""),500000)</f>
        <v>500000</v>
      </c>
      <c r="F3316" s="22">
        <f ca="1">IFERROR(__xludf.DUMMYFUNCTION("""COMPUTED_VALUE"""),500000)</f>
        <v>500000</v>
      </c>
      <c r="G3316" s="22">
        <f ca="1">IFERROR(__xludf.DUMMYFUNCTION("""COMPUTED_VALUE"""),0)</f>
        <v>0</v>
      </c>
      <c r="H3316" s="7">
        <f ca="1">IFERROR(__xludf.DUMMYFUNCTION("""COMPUTED_VALUE"""),500000)</f>
        <v>500000</v>
      </c>
    </row>
    <row r="3317" spans="1:8" ht="13" x14ac:dyDescent="0.15">
      <c r="A3317" s="5" t="str">
        <f ca="1">IFERROR(__xludf.DUMMYFUNCTION("""COMPUTED_VALUE"""),"70628")</f>
        <v>70628</v>
      </c>
      <c r="B3317" s="51">
        <f ca="1">IFERROR(__xludf.DUMMYFUNCTION("""COMPUTED_VALUE"""),44598)</f>
        <v>44598</v>
      </c>
      <c r="C3317" s="22">
        <f ca="1">IFERROR(__xludf.DUMMYFUNCTION("""COMPUTED_VALUE"""),500000)</f>
        <v>500000</v>
      </c>
      <c r="D3317" s="22">
        <f ca="1">IFERROR(__xludf.DUMMYFUNCTION("""COMPUTED_VALUE"""),0)</f>
        <v>0</v>
      </c>
      <c r="E3317" s="22">
        <f ca="1">IFERROR(__xludf.DUMMYFUNCTION("""COMPUTED_VALUE"""),500000)</f>
        <v>500000</v>
      </c>
      <c r="F3317" s="22">
        <f ca="1">IFERROR(__xludf.DUMMYFUNCTION("""COMPUTED_VALUE"""),500000)</f>
        <v>500000</v>
      </c>
      <c r="G3317" s="22">
        <f ca="1">IFERROR(__xludf.DUMMYFUNCTION("""COMPUTED_VALUE"""),0)</f>
        <v>0</v>
      </c>
      <c r="H3317" s="7">
        <f ca="1">IFERROR(__xludf.DUMMYFUNCTION("""COMPUTED_VALUE"""),500000)</f>
        <v>500000</v>
      </c>
    </row>
    <row r="3318" spans="1:8" ht="13" x14ac:dyDescent="0.15">
      <c r="A3318" s="5" t="str">
        <f ca="1">IFERROR(__xludf.DUMMYFUNCTION("""COMPUTED_VALUE"""),"70628")</f>
        <v>70628</v>
      </c>
      <c r="B3318" s="51">
        <f ca="1">IFERROR(__xludf.DUMMYFUNCTION("""COMPUTED_VALUE"""),44599)</f>
        <v>44599</v>
      </c>
      <c r="C3318" s="22">
        <f ca="1">IFERROR(__xludf.DUMMYFUNCTION("""COMPUTED_VALUE"""),500000)</f>
        <v>500000</v>
      </c>
      <c r="D3318" s="22">
        <f ca="1">IFERROR(__xludf.DUMMYFUNCTION("""COMPUTED_VALUE"""),0)</f>
        <v>0</v>
      </c>
      <c r="E3318" s="22">
        <f ca="1">IFERROR(__xludf.DUMMYFUNCTION("""COMPUTED_VALUE"""),500000)</f>
        <v>500000</v>
      </c>
      <c r="F3318" s="22">
        <f ca="1">IFERROR(__xludf.DUMMYFUNCTION("""COMPUTED_VALUE"""),500000)</f>
        <v>500000</v>
      </c>
      <c r="G3318" s="22">
        <f ca="1">IFERROR(__xludf.DUMMYFUNCTION("""COMPUTED_VALUE"""),0)</f>
        <v>0</v>
      </c>
      <c r="H3318" s="7">
        <f ca="1">IFERROR(__xludf.DUMMYFUNCTION("""COMPUTED_VALUE"""),500000)</f>
        <v>500000</v>
      </c>
    </row>
    <row r="3319" spans="1:8" ht="13" x14ac:dyDescent="0.15">
      <c r="A3319" s="5" t="str">
        <f ca="1">IFERROR(__xludf.DUMMYFUNCTION("""COMPUTED_VALUE"""),"70628")</f>
        <v>70628</v>
      </c>
      <c r="B3319" s="51">
        <f ca="1">IFERROR(__xludf.DUMMYFUNCTION("""COMPUTED_VALUE"""),44600)</f>
        <v>44600</v>
      </c>
      <c r="C3319" s="22">
        <f ca="1">IFERROR(__xludf.DUMMYFUNCTION("""COMPUTED_VALUE"""),500000)</f>
        <v>500000</v>
      </c>
      <c r="D3319" s="22">
        <f ca="1">IFERROR(__xludf.DUMMYFUNCTION("""COMPUTED_VALUE"""),0)</f>
        <v>0</v>
      </c>
      <c r="E3319" s="22">
        <f ca="1">IFERROR(__xludf.DUMMYFUNCTION("""COMPUTED_VALUE"""),500000)</f>
        <v>500000</v>
      </c>
      <c r="F3319" s="22">
        <f ca="1">IFERROR(__xludf.DUMMYFUNCTION("""COMPUTED_VALUE"""),500000)</f>
        <v>500000</v>
      </c>
      <c r="G3319" s="22">
        <f ca="1">IFERROR(__xludf.DUMMYFUNCTION("""COMPUTED_VALUE"""),0)</f>
        <v>0</v>
      </c>
      <c r="H3319" s="7">
        <f ca="1">IFERROR(__xludf.DUMMYFUNCTION("""COMPUTED_VALUE"""),500000)</f>
        <v>500000</v>
      </c>
    </row>
    <row r="3320" spans="1:8" ht="13" x14ac:dyDescent="0.15">
      <c r="A3320" s="5" t="str">
        <f ca="1">IFERROR(__xludf.DUMMYFUNCTION("""COMPUTED_VALUE"""),"70628")</f>
        <v>70628</v>
      </c>
      <c r="B3320" s="51">
        <f ca="1">IFERROR(__xludf.DUMMYFUNCTION("""COMPUTED_VALUE"""),44601)</f>
        <v>44601</v>
      </c>
      <c r="C3320" s="22">
        <f ca="1">IFERROR(__xludf.DUMMYFUNCTION("""COMPUTED_VALUE"""),500000)</f>
        <v>500000</v>
      </c>
      <c r="D3320" s="22">
        <f ca="1">IFERROR(__xludf.DUMMYFUNCTION("""COMPUTED_VALUE"""),0)</f>
        <v>0</v>
      </c>
      <c r="E3320" s="22">
        <f ca="1">IFERROR(__xludf.DUMMYFUNCTION("""COMPUTED_VALUE"""),500000)</f>
        <v>500000</v>
      </c>
      <c r="F3320" s="22">
        <f ca="1">IFERROR(__xludf.DUMMYFUNCTION("""COMPUTED_VALUE"""),500000)</f>
        <v>500000</v>
      </c>
      <c r="G3320" s="22">
        <f ca="1">IFERROR(__xludf.DUMMYFUNCTION("""COMPUTED_VALUE"""),0)</f>
        <v>0</v>
      </c>
      <c r="H3320" s="7">
        <f ca="1">IFERROR(__xludf.DUMMYFUNCTION("""COMPUTED_VALUE"""),500000)</f>
        <v>500000</v>
      </c>
    </row>
    <row r="3321" spans="1:8" ht="13" x14ac:dyDescent="0.15">
      <c r="A3321" s="5" t="str">
        <f ca="1">IFERROR(__xludf.DUMMYFUNCTION("""COMPUTED_VALUE"""),"70628")</f>
        <v>70628</v>
      </c>
      <c r="B3321" s="51">
        <f ca="1">IFERROR(__xludf.DUMMYFUNCTION("""COMPUTED_VALUE"""),44602)</f>
        <v>44602</v>
      </c>
      <c r="C3321" s="22">
        <f ca="1">IFERROR(__xludf.DUMMYFUNCTION("""COMPUTED_VALUE"""),500000)</f>
        <v>500000</v>
      </c>
      <c r="D3321" s="22">
        <f ca="1">IFERROR(__xludf.DUMMYFUNCTION("""COMPUTED_VALUE"""),0)</f>
        <v>0</v>
      </c>
      <c r="E3321" s="22">
        <f ca="1">IFERROR(__xludf.DUMMYFUNCTION("""COMPUTED_VALUE"""),500000)</f>
        <v>500000</v>
      </c>
      <c r="F3321" s="22">
        <f ca="1">IFERROR(__xludf.DUMMYFUNCTION("""COMPUTED_VALUE"""),500000)</f>
        <v>500000</v>
      </c>
      <c r="G3321" s="22">
        <f ca="1">IFERROR(__xludf.DUMMYFUNCTION("""COMPUTED_VALUE"""),0)</f>
        <v>0</v>
      </c>
      <c r="H3321" s="7">
        <f ca="1">IFERROR(__xludf.DUMMYFUNCTION("""COMPUTED_VALUE"""),500000)</f>
        <v>500000</v>
      </c>
    </row>
    <row r="3322" spans="1:8" ht="13" x14ac:dyDescent="0.15">
      <c r="A3322" s="5" t="str">
        <f ca="1">IFERROR(__xludf.DUMMYFUNCTION("""COMPUTED_VALUE"""),"70628")</f>
        <v>70628</v>
      </c>
      <c r="B3322" s="51">
        <f ca="1">IFERROR(__xludf.DUMMYFUNCTION("""COMPUTED_VALUE"""),44603)</f>
        <v>44603</v>
      </c>
      <c r="C3322" s="22">
        <f ca="1">IFERROR(__xludf.DUMMYFUNCTION("""COMPUTED_VALUE"""),500000)</f>
        <v>500000</v>
      </c>
      <c r="D3322" s="22">
        <f ca="1">IFERROR(__xludf.DUMMYFUNCTION("""COMPUTED_VALUE"""),0)</f>
        <v>0</v>
      </c>
      <c r="E3322" s="22">
        <f ca="1">IFERROR(__xludf.DUMMYFUNCTION("""COMPUTED_VALUE"""),500000)</f>
        <v>500000</v>
      </c>
      <c r="F3322" s="22">
        <f ca="1">IFERROR(__xludf.DUMMYFUNCTION("""COMPUTED_VALUE"""),500000)</f>
        <v>500000</v>
      </c>
      <c r="G3322" s="22">
        <f ca="1">IFERROR(__xludf.DUMMYFUNCTION("""COMPUTED_VALUE"""),0)</f>
        <v>0</v>
      </c>
      <c r="H3322" s="7">
        <f ca="1">IFERROR(__xludf.DUMMYFUNCTION("""COMPUTED_VALUE"""),500000)</f>
        <v>500000</v>
      </c>
    </row>
    <row r="3323" spans="1:8" ht="13" x14ac:dyDescent="0.15">
      <c r="A3323" s="5" t="str">
        <f ca="1">IFERROR(__xludf.DUMMYFUNCTION("""COMPUTED_VALUE"""),"70628")</f>
        <v>70628</v>
      </c>
      <c r="B3323" s="51">
        <f ca="1">IFERROR(__xludf.DUMMYFUNCTION("""COMPUTED_VALUE"""),44604)</f>
        <v>44604</v>
      </c>
      <c r="C3323" s="22">
        <f ca="1">IFERROR(__xludf.DUMMYFUNCTION("""COMPUTED_VALUE"""),500000)</f>
        <v>500000</v>
      </c>
      <c r="D3323" s="22">
        <f ca="1">IFERROR(__xludf.DUMMYFUNCTION("""COMPUTED_VALUE"""),0)</f>
        <v>0</v>
      </c>
      <c r="E3323" s="22">
        <f ca="1">IFERROR(__xludf.DUMMYFUNCTION("""COMPUTED_VALUE"""),500000)</f>
        <v>500000</v>
      </c>
      <c r="F3323" s="22">
        <f ca="1">IFERROR(__xludf.DUMMYFUNCTION("""COMPUTED_VALUE"""),500000)</f>
        <v>500000</v>
      </c>
      <c r="G3323" s="22">
        <f ca="1">IFERROR(__xludf.DUMMYFUNCTION("""COMPUTED_VALUE"""),0)</f>
        <v>0</v>
      </c>
      <c r="H3323" s="7">
        <f ca="1">IFERROR(__xludf.DUMMYFUNCTION("""COMPUTED_VALUE"""),500000)</f>
        <v>500000</v>
      </c>
    </row>
    <row r="3324" spans="1:8" ht="13" x14ac:dyDescent="0.15">
      <c r="A3324" s="5" t="str">
        <f ca="1">IFERROR(__xludf.DUMMYFUNCTION("""COMPUTED_VALUE"""),"70628")</f>
        <v>70628</v>
      </c>
      <c r="B3324" s="51">
        <f ca="1">IFERROR(__xludf.DUMMYFUNCTION("""COMPUTED_VALUE"""),44605)</f>
        <v>44605</v>
      </c>
      <c r="C3324" s="22">
        <f ca="1">IFERROR(__xludf.DUMMYFUNCTION("""COMPUTED_VALUE"""),500000)</f>
        <v>500000</v>
      </c>
      <c r="D3324" s="22">
        <f ca="1">IFERROR(__xludf.DUMMYFUNCTION("""COMPUTED_VALUE"""),0)</f>
        <v>0</v>
      </c>
      <c r="E3324" s="22">
        <f ca="1">IFERROR(__xludf.DUMMYFUNCTION("""COMPUTED_VALUE"""),500000)</f>
        <v>500000</v>
      </c>
      <c r="F3324" s="22">
        <f ca="1">IFERROR(__xludf.DUMMYFUNCTION("""COMPUTED_VALUE"""),500000)</f>
        <v>500000</v>
      </c>
      <c r="G3324" s="22">
        <f ca="1">IFERROR(__xludf.DUMMYFUNCTION("""COMPUTED_VALUE"""),0)</f>
        <v>0</v>
      </c>
      <c r="H3324" s="7">
        <f ca="1">IFERROR(__xludf.DUMMYFUNCTION("""COMPUTED_VALUE"""),500000)</f>
        <v>500000</v>
      </c>
    </row>
    <row r="3325" spans="1:8" ht="13" x14ac:dyDescent="0.15">
      <c r="A3325" s="5" t="str">
        <f ca="1">IFERROR(__xludf.DUMMYFUNCTION("""COMPUTED_VALUE"""),"70628")</f>
        <v>70628</v>
      </c>
      <c r="B3325" s="51">
        <f ca="1">IFERROR(__xludf.DUMMYFUNCTION("""COMPUTED_VALUE"""),44606)</f>
        <v>44606</v>
      </c>
      <c r="C3325" s="22">
        <f ca="1">IFERROR(__xludf.DUMMYFUNCTION("""COMPUTED_VALUE"""),500000)</f>
        <v>500000</v>
      </c>
      <c r="D3325" s="22">
        <f ca="1">IFERROR(__xludf.DUMMYFUNCTION("""COMPUTED_VALUE"""),0)</f>
        <v>0</v>
      </c>
      <c r="E3325" s="22">
        <f ca="1">IFERROR(__xludf.DUMMYFUNCTION("""COMPUTED_VALUE"""),500000)</f>
        <v>500000</v>
      </c>
      <c r="F3325" s="22">
        <f ca="1">IFERROR(__xludf.DUMMYFUNCTION("""COMPUTED_VALUE"""),500000)</f>
        <v>500000</v>
      </c>
      <c r="G3325" s="22">
        <f ca="1">IFERROR(__xludf.DUMMYFUNCTION("""COMPUTED_VALUE"""),0)</f>
        <v>0</v>
      </c>
      <c r="H3325" s="7">
        <f ca="1">IFERROR(__xludf.DUMMYFUNCTION("""COMPUTED_VALUE"""),500000)</f>
        <v>500000</v>
      </c>
    </row>
    <row r="3326" spans="1:8" ht="13" x14ac:dyDescent="0.15">
      <c r="A3326" s="5" t="str">
        <f ca="1">IFERROR(__xludf.DUMMYFUNCTION("""COMPUTED_VALUE"""),"70628")</f>
        <v>70628</v>
      </c>
      <c r="B3326" s="51">
        <f ca="1">IFERROR(__xludf.DUMMYFUNCTION("""COMPUTED_VALUE"""),44607)</f>
        <v>44607</v>
      </c>
      <c r="C3326" s="22">
        <f ca="1">IFERROR(__xludf.DUMMYFUNCTION("""COMPUTED_VALUE"""),500000)</f>
        <v>500000</v>
      </c>
      <c r="D3326" s="22">
        <f ca="1">IFERROR(__xludf.DUMMYFUNCTION("""COMPUTED_VALUE"""),0)</f>
        <v>0</v>
      </c>
      <c r="E3326" s="22">
        <f ca="1">IFERROR(__xludf.DUMMYFUNCTION("""COMPUTED_VALUE"""),500000)</f>
        <v>500000</v>
      </c>
      <c r="F3326" s="22">
        <f ca="1">IFERROR(__xludf.DUMMYFUNCTION("""COMPUTED_VALUE"""),500000)</f>
        <v>500000</v>
      </c>
      <c r="G3326" s="22">
        <f ca="1">IFERROR(__xludf.DUMMYFUNCTION("""COMPUTED_VALUE"""),0)</f>
        <v>0</v>
      </c>
      <c r="H3326" s="7">
        <f ca="1">IFERROR(__xludf.DUMMYFUNCTION("""COMPUTED_VALUE"""),500000)</f>
        <v>500000</v>
      </c>
    </row>
    <row r="3327" spans="1:8" ht="13" x14ac:dyDescent="0.15">
      <c r="A3327" s="5" t="str">
        <f ca="1">IFERROR(__xludf.DUMMYFUNCTION("""COMPUTED_VALUE"""),"70628")</f>
        <v>70628</v>
      </c>
      <c r="B3327" s="51">
        <f ca="1">IFERROR(__xludf.DUMMYFUNCTION("""COMPUTED_VALUE"""),44608)</f>
        <v>44608</v>
      </c>
      <c r="C3327" s="22">
        <f ca="1">IFERROR(__xludf.DUMMYFUNCTION("""COMPUTED_VALUE"""),182600)</f>
        <v>182600</v>
      </c>
      <c r="D3327" s="22">
        <f ca="1">IFERROR(__xludf.DUMMYFUNCTION("""COMPUTED_VALUE"""),317400)</f>
        <v>317400</v>
      </c>
      <c r="E3327" s="22">
        <f ca="1">IFERROR(__xludf.DUMMYFUNCTION("""COMPUTED_VALUE"""),500000)</f>
        <v>500000</v>
      </c>
      <c r="F3327" s="22">
        <f ca="1">IFERROR(__xludf.DUMMYFUNCTION("""COMPUTED_VALUE"""),182600)</f>
        <v>182600</v>
      </c>
      <c r="G3327" s="22">
        <f ca="1">IFERROR(__xludf.DUMMYFUNCTION("""COMPUTED_VALUE"""),0)</f>
        <v>0</v>
      </c>
      <c r="H3327" s="7">
        <f ca="1">IFERROR(__xludf.DUMMYFUNCTION("""COMPUTED_VALUE"""),500000)</f>
        <v>500000</v>
      </c>
    </row>
    <row r="3328" spans="1:8" ht="13" x14ac:dyDescent="0.15">
      <c r="A3328" s="5" t="str">
        <f ca="1">IFERROR(__xludf.DUMMYFUNCTION("""COMPUTED_VALUE"""),"70628")</f>
        <v>70628</v>
      </c>
      <c r="B3328" s="51">
        <f ca="1">IFERROR(__xludf.DUMMYFUNCTION("""COMPUTED_VALUE"""),44609)</f>
        <v>44609</v>
      </c>
      <c r="C3328" s="22">
        <f ca="1">IFERROR(__xludf.DUMMYFUNCTION("""COMPUTED_VALUE"""),182600)</f>
        <v>182600</v>
      </c>
      <c r="D3328" s="22">
        <f ca="1">IFERROR(__xludf.DUMMYFUNCTION("""COMPUTED_VALUE"""),318200)</f>
        <v>318200</v>
      </c>
      <c r="E3328" s="22">
        <f ca="1">IFERROR(__xludf.DUMMYFUNCTION("""COMPUTED_VALUE"""),500800)</f>
        <v>500800</v>
      </c>
      <c r="F3328" s="22">
        <f ca="1">IFERROR(__xludf.DUMMYFUNCTION("""COMPUTED_VALUE"""),182600)</f>
        <v>182600</v>
      </c>
      <c r="G3328" s="22">
        <f ca="1">IFERROR(__xludf.DUMMYFUNCTION("""COMPUTED_VALUE"""),0)</f>
        <v>0</v>
      </c>
      <c r="H3328" s="7">
        <f ca="1">IFERROR(__xludf.DUMMYFUNCTION("""COMPUTED_VALUE"""),500260)</f>
        <v>500260</v>
      </c>
    </row>
    <row r="3329" spans="1:8" ht="13" x14ac:dyDescent="0.15">
      <c r="A3329" s="5" t="str">
        <f ca="1">IFERROR(__xludf.DUMMYFUNCTION("""COMPUTED_VALUE"""),"70628")</f>
        <v>70628</v>
      </c>
      <c r="B3329" s="51">
        <f ca="1">IFERROR(__xludf.DUMMYFUNCTION("""COMPUTED_VALUE"""),44610)</f>
        <v>44610</v>
      </c>
      <c r="C3329" s="22">
        <f ca="1">IFERROR(__xludf.DUMMYFUNCTION("""COMPUTED_VALUE"""),105519.279)</f>
        <v>105519.27899999999</v>
      </c>
      <c r="D3329" s="22">
        <f ca="1">IFERROR(__xludf.DUMMYFUNCTION("""COMPUTED_VALUE"""),393540.721)</f>
        <v>393540.72100000002</v>
      </c>
      <c r="E3329" s="22">
        <f ca="1">IFERROR(__xludf.DUMMYFUNCTION("""COMPUTED_VALUE"""),499060)</f>
        <v>499060</v>
      </c>
      <c r="F3329" s="22">
        <f ca="1">IFERROR(__xludf.DUMMYFUNCTION("""COMPUTED_VALUE"""),105519.279)</f>
        <v>105519.27899999999</v>
      </c>
      <c r="G3329" s="22">
        <f ca="1">IFERROR(__xludf.DUMMYFUNCTION("""COMPUTED_VALUE"""),0)</f>
        <v>0</v>
      </c>
      <c r="H3329" s="7">
        <f ca="1">IFERROR(__xludf.DUMMYFUNCTION("""COMPUTED_VALUE"""),499060)</f>
        <v>499060</v>
      </c>
    </row>
    <row r="3330" spans="1:8" ht="13" x14ac:dyDescent="0.15">
      <c r="A3330" s="5" t="str">
        <f ca="1">IFERROR(__xludf.DUMMYFUNCTION("""COMPUTED_VALUE"""),"70628")</f>
        <v>70628</v>
      </c>
      <c r="B3330" s="51">
        <f ca="1">IFERROR(__xludf.DUMMYFUNCTION("""COMPUTED_VALUE"""),44611)</f>
        <v>44611</v>
      </c>
      <c r="C3330" s="22">
        <f ca="1">IFERROR(__xludf.DUMMYFUNCTION("""COMPUTED_VALUE"""),105519.279)</f>
        <v>105519.27899999999</v>
      </c>
      <c r="D3330" s="22">
        <f ca="1">IFERROR(__xludf.DUMMYFUNCTION("""COMPUTED_VALUE"""),393540.721)</f>
        <v>393540.72100000002</v>
      </c>
      <c r="E3330" s="22">
        <f ca="1">IFERROR(__xludf.DUMMYFUNCTION("""COMPUTED_VALUE"""),499060)</f>
        <v>499060</v>
      </c>
      <c r="F3330" s="22">
        <f ca="1">IFERROR(__xludf.DUMMYFUNCTION("""COMPUTED_VALUE"""),105519.279)</f>
        <v>105519.27899999999</v>
      </c>
      <c r="G3330" s="22">
        <f ca="1">IFERROR(__xludf.DUMMYFUNCTION("""COMPUTED_VALUE"""),0)</f>
        <v>0</v>
      </c>
      <c r="H3330" s="7">
        <f ca="1">IFERROR(__xludf.DUMMYFUNCTION("""COMPUTED_VALUE"""),499060)</f>
        <v>499060</v>
      </c>
    </row>
    <row r="3331" spans="1:8" ht="13" x14ac:dyDescent="0.15">
      <c r="A3331" s="5" t="str">
        <f ca="1">IFERROR(__xludf.DUMMYFUNCTION("""COMPUTED_VALUE"""),"70628")</f>
        <v>70628</v>
      </c>
      <c r="B3331" s="51">
        <f ca="1">IFERROR(__xludf.DUMMYFUNCTION("""COMPUTED_VALUE"""),44612)</f>
        <v>44612</v>
      </c>
      <c r="C3331" s="22">
        <f ca="1">IFERROR(__xludf.DUMMYFUNCTION("""COMPUTED_VALUE"""),105519.279)</f>
        <v>105519.27899999999</v>
      </c>
      <c r="D3331" s="22">
        <f ca="1">IFERROR(__xludf.DUMMYFUNCTION("""COMPUTED_VALUE"""),393540.721)</f>
        <v>393540.72100000002</v>
      </c>
      <c r="E3331" s="22">
        <f ca="1">IFERROR(__xludf.DUMMYFUNCTION("""COMPUTED_VALUE"""),499060)</f>
        <v>499060</v>
      </c>
      <c r="F3331" s="22">
        <f ca="1">IFERROR(__xludf.DUMMYFUNCTION("""COMPUTED_VALUE"""),105519.279)</f>
        <v>105519.27899999999</v>
      </c>
      <c r="G3331" s="22">
        <f ca="1">IFERROR(__xludf.DUMMYFUNCTION("""COMPUTED_VALUE"""),0)</f>
        <v>0</v>
      </c>
      <c r="H3331" s="7">
        <f ca="1">IFERROR(__xludf.DUMMYFUNCTION("""COMPUTED_VALUE"""),499060)</f>
        <v>499060</v>
      </c>
    </row>
    <row r="3332" spans="1:8" ht="13" x14ac:dyDescent="0.15">
      <c r="A3332" s="5" t="str">
        <f ca="1">IFERROR(__xludf.DUMMYFUNCTION("""COMPUTED_VALUE"""),"70628")</f>
        <v>70628</v>
      </c>
      <c r="B3332" s="51">
        <f ca="1">IFERROR(__xludf.DUMMYFUNCTION("""COMPUTED_VALUE"""),44613)</f>
        <v>44613</v>
      </c>
      <c r="C3332" s="22">
        <f ca="1">IFERROR(__xludf.DUMMYFUNCTION("""COMPUTED_VALUE"""),105519.279)</f>
        <v>105519.27899999999</v>
      </c>
      <c r="D3332" s="22">
        <f ca="1">IFERROR(__xludf.DUMMYFUNCTION("""COMPUTED_VALUE"""),391100.721)</f>
        <v>391100.72100000002</v>
      </c>
      <c r="E3332" s="22">
        <f ca="1">IFERROR(__xludf.DUMMYFUNCTION("""COMPUTED_VALUE"""),496620)</f>
        <v>496620</v>
      </c>
      <c r="F3332" s="22">
        <f ca="1">IFERROR(__xludf.DUMMYFUNCTION("""COMPUTED_VALUE"""),105519.279)</f>
        <v>105519.27899999999</v>
      </c>
      <c r="G3332" s="22">
        <f ca="1">IFERROR(__xludf.DUMMYFUNCTION("""COMPUTED_VALUE"""),0)</f>
        <v>0</v>
      </c>
      <c r="H3332" s="7">
        <f ca="1">IFERROR(__xludf.DUMMYFUNCTION("""COMPUTED_VALUE"""),496614.945)</f>
        <v>496614.94500000001</v>
      </c>
    </row>
    <row r="3333" spans="1:8" ht="13" x14ac:dyDescent="0.15">
      <c r="A3333" s="5" t="str">
        <f ca="1">IFERROR(__xludf.DUMMYFUNCTION("""COMPUTED_VALUE"""),"70628")</f>
        <v>70628</v>
      </c>
      <c r="B3333" s="51">
        <f ca="1">IFERROR(__xludf.DUMMYFUNCTION("""COMPUTED_VALUE"""),44614)</f>
        <v>44614</v>
      </c>
      <c r="C3333" s="22">
        <f ca="1">IFERROR(__xludf.DUMMYFUNCTION("""COMPUTED_VALUE"""),105519.279)</f>
        <v>105519.27899999999</v>
      </c>
      <c r="D3333" s="22">
        <f ca="1">IFERROR(__xludf.DUMMYFUNCTION("""COMPUTED_VALUE"""),383340.721)</f>
        <v>383340.72100000002</v>
      </c>
      <c r="E3333" s="22">
        <f ca="1">IFERROR(__xludf.DUMMYFUNCTION("""COMPUTED_VALUE"""),488860)</f>
        <v>488860</v>
      </c>
      <c r="F3333" s="22">
        <f ca="1">IFERROR(__xludf.DUMMYFUNCTION("""COMPUTED_VALUE"""),105519.279)</f>
        <v>105519.27899999999</v>
      </c>
      <c r="G3333" s="22">
        <f ca="1">IFERROR(__xludf.DUMMYFUNCTION("""COMPUTED_VALUE"""),0)</f>
        <v>0</v>
      </c>
      <c r="H3333" s="7">
        <f ca="1">IFERROR(__xludf.DUMMYFUNCTION("""COMPUTED_VALUE"""),488842.812999999)</f>
        <v>488842.81299999898</v>
      </c>
    </row>
    <row r="3334" spans="1:8" ht="13" x14ac:dyDescent="0.15">
      <c r="A3334" s="5" t="str">
        <f ca="1">IFERROR(__xludf.DUMMYFUNCTION("""COMPUTED_VALUE"""),"70628")</f>
        <v>70628</v>
      </c>
      <c r="B3334" s="51">
        <f ca="1">IFERROR(__xludf.DUMMYFUNCTION("""COMPUTED_VALUE"""),44615)</f>
        <v>44615</v>
      </c>
      <c r="C3334" s="22">
        <f ca="1">IFERROR(__xludf.DUMMYFUNCTION("""COMPUTED_VALUE"""),105519.279)</f>
        <v>105519.27899999999</v>
      </c>
      <c r="D3334" s="22">
        <f ca="1">IFERROR(__xludf.DUMMYFUNCTION("""COMPUTED_VALUE"""),386600.721)</f>
        <v>386600.72100000002</v>
      </c>
      <c r="E3334" s="22">
        <f ca="1">IFERROR(__xludf.DUMMYFUNCTION("""COMPUTED_VALUE"""),492120)</f>
        <v>492120</v>
      </c>
      <c r="F3334" s="22">
        <f ca="1">IFERROR(__xludf.DUMMYFUNCTION("""COMPUTED_VALUE"""),105519.279)</f>
        <v>105519.27899999999</v>
      </c>
      <c r="G3334" s="22">
        <f ca="1">IFERROR(__xludf.DUMMYFUNCTION("""COMPUTED_VALUE"""),0)</f>
        <v>0</v>
      </c>
      <c r="H3334" s="7">
        <f ca="1">IFERROR(__xludf.DUMMYFUNCTION("""COMPUTED_VALUE"""),492107.530999999)</f>
        <v>492107.53099999903</v>
      </c>
    </row>
    <row r="3335" spans="1:8" ht="13" x14ac:dyDescent="0.15">
      <c r="A3335" s="5" t="str">
        <f ca="1">IFERROR(__xludf.DUMMYFUNCTION("""COMPUTED_VALUE"""),"70628")</f>
        <v>70628</v>
      </c>
      <c r="B3335" s="51">
        <f ca="1">IFERROR(__xludf.DUMMYFUNCTION("""COMPUTED_VALUE"""),44616)</f>
        <v>44616</v>
      </c>
      <c r="C3335" s="22">
        <f ca="1">IFERROR(__xludf.DUMMYFUNCTION("""COMPUTED_VALUE"""),105519.279)</f>
        <v>105519.27899999999</v>
      </c>
      <c r="D3335" s="22">
        <f ca="1">IFERROR(__xludf.DUMMYFUNCTION("""COMPUTED_VALUE"""),372200.721)</f>
        <v>372200.72100000002</v>
      </c>
      <c r="E3335" s="22">
        <f ca="1">IFERROR(__xludf.DUMMYFUNCTION("""COMPUTED_VALUE"""),477720)</f>
        <v>477720</v>
      </c>
      <c r="F3335" s="22">
        <f ca="1">IFERROR(__xludf.DUMMYFUNCTION("""COMPUTED_VALUE"""),105519.279)</f>
        <v>105519.27899999999</v>
      </c>
      <c r="G3335" s="22">
        <f ca="1">IFERROR(__xludf.DUMMYFUNCTION("""COMPUTED_VALUE"""),0)</f>
        <v>0</v>
      </c>
      <c r="H3335" s="7">
        <f ca="1">IFERROR(__xludf.DUMMYFUNCTION("""COMPUTED_VALUE"""),477694.725)</f>
        <v>477694.72499999998</v>
      </c>
    </row>
    <row r="3336" spans="1:8" ht="13" x14ac:dyDescent="0.15">
      <c r="A3336" s="5" t="str">
        <f ca="1">IFERROR(__xludf.DUMMYFUNCTION("""COMPUTED_VALUE"""),"70628")</f>
        <v>70628</v>
      </c>
      <c r="B3336" s="51">
        <f ca="1">IFERROR(__xludf.DUMMYFUNCTION("""COMPUTED_VALUE"""),44617)</f>
        <v>44617</v>
      </c>
      <c r="C3336" s="22">
        <f ca="1">IFERROR(__xludf.DUMMYFUNCTION("""COMPUTED_VALUE"""),105519.279)</f>
        <v>105519.27899999999</v>
      </c>
      <c r="D3336" s="22">
        <f ca="1">IFERROR(__xludf.DUMMYFUNCTION("""COMPUTED_VALUE"""),370380.721)</f>
        <v>370380.72100000002</v>
      </c>
      <c r="E3336" s="22">
        <f ca="1">IFERROR(__xludf.DUMMYFUNCTION("""COMPUTED_VALUE"""),475900)</f>
        <v>475900</v>
      </c>
      <c r="F3336" s="22">
        <f ca="1">IFERROR(__xludf.DUMMYFUNCTION("""COMPUTED_VALUE"""),105519.279)</f>
        <v>105519.27899999999</v>
      </c>
      <c r="G3336" s="22">
        <f ca="1">IFERROR(__xludf.DUMMYFUNCTION("""COMPUTED_VALUE"""),0)</f>
        <v>0</v>
      </c>
      <c r="H3336" s="7">
        <f ca="1">IFERROR(__xludf.DUMMYFUNCTION("""COMPUTED_VALUE"""),475874.725)</f>
        <v>475874.72499999998</v>
      </c>
    </row>
    <row r="3337" spans="1:8" ht="13" x14ac:dyDescent="0.15">
      <c r="A3337" s="5" t="str">
        <f ca="1">IFERROR(__xludf.DUMMYFUNCTION("""COMPUTED_VALUE"""),"70628")</f>
        <v>70628</v>
      </c>
      <c r="B3337" s="51">
        <f ca="1">IFERROR(__xludf.DUMMYFUNCTION("""COMPUTED_VALUE"""),44618)</f>
        <v>44618</v>
      </c>
      <c r="C3337" s="22">
        <f ca="1">IFERROR(__xludf.DUMMYFUNCTION("""COMPUTED_VALUE"""),105519.279)</f>
        <v>105519.27899999999</v>
      </c>
      <c r="D3337" s="22">
        <f ca="1">IFERROR(__xludf.DUMMYFUNCTION("""COMPUTED_VALUE"""),370380.721)</f>
        <v>370380.72100000002</v>
      </c>
      <c r="E3337" s="22">
        <f ca="1">IFERROR(__xludf.DUMMYFUNCTION("""COMPUTED_VALUE"""),475900)</f>
        <v>475900</v>
      </c>
      <c r="F3337" s="22">
        <f ca="1">IFERROR(__xludf.DUMMYFUNCTION("""COMPUTED_VALUE"""),105519.279)</f>
        <v>105519.27899999999</v>
      </c>
      <c r="G3337" s="22">
        <f ca="1">IFERROR(__xludf.DUMMYFUNCTION("""COMPUTED_VALUE"""),0)</f>
        <v>0</v>
      </c>
      <c r="H3337" s="7">
        <f ca="1">IFERROR(__xludf.DUMMYFUNCTION("""COMPUTED_VALUE"""),475874.725)</f>
        <v>475874.72499999998</v>
      </c>
    </row>
    <row r="3338" spans="1:8" ht="13" x14ac:dyDescent="0.15">
      <c r="A3338" s="5" t="str">
        <f ca="1">IFERROR(__xludf.DUMMYFUNCTION("""COMPUTED_VALUE"""),"70628")</f>
        <v>70628</v>
      </c>
      <c r="B3338" s="51">
        <f ca="1">IFERROR(__xludf.DUMMYFUNCTION("""COMPUTED_VALUE"""),44619)</f>
        <v>44619</v>
      </c>
      <c r="C3338" s="22">
        <f ca="1">IFERROR(__xludf.DUMMYFUNCTION("""COMPUTED_VALUE"""),105519.279)</f>
        <v>105519.27899999999</v>
      </c>
      <c r="D3338" s="22">
        <f ca="1">IFERROR(__xludf.DUMMYFUNCTION("""COMPUTED_VALUE"""),370380.721)</f>
        <v>370380.72100000002</v>
      </c>
      <c r="E3338" s="22">
        <f ca="1">IFERROR(__xludf.DUMMYFUNCTION("""COMPUTED_VALUE"""),475900)</f>
        <v>475900</v>
      </c>
      <c r="F3338" s="22">
        <f ca="1">IFERROR(__xludf.DUMMYFUNCTION("""COMPUTED_VALUE"""),105519.279)</f>
        <v>105519.27899999999</v>
      </c>
      <c r="G3338" s="22">
        <f ca="1">IFERROR(__xludf.DUMMYFUNCTION("""COMPUTED_VALUE"""),0)</f>
        <v>0</v>
      </c>
      <c r="H3338" s="7">
        <f ca="1">IFERROR(__xludf.DUMMYFUNCTION("""COMPUTED_VALUE"""),475874.725)</f>
        <v>475874.72499999998</v>
      </c>
    </row>
    <row r="3339" spans="1:8" ht="13" x14ac:dyDescent="0.15">
      <c r="A3339" s="5" t="str">
        <f ca="1">IFERROR(__xludf.DUMMYFUNCTION("""COMPUTED_VALUE"""),"70628")</f>
        <v>70628</v>
      </c>
      <c r="B3339" s="51">
        <f ca="1">IFERROR(__xludf.DUMMYFUNCTION("""COMPUTED_VALUE"""),44620)</f>
        <v>44620</v>
      </c>
      <c r="C3339" s="22">
        <f ca="1">IFERROR(__xludf.DUMMYFUNCTION("""COMPUTED_VALUE"""),105519.279)</f>
        <v>105519.27899999999</v>
      </c>
      <c r="D3339" s="22">
        <f ca="1">IFERROR(__xludf.DUMMYFUNCTION("""COMPUTED_VALUE"""),363660.721)</f>
        <v>363660.72100000002</v>
      </c>
      <c r="E3339" s="22">
        <f ca="1">IFERROR(__xludf.DUMMYFUNCTION("""COMPUTED_VALUE"""),469180)</f>
        <v>469180</v>
      </c>
      <c r="F3339" s="22">
        <f ca="1">IFERROR(__xludf.DUMMYFUNCTION("""COMPUTED_VALUE"""),105519.279)</f>
        <v>105519.27899999999</v>
      </c>
      <c r="G3339" s="22">
        <f ca="1">IFERROR(__xludf.DUMMYFUNCTION("""COMPUTED_VALUE"""),0)</f>
        <v>0</v>
      </c>
      <c r="H3339" s="7">
        <f ca="1">IFERROR(__xludf.DUMMYFUNCTION("""COMPUTED_VALUE"""),469142.256)</f>
        <v>469142.25599999999</v>
      </c>
    </row>
    <row r="3340" spans="1:8" ht="13" x14ac:dyDescent="0.15">
      <c r="A3340" s="5" t="str">
        <f ca="1">IFERROR(__xludf.DUMMYFUNCTION("""COMPUTED_VALUE"""),"70628")</f>
        <v>70628</v>
      </c>
      <c r="B3340" s="51">
        <f ca="1">IFERROR(__xludf.DUMMYFUNCTION("""COMPUTED_VALUE"""),44621)</f>
        <v>44621</v>
      </c>
      <c r="C3340" s="22">
        <f ca="1">IFERROR(__xludf.DUMMYFUNCTION("""COMPUTED_VALUE"""),105519.279)</f>
        <v>105519.27899999999</v>
      </c>
      <c r="D3340" s="22">
        <f ca="1">IFERROR(__xludf.DUMMYFUNCTION("""COMPUTED_VALUE"""),366080.721)</f>
        <v>366080.72100000002</v>
      </c>
      <c r="E3340" s="22">
        <f ca="1">IFERROR(__xludf.DUMMYFUNCTION("""COMPUTED_VALUE"""),471600)</f>
        <v>471600</v>
      </c>
      <c r="F3340" s="22">
        <f ca="1">IFERROR(__xludf.DUMMYFUNCTION("""COMPUTED_VALUE"""),105519.279)</f>
        <v>105519.27899999999</v>
      </c>
      <c r="G3340" s="22">
        <f ca="1">IFERROR(__xludf.DUMMYFUNCTION("""COMPUTED_VALUE"""),0)</f>
        <v>0</v>
      </c>
      <c r="H3340" s="7">
        <f ca="1">IFERROR(__xludf.DUMMYFUNCTION("""COMPUTED_VALUE"""),471563.604)</f>
        <v>471563.60399999999</v>
      </c>
    </row>
    <row r="3341" spans="1:8" ht="13" x14ac:dyDescent="0.15">
      <c r="A3341" s="5" t="str">
        <f ca="1">IFERROR(__xludf.DUMMYFUNCTION("""COMPUTED_VALUE"""),"70628")</f>
        <v>70628</v>
      </c>
      <c r="B3341" s="51">
        <f ca="1">IFERROR(__xludf.DUMMYFUNCTION("""COMPUTED_VALUE"""),44622)</f>
        <v>44622</v>
      </c>
      <c r="C3341" s="22">
        <f ca="1">IFERROR(__xludf.DUMMYFUNCTION("""COMPUTED_VALUE"""),105519.279)</f>
        <v>105519.27899999999</v>
      </c>
      <c r="D3341" s="22">
        <f ca="1">IFERROR(__xludf.DUMMYFUNCTION("""COMPUTED_VALUE"""),361660.721)</f>
        <v>361660.72100000002</v>
      </c>
      <c r="E3341" s="22">
        <f ca="1">IFERROR(__xludf.DUMMYFUNCTION("""COMPUTED_VALUE"""),467180)</f>
        <v>467180</v>
      </c>
      <c r="F3341" s="22">
        <f ca="1">IFERROR(__xludf.DUMMYFUNCTION("""COMPUTED_VALUE"""),105519.279)</f>
        <v>105519.27899999999</v>
      </c>
      <c r="G3341" s="22">
        <f ca="1">IFERROR(__xludf.DUMMYFUNCTION("""COMPUTED_VALUE"""),0)</f>
        <v>0</v>
      </c>
      <c r="H3341" s="7">
        <f ca="1">IFERROR(__xludf.DUMMYFUNCTION("""COMPUTED_VALUE"""),467138.886)</f>
        <v>467138.886</v>
      </c>
    </row>
    <row r="3342" spans="1:8" ht="13" x14ac:dyDescent="0.15">
      <c r="A3342" s="5" t="str">
        <f ca="1">IFERROR(__xludf.DUMMYFUNCTION("""COMPUTED_VALUE"""),"70628")</f>
        <v>70628</v>
      </c>
      <c r="B3342" s="51">
        <f ca="1">IFERROR(__xludf.DUMMYFUNCTION("""COMPUTED_VALUE"""),44623)</f>
        <v>44623</v>
      </c>
      <c r="C3342" s="22">
        <f ca="1">IFERROR(__xludf.DUMMYFUNCTION("""COMPUTED_VALUE"""),105519.279)</f>
        <v>105519.27899999999</v>
      </c>
      <c r="D3342" s="22">
        <f ca="1">IFERROR(__xludf.DUMMYFUNCTION("""COMPUTED_VALUE"""),354760.721)</f>
        <v>354760.72100000002</v>
      </c>
      <c r="E3342" s="22">
        <f ca="1">IFERROR(__xludf.DUMMYFUNCTION("""COMPUTED_VALUE"""),460280)</f>
        <v>460280</v>
      </c>
      <c r="F3342" s="22">
        <f ca="1">IFERROR(__xludf.DUMMYFUNCTION("""COMPUTED_VALUE"""),105519.279)</f>
        <v>105519.27899999999</v>
      </c>
      <c r="G3342" s="22">
        <f ca="1">IFERROR(__xludf.DUMMYFUNCTION("""COMPUTED_VALUE"""),0)</f>
        <v>0</v>
      </c>
      <c r="H3342" s="7">
        <f ca="1">IFERROR(__xludf.DUMMYFUNCTION("""COMPUTED_VALUE"""),460225.068999999)</f>
        <v>460225.06899999903</v>
      </c>
    </row>
    <row r="3343" spans="1:8" ht="13" x14ac:dyDescent="0.15">
      <c r="A3343" s="5" t="str">
        <f ca="1">IFERROR(__xludf.DUMMYFUNCTION("""COMPUTED_VALUE"""),"70628")</f>
        <v>70628</v>
      </c>
      <c r="B3343" s="51">
        <f ca="1">IFERROR(__xludf.DUMMYFUNCTION("""COMPUTED_VALUE"""),44624)</f>
        <v>44624</v>
      </c>
      <c r="C3343" s="22">
        <f ca="1">IFERROR(__xludf.DUMMYFUNCTION("""COMPUTED_VALUE"""),105519.279)</f>
        <v>105519.27899999999</v>
      </c>
      <c r="D3343" s="22">
        <f ca="1">IFERROR(__xludf.DUMMYFUNCTION("""COMPUTED_VALUE"""),344560.721)</f>
        <v>344560.72100000002</v>
      </c>
      <c r="E3343" s="22">
        <f ca="1">IFERROR(__xludf.DUMMYFUNCTION("""COMPUTED_VALUE"""),450080)</f>
        <v>450080</v>
      </c>
      <c r="F3343" s="22">
        <f ca="1">IFERROR(__xludf.DUMMYFUNCTION("""COMPUTED_VALUE"""),105519.279)</f>
        <v>105519.27899999999</v>
      </c>
      <c r="G3343" s="22">
        <f ca="1">IFERROR(__xludf.DUMMYFUNCTION("""COMPUTED_VALUE"""),0)</f>
        <v>0</v>
      </c>
      <c r="H3343" s="7">
        <f ca="1">IFERROR(__xludf.DUMMYFUNCTION("""COMPUTED_VALUE"""),450020.350999999)</f>
        <v>450020.35099999898</v>
      </c>
    </row>
    <row r="3344" spans="1:8" ht="13" x14ac:dyDescent="0.15">
      <c r="A3344" s="5" t="str">
        <f ca="1">IFERROR(__xludf.DUMMYFUNCTION("""COMPUTED_VALUE"""),"70628")</f>
        <v>70628</v>
      </c>
      <c r="B3344" s="51">
        <f ca="1">IFERROR(__xludf.DUMMYFUNCTION("""COMPUTED_VALUE"""),44625)</f>
        <v>44625</v>
      </c>
      <c r="C3344" s="22">
        <f ca="1">IFERROR(__xludf.DUMMYFUNCTION("""COMPUTED_VALUE"""),105519.279)</f>
        <v>105519.27899999999</v>
      </c>
      <c r="D3344" s="22">
        <f ca="1">IFERROR(__xludf.DUMMYFUNCTION("""COMPUTED_VALUE"""),344560.721)</f>
        <v>344560.72100000002</v>
      </c>
      <c r="E3344" s="22">
        <f ca="1">IFERROR(__xludf.DUMMYFUNCTION("""COMPUTED_VALUE"""),450080)</f>
        <v>450080</v>
      </c>
      <c r="F3344" s="22">
        <f ca="1">IFERROR(__xludf.DUMMYFUNCTION("""COMPUTED_VALUE"""),105519.279)</f>
        <v>105519.27899999999</v>
      </c>
      <c r="G3344" s="22">
        <f ca="1">IFERROR(__xludf.DUMMYFUNCTION("""COMPUTED_VALUE"""),0)</f>
        <v>0</v>
      </c>
      <c r="H3344" s="7">
        <f ca="1">IFERROR(__xludf.DUMMYFUNCTION("""COMPUTED_VALUE"""),450020.350999999)</f>
        <v>450020.35099999898</v>
      </c>
    </row>
    <row r="3345" spans="1:8" ht="13" x14ac:dyDescent="0.15">
      <c r="A3345" s="5" t="str">
        <f ca="1">IFERROR(__xludf.DUMMYFUNCTION("""COMPUTED_VALUE"""),"70628")</f>
        <v>70628</v>
      </c>
      <c r="B3345" s="51">
        <f ca="1">IFERROR(__xludf.DUMMYFUNCTION("""COMPUTED_VALUE"""),44626)</f>
        <v>44626</v>
      </c>
      <c r="C3345" s="22">
        <f ca="1">IFERROR(__xludf.DUMMYFUNCTION("""COMPUTED_VALUE"""),105519.279)</f>
        <v>105519.27899999999</v>
      </c>
      <c r="D3345" s="22">
        <f ca="1">IFERROR(__xludf.DUMMYFUNCTION("""COMPUTED_VALUE"""),344560.721)</f>
        <v>344560.72100000002</v>
      </c>
      <c r="E3345" s="22">
        <f ca="1">IFERROR(__xludf.DUMMYFUNCTION("""COMPUTED_VALUE"""),450080)</f>
        <v>450080</v>
      </c>
      <c r="F3345" s="22">
        <f ca="1">IFERROR(__xludf.DUMMYFUNCTION("""COMPUTED_VALUE"""),105519.279)</f>
        <v>105519.27899999999</v>
      </c>
      <c r="G3345" s="22">
        <f ca="1">IFERROR(__xludf.DUMMYFUNCTION("""COMPUTED_VALUE"""),0)</f>
        <v>0</v>
      </c>
      <c r="H3345" s="7">
        <f ca="1">IFERROR(__xludf.DUMMYFUNCTION("""COMPUTED_VALUE"""),450020.350999999)</f>
        <v>450020.35099999898</v>
      </c>
    </row>
    <row r="3346" spans="1:8" ht="13" x14ac:dyDescent="0.15">
      <c r="A3346" s="5" t="str">
        <f ca="1">IFERROR(__xludf.DUMMYFUNCTION("""COMPUTED_VALUE"""),"70628")</f>
        <v>70628</v>
      </c>
      <c r="B3346" s="51">
        <f ca="1">IFERROR(__xludf.DUMMYFUNCTION("""COMPUTED_VALUE"""),44627)</f>
        <v>44627</v>
      </c>
      <c r="C3346" s="22">
        <f ca="1">IFERROR(__xludf.DUMMYFUNCTION("""COMPUTED_VALUE"""),105519.279)</f>
        <v>105519.27899999999</v>
      </c>
      <c r="D3346" s="22">
        <f ca="1">IFERROR(__xludf.DUMMYFUNCTION("""COMPUTED_VALUE"""),332520.721)</f>
        <v>332520.72100000002</v>
      </c>
      <c r="E3346" s="22">
        <f ca="1">IFERROR(__xludf.DUMMYFUNCTION("""COMPUTED_VALUE"""),438040)</f>
        <v>438040</v>
      </c>
      <c r="F3346" s="22">
        <f ca="1">IFERROR(__xludf.DUMMYFUNCTION("""COMPUTED_VALUE"""),105519.279)</f>
        <v>105519.27899999999</v>
      </c>
      <c r="G3346" s="22">
        <f ca="1">IFERROR(__xludf.DUMMYFUNCTION("""COMPUTED_VALUE"""),0)</f>
        <v>0</v>
      </c>
      <c r="H3346" s="7">
        <f ca="1">IFERROR(__xludf.DUMMYFUNCTION("""COMPUTED_VALUE"""),437963.164)</f>
        <v>437963.16399999999</v>
      </c>
    </row>
    <row r="3347" spans="1:8" ht="13" x14ac:dyDescent="0.15">
      <c r="A3347" s="5" t="str">
        <f ca="1">IFERROR(__xludf.DUMMYFUNCTION("""COMPUTED_VALUE"""),"70628")</f>
        <v>70628</v>
      </c>
      <c r="B3347" s="51">
        <f ca="1">IFERROR(__xludf.DUMMYFUNCTION("""COMPUTED_VALUE"""),44628)</f>
        <v>44628</v>
      </c>
      <c r="C3347" s="22">
        <f ca="1">IFERROR(__xludf.DUMMYFUNCTION("""COMPUTED_VALUE"""),105519.279)</f>
        <v>105519.27899999999</v>
      </c>
      <c r="D3347" s="22">
        <f ca="1">IFERROR(__xludf.DUMMYFUNCTION("""COMPUTED_VALUE"""),323380.721)</f>
        <v>323380.72100000002</v>
      </c>
      <c r="E3347" s="22">
        <f ca="1">IFERROR(__xludf.DUMMYFUNCTION("""COMPUTED_VALUE"""),428900)</f>
        <v>428900</v>
      </c>
      <c r="F3347" s="22">
        <f ca="1">IFERROR(__xludf.DUMMYFUNCTION("""COMPUTED_VALUE"""),105519.279)</f>
        <v>105519.27899999999</v>
      </c>
      <c r="G3347" s="22">
        <f ca="1">IFERROR(__xludf.DUMMYFUNCTION("""COMPUTED_VALUE"""),0)</f>
        <v>0</v>
      </c>
      <c r="H3347" s="7">
        <f ca="1">IFERROR(__xludf.DUMMYFUNCTION("""COMPUTED_VALUE"""),428807.998999999)</f>
        <v>428807.99899999902</v>
      </c>
    </row>
    <row r="3348" spans="1:8" ht="13" x14ac:dyDescent="0.15">
      <c r="A3348" s="5" t="str">
        <f ca="1">IFERROR(__xludf.DUMMYFUNCTION("""COMPUTED_VALUE"""),"70628")</f>
        <v>70628</v>
      </c>
      <c r="B3348" s="51">
        <f ca="1">IFERROR(__xludf.DUMMYFUNCTION("""COMPUTED_VALUE"""),44629)</f>
        <v>44629</v>
      </c>
      <c r="C3348" s="22">
        <f ca="1">IFERROR(__xludf.DUMMYFUNCTION("""COMPUTED_VALUE"""),105519.279)</f>
        <v>105519.27899999999</v>
      </c>
      <c r="D3348" s="22">
        <f ca="1">IFERROR(__xludf.DUMMYFUNCTION("""COMPUTED_VALUE"""),327820.721)</f>
        <v>327820.72100000002</v>
      </c>
      <c r="E3348" s="22">
        <f ca="1">IFERROR(__xludf.DUMMYFUNCTION("""COMPUTED_VALUE"""),433340)</f>
        <v>433340</v>
      </c>
      <c r="F3348" s="22">
        <f ca="1">IFERROR(__xludf.DUMMYFUNCTION("""COMPUTED_VALUE"""),105519.279)</f>
        <v>105519.27899999999</v>
      </c>
      <c r="G3348" s="22">
        <f ca="1">IFERROR(__xludf.DUMMYFUNCTION("""COMPUTED_VALUE"""),0)</f>
        <v>0</v>
      </c>
      <c r="H3348" s="7">
        <f ca="1">IFERROR(__xludf.DUMMYFUNCTION("""COMPUTED_VALUE"""),433257.098)</f>
        <v>433257.098</v>
      </c>
    </row>
    <row r="3349" spans="1:8" ht="13" x14ac:dyDescent="0.15">
      <c r="A3349" s="5" t="str">
        <f ca="1">IFERROR(__xludf.DUMMYFUNCTION("""COMPUTED_VALUE"""),"70628")</f>
        <v>70628</v>
      </c>
      <c r="B3349" s="51">
        <f ca="1">IFERROR(__xludf.DUMMYFUNCTION("""COMPUTED_VALUE"""),44630)</f>
        <v>44630</v>
      </c>
      <c r="C3349" s="22">
        <f ca="1">IFERROR(__xludf.DUMMYFUNCTION("""COMPUTED_VALUE"""),105519.279)</f>
        <v>105519.27899999999</v>
      </c>
      <c r="D3349" s="22">
        <f ca="1">IFERROR(__xludf.DUMMYFUNCTION("""COMPUTED_VALUE"""),333860.721)</f>
        <v>333860.72100000002</v>
      </c>
      <c r="E3349" s="22">
        <f ca="1">IFERROR(__xludf.DUMMYFUNCTION("""COMPUTED_VALUE"""),439380)</f>
        <v>439380</v>
      </c>
      <c r="F3349" s="22">
        <f ca="1">IFERROR(__xludf.DUMMYFUNCTION("""COMPUTED_VALUE"""),105519.279)</f>
        <v>105519.27899999999</v>
      </c>
      <c r="G3349" s="22">
        <f ca="1">IFERROR(__xludf.DUMMYFUNCTION("""COMPUTED_VALUE"""),0)</f>
        <v>0</v>
      </c>
      <c r="H3349" s="7">
        <f ca="1">IFERROR(__xludf.DUMMYFUNCTION("""COMPUTED_VALUE"""),439299.794)</f>
        <v>439299.79399999999</v>
      </c>
    </row>
    <row r="3350" spans="1:8" ht="13" x14ac:dyDescent="0.15">
      <c r="A3350" s="5" t="str">
        <f ca="1">IFERROR(__xludf.DUMMYFUNCTION("""COMPUTED_VALUE"""),"70628")</f>
        <v>70628</v>
      </c>
      <c r="B3350" s="51">
        <f ca="1">IFERROR(__xludf.DUMMYFUNCTION("""COMPUTED_VALUE"""),44631)</f>
        <v>44631</v>
      </c>
      <c r="C3350" s="22">
        <f ca="1">IFERROR(__xludf.DUMMYFUNCTION("""COMPUTED_VALUE"""),105519.279)</f>
        <v>105519.27899999999</v>
      </c>
      <c r="D3350" s="22">
        <f ca="1">IFERROR(__xludf.DUMMYFUNCTION("""COMPUTED_VALUE"""),334740.721)</f>
        <v>334740.72100000002</v>
      </c>
      <c r="E3350" s="22">
        <f ca="1">IFERROR(__xludf.DUMMYFUNCTION("""COMPUTED_VALUE"""),440260)</f>
        <v>440260</v>
      </c>
      <c r="F3350" s="22">
        <f ca="1">IFERROR(__xludf.DUMMYFUNCTION("""COMPUTED_VALUE"""),105519.279)</f>
        <v>105519.27899999999</v>
      </c>
      <c r="G3350" s="22">
        <f ca="1">IFERROR(__xludf.DUMMYFUNCTION("""COMPUTED_VALUE"""),0)</f>
        <v>0</v>
      </c>
      <c r="H3350" s="7">
        <f ca="1">IFERROR(__xludf.DUMMYFUNCTION("""COMPUTED_VALUE"""),440172.043)</f>
        <v>440172.04300000001</v>
      </c>
    </row>
    <row r="3351" spans="1:8" ht="13" x14ac:dyDescent="0.15">
      <c r="A3351" s="5" t="str">
        <f ca="1">IFERROR(__xludf.DUMMYFUNCTION("""COMPUTED_VALUE"""),"70628")</f>
        <v>70628</v>
      </c>
      <c r="B3351" s="51">
        <f ca="1">IFERROR(__xludf.DUMMYFUNCTION("""COMPUTED_VALUE"""),44632)</f>
        <v>44632</v>
      </c>
      <c r="C3351" s="22">
        <f ca="1">IFERROR(__xludf.DUMMYFUNCTION("""COMPUTED_VALUE"""),105519.279)</f>
        <v>105519.27899999999</v>
      </c>
      <c r="D3351" s="22">
        <f ca="1">IFERROR(__xludf.DUMMYFUNCTION("""COMPUTED_VALUE"""),334740.721)</f>
        <v>334740.72100000002</v>
      </c>
      <c r="E3351" s="22">
        <f ca="1">IFERROR(__xludf.DUMMYFUNCTION("""COMPUTED_VALUE"""),440260)</f>
        <v>440260</v>
      </c>
      <c r="F3351" s="22">
        <f ca="1">IFERROR(__xludf.DUMMYFUNCTION("""COMPUTED_VALUE"""),105519.279)</f>
        <v>105519.27899999999</v>
      </c>
      <c r="G3351" s="22">
        <f ca="1">IFERROR(__xludf.DUMMYFUNCTION("""COMPUTED_VALUE"""),0)</f>
        <v>0</v>
      </c>
      <c r="H3351" s="7">
        <f ca="1">IFERROR(__xludf.DUMMYFUNCTION("""COMPUTED_VALUE"""),440172.043)</f>
        <v>440172.04300000001</v>
      </c>
    </row>
    <row r="3352" spans="1:8" ht="13" x14ac:dyDescent="0.15">
      <c r="A3352" s="5" t="str">
        <f ca="1">IFERROR(__xludf.DUMMYFUNCTION("""COMPUTED_VALUE"""),"70628")</f>
        <v>70628</v>
      </c>
      <c r="B3352" s="51">
        <f ca="1">IFERROR(__xludf.DUMMYFUNCTION("""COMPUTED_VALUE"""),44633)</f>
        <v>44633</v>
      </c>
      <c r="C3352" s="22">
        <f ca="1">IFERROR(__xludf.DUMMYFUNCTION("""COMPUTED_VALUE"""),105519.279)</f>
        <v>105519.27899999999</v>
      </c>
      <c r="D3352" s="22">
        <f ca="1">IFERROR(__xludf.DUMMYFUNCTION("""COMPUTED_VALUE"""),334740.721)</f>
        <v>334740.72100000002</v>
      </c>
      <c r="E3352" s="22">
        <f ca="1">IFERROR(__xludf.DUMMYFUNCTION("""COMPUTED_VALUE"""),440260)</f>
        <v>440260</v>
      </c>
      <c r="F3352" s="22">
        <f ca="1">IFERROR(__xludf.DUMMYFUNCTION("""COMPUTED_VALUE"""),105519.279)</f>
        <v>105519.27899999999</v>
      </c>
      <c r="G3352" s="22">
        <f ca="1">IFERROR(__xludf.DUMMYFUNCTION("""COMPUTED_VALUE"""),0)</f>
        <v>0</v>
      </c>
      <c r="H3352" s="7">
        <f ca="1">IFERROR(__xludf.DUMMYFUNCTION("""COMPUTED_VALUE"""),440172.043)</f>
        <v>440172.04300000001</v>
      </c>
    </row>
    <row r="3353" spans="1:8" ht="13" x14ac:dyDescent="0.15">
      <c r="A3353" s="5" t="str">
        <f ca="1">IFERROR(__xludf.DUMMYFUNCTION("""COMPUTED_VALUE"""),"70628")</f>
        <v>70628</v>
      </c>
      <c r="B3353" s="51">
        <f ca="1">IFERROR(__xludf.DUMMYFUNCTION("""COMPUTED_VALUE"""),44634)</f>
        <v>44634</v>
      </c>
      <c r="C3353" s="22">
        <f ca="1">IFERROR(__xludf.DUMMYFUNCTION("""COMPUTED_VALUE"""),105519.279)</f>
        <v>105519.27899999999</v>
      </c>
      <c r="D3353" s="22">
        <f ca="1">IFERROR(__xludf.DUMMYFUNCTION("""COMPUTED_VALUE"""),323960.721)</f>
        <v>323960.72100000002</v>
      </c>
      <c r="E3353" s="22">
        <f ca="1">IFERROR(__xludf.DUMMYFUNCTION("""COMPUTED_VALUE"""),429480)</f>
        <v>429480</v>
      </c>
      <c r="F3353" s="22">
        <f ca="1">IFERROR(__xludf.DUMMYFUNCTION("""COMPUTED_VALUE"""),105519.279)</f>
        <v>105519.27899999999</v>
      </c>
      <c r="G3353" s="22">
        <f ca="1">IFERROR(__xludf.DUMMYFUNCTION("""COMPUTED_VALUE"""),0)</f>
        <v>0</v>
      </c>
      <c r="H3353" s="7">
        <f ca="1">IFERROR(__xludf.DUMMYFUNCTION("""COMPUTED_VALUE"""),429377.214999999)</f>
        <v>429377.21499999898</v>
      </c>
    </row>
    <row r="3354" spans="1:8" ht="13" x14ac:dyDescent="0.15">
      <c r="A3354" s="5" t="str">
        <f ca="1">IFERROR(__xludf.DUMMYFUNCTION("""COMPUTED_VALUE"""),"70628")</f>
        <v>70628</v>
      </c>
      <c r="B3354" s="51">
        <f ca="1">IFERROR(__xludf.DUMMYFUNCTION("""COMPUTED_VALUE"""),44635)</f>
        <v>44635</v>
      </c>
      <c r="C3354" s="22">
        <f ca="1">IFERROR(__xludf.DUMMYFUNCTION("""COMPUTED_VALUE"""),105519.279)</f>
        <v>105519.27899999999</v>
      </c>
      <c r="D3354" s="22">
        <f ca="1">IFERROR(__xludf.DUMMYFUNCTION("""COMPUTED_VALUE"""),307460.721)</f>
        <v>307460.72100000002</v>
      </c>
      <c r="E3354" s="22">
        <f ca="1">IFERROR(__xludf.DUMMYFUNCTION("""COMPUTED_VALUE"""),412980)</f>
        <v>412980</v>
      </c>
      <c r="F3354" s="22">
        <f ca="1">IFERROR(__xludf.DUMMYFUNCTION("""COMPUTED_VALUE"""),105519.279)</f>
        <v>105519.27899999999</v>
      </c>
      <c r="G3354" s="22">
        <f ca="1">IFERROR(__xludf.DUMMYFUNCTION("""COMPUTED_VALUE"""),0)</f>
        <v>0</v>
      </c>
      <c r="H3354" s="7">
        <f ca="1">IFERROR(__xludf.DUMMYFUNCTION("""COMPUTED_VALUE"""),412872.834)</f>
        <v>412872.83399999997</v>
      </c>
    </row>
    <row r="3355" spans="1:8" ht="13" x14ac:dyDescent="0.15">
      <c r="A3355" s="5" t="str">
        <f ca="1">IFERROR(__xludf.DUMMYFUNCTION("""COMPUTED_VALUE"""),"70628")</f>
        <v>70628</v>
      </c>
      <c r="B3355" s="51">
        <f ca="1">IFERROR(__xludf.DUMMYFUNCTION("""COMPUTED_VALUE"""),44636)</f>
        <v>44636</v>
      </c>
      <c r="C3355" s="22">
        <f ca="1">IFERROR(__xludf.DUMMYFUNCTION("""COMPUTED_VALUE"""),105519.279)</f>
        <v>105519.27899999999</v>
      </c>
      <c r="D3355" s="22">
        <f ca="1">IFERROR(__xludf.DUMMYFUNCTION("""COMPUTED_VALUE"""),334720.721)</f>
        <v>334720.72100000002</v>
      </c>
      <c r="E3355" s="22">
        <f ca="1">IFERROR(__xludf.DUMMYFUNCTION("""COMPUTED_VALUE"""),440240)</f>
        <v>440240</v>
      </c>
      <c r="F3355" s="22">
        <f ca="1">IFERROR(__xludf.DUMMYFUNCTION("""COMPUTED_VALUE"""),105519.279)</f>
        <v>105519.27899999999</v>
      </c>
      <c r="G3355" s="22">
        <f ca="1">IFERROR(__xludf.DUMMYFUNCTION("""COMPUTED_VALUE"""),0)</f>
        <v>0</v>
      </c>
      <c r="H3355" s="7">
        <f ca="1">IFERROR(__xludf.DUMMYFUNCTION("""COMPUTED_VALUE"""),440155.413)</f>
        <v>440155.413</v>
      </c>
    </row>
    <row r="3356" spans="1:8" ht="13" x14ac:dyDescent="0.15">
      <c r="A3356" s="5" t="str">
        <f ca="1">IFERROR(__xludf.DUMMYFUNCTION("""COMPUTED_VALUE"""),"70628")</f>
        <v>70628</v>
      </c>
      <c r="B3356" s="51">
        <f ca="1">IFERROR(__xludf.DUMMYFUNCTION("""COMPUTED_VALUE"""),44637)</f>
        <v>44637</v>
      </c>
      <c r="C3356" s="22">
        <f ca="1">IFERROR(__xludf.DUMMYFUNCTION("""COMPUTED_VALUE"""),105519.279)</f>
        <v>105519.27899999999</v>
      </c>
      <c r="D3356" s="22">
        <f ca="1">IFERROR(__xludf.DUMMYFUNCTION("""COMPUTED_VALUE"""),349420.721)</f>
        <v>349420.72100000002</v>
      </c>
      <c r="E3356" s="22">
        <f ca="1">IFERROR(__xludf.DUMMYFUNCTION("""COMPUTED_VALUE"""),454940)</f>
        <v>454940</v>
      </c>
      <c r="F3356" s="22">
        <f ca="1">IFERROR(__xludf.DUMMYFUNCTION("""COMPUTED_VALUE"""),105519.279)</f>
        <v>105519.27899999999</v>
      </c>
      <c r="G3356" s="22">
        <f ca="1">IFERROR(__xludf.DUMMYFUNCTION("""COMPUTED_VALUE"""),0)</f>
        <v>0</v>
      </c>
      <c r="H3356" s="7">
        <f ca="1">IFERROR(__xludf.DUMMYFUNCTION("""COMPUTED_VALUE"""),454854.739)</f>
        <v>454854.739</v>
      </c>
    </row>
    <row r="3357" spans="1:8" ht="13" x14ac:dyDescent="0.15">
      <c r="A3357" s="5" t="str">
        <f ca="1">IFERROR(__xludf.DUMMYFUNCTION("""COMPUTED_VALUE"""),"70628")</f>
        <v>70628</v>
      </c>
      <c r="B3357" s="51">
        <f ca="1">IFERROR(__xludf.DUMMYFUNCTION("""COMPUTED_VALUE"""),44638)</f>
        <v>44638</v>
      </c>
      <c r="C3357" s="22">
        <f ca="1">IFERROR(__xludf.DUMMYFUNCTION("""COMPUTED_VALUE"""),105519.279)</f>
        <v>105519.27899999999</v>
      </c>
      <c r="D3357" s="22">
        <f ca="1">IFERROR(__xludf.DUMMYFUNCTION("""COMPUTED_VALUE"""),340280.721)</f>
        <v>340280.72100000002</v>
      </c>
      <c r="E3357" s="22">
        <f ca="1">IFERROR(__xludf.DUMMYFUNCTION("""COMPUTED_VALUE"""),445800)</f>
        <v>445800</v>
      </c>
      <c r="F3357" s="22">
        <f ca="1">IFERROR(__xludf.DUMMYFUNCTION("""COMPUTED_VALUE"""),105519.279)</f>
        <v>105519.27899999999</v>
      </c>
      <c r="G3357" s="22">
        <f ca="1">IFERROR(__xludf.DUMMYFUNCTION("""COMPUTED_VALUE"""),0)</f>
        <v>0</v>
      </c>
      <c r="H3357" s="7">
        <f ca="1">IFERROR(__xludf.DUMMYFUNCTION("""COMPUTED_VALUE"""),445720.468)</f>
        <v>445720.46799999999</v>
      </c>
    </row>
    <row r="3358" spans="1:8" ht="13" x14ac:dyDescent="0.15">
      <c r="A3358" s="5" t="str">
        <f ca="1">IFERROR(__xludf.DUMMYFUNCTION("""COMPUTED_VALUE"""),"70628")</f>
        <v>70628</v>
      </c>
      <c r="B3358" s="51">
        <f ca="1">IFERROR(__xludf.DUMMYFUNCTION("""COMPUTED_VALUE"""),44639)</f>
        <v>44639</v>
      </c>
      <c r="C3358" s="22">
        <f ca="1">IFERROR(__xludf.DUMMYFUNCTION("""COMPUTED_VALUE"""),105519.279)</f>
        <v>105519.27899999999</v>
      </c>
      <c r="D3358" s="22">
        <f ca="1">IFERROR(__xludf.DUMMYFUNCTION("""COMPUTED_VALUE"""),340280.721)</f>
        <v>340280.72100000002</v>
      </c>
      <c r="E3358" s="22">
        <f ca="1">IFERROR(__xludf.DUMMYFUNCTION("""COMPUTED_VALUE"""),445800)</f>
        <v>445800</v>
      </c>
      <c r="F3358" s="22">
        <f ca="1">IFERROR(__xludf.DUMMYFUNCTION("""COMPUTED_VALUE"""),105519.279)</f>
        <v>105519.27899999999</v>
      </c>
      <c r="G3358" s="22">
        <f ca="1">IFERROR(__xludf.DUMMYFUNCTION("""COMPUTED_VALUE"""),0)</f>
        <v>0</v>
      </c>
      <c r="H3358" s="7">
        <f ca="1">IFERROR(__xludf.DUMMYFUNCTION("""COMPUTED_VALUE"""),445720.468)</f>
        <v>445720.46799999999</v>
      </c>
    </row>
    <row r="3359" spans="1:8" ht="13" x14ac:dyDescent="0.15">
      <c r="A3359" s="5" t="str">
        <f ca="1">IFERROR(__xludf.DUMMYFUNCTION("""COMPUTED_VALUE"""),"70628")</f>
        <v>70628</v>
      </c>
      <c r="B3359" s="51">
        <f ca="1">IFERROR(__xludf.DUMMYFUNCTION("""COMPUTED_VALUE"""),44640)</f>
        <v>44640</v>
      </c>
      <c r="C3359" s="22">
        <f ca="1">IFERROR(__xludf.DUMMYFUNCTION("""COMPUTED_VALUE"""),105519.279)</f>
        <v>105519.27899999999</v>
      </c>
      <c r="D3359" s="22">
        <f ca="1">IFERROR(__xludf.DUMMYFUNCTION("""COMPUTED_VALUE"""),340280.721)</f>
        <v>340280.72100000002</v>
      </c>
      <c r="E3359" s="22">
        <f ca="1">IFERROR(__xludf.DUMMYFUNCTION("""COMPUTED_VALUE"""),445800)</f>
        <v>445800</v>
      </c>
      <c r="F3359" s="22">
        <f ca="1">IFERROR(__xludf.DUMMYFUNCTION("""COMPUTED_VALUE"""),105519.279)</f>
        <v>105519.27899999999</v>
      </c>
      <c r="G3359" s="22">
        <f ca="1">IFERROR(__xludf.DUMMYFUNCTION("""COMPUTED_VALUE"""),0)</f>
        <v>0</v>
      </c>
      <c r="H3359" s="7">
        <f ca="1">IFERROR(__xludf.DUMMYFUNCTION("""COMPUTED_VALUE"""),445720.468)</f>
        <v>445720.46799999999</v>
      </c>
    </row>
    <row r="3360" spans="1:8" ht="13" x14ac:dyDescent="0.15">
      <c r="A3360" s="5" t="str">
        <f ca="1">IFERROR(__xludf.DUMMYFUNCTION("""COMPUTED_VALUE"""),"70628")</f>
        <v>70628</v>
      </c>
      <c r="B3360" s="51">
        <f ca="1">IFERROR(__xludf.DUMMYFUNCTION("""COMPUTED_VALUE"""),44641)</f>
        <v>44641</v>
      </c>
      <c r="C3360" s="22">
        <f ca="1">IFERROR(__xludf.DUMMYFUNCTION("""COMPUTED_VALUE"""),105519.279)</f>
        <v>105519.27899999999</v>
      </c>
      <c r="D3360" s="22">
        <f ca="1">IFERROR(__xludf.DUMMYFUNCTION("""COMPUTED_VALUE"""),338460.721)</f>
        <v>338460.72100000002</v>
      </c>
      <c r="E3360" s="22">
        <f ca="1">IFERROR(__xludf.DUMMYFUNCTION("""COMPUTED_VALUE"""),443980)</f>
        <v>443980</v>
      </c>
      <c r="F3360" s="22">
        <f ca="1">IFERROR(__xludf.DUMMYFUNCTION("""COMPUTED_VALUE"""),105519.279)</f>
        <v>105519.27899999999</v>
      </c>
      <c r="G3360" s="22">
        <f ca="1">IFERROR(__xludf.DUMMYFUNCTION("""COMPUTED_VALUE"""),0)</f>
        <v>0</v>
      </c>
      <c r="H3360" s="7">
        <f ca="1">IFERROR(__xludf.DUMMYFUNCTION("""COMPUTED_VALUE"""),443891.706)</f>
        <v>443891.70600000001</v>
      </c>
    </row>
    <row r="3361" spans="1:8" ht="13" x14ac:dyDescent="0.15">
      <c r="A3361" s="5" t="str">
        <f ca="1">IFERROR(__xludf.DUMMYFUNCTION("""COMPUTED_VALUE"""),"70628")</f>
        <v>70628</v>
      </c>
      <c r="B3361" s="51">
        <f ca="1">IFERROR(__xludf.DUMMYFUNCTION("""COMPUTED_VALUE"""),44642)</f>
        <v>44642</v>
      </c>
      <c r="C3361" s="22">
        <f ca="1">IFERROR(__xludf.DUMMYFUNCTION("""COMPUTED_VALUE"""),105519.279)</f>
        <v>105519.27899999999</v>
      </c>
      <c r="D3361" s="22">
        <f ca="1">IFERROR(__xludf.DUMMYFUNCTION("""COMPUTED_VALUE"""),348320.721)</f>
        <v>348320.72100000002</v>
      </c>
      <c r="E3361" s="22">
        <f ca="1">IFERROR(__xludf.DUMMYFUNCTION("""COMPUTED_VALUE"""),453840)</f>
        <v>453840</v>
      </c>
      <c r="F3361" s="22">
        <f ca="1">IFERROR(__xludf.DUMMYFUNCTION("""COMPUTED_VALUE"""),105519.279)</f>
        <v>105519.27899999999</v>
      </c>
      <c r="G3361" s="22">
        <f ca="1">IFERROR(__xludf.DUMMYFUNCTION("""COMPUTED_VALUE"""),0)</f>
        <v>0</v>
      </c>
      <c r="H3361" s="7">
        <f ca="1">IFERROR(__xludf.DUMMYFUNCTION("""COMPUTED_VALUE"""),453757.772)</f>
        <v>453757.772</v>
      </c>
    </row>
    <row r="3362" spans="1:8" ht="13" x14ac:dyDescent="0.15">
      <c r="A3362" s="5" t="str">
        <f ca="1">IFERROR(__xludf.DUMMYFUNCTION("""COMPUTED_VALUE"""),"71502")</f>
        <v>71502</v>
      </c>
      <c r="B3362" s="51">
        <f ca="1">IFERROR(__xludf.DUMMYFUNCTION("""COMPUTED_VALUE"""),44597)</f>
        <v>44597</v>
      </c>
      <c r="C3362" s="22">
        <f ca="1">IFERROR(__xludf.DUMMYFUNCTION("""COMPUTED_VALUE"""),500000)</f>
        <v>500000</v>
      </c>
      <c r="D3362" s="22">
        <f ca="1">IFERROR(__xludf.DUMMYFUNCTION("""COMPUTED_VALUE"""),0)</f>
        <v>0</v>
      </c>
      <c r="E3362" s="22">
        <f ca="1">IFERROR(__xludf.DUMMYFUNCTION("""COMPUTED_VALUE"""),500000)</f>
        <v>500000</v>
      </c>
      <c r="F3362" s="22">
        <f ca="1">IFERROR(__xludf.DUMMYFUNCTION("""COMPUTED_VALUE"""),500000)</f>
        <v>500000</v>
      </c>
      <c r="G3362" s="22">
        <f ca="1">IFERROR(__xludf.DUMMYFUNCTION("""COMPUTED_VALUE"""),0)</f>
        <v>0</v>
      </c>
      <c r="H3362" s="7">
        <f ca="1">IFERROR(__xludf.DUMMYFUNCTION("""COMPUTED_VALUE"""),500000)</f>
        <v>500000</v>
      </c>
    </row>
    <row r="3363" spans="1:8" ht="13" x14ac:dyDescent="0.15">
      <c r="A3363" s="5" t="str">
        <f ca="1">IFERROR(__xludf.DUMMYFUNCTION("""COMPUTED_VALUE"""),"71502")</f>
        <v>71502</v>
      </c>
      <c r="B3363" s="51">
        <f ca="1">IFERROR(__xludf.DUMMYFUNCTION("""COMPUTED_VALUE"""),44598)</f>
        <v>44598</v>
      </c>
      <c r="C3363" s="22">
        <f ca="1">IFERROR(__xludf.DUMMYFUNCTION("""COMPUTED_VALUE"""),500000)</f>
        <v>500000</v>
      </c>
      <c r="D3363" s="22">
        <f ca="1">IFERROR(__xludf.DUMMYFUNCTION("""COMPUTED_VALUE"""),0)</f>
        <v>0</v>
      </c>
      <c r="E3363" s="22">
        <f ca="1">IFERROR(__xludf.DUMMYFUNCTION("""COMPUTED_VALUE"""),500000)</f>
        <v>500000</v>
      </c>
      <c r="F3363" s="22">
        <f ca="1">IFERROR(__xludf.DUMMYFUNCTION("""COMPUTED_VALUE"""),500000)</f>
        <v>500000</v>
      </c>
      <c r="G3363" s="22">
        <f ca="1">IFERROR(__xludf.DUMMYFUNCTION("""COMPUTED_VALUE"""),0)</f>
        <v>0</v>
      </c>
      <c r="H3363" s="7">
        <f ca="1">IFERROR(__xludf.DUMMYFUNCTION("""COMPUTED_VALUE"""),500000)</f>
        <v>500000</v>
      </c>
    </row>
    <row r="3364" spans="1:8" ht="13" x14ac:dyDescent="0.15">
      <c r="A3364" s="5" t="str">
        <f ca="1">IFERROR(__xludf.DUMMYFUNCTION("""COMPUTED_VALUE"""),"71502")</f>
        <v>71502</v>
      </c>
      <c r="B3364" s="51">
        <f ca="1">IFERROR(__xludf.DUMMYFUNCTION("""COMPUTED_VALUE"""),44599)</f>
        <v>44599</v>
      </c>
      <c r="C3364" s="22">
        <f ca="1">IFERROR(__xludf.DUMMYFUNCTION("""COMPUTED_VALUE"""),500000)</f>
        <v>500000</v>
      </c>
      <c r="D3364" s="22">
        <f ca="1">IFERROR(__xludf.DUMMYFUNCTION("""COMPUTED_VALUE"""),0)</f>
        <v>0</v>
      </c>
      <c r="E3364" s="22">
        <f ca="1">IFERROR(__xludf.DUMMYFUNCTION("""COMPUTED_VALUE"""),500000)</f>
        <v>500000</v>
      </c>
      <c r="F3364" s="22">
        <f ca="1">IFERROR(__xludf.DUMMYFUNCTION("""COMPUTED_VALUE"""),500000)</f>
        <v>500000</v>
      </c>
      <c r="G3364" s="22">
        <f ca="1">IFERROR(__xludf.DUMMYFUNCTION("""COMPUTED_VALUE"""),0)</f>
        <v>0</v>
      </c>
      <c r="H3364" s="7">
        <f ca="1">IFERROR(__xludf.DUMMYFUNCTION("""COMPUTED_VALUE"""),500000)</f>
        <v>500000</v>
      </c>
    </row>
    <row r="3365" spans="1:8" ht="13" x14ac:dyDescent="0.15">
      <c r="A3365" s="5" t="str">
        <f ca="1">IFERROR(__xludf.DUMMYFUNCTION("""COMPUTED_VALUE"""),"71502")</f>
        <v>71502</v>
      </c>
      <c r="B3365" s="51">
        <f ca="1">IFERROR(__xludf.DUMMYFUNCTION("""COMPUTED_VALUE"""),44600)</f>
        <v>44600</v>
      </c>
      <c r="C3365" s="22">
        <f ca="1">IFERROR(__xludf.DUMMYFUNCTION("""COMPUTED_VALUE"""),500000)</f>
        <v>500000</v>
      </c>
      <c r="D3365" s="22">
        <f ca="1">IFERROR(__xludf.DUMMYFUNCTION("""COMPUTED_VALUE"""),0)</f>
        <v>0</v>
      </c>
      <c r="E3365" s="22">
        <f ca="1">IFERROR(__xludf.DUMMYFUNCTION("""COMPUTED_VALUE"""),500000)</f>
        <v>500000</v>
      </c>
      <c r="F3365" s="22">
        <f ca="1">IFERROR(__xludf.DUMMYFUNCTION("""COMPUTED_VALUE"""),500000)</f>
        <v>500000</v>
      </c>
      <c r="G3365" s="22">
        <f ca="1">IFERROR(__xludf.DUMMYFUNCTION("""COMPUTED_VALUE"""),0)</f>
        <v>0</v>
      </c>
      <c r="H3365" s="7">
        <f ca="1">IFERROR(__xludf.DUMMYFUNCTION("""COMPUTED_VALUE"""),500000)</f>
        <v>500000</v>
      </c>
    </row>
    <row r="3366" spans="1:8" ht="13" x14ac:dyDescent="0.15">
      <c r="A3366" s="5" t="str">
        <f ca="1">IFERROR(__xludf.DUMMYFUNCTION("""COMPUTED_VALUE"""),"71502")</f>
        <v>71502</v>
      </c>
      <c r="B3366" s="51">
        <f ca="1">IFERROR(__xludf.DUMMYFUNCTION("""COMPUTED_VALUE"""),44601)</f>
        <v>44601</v>
      </c>
      <c r="C3366" s="22">
        <f ca="1">IFERROR(__xludf.DUMMYFUNCTION("""COMPUTED_VALUE"""),500000)</f>
        <v>500000</v>
      </c>
      <c r="D3366" s="22">
        <f ca="1">IFERROR(__xludf.DUMMYFUNCTION("""COMPUTED_VALUE"""),0)</f>
        <v>0</v>
      </c>
      <c r="E3366" s="22">
        <f ca="1">IFERROR(__xludf.DUMMYFUNCTION("""COMPUTED_VALUE"""),500000)</f>
        <v>500000</v>
      </c>
      <c r="F3366" s="22">
        <f ca="1">IFERROR(__xludf.DUMMYFUNCTION("""COMPUTED_VALUE"""),500000)</f>
        <v>500000</v>
      </c>
      <c r="G3366" s="22">
        <f ca="1">IFERROR(__xludf.DUMMYFUNCTION("""COMPUTED_VALUE"""),0)</f>
        <v>0</v>
      </c>
      <c r="H3366" s="7">
        <f ca="1">IFERROR(__xludf.DUMMYFUNCTION("""COMPUTED_VALUE"""),500000)</f>
        <v>500000</v>
      </c>
    </row>
    <row r="3367" spans="1:8" ht="13" x14ac:dyDescent="0.15">
      <c r="A3367" s="5" t="str">
        <f ca="1">IFERROR(__xludf.DUMMYFUNCTION("""COMPUTED_VALUE"""),"71502")</f>
        <v>71502</v>
      </c>
      <c r="B3367" s="51">
        <f ca="1">IFERROR(__xludf.DUMMYFUNCTION("""COMPUTED_VALUE"""),44602)</f>
        <v>44602</v>
      </c>
      <c r="C3367" s="22">
        <f ca="1">IFERROR(__xludf.DUMMYFUNCTION("""COMPUTED_VALUE"""),500000)</f>
        <v>500000</v>
      </c>
      <c r="D3367" s="22">
        <f ca="1">IFERROR(__xludf.DUMMYFUNCTION("""COMPUTED_VALUE"""),0)</f>
        <v>0</v>
      </c>
      <c r="E3367" s="22">
        <f ca="1">IFERROR(__xludf.DUMMYFUNCTION("""COMPUTED_VALUE"""),500000)</f>
        <v>500000</v>
      </c>
      <c r="F3367" s="22">
        <f ca="1">IFERROR(__xludf.DUMMYFUNCTION("""COMPUTED_VALUE"""),500000)</f>
        <v>500000</v>
      </c>
      <c r="G3367" s="22">
        <f ca="1">IFERROR(__xludf.DUMMYFUNCTION("""COMPUTED_VALUE"""),0)</f>
        <v>0</v>
      </c>
      <c r="H3367" s="7">
        <f ca="1">IFERROR(__xludf.DUMMYFUNCTION("""COMPUTED_VALUE"""),500000)</f>
        <v>500000</v>
      </c>
    </row>
    <row r="3368" spans="1:8" ht="13" x14ac:dyDescent="0.15">
      <c r="A3368" s="5" t="str">
        <f ca="1">IFERROR(__xludf.DUMMYFUNCTION("""COMPUTED_VALUE"""),"71502")</f>
        <v>71502</v>
      </c>
      <c r="B3368" s="51">
        <f ca="1">IFERROR(__xludf.DUMMYFUNCTION("""COMPUTED_VALUE"""),44603)</f>
        <v>44603</v>
      </c>
      <c r="C3368" s="22">
        <f ca="1">IFERROR(__xludf.DUMMYFUNCTION("""COMPUTED_VALUE"""),500000)</f>
        <v>500000</v>
      </c>
      <c r="D3368" s="22">
        <f ca="1">IFERROR(__xludf.DUMMYFUNCTION("""COMPUTED_VALUE"""),0)</f>
        <v>0</v>
      </c>
      <c r="E3368" s="22">
        <f ca="1">IFERROR(__xludf.DUMMYFUNCTION("""COMPUTED_VALUE"""),500000)</f>
        <v>500000</v>
      </c>
      <c r="F3368" s="22">
        <f ca="1">IFERROR(__xludf.DUMMYFUNCTION("""COMPUTED_VALUE"""),500000)</f>
        <v>500000</v>
      </c>
      <c r="G3368" s="22">
        <f ca="1">IFERROR(__xludf.DUMMYFUNCTION("""COMPUTED_VALUE"""),0)</f>
        <v>0</v>
      </c>
      <c r="H3368" s="7">
        <f ca="1">IFERROR(__xludf.DUMMYFUNCTION("""COMPUTED_VALUE"""),500000)</f>
        <v>500000</v>
      </c>
    </row>
    <row r="3369" spans="1:8" ht="13" x14ac:dyDescent="0.15">
      <c r="A3369" s="5" t="str">
        <f ca="1">IFERROR(__xludf.DUMMYFUNCTION("""COMPUTED_VALUE"""),"71502")</f>
        <v>71502</v>
      </c>
      <c r="B3369" s="51">
        <f ca="1">IFERROR(__xludf.DUMMYFUNCTION("""COMPUTED_VALUE"""),44604)</f>
        <v>44604</v>
      </c>
      <c r="C3369" s="22">
        <f ca="1">IFERROR(__xludf.DUMMYFUNCTION("""COMPUTED_VALUE"""),500000)</f>
        <v>500000</v>
      </c>
      <c r="D3369" s="22">
        <f ca="1">IFERROR(__xludf.DUMMYFUNCTION("""COMPUTED_VALUE"""),0)</f>
        <v>0</v>
      </c>
      <c r="E3369" s="22">
        <f ca="1">IFERROR(__xludf.DUMMYFUNCTION("""COMPUTED_VALUE"""),500000)</f>
        <v>500000</v>
      </c>
      <c r="F3369" s="22">
        <f ca="1">IFERROR(__xludf.DUMMYFUNCTION("""COMPUTED_VALUE"""),500000)</f>
        <v>500000</v>
      </c>
      <c r="G3369" s="22">
        <f ca="1">IFERROR(__xludf.DUMMYFUNCTION("""COMPUTED_VALUE"""),0)</f>
        <v>0</v>
      </c>
      <c r="H3369" s="7">
        <f ca="1">IFERROR(__xludf.DUMMYFUNCTION("""COMPUTED_VALUE"""),500000)</f>
        <v>500000</v>
      </c>
    </row>
    <row r="3370" spans="1:8" ht="13" x14ac:dyDescent="0.15">
      <c r="A3370" s="5" t="str">
        <f ca="1">IFERROR(__xludf.DUMMYFUNCTION("""COMPUTED_VALUE"""),"71502")</f>
        <v>71502</v>
      </c>
      <c r="B3370" s="51">
        <f ca="1">IFERROR(__xludf.DUMMYFUNCTION("""COMPUTED_VALUE"""),44605)</f>
        <v>44605</v>
      </c>
      <c r="C3370" s="22">
        <f ca="1">IFERROR(__xludf.DUMMYFUNCTION("""COMPUTED_VALUE"""),500000)</f>
        <v>500000</v>
      </c>
      <c r="D3370" s="22">
        <f ca="1">IFERROR(__xludf.DUMMYFUNCTION("""COMPUTED_VALUE"""),0)</f>
        <v>0</v>
      </c>
      <c r="E3370" s="22">
        <f ca="1">IFERROR(__xludf.DUMMYFUNCTION("""COMPUTED_VALUE"""),500000)</f>
        <v>500000</v>
      </c>
      <c r="F3370" s="22">
        <f ca="1">IFERROR(__xludf.DUMMYFUNCTION("""COMPUTED_VALUE"""),500000)</f>
        <v>500000</v>
      </c>
      <c r="G3370" s="22">
        <f ca="1">IFERROR(__xludf.DUMMYFUNCTION("""COMPUTED_VALUE"""),0)</f>
        <v>0</v>
      </c>
      <c r="H3370" s="7">
        <f ca="1">IFERROR(__xludf.DUMMYFUNCTION("""COMPUTED_VALUE"""),500000)</f>
        <v>500000</v>
      </c>
    </row>
    <row r="3371" spans="1:8" ht="13" x14ac:dyDescent="0.15">
      <c r="A3371" s="5" t="str">
        <f ca="1">IFERROR(__xludf.DUMMYFUNCTION("""COMPUTED_VALUE"""),"71502")</f>
        <v>71502</v>
      </c>
      <c r="B3371" s="51">
        <f ca="1">IFERROR(__xludf.DUMMYFUNCTION("""COMPUTED_VALUE"""),44606)</f>
        <v>44606</v>
      </c>
      <c r="C3371" s="22">
        <f ca="1">IFERROR(__xludf.DUMMYFUNCTION("""COMPUTED_VALUE"""),500000)</f>
        <v>500000</v>
      </c>
      <c r="D3371" s="22">
        <f ca="1">IFERROR(__xludf.DUMMYFUNCTION("""COMPUTED_VALUE"""),0)</f>
        <v>0</v>
      </c>
      <c r="E3371" s="22">
        <f ca="1">IFERROR(__xludf.DUMMYFUNCTION("""COMPUTED_VALUE"""),500000)</f>
        <v>500000</v>
      </c>
      <c r="F3371" s="22">
        <f ca="1">IFERROR(__xludf.DUMMYFUNCTION("""COMPUTED_VALUE"""),500000)</f>
        <v>500000</v>
      </c>
      <c r="G3371" s="22">
        <f ca="1">IFERROR(__xludf.DUMMYFUNCTION("""COMPUTED_VALUE"""),0)</f>
        <v>0</v>
      </c>
      <c r="H3371" s="7">
        <f ca="1">IFERROR(__xludf.DUMMYFUNCTION("""COMPUTED_VALUE"""),500000)</f>
        <v>500000</v>
      </c>
    </row>
    <row r="3372" spans="1:8" ht="13" x14ac:dyDescent="0.15">
      <c r="A3372" s="5" t="str">
        <f ca="1">IFERROR(__xludf.DUMMYFUNCTION("""COMPUTED_VALUE"""),"71502")</f>
        <v>71502</v>
      </c>
      <c r="B3372" s="51">
        <f ca="1">IFERROR(__xludf.DUMMYFUNCTION("""COMPUTED_VALUE"""),44607)</f>
        <v>44607</v>
      </c>
      <c r="C3372" s="22">
        <f ca="1">IFERROR(__xludf.DUMMYFUNCTION("""COMPUTED_VALUE"""),500000)</f>
        <v>500000</v>
      </c>
      <c r="D3372" s="22">
        <f ca="1">IFERROR(__xludf.DUMMYFUNCTION("""COMPUTED_VALUE"""),0)</f>
        <v>0</v>
      </c>
      <c r="E3372" s="22">
        <f ca="1">IFERROR(__xludf.DUMMYFUNCTION("""COMPUTED_VALUE"""),500000)</f>
        <v>500000</v>
      </c>
      <c r="F3372" s="22">
        <f ca="1">IFERROR(__xludf.DUMMYFUNCTION("""COMPUTED_VALUE"""),500000)</f>
        <v>500000</v>
      </c>
      <c r="G3372" s="22">
        <f ca="1">IFERROR(__xludf.DUMMYFUNCTION("""COMPUTED_VALUE"""),0)</f>
        <v>0</v>
      </c>
      <c r="H3372" s="7">
        <f ca="1">IFERROR(__xludf.DUMMYFUNCTION("""COMPUTED_VALUE"""),500000)</f>
        <v>500000</v>
      </c>
    </row>
    <row r="3373" spans="1:8" ht="13" x14ac:dyDescent="0.15">
      <c r="A3373" s="5" t="str">
        <f ca="1">IFERROR(__xludf.DUMMYFUNCTION("""COMPUTED_VALUE"""),"71502")</f>
        <v>71502</v>
      </c>
      <c r="B3373" s="51">
        <f ca="1">IFERROR(__xludf.DUMMYFUNCTION("""COMPUTED_VALUE"""),44608)</f>
        <v>44608</v>
      </c>
      <c r="C3373" s="22">
        <f ca="1">IFERROR(__xludf.DUMMYFUNCTION("""COMPUTED_VALUE"""),500000)</f>
        <v>500000</v>
      </c>
      <c r="D3373" s="22">
        <f ca="1">IFERROR(__xludf.DUMMYFUNCTION("""COMPUTED_VALUE"""),0)</f>
        <v>0</v>
      </c>
      <c r="E3373" s="22">
        <f ca="1">IFERROR(__xludf.DUMMYFUNCTION("""COMPUTED_VALUE"""),500000)</f>
        <v>500000</v>
      </c>
      <c r="F3373" s="22">
        <f ca="1">IFERROR(__xludf.DUMMYFUNCTION("""COMPUTED_VALUE"""),500000)</f>
        <v>500000</v>
      </c>
      <c r="G3373" s="22">
        <f ca="1">IFERROR(__xludf.DUMMYFUNCTION("""COMPUTED_VALUE"""),0)</f>
        <v>0</v>
      </c>
      <c r="H3373" s="7">
        <f ca="1">IFERROR(__xludf.DUMMYFUNCTION("""COMPUTED_VALUE"""),500000)</f>
        <v>500000</v>
      </c>
    </row>
    <row r="3374" spans="1:8" ht="13" x14ac:dyDescent="0.15">
      <c r="A3374" s="5" t="str">
        <f ca="1">IFERROR(__xludf.DUMMYFUNCTION("""COMPUTED_VALUE"""),"71502")</f>
        <v>71502</v>
      </c>
      <c r="B3374" s="51">
        <f ca="1">IFERROR(__xludf.DUMMYFUNCTION("""COMPUTED_VALUE"""),44609)</f>
        <v>44609</v>
      </c>
      <c r="C3374" s="22">
        <f ca="1">IFERROR(__xludf.DUMMYFUNCTION("""COMPUTED_VALUE"""),500000)</f>
        <v>500000</v>
      </c>
      <c r="D3374" s="22">
        <f ca="1">IFERROR(__xludf.DUMMYFUNCTION("""COMPUTED_VALUE"""),0)</f>
        <v>0</v>
      </c>
      <c r="E3374" s="22">
        <f ca="1">IFERROR(__xludf.DUMMYFUNCTION("""COMPUTED_VALUE"""),500000)</f>
        <v>500000</v>
      </c>
      <c r="F3374" s="22">
        <f ca="1">IFERROR(__xludf.DUMMYFUNCTION("""COMPUTED_VALUE"""),500000)</f>
        <v>500000</v>
      </c>
      <c r="G3374" s="22">
        <f ca="1">IFERROR(__xludf.DUMMYFUNCTION("""COMPUTED_VALUE"""),0)</f>
        <v>0</v>
      </c>
      <c r="H3374" s="7">
        <f ca="1">IFERROR(__xludf.DUMMYFUNCTION("""COMPUTED_VALUE"""),500000)</f>
        <v>500000</v>
      </c>
    </row>
    <row r="3375" spans="1:8" ht="13" x14ac:dyDescent="0.15">
      <c r="A3375" s="5" t="str">
        <f ca="1">IFERROR(__xludf.DUMMYFUNCTION("""COMPUTED_VALUE"""),"71502")</f>
        <v>71502</v>
      </c>
      <c r="B3375" s="51">
        <f ca="1">IFERROR(__xludf.DUMMYFUNCTION("""COMPUTED_VALUE"""),44610)</f>
        <v>44610</v>
      </c>
      <c r="C3375" s="22">
        <f ca="1">IFERROR(__xludf.DUMMYFUNCTION("""COMPUTED_VALUE"""),500000)</f>
        <v>500000</v>
      </c>
      <c r="D3375" s="22">
        <f ca="1">IFERROR(__xludf.DUMMYFUNCTION("""COMPUTED_VALUE"""),0)</f>
        <v>0</v>
      </c>
      <c r="E3375" s="22">
        <f ca="1">IFERROR(__xludf.DUMMYFUNCTION("""COMPUTED_VALUE"""),500000)</f>
        <v>500000</v>
      </c>
      <c r="F3375" s="22">
        <f ca="1">IFERROR(__xludf.DUMMYFUNCTION("""COMPUTED_VALUE"""),500000)</f>
        <v>500000</v>
      </c>
      <c r="G3375" s="22">
        <f ca="1">IFERROR(__xludf.DUMMYFUNCTION("""COMPUTED_VALUE"""),0)</f>
        <v>0</v>
      </c>
      <c r="H3375" s="7">
        <f ca="1">IFERROR(__xludf.DUMMYFUNCTION("""COMPUTED_VALUE"""),500000)</f>
        <v>500000</v>
      </c>
    </row>
    <row r="3376" spans="1:8" ht="13" x14ac:dyDescent="0.15">
      <c r="A3376" s="5" t="str">
        <f ca="1">IFERROR(__xludf.DUMMYFUNCTION("""COMPUTED_VALUE"""),"71502")</f>
        <v>71502</v>
      </c>
      <c r="B3376" s="51">
        <f ca="1">IFERROR(__xludf.DUMMYFUNCTION("""COMPUTED_VALUE"""),44611)</f>
        <v>44611</v>
      </c>
      <c r="C3376" s="22">
        <f ca="1">IFERROR(__xludf.DUMMYFUNCTION("""COMPUTED_VALUE"""),500000)</f>
        <v>500000</v>
      </c>
      <c r="D3376" s="22">
        <f ca="1">IFERROR(__xludf.DUMMYFUNCTION("""COMPUTED_VALUE"""),0)</f>
        <v>0</v>
      </c>
      <c r="E3376" s="22">
        <f ca="1">IFERROR(__xludf.DUMMYFUNCTION("""COMPUTED_VALUE"""),500000)</f>
        <v>500000</v>
      </c>
      <c r="F3376" s="22">
        <f ca="1">IFERROR(__xludf.DUMMYFUNCTION("""COMPUTED_VALUE"""),500000)</f>
        <v>500000</v>
      </c>
      <c r="G3376" s="22">
        <f ca="1">IFERROR(__xludf.DUMMYFUNCTION("""COMPUTED_VALUE"""),0)</f>
        <v>0</v>
      </c>
      <c r="H3376" s="7">
        <f ca="1">IFERROR(__xludf.DUMMYFUNCTION("""COMPUTED_VALUE"""),500000)</f>
        <v>500000</v>
      </c>
    </row>
    <row r="3377" spans="1:8" ht="13" x14ac:dyDescent="0.15">
      <c r="A3377" s="5" t="str">
        <f ca="1">IFERROR(__xludf.DUMMYFUNCTION("""COMPUTED_VALUE"""),"71502")</f>
        <v>71502</v>
      </c>
      <c r="B3377" s="51">
        <f ca="1">IFERROR(__xludf.DUMMYFUNCTION("""COMPUTED_VALUE"""),44612)</f>
        <v>44612</v>
      </c>
      <c r="C3377" s="22">
        <f ca="1">IFERROR(__xludf.DUMMYFUNCTION("""COMPUTED_VALUE"""),500000)</f>
        <v>500000</v>
      </c>
      <c r="D3377" s="22">
        <f ca="1">IFERROR(__xludf.DUMMYFUNCTION("""COMPUTED_VALUE"""),0)</f>
        <v>0</v>
      </c>
      <c r="E3377" s="22">
        <f ca="1">IFERROR(__xludf.DUMMYFUNCTION("""COMPUTED_VALUE"""),500000)</f>
        <v>500000</v>
      </c>
      <c r="F3377" s="22">
        <f ca="1">IFERROR(__xludf.DUMMYFUNCTION("""COMPUTED_VALUE"""),500000)</f>
        <v>500000</v>
      </c>
      <c r="G3377" s="22">
        <f ca="1">IFERROR(__xludf.DUMMYFUNCTION("""COMPUTED_VALUE"""),0)</f>
        <v>0</v>
      </c>
      <c r="H3377" s="7">
        <f ca="1">IFERROR(__xludf.DUMMYFUNCTION("""COMPUTED_VALUE"""),500000)</f>
        <v>500000</v>
      </c>
    </row>
    <row r="3378" spans="1:8" ht="13" x14ac:dyDescent="0.15">
      <c r="A3378" s="5" t="str">
        <f ca="1">IFERROR(__xludf.DUMMYFUNCTION("""COMPUTED_VALUE"""),"71502")</f>
        <v>71502</v>
      </c>
      <c r="B3378" s="51">
        <f ca="1">IFERROR(__xludf.DUMMYFUNCTION("""COMPUTED_VALUE"""),44613)</f>
        <v>44613</v>
      </c>
      <c r="C3378" s="22">
        <f ca="1">IFERROR(__xludf.DUMMYFUNCTION("""COMPUTED_VALUE"""),500000)</f>
        <v>500000</v>
      </c>
      <c r="D3378" s="22">
        <f ca="1">IFERROR(__xludf.DUMMYFUNCTION("""COMPUTED_VALUE"""),0)</f>
        <v>0</v>
      </c>
      <c r="E3378" s="22">
        <f ca="1">IFERROR(__xludf.DUMMYFUNCTION("""COMPUTED_VALUE"""),500000)</f>
        <v>500000</v>
      </c>
      <c r="F3378" s="22">
        <f ca="1">IFERROR(__xludf.DUMMYFUNCTION("""COMPUTED_VALUE"""),500000)</f>
        <v>500000</v>
      </c>
      <c r="G3378" s="22">
        <f ca="1">IFERROR(__xludf.DUMMYFUNCTION("""COMPUTED_VALUE"""),0)</f>
        <v>0</v>
      </c>
      <c r="H3378" s="7">
        <f ca="1">IFERROR(__xludf.DUMMYFUNCTION("""COMPUTED_VALUE"""),500000)</f>
        <v>500000</v>
      </c>
    </row>
    <row r="3379" spans="1:8" ht="13" x14ac:dyDescent="0.15">
      <c r="A3379" s="5" t="str">
        <f ca="1">IFERROR(__xludf.DUMMYFUNCTION("""COMPUTED_VALUE"""),"71502")</f>
        <v>71502</v>
      </c>
      <c r="B3379" s="51">
        <f ca="1">IFERROR(__xludf.DUMMYFUNCTION("""COMPUTED_VALUE"""),44614)</f>
        <v>44614</v>
      </c>
      <c r="C3379" s="22">
        <f ca="1">IFERROR(__xludf.DUMMYFUNCTION("""COMPUTED_VALUE"""),500000)</f>
        <v>500000</v>
      </c>
      <c r="D3379" s="22">
        <f ca="1">IFERROR(__xludf.DUMMYFUNCTION("""COMPUTED_VALUE"""),0)</f>
        <v>0</v>
      </c>
      <c r="E3379" s="22">
        <f ca="1">IFERROR(__xludf.DUMMYFUNCTION("""COMPUTED_VALUE"""),500000)</f>
        <v>500000</v>
      </c>
      <c r="F3379" s="22">
        <f ca="1">IFERROR(__xludf.DUMMYFUNCTION("""COMPUTED_VALUE"""),500000)</f>
        <v>500000</v>
      </c>
      <c r="G3379" s="22">
        <f ca="1">IFERROR(__xludf.DUMMYFUNCTION("""COMPUTED_VALUE"""),0)</f>
        <v>0</v>
      </c>
      <c r="H3379" s="7">
        <f ca="1">IFERROR(__xludf.DUMMYFUNCTION("""COMPUTED_VALUE"""),500000)</f>
        <v>500000</v>
      </c>
    </row>
    <row r="3380" spans="1:8" ht="13" x14ac:dyDescent="0.15">
      <c r="A3380" s="5" t="str">
        <f ca="1">IFERROR(__xludf.DUMMYFUNCTION("""COMPUTED_VALUE"""),"71502")</f>
        <v>71502</v>
      </c>
      <c r="B3380" s="51">
        <f ca="1">IFERROR(__xludf.DUMMYFUNCTION("""COMPUTED_VALUE"""),44615)</f>
        <v>44615</v>
      </c>
      <c r="C3380" s="22">
        <f ca="1">IFERROR(__xludf.DUMMYFUNCTION("""COMPUTED_VALUE"""),500000)</f>
        <v>500000</v>
      </c>
      <c r="D3380" s="22">
        <f ca="1">IFERROR(__xludf.DUMMYFUNCTION("""COMPUTED_VALUE"""),0)</f>
        <v>0</v>
      </c>
      <c r="E3380" s="22">
        <f ca="1">IFERROR(__xludf.DUMMYFUNCTION("""COMPUTED_VALUE"""),500000)</f>
        <v>500000</v>
      </c>
      <c r="F3380" s="22">
        <f ca="1">IFERROR(__xludf.DUMMYFUNCTION("""COMPUTED_VALUE"""),500000)</f>
        <v>500000</v>
      </c>
      <c r="G3380" s="22">
        <f ca="1">IFERROR(__xludf.DUMMYFUNCTION("""COMPUTED_VALUE"""),0)</f>
        <v>0</v>
      </c>
      <c r="H3380" s="7">
        <f ca="1">IFERROR(__xludf.DUMMYFUNCTION("""COMPUTED_VALUE"""),500000)</f>
        <v>500000</v>
      </c>
    </row>
    <row r="3381" spans="1:8" ht="13" x14ac:dyDescent="0.15">
      <c r="A3381" s="5" t="str">
        <f ca="1">IFERROR(__xludf.DUMMYFUNCTION("""COMPUTED_VALUE"""),"71502")</f>
        <v>71502</v>
      </c>
      <c r="B3381" s="51">
        <f ca="1">IFERROR(__xludf.DUMMYFUNCTION("""COMPUTED_VALUE"""),44616)</f>
        <v>44616</v>
      </c>
      <c r="C3381" s="22">
        <f ca="1">IFERROR(__xludf.DUMMYFUNCTION("""COMPUTED_VALUE"""),500000)</f>
        <v>500000</v>
      </c>
      <c r="D3381" s="22">
        <f ca="1">IFERROR(__xludf.DUMMYFUNCTION("""COMPUTED_VALUE"""),0)</f>
        <v>0</v>
      </c>
      <c r="E3381" s="22">
        <f ca="1">IFERROR(__xludf.DUMMYFUNCTION("""COMPUTED_VALUE"""),500000)</f>
        <v>500000</v>
      </c>
      <c r="F3381" s="22">
        <f ca="1">IFERROR(__xludf.DUMMYFUNCTION("""COMPUTED_VALUE"""),500000)</f>
        <v>500000</v>
      </c>
      <c r="G3381" s="22">
        <f ca="1">IFERROR(__xludf.DUMMYFUNCTION("""COMPUTED_VALUE"""),0)</f>
        <v>0</v>
      </c>
      <c r="H3381" s="7">
        <f ca="1">IFERROR(__xludf.DUMMYFUNCTION("""COMPUTED_VALUE"""),500000)</f>
        <v>500000</v>
      </c>
    </row>
    <row r="3382" spans="1:8" ht="13" x14ac:dyDescent="0.15">
      <c r="A3382" s="5" t="str">
        <f ca="1">IFERROR(__xludf.DUMMYFUNCTION("""COMPUTED_VALUE"""),"71502")</f>
        <v>71502</v>
      </c>
      <c r="B3382" s="51">
        <f ca="1">IFERROR(__xludf.DUMMYFUNCTION("""COMPUTED_VALUE"""),44617)</f>
        <v>44617</v>
      </c>
      <c r="C3382" s="22">
        <f ca="1">IFERROR(__xludf.DUMMYFUNCTION("""COMPUTED_VALUE"""),500000)</f>
        <v>500000</v>
      </c>
      <c r="D3382" s="22">
        <f ca="1">IFERROR(__xludf.DUMMYFUNCTION("""COMPUTED_VALUE"""),0)</f>
        <v>0</v>
      </c>
      <c r="E3382" s="22">
        <f ca="1">IFERROR(__xludf.DUMMYFUNCTION("""COMPUTED_VALUE"""),500000)</f>
        <v>500000</v>
      </c>
      <c r="F3382" s="22">
        <f ca="1">IFERROR(__xludf.DUMMYFUNCTION("""COMPUTED_VALUE"""),500000)</f>
        <v>500000</v>
      </c>
      <c r="G3382" s="22">
        <f ca="1">IFERROR(__xludf.DUMMYFUNCTION("""COMPUTED_VALUE"""),0)</f>
        <v>0</v>
      </c>
      <c r="H3382" s="7">
        <f ca="1">IFERROR(__xludf.DUMMYFUNCTION("""COMPUTED_VALUE"""),500000)</f>
        <v>500000</v>
      </c>
    </row>
    <row r="3383" spans="1:8" ht="13" x14ac:dyDescent="0.15">
      <c r="A3383" s="5" t="str">
        <f ca="1">IFERROR(__xludf.DUMMYFUNCTION("""COMPUTED_VALUE"""),"71502")</f>
        <v>71502</v>
      </c>
      <c r="B3383" s="51">
        <f ca="1">IFERROR(__xludf.DUMMYFUNCTION("""COMPUTED_VALUE"""),44618)</f>
        <v>44618</v>
      </c>
      <c r="C3383" s="22">
        <f ca="1">IFERROR(__xludf.DUMMYFUNCTION("""COMPUTED_VALUE"""),500000)</f>
        <v>500000</v>
      </c>
      <c r="D3383" s="22">
        <f ca="1">IFERROR(__xludf.DUMMYFUNCTION("""COMPUTED_VALUE"""),0)</f>
        <v>0</v>
      </c>
      <c r="E3383" s="22">
        <f ca="1">IFERROR(__xludf.DUMMYFUNCTION("""COMPUTED_VALUE"""),500000)</f>
        <v>500000</v>
      </c>
      <c r="F3383" s="22">
        <f ca="1">IFERROR(__xludf.DUMMYFUNCTION("""COMPUTED_VALUE"""),500000)</f>
        <v>500000</v>
      </c>
      <c r="G3383" s="22">
        <f ca="1">IFERROR(__xludf.DUMMYFUNCTION("""COMPUTED_VALUE"""),0)</f>
        <v>0</v>
      </c>
      <c r="H3383" s="7">
        <f ca="1">IFERROR(__xludf.DUMMYFUNCTION("""COMPUTED_VALUE"""),500000)</f>
        <v>500000</v>
      </c>
    </row>
    <row r="3384" spans="1:8" ht="13" x14ac:dyDescent="0.15">
      <c r="A3384" s="5" t="str">
        <f ca="1">IFERROR(__xludf.DUMMYFUNCTION("""COMPUTED_VALUE"""),"71502")</f>
        <v>71502</v>
      </c>
      <c r="B3384" s="51">
        <f ca="1">IFERROR(__xludf.DUMMYFUNCTION("""COMPUTED_VALUE"""),44619)</f>
        <v>44619</v>
      </c>
      <c r="C3384" s="22">
        <f ca="1">IFERROR(__xludf.DUMMYFUNCTION("""COMPUTED_VALUE"""),500000)</f>
        <v>500000</v>
      </c>
      <c r="D3384" s="22">
        <f ca="1">IFERROR(__xludf.DUMMYFUNCTION("""COMPUTED_VALUE"""),0)</f>
        <v>0</v>
      </c>
      <c r="E3384" s="22">
        <f ca="1">IFERROR(__xludf.DUMMYFUNCTION("""COMPUTED_VALUE"""),500000)</f>
        <v>500000</v>
      </c>
      <c r="F3384" s="22">
        <f ca="1">IFERROR(__xludf.DUMMYFUNCTION("""COMPUTED_VALUE"""),500000)</f>
        <v>500000</v>
      </c>
      <c r="G3384" s="22">
        <f ca="1">IFERROR(__xludf.DUMMYFUNCTION("""COMPUTED_VALUE"""),0)</f>
        <v>0</v>
      </c>
      <c r="H3384" s="7">
        <f ca="1">IFERROR(__xludf.DUMMYFUNCTION("""COMPUTED_VALUE"""),500000)</f>
        <v>500000</v>
      </c>
    </row>
    <row r="3385" spans="1:8" ht="13" x14ac:dyDescent="0.15">
      <c r="A3385" s="5" t="str">
        <f ca="1">IFERROR(__xludf.DUMMYFUNCTION("""COMPUTED_VALUE"""),"71502")</f>
        <v>71502</v>
      </c>
      <c r="B3385" s="51">
        <f ca="1">IFERROR(__xludf.DUMMYFUNCTION("""COMPUTED_VALUE"""),44620)</f>
        <v>44620</v>
      </c>
      <c r="C3385" s="22">
        <f ca="1">IFERROR(__xludf.DUMMYFUNCTION("""COMPUTED_VALUE"""),500000)</f>
        <v>500000</v>
      </c>
      <c r="D3385" s="22">
        <f ca="1">IFERROR(__xludf.DUMMYFUNCTION("""COMPUTED_VALUE"""),0)</f>
        <v>0</v>
      </c>
      <c r="E3385" s="22">
        <f ca="1">IFERROR(__xludf.DUMMYFUNCTION("""COMPUTED_VALUE"""),500000)</f>
        <v>500000</v>
      </c>
      <c r="F3385" s="22">
        <f ca="1">IFERROR(__xludf.DUMMYFUNCTION("""COMPUTED_VALUE"""),500000)</f>
        <v>500000</v>
      </c>
      <c r="G3385" s="22">
        <f ca="1">IFERROR(__xludf.DUMMYFUNCTION("""COMPUTED_VALUE"""),0)</f>
        <v>0</v>
      </c>
      <c r="H3385" s="7">
        <f ca="1">IFERROR(__xludf.DUMMYFUNCTION("""COMPUTED_VALUE"""),500000)</f>
        <v>500000</v>
      </c>
    </row>
    <row r="3386" spans="1:8" ht="13" x14ac:dyDescent="0.15">
      <c r="A3386" s="5" t="str">
        <f ca="1">IFERROR(__xludf.DUMMYFUNCTION("""COMPUTED_VALUE"""),"71502")</f>
        <v>71502</v>
      </c>
      <c r="B3386" s="51">
        <f ca="1">IFERROR(__xludf.DUMMYFUNCTION("""COMPUTED_VALUE"""),44621)</f>
        <v>44621</v>
      </c>
      <c r="C3386" s="22">
        <f ca="1">IFERROR(__xludf.DUMMYFUNCTION("""COMPUTED_VALUE"""),500000)</f>
        <v>500000</v>
      </c>
      <c r="D3386" s="22">
        <f ca="1">IFERROR(__xludf.DUMMYFUNCTION("""COMPUTED_VALUE"""),0)</f>
        <v>0</v>
      </c>
      <c r="E3386" s="22">
        <f ca="1">IFERROR(__xludf.DUMMYFUNCTION("""COMPUTED_VALUE"""),500000)</f>
        <v>500000</v>
      </c>
      <c r="F3386" s="22">
        <f ca="1">IFERROR(__xludf.DUMMYFUNCTION("""COMPUTED_VALUE"""),500000)</f>
        <v>500000</v>
      </c>
      <c r="G3386" s="22">
        <f ca="1">IFERROR(__xludf.DUMMYFUNCTION("""COMPUTED_VALUE"""),0)</f>
        <v>0</v>
      </c>
      <c r="H3386" s="7">
        <f ca="1">IFERROR(__xludf.DUMMYFUNCTION("""COMPUTED_VALUE"""),500000)</f>
        <v>500000</v>
      </c>
    </row>
    <row r="3387" spans="1:8" ht="13" x14ac:dyDescent="0.15">
      <c r="A3387" s="5" t="str">
        <f ca="1">IFERROR(__xludf.DUMMYFUNCTION("""COMPUTED_VALUE"""),"71502")</f>
        <v>71502</v>
      </c>
      <c r="B3387" s="51">
        <f ca="1">IFERROR(__xludf.DUMMYFUNCTION("""COMPUTED_VALUE"""),44622)</f>
        <v>44622</v>
      </c>
      <c r="C3387" s="22">
        <f ca="1">IFERROR(__xludf.DUMMYFUNCTION("""COMPUTED_VALUE"""),500000)</f>
        <v>500000</v>
      </c>
      <c r="D3387" s="22">
        <f ca="1">IFERROR(__xludf.DUMMYFUNCTION("""COMPUTED_VALUE"""),0)</f>
        <v>0</v>
      </c>
      <c r="E3387" s="22">
        <f ca="1">IFERROR(__xludf.DUMMYFUNCTION("""COMPUTED_VALUE"""),500000)</f>
        <v>500000</v>
      </c>
      <c r="F3387" s="22">
        <f ca="1">IFERROR(__xludf.DUMMYFUNCTION("""COMPUTED_VALUE"""),500000)</f>
        <v>500000</v>
      </c>
      <c r="G3387" s="22">
        <f ca="1">IFERROR(__xludf.DUMMYFUNCTION("""COMPUTED_VALUE"""),0)</f>
        <v>0</v>
      </c>
      <c r="H3387" s="7">
        <f ca="1">IFERROR(__xludf.DUMMYFUNCTION("""COMPUTED_VALUE"""),500000)</f>
        <v>500000</v>
      </c>
    </row>
    <row r="3388" spans="1:8" ht="13" x14ac:dyDescent="0.15">
      <c r="A3388" s="5" t="str">
        <f ca="1">IFERROR(__xludf.DUMMYFUNCTION("""COMPUTED_VALUE"""),"71502")</f>
        <v>71502</v>
      </c>
      <c r="B3388" s="51">
        <f ca="1">IFERROR(__xludf.DUMMYFUNCTION("""COMPUTED_VALUE"""),44623)</f>
        <v>44623</v>
      </c>
      <c r="C3388" s="22">
        <f ca="1">IFERROR(__xludf.DUMMYFUNCTION("""COMPUTED_VALUE"""),500000)</f>
        <v>500000</v>
      </c>
      <c r="D3388" s="22">
        <f ca="1">IFERROR(__xludf.DUMMYFUNCTION("""COMPUTED_VALUE"""),0)</f>
        <v>0</v>
      </c>
      <c r="E3388" s="22">
        <f ca="1">IFERROR(__xludf.DUMMYFUNCTION("""COMPUTED_VALUE"""),500000)</f>
        <v>500000</v>
      </c>
      <c r="F3388" s="22">
        <f ca="1">IFERROR(__xludf.DUMMYFUNCTION("""COMPUTED_VALUE"""),500000)</f>
        <v>500000</v>
      </c>
      <c r="G3388" s="22">
        <f ca="1">IFERROR(__xludf.DUMMYFUNCTION("""COMPUTED_VALUE"""),0)</f>
        <v>0</v>
      </c>
      <c r="H3388" s="7">
        <f ca="1">IFERROR(__xludf.DUMMYFUNCTION("""COMPUTED_VALUE"""),500000)</f>
        <v>500000</v>
      </c>
    </row>
    <row r="3389" spans="1:8" ht="13" x14ac:dyDescent="0.15">
      <c r="A3389" s="5" t="str">
        <f ca="1">IFERROR(__xludf.DUMMYFUNCTION("""COMPUTED_VALUE"""),"71502")</f>
        <v>71502</v>
      </c>
      <c r="B3389" s="51">
        <f ca="1">IFERROR(__xludf.DUMMYFUNCTION("""COMPUTED_VALUE"""),44624)</f>
        <v>44624</v>
      </c>
      <c r="C3389" s="22">
        <f ca="1">IFERROR(__xludf.DUMMYFUNCTION("""COMPUTED_VALUE"""),500000)</f>
        <v>500000</v>
      </c>
      <c r="D3389" s="22">
        <f ca="1">IFERROR(__xludf.DUMMYFUNCTION("""COMPUTED_VALUE"""),0)</f>
        <v>0</v>
      </c>
      <c r="E3389" s="22">
        <f ca="1">IFERROR(__xludf.DUMMYFUNCTION("""COMPUTED_VALUE"""),500000)</f>
        <v>500000</v>
      </c>
      <c r="F3389" s="22">
        <f ca="1">IFERROR(__xludf.DUMMYFUNCTION("""COMPUTED_VALUE"""),500000)</f>
        <v>500000</v>
      </c>
      <c r="G3389" s="22">
        <f ca="1">IFERROR(__xludf.DUMMYFUNCTION("""COMPUTED_VALUE"""),0)</f>
        <v>0</v>
      </c>
      <c r="H3389" s="7">
        <f ca="1">IFERROR(__xludf.DUMMYFUNCTION("""COMPUTED_VALUE"""),500000)</f>
        <v>500000</v>
      </c>
    </row>
    <row r="3390" spans="1:8" ht="13" x14ac:dyDescent="0.15">
      <c r="A3390" s="5" t="str">
        <f ca="1">IFERROR(__xludf.DUMMYFUNCTION("""COMPUTED_VALUE"""),"71502")</f>
        <v>71502</v>
      </c>
      <c r="B3390" s="51">
        <f ca="1">IFERROR(__xludf.DUMMYFUNCTION("""COMPUTED_VALUE"""),44625)</f>
        <v>44625</v>
      </c>
      <c r="C3390" s="22">
        <f ca="1">IFERROR(__xludf.DUMMYFUNCTION("""COMPUTED_VALUE"""),500000)</f>
        <v>500000</v>
      </c>
      <c r="D3390" s="22">
        <f ca="1">IFERROR(__xludf.DUMMYFUNCTION("""COMPUTED_VALUE"""),0)</f>
        <v>0</v>
      </c>
      <c r="E3390" s="22">
        <f ca="1">IFERROR(__xludf.DUMMYFUNCTION("""COMPUTED_VALUE"""),500000)</f>
        <v>500000</v>
      </c>
      <c r="F3390" s="22">
        <f ca="1">IFERROR(__xludf.DUMMYFUNCTION("""COMPUTED_VALUE"""),500000)</f>
        <v>500000</v>
      </c>
      <c r="G3390" s="22">
        <f ca="1">IFERROR(__xludf.DUMMYFUNCTION("""COMPUTED_VALUE"""),0)</f>
        <v>0</v>
      </c>
      <c r="H3390" s="7">
        <f ca="1">IFERROR(__xludf.DUMMYFUNCTION("""COMPUTED_VALUE"""),500000)</f>
        <v>500000</v>
      </c>
    </row>
    <row r="3391" spans="1:8" ht="13" x14ac:dyDescent="0.15">
      <c r="A3391" s="5" t="str">
        <f ca="1">IFERROR(__xludf.DUMMYFUNCTION("""COMPUTED_VALUE"""),"71502")</f>
        <v>71502</v>
      </c>
      <c r="B3391" s="51">
        <f ca="1">IFERROR(__xludf.DUMMYFUNCTION("""COMPUTED_VALUE"""),44626)</f>
        <v>44626</v>
      </c>
      <c r="C3391" s="22">
        <f ca="1">IFERROR(__xludf.DUMMYFUNCTION("""COMPUTED_VALUE"""),500000)</f>
        <v>500000</v>
      </c>
      <c r="D3391" s="22">
        <f ca="1">IFERROR(__xludf.DUMMYFUNCTION("""COMPUTED_VALUE"""),0)</f>
        <v>0</v>
      </c>
      <c r="E3391" s="22">
        <f ca="1">IFERROR(__xludf.DUMMYFUNCTION("""COMPUTED_VALUE"""),500000)</f>
        <v>500000</v>
      </c>
      <c r="F3391" s="22">
        <f ca="1">IFERROR(__xludf.DUMMYFUNCTION("""COMPUTED_VALUE"""),500000)</f>
        <v>500000</v>
      </c>
      <c r="G3391" s="22">
        <f ca="1">IFERROR(__xludf.DUMMYFUNCTION("""COMPUTED_VALUE"""),0)</f>
        <v>0</v>
      </c>
      <c r="H3391" s="7">
        <f ca="1">IFERROR(__xludf.DUMMYFUNCTION("""COMPUTED_VALUE"""),500000)</f>
        <v>500000</v>
      </c>
    </row>
    <row r="3392" spans="1:8" ht="13" x14ac:dyDescent="0.15">
      <c r="A3392" s="5" t="str">
        <f ca="1">IFERROR(__xludf.DUMMYFUNCTION("""COMPUTED_VALUE"""),"71502")</f>
        <v>71502</v>
      </c>
      <c r="B3392" s="51">
        <f ca="1">IFERROR(__xludf.DUMMYFUNCTION("""COMPUTED_VALUE"""),44627)</f>
        <v>44627</v>
      </c>
      <c r="C3392" s="22">
        <f ca="1">IFERROR(__xludf.DUMMYFUNCTION("""COMPUTED_VALUE"""),500000)</f>
        <v>500000</v>
      </c>
      <c r="D3392" s="22">
        <f ca="1">IFERROR(__xludf.DUMMYFUNCTION("""COMPUTED_VALUE"""),0)</f>
        <v>0</v>
      </c>
      <c r="E3392" s="22">
        <f ca="1">IFERROR(__xludf.DUMMYFUNCTION("""COMPUTED_VALUE"""),500000)</f>
        <v>500000</v>
      </c>
      <c r="F3392" s="22">
        <f ca="1">IFERROR(__xludf.DUMMYFUNCTION("""COMPUTED_VALUE"""),500000)</f>
        <v>500000</v>
      </c>
      <c r="G3392" s="22">
        <f ca="1">IFERROR(__xludf.DUMMYFUNCTION("""COMPUTED_VALUE"""),0)</f>
        <v>0</v>
      </c>
      <c r="H3392" s="7">
        <f ca="1">IFERROR(__xludf.DUMMYFUNCTION("""COMPUTED_VALUE"""),500000)</f>
        <v>500000</v>
      </c>
    </row>
    <row r="3393" spans="1:8" ht="13" x14ac:dyDescent="0.15">
      <c r="A3393" s="5" t="str">
        <f ca="1">IFERROR(__xludf.DUMMYFUNCTION("""COMPUTED_VALUE"""),"71502")</f>
        <v>71502</v>
      </c>
      <c r="B3393" s="51">
        <f ca="1">IFERROR(__xludf.DUMMYFUNCTION("""COMPUTED_VALUE"""),44628)</f>
        <v>44628</v>
      </c>
      <c r="C3393" s="22">
        <f ca="1">IFERROR(__xludf.DUMMYFUNCTION("""COMPUTED_VALUE"""),500000)</f>
        <v>500000</v>
      </c>
      <c r="D3393" s="22">
        <f ca="1">IFERROR(__xludf.DUMMYFUNCTION("""COMPUTED_VALUE"""),0)</f>
        <v>0</v>
      </c>
      <c r="E3393" s="22">
        <f ca="1">IFERROR(__xludf.DUMMYFUNCTION("""COMPUTED_VALUE"""),500000)</f>
        <v>500000</v>
      </c>
      <c r="F3393" s="22">
        <f ca="1">IFERROR(__xludf.DUMMYFUNCTION("""COMPUTED_VALUE"""),500000)</f>
        <v>500000</v>
      </c>
      <c r="G3393" s="22">
        <f ca="1">IFERROR(__xludf.DUMMYFUNCTION("""COMPUTED_VALUE"""),0)</f>
        <v>0</v>
      </c>
      <c r="H3393" s="7">
        <f ca="1">IFERROR(__xludf.DUMMYFUNCTION("""COMPUTED_VALUE"""),500000)</f>
        <v>500000</v>
      </c>
    </row>
    <row r="3394" spans="1:8" ht="13" x14ac:dyDescent="0.15">
      <c r="A3394" s="5" t="str">
        <f ca="1">IFERROR(__xludf.DUMMYFUNCTION("""COMPUTED_VALUE"""),"71502")</f>
        <v>71502</v>
      </c>
      <c r="B3394" s="51">
        <f ca="1">IFERROR(__xludf.DUMMYFUNCTION("""COMPUTED_VALUE"""),44629)</f>
        <v>44629</v>
      </c>
      <c r="C3394" s="22">
        <f ca="1">IFERROR(__xludf.DUMMYFUNCTION("""COMPUTED_VALUE"""),500000)</f>
        <v>500000</v>
      </c>
      <c r="D3394" s="22">
        <f ca="1">IFERROR(__xludf.DUMMYFUNCTION("""COMPUTED_VALUE"""),0)</f>
        <v>0</v>
      </c>
      <c r="E3394" s="22">
        <f ca="1">IFERROR(__xludf.DUMMYFUNCTION("""COMPUTED_VALUE"""),500000)</f>
        <v>500000</v>
      </c>
      <c r="F3394" s="22">
        <f ca="1">IFERROR(__xludf.DUMMYFUNCTION("""COMPUTED_VALUE"""),500000)</f>
        <v>500000</v>
      </c>
      <c r="G3394" s="22">
        <f ca="1">IFERROR(__xludf.DUMMYFUNCTION("""COMPUTED_VALUE"""),0)</f>
        <v>0</v>
      </c>
      <c r="H3394" s="7">
        <f ca="1">IFERROR(__xludf.DUMMYFUNCTION("""COMPUTED_VALUE"""),500000)</f>
        <v>500000</v>
      </c>
    </row>
    <row r="3395" spans="1:8" ht="13" x14ac:dyDescent="0.15">
      <c r="A3395" s="5" t="str">
        <f ca="1">IFERROR(__xludf.DUMMYFUNCTION("""COMPUTED_VALUE"""),"71502")</f>
        <v>71502</v>
      </c>
      <c r="B3395" s="51">
        <f ca="1">IFERROR(__xludf.DUMMYFUNCTION("""COMPUTED_VALUE"""),44630)</f>
        <v>44630</v>
      </c>
      <c r="C3395" s="22">
        <f ca="1">IFERROR(__xludf.DUMMYFUNCTION("""COMPUTED_VALUE"""),500000)</f>
        <v>500000</v>
      </c>
      <c r="D3395" s="22">
        <f ca="1">IFERROR(__xludf.DUMMYFUNCTION("""COMPUTED_VALUE"""),0)</f>
        <v>0</v>
      </c>
      <c r="E3395" s="22">
        <f ca="1">IFERROR(__xludf.DUMMYFUNCTION("""COMPUTED_VALUE"""),500000)</f>
        <v>500000</v>
      </c>
      <c r="F3395" s="22">
        <f ca="1">IFERROR(__xludf.DUMMYFUNCTION("""COMPUTED_VALUE"""),500000)</f>
        <v>500000</v>
      </c>
      <c r="G3395" s="22">
        <f ca="1">IFERROR(__xludf.DUMMYFUNCTION("""COMPUTED_VALUE"""),0)</f>
        <v>0</v>
      </c>
      <c r="H3395" s="7">
        <f ca="1">IFERROR(__xludf.DUMMYFUNCTION("""COMPUTED_VALUE"""),500000)</f>
        <v>500000</v>
      </c>
    </row>
    <row r="3396" spans="1:8" ht="13" x14ac:dyDescent="0.15">
      <c r="A3396" s="5" t="str">
        <f ca="1">IFERROR(__xludf.DUMMYFUNCTION("""COMPUTED_VALUE"""),"71502")</f>
        <v>71502</v>
      </c>
      <c r="B3396" s="51">
        <f ca="1">IFERROR(__xludf.DUMMYFUNCTION("""COMPUTED_VALUE"""),44631)</f>
        <v>44631</v>
      </c>
      <c r="C3396" s="22">
        <f ca="1">IFERROR(__xludf.DUMMYFUNCTION("""COMPUTED_VALUE"""),500000)</f>
        <v>500000</v>
      </c>
      <c r="D3396" s="22">
        <f ca="1">IFERROR(__xludf.DUMMYFUNCTION("""COMPUTED_VALUE"""),0)</f>
        <v>0</v>
      </c>
      <c r="E3396" s="22">
        <f ca="1">IFERROR(__xludf.DUMMYFUNCTION("""COMPUTED_VALUE"""),500000)</f>
        <v>500000</v>
      </c>
      <c r="F3396" s="22">
        <f ca="1">IFERROR(__xludf.DUMMYFUNCTION("""COMPUTED_VALUE"""),500000)</f>
        <v>500000</v>
      </c>
      <c r="G3396" s="22">
        <f ca="1">IFERROR(__xludf.DUMMYFUNCTION("""COMPUTED_VALUE"""),0)</f>
        <v>0</v>
      </c>
      <c r="H3396" s="7">
        <f ca="1">IFERROR(__xludf.DUMMYFUNCTION("""COMPUTED_VALUE"""),500000)</f>
        <v>500000</v>
      </c>
    </row>
    <row r="3397" spans="1:8" ht="13" x14ac:dyDescent="0.15">
      <c r="A3397" s="5" t="str">
        <f ca="1">IFERROR(__xludf.DUMMYFUNCTION("""COMPUTED_VALUE"""),"71502")</f>
        <v>71502</v>
      </c>
      <c r="B3397" s="51">
        <f ca="1">IFERROR(__xludf.DUMMYFUNCTION("""COMPUTED_VALUE"""),44632)</f>
        <v>44632</v>
      </c>
      <c r="C3397" s="22">
        <f ca="1">IFERROR(__xludf.DUMMYFUNCTION("""COMPUTED_VALUE"""),500000)</f>
        <v>500000</v>
      </c>
      <c r="D3397" s="22">
        <f ca="1">IFERROR(__xludf.DUMMYFUNCTION("""COMPUTED_VALUE"""),0)</f>
        <v>0</v>
      </c>
      <c r="E3397" s="22">
        <f ca="1">IFERROR(__xludf.DUMMYFUNCTION("""COMPUTED_VALUE"""),500000)</f>
        <v>500000</v>
      </c>
      <c r="F3397" s="22">
        <f ca="1">IFERROR(__xludf.DUMMYFUNCTION("""COMPUTED_VALUE"""),500000)</f>
        <v>500000</v>
      </c>
      <c r="G3397" s="22">
        <f ca="1">IFERROR(__xludf.DUMMYFUNCTION("""COMPUTED_VALUE"""),0)</f>
        <v>0</v>
      </c>
      <c r="H3397" s="7">
        <f ca="1">IFERROR(__xludf.DUMMYFUNCTION("""COMPUTED_VALUE"""),500000)</f>
        <v>500000</v>
      </c>
    </row>
    <row r="3398" spans="1:8" ht="13" x14ac:dyDescent="0.15">
      <c r="A3398" s="5" t="str">
        <f ca="1">IFERROR(__xludf.DUMMYFUNCTION("""COMPUTED_VALUE"""),"71502")</f>
        <v>71502</v>
      </c>
      <c r="B3398" s="51">
        <f ca="1">IFERROR(__xludf.DUMMYFUNCTION("""COMPUTED_VALUE"""),44633)</f>
        <v>44633</v>
      </c>
      <c r="C3398" s="22">
        <f ca="1">IFERROR(__xludf.DUMMYFUNCTION("""COMPUTED_VALUE"""),500000)</f>
        <v>500000</v>
      </c>
      <c r="D3398" s="22">
        <f ca="1">IFERROR(__xludf.DUMMYFUNCTION("""COMPUTED_VALUE"""),0)</f>
        <v>0</v>
      </c>
      <c r="E3398" s="22">
        <f ca="1">IFERROR(__xludf.DUMMYFUNCTION("""COMPUTED_VALUE"""),500000)</f>
        <v>500000</v>
      </c>
      <c r="F3398" s="22">
        <f ca="1">IFERROR(__xludf.DUMMYFUNCTION("""COMPUTED_VALUE"""),500000)</f>
        <v>500000</v>
      </c>
      <c r="G3398" s="22">
        <f ca="1">IFERROR(__xludf.DUMMYFUNCTION("""COMPUTED_VALUE"""),0)</f>
        <v>0</v>
      </c>
      <c r="H3398" s="7">
        <f ca="1">IFERROR(__xludf.DUMMYFUNCTION("""COMPUTED_VALUE"""),500000)</f>
        <v>500000</v>
      </c>
    </row>
    <row r="3399" spans="1:8" ht="13" x14ac:dyDescent="0.15">
      <c r="A3399" s="5" t="str">
        <f ca="1">IFERROR(__xludf.DUMMYFUNCTION("""COMPUTED_VALUE"""),"71502")</f>
        <v>71502</v>
      </c>
      <c r="B3399" s="51">
        <f ca="1">IFERROR(__xludf.DUMMYFUNCTION("""COMPUTED_VALUE"""),44634)</f>
        <v>44634</v>
      </c>
      <c r="C3399" s="22">
        <f ca="1">IFERROR(__xludf.DUMMYFUNCTION("""COMPUTED_VALUE"""),500000)</f>
        <v>500000</v>
      </c>
      <c r="D3399" s="22">
        <f ca="1">IFERROR(__xludf.DUMMYFUNCTION("""COMPUTED_VALUE"""),0)</f>
        <v>0</v>
      </c>
      <c r="E3399" s="22">
        <f ca="1">IFERROR(__xludf.DUMMYFUNCTION("""COMPUTED_VALUE"""),500000)</f>
        <v>500000</v>
      </c>
      <c r="F3399" s="22">
        <f ca="1">IFERROR(__xludf.DUMMYFUNCTION("""COMPUTED_VALUE"""),500000)</f>
        <v>500000</v>
      </c>
      <c r="G3399" s="22">
        <f ca="1">IFERROR(__xludf.DUMMYFUNCTION("""COMPUTED_VALUE"""),0)</f>
        <v>0</v>
      </c>
      <c r="H3399" s="7">
        <f ca="1">IFERROR(__xludf.DUMMYFUNCTION("""COMPUTED_VALUE"""),500000)</f>
        <v>500000</v>
      </c>
    </row>
    <row r="3400" spans="1:8" ht="13" x14ac:dyDescent="0.15">
      <c r="A3400" s="5" t="str">
        <f ca="1">IFERROR(__xludf.DUMMYFUNCTION("""COMPUTED_VALUE"""),"71502")</f>
        <v>71502</v>
      </c>
      <c r="B3400" s="51">
        <f ca="1">IFERROR(__xludf.DUMMYFUNCTION("""COMPUTED_VALUE"""),44635)</f>
        <v>44635</v>
      </c>
      <c r="C3400" s="22">
        <f ca="1">IFERROR(__xludf.DUMMYFUNCTION("""COMPUTED_VALUE"""),500000)</f>
        <v>500000</v>
      </c>
      <c r="D3400" s="22">
        <f ca="1">IFERROR(__xludf.DUMMYFUNCTION("""COMPUTED_VALUE"""),0)</f>
        <v>0</v>
      </c>
      <c r="E3400" s="22">
        <f ca="1">IFERROR(__xludf.DUMMYFUNCTION("""COMPUTED_VALUE"""),500000)</f>
        <v>500000</v>
      </c>
      <c r="F3400" s="22">
        <f ca="1">IFERROR(__xludf.DUMMYFUNCTION("""COMPUTED_VALUE"""),500000)</f>
        <v>500000</v>
      </c>
      <c r="G3400" s="22">
        <f ca="1">IFERROR(__xludf.DUMMYFUNCTION("""COMPUTED_VALUE"""),0)</f>
        <v>0</v>
      </c>
      <c r="H3400" s="7">
        <f ca="1">IFERROR(__xludf.DUMMYFUNCTION("""COMPUTED_VALUE"""),500000)</f>
        <v>500000</v>
      </c>
    </row>
    <row r="3401" spans="1:8" ht="13" x14ac:dyDescent="0.15">
      <c r="A3401" s="5" t="str">
        <f ca="1">IFERROR(__xludf.DUMMYFUNCTION("""COMPUTED_VALUE"""),"71502")</f>
        <v>71502</v>
      </c>
      <c r="B3401" s="51">
        <f ca="1">IFERROR(__xludf.DUMMYFUNCTION("""COMPUTED_VALUE"""),44636)</f>
        <v>44636</v>
      </c>
      <c r="C3401" s="22">
        <f ca="1">IFERROR(__xludf.DUMMYFUNCTION("""COMPUTED_VALUE"""),500000)</f>
        <v>500000</v>
      </c>
      <c r="D3401" s="22">
        <f ca="1">IFERROR(__xludf.DUMMYFUNCTION("""COMPUTED_VALUE"""),0)</f>
        <v>0</v>
      </c>
      <c r="E3401" s="22">
        <f ca="1">IFERROR(__xludf.DUMMYFUNCTION("""COMPUTED_VALUE"""),500000)</f>
        <v>500000</v>
      </c>
      <c r="F3401" s="22">
        <f ca="1">IFERROR(__xludf.DUMMYFUNCTION("""COMPUTED_VALUE"""),500000)</f>
        <v>500000</v>
      </c>
      <c r="G3401" s="22">
        <f ca="1">IFERROR(__xludf.DUMMYFUNCTION("""COMPUTED_VALUE"""),0)</f>
        <v>0</v>
      </c>
      <c r="H3401" s="7">
        <f ca="1">IFERROR(__xludf.DUMMYFUNCTION("""COMPUTED_VALUE"""),500000)</f>
        <v>500000</v>
      </c>
    </row>
    <row r="3402" spans="1:8" ht="13" x14ac:dyDescent="0.15">
      <c r="A3402" s="5" t="str">
        <f ca="1">IFERROR(__xludf.DUMMYFUNCTION("""COMPUTED_VALUE"""),"71502")</f>
        <v>71502</v>
      </c>
      <c r="B3402" s="51">
        <f ca="1">IFERROR(__xludf.DUMMYFUNCTION("""COMPUTED_VALUE"""),44637)</f>
        <v>44637</v>
      </c>
      <c r="C3402" s="22">
        <f ca="1">IFERROR(__xludf.DUMMYFUNCTION("""COMPUTED_VALUE"""),500000)</f>
        <v>500000</v>
      </c>
      <c r="D3402" s="22">
        <f ca="1">IFERROR(__xludf.DUMMYFUNCTION("""COMPUTED_VALUE"""),0)</f>
        <v>0</v>
      </c>
      <c r="E3402" s="22">
        <f ca="1">IFERROR(__xludf.DUMMYFUNCTION("""COMPUTED_VALUE"""),500000)</f>
        <v>500000</v>
      </c>
      <c r="F3402" s="22">
        <f ca="1">IFERROR(__xludf.DUMMYFUNCTION("""COMPUTED_VALUE"""),500000)</f>
        <v>500000</v>
      </c>
      <c r="G3402" s="22">
        <f ca="1">IFERROR(__xludf.DUMMYFUNCTION("""COMPUTED_VALUE"""),0)</f>
        <v>0</v>
      </c>
      <c r="H3402" s="7">
        <f ca="1">IFERROR(__xludf.DUMMYFUNCTION("""COMPUTED_VALUE"""),500000)</f>
        <v>500000</v>
      </c>
    </row>
    <row r="3403" spans="1:8" ht="13" x14ac:dyDescent="0.15">
      <c r="A3403" s="5" t="str">
        <f ca="1">IFERROR(__xludf.DUMMYFUNCTION("""COMPUTED_VALUE"""),"71502")</f>
        <v>71502</v>
      </c>
      <c r="B3403" s="51">
        <f ca="1">IFERROR(__xludf.DUMMYFUNCTION("""COMPUTED_VALUE"""),44638)</f>
        <v>44638</v>
      </c>
      <c r="C3403" s="22">
        <f ca="1">IFERROR(__xludf.DUMMYFUNCTION("""COMPUTED_VALUE"""),500000)</f>
        <v>500000</v>
      </c>
      <c r="D3403" s="22">
        <f ca="1">IFERROR(__xludf.DUMMYFUNCTION("""COMPUTED_VALUE"""),0)</f>
        <v>0</v>
      </c>
      <c r="E3403" s="22">
        <f ca="1">IFERROR(__xludf.DUMMYFUNCTION("""COMPUTED_VALUE"""),500000)</f>
        <v>500000</v>
      </c>
      <c r="F3403" s="22">
        <f ca="1">IFERROR(__xludf.DUMMYFUNCTION("""COMPUTED_VALUE"""),500000)</f>
        <v>500000</v>
      </c>
      <c r="G3403" s="22">
        <f ca="1">IFERROR(__xludf.DUMMYFUNCTION("""COMPUTED_VALUE"""),0)</f>
        <v>0</v>
      </c>
      <c r="H3403" s="7">
        <f ca="1">IFERROR(__xludf.DUMMYFUNCTION("""COMPUTED_VALUE"""),500000)</f>
        <v>500000</v>
      </c>
    </row>
    <row r="3404" spans="1:8" ht="13" x14ac:dyDescent="0.15">
      <c r="A3404" s="5" t="str">
        <f ca="1">IFERROR(__xludf.DUMMYFUNCTION("""COMPUTED_VALUE"""),"71502")</f>
        <v>71502</v>
      </c>
      <c r="B3404" s="51">
        <f ca="1">IFERROR(__xludf.DUMMYFUNCTION("""COMPUTED_VALUE"""),44639)</f>
        <v>44639</v>
      </c>
      <c r="C3404" s="22">
        <f ca="1">IFERROR(__xludf.DUMMYFUNCTION("""COMPUTED_VALUE"""),500000)</f>
        <v>500000</v>
      </c>
      <c r="D3404" s="22">
        <f ca="1">IFERROR(__xludf.DUMMYFUNCTION("""COMPUTED_VALUE"""),0)</f>
        <v>0</v>
      </c>
      <c r="E3404" s="22">
        <f ca="1">IFERROR(__xludf.DUMMYFUNCTION("""COMPUTED_VALUE"""),500000)</f>
        <v>500000</v>
      </c>
      <c r="F3404" s="22">
        <f ca="1">IFERROR(__xludf.DUMMYFUNCTION("""COMPUTED_VALUE"""),500000)</f>
        <v>500000</v>
      </c>
      <c r="G3404" s="22">
        <f ca="1">IFERROR(__xludf.DUMMYFUNCTION("""COMPUTED_VALUE"""),0)</f>
        <v>0</v>
      </c>
      <c r="H3404" s="7">
        <f ca="1">IFERROR(__xludf.DUMMYFUNCTION("""COMPUTED_VALUE"""),500000)</f>
        <v>500000</v>
      </c>
    </row>
    <row r="3405" spans="1:8" ht="13" x14ac:dyDescent="0.15">
      <c r="A3405" s="5" t="str">
        <f ca="1">IFERROR(__xludf.DUMMYFUNCTION("""COMPUTED_VALUE"""),"71502")</f>
        <v>71502</v>
      </c>
      <c r="B3405" s="51">
        <f ca="1">IFERROR(__xludf.DUMMYFUNCTION("""COMPUTED_VALUE"""),44640)</f>
        <v>44640</v>
      </c>
      <c r="C3405" s="22">
        <f ca="1">IFERROR(__xludf.DUMMYFUNCTION("""COMPUTED_VALUE"""),500000)</f>
        <v>500000</v>
      </c>
      <c r="D3405" s="22">
        <f ca="1">IFERROR(__xludf.DUMMYFUNCTION("""COMPUTED_VALUE"""),0)</f>
        <v>0</v>
      </c>
      <c r="E3405" s="22">
        <f ca="1">IFERROR(__xludf.DUMMYFUNCTION("""COMPUTED_VALUE"""),500000)</f>
        <v>500000</v>
      </c>
      <c r="F3405" s="22">
        <f ca="1">IFERROR(__xludf.DUMMYFUNCTION("""COMPUTED_VALUE"""),500000)</f>
        <v>500000</v>
      </c>
      <c r="G3405" s="22">
        <f ca="1">IFERROR(__xludf.DUMMYFUNCTION("""COMPUTED_VALUE"""),0)</f>
        <v>0</v>
      </c>
      <c r="H3405" s="7">
        <f ca="1">IFERROR(__xludf.DUMMYFUNCTION("""COMPUTED_VALUE"""),500000)</f>
        <v>500000</v>
      </c>
    </row>
    <row r="3406" spans="1:8" ht="13" x14ac:dyDescent="0.15">
      <c r="A3406" s="5" t="str">
        <f ca="1">IFERROR(__xludf.DUMMYFUNCTION("""COMPUTED_VALUE"""),"71502")</f>
        <v>71502</v>
      </c>
      <c r="B3406" s="51">
        <f ca="1">IFERROR(__xludf.DUMMYFUNCTION("""COMPUTED_VALUE"""),44641)</f>
        <v>44641</v>
      </c>
      <c r="C3406" s="22">
        <f ca="1">IFERROR(__xludf.DUMMYFUNCTION("""COMPUTED_VALUE"""),500000)</f>
        <v>500000</v>
      </c>
      <c r="D3406" s="22">
        <f ca="1">IFERROR(__xludf.DUMMYFUNCTION("""COMPUTED_VALUE"""),0)</f>
        <v>0</v>
      </c>
      <c r="E3406" s="22">
        <f ca="1">IFERROR(__xludf.DUMMYFUNCTION("""COMPUTED_VALUE"""),500000)</f>
        <v>500000</v>
      </c>
      <c r="F3406" s="22">
        <f ca="1">IFERROR(__xludf.DUMMYFUNCTION("""COMPUTED_VALUE"""),500000)</f>
        <v>500000</v>
      </c>
      <c r="G3406" s="22">
        <f ca="1">IFERROR(__xludf.DUMMYFUNCTION("""COMPUTED_VALUE"""),0)</f>
        <v>0</v>
      </c>
      <c r="H3406" s="7">
        <f ca="1">IFERROR(__xludf.DUMMYFUNCTION("""COMPUTED_VALUE"""),500000)</f>
        <v>500000</v>
      </c>
    </row>
    <row r="3407" spans="1:8" ht="13" x14ac:dyDescent="0.15">
      <c r="A3407" s="5" t="str">
        <f ca="1">IFERROR(__xludf.DUMMYFUNCTION("""COMPUTED_VALUE"""),"71502")</f>
        <v>71502</v>
      </c>
      <c r="B3407" s="51">
        <f ca="1">IFERROR(__xludf.DUMMYFUNCTION("""COMPUTED_VALUE"""),44642)</f>
        <v>44642</v>
      </c>
      <c r="C3407" s="22">
        <f ca="1">IFERROR(__xludf.DUMMYFUNCTION("""COMPUTED_VALUE"""),500000)</f>
        <v>500000</v>
      </c>
      <c r="D3407" s="22">
        <f ca="1">IFERROR(__xludf.DUMMYFUNCTION("""COMPUTED_VALUE"""),0)</f>
        <v>0</v>
      </c>
      <c r="E3407" s="22">
        <f ca="1">IFERROR(__xludf.DUMMYFUNCTION("""COMPUTED_VALUE"""),500000)</f>
        <v>500000</v>
      </c>
      <c r="F3407" s="22">
        <f ca="1">IFERROR(__xludf.DUMMYFUNCTION("""COMPUTED_VALUE"""),500000)</f>
        <v>500000</v>
      </c>
      <c r="G3407" s="22">
        <f ca="1">IFERROR(__xludf.DUMMYFUNCTION("""COMPUTED_VALUE"""),0)</f>
        <v>0</v>
      </c>
      <c r="H3407" s="7">
        <f ca="1">IFERROR(__xludf.DUMMYFUNCTION("""COMPUTED_VALUE"""),500000)</f>
        <v>500000</v>
      </c>
    </row>
    <row r="3408" spans="1:8" ht="13" x14ac:dyDescent="0.15">
      <c r="A3408" s="5" t="str">
        <f ca="1">IFERROR(__xludf.DUMMYFUNCTION("""COMPUTED_VALUE"""),"73341")</f>
        <v>73341</v>
      </c>
      <c r="B3408" s="51">
        <f ca="1">IFERROR(__xludf.DUMMYFUNCTION("""COMPUTED_VALUE"""),44597)</f>
        <v>44597</v>
      </c>
      <c r="C3408" s="22">
        <f ca="1">IFERROR(__xludf.DUMMYFUNCTION("""COMPUTED_VALUE"""),500000)</f>
        <v>500000</v>
      </c>
      <c r="D3408" s="22">
        <f ca="1">IFERROR(__xludf.DUMMYFUNCTION("""COMPUTED_VALUE"""),0)</f>
        <v>0</v>
      </c>
      <c r="E3408" s="22">
        <f ca="1">IFERROR(__xludf.DUMMYFUNCTION("""COMPUTED_VALUE"""),500000)</f>
        <v>500000</v>
      </c>
      <c r="F3408" s="22">
        <f ca="1">IFERROR(__xludf.DUMMYFUNCTION("""COMPUTED_VALUE"""),500000)</f>
        <v>500000</v>
      </c>
      <c r="G3408" s="22">
        <f ca="1">IFERROR(__xludf.DUMMYFUNCTION("""COMPUTED_VALUE"""),0)</f>
        <v>0</v>
      </c>
      <c r="H3408" s="7">
        <f ca="1">IFERROR(__xludf.DUMMYFUNCTION("""COMPUTED_VALUE"""),500000)</f>
        <v>500000</v>
      </c>
    </row>
    <row r="3409" spans="1:8" ht="13" x14ac:dyDescent="0.15">
      <c r="A3409" s="5" t="str">
        <f ca="1">IFERROR(__xludf.DUMMYFUNCTION("""COMPUTED_VALUE"""),"73341")</f>
        <v>73341</v>
      </c>
      <c r="B3409" s="51">
        <f ca="1">IFERROR(__xludf.DUMMYFUNCTION("""COMPUTED_VALUE"""),44598)</f>
        <v>44598</v>
      </c>
      <c r="C3409" s="22">
        <f ca="1">IFERROR(__xludf.DUMMYFUNCTION("""COMPUTED_VALUE"""),500000)</f>
        <v>500000</v>
      </c>
      <c r="D3409" s="22">
        <f ca="1">IFERROR(__xludf.DUMMYFUNCTION("""COMPUTED_VALUE"""),0)</f>
        <v>0</v>
      </c>
      <c r="E3409" s="22">
        <f ca="1">IFERROR(__xludf.DUMMYFUNCTION("""COMPUTED_VALUE"""),500000)</f>
        <v>500000</v>
      </c>
      <c r="F3409" s="22">
        <f ca="1">IFERROR(__xludf.DUMMYFUNCTION("""COMPUTED_VALUE"""),500000)</f>
        <v>500000</v>
      </c>
      <c r="G3409" s="22">
        <f ca="1">IFERROR(__xludf.DUMMYFUNCTION("""COMPUTED_VALUE"""),0)</f>
        <v>0</v>
      </c>
      <c r="H3409" s="7">
        <f ca="1">IFERROR(__xludf.DUMMYFUNCTION("""COMPUTED_VALUE"""),500000)</f>
        <v>500000</v>
      </c>
    </row>
    <row r="3410" spans="1:8" ht="13" x14ac:dyDescent="0.15">
      <c r="A3410" s="5" t="str">
        <f ca="1">IFERROR(__xludf.DUMMYFUNCTION("""COMPUTED_VALUE"""),"73341")</f>
        <v>73341</v>
      </c>
      <c r="B3410" s="51">
        <f ca="1">IFERROR(__xludf.DUMMYFUNCTION("""COMPUTED_VALUE"""),44599)</f>
        <v>44599</v>
      </c>
      <c r="C3410" s="22">
        <f ca="1">IFERROR(__xludf.DUMMYFUNCTION("""COMPUTED_VALUE"""),500000)</f>
        <v>500000</v>
      </c>
      <c r="D3410" s="22">
        <f ca="1">IFERROR(__xludf.DUMMYFUNCTION("""COMPUTED_VALUE"""),0)</f>
        <v>0</v>
      </c>
      <c r="E3410" s="22">
        <f ca="1">IFERROR(__xludf.DUMMYFUNCTION("""COMPUTED_VALUE"""),500000)</f>
        <v>500000</v>
      </c>
      <c r="F3410" s="22">
        <f ca="1">IFERROR(__xludf.DUMMYFUNCTION("""COMPUTED_VALUE"""),500000)</f>
        <v>500000</v>
      </c>
      <c r="G3410" s="22">
        <f ca="1">IFERROR(__xludf.DUMMYFUNCTION("""COMPUTED_VALUE"""),0)</f>
        <v>0</v>
      </c>
      <c r="H3410" s="7">
        <f ca="1">IFERROR(__xludf.DUMMYFUNCTION("""COMPUTED_VALUE"""),500000)</f>
        <v>500000</v>
      </c>
    </row>
    <row r="3411" spans="1:8" ht="13" x14ac:dyDescent="0.15">
      <c r="A3411" s="5" t="str">
        <f ca="1">IFERROR(__xludf.DUMMYFUNCTION("""COMPUTED_VALUE"""),"73341")</f>
        <v>73341</v>
      </c>
      <c r="B3411" s="51">
        <f ca="1">IFERROR(__xludf.DUMMYFUNCTION("""COMPUTED_VALUE"""),44600)</f>
        <v>44600</v>
      </c>
      <c r="C3411" s="22">
        <f ca="1">IFERROR(__xludf.DUMMYFUNCTION("""COMPUTED_VALUE"""),500000)</f>
        <v>500000</v>
      </c>
      <c r="D3411" s="22">
        <f ca="1">IFERROR(__xludf.DUMMYFUNCTION("""COMPUTED_VALUE"""),0)</f>
        <v>0</v>
      </c>
      <c r="E3411" s="22">
        <f ca="1">IFERROR(__xludf.DUMMYFUNCTION("""COMPUTED_VALUE"""),500000)</f>
        <v>500000</v>
      </c>
      <c r="F3411" s="22">
        <f ca="1">IFERROR(__xludf.DUMMYFUNCTION("""COMPUTED_VALUE"""),500000)</f>
        <v>500000</v>
      </c>
      <c r="G3411" s="22">
        <f ca="1">IFERROR(__xludf.DUMMYFUNCTION("""COMPUTED_VALUE"""),0)</f>
        <v>0</v>
      </c>
      <c r="H3411" s="7">
        <f ca="1">IFERROR(__xludf.DUMMYFUNCTION("""COMPUTED_VALUE"""),500000)</f>
        <v>500000</v>
      </c>
    </row>
    <row r="3412" spans="1:8" ht="13" x14ac:dyDescent="0.15">
      <c r="A3412" s="5" t="str">
        <f ca="1">IFERROR(__xludf.DUMMYFUNCTION("""COMPUTED_VALUE"""),"73341")</f>
        <v>73341</v>
      </c>
      <c r="B3412" s="51">
        <f ca="1">IFERROR(__xludf.DUMMYFUNCTION("""COMPUTED_VALUE"""),44601)</f>
        <v>44601</v>
      </c>
      <c r="C3412" s="22">
        <f ca="1">IFERROR(__xludf.DUMMYFUNCTION("""COMPUTED_VALUE"""),500000)</f>
        <v>500000</v>
      </c>
      <c r="D3412" s="22">
        <f ca="1">IFERROR(__xludf.DUMMYFUNCTION("""COMPUTED_VALUE"""),0)</f>
        <v>0</v>
      </c>
      <c r="E3412" s="22">
        <f ca="1">IFERROR(__xludf.DUMMYFUNCTION("""COMPUTED_VALUE"""),500000)</f>
        <v>500000</v>
      </c>
      <c r="F3412" s="22">
        <f ca="1">IFERROR(__xludf.DUMMYFUNCTION("""COMPUTED_VALUE"""),500000)</f>
        <v>500000</v>
      </c>
      <c r="G3412" s="22">
        <f ca="1">IFERROR(__xludf.DUMMYFUNCTION("""COMPUTED_VALUE"""),0)</f>
        <v>0</v>
      </c>
      <c r="H3412" s="7">
        <f ca="1">IFERROR(__xludf.DUMMYFUNCTION("""COMPUTED_VALUE"""),500000)</f>
        <v>500000</v>
      </c>
    </row>
    <row r="3413" spans="1:8" ht="13" x14ac:dyDescent="0.15">
      <c r="A3413" s="5" t="str">
        <f ca="1">IFERROR(__xludf.DUMMYFUNCTION("""COMPUTED_VALUE"""),"73341")</f>
        <v>73341</v>
      </c>
      <c r="B3413" s="51">
        <f ca="1">IFERROR(__xludf.DUMMYFUNCTION("""COMPUTED_VALUE"""),44602)</f>
        <v>44602</v>
      </c>
      <c r="C3413" s="22">
        <f ca="1">IFERROR(__xludf.DUMMYFUNCTION("""COMPUTED_VALUE"""),500000)</f>
        <v>500000</v>
      </c>
      <c r="D3413" s="22">
        <f ca="1">IFERROR(__xludf.DUMMYFUNCTION("""COMPUTED_VALUE"""),0)</f>
        <v>0</v>
      </c>
      <c r="E3413" s="22">
        <f ca="1">IFERROR(__xludf.DUMMYFUNCTION("""COMPUTED_VALUE"""),500000)</f>
        <v>500000</v>
      </c>
      <c r="F3413" s="22">
        <f ca="1">IFERROR(__xludf.DUMMYFUNCTION("""COMPUTED_VALUE"""),500000)</f>
        <v>500000</v>
      </c>
      <c r="G3413" s="22">
        <f ca="1">IFERROR(__xludf.DUMMYFUNCTION("""COMPUTED_VALUE"""),0)</f>
        <v>0</v>
      </c>
      <c r="H3413" s="7">
        <f ca="1">IFERROR(__xludf.DUMMYFUNCTION("""COMPUTED_VALUE"""),500000)</f>
        <v>500000</v>
      </c>
    </row>
    <row r="3414" spans="1:8" ht="13" x14ac:dyDescent="0.15">
      <c r="A3414" s="5" t="str">
        <f ca="1">IFERROR(__xludf.DUMMYFUNCTION("""COMPUTED_VALUE"""),"73341")</f>
        <v>73341</v>
      </c>
      <c r="B3414" s="51">
        <f ca="1">IFERROR(__xludf.DUMMYFUNCTION("""COMPUTED_VALUE"""),44603)</f>
        <v>44603</v>
      </c>
      <c r="C3414" s="22">
        <f ca="1">IFERROR(__xludf.DUMMYFUNCTION("""COMPUTED_VALUE"""),500000)</f>
        <v>500000</v>
      </c>
      <c r="D3414" s="22">
        <f ca="1">IFERROR(__xludf.DUMMYFUNCTION("""COMPUTED_VALUE"""),0)</f>
        <v>0</v>
      </c>
      <c r="E3414" s="22">
        <f ca="1">IFERROR(__xludf.DUMMYFUNCTION("""COMPUTED_VALUE"""),500000)</f>
        <v>500000</v>
      </c>
      <c r="F3414" s="22">
        <f ca="1">IFERROR(__xludf.DUMMYFUNCTION("""COMPUTED_VALUE"""),500000)</f>
        <v>500000</v>
      </c>
      <c r="G3414" s="22">
        <f ca="1">IFERROR(__xludf.DUMMYFUNCTION("""COMPUTED_VALUE"""),0)</f>
        <v>0</v>
      </c>
      <c r="H3414" s="7">
        <f ca="1">IFERROR(__xludf.DUMMYFUNCTION("""COMPUTED_VALUE"""),500000)</f>
        <v>500000</v>
      </c>
    </row>
    <row r="3415" spans="1:8" ht="13" x14ac:dyDescent="0.15">
      <c r="A3415" s="5" t="str">
        <f ca="1">IFERROR(__xludf.DUMMYFUNCTION("""COMPUTED_VALUE"""),"73341")</f>
        <v>73341</v>
      </c>
      <c r="B3415" s="51">
        <f ca="1">IFERROR(__xludf.DUMMYFUNCTION("""COMPUTED_VALUE"""),44604)</f>
        <v>44604</v>
      </c>
      <c r="C3415" s="22">
        <f ca="1">IFERROR(__xludf.DUMMYFUNCTION("""COMPUTED_VALUE"""),500000)</f>
        <v>500000</v>
      </c>
      <c r="D3415" s="22">
        <f ca="1">IFERROR(__xludf.DUMMYFUNCTION("""COMPUTED_VALUE"""),0)</f>
        <v>0</v>
      </c>
      <c r="E3415" s="22">
        <f ca="1">IFERROR(__xludf.DUMMYFUNCTION("""COMPUTED_VALUE"""),500000)</f>
        <v>500000</v>
      </c>
      <c r="F3415" s="22">
        <f ca="1">IFERROR(__xludf.DUMMYFUNCTION("""COMPUTED_VALUE"""),500000)</f>
        <v>500000</v>
      </c>
      <c r="G3415" s="22">
        <f ca="1">IFERROR(__xludf.DUMMYFUNCTION("""COMPUTED_VALUE"""),0)</f>
        <v>0</v>
      </c>
      <c r="H3415" s="7">
        <f ca="1">IFERROR(__xludf.DUMMYFUNCTION("""COMPUTED_VALUE"""),500000)</f>
        <v>500000</v>
      </c>
    </row>
    <row r="3416" spans="1:8" ht="13" x14ac:dyDescent="0.15">
      <c r="A3416" s="5" t="str">
        <f ca="1">IFERROR(__xludf.DUMMYFUNCTION("""COMPUTED_VALUE"""),"73341")</f>
        <v>73341</v>
      </c>
      <c r="B3416" s="51">
        <f ca="1">IFERROR(__xludf.DUMMYFUNCTION("""COMPUTED_VALUE"""),44605)</f>
        <v>44605</v>
      </c>
      <c r="C3416" s="22">
        <f ca="1">IFERROR(__xludf.DUMMYFUNCTION("""COMPUTED_VALUE"""),500000)</f>
        <v>500000</v>
      </c>
      <c r="D3416" s="22">
        <f ca="1">IFERROR(__xludf.DUMMYFUNCTION("""COMPUTED_VALUE"""),0)</f>
        <v>0</v>
      </c>
      <c r="E3416" s="22">
        <f ca="1">IFERROR(__xludf.DUMMYFUNCTION("""COMPUTED_VALUE"""),500000)</f>
        <v>500000</v>
      </c>
      <c r="F3416" s="22">
        <f ca="1">IFERROR(__xludf.DUMMYFUNCTION("""COMPUTED_VALUE"""),500000)</f>
        <v>500000</v>
      </c>
      <c r="G3416" s="22">
        <f ca="1">IFERROR(__xludf.DUMMYFUNCTION("""COMPUTED_VALUE"""),0)</f>
        <v>0</v>
      </c>
      <c r="H3416" s="7">
        <f ca="1">IFERROR(__xludf.DUMMYFUNCTION("""COMPUTED_VALUE"""),500000)</f>
        <v>500000</v>
      </c>
    </row>
    <row r="3417" spans="1:8" ht="13" x14ac:dyDescent="0.15">
      <c r="A3417" s="5" t="str">
        <f ca="1">IFERROR(__xludf.DUMMYFUNCTION("""COMPUTED_VALUE"""),"73341")</f>
        <v>73341</v>
      </c>
      <c r="B3417" s="51">
        <f ca="1">IFERROR(__xludf.DUMMYFUNCTION("""COMPUTED_VALUE"""),44606)</f>
        <v>44606</v>
      </c>
      <c r="C3417" s="22">
        <f ca="1">IFERROR(__xludf.DUMMYFUNCTION("""COMPUTED_VALUE"""),500000)</f>
        <v>500000</v>
      </c>
      <c r="D3417" s="22">
        <f ca="1">IFERROR(__xludf.DUMMYFUNCTION("""COMPUTED_VALUE"""),0)</f>
        <v>0</v>
      </c>
      <c r="E3417" s="22">
        <f ca="1">IFERROR(__xludf.DUMMYFUNCTION("""COMPUTED_VALUE"""),500000)</f>
        <v>500000</v>
      </c>
      <c r="F3417" s="22">
        <f ca="1">IFERROR(__xludf.DUMMYFUNCTION("""COMPUTED_VALUE"""),500000)</f>
        <v>500000</v>
      </c>
      <c r="G3417" s="22">
        <f ca="1">IFERROR(__xludf.DUMMYFUNCTION("""COMPUTED_VALUE"""),0)</f>
        <v>0</v>
      </c>
      <c r="H3417" s="7">
        <f ca="1">IFERROR(__xludf.DUMMYFUNCTION("""COMPUTED_VALUE"""),500000)</f>
        <v>500000</v>
      </c>
    </row>
    <row r="3418" spans="1:8" ht="13" x14ac:dyDescent="0.15">
      <c r="A3418" s="5" t="str">
        <f ca="1">IFERROR(__xludf.DUMMYFUNCTION("""COMPUTED_VALUE"""),"73341")</f>
        <v>73341</v>
      </c>
      <c r="B3418" s="51">
        <f ca="1">IFERROR(__xludf.DUMMYFUNCTION("""COMPUTED_VALUE"""),44607)</f>
        <v>44607</v>
      </c>
      <c r="C3418" s="22">
        <f ca="1">IFERROR(__xludf.DUMMYFUNCTION("""COMPUTED_VALUE"""),500000)</f>
        <v>500000</v>
      </c>
      <c r="D3418" s="22">
        <f ca="1">IFERROR(__xludf.DUMMYFUNCTION("""COMPUTED_VALUE"""),0)</f>
        <v>0</v>
      </c>
      <c r="E3418" s="22">
        <f ca="1">IFERROR(__xludf.DUMMYFUNCTION("""COMPUTED_VALUE"""),500000)</f>
        <v>500000</v>
      </c>
      <c r="F3418" s="22">
        <f ca="1">IFERROR(__xludf.DUMMYFUNCTION("""COMPUTED_VALUE"""),500000)</f>
        <v>500000</v>
      </c>
      <c r="G3418" s="22">
        <f ca="1">IFERROR(__xludf.DUMMYFUNCTION("""COMPUTED_VALUE"""),0)</f>
        <v>0</v>
      </c>
      <c r="H3418" s="7">
        <f ca="1">IFERROR(__xludf.DUMMYFUNCTION("""COMPUTED_VALUE"""),500000)</f>
        <v>500000</v>
      </c>
    </row>
    <row r="3419" spans="1:8" ht="13" x14ac:dyDescent="0.15">
      <c r="A3419" s="5" t="str">
        <f ca="1">IFERROR(__xludf.DUMMYFUNCTION("""COMPUTED_VALUE"""),"73341")</f>
        <v>73341</v>
      </c>
      <c r="B3419" s="51">
        <f ca="1">IFERROR(__xludf.DUMMYFUNCTION("""COMPUTED_VALUE"""),44608)</f>
        <v>44608</v>
      </c>
      <c r="C3419" s="22">
        <f ca="1">IFERROR(__xludf.DUMMYFUNCTION("""COMPUTED_VALUE"""),500000)</f>
        <v>500000</v>
      </c>
      <c r="D3419" s="22">
        <f ca="1">IFERROR(__xludf.DUMMYFUNCTION("""COMPUTED_VALUE"""),0)</f>
        <v>0</v>
      </c>
      <c r="E3419" s="22">
        <f ca="1">IFERROR(__xludf.DUMMYFUNCTION("""COMPUTED_VALUE"""),500000)</f>
        <v>500000</v>
      </c>
      <c r="F3419" s="22">
        <f ca="1">IFERROR(__xludf.DUMMYFUNCTION("""COMPUTED_VALUE"""),500000)</f>
        <v>500000</v>
      </c>
      <c r="G3419" s="22">
        <f ca="1">IFERROR(__xludf.DUMMYFUNCTION("""COMPUTED_VALUE"""),0)</f>
        <v>0</v>
      </c>
      <c r="H3419" s="7">
        <f ca="1">IFERROR(__xludf.DUMMYFUNCTION("""COMPUTED_VALUE"""),500000)</f>
        <v>500000</v>
      </c>
    </row>
    <row r="3420" spans="1:8" ht="13" x14ac:dyDescent="0.15">
      <c r="A3420" s="5" t="str">
        <f ca="1">IFERROR(__xludf.DUMMYFUNCTION("""COMPUTED_VALUE"""),"73341")</f>
        <v>73341</v>
      </c>
      <c r="B3420" s="51">
        <f ca="1">IFERROR(__xludf.DUMMYFUNCTION("""COMPUTED_VALUE"""),44609)</f>
        <v>44609</v>
      </c>
      <c r="C3420" s="22">
        <f ca="1">IFERROR(__xludf.DUMMYFUNCTION("""COMPUTED_VALUE"""),500000)</f>
        <v>500000</v>
      </c>
      <c r="D3420" s="22">
        <f ca="1">IFERROR(__xludf.DUMMYFUNCTION("""COMPUTED_VALUE"""),0)</f>
        <v>0</v>
      </c>
      <c r="E3420" s="22">
        <f ca="1">IFERROR(__xludf.DUMMYFUNCTION("""COMPUTED_VALUE"""),500000)</f>
        <v>500000</v>
      </c>
      <c r="F3420" s="22">
        <f ca="1">IFERROR(__xludf.DUMMYFUNCTION("""COMPUTED_VALUE"""),500000)</f>
        <v>500000</v>
      </c>
      <c r="G3420" s="22">
        <f ca="1">IFERROR(__xludf.DUMMYFUNCTION("""COMPUTED_VALUE"""),0)</f>
        <v>0</v>
      </c>
      <c r="H3420" s="7">
        <f ca="1">IFERROR(__xludf.DUMMYFUNCTION("""COMPUTED_VALUE"""),500000)</f>
        <v>500000</v>
      </c>
    </row>
    <row r="3421" spans="1:8" ht="13" x14ac:dyDescent="0.15">
      <c r="A3421" s="5" t="str">
        <f ca="1">IFERROR(__xludf.DUMMYFUNCTION("""COMPUTED_VALUE"""),"73341")</f>
        <v>73341</v>
      </c>
      <c r="B3421" s="51">
        <f ca="1">IFERROR(__xludf.DUMMYFUNCTION("""COMPUTED_VALUE"""),44610)</f>
        <v>44610</v>
      </c>
      <c r="C3421" s="22">
        <f ca="1">IFERROR(__xludf.DUMMYFUNCTION("""COMPUTED_VALUE"""),500000)</f>
        <v>500000</v>
      </c>
      <c r="D3421" s="22">
        <f ca="1">IFERROR(__xludf.DUMMYFUNCTION("""COMPUTED_VALUE"""),0)</f>
        <v>0</v>
      </c>
      <c r="E3421" s="22">
        <f ca="1">IFERROR(__xludf.DUMMYFUNCTION("""COMPUTED_VALUE"""),500000)</f>
        <v>500000</v>
      </c>
      <c r="F3421" s="22">
        <f ca="1">IFERROR(__xludf.DUMMYFUNCTION("""COMPUTED_VALUE"""),500000)</f>
        <v>500000</v>
      </c>
      <c r="G3421" s="22">
        <f ca="1">IFERROR(__xludf.DUMMYFUNCTION("""COMPUTED_VALUE"""),0)</f>
        <v>0</v>
      </c>
      <c r="H3421" s="7">
        <f ca="1">IFERROR(__xludf.DUMMYFUNCTION("""COMPUTED_VALUE"""),500000)</f>
        <v>500000</v>
      </c>
    </row>
    <row r="3422" spans="1:8" ht="13" x14ac:dyDescent="0.15">
      <c r="A3422" s="5" t="str">
        <f ca="1">IFERROR(__xludf.DUMMYFUNCTION("""COMPUTED_VALUE"""),"73341")</f>
        <v>73341</v>
      </c>
      <c r="B3422" s="51">
        <f ca="1">IFERROR(__xludf.DUMMYFUNCTION("""COMPUTED_VALUE"""),44611)</f>
        <v>44611</v>
      </c>
      <c r="C3422" s="22">
        <f ca="1">IFERROR(__xludf.DUMMYFUNCTION("""COMPUTED_VALUE"""),500000)</f>
        <v>500000</v>
      </c>
      <c r="D3422" s="22">
        <f ca="1">IFERROR(__xludf.DUMMYFUNCTION("""COMPUTED_VALUE"""),0)</f>
        <v>0</v>
      </c>
      <c r="E3422" s="22">
        <f ca="1">IFERROR(__xludf.DUMMYFUNCTION("""COMPUTED_VALUE"""),500000)</f>
        <v>500000</v>
      </c>
      <c r="F3422" s="22">
        <f ca="1">IFERROR(__xludf.DUMMYFUNCTION("""COMPUTED_VALUE"""),500000)</f>
        <v>500000</v>
      </c>
      <c r="G3422" s="22">
        <f ca="1">IFERROR(__xludf.DUMMYFUNCTION("""COMPUTED_VALUE"""),0)</f>
        <v>0</v>
      </c>
      <c r="H3422" s="7">
        <f ca="1">IFERROR(__xludf.DUMMYFUNCTION("""COMPUTED_VALUE"""),500000)</f>
        <v>500000</v>
      </c>
    </row>
    <row r="3423" spans="1:8" ht="13" x14ac:dyDescent="0.15">
      <c r="A3423" s="5" t="str">
        <f ca="1">IFERROR(__xludf.DUMMYFUNCTION("""COMPUTED_VALUE"""),"73341")</f>
        <v>73341</v>
      </c>
      <c r="B3423" s="51">
        <f ca="1">IFERROR(__xludf.DUMMYFUNCTION("""COMPUTED_VALUE"""),44612)</f>
        <v>44612</v>
      </c>
      <c r="C3423" s="22">
        <f ca="1">IFERROR(__xludf.DUMMYFUNCTION("""COMPUTED_VALUE"""),500000)</f>
        <v>500000</v>
      </c>
      <c r="D3423" s="22">
        <f ca="1">IFERROR(__xludf.DUMMYFUNCTION("""COMPUTED_VALUE"""),0)</f>
        <v>0</v>
      </c>
      <c r="E3423" s="22">
        <f ca="1">IFERROR(__xludf.DUMMYFUNCTION("""COMPUTED_VALUE"""),500000)</f>
        <v>500000</v>
      </c>
      <c r="F3423" s="22">
        <f ca="1">IFERROR(__xludf.DUMMYFUNCTION("""COMPUTED_VALUE"""),500000)</f>
        <v>500000</v>
      </c>
      <c r="G3423" s="22">
        <f ca="1">IFERROR(__xludf.DUMMYFUNCTION("""COMPUTED_VALUE"""),0)</f>
        <v>0</v>
      </c>
      <c r="H3423" s="7">
        <f ca="1">IFERROR(__xludf.DUMMYFUNCTION("""COMPUTED_VALUE"""),500000)</f>
        <v>500000</v>
      </c>
    </row>
    <row r="3424" spans="1:8" ht="13" x14ac:dyDescent="0.15">
      <c r="A3424" s="5" t="str">
        <f ca="1">IFERROR(__xludf.DUMMYFUNCTION("""COMPUTED_VALUE"""),"73341")</f>
        <v>73341</v>
      </c>
      <c r="B3424" s="51">
        <f ca="1">IFERROR(__xludf.DUMMYFUNCTION("""COMPUTED_VALUE"""),44613)</f>
        <v>44613</v>
      </c>
      <c r="C3424" s="22">
        <f ca="1">IFERROR(__xludf.DUMMYFUNCTION("""COMPUTED_VALUE"""),500000)</f>
        <v>500000</v>
      </c>
      <c r="D3424" s="22">
        <f ca="1">IFERROR(__xludf.DUMMYFUNCTION("""COMPUTED_VALUE"""),0)</f>
        <v>0</v>
      </c>
      <c r="E3424" s="22">
        <f ca="1">IFERROR(__xludf.DUMMYFUNCTION("""COMPUTED_VALUE"""),500000)</f>
        <v>500000</v>
      </c>
      <c r="F3424" s="22">
        <f ca="1">IFERROR(__xludf.DUMMYFUNCTION("""COMPUTED_VALUE"""),500000)</f>
        <v>500000</v>
      </c>
      <c r="G3424" s="22">
        <f ca="1">IFERROR(__xludf.DUMMYFUNCTION("""COMPUTED_VALUE"""),0)</f>
        <v>0</v>
      </c>
      <c r="H3424" s="7">
        <f ca="1">IFERROR(__xludf.DUMMYFUNCTION("""COMPUTED_VALUE"""),500000)</f>
        <v>500000</v>
      </c>
    </row>
    <row r="3425" spans="1:8" ht="13" x14ac:dyDescent="0.15">
      <c r="A3425" s="5" t="str">
        <f ca="1">IFERROR(__xludf.DUMMYFUNCTION("""COMPUTED_VALUE"""),"73341")</f>
        <v>73341</v>
      </c>
      <c r="B3425" s="51">
        <f ca="1">IFERROR(__xludf.DUMMYFUNCTION("""COMPUTED_VALUE"""),44614)</f>
        <v>44614</v>
      </c>
      <c r="C3425" s="22">
        <f ca="1">IFERROR(__xludf.DUMMYFUNCTION("""COMPUTED_VALUE"""),500000)</f>
        <v>500000</v>
      </c>
      <c r="D3425" s="22">
        <f ca="1">IFERROR(__xludf.DUMMYFUNCTION("""COMPUTED_VALUE"""),0)</f>
        <v>0</v>
      </c>
      <c r="E3425" s="22">
        <f ca="1">IFERROR(__xludf.DUMMYFUNCTION("""COMPUTED_VALUE"""),500000)</f>
        <v>500000</v>
      </c>
      <c r="F3425" s="22">
        <f ca="1">IFERROR(__xludf.DUMMYFUNCTION("""COMPUTED_VALUE"""),500000)</f>
        <v>500000</v>
      </c>
      <c r="G3425" s="22">
        <f ca="1">IFERROR(__xludf.DUMMYFUNCTION("""COMPUTED_VALUE"""),0)</f>
        <v>0</v>
      </c>
      <c r="H3425" s="7">
        <f ca="1">IFERROR(__xludf.DUMMYFUNCTION("""COMPUTED_VALUE"""),500000)</f>
        <v>500000</v>
      </c>
    </row>
    <row r="3426" spans="1:8" ht="13" x14ac:dyDescent="0.15">
      <c r="A3426" s="5" t="str">
        <f ca="1">IFERROR(__xludf.DUMMYFUNCTION("""COMPUTED_VALUE"""),"73341")</f>
        <v>73341</v>
      </c>
      <c r="B3426" s="51">
        <f ca="1">IFERROR(__xludf.DUMMYFUNCTION("""COMPUTED_VALUE"""),44615)</f>
        <v>44615</v>
      </c>
      <c r="C3426" s="22">
        <f ca="1">IFERROR(__xludf.DUMMYFUNCTION("""COMPUTED_VALUE"""),500000)</f>
        <v>500000</v>
      </c>
      <c r="D3426" s="22">
        <f ca="1">IFERROR(__xludf.DUMMYFUNCTION("""COMPUTED_VALUE"""),0)</f>
        <v>0</v>
      </c>
      <c r="E3426" s="22">
        <f ca="1">IFERROR(__xludf.DUMMYFUNCTION("""COMPUTED_VALUE"""),500000)</f>
        <v>500000</v>
      </c>
      <c r="F3426" s="22">
        <f ca="1">IFERROR(__xludf.DUMMYFUNCTION("""COMPUTED_VALUE"""),500000)</f>
        <v>500000</v>
      </c>
      <c r="G3426" s="22">
        <f ca="1">IFERROR(__xludf.DUMMYFUNCTION("""COMPUTED_VALUE"""),0)</f>
        <v>0</v>
      </c>
      <c r="H3426" s="7">
        <f ca="1">IFERROR(__xludf.DUMMYFUNCTION("""COMPUTED_VALUE"""),500000)</f>
        <v>500000</v>
      </c>
    </row>
    <row r="3427" spans="1:8" ht="13" x14ac:dyDescent="0.15">
      <c r="A3427" s="5" t="str">
        <f ca="1">IFERROR(__xludf.DUMMYFUNCTION("""COMPUTED_VALUE"""),"73341")</f>
        <v>73341</v>
      </c>
      <c r="B3427" s="51">
        <f ca="1">IFERROR(__xludf.DUMMYFUNCTION("""COMPUTED_VALUE"""),44616)</f>
        <v>44616</v>
      </c>
      <c r="C3427" s="22">
        <f ca="1">IFERROR(__xludf.DUMMYFUNCTION("""COMPUTED_VALUE"""),500000)</f>
        <v>500000</v>
      </c>
      <c r="D3427" s="22">
        <f ca="1">IFERROR(__xludf.DUMMYFUNCTION("""COMPUTED_VALUE"""),0)</f>
        <v>0</v>
      </c>
      <c r="E3427" s="22">
        <f ca="1">IFERROR(__xludf.DUMMYFUNCTION("""COMPUTED_VALUE"""),500000)</f>
        <v>500000</v>
      </c>
      <c r="F3427" s="22">
        <f ca="1">IFERROR(__xludf.DUMMYFUNCTION("""COMPUTED_VALUE"""),500000)</f>
        <v>500000</v>
      </c>
      <c r="G3427" s="22">
        <f ca="1">IFERROR(__xludf.DUMMYFUNCTION("""COMPUTED_VALUE"""),0)</f>
        <v>0</v>
      </c>
      <c r="H3427" s="7">
        <f ca="1">IFERROR(__xludf.DUMMYFUNCTION("""COMPUTED_VALUE"""),500000)</f>
        <v>500000</v>
      </c>
    </row>
    <row r="3428" spans="1:8" ht="13" x14ac:dyDescent="0.15">
      <c r="A3428" s="5" t="str">
        <f ca="1">IFERROR(__xludf.DUMMYFUNCTION("""COMPUTED_VALUE"""),"73341")</f>
        <v>73341</v>
      </c>
      <c r="B3428" s="51">
        <f ca="1">IFERROR(__xludf.DUMMYFUNCTION("""COMPUTED_VALUE"""),44617)</f>
        <v>44617</v>
      </c>
      <c r="C3428" s="22">
        <f ca="1">IFERROR(__xludf.DUMMYFUNCTION("""COMPUTED_VALUE"""),500000)</f>
        <v>500000</v>
      </c>
      <c r="D3428" s="22">
        <f ca="1">IFERROR(__xludf.DUMMYFUNCTION("""COMPUTED_VALUE"""),0)</f>
        <v>0</v>
      </c>
      <c r="E3428" s="22">
        <f ca="1">IFERROR(__xludf.DUMMYFUNCTION("""COMPUTED_VALUE"""),500000)</f>
        <v>500000</v>
      </c>
      <c r="F3428" s="22">
        <f ca="1">IFERROR(__xludf.DUMMYFUNCTION("""COMPUTED_VALUE"""),500000)</f>
        <v>500000</v>
      </c>
      <c r="G3428" s="22">
        <f ca="1">IFERROR(__xludf.DUMMYFUNCTION("""COMPUTED_VALUE"""),0)</f>
        <v>0</v>
      </c>
      <c r="H3428" s="7">
        <f ca="1">IFERROR(__xludf.DUMMYFUNCTION("""COMPUTED_VALUE"""),500000)</f>
        <v>500000</v>
      </c>
    </row>
    <row r="3429" spans="1:8" ht="13" x14ac:dyDescent="0.15">
      <c r="A3429" s="5" t="str">
        <f ca="1">IFERROR(__xludf.DUMMYFUNCTION("""COMPUTED_VALUE"""),"73341")</f>
        <v>73341</v>
      </c>
      <c r="B3429" s="51">
        <f ca="1">IFERROR(__xludf.DUMMYFUNCTION("""COMPUTED_VALUE"""),44618)</f>
        <v>44618</v>
      </c>
      <c r="C3429" s="22">
        <f ca="1">IFERROR(__xludf.DUMMYFUNCTION("""COMPUTED_VALUE"""),500000)</f>
        <v>500000</v>
      </c>
      <c r="D3429" s="22">
        <f ca="1">IFERROR(__xludf.DUMMYFUNCTION("""COMPUTED_VALUE"""),0)</f>
        <v>0</v>
      </c>
      <c r="E3429" s="22">
        <f ca="1">IFERROR(__xludf.DUMMYFUNCTION("""COMPUTED_VALUE"""),500000)</f>
        <v>500000</v>
      </c>
      <c r="F3429" s="22">
        <f ca="1">IFERROR(__xludf.DUMMYFUNCTION("""COMPUTED_VALUE"""),500000)</f>
        <v>500000</v>
      </c>
      <c r="G3429" s="22">
        <f ca="1">IFERROR(__xludf.DUMMYFUNCTION("""COMPUTED_VALUE"""),0)</f>
        <v>0</v>
      </c>
      <c r="H3429" s="7">
        <f ca="1">IFERROR(__xludf.DUMMYFUNCTION("""COMPUTED_VALUE"""),500000)</f>
        <v>500000</v>
      </c>
    </row>
    <row r="3430" spans="1:8" ht="13" x14ac:dyDescent="0.15">
      <c r="A3430" s="5" t="str">
        <f ca="1">IFERROR(__xludf.DUMMYFUNCTION("""COMPUTED_VALUE"""),"73341")</f>
        <v>73341</v>
      </c>
      <c r="B3430" s="51">
        <f ca="1">IFERROR(__xludf.DUMMYFUNCTION("""COMPUTED_VALUE"""),44619)</f>
        <v>44619</v>
      </c>
      <c r="C3430" s="22">
        <f ca="1">IFERROR(__xludf.DUMMYFUNCTION("""COMPUTED_VALUE"""),500000)</f>
        <v>500000</v>
      </c>
      <c r="D3430" s="22">
        <f ca="1">IFERROR(__xludf.DUMMYFUNCTION("""COMPUTED_VALUE"""),0)</f>
        <v>0</v>
      </c>
      <c r="E3430" s="22">
        <f ca="1">IFERROR(__xludf.DUMMYFUNCTION("""COMPUTED_VALUE"""),500000)</f>
        <v>500000</v>
      </c>
      <c r="F3430" s="22">
        <f ca="1">IFERROR(__xludf.DUMMYFUNCTION("""COMPUTED_VALUE"""),500000)</f>
        <v>500000</v>
      </c>
      <c r="G3430" s="22">
        <f ca="1">IFERROR(__xludf.DUMMYFUNCTION("""COMPUTED_VALUE"""),0)</f>
        <v>0</v>
      </c>
      <c r="H3430" s="7">
        <f ca="1">IFERROR(__xludf.DUMMYFUNCTION("""COMPUTED_VALUE"""),500000)</f>
        <v>500000</v>
      </c>
    </row>
    <row r="3431" spans="1:8" ht="13" x14ac:dyDescent="0.15">
      <c r="A3431" s="5" t="str">
        <f ca="1">IFERROR(__xludf.DUMMYFUNCTION("""COMPUTED_VALUE"""),"73341")</f>
        <v>73341</v>
      </c>
      <c r="B3431" s="51">
        <f ca="1">IFERROR(__xludf.DUMMYFUNCTION("""COMPUTED_VALUE"""),44620)</f>
        <v>44620</v>
      </c>
      <c r="C3431" s="22">
        <f ca="1">IFERROR(__xludf.DUMMYFUNCTION("""COMPUTED_VALUE"""),500000)</f>
        <v>500000</v>
      </c>
      <c r="D3431" s="22">
        <f ca="1">IFERROR(__xludf.DUMMYFUNCTION("""COMPUTED_VALUE"""),0)</f>
        <v>0</v>
      </c>
      <c r="E3431" s="22">
        <f ca="1">IFERROR(__xludf.DUMMYFUNCTION("""COMPUTED_VALUE"""),500000)</f>
        <v>500000</v>
      </c>
      <c r="F3431" s="22">
        <f ca="1">IFERROR(__xludf.DUMMYFUNCTION("""COMPUTED_VALUE"""),500000)</f>
        <v>500000</v>
      </c>
      <c r="G3431" s="22">
        <f ca="1">IFERROR(__xludf.DUMMYFUNCTION("""COMPUTED_VALUE"""),0)</f>
        <v>0</v>
      </c>
      <c r="H3431" s="7">
        <f ca="1">IFERROR(__xludf.DUMMYFUNCTION("""COMPUTED_VALUE"""),500000)</f>
        <v>500000</v>
      </c>
    </row>
    <row r="3432" spans="1:8" ht="13" x14ac:dyDescent="0.15">
      <c r="A3432" s="5" t="str">
        <f ca="1">IFERROR(__xludf.DUMMYFUNCTION("""COMPUTED_VALUE"""),"73341")</f>
        <v>73341</v>
      </c>
      <c r="B3432" s="51">
        <f ca="1">IFERROR(__xludf.DUMMYFUNCTION("""COMPUTED_VALUE"""),44621)</f>
        <v>44621</v>
      </c>
      <c r="C3432" s="22">
        <f ca="1">IFERROR(__xludf.DUMMYFUNCTION("""COMPUTED_VALUE"""),500000)</f>
        <v>500000</v>
      </c>
      <c r="D3432" s="22">
        <f ca="1">IFERROR(__xludf.DUMMYFUNCTION("""COMPUTED_VALUE"""),0)</f>
        <v>0</v>
      </c>
      <c r="E3432" s="22">
        <f ca="1">IFERROR(__xludf.DUMMYFUNCTION("""COMPUTED_VALUE"""),500000)</f>
        <v>500000</v>
      </c>
      <c r="F3432" s="22">
        <f ca="1">IFERROR(__xludf.DUMMYFUNCTION("""COMPUTED_VALUE"""),500000)</f>
        <v>500000</v>
      </c>
      <c r="G3432" s="22">
        <f ca="1">IFERROR(__xludf.DUMMYFUNCTION("""COMPUTED_VALUE"""),0)</f>
        <v>0</v>
      </c>
      <c r="H3432" s="7">
        <f ca="1">IFERROR(__xludf.DUMMYFUNCTION("""COMPUTED_VALUE"""),500000)</f>
        <v>500000</v>
      </c>
    </row>
    <row r="3433" spans="1:8" ht="13" x14ac:dyDescent="0.15">
      <c r="A3433" s="5" t="str">
        <f ca="1">IFERROR(__xludf.DUMMYFUNCTION("""COMPUTED_VALUE"""),"73341")</f>
        <v>73341</v>
      </c>
      <c r="B3433" s="51">
        <f ca="1">IFERROR(__xludf.DUMMYFUNCTION("""COMPUTED_VALUE"""),44622)</f>
        <v>44622</v>
      </c>
      <c r="C3433" s="22">
        <f ca="1">IFERROR(__xludf.DUMMYFUNCTION("""COMPUTED_VALUE"""),500000)</f>
        <v>500000</v>
      </c>
      <c r="D3433" s="22">
        <f ca="1">IFERROR(__xludf.DUMMYFUNCTION("""COMPUTED_VALUE"""),0)</f>
        <v>0</v>
      </c>
      <c r="E3433" s="22">
        <f ca="1">IFERROR(__xludf.DUMMYFUNCTION("""COMPUTED_VALUE"""),500000)</f>
        <v>500000</v>
      </c>
      <c r="F3433" s="22">
        <f ca="1">IFERROR(__xludf.DUMMYFUNCTION("""COMPUTED_VALUE"""),500000)</f>
        <v>500000</v>
      </c>
      <c r="G3433" s="22">
        <f ca="1">IFERROR(__xludf.DUMMYFUNCTION("""COMPUTED_VALUE"""),0)</f>
        <v>0</v>
      </c>
      <c r="H3433" s="7">
        <f ca="1">IFERROR(__xludf.DUMMYFUNCTION("""COMPUTED_VALUE"""),500000)</f>
        <v>500000</v>
      </c>
    </row>
    <row r="3434" spans="1:8" ht="13" x14ac:dyDescent="0.15">
      <c r="A3434" s="5" t="str">
        <f ca="1">IFERROR(__xludf.DUMMYFUNCTION("""COMPUTED_VALUE"""),"73341")</f>
        <v>73341</v>
      </c>
      <c r="B3434" s="51">
        <f ca="1">IFERROR(__xludf.DUMMYFUNCTION("""COMPUTED_VALUE"""),44623)</f>
        <v>44623</v>
      </c>
      <c r="C3434" s="22">
        <f ca="1">IFERROR(__xludf.DUMMYFUNCTION("""COMPUTED_VALUE"""),500000)</f>
        <v>500000</v>
      </c>
      <c r="D3434" s="22">
        <f ca="1">IFERROR(__xludf.DUMMYFUNCTION("""COMPUTED_VALUE"""),0)</f>
        <v>0</v>
      </c>
      <c r="E3434" s="22">
        <f ca="1">IFERROR(__xludf.DUMMYFUNCTION("""COMPUTED_VALUE"""),500000)</f>
        <v>500000</v>
      </c>
      <c r="F3434" s="22">
        <f ca="1">IFERROR(__xludf.DUMMYFUNCTION("""COMPUTED_VALUE"""),500000)</f>
        <v>500000</v>
      </c>
      <c r="G3434" s="22">
        <f ca="1">IFERROR(__xludf.DUMMYFUNCTION("""COMPUTED_VALUE"""),0)</f>
        <v>0</v>
      </c>
      <c r="H3434" s="7">
        <f ca="1">IFERROR(__xludf.DUMMYFUNCTION("""COMPUTED_VALUE"""),500000)</f>
        <v>500000</v>
      </c>
    </row>
    <row r="3435" spans="1:8" ht="13" x14ac:dyDescent="0.15">
      <c r="A3435" s="5" t="str">
        <f ca="1">IFERROR(__xludf.DUMMYFUNCTION("""COMPUTED_VALUE"""),"73341")</f>
        <v>73341</v>
      </c>
      <c r="B3435" s="51">
        <f ca="1">IFERROR(__xludf.DUMMYFUNCTION("""COMPUTED_VALUE"""),44624)</f>
        <v>44624</v>
      </c>
      <c r="C3435" s="22">
        <f ca="1">IFERROR(__xludf.DUMMYFUNCTION("""COMPUTED_VALUE"""),500000)</f>
        <v>500000</v>
      </c>
      <c r="D3435" s="22">
        <f ca="1">IFERROR(__xludf.DUMMYFUNCTION("""COMPUTED_VALUE"""),0)</f>
        <v>0</v>
      </c>
      <c r="E3435" s="22">
        <f ca="1">IFERROR(__xludf.DUMMYFUNCTION("""COMPUTED_VALUE"""),500000)</f>
        <v>500000</v>
      </c>
      <c r="F3435" s="22">
        <f ca="1">IFERROR(__xludf.DUMMYFUNCTION("""COMPUTED_VALUE"""),500000)</f>
        <v>500000</v>
      </c>
      <c r="G3435" s="22">
        <f ca="1">IFERROR(__xludf.DUMMYFUNCTION("""COMPUTED_VALUE"""),0)</f>
        <v>0</v>
      </c>
      <c r="H3435" s="7">
        <f ca="1">IFERROR(__xludf.DUMMYFUNCTION("""COMPUTED_VALUE"""),500000)</f>
        <v>500000</v>
      </c>
    </row>
    <row r="3436" spans="1:8" ht="13" x14ac:dyDescent="0.15">
      <c r="A3436" s="5" t="str">
        <f ca="1">IFERROR(__xludf.DUMMYFUNCTION("""COMPUTED_VALUE"""),"73341")</f>
        <v>73341</v>
      </c>
      <c r="B3436" s="51">
        <f ca="1">IFERROR(__xludf.DUMMYFUNCTION("""COMPUTED_VALUE"""),44625)</f>
        <v>44625</v>
      </c>
      <c r="C3436" s="22">
        <f ca="1">IFERROR(__xludf.DUMMYFUNCTION("""COMPUTED_VALUE"""),500000)</f>
        <v>500000</v>
      </c>
      <c r="D3436" s="22">
        <f ca="1">IFERROR(__xludf.DUMMYFUNCTION("""COMPUTED_VALUE"""),0)</f>
        <v>0</v>
      </c>
      <c r="E3436" s="22">
        <f ca="1">IFERROR(__xludf.DUMMYFUNCTION("""COMPUTED_VALUE"""),500000)</f>
        <v>500000</v>
      </c>
      <c r="F3436" s="22">
        <f ca="1">IFERROR(__xludf.DUMMYFUNCTION("""COMPUTED_VALUE"""),500000)</f>
        <v>500000</v>
      </c>
      <c r="G3436" s="22">
        <f ca="1">IFERROR(__xludf.DUMMYFUNCTION("""COMPUTED_VALUE"""),0)</f>
        <v>0</v>
      </c>
      <c r="H3436" s="7">
        <f ca="1">IFERROR(__xludf.DUMMYFUNCTION("""COMPUTED_VALUE"""),500000)</f>
        <v>500000</v>
      </c>
    </row>
    <row r="3437" spans="1:8" ht="13" x14ac:dyDescent="0.15">
      <c r="A3437" s="5" t="str">
        <f ca="1">IFERROR(__xludf.DUMMYFUNCTION("""COMPUTED_VALUE"""),"73341")</f>
        <v>73341</v>
      </c>
      <c r="B3437" s="51">
        <f ca="1">IFERROR(__xludf.DUMMYFUNCTION("""COMPUTED_VALUE"""),44626)</f>
        <v>44626</v>
      </c>
      <c r="C3437" s="22">
        <f ca="1">IFERROR(__xludf.DUMMYFUNCTION("""COMPUTED_VALUE"""),500000)</f>
        <v>500000</v>
      </c>
      <c r="D3437" s="22">
        <f ca="1">IFERROR(__xludf.DUMMYFUNCTION("""COMPUTED_VALUE"""),0)</f>
        <v>0</v>
      </c>
      <c r="E3437" s="22">
        <f ca="1">IFERROR(__xludf.DUMMYFUNCTION("""COMPUTED_VALUE"""),500000)</f>
        <v>500000</v>
      </c>
      <c r="F3437" s="22">
        <f ca="1">IFERROR(__xludf.DUMMYFUNCTION("""COMPUTED_VALUE"""),500000)</f>
        <v>500000</v>
      </c>
      <c r="G3437" s="22">
        <f ca="1">IFERROR(__xludf.DUMMYFUNCTION("""COMPUTED_VALUE"""),0)</f>
        <v>0</v>
      </c>
      <c r="H3437" s="7">
        <f ca="1">IFERROR(__xludf.DUMMYFUNCTION("""COMPUTED_VALUE"""),500000)</f>
        <v>500000</v>
      </c>
    </row>
    <row r="3438" spans="1:8" ht="13" x14ac:dyDescent="0.15">
      <c r="A3438" s="5" t="str">
        <f ca="1">IFERROR(__xludf.DUMMYFUNCTION("""COMPUTED_VALUE"""),"73341")</f>
        <v>73341</v>
      </c>
      <c r="B3438" s="51">
        <f ca="1">IFERROR(__xludf.DUMMYFUNCTION("""COMPUTED_VALUE"""),44627)</f>
        <v>44627</v>
      </c>
      <c r="C3438" s="22">
        <f ca="1">IFERROR(__xludf.DUMMYFUNCTION("""COMPUTED_VALUE"""),500000)</f>
        <v>500000</v>
      </c>
      <c r="D3438" s="22">
        <f ca="1">IFERROR(__xludf.DUMMYFUNCTION("""COMPUTED_VALUE"""),0)</f>
        <v>0</v>
      </c>
      <c r="E3438" s="22">
        <f ca="1">IFERROR(__xludf.DUMMYFUNCTION("""COMPUTED_VALUE"""),500000)</f>
        <v>500000</v>
      </c>
      <c r="F3438" s="22">
        <f ca="1">IFERROR(__xludf.DUMMYFUNCTION("""COMPUTED_VALUE"""),500000)</f>
        <v>500000</v>
      </c>
      <c r="G3438" s="22">
        <f ca="1">IFERROR(__xludf.DUMMYFUNCTION("""COMPUTED_VALUE"""),0)</f>
        <v>0</v>
      </c>
      <c r="H3438" s="7">
        <f ca="1">IFERROR(__xludf.DUMMYFUNCTION("""COMPUTED_VALUE"""),500000)</f>
        <v>500000</v>
      </c>
    </row>
    <row r="3439" spans="1:8" ht="13" x14ac:dyDescent="0.15">
      <c r="A3439" s="5" t="str">
        <f ca="1">IFERROR(__xludf.DUMMYFUNCTION("""COMPUTED_VALUE"""),"73341")</f>
        <v>73341</v>
      </c>
      <c r="B3439" s="51">
        <f ca="1">IFERROR(__xludf.DUMMYFUNCTION("""COMPUTED_VALUE"""),44628)</f>
        <v>44628</v>
      </c>
      <c r="C3439" s="22">
        <f ca="1">IFERROR(__xludf.DUMMYFUNCTION("""COMPUTED_VALUE"""),500000)</f>
        <v>500000</v>
      </c>
      <c r="D3439" s="22">
        <f ca="1">IFERROR(__xludf.DUMMYFUNCTION("""COMPUTED_VALUE"""),0)</f>
        <v>0</v>
      </c>
      <c r="E3439" s="22">
        <f ca="1">IFERROR(__xludf.DUMMYFUNCTION("""COMPUTED_VALUE"""),500000)</f>
        <v>500000</v>
      </c>
      <c r="F3439" s="22">
        <f ca="1">IFERROR(__xludf.DUMMYFUNCTION("""COMPUTED_VALUE"""),500000)</f>
        <v>500000</v>
      </c>
      <c r="G3439" s="22">
        <f ca="1">IFERROR(__xludf.DUMMYFUNCTION("""COMPUTED_VALUE"""),0)</f>
        <v>0</v>
      </c>
      <c r="H3439" s="7">
        <f ca="1">IFERROR(__xludf.DUMMYFUNCTION("""COMPUTED_VALUE"""),500000)</f>
        <v>500000</v>
      </c>
    </row>
    <row r="3440" spans="1:8" ht="13" x14ac:dyDescent="0.15">
      <c r="A3440" s="5" t="str">
        <f ca="1">IFERROR(__xludf.DUMMYFUNCTION("""COMPUTED_VALUE"""),"73341")</f>
        <v>73341</v>
      </c>
      <c r="B3440" s="51">
        <f ca="1">IFERROR(__xludf.DUMMYFUNCTION("""COMPUTED_VALUE"""),44629)</f>
        <v>44629</v>
      </c>
      <c r="C3440" s="22">
        <f ca="1">IFERROR(__xludf.DUMMYFUNCTION("""COMPUTED_VALUE"""),500000)</f>
        <v>500000</v>
      </c>
      <c r="D3440" s="22">
        <f ca="1">IFERROR(__xludf.DUMMYFUNCTION("""COMPUTED_VALUE"""),0)</f>
        <v>0</v>
      </c>
      <c r="E3440" s="22">
        <f ca="1">IFERROR(__xludf.DUMMYFUNCTION("""COMPUTED_VALUE"""),500000)</f>
        <v>500000</v>
      </c>
      <c r="F3440" s="22">
        <f ca="1">IFERROR(__xludf.DUMMYFUNCTION("""COMPUTED_VALUE"""),500000)</f>
        <v>500000</v>
      </c>
      <c r="G3440" s="22">
        <f ca="1">IFERROR(__xludf.DUMMYFUNCTION("""COMPUTED_VALUE"""),0)</f>
        <v>0</v>
      </c>
      <c r="H3440" s="7">
        <f ca="1">IFERROR(__xludf.DUMMYFUNCTION("""COMPUTED_VALUE"""),500000)</f>
        <v>500000</v>
      </c>
    </row>
    <row r="3441" spans="1:8" ht="13" x14ac:dyDescent="0.15">
      <c r="A3441" s="5" t="str">
        <f ca="1">IFERROR(__xludf.DUMMYFUNCTION("""COMPUTED_VALUE"""),"73341")</f>
        <v>73341</v>
      </c>
      <c r="B3441" s="51">
        <f ca="1">IFERROR(__xludf.DUMMYFUNCTION("""COMPUTED_VALUE"""),44630)</f>
        <v>44630</v>
      </c>
      <c r="C3441" s="22">
        <f ca="1">IFERROR(__xludf.DUMMYFUNCTION("""COMPUTED_VALUE"""),500000)</f>
        <v>500000</v>
      </c>
      <c r="D3441" s="22">
        <f ca="1">IFERROR(__xludf.DUMMYFUNCTION("""COMPUTED_VALUE"""),0)</f>
        <v>0</v>
      </c>
      <c r="E3441" s="22">
        <f ca="1">IFERROR(__xludf.DUMMYFUNCTION("""COMPUTED_VALUE"""),500000)</f>
        <v>500000</v>
      </c>
      <c r="F3441" s="22">
        <f ca="1">IFERROR(__xludf.DUMMYFUNCTION("""COMPUTED_VALUE"""),500000)</f>
        <v>500000</v>
      </c>
      <c r="G3441" s="22">
        <f ca="1">IFERROR(__xludf.DUMMYFUNCTION("""COMPUTED_VALUE"""),0)</f>
        <v>0</v>
      </c>
      <c r="H3441" s="7">
        <f ca="1">IFERROR(__xludf.DUMMYFUNCTION("""COMPUTED_VALUE"""),500000)</f>
        <v>500000</v>
      </c>
    </row>
    <row r="3442" spans="1:8" ht="13" x14ac:dyDescent="0.15">
      <c r="A3442" s="5" t="str">
        <f ca="1">IFERROR(__xludf.DUMMYFUNCTION("""COMPUTED_VALUE"""),"73341")</f>
        <v>73341</v>
      </c>
      <c r="B3442" s="51">
        <f ca="1">IFERROR(__xludf.DUMMYFUNCTION("""COMPUTED_VALUE"""),44631)</f>
        <v>44631</v>
      </c>
      <c r="C3442" s="22">
        <f ca="1">IFERROR(__xludf.DUMMYFUNCTION("""COMPUTED_VALUE"""),500000)</f>
        <v>500000</v>
      </c>
      <c r="D3442" s="22">
        <f ca="1">IFERROR(__xludf.DUMMYFUNCTION("""COMPUTED_VALUE"""),0)</f>
        <v>0</v>
      </c>
      <c r="E3442" s="22">
        <f ca="1">IFERROR(__xludf.DUMMYFUNCTION("""COMPUTED_VALUE"""),500000)</f>
        <v>500000</v>
      </c>
      <c r="F3442" s="22">
        <f ca="1">IFERROR(__xludf.DUMMYFUNCTION("""COMPUTED_VALUE"""),500000)</f>
        <v>500000</v>
      </c>
      <c r="G3442" s="22">
        <f ca="1">IFERROR(__xludf.DUMMYFUNCTION("""COMPUTED_VALUE"""),0)</f>
        <v>0</v>
      </c>
      <c r="H3442" s="7">
        <f ca="1">IFERROR(__xludf.DUMMYFUNCTION("""COMPUTED_VALUE"""),500000)</f>
        <v>500000</v>
      </c>
    </row>
    <row r="3443" spans="1:8" ht="13" x14ac:dyDescent="0.15">
      <c r="A3443" s="5" t="str">
        <f ca="1">IFERROR(__xludf.DUMMYFUNCTION("""COMPUTED_VALUE"""),"73341")</f>
        <v>73341</v>
      </c>
      <c r="B3443" s="51">
        <f ca="1">IFERROR(__xludf.DUMMYFUNCTION("""COMPUTED_VALUE"""),44632)</f>
        <v>44632</v>
      </c>
      <c r="C3443" s="22">
        <f ca="1">IFERROR(__xludf.DUMMYFUNCTION("""COMPUTED_VALUE"""),500000)</f>
        <v>500000</v>
      </c>
      <c r="D3443" s="22">
        <f ca="1">IFERROR(__xludf.DUMMYFUNCTION("""COMPUTED_VALUE"""),0)</f>
        <v>0</v>
      </c>
      <c r="E3443" s="22">
        <f ca="1">IFERROR(__xludf.DUMMYFUNCTION("""COMPUTED_VALUE"""),500000)</f>
        <v>500000</v>
      </c>
      <c r="F3443" s="22">
        <f ca="1">IFERROR(__xludf.DUMMYFUNCTION("""COMPUTED_VALUE"""),500000)</f>
        <v>500000</v>
      </c>
      <c r="G3443" s="22">
        <f ca="1">IFERROR(__xludf.DUMMYFUNCTION("""COMPUTED_VALUE"""),0)</f>
        <v>0</v>
      </c>
      <c r="H3443" s="7">
        <f ca="1">IFERROR(__xludf.DUMMYFUNCTION("""COMPUTED_VALUE"""),500000)</f>
        <v>500000</v>
      </c>
    </row>
    <row r="3444" spans="1:8" ht="13" x14ac:dyDescent="0.15">
      <c r="A3444" s="5" t="str">
        <f ca="1">IFERROR(__xludf.DUMMYFUNCTION("""COMPUTED_VALUE"""),"73341")</f>
        <v>73341</v>
      </c>
      <c r="B3444" s="51">
        <f ca="1">IFERROR(__xludf.DUMMYFUNCTION("""COMPUTED_VALUE"""),44633)</f>
        <v>44633</v>
      </c>
      <c r="C3444" s="22">
        <f ca="1">IFERROR(__xludf.DUMMYFUNCTION("""COMPUTED_VALUE"""),500000)</f>
        <v>500000</v>
      </c>
      <c r="D3444" s="22">
        <f ca="1">IFERROR(__xludf.DUMMYFUNCTION("""COMPUTED_VALUE"""),0)</f>
        <v>0</v>
      </c>
      <c r="E3444" s="22">
        <f ca="1">IFERROR(__xludf.DUMMYFUNCTION("""COMPUTED_VALUE"""),500000)</f>
        <v>500000</v>
      </c>
      <c r="F3444" s="22">
        <f ca="1">IFERROR(__xludf.DUMMYFUNCTION("""COMPUTED_VALUE"""),500000)</f>
        <v>500000</v>
      </c>
      <c r="G3444" s="22">
        <f ca="1">IFERROR(__xludf.DUMMYFUNCTION("""COMPUTED_VALUE"""),0)</f>
        <v>0</v>
      </c>
      <c r="H3444" s="7">
        <f ca="1">IFERROR(__xludf.DUMMYFUNCTION("""COMPUTED_VALUE"""),500000)</f>
        <v>500000</v>
      </c>
    </row>
    <row r="3445" spans="1:8" ht="13" x14ac:dyDescent="0.15">
      <c r="A3445" s="5" t="str">
        <f ca="1">IFERROR(__xludf.DUMMYFUNCTION("""COMPUTED_VALUE"""),"73341")</f>
        <v>73341</v>
      </c>
      <c r="B3445" s="51">
        <f ca="1">IFERROR(__xludf.DUMMYFUNCTION("""COMPUTED_VALUE"""),44634)</f>
        <v>44634</v>
      </c>
      <c r="C3445" s="22">
        <f ca="1">IFERROR(__xludf.DUMMYFUNCTION("""COMPUTED_VALUE"""),500000)</f>
        <v>500000</v>
      </c>
      <c r="D3445" s="22">
        <f ca="1">IFERROR(__xludf.DUMMYFUNCTION("""COMPUTED_VALUE"""),0)</f>
        <v>0</v>
      </c>
      <c r="E3445" s="22">
        <f ca="1">IFERROR(__xludf.DUMMYFUNCTION("""COMPUTED_VALUE"""),500000)</f>
        <v>500000</v>
      </c>
      <c r="F3445" s="22">
        <f ca="1">IFERROR(__xludf.DUMMYFUNCTION("""COMPUTED_VALUE"""),500000)</f>
        <v>500000</v>
      </c>
      <c r="G3445" s="22">
        <f ca="1">IFERROR(__xludf.DUMMYFUNCTION("""COMPUTED_VALUE"""),0)</f>
        <v>0</v>
      </c>
      <c r="H3445" s="7">
        <f ca="1">IFERROR(__xludf.DUMMYFUNCTION("""COMPUTED_VALUE"""),500000)</f>
        <v>500000</v>
      </c>
    </row>
    <row r="3446" spans="1:8" ht="13" x14ac:dyDescent="0.15">
      <c r="A3446" s="5" t="str">
        <f ca="1">IFERROR(__xludf.DUMMYFUNCTION("""COMPUTED_VALUE"""),"73341")</f>
        <v>73341</v>
      </c>
      <c r="B3446" s="51">
        <f ca="1">IFERROR(__xludf.DUMMYFUNCTION("""COMPUTED_VALUE"""),44635)</f>
        <v>44635</v>
      </c>
      <c r="C3446" s="22">
        <f ca="1">IFERROR(__xludf.DUMMYFUNCTION("""COMPUTED_VALUE"""),500000)</f>
        <v>500000</v>
      </c>
      <c r="D3446" s="22">
        <f ca="1">IFERROR(__xludf.DUMMYFUNCTION("""COMPUTED_VALUE"""),0)</f>
        <v>0</v>
      </c>
      <c r="E3446" s="22">
        <f ca="1">IFERROR(__xludf.DUMMYFUNCTION("""COMPUTED_VALUE"""),500000)</f>
        <v>500000</v>
      </c>
      <c r="F3446" s="22">
        <f ca="1">IFERROR(__xludf.DUMMYFUNCTION("""COMPUTED_VALUE"""),500000)</f>
        <v>500000</v>
      </c>
      <c r="G3446" s="22">
        <f ca="1">IFERROR(__xludf.DUMMYFUNCTION("""COMPUTED_VALUE"""),0)</f>
        <v>0</v>
      </c>
      <c r="H3446" s="7">
        <f ca="1">IFERROR(__xludf.DUMMYFUNCTION("""COMPUTED_VALUE"""),500000)</f>
        <v>500000</v>
      </c>
    </row>
    <row r="3447" spans="1:8" ht="13" x14ac:dyDescent="0.15">
      <c r="A3447" s="5" t="str">
        <f ca="1">IFERROR(__xludf.DUMMYFUNCTION("""COMPUTED_VALUE"""),"73341")</f>
        <v>73341</v>
      </c>
      <c r="B3447" s="51">
        <f ca="1">IFERROR(__xludf.DUMMYFUNCTION("""COMPUTED_VALUE"""),44636)</f>
        <v>44636</v>
      </c>
      <c r="C3447" s="22">
        <f ca="1">IFERROR(__xludf.DUMMYFUNCTION("""COMPUTED_VALUE"""),500000)</f>
        <v>500000</v>
      </c>
      <c r="D3447" s="22">
        <f ca="1">IFERROR(__xludf.DUMMYFUNCTION("""COMPUTED_VALUE"""),0)</f>
        <v>0</v>
      </c>
      <c r="E3447" s="22">
        <f ca="1">IFERROR(__xludf.DUMMYFUNCTION("""COMPUTED_VALUE"""),500000)</f>
        <v>500000</v>
      </c>
      <c r="F3447" s="22">
        <f ca="1">IFERROR(__xludf.DUMMYFUNCTION("""COMPUTED_VALUE"""),500000)</f>
        <v>500000</v>
      </c>
      <c r="G3447" s="22">
        <f ca="1">IFERROR(__xludf.DUMMYFUNCTION("""COMPUTED_VALUE"""),0)</f>
        <v>0</v>
      </c>
      <c r="H3447" s="7">
        <f ca="1">IFERROR(__xludf.DUMMYFUNCTION("""COMPUTED_VALUE"""),500000)</f>
        <v>500000</v>
      </c>
    </row>
    <row r="3448" spans="1:8" ht="13" x14ac:dyDescent="0.15">
      <c r="A3448" s="5" t="str">
        <f ca="1">IFERROR(__xludf.DUMMYFUNCTION("""COMPUTED_VALUE"""),"73341")</f>
        <v>73341</v>
      </c>
      <c r="B3448" s="51">
        <f ca="1">IFERROR(__xludf.DUMMYFUNCTION("""COMPUTED_VALUE"""),44637)</f>
        <v>44637</v>
      </c>
      <c r="C3448" s="22">
        <f ca="1">IFERROR(__xludf.DUMMYFUNCTION("""COMPUTED_VALUE"""),500000)</f>
        <v>500000</v>
      </c>
      <c r="D3448" s="22">
        <f ca="1">IFERROR(__xludf.DUMMYFUNCTION("""COMPUTED_VALUE"""),0)</f>
        <v>0</v>
      </c>
      <c r="E3448" s="22">
        <f ca="1">IFERROR(__xludf.DUMMYFUNCTION("""COMPUTED_VALUE"""),500000)</f>
        <v>500000</v>
      </c>
      <c r="F3448" s="22">
        <f ca="1">IFERROR(__xludf.DUMMYFUNCTION("""COMPUTED_VALUE"""),500000)</f>
        <v>500000</v>
      </c>
      <c r="G3448" s="22">
        <f ca="1">IFERROR(__xludf.DUMMYFUNCTION("""COMPUTED_VALUE"""),0)</f>
        <v>0</v>
      </c>
      <c r="H3448" s="7">
        <f ca="1">IFERROR(__xludf.DUMMYFUNCTION("""COMPUTED_VALUE"""),500000)</f>
        <v>500000</v>
      </c>
    </row>
    <row r="3449" spans="1:8" ht="13" x14ac:dyDescent="0.15">
      <c r="A3449" s="5" t="str">
        <f ca="1">IFERROR(__xludf.DUMMYFUNCTION("""COMPUTED_VALUE"""),"73341")</f>
        <v>73341</v>
      </c>
      <c r="B3449" s="51">
        <f ca="1">IFERROR(__xludf.DUMMYFUNCTION("""COMPUTED_VALUE"""),44638)</f>
        <v>44638</v>
      </c>
      <c r="C3449" s="22">
        <f ca="1">IFERROR(__xludf.DUMMYFUNCTION("""COMPUTED_VALUE"""),500000)</f>
        <v>500000</v>
      </c>
      <c r="D3449" s="22">
        <f ca="1">IFERROR(__xludf.DUMMYFUNCTION("""COMPUTED_VALUE"""),0)</f>
        <v>0</v>
      </c>
      <c r="E3449" s="22">
        <f ca="1">IFERROR(__xludf.DUMMYFUNCTION("""COMPUTED_VALUE"""),500000)</f>
        <v>500000</v>
      </c>
      <c r="F3449" s="22">
        <f ca="1">IFERROR(__xludf.DUMMYFUNCTION("""COMPUTED_VALUE"""),500000)</f>
        <v>500000</v>
      </c>
      <c r="G3449" s="22">
        <f ca="1">IFERROR(__xludf.DUMMYFUNCTION("""COMPUTED_VALUE"""),0)</f>
        <v>0</v>
      </c>
      <c r="H3449" s="7">
        <f ca="1">IFERROR(__xludf.DUMMYFUNCTION("""COMPUTED_VALUE"""),500000)</f>
        <v>500000</v>
      </c>
    </row>
    <row r="3450" spans="1:8" ht="13" x14ac:dyDescent="0.15">
      <c r="A3450" s="5" t="str">
        <f ca="1">IFERROR(__xludf.DUMMYFUNCTION("""COMPUTED_VALUE"""),"73341")</f>
        <v>73341</v>
      </c>
      <c r="B3450" s="51">
        <f ca="1">IFERROR(__xludf.DUMMYFUNCTION("""COMPUTED_VALUE"""),44639)</f>
        <v>44639</v>
      </c>
      <c r="C3450" s="22">
        <f ca="1">IFERROR(__xludf.DUMMYFUNCTION("""COMPUTED_VALUE"""),500000)</f>
        <v>500000</v>
      </c>
      <c r="D3450" s="22">
        <f ca="1">IFERROR(__xludf.DUMMYFUNCTION("""COMPUTED_VALUE"""),0)</f>
        <v>0</v>
      </c>
      <c r="E3450" s="22">
        <f ca="1">IFERROR(__xludf.DUMMYFUNCTION("""COMPUTED_VALUE"""),500000)</f>
        <v>500000</v>
      </c>
      <c r="F3450" s="22">
        <f ca="1">IFERROR(__xludf.DUMMYFUNCTION("""COMPUTED_VALUE"""),500000)</f>
        <v>500000</v>
      </c>
      <c r="G3450" s="22">
        <f ca="1">IFERROR(__xludf.DUMMYFUNCTION("""COMPUTED_VALUE"""),0)</f>
        <v>0</v>
      </c>
      <c r="H3450" s="7">
        <f ca="1">IFERROR(__xludf.DUMMYFUNCTION("""COMPUTED_VALUE"""),500000)</f>
        <v>500000</v>
      </c>
    </row>
    <row r="3451" spans="1:8" ht="13" x14ac:dyDescent="0.15">
      <c r="A3451" s="5" t="str">
        <f ca="1">IFERROR(__xludf.DUMMYFUNCTION("""COMPUTED_VALUE"""),"73341")</f>
        <v>73341</v>
      </c>
      <c r="B3451" s="51">
        <f ca="1">IFERROR(__xludf.DUMMYFUNCTION("""COMPUTED_VALUE"""),44640)</f>
        <v>44640</v>
      </c>
      <c r="C3451" s="22">
        <f ca="1">IFERROR(__xludf.DUMMYFUNCTION("""COMPUTED_VALUE"""),500000)</f>
        <v>500000</v>
      </c>
      <c r="D3451" s="22">
        <f ca="1">IFERROR(__xludf.DUMMYFUNCTION("""COMPUTED_VALUE"""),0)</f>
        <v>0</v>
      </c>
      <c r="E3451" s="22">
        <f ca="1">IFERROR(__xludf.DUMMYFUNCTION("""COMPUTED_VALUE"""),500000)</f>
        <v>500000</v>
      </c>
      <c r="F3451" s="22">
        <f ca="1">IFERROR(__xludf.DUMMYFUNCTION("""COMPUTED_VALUE"""),500000)</f>
        <v>500000</v>
      </c>
      <c r="G3451" s="22">
        <f ca="1">IFERROR(__xludf.DUMMYFUNCTION("""COMPUTED_VALUE"""),0)</f>
        <v>0</v>
      </c>
      <c r="H3451" s="7">
        <f ca="1">IFERROR(__xludf.DUMMYFUNCTION("""COMPUTED_VALUE"""),500000)</f>
        <v>500000</v>
      </c>
    </row>
    <row r="3452" spans="1:8" ht="13" x14ac:dyDescent="0.15">
      <c r="A3452" s="5" t="str">
        <f ca="1">IFERROR(__xludf.DUMMYFUNCTION("""COMPUTED_VALUE"""),"73341")</f>
        <v>73341</v>
      </c>
      <c r="B3452" s="51">
        <f ca="1">IFERROR(__xludf.DUMMYFUNCTION("""COMPUTED_VALUE"""),44641)</f>
        <v>44641</v>
      </c>
      <c r="C3452" s="22">
        <f ca="1">IFERROR(__xludf.DUMMYFUNCTION("""COMPUTED_VALUE"""),500000)</f>
        <v>500000</v>
      </c>
      <c r="D3452" s="22">
        <f ca="1">IFERROR(__xludf.DUMMYFUNCTION("""COMPUTED_VALUE"""),0)</f>
        <v>0</v>
      </c>
      <c r="E3452" s="22">
        <f ca="1">IFERROR(__xludf.DUMMYFUNCTION("""COMPUTED_VALUE"""),500000)</f>
        <v>500000</v>
      </c>
      <c r="F3452" s="22">
        <f ca="1">IFERROR(__xludf.DUMMYFUNCTION("""COMPUTED_VALUE"""),500000)</f>
        <v>500000</v>
      </c>
      <c r="G3452" s="22">
        <f ca="1">IFERROR(__xludf.DUMMYFUNCTION("""COMPUTED_VALUE"""),0)</f>
        <v>0</v>
      </c>
      <c r="H3452" s="7">
        <f ca="1">IFERROR(__xludf.DUMMYFUNCTION("""COMPUTED_VALUE"""),500000)</f>
        <v>500000</v>
      </c>
    </row>
    <row r="3453" spans="1:8" ht="13" x14ac:dyDescent="0.15">
      <c r="A3453" s="5" t="str">
        <f ca="1">IFERROR(__xludf.DUMMYFUNCTION("""COMPUTED_VALUE"""),"73341")</f>
        <v>73341</v>
      </c>
      <c r="B3453" s="51">
        <f ca="1">IFERROR(__xludf.DUMMYFUNCTION("""COMPUTED_VALUE"""),44642)</f>
        <v>44642</v>
      </c>
      <c r="C3453" s="22">
        <f ca="1">IFERROR(__xludf.DUMMYFUNCTION("""COMPUTED_VALUE"""),500000)</f>
        <v>500000</v>
      </c>
      <c r="D3453" s="22">
        <f ca="1">IFERROR(__xludf.DUMMYFUNCTION("""COMPUTED_VALUE"""),0)</f>
        <v>0</v>
      </c>
      <c r="E3453" s="22">
        <f ca="1">IFERROR(__xludf.DUMMYFUNCTION("""COMPUTED_VALUE"""),500000)</f>
        <v>500000</v>
      </c>
      <c r="F3453" s="22">
        <f ca="1">IFERROR(__xludf.DUMMYFUNCTION("""COMPUTED_VALUE"""),500000)</f>
        <v>500000</v>
      </c>
      <c r="G3453" s="22">
        <f ca="1">IFERROR(__xludf.DUMMYFUNCTION("""COMPUTED_VALUE"""),0)</f>
        <v>0</v>
      </c>
      <c r="H3453" s="7">
        <f ca="1">IFERROR(__xludf.DUMMYFUNCTION("""COMPUTED_VALUE"""),500000)</f>
        <v>500000</v>
      </c>
    </row>
    <row r="3454" spans="1:8" ht="13" x14ac:dyDescent="0.15">
      <c r="A3454" s="5" t="str">
        <f ca="1">IFERROR(__xludf.DUMMYFUNCTION("""COMPUTED_VALUE"""),"73542")</f>
        <v>73542</v>
      </c>
      <c r="B3454" s="51">
        <f ca="1">IFERROR(__xludf.DUMMYFUNCTION("""COMPUTED_VALUE"""),44597)</f>
        <v>44597</v>
      </c>
      <c r="C3454" s="22">
        <f ca="1">IFERROR(__xludf.DUMMYFUNCTION("""COMPUTED_VALUE"""),500000)</f>
        <v>500000</v>
      </c>
      <c r="D3454" s="22">
        <f ca="1">IFERROR(__xludf.DUMMYFUNCTION("""COMPUTED_VALUE"""),0)</f>
        <v>0</v>
      </c>
      <c r="E3454" s="22">
        <f ca="1">IFERROR(__xludf.DUMMYFUNCTION("""COMPUTED_VALUE"""),500000)</f>
        <v>500000</v>
      </c>
      <c r="F3454" s="22">
        <f ca="1">IFERROR(__xludf.DUMMYFUNCTION("""COMPUTED_VALUE"""),500000)</f>
        <v>500000</v>
      </c>
      <c r="G3454" s="22">
        <f ca="1">IFERROR(__xludf.DUMMYFUNCTION("""COMPUTED_VALUE"""),0)</f>
        <v>0</v>
      </c>
      <c r="H3454" s="7">
        <f ca="1">IFERROR(__xludf.DUMMYFUNCTION("""COMPUTED_VALUE"""),500000)</f>
        <v>500000</v>
      </c>
    </row>
    <row r="3455" spans="1:8" ht="13" x14ac:dyDescent="0.15">
      <c r="A3455" s="5" t="str">
        <f ca="1">IFERROR(__xludf.DUMMYFUNCTION("""COMPUTED_VALUE"""),"73542")</f>
        <v>73542</v>
      </c>
      <c r="B3455" s="51">
        <f ca="1">IFERROR(__xludf.DUMMYFUNCTION("""COMPUTED_VALUE"""),44598)</f>
        <v>44598</v>
      </c>
      <c r="C3455" s="22">
        <f ca="1">IFERROR(__xludf.DUMMYFUNCTION("""COMPUTED_VALUE"""),500000)</f>
        <v>500000</v>
      </c>
      <c r="D3455" s="22">
        <f ca="1">IFERROR(__xludf.DUMMYFUNCTION("""COMPUTED_VALUE"""),0)</f>
        <v>0</v>
      </c>
      <c r="E3455" s="22">
        <f ca="1">IFERROR(__xludf.DUMMYFUNCTION("""COMPUTED_VALUE"""),500000)</f>
        <v>500000</v>
      </c>
      <c r="F3455" s="22">
        <f ca="1">IFERROR(__xludf.DUMMYFUNCTION("""COMPUTED_VALUE"""),500000)</f>
        <v>500000</v>
      </c>
      <c r="G3455" s="22">
        <f ca="1">IFERROR(__xludf.DUMMYFUNCTION("""COMPUTED_VALUE"""),0)</f>
        <v>0</v>
      </c>
      <c r="H3455" s="7">
        <f ca="1">IFERROR(__xludf.DUMMYFUNCTION("""COMPUTED_VALUE"""),500000)</f>
        <v>500000</v>
      </c>
    </row>
    <row r="3456" spans="1:8" ht="13" x14ac:dyDescent="0.15">
      <c r="A3456" s="5" t="str">
        <f ca="1">IFERROR(__xludf.DUMMYFUNCTION("""COMPUTED_VALUE"""),"73542")</f>
        <v>73542</v>
      </c>
      <c r="B3456" s="51">
        <f ca="1">IFERROR(__xludf.DUMMYFUNCTION("""COMPUTED_VALUE"""),44599)</f>
        <v>44599</v>
      </c>
      <c r="C3456" s="22">
        <f ca="1">IFERROR(__xludf.DUMMYFUNCTION("""COMPUTED_VALUE"""),500000)</f>
        <v>500000</v>
      </c>
      <c r="D3456" s="22">
        <f ca="1">IFERROR(__xludf.DUMMYFUNCTION("""COMPUTED_VALUE"""),0)</f>
        <v>0</v>
      </c>
      <c r="E3456" s="22">
        <f ca="1">IFERROR(__xludf.DUMMYFUNCTION("""COMPUTED_VALUE"""),500000)</f>
        <v>500000</v>
      </c>
      <c r="F3456" s="22">
        <f ca="1">IFERROR(__xludf.DUMMYFUNCTION("""COMPUTED_VALUE"""),500000)</f>
        <v>500000</v>
      </c>
      <c r="G3456" s="22">
        <f ca="1">IFERROR(__xludf.DUMMYFUNCTION("""COMPUTED_VALUE"""),0)</f>
        <v>0</v>
      </c>
      <c r="H3456" s="7">
        <f ca="1">IFERROR(__xludf.DUMMYFUNCTION("""COMPUTED_VALUE"""),500000)</f>
        <v>500000</v>
      </c>
    </row>
    <row r="3457" spans="1:8" ht="13" x14ac:dyDescent="0.15">
      <c r="A3457" s="5" t="str">
        <f ca="1">IFERROR(__xludf.DUMMYFUNCTION("""COMPUTED_VALUE"""),"73542")</f>
        <v>73542</v>
      </c>
      <c r="B3457" s="51">
        <f ca="1">IFERROR(__xludf.DUMMYFUNCTION("""COMPUTED_VALUE"""),44600)</f>
        <v>44600</v>
      </c>
      <c r="C3457" s="22">
        <f ca="1">IFERROR(__xludf.DUMMYFUNCTION("""COMPUTED_VALUE"""),500000)</f>
        <v>500000</v>
      </c>
      <c r="D3457" s="22">
        <f ca="1">IFERROR(__xludf.DUMMYFUNCTION("""COMPUTED_VALUE"""),0)</f>
        <v>0</v>
      </c>
      <c r="E3457" s="22">
        <f ca="1">IFERROR(__xludf.DUMMYFUNCTION("""COMPUTED_VALUE"""),500000)</f>
        <v>500000</v>
      </c>
      <c r="F3457" s="22">
        <f ca="1">IFERROR(__xludf.DUMMYFUNCTION("""COMPUTED_VALUE"""),500000)</f>
        <v>500000</v>
      </c>
      <c r="G3457" s="22">
        <f ca="1">IFERROR(__xludf.DUMMYFUNCTION("""COMPUTED_VALUE"""),0)</f>
        <v>0</v>
      </c>
      <c r="H3457" s="7">
        <f ca="1">IFERROR(__xludf.DUMMYFUNCTION("""COMPUTED_VALUE"""),500000)</f>
        <v>500000</v>
      </c>
    </row>
    <row r="3458" spans="1:8" ht="13" x14ac:dyDescent="0.15">
      <c r="A3458" s="5" t="str">
        <f ca="1">IFERROR(__xludf.DUMMYFUNCTION("""COMPUTED_VALUE"""),"73542")</f>
        <v>73542</v>
      </c>
      <c r="B3458" s="51">
        <f ca="1">IFERROR(__xludf.DUMMYFUNCTION("""COMPUTED_VALUE"""),44601)</f>
        <v>44601</v>
      </c>
      <c r="C3458" s="22">
        <f ca="1">IFERROR(__xludf.DUMMYFUNCTION("""COMPUTED_VALUE"""),500000)</f>
        <v>500000</v>
      </c>
      <c r="D3458" s="22">
        <f ca="1">IFERROR(__xludf.DUMMYFUNCTION("""COMPUTED_VALUE"""),0)</f>
        <v>0</v>
      </c>
      <c r="E3458" s="22">
        <f ca="1">IFERROR(__xludf.DUMMYFUNCTION("""COMPUTED_VALUE"""),500000)</f>
        <v>500000</v>
      </c>
      <c r="F3458" s="22">
        <f ca="1">IFERROR(__xludf.DUMMYFUNCTION("""COMPUTED_VALUE"""),500000)</f>
        <v>500000</v>
      </c>
      <c r="G3458" s="22">
        <f ca="1">IFERROR(__xludf.DUMMYFUNCTION("""COMPUTED_VALUE"""),0)</f>
        <v>0</v>
      </c>
      <c r="H3458" s="7">
        <f ca="1">IFERROR(__xludf.DUMMYFUNCTION("""COMPUTED_VALUE"""),500000)</f>
        <v>500000</v>
      </c>
    </row>
    <row r="3459" spans="1:8" ht="13" x14ac:dyDescent="0.15">
      <c r="A3459" s="5" t="str">
        <f ca="1">IFERROR(__xludf.DUMMYFUNCTION("""COMPUTED_VALUE"""),"73542")</f>
        <v>73542</v>
      </c>
      <c r="B3459" s="51">
        <f ca="1">IFERROR(__xludf.DUMMYFUNCTION("""COMPUTED_VALUE"""),44602)</f>
        <v>44602</v>
      </c>
      <c r="C3459" s="22">
        <f ca="1">IFERROR(__xludf.DUMMYFUNCTION("""COMPUTED_VALUE"""),500000)</f>
        <v>500000</v>
      </c>
      <c r="D3459" s="22">
        <f ca="1">IFERROR(__xludf.DUMMYFUNCTION("""COMPUTED_VALUE"""),0)</f>
        <v>0</v>
      </c>
      <c r="E3459" s="22">
        <f ca="1">IFERROR(__xludf.DUMMYFUNCTION("""COMPUTED_VALUE"""),500000)</f>
        <v>500000</v>
      </c>
      <c r="F3459" s="22">
        <f ca="1">IFERROR(__xludf.DUMMYFUNCTION("""COMPUTED_VALUE"""),500000)</f>
        <v>500000</v>
      </c>
      <c r="G3459" s="22">
        <f ca="1">IFERROR(__xludf.DUMMYFUNCTION("""COMPUTED_VALUE"""),0)</f>
        <v>0</v>
      </c>
      <c r="H3459" s="7">
        <f ca="1">IFERROR(__xludf.DUMMYFUNCTION("""COMPUTED_VALUE"""),500000)</f>
        <v>500000</v>
      </c>
    </row>
    <row r="3460" spans="1:8" ht="13" x14ac:dyDescent="0.15">
      <c r="A3460" s="5" t="str">
        <f ca="1">IFERROR(__xludf.DUMMYFUNCTION("""COMPUTED_VALUE"""),"73542")</f>
        <v>73542</v>
      </c>
      <c r="B3460" s="51">
        <f ca="1">IFERROR(__xludf.DUMMYFUNCTION("""COMPUTED_VALUE"""),44603)</f>
        <v>44603</v>
      </c>
      <c r="C3460" s="22">
        <f ca="1">IFERROR(__xludf.DUMMYFUNCTION("""COMPUTED_VALUE"""),500000)</f>
        <v>500000</v>
      </c>
      <c r="D3460" s="22">
        <f ca="1">IFERROR(__xludf.DUMMYFUNCTION("""COMPUTED_VALUE"""),0)</f>
        <v>0</v>
      </c>
      <c r="E3460" s="22">
        <f ca="1">IFERROR(__xludf.DUMMYFUNCTION("""COMPUTED_VALUE"""),500000)</f>
        <v>500000</v>
      </c>
      <c r="F3460" s="22">
        <f ca="1">IFERROR(__xludf.DUMMYFUNCTION("""COMPUTED_VALUE"""),500000)</f>
        <v>500000</v>
      </c>
      <c r="G3460" s="22">
        <f ca="1">IFERROR(__xludf.DUMMYFUNCTION("""COMPUTED_VALUE"""),0)</f>
        <v>0</v>
      </c>
      <c r="H3460" s="7">
        <f ca="1">IFERROR(__xludf.DUMMYFUNCTION("""COMPUTED_VALUE"""),500000)</f>
        <v>500000</v>
      </c>
    </row>
    <row r="3461" spans="1:8" ht="13" x14ac:dyDescent="0.15">
      <c r="A3461" s="5" t="str">
        <f ca="1">IFERROR(__xludf.DUMMYFUNCTION("""COMPUTED_VALUE"""),"73542")</f>
        <v>73542</v>
      </c>
      <c r="B3461" s="51">
        <f ca="1">IFERROR(__xludf.DUMMYFUNCTION("""COMPUTED_VALUE"""),44604)</f>
        <v>44604</v>
      </c>
      <c r="C3461" s="22">
        <f ca="1">IFERROR(__xludf.DUMMYFUNCTION("""COMPUTED_VALUE"""),500000)</f>
        <v>500000</v>
      </c>
      <c r="D3461" s="22">
        <f ca="1">IFERROR(__xludf.DUMMYFUNCTION("""COMPUTED_VALUE"""),0)</f>
        <v>0</v>
      </c>
      <c r="E3461" s="22">
        <f ca="1">IFERROR(__xludf.DUMMYFUNCTION("""COMPUTED_VALUE"""),500000)</f>
        <v>500000</v>
      </c>
      <c r="F3461" s="22">
        <f ca="1">IFERROR(__xludf.DUMMYFUNCTION("""COMPUTED_VALUE"""),500000)</f>
        <v>500000</v>
      </c>
      <c r="G3461" s="22">
        <f ca="1">IFERROR(__xludf.DUMMYFUNCTION("""COMPUTED_VALUE"""),0)</f>
        <v>0</v>
      </c>
      <c r="H3461" s="7">
        <f ca="1">IFERROR(__xludf.DUMMYFUNCTION("""COMPUTED_VALUE"""),500000)</f>
        <v>500000</v>
      </c>
    </row>
    <row r="3462" spans="1:8" ht="13" x14ac:dyDescent="0.15">
      <c r="A3462" s="5" t="str">
        <f ca="1">IFERROR(__xludf.DUMMYFUNCTION("""COMPUTED_VALUE"""),"73542")</f>
        <v>73542</v>
      </c>
      <c r="B3462" s="51">
        <f ca="1">IFERROR(__xludf.DUMMYFUNCTION("""COMPUTED_VALUE"""),44605)</f>
        <v>44605</v>
      </c>
      <c r="C3462" s="22">
        <f ca="1">IFERROR(__xludf.DUMMYFUNCTION("""COMPUTED_VALUE"""),500000)</f>
        <v>500000</v>
      </c>
      <c r="D3462" s="22">
        <f ca="1">IFERROR(__xludf.DUMMYFUNCTION("""COMPUTED_VALUE"""),0)</f>
        <v>0</v>
      </c>
      <c r="E3462" s="22">
        <f ca="1">IFERROR(__xludf.DUMMYFUNCTION("""COMPUTED_VALUE"""),500000)</f>
        <v>500000</v>
      </c>
      <c r="F3462" s="22">
        <f ca="1">IFERROR(__xludf.DUMMYFUNCTION("""COMPUTED_VALUE"""),500000)</f>
        <v>500000</v>
      </c>
      <c r="G3462" s="22">
        <f ca="1">IFERROR(__xludf.DUMMYFUNCTION("""COMPUTED_VALUE"""),0)</f>
        <v>0</v>
      </c>
      <c r="H3462" s="7">
        <f ca="1">IFERROR(__xludf.DUMMYFUNCTION("""COMPUTED_VALUE"""),500000)</f>
        <v>500000</v>
      </c>
    </row>
    <row r="3463" spans="1:8" ht="13" x14ac:dyDescent="0.15">
      <c r="A3463" s="5" t="str">
        <f ca="1">IFERROR(__xludf.DUMMYFUNCTION("""COMPUTED_VALUE"""),"73542")</f>
        <v>73542</v>
      </c>
      <c r="B3463" s="51">
        <f ca="1">IFERROR(__xludf.DUMMYFUNCTION("""COMPUTED_VALUE"""),44606)</f>
        <v>44606</v>
      </c>
      <c r="C3463" s="22">
        <f ca="1">IFERROR(__xludf.DUMMYFUNCTION("""COMPUTED_VALUE"""),500000)</f>
        <v>500000</v>
      </c>
      <c r="D3463" s="22">
        <f ca="1">IFERROR(__xludf.DUMMYFUNCTION("""COMPUTED_VALUE"""),0)</f>
        <v>0</v>
      </c>
      <c r="E3463" s="22">
        <f ca="1">IFERROR(__xludf.DUMMYFUNCTION("""COMPUTED_VALUE"""),500000)</f>
        <v>500000</v>
      </c>
      <c r="F3463" s="22">
        <f ca="1">IFERROR(__xludf.DUMMYFUNCTION("""COMPUTED_VALUE"""),500000)</f>
        <v>500000</v>
      </c>
      <c r="G3463" s="22">
        <f ca="1">IFERROR(__xludf.DUMMYFUNCTION("""COMPUTED_VALUE"""),0)</f>
        <v>0</v>
      </c>
      <c r="H3463" s="7">
        <f ca="1">IFERROR(__xludf.DUMMYFUNCTION("""COMPUTED_VALUE"""),500000)</f>
        <v>500000</v>
      </c>
    </row>
    <row r="3464" spans="1:8" ht="13" x14ac:dyDescent="0.15">
      <c r="A3464" s="5" t="str">
        <f ca="1">IFERROR(__xludf.DUMMYFUNCTION("""COMPUTED_VALUE"""),"73542")</f>
        <v>73542</v>
      </c>
      <c r="B3464" s="51">
        <f ca="1">IFERROR(__xludf.DUMMYFUNCTION("""COMPUTED_VALUE"""),44607)</f>
        <v>44607</v>
      </c>
      <c r="C3464" s="22">
        <f ca="1">IFERROR(__xludf.DUMMYFUNCTION("""COMPUTED_VALUE"""),500000)</f>
        <v>500000</v>
      </c>
      <c r="D3464" s="22">
        <f ca="1">IFERROR(__xludf.DUMMYFUNCTION("""COMPUTED_VALUE"""),0)</f>
        <v>0</v>
      </c>
      <c r="E3464" s="22">
        <f ca="1">IFERROR(__xludf.DUMMYFUNCTION("""COMPUTED_VALUE"""),500000)</f>
        <v>500000</v>
      </c>
      <c r="F3464" s="22">
        <f ca="1">IFERROR(__xludf.DUMMYFUNCTION("""COMPUTED_VALUE"""),500000)</f>
        <v>500000</v>
      </c>
      <c r="G3464" s="22">
        <f ca="1">IFERROR(__xludf.DUMMYFUNCTION("""COMPUTED_VALUE"""),0)</f>
        <v>0</v>
      </c>
      <c r="H3464" s="7">
        <f ca="1">IFERROR(__xludf.DUMMYFUNCTION("""COMPUTED_VALUE"""),500000)</f>
        <v>500000</v>
      </c>
    </row>
    <row r="3465" spans="1:8" ht="13" x14ac:dyDescent="0.15">
      <c r="A3465" s="5" t="str">
        <f ca="1">IFERROR(__xludf.DUMMYFUNCTION("""COMPUTED_VALUE"""),"73542")</f>
        <v>73542</v>
      </c>
      <c r="B3465" s="51">
        <f ca="1">IFERROR(__xludf.DUMMYFUNCTION("""COMPUTED_VALUE"""),44608)</f>
        <v>44608</v>
      </c>
      <c r="C3465" s="22">
        <f ca="1">IFERROR(__xludf.DUMMYFUNCTION("""COMPUTED_VALUE"""),500000)</f>
        <v>500000</v>
      </c>
      <c r="D3465" s="22">
        <f ca="1">IFERROR(__xludf.DUMMYFUNCTION("""COMPUTED_VALUE"""),0)</f>
        <v>0</v>
      </c>
      <c r="E3465" s="22">
        <f ca="1">IFERROR(__xludf.DUMMYFUNCTION("""COMPUTED_VALUE"""),500000)</f>
        <v>500000</v>
      </c>
      <c r="F3465" s="22">
        <f ca="1">IFERROR(__xludf.DUMMYFUNCTION("""COMPUTED_VALUE"""),500000)</f>
        <v>500000</v>
      </c>
      <c r="G3465" s="22">
        <f ca="1">IFERROR(__xludf.DUMMYFUNCTION("""COMPUTED_VALUE"""),0)</f>
        <v>0</v>
      </c>
      <c r="H3465" s="7">
        <f ca="1">IFERROR(__xludf.DUMMYFUNCTION("""COMPUTED_VALUE"""),500000)</f>
        <v>500000</v>
      </c>
    </row>
    <row r="3466" spans="1:8" ht="13" x14ac:dyDescent="0.15">
      <c r="A3466" s="5" t="str">
        <f ca="1">IFERROR(__xludf.DUMMYFUNCTION("""COMPUTED_VALUE"""),"73542")</f>
        <v>73542</v>
      </c>
      <c r="B3466" s="51">
        <f ca="1">IFERROR(__xludf.DUMMYFUNCTION("""COMPUTED_VALUE"""),44609)</f>
        <v>44609</v>
      </c>
      <c r="C3466" s="22">
        <f ca="1">IFERROR(__xludf.DUMMYFUNCTION("""COMPUTED_VALUE"""),500000)</f>
        <v>500000</v>
      </c>
      <c r="D3466" s="22">
        <f ca="1">IFERROR(__xludf.DUMMYFUNCTION("""COMPUTED_VALUE"""),0)</f>
        <v>0</v>
      </c>
      <c r="E3466" s="22">
        <f ca="1">IFERROR(__xludf.DUMMYFUNCTION("""COMPUTED_VALUE"""),500000)</f>
        <v>500000</v>
      </c>
      <c r="F3466" s="22">
        <f ca="1">IFERROR(__xludf.DUMMYFUNCTION("""COMPUTED_VALUE"""),500000)</f>
        <v>500000</v>
      </c>
      <c r="G3466" s="22">
        <f ca="1">IFERROR(__xludf.DUMMYFUNCTION("""COMPUTED_VALUE"""),0)</f>
        <v>0</v>
      </c>
      <c r="H3466" s="7">
        <f ca="1">IFERROR(__xludf.DUMMYFUNCTION("""COMPUTED_VALUE"""),500000)</f>
        <v>500000</v>
      </c>
    </row>
    <row r="3467" spans="1:8" ht="13" x14ac:dyDescent="0.15">
      <c r="A3467" s="5" t="str">
        <f ca="1">IFERROR(__xludf.DUMMYFUNCTION("""COMPUTED_VALUE"""),"73542")</f>
        <v>73542</v>
      </c>
      <c r="B3467" s="51">
        <f ca="1">IFERROR(__xludf.DUMMYFUNCTION("""COMPUTED_VALUE"""),44610)</f>
        <v>44610</v>
      </c>
      <c r="C3467" s="22">
        <f ca="1">IFERROR(__xludf.DUMMYFUNCTION("""COMPUTED_VALUE"""),500000)</f>
        <v>500000</v>
      </c>
      <c r="D3467" s="22">
        <f ca="1">IFERROR(__xludf.DUMMYFUNCTION("""COMPUTED_VALUE"""),0)</f>
        <v>0</v>
      </c>
      <c r="E3467" s="22">
        <f ca="1">IFERROR(__xludf.DUMMYFUNCTION("""COMPUTED_VALUE"""),500000)</f>
        <v>500000</v>
      </c>
      <c r="F3467" s="22">
        <f ca="1">IFERROR(__xludf.DUMMYFUNCTION("""COMPUTED_VALUE"""),500000)</f>
        <v>500000</v>
      </c>
      <c r="G3467" s="22">
        <f ca="1">IFERROR(__xludf.DUMMYFUNCTION("""COMPUTED_VALUE"""),0)</f>
        <v>0</v>
      </c>
      <c r="H3467" s="7">
        <f ca="1">IFERROR(__xludf.DUMMYFUNCTION("""COMPUTED_VALUE"""),500000)</f>
        <v>500000</v>
      </c>
    </row>
    <row r="3468" spans="1:8" ht="13" x14ac:dyDescent="0.15">
      <c r="A3468" s="5" t="str">
        <f ca="1">IFERROR(__xludf.DUMMYFUNCTION("""COMPUTED_VALUE"""),"73542")</f>
        <v>73542</v>
      </c>
      <c r="B3468" s="51">
        <f ca="1">IFERROR(__xludf.DUMMYFUNCTION("""COMPUTED_VALUE"""),44611)</f>
        <v>44611</v>
      </c>
      <c r="C3468" s="22">
        <f ca="1">IFERROR(__xludf.DUMMYFUNCTION("""COMPUTED_VALUE"""),500000)</f>
        <v>500000</v>
      </c>
      <c r="D3468" s="22">
        <f ca="1">IFERROR(__xludf.DUMMYFUNCTION("""COMPUTED_VALUE"""),0)</f>
        <v>0</v>
      </c>
      <c r="E3468" s="22">
        <f ca="1">IFERROR(__xludf.DUMMYFUNCTION("""COMPUTED_VALUE"""),500000)</f>
        <v>500000</v>
      </c>
      <c r="F3468" s="22">
        <f ca="1">IFERROR(__xludf.DUMMYFUNCTION("""COMPUTED_VALUE"""),500000)</f>
        <v>500000</v>
      </c>
      <c r="G3468" s="22">
        <f ca="1">IFERROR(__xludf.DUMMYFUNCTION("""COMPUTED_VALUE"""),0)</f>
        <v>0</v>
      </c>
      <c r="H3468" s="7">
        <f ca="1">IFERROR(__xludf.DUMMYFUNCTION("""COMPUTED_VALUE"""),500000)</f>
        <v>500000</v>
      </c>
    </row>
    <row r="3469" spans="1:8" ht="13" x14ac:dyDescent="0.15">
      <c r="A3469" s="5" t="str">
        <f ca="1">IFERROR(__xludf.DUMMYFUNCTION("""COMPUTED_VALUE"""),"73542")</f>
        <v>73542</v>
      </c>
      <c r="B3469" s="51">
        <f ca="1">IFERROR(__xludf.DUMMYFUNCTION("""COMPUTED_VALUE"""),44612)</f>
        <v>44612</v>
      </c>
      <c r="C3469" s="22">
        <f ca="1">IFERROR(__xludf.DUMMYFUNCTION("""COMPUTED_VALUE"""),500000)</f>
        <v>500000</v>
      </c>
      <c r="D3469" s="22">
        <f ca="1">IFERROR(__xludf.DUMMYFUNCTION("""COMPUTED_VALUE"""),0)</f>
        <v>0</v>
      </c>
      <c r="E3469" s="22">
        <f ca="1">IFERROR(__xludf.DUMMYFUNCTION("""COMPUTED_VALUE"""),500000)</f>
        <v>500000</v>
      </c>
      <c r="F3469" s="22">
        <f ca="1">IFERROR(__xludf.DUMMYFUNCTION("""COMPUTED_VALUE"""),500000)</f>
        <v>500000</v>
      </c>
      <c r="G3469" s="22">
        <f ca="1">IFERROR(__xludf.DUMMYFUNCTION("""COMPUTED_VALUE"""),0)</f>
        <v>0</v>
      </c>
      <c r="H3469" s="7">
        <f ca="1">IFERROR(__xludf.DUMMYFUNCTION("""COMPUTED_VALUE"""),500000)</f>
        <v>500000</v>
      </c>
    </row>
    <row r="3470" spans="1:8" ht="13" x14ac:dyDescent="0.15">
      <c r="A3470" s="5" t="str">
        <f ca="1">IFERROR(__xludf.DUMMYFUNCTION("""COMPUTED_VALUE"""),"73542")</f>
        <v>73542</v>
      </c>
      <c r="B3470" s="51">
        <f ca="1">IFERROR(__xludf.DUMMYFUNCTION("""COMPUTED_VALUE"""),44613)</f>
        <v>44613</v>
      </c>
      <c r="C3470" s="22">
        <f ca="1">IFERROR(__xludf.DUMMYFUNCTION("""COMPUTED_VALUE"""),500000)</f>
        <v>500000</v>
      </c>
      <c r="D3470" s="22">
        <f ca="1">IFERROR(__xludf.DUMMYFUNCTION("""COMPUTED_VALUE"""),0)</f>
        <v>0</v>
      </c>
      <c r="E3470" s="22">
        <f ca="1">IFERROR(__xludf.DUMMYFUNCTION("""COMPUTED_VALUE"""),500000)</f>
        <v>500000</v>
      </c>
      <c r="F3470" s="22">
        <f ca="1">IFERROR(__xludf.DUMMYFUNCTION("""COMPUTED_VALUE"""),500000)</f>
        <v>500000</v>
      </c>
      <c r="G3470" s="22">
        <f ca="1">IFERROR(__xludf.DUMMYFUNCTION("""COMPUTED_VALUE"""),0)</f>
        <v>0</v>
      </c>
      <c r="H3470" s="7">
        <f ca="1">IFERROR(__xludf.DUMMYFUNCTION("""COMPUTED_VALUE"""),500000)</f>
        <v>500000</v>
      </c>
    </row>
    <row r="3471" spans="1:8" ht="13" x14ac:dyDescent="0.15">
      <c r="A3471" s="5" t="str">
        <f ca="1">IFERROR(__xludf.DUMMYFUNCTION("""COMPUTED_VALUE"""),"73542")</f>
        <v>73542</v>
      </c>
      <c r="B3471" s="51">
        <f ca="1">IFERROR(__xludf.DUMMYFUNCTION("""COMPUTED_VALUE"""),44614)</f>
        <v>44614</v>
      </c>
      <c r="C3471" s="22">
        <f ca="1">IFERROR(__xludf.DUMMYFUNCTION("""COMPUTED_VALUE"""),500000)</f>
        <v>500000</v>
      </c>
      <c r="D3471" s="22">
        <f ca="1">IFERROR(__xludf.DUMMYFUNCTION("""COMPUTED_VALUE"""),0)</f>
        <v>0</v>
      </c>
      <c r="E3471" s="22">
        <f ca="1">IFERROR(__xludf.DUMMYFUNCTION("""COMPUTED_VALUE"""),500000)</f>
        <v>500000</v>
      </c>
      <c r="F3471" s="22">
        <f ca="1">IFERROR(__xludf.DUMMYFUNCTION("""COMPUTED_VALUE"""),500000)</f>
        <v>500000</v>
      </c>
      <c r="G3471" s="22">
        <f ca="1">IFERROR(__xludf.DUMMYFUNCTION("""COMPUTED_VALUE"""),0)</f>
        <v>0</v>
      </c>
      <c r="H3471" s="7">
        <f ca="1">IFERROR(__xludf.DUMMYFUNCTION("""COMPUTED_VALUE"""),500000)</f>
        <v>500000</v>
      </c>
    </row>
    <row r="3472" spans="1:8" ht="13" x14ac:dyDescent="0.15">
      <c r="A3472" s="5" t="str">
        <f ca="1">IFERROR(__xludf.DUMMYFUNCTION("""COMPUTED_VALUE"""),"73542")</f>
        <v>73542</v>
      </c>
      <c r="B3472" s="51">
        <f ca="1">IFERROR(__xludf.DUMMYFUNCTION("""COMPUTED_VALUE"""),44615)</f>
        <v>44615</v>
      </c>
      <c r="C3472" s="22">
        <f ca="1">IFERROR(__xludf.DUMMYFUNCTION("""COMPUTED_VALUE"""),500000)</f>
        <v>500000</v>
      </c>
      <c r="D3472" s="22">
        <f ca="1">IFERROR(__xludf.DUMMYFUNCTION("""COMPUTED_VALUE"""),0)</f>
        <v>0</v>
      </c>
      <c r="E3472" s="22">
        <f ca="1">IFERROR(__xludf.DUMMYFUNCTION("""COMPUTED_VALUE"""),500000)</f>
        <v>500000</v>
      </c>
      <c r="F3472" s="22">
        <f ca="1">IFERROR(__xludf.DUMMYFUNCTION("""COMPUTED_VALUE"""),500000)</f>
        <v>500000</v>
      </c>
      <c r="G3472" s="22">
        <f ca="1">IFERROR(__xludf.DUMMYFUNCTION("""COMPUTED_VALUE"""),0)</f>
        <v>0</v>
      </c>
      <c r="H3472" s="7">
        <f ca="1">IFERROR(__xludf.DUMMYFUNCTION("""COMPUTED_VALUE"""),500000)</f>
        <v>500000</v>
      </c>
    </row>
    <row r="3473" spans="1:8" ht="13" x14ac:dyDescent="0.15">
      <c r="A3473" s="5" t="str">
        <f ca="1">IFERROR(__xludf.DUMMYFUNCTION("""COMPUTED_VALUE"""),"73542")</f>
        <v>73542</v>
      </c>
      <c r="B3473" s="51">
        <f ca="1">IFERROR(__xludf.DUMMYFUNCTION("""COMPUTED_VALUE"""),44616)</f>
        <v>44616</v>
      </c>
      <c r="C3473" s="22">
        <f ca="1">IFERROR(__xludf.DUMMYFUNCTION("""COMPUTED_VALUE"""),500000)</f>
        <v>500000</v>
      </c>
      <c r="D3473" s="22">
        <f ca="1">IFERROR(__xludf.DUMMYFUNCTION("""COMPUTED_VALUE"""),0)</f>
        <v>0</v>
      </c>
      <c r="E3473" s="22">
        <f ca="1">IFERROR(__xludf.DUMMYFUNCTION("""COMPUTED_VALUE"""),500000)</f>
        <v>500000</v>
      </c>
      <c r="F3473" s="22">
        <f ca="1">IFERROR(__xludf.DUMMYFUNCTION("""COMPUTED_VALUE"""),500000)</f>
        <v>500000</v>
      </c>
      <c r="G3473" s="22">
        <f ca="1">IFERROR(__xludf.DUMMYFUNCTION("""COMPUTED_VALUE"""),0)</f>
        <v>0</v>
      </c>
      <c r="H3473" s="7">
        <f ca="1">IFERROR(__xludf.DUMMYFUNCTION("""COMPUTED_VALUE"""),500000)</f>
        <v>500000</v>
      </c>
    </row>
    <row r="3474" spans="1:8" ht="13" x14ac:dyDescent="0.15">
      <c r="A3474" s="5" t="str">
        <f ca="1">IFERROR(__xludf.DUMMYFUNCTION("""COMPUTED_VALUE"""),"73542")</f>
        <v>73542</v>
      </c>
      <c r="B3474" s="51">
        <f ca="1">IFERROR(__xludf.DUMMYFUNCTION("""COMPUTED_VALUE"""),44617)</f>
        <v>44617</v>
      </c>
      <c r="C3474" s="22">
        <f ca="1">IFERROR(__xludf.DUMMYFUNCTION("""COMPUTED_VALUE"""),500000)</f>
        <v>500000</v>
      </c>
      <c r="D3474" s="22">
        <f ca="1">IFERROR(__xludf.DUMMYFUNCTION("""COMPUTED_VALUE"""),0)</f>
        <v>0</v>
      </c>
      <c r="E3474" s="22">
        <f ca="1">IFERROR(__xludf.DUMMYFUNCTION("""COMPUTED_VALUE"""),500000)</f>
        <v>500000</v>
      </c>
      <c r="F3474" s="22">
        <f ca="1">IFERROR(__xludf.DUMMYFUNCTION("""COMPUTED_VALUE"""),500000)</f>
        <v>500000</v>
      </c>
      <c r="G3474" s="22">
        <f ca="1">IFERROR(__xludf.DUMMYFUNCTION("""COMPUTED_VALUE"""),0)</f>
        <v>0</v>
      </c>
      <c r="H3474" s="7">
        <f ca="1">IFERROR(__xludf.DUMMYFUNCTION("""COMPUTED_VALUE"""),500000)</f>
        <v>500000</v>
      </c>
    </row>
    <row r="3475" spans="1:8" ht="13" x14ac:dyDescent="0.15">
      <c r="A3475" s="5" t="str">
        <f ca="1">IFERROR(__xludf.DUMMYFUNCTION("""COMPUTED_VALUE"""),"73542")</f>
        <v>73542</v>
      </c>
      <c r="B3475" s="51">
        <f ca="1">IFERROR(__xludf.DUMMYFUNCTION("""COMPUTED_VALUE"""),44618)</f>
        <v>44618</v>
      </c>
      <c r="C3475" s="22">
        <f ca="1">IFERROR(__xludf.DUMMYFUNCTION("""COMPUTED_VALUE"""),500000)</f>
        <v>500000</v>
      </c>
      <c r="D3475" s="22">
        <f ca="1">IFERROR(__xludf.DUMMYFUNCTION("""COMPUTED_VALUE"""),0)</f>
        <v>0</v>
      </c>
      <c r="E3475" s="22">
        <f ca="1">IFERROR(__xludf.DUMMYFUNCTION("""COMPUTED_VALUE"""),500000)</f>
        <v>500000</v>
      </c>
      <c r="F3475" s="22">
        <f ca="1">IFERROR(__xludf.DUMMYFUNCTION("""COMPUTED_VALUE"""),500000)</f>
        <v>500000</v>
      </c>
      <c r="G3475" s="22">
        <f ca="1">IFERROR(__xludf.DUMMYFUNCTION("""COMPUTED_VALUE"""),0)</f>
        <v>0</v>
      </c>
      <c r="H3475" s="7">
        <f ca="1">IFERROR(__xludf.DUMMYFUNCTION("""COMPUTED_VALUE"""),500000)</f>
        <v>500000</v>
      </c>
    </row>
    <row r="3476" spans="1:8" ht="13" x14ac:dyDescent="0.15">
      <c r="A3476" s="5" t="str">
        <f ca="1">IFERROR(__xludf.DUMMYFUNCTION("""COMPUTED_VALUE"""),"73542")</f>
        <v>73542</v>
      </c>
      <c r="B3476" s="51">
        <f ca="1">IFERROR(__xludf.DUMMYFUNCTION("""COMPUTED_VALUE"""),44619)</f>
        <v>44619</v>
      </c>
      <c r="C3476" s="22">
        <f ca="1">IFERROR(__xludf.DUMMYFUNCTION("""COMPUTED_VALUE"""),500000)</f>
        <v>500000</v>
      </c>
      <c r="D3476" s="22">
        <f ca="1">IFERROR(__xludf.DUMMYFUNCTION("""COMPUTED_VALUE"""),0)</f>
        <v>0</v>
      </c>
      <c r="E3476" s="22">
        <f ca="1">IFERROR(__xludf.DUMMYFUNCTION("""COMPUTED_VALUE"""),500000)</f>
        <v>500000</v>
      </c>
      <c r="F3476" s="22">
        <f ca="1">IFERROR(__xludf.DUMMYFUNCTION("""COMPUTED_VALUE"""),500000)</f>
        <v>500000</v>
      </c>
      <c r="G3476" s="22">
        <f ca="1">IFERROR(__xludf.DUMMYFUNCTION("""COMPUTED_VALUE"""),0)</f>
        <v>0</v>
      </c>
      <c r="H3476" s="7">
        <f ca="1">IFERROR(__xludf.DUMMYFUNCTION("""COMPUTED_VALUE"""),500000)</f>
        <v>500000</v>
      </c>
    </row>
    <row r="3477" spans="1:8" ht="13" x14ac:dyDescent="0.15">
      <c r="A3477" s="5" t="str">
        <f ca="1">IFERROR(__xludf.DUMMYFUNCTION("""COMPUTED_VALUE"""),"73542")</f>
        <v>73542</v>
      </c>
      <c r="B3477" s="51">
        <f ca="1">IFERROR(__xludf.DUMMYFUNCTION("""COMPUTED_VALUE"""),44620)</f>
        <v>44620</v>
      </c>
      <c r="C3477" s="22">
        <f ca="1">IFERROR(__xludf.DUMMYFUNCTION("""COMPUTED_VALUE"""),500000)</f>
        <v>500000</v>
      </c>
      <c r="D3477" s="22">
        <f ca="1">IFERROR(__xludf.DUMMYFUNCTION("""COMPUTED_VALUE"""),0)</f>
        <v>0</v>
      </c>
      <c r="E3477" s="22">
        <f ca="1">IFERROR(__xludf.DUMMYFUNCTION("""COMPUTED_VALUE"""),500000)</f>
        <v>500000</v>
      </c>
      <c r="F3477" s="22">
        <f ca="1">IFERROR(__xludf.DUMMYFUNCTION("""COMPUTED_VALUE"""),500000)</f>
        <v>500000</v>
      </c>
      <c r="G3477" s="22">
        <f ca="1">IFERROR(__xludf.DUMMYFUNCTION("""COMPUTED_VALUE"""),0)</f>
        <v>0</v>
      </c>
      <c r="H3477" s="7">
        <f ca="1">IFERROR(__xludf.DUMMYFUNCTION("""COMPUTED_VALUE"""),500000)</f>
        <v>500000</v>
      </c>
    </row>
    <row r="3478" spans="1:8" ht="13" x14ac:dyDescent="0.15">
      <c r="A3478" s="5" t="str">
        <f ca="1">IFERROR(__xludf.DUMMYFUNCTION("""COMPUTED_VALUE"""),"73542")</f>
        <v>73542</v>
      </c>
      <c r="B3478" s="51">
        <f ca="1">IFERROR(__xludf.DUMMYFUNCTION("""COMPUTED_VALUE"""),44621)</f>
        <v>44621</v>
      </c>
      <c r="C3478" s="22">
        <f ca="1">IFERROR(__xludf.DUMMYFUNCTION("""COMPUTED_VALUE"""),500000)</f>
        <v>500000</v>
      </c>
      <c r="D3478" s="22">
        <f ca="1">IFERROR(__xludf.DUMMYFUNCTION("""COMPUTED_VALUE"""),0)</f>
        <v>0</v>
      </c>
      <c r="E3478" s="22">
        <f ca="1">IFERROR(__xludf.DUMMYFUNCTION("""COMPUTED_VALUE"""),500000)</f>
        <v>500000</v>
      </c>
      <c r="F3478" s="22">
        <f ca="1">IFERROR(__xludf.DUMMYFUNCTION("""COMPUTED_VALUE"""),500000)</f>
        <v>500000</v>
      </c>
      <c r="G3478" s="22">
        <f ca="1">IFERROR(__xludf.DUMMYFUNCTION("""COMPUTED_VALUE"""),0)</f>
        <v>0</v>
      </c>
      <c r="H3478" s="7">
        <f ca="1">IFERROR(__xludf.DUMMYFUNCTION("""COMPUTED_VALUE"""),500000)</f>
        <v>500000</v>
      </c>
    </row>
    <row r="3479" spans="1:8" ht="13" x14ac:dyDescent="0.15">
      <c r="A3479" s="5" t="str">
        <f ca="1">IFERROR(__xludf.DUMMYFUNCTION("""COMPUTED_VALUE"""),"73542")</f>
        <v>73542</v>
      </c>
      <c r="B3479" s="51">
        <f ca="1">IFERROR(__xludf.DUMMYFUNCTION("""COMPUTED_VALUE"""),44622)</f>
        <v>44622</v>
      </c>
      <c r="C3479" s="22">
        <f ca="1">IFERROR(__xludf.DUMMYFUNCTION("""COMPUTED_VALUE"""),500000)</f>
        <v>500000</v>
      </c>
      <c r="D3479" s="22">
        <f ca="1">IFERROR(__xludf.DUMMYFUNCTION("""COMPUTED_VALUE"""),0)</f>
        <v>0</v>
      </c>
      <c r="E3479" s="22">
        <f ca="1">IFERROR(__xludf.DUMMYFUNCTION("""COMPUTED_VALUE"""),500000)</f>
        <v>500000</v>
      </c>
      <c r="F3479" s="22">
        <f ca="1">IFERROR(__xludf.DUMMYFUNCTION("""COMPUTED_VALUE"""),500000)</f>
        <v>500000</v>
      </c>
      <c r="G3479" s="22">
        <f ca="1">IFERROR(__xludf.DUMMYFUNCTION("""COMPUTED_VALUE"""),0)</f>
        <v>0</v>
      </c>
      <c r="H3479" s="7">
        <f ca="1">IFERROR(__xludf.DUMMYFUNCTION("""COMPUTED_VALUE"""),500000)</f>
        <v>500000</v>
      </c>
    </row>
    <row r="3480" spans="1:8" ht="13" x14ac:dyDescent="0.15">
      <c r="A3480" s="5" t="str">
        <f ca="1">IFERROR(__xludf.DUMMYFUNCTION("""COMPUTED_VALUE"""),"73542")</f>
        <v>73542</v>
      </c>
      <c r="B3480" s="51">
        <f ca="1">IFERROR(__xludf.DUMMYFUNCTION("""COMPUTED_VALUE"""),44623)</f>
        <v>44623</v>
      </c>
      <c r="C3480" s="22">
        <f ca="1">IFERROR(__xludf.DUMMYFUNCTION("""COMPUTED_VALUE"""),500000)</f>
        <v>500000</v>
      </c>
      <c r="D3480" s="22">
        <f ca="1">IFERROR(__xludf.DUMMYFUNCTION("""COMPUTED_VALUE"""),0)</f>
        <v>0</v>
      </c>
      <c r="E3480" s="22">
        <f ca="1">IFERROR(__xludf.DUMMYFUNCTION("""COMPUTED_VALUE"""),500000)</f>
        <v>500000</v>
      </c>
      <c r="F3480" s="22">
        <f ca="1">IFERROR(__xludf.DUMMYFUNCTION("""COMPUTED_VALUE"""),500000)</f>
        <v>500000</v>
      </c>
      <c r="G3480" s="22">
        <f ca="1">IFERROR(__xludf.DUMMYFUNCTION("""COMPUTED_VALUE"""),0)</f>
        <v>0</v>
      </c>
      <c r="H3480" s="7">
        <f ca="1">IFERROR(__xludf.DUMMYFUNCTION("""COMPUTED_VALUE"""),500000)</f>
        <v>500000</v>
      </c>
    </row>
    <row r="3481" spans="1:8" ht="13" x14ac:dyDescent="0.15">
      <c r="A3481" s="5" t="str">
        <f ca="1">IFERROR(__xludf.DUMMYFUNCTION("""COMPUTED_VALUE"""),"73542")</f>
        <v>73542</v>
      </c>
      <c r="B3481" s="51">
        <f ca="1">IFERROR(__xludf.DUMMYFUNCTION("""COMPUTED_VALUE"""),44624)</f>
        <v>44624</v>
      </c>
      <c r="C3481" s="22">
        <f ca="1">IFERROR(__xludf.DUMMYFUNCTION("""COMPUTED_VALUE"""),500000)</f>
        <v>500000</v>
      </c>
      <c r="D3481" s="22">
        <f ca="1">IFERROR(__xludf.DUMMYFUNCTION("""COMPUTED_VALUE"""),0)</f>
        <v>0</v>
      </c>
      <c r="E3481" s="22">
        <f ca="1">IFERROR(__xludf.DUMMYFUNCTION("""COMPUTED_VALUE"""),500000)</f>
        <v>500000</v>
      </c>
      <c r="F3481" s="22">
        <f ca="1">IFERROR(__xludf.DUMMYFUNCTION("""COMPUTED_VALUE"""),500000)</f>
        <v>500000</v>
      </c>
      <c r="G3481" s="22">
        <f ca="1">IFERROR(__xludf.DUMMYFUNCTION("""COMPUTED_VALUE"""),0)</f>
        <v>0</v>
      </c>
      <c r="H3481" s="7">
        <f ca="1">IFERROR(__xludf.DUMMYFUNCTION("""COMPUTED_VALUE"""),500000)</f>
        <v>500000</v>
      </c>
    </row>
    <row r="3482" spans="1:8" ht="13" x14ac:dyDescent="0.15">
      <c r="A3482" s="5" t="str">
        <f ca="1">IFERROR(__xludf.DUMMYFUNCTION("""COMPUTED_VALUE"""),"73542")</f>
        <v>73542</v>
      </c>
      <c r="B3482" s="51">
        <f ca="1">IFERROR(__xludf.DUMMYFUNCTION("""COMPUTED_VALUE"""),44625)</f>
        <v>44625</v>
      </c>
      <c r="C3482" s="22">
        <f ca="1">IFERROR(__xludf.DUMMYFUNCTION("""COMPUTED_VALUE"""),500000)</f>
        <v>500000</v>
      </c>
      <c r="D3482" s="22">
        <f ca="1">IFERROR(__xludf.DUMMYFUNCTION("""COMPUTED_VALUE"""),0)</f>
        <v>0</v>
      </c>
      <c r="E3482" s="22">
        <f ca="1">IFERROR(__xludf.DUMMYFUNCTION("""COMPUTED_VALUE"""),500000)</f>
        <v>500000</v>
      </c>
      <c r="F3482" s="22">
        <f ca="1">IFERROR(__xludf.DUMMYFUNCTION("""COMPUTED_VALUE"""),500000)</f>
        <v>500000</v>
      </c>
      <c r="G3482" s="22">
        <f ca="1">IFERROR(__xludf.DUMMYFUNCTION("""COMPUTED_VALUE"""),0)</f>
        <v>0</v>
      </c>
      <c r="H3482" s="7">
        <f ca="1">IFERROR(__xludf.DUMMYFUNCTION("""COMPUTED_VALUE"""),500000)</f>
        <v>500000</v>
      </c>
    </row>
    <row r="3483" spans="1:8" ht="13" x14ac:dyDescent="0.15">
      <c r="A3483" s="5" t="str">
        <f ca="1">IFERROR(__xludf.DUMMYFUNCTION("""COMPUTED_VALUE"""),"73542")</f>
        <v>73542</v>
      </c>
      <c r="B3483" s="51">
        <f ca="1">IFERROR(__xludf.DUMMYFUNCTION("""COMPUTED_VALUE"""),44626)</f>
        <v>44626</v>
      </c>
      <c r="C3483" s="22">
        <f ca="1">IFERROR(__xludf.DUMMYFUNCTION("""COMPUTED_VALUE"""),500000)</f>
        <v>500000</v>
      </c>
      <c r="D3483" s="22">
        <f ca="1">IFERROR(__xludf.DUMMYFUNCTION("""COMPUTED_VALUE"""),0)</f>
        <v>0</v>
      </c>
      <c r="E3483" s="22">
        <f ca="1">IFERROR(__xludf.DUMMYFUNCTION("""COMPUTED_VALUE"""),500000)</f>
        <v>500000</v>
      </c>
      <c r="F3483" s="22">
        <f ca="1">IFERROR(__xludf.DUMMYFUNCTION("""COMPUTED_VALUE"""),500000)</f>
        <v>500000</v>
      </c>
      <c r="G3483" s="22">
        <f ca="1">IFERROR(__xludf.DUMMYFUNCTION("""COMPUTED_VALUE"""),0)</f>
        <v>0</v>
      </c>
      <c r="H3483" s="7">
        <f ca="1">IFERROR(__xludf.DUMMYFUNCTION("""COMPUTED_VALUE"""),500000)</f>
        <v>500000</v>
      </c>
    </row>
    <row r="3484" spans="1:8" ht="13" x14ac:dyDescent="0.15">
      <c r="A3484" s="5" t="str">
        <f ca="1">IFERROR(__xludf.DUMMYFUNCTION("""COMPUTED_VALUE"""),"73542")</f>
        <v>73542</v>
      </c>
      <c r="B3484" s="51">
        <f ca="1">IFERROR(__xludf.DUMMYFUNCTION("""COMPUTED_VALUE"""),44627)</f>
        <v>44627</v>
      </c>
      <c r="C3484" s="22">
        <f ca="1">IFERROR(__xludf.DUMMYFUNCTION("""COMPUTED_VALUE"""),500000)</f>
        <v>500000</v>
      </c>
      <c r="D3484" s="22">
        <f ca="1">IFERROR(__xludf.DUMMYFUNCTION("""COMPUTED_VALUE"""),0)</f>
        <v>0</v>
      </c>
      <c r="E3484" s="22">
        <f ca="1">IFERROR(__xludf.DUMMYFUNCTION("""COMPUTED_VALUE"""),500000)</f>
        <v>500000</v>
      </c>
      <c r="F3484" s="22">
        <f ca="1">IFERROR(__xludf.DUMMYFUNCTION("""COMPUTED_VALUE"""),500000)</f>
        <v>500000</v>
      </c>
      <c r="G3484" s="22">
        <f ca="1">IFERROR(__xludf.DUMMYFUNCTION("""COMPUTED_VALUE"""),0)</f>
        <v>0</v>
      </c>
      <c r="H3484" s="7">
        <f ca="1">IFERROR(__xludf.DUMMYFUNCTION("""COMPUTED_VALUE"""),500000)</f>
        <v>500000</v>
      </c>
    </row>
    <row r="3485" spans="1:8" ht="13" x14ac:dyDescent="0.15">
      <c r="A3485" s="5" t="str">
        <f ca="1">IFERROR(__xludf.DUMMYFUNCTION("""COMPUTED_VALUE"""),"73542")</f>
        <v>73542</v>
      </c>
      <c r="B3485" s="51">
        <f ca="1">IFERROR(__xludf.DUMMYFUNCTION("""COMPUTED_VALUE"""),44628)</f>
        <v>44628</v>
      </c>
      <c r="C3485" s="22">
        <f ca="1">IFERROR(__xludf.DUMMYFUNCTION("""COMPUTED_VALUE"""),500000)</f>
        <v>500000</v>
      </c>
      <c r="D3485" s="22">
        <f ca="1">IFERROR(__xludf.DUMMYFUNCTION("""COMPUTED_VALUE"""),0)</f>
        <v>0</v>
      </c>
      <c r="E3485" s="22">
        <f ca="1">IFERROR(__xludf.DUMMYFUNCTION("""COMPUTED_VALUE"""),500000)</f>
        <v>500000</v>
      </c>
      <c r="F3485" s="22">
        <f ca="1">IFERROR(__xludf.DUMMYFUNCTION("""COMPUTED_VALUE"""),500000)</f>
        <v>500000</v>
      </c>
      <c r="G3485" s="22">
        <f ca="1">IFERROR(__xludf.DUMMYFUNCTION("""COMPUTED_VALUE"""),0)</f>
        <v>0</v>
      </c>
      <c r="H3485" s="7">
        <f ca="1">IFERROR(__xludf.DUMMYFUNCTION("""COMPUTED_VALUE"""),500000)</f>
        <v>500000</v>
      </c>
    </row>
    <row r="3486" spans="1:8" ht="13" x14ac:dyDescent="0.15">
      <c r="A3486" s="5" t="str">
        <f ca="1">IFERROR(__xludf.DUMMYFUNCTION("""COMPUTED_VALUE"""),"73542")</f>
        <v>73542</v>
      </c>
      <c r="B3486" s="51">
        <f ca="1">IFERROR(__xludf.DUMMYFUNCTION("""COMPUTED_VALUE"""),44629)</f>
        <v>44629</v>
      </c>
      <c r="C3486" s="22">
        <f ca="1">IFERROR(__xludf.DUMMYFUNCTION("""COMPUTED_VALUE"""),500000)</f>
        <v>500000</v>
      </c>
      <c r="D3486" s="22">
        <f ca="1">IFERROR(__xludf.DUMMYFUNCTION("""COMPUTED_VALUE"""),0)</f>
        <v>0</v>
      </c>
      <c r="E3486" s="22">
        <f ca="1">IFERROR(__xludf.DUMMYFUNCTION("""COMPUTED_VALUE"""),500000)</f>
        <v>500000</v>
      </c>
      <c r="F3486" s="22">
        <f ca="1">IFERROR(__xludf.DUMMYFUNCTION("""COMPUTED_VALUE"""),500000)</f>
        <v>500000</v>
      </c>
      <c r="G3486" s="22">
        <f ca="1">IFERROR(__xludf.DUMMYFUNCTION("""COMPUTED_VALUE"""),0)</f>
        <v>0</v>
      </c>
      <c r="H3486" s="7">
        <f ca="1">IFERROR(__xludf.DUMMYFUNCTION("""COMPUTED_VALUE"""),500000)</f>
        <v>500000</v>
      </c>
    </row>
    <row r="3487" spans="1:8" ht="13" x14ac:dyDescent="0.15">
      <c r="A3487" s="5" t="str">
        <f ca="1">IFERROR(__xludf.DUMMYFUNCTION("""COMPUTED_VALUE"""),"73542")</f>
        <v>73542</v>
      </c>
      <c r="B3487" s="51">
        <f ca="1">IFERROR(__xludf.DUMMYFUNCTION("""COMPUTED_VALUE"""),44630)</f>
        <v>44630</v>
      </c>
      <c r="C3487" s="22">
        <f ca="1">IFERROR(__xludf.DUMMYFUNCTION("""COMPUTED_VALUE"""),500000)</f>
        <v>500000</v>
      </c>
      <c r="D3487" s="22">
        <f ca="1">IFERROR(__xludf.DUMMYFUNCTION("""COMPUTED_VALUE"""),0)</f>
        <v>0</v>
      </c>
      <c r="E3487" s="22">
        <f ca="1">IFERROR(__xludf.DUMMYFUNCTION("""COMPUTED_VALUE"""),500000)</f>
        <v>500000</v>
      </c>
      <c r="F3487" s="22">
        <f ca="1">IFERROR(__xludf.DUMMYFUNCTION("""COMPUTED_VALUE"""),500000)</f>
        <v>500000</v>
      </c>
      <c r="G3487" s="22">
        <f ca="1">IFERROR(__xludf.DUMMYFUNCTION("""COMPUTED_VALUE"""),0)</f>
        <v>0</v>
      </c>
      <c r="H3487" s="7">
        <f ca="1">IFERROR(__xludf.DUMMYFUNCTION("""COMPUTED_VALUE"""),500000)</f>
        <v>500000</v>
      </c>
    </row>
    <row r="3488" spans="1:8" ht="13" x14ac:dyDescent="0.15">
      <c r="A3488" s="5" t="str">
        <f ca="1">IFERROR(__xludf.DUMMYFUNCTION("""COMPUTED_VALUE"""),"73542")</f>
        <v>73542</v>
      </c>
      <c r="B3488" s="51">
        <f ca="1">IFERROR(__xludf.DUMMYFUNCTION("""COMPUTED_VALUE"""),44631)</f>
        <v>44631</v>
      </c>
      <c r="C3488" s="22">
        <f ca="1">IFERROR(__xludf.DUMMYFUNCTION("""COMPUTED_VALUE"""),500000)</f>
        <v>500000</v>
      </c>
      <c r="D3488" s="22">
        <f ca="1">IFERROR(__xludf.DUMMYFUNCTION("""COMPUTED_VALUE"""),0)</f>
        <v>0</v>
      </c>
      <c r="E3488" s="22">
        <f ca="1">IFERROR(__xludf.DUMMYFUNCTION("""COMPUTED_VALUE"""),500000)</f>
        <v>500000</v>
      </c>
      <c r="F3488" s="22">
        <f ca="1">IFERROR(__xludf.DUMMYFUNCTION("""COMPUTED_VALUE"""),500000)</f>
        <v>500000</v>
      </c>
      <c r="G3488" s="22">
        <f ca="1">IFERROR(__xludf.DUMMYFUNCTION("""COMPUTED_VALUE"""),0)</f>
        <v>0</v>
      </c>
      <c r="H3488" s="7">
        <f ca="1">IFERROR(__xludf.DUMMYFUNCTION("""COMPUTED_VALUE"""),500000)</f>
        <v>500000</v>
      </c>
    </row>
    <row r="3489" spans="1:8" ht="13" x14ac:dyDescent="0.15">
      <c r="A3489" s="5" t="str">
        <f ca="1">IFERROR(__xludf.DUMMYFUNCTION("""COMPUTED_VALUE"""),"73542")</f>
        <v>73542</v>
      </c>
      <c r="B3489" s="51">
        <f ca="1">IFERROR(__xludf.DUMMYFUNCTION("""COMPUTED_VALUE"""),44632)</f>
        <v>44632</v>
      </c>
      <c r="C3489" s="22">
        <f ca="1">IFERROR(__xludf.DUMMYFUNCTION("""COMPUTED_VALUE"""),500000)</f>
        <v>500000</v>
      </c>
      <c r="D3489" s="22">
        <f ca="1">IFERROR(__xludf.DUMMYFUNCTION("""COMPUTED_VALUE"""),0)</f>
        <v>0</v>
      </c>
      <c r="E3489" s="22">
        <f ca="1">IFERROR(__xludf.DUMMYFUNCTION("""COMPUTED_VALUE"""),500000)</f>
        <v>500000</v>
      </c>
      <c r="F3489" s="22">
        <f ca="1">IFERROR(__xludf.DUMMYFUNCTION("""COMPUTED_VALUE"""),500000)</f>
        <v>500000</v>
      </c>
      <c r="G3489" s="22">
        <f ca="1">IFERROR(__xludf.DUMMYFUNCTION("""COMPUTED_VALUE"""),0)</f>
        <v>0</v>
      </c>
      <c r="H3489" s="7">
        <f ca="1">IFERROR(__xludf.DUMMYFUNCTION("""COMPUTED_VALUE"""),500000)</f>
        <v>500000</v>
      </c>
    </row>
    <row r="3490" spans="1:8" ht="13" x14ac:dyDescent="0.15">
      <c r="A3490" s="5" t="str">
        <f ca="1">IFERROR(__xludf.DUMMYFUNCTION("""COMPUTED_VALUE"""),"73542")</f>
        <v>73542</v>
      </c>
      <c r="B3490" s="51">
        <f ca="1">IFERROR(__xludf.DUMMYFUNCTION("""COMPUTED_VALUE"""),44633)</f>
        <v>44633</v>
      </c>
      <c r="C3490" s="22">
        <f ca="1">IFERROR(__xludf.DUMMYFUNCTION("""COMPUTED_VALUE"""),500000)</f>
        <v>500000</v>
      </c>
      <c r="D3490" s="22">
        <f ca="1">IFERROR(__xludf.DUMMYFUNCTION("""COMPUTED_VALUE"""),0)</f>
        <v>0</v>
      </c>
      <c r="E3490" s="22">
        <f ca="1">IFERROR(__xludf.DUMMYFUNCTION("""COMPUTED_VALUE"""),500000)</f>
        <v>500000</v>
      </c>
      <c r="F3490" s="22">
        <f ca="1">IFERROR(__xludf.DUMMYFUNCTION("""COMPUTED_VALUE"""),500000)</f>
        <v>500000</v>
      </c>
      <c r="G3490" s="22">
        <f ca="1">IFERROR(__xludf.DUMMYFUNCTION("""COMPUTED_VALUE"""),0)</f>
        <v>0</v>
      </c>
      <c r="H3490" s="7">
        <f ca="1">IFERROR(__xludf.DUMMYFUNCTION("""COMPUTED_VALUE"""),500000)</f>
        <v>500000</v>
      </c>
    </row>
    <row r="3491" spans="1:8" ht="13" x14ac:dyDescent="0.15">
      <c r="A3491" s="5" t="str">
        <f ca="1">IFERROR(__xludf.DUMMYFUNCTION("""COMPUTED_VALUE"""),"73542")</f>
        <v>73542</v>
      </c>
      <c r="B3491" s="51">
        <f ca="1">IFERROR(__xludf.DUMMYFUNCTION("""COMPUTED_VALUE"""),44634)</f>
        <v>44634</v>
      </c>
      <c r="C3491" s="22">
        <f ca="1">IFERROR(__xludf.DUMMYFUNCTION("""COMPUTED_VALUE"""),500000)</f>
        <v>500000</v>
      </c>
      <c r="D3491" s="22">
        <f ca="1">IFERROR(__xludf.DUMMYFUNCTION("""COMPUTED_VALUE"""),0)</f>
        <v>0</v>
      </c>
      <c r="E3491" s="22">
        <f ca="1">IFERROR(__xludf.DUMMYFUNCTION("""COMPUTED_VALUE"""),500000)</f>
        <v>500000</v>
      </c>
      <c r="F3491" s="22">
        <f ca="1">IFERROR(__xludf.DUMMYFUNCTION("""COMPUTED_VALUE"""),500000)</f>
        <v>500000</v>
      </c>
      <c r="G3491" s="22">
        <f ca="1">IFERROR(__xludf.DUMMYFUNCTION("""COMPUTED_VALUE"""),0)</f>
        <v>0</v>
      </c>
      <c r="H3491" s="7">
        <f ca="1">IFERROR(__xludf.DUMMYFUNCTION("""COMPUTED_VALUE"""),500000)</f>
        <v>500000</v>
      </c>
    </row>
    <row r="3492" spans="1:8" ht="13" x14ac:dyDescent="0.15">
      <c r="A3492" s="5" t="str">
        <f ca="1">IFERROR(__xludf.DUMMYFUNCTION("""COMPUTED_VALUE"""),"73542")</f>
        <v>73542</v>
      </c>
      <c r="B3492" s="51">
        <f ca="1">IFERROR(__xludf.DUMMYFUNCTION("""COMPUTED_VALUE"""),44635)</f>
        <v>44635</v>
      </c>
      <c r="C3492" s="22">
        <f ca="1">IFERROR(__xludf.DUMMYFUNCTION("""COMPUTED_VALUE"""),500000)</f>
        <v>500000</v>
      </c>
      <c r="D3492" s="22">
        <f ca="1">IFERROR(__xludf.DUMMYFUNCTION("""COMPUTED_VALUE"""),0)</f>
        <v>0</v>
      </c>
      <c r="E3492" s="22">
        <f ca="1">IFERROR(__xludf.DUMMYFUNCTION("""COMPUTED_VALUE"""),500000)</f>
        <v>500000</v>
      </c>
      <c r="F3492" s="22">
        <f ca="1">IFERROR(__xludf.DUMMYFUNCTION("""COMPUTED_VALUE"""),500000)</f>
        <v>500000</v>
      </c>
      <c r="G3492" s="22">
        <f ca="1">IFERROR(__xludf.DUMMYFUNCTION("""COMPUTED_VALUE"""),0)</f>
        <v>0</v>
      </c>
      <c r="H3492" s="7">
        <f ca="1">IFERROR(__xludf.DUMMYFUNCTION("""COMPUTED_VALUE"""),500000)</f>
        <v>500000</v>
      </c>
    </row>
    <row r="3493" spans="1:8" ht="13" x14ac:dyDescent="0.15">
      <c r="A3493" s="5" t="str">
        <f ca="1">IFERROR(__xludf.DUMMYFUNCTION("""COMPUTED_VALUE"""),"73542")</f>
        <v>73542</v>
      </c>
      <c r="B3493" s="51">
        <f ca="1">IFERROR(__xludf.DUMMYFUNCTION("""COMPUTED_VALUE"""),44636)</f>
        <v>44636</v>
      </c>
      <c r="C3493" s="22">
        <f ca="1">IFERROR(__xludf.DUMMYFUNCTION("""COMPUTED_VALUE"""),500000)</f>
        <v>500000</v>
      </c>
      <c r="D3493" s="22">
        <f ca="1">IFERROR(__xludf.DUMMYFUNCTION("""COMPUTED_VALUE"""),0)</f>
        <v>0</v>
      </c>
      <c r="E3493" s="22">
        <f ca="1">IFERROR(__xludf.DUMMYFUNCTION("""COMPUTED_VALUE"""),500000)</f>
        <v>500000</v>
      </c>
      <c r="F3493" s="22">
        <f ca="1">IFERROR(__xludf.DUMMYFUNCTION("""COMPUTED_VALUE"""),500000)</f>
        <v>500000</v>
      </c>
      <c r="G3493" s="22">
        <f ca="1">IFERROR(__xludf.DUMMYFUNCTION("""COMPUTED_VALUE"""),0)</f>
        <v>0</v>
      </c>
      <c r="H3493" s="7">
        <f ca="1">IFERROR(__xludf.DUMMYFUNCTION("""COMPUTED_VALUE"""),500000)</f>
        <v>500000</v>
      </c>
    </row>
    <row r="3494" spans="1:8" ht="13" x14ac:dyDescent="0.15">
      <c r="A3494" s="5" t="str">
        <f ca="1">IFERROR(__xludf.DUMMYFUNCTION("""COMPUTED_VALUE"""),"73542")</f>
        <v>73542</v>
      </c>
      <c r="B3494" s="51">
        <f ca="1">IFERROR(__xludf.DUMMYFUNCTION("""COMPUTED_VALUE"""),44637)</f>
        <v>44637</v>
      </c>
      <c r="C3494" s="22">
        <f ca="1">IFERROR(__xludf.DUMMYFUNCTION("""COMPUTED_VALUE"""),500000)</f>
        <v>500000</v>
      </c>
      <c r="D3494" s="22">
        <f ca="1">IFERROR(__xludf.DUMMYFUNCTION("""COMPUTED_VALUE"""),0)</f>
        <v>0</v>
      </c>
      <c r="E3494" s="22">
        <f ca="1">IFERROR(__xludf.DUMMYFUNCTION("""COMPUTED_VALUE"""),500000)</f>
        <v>500000</v>
      </c>
      <c r="F3494" s="22">
        <f ca="1">IFERROR(__xludf.DUMMYFUNCTION("""COMPUTED_VALUE"""),500000)</f>
        <v>500000</v>
      </c>
      <c r="G3494" s="22">
        <f ca="1">IFERROR(__xludf.DUMMYFUNCTION("""COMPUTED_VALUE"""),0)</f>
        <v>0</v>
      </c>
      <c r="H3494" s="7">
        <f ca="1">IFERROR(__xludf.DUMMYFUNCTION("""COMPUTED_VALUE"""),500000)</f>
        <v>500000</v>
      </c>
    </row>
    <row r="3495" spans="1:8" ht="13" x14ac:dyDescent="0.15">
      <c r="A3495" s="5" t="str">
        <f ca="1">IFERROR(__xludf.DUMMYFUNCTION("""COMPUTED_VALUE"""),"73542")</f>
        <v>73542</v>
      </c>
      <c r="B3495" s="51">
        <f ca="1">IFERROR(__xludf.DUMMYFUNCTION("""COMPUTED_VALUE"""),44638)</f>
        <v>44638</v>
      </c>
      <c r="C3495" s="22">
        <f ca="1">IFERROR(__xludf.DUMMYFUNCTION("""COMPUTED_VALUE"""),500000)</f>
        <v>500000</v>
      </c>
      <c r="D3495" s="22">
        <f ca="1">IFERROR(__xludf.DUMMYFUNCTION("""COMPUTED_VALUE"""),0)</f>
        <v>0</v>
      </c>
      <c r="E3495" s="22">
        <f ca="1">IFERROR(__xludf.DUMMYFUNCTION("""COMPUTED_VALUE"""),500000)</f>
        <v>500000</v>
      </c>
      <c r="F3495" s="22">
        <f ca="1">IFERROR(__xludf.DUMMYFUNCTION("""COMPUTED_VALUE"""),500000)</f>
        <v>500000</v>
      </c>
      <c r="G3495" s="22">
        <f ca="1">IFERROR(__xludf.DUMMYFUNCTION("""COMPUTED_VALUE"""),0)</f>
        <v>0</v>
      </c>
      <c r="H3495" s="7">
        <f ca="1">IFERROR(__xludf.DUMMYFUNCTION("""COMPUTED_VALUE"""),500000)</f>
        <v>500000</v>
      </c>
    </row>
    <row r="3496" spans="1:8" ht="13" x14ac:dyDescent="0.15">
      <c r="A3496" s="5" t="str">
        <f ca="1">IFERROR(__xludf.DUMMYFUNCTION("""COMPUTED_VALUE"""),"73542")</f>
        <v>73542</v>
      </c>
      <c r="B3496" s="51">
        <f ca="1">IFERROR(__xludf.DUMMYFUNCTION("""COMPUTED_VALUE"""),44639)</f>
        <v>44639</v>
      </c>
      <c r="C3496" s="22">
        <f ca="1">IFERROR(__xludf.DUMMYFUNCTION("""COMPUTED_VALUE"""),500000)</f>
        <v>500000</v>
      </c>
      <c r="D3496" s="22">
        <f ca="1">IFERROR(__xludf.DUMMYFUNCTION("""COMPUTED_VALUE"""),0)</f>
        <v>0</v>
      </c>
      <c r="E3496" s="22">
        <f ca="1">IFERROR(__xludf.DUMMYFUNCTION("""COMPUTED_VALUE"""),500000)</f>
        <v>500000</v>
      </c>
      <c r="F3496" s="22">
        <f ca="1">IFERROR(__xludf.DUMMYFUNCTION("""COMPUTED_VALUE"""),500000)</f>
        <v>500000</v>
      </c>
      <c r="G3496" s="22">
        <f ca="1">IFERROR(__xludf.DUMMYFUNCTION("""COMPUTED_VALUE"""),0)</f>
        <v>0</v>
      </c>
      <c r="H3496" s="7">
        <f ca="1">IFERROR(__xludf.DUMMYFUNCTION("""COMPUTED_VALUE"""),500000)</f>
        <v>500000</v>
      </c>
    </row>
    <row r="3497" spans="1:8" ht="13" x14ac:dyDescent="0.15">
      <c r="A3497" s="5" t="str">
        <f ca="1">IFERROR(__xludf.DUMMYFUNCTION("""COMPUTED_VALUE"""),"73542")</f>
        <v>73542</v>
      </c>
      <c r="B3497" s="51">
        <f ca="1">IFERROR(__xludf.DUMMYFUNCTION("""COMPUTED_VALUE"""),44640)</f>
        <v>44640</v>
      </c>
      <c r="C3497" s="22">
        <f ca="1">IFERROR(__xludf.DUMMYFUNCTION("""COMPUTED_VALUE"""),500000)</f>
        <v>500000</v>
      </c>
      <c r="D3497" s="22">
        <f ca="1">IFERROR(__xludf.DUMMYFUNCTION("""COMPUTED_VALUE"""),0)</f>
        <v>0</v>
      </c>
      <c r="E3497" s="22">
        <f ca="1">IFERROR(__xludf.DUMMYFUNCTION("""COMPUTED_VALUE"""),500000)</f>
        <v>500000</v>
      </c>
      <c r="F3497" s="22">
        <f ca="1">IFERROR(__xludf.DUMMYFUNCTION("""COMPUTED_VALUE"""),500000)</f>
        <v>500000</v>
      </c>
      <c r="G3497" s="22">
        <f ca="1">IFERROR(__xludf.DUMMYFUNCTION("""COMPUTED_VALUE"""),0)</f>
        <v>0</v>
      </c>
      <c r="H3497" s="7">
        <f ca="1">IFERROR(__xludf.DUMMYFUNCTION("""COMPUTED_VALUE"""),500000)</f>
        <v>500000</v>
      </c>
    </row>
    <row r="3498" spans="1:8" ht="13" x14ac:dyDescent="0.15">
      <c r="A3498" s="5" t="str">
        <f ca="1">IFERROR(__xludf.DUMMYFUNCTION("""COMPUTED_VALUE"""),"73542")</f>
        <v>73542</v>
      </c>
      <c r="B3498" s="51">
        <f ca="1">IFERROR(__xludf.DUMMYFUNCTION("""COMPUTED_VALUE"""),44641)</f>
        <v>44641</v>
      </c>
      <c r="C3498" s="22">
        <f ca="1">IFERROR(__xludf.DUMMYFUNCTION("""COMPUTED_VALUE"""),500000)</f>
        <v>500000</v>
      </c>
      <c r="D3498" s="22">
        <f ca="1">IFERROR(__xludf.DUMMYFUNCTION("""COMPUTED_VALUE"""),0)</f>
        <v>0</v>
      </c>
      <c r="E3498" s="22">
        <f ca="1">IFERROR(__xludf.DUMMYFUNCTION("""COMPUTED_VALUE"""),500000)</f>
        <v>500000</v>
      </c>
      <c r="F3498" s="22">
        <f ca="1">IFERROR(__xludf.DUMMYFUNCTION("""COMPUTED_VALUE"""),500000)</f>
        <v>500000</v>
      </c>
      <c r="G3498" s="22">
        <f ca="1">IFERROR(__xludf.DUMMYFUNCTION("""COMPUTED_VALUE"""),0)</f>
        <v>0</v>
      </c>
      <c r="H3498" s="7">
        <f ca="1">IFERROR(__xludf.DUMMYFUNCTION("""COMPUTED_VALUE"""),500000)</f>
        <v>500000</v>
      </c>
    </row>
    <row r="3499" spans="1:8" ht="13" x14ac:dyDescent="0.15">
      <c r="A3499" s="5" t="str">
        <f ca="1">IFERROR(__xludf.DUMMYFUNCTION("""COMPUTED_VALUE"""),"73542")</f>
        <v>73542</v>
      </c>
      <c r="B3499" s="51">
        <f ca="1">IFERROR(__xludf.DUMMYFUNCTION("""COMPUTED_VALUE"""),44642)</f>
        <v>44642</v>
      </c>
      <c r="C3499" s="22">
        <f ca="1">IFERROR(__xludf.DUMMYFUNCTION("""COMPUTED_VALUE"""),500000)</f>
        <v>500000</v>
      </c>
      <c r="D3499" s="22">
        <f ca="1">IFERROR(__xludf.DUMMYFUNCTION("""COMPUTED_VALUE"""),0)</f>
        <v>0</v>
      </c>
      <c r="E3499" s="22">
        <f ca="1">IFERROR(__xludf.DUMMYFUNCTION("""COMPUTED_VALUE"""),500000)</f>
        <v>500000</v>
      </c>
      <c r="F3499" s="22">
        <f ca="1">IFERROR(__xludf.DUMMYFUNCTION("""COMPUTED_VALUE"""),500000)</f>
        <v>500000</v>
      </c>
      <c r="G3499" s="22">
        <f ca="1">IFERROR(__xludf.DUMMYFUNCTION("""COMPUTED_VALUE"""),0)</f>
        <v>0</v>
      </c>
      <c r="H3499" s="7">
        <f ca="1">IFERROR(__xludf.DUMMYFUNCTION("""COMPUTED_VALUE"""),500000)</f>
        <v>500000</v>
      </c>
    </row>
    <row r="3500" spans="1:8" ht="13" x14ac:dyDescent="0.15">
      <c r="A3500" s="5" t="str">
        <f ca="1">IFERROR(__xludf.DUMMYFUNCTION("""COMPUTED_VALUE"""),"73879")</f>
        <v>73879</v>
      </c>
      <c r="B3500" s="51">
        <f ca="1">IFERROR(__xludf.DUMMYFUNCTION("""COMPUTED_VALUE"""),44597)</f>
        <v>44597</v>
      </c>
      <c r="C3500" s="22">
        <f ca="1">IFERROR(__xludf.DUMMYFUNCTION("""COMPUTED_VALUE"""),500000)</f>
        <v>500000</v>
      </c>
      <c r="D3500" s="22">
        <f ca="1">IFERROR(__xludf.DUMMYFUNCTION("""COMPUTED_VALUE"""),0)</f>
        <v>0</v>
      </c>
      <c r="E3500" s="22">
        <f ca="1">IFERROR(__xludf.DUMMYFUNCTION("""COMPUTED_VALUE"""),500000)</f>
        <v>500000</v>
      </c>
      <c r="F3500" s="22">
        <f ca="1">IFERROR(__xludf.DUMMYFUNCTION("""COMPUTED_VALUE"""),500000)</f>
        <v>500000</v>
      </c>
      <c r="G3500" s="22">
        <f ca="1">IFERROR(__xludf.DUMMYFUNCTION("""COMPUTED_VALUE"""),0)</f>
        <v>0</v>
      </c>
      <c r="H3500" s="7">
        <f ca="1">IFERROR(__xludf.DUMMYFUNCTION("""COMPUTED_VALUE"""),500000)</f>
        <v>500000</v>
      </c>
    </row>
    <row r="3501" spans="1:8" ht="13" x14ac:dyDescent="0.15">
      <c r="A3501" s="5" t="str">
        <f ca="1">IFERROR(__xludf.DUMMYFUNCTION("""COMPUTED_VALUE"""),"73879")</f>
        <v>73879</v>
      </c>
      <c r="B3501" s="51">
        <f ca="1">IFERROR(__xludf.DUMMYFUNCTION("""COMPUTED_VALUE"""),44598)</f>
        <v>44598</v>
      </c>
      <c r="C3501" s="22">
        <f ca="1">IFERROR(__xludf.DUMMYFUNCTION("""COMPUTED_VALUE"""),500000)</f>
        <v>500000</v>
      </c>
      <c r="D3501" s="22">
        <f ca="1">IFERROR(__xludf.DUMMYFUNCTION("""COMPUTED_VALUE"""),0)</f>
        <v>0</v>
      </c>
      <c r="E3501" s="22">
        <f ca="1">IFERROR(__xludf.DUMMYFUNCTION("""COMPUTED_VALUE"""),500000)</f>
        <v>500000</v>
      </c>
      <c r="F3501" s="22">
        <f ca="1">IFERROR(__xludf.DUMMYFUNCTION("""COMPUTED_VALUE"""),500000)</f>
        <v>500000</v>
      </c>
      <c r="G3501" s="22">
        <f ca="1">IFERROR(__xludf.DUMMYFUNCTION("""COMPUTED_VALUE"""),0)</f>
        <v>0</v>
      </c>
      <c r="H3501" s="7">
        <f ca="1">IFERROR(__xludf.DUMMYFUNCTION("""COMPUTED_VALUE"""),500000)</f>
        <v>500000</v>
      </c>
    </row>
    <row r="3502" spans="1:8" ht="13" x14ac:dyDescent="0.15">
      <c r="A3502" s="5" t="str">
        <f ca="1">IFERROR(__xludf.DUMMYFUNCTION("""COMPUTED_VALUE"""),"73879")</f>
        <v>73879</v>
      </c>
      <c r="B3502" s="51">
        <f ca="1">IFERROR(__xludf.DUMMYFUNCTION("""COMPUTED_VALUE"""),44599)</f>
        <v>44599</v>
      </c>
      <c r="C3502" s="22">
        <f ca="1">IFERROR(__xludf.DUMMYFUNCTION("""COMPUTED_VALUE"""),500000)</f>
        <v>500000</v>
      </c>
      <c r="D3502" s="22">
        <f ca="1">IFERROR(__xludf.DUMMYFUNCTION("""COMPUTED_VALUE"""),0)</f>
        <v>0</v>
      </c>
      <c r="E3502" s="22">
        <f ca="1">IFERROR(__xludf.DUMMYFUNCTION("""COMPUTED_VALUE"""),500000)</f>
        <v>500000</v>
      </c>
      <c r="F3502" s="22">
        <f ca="1">IFERROR(__xludf.DUMMYFUNCTION("""COMPUTED_VALUE"""),500000)</f>
        <v>500000</v>
      </c>
      <c r="G3502" s="22">
        <f ca="1">IFERROR(__xludf.DUMMYFUNCTION("""COMPUTED_VALUE"""),0)</f>
        <v>0</v>
      </c>
      <c r="H3502" s="7">
        <f ca="1">IFERROR(__xludf.DUMMYFUNCTION("""COMPUTED_VALUE"""),500000)</f>
        <v>500000</v>
      </c>
    </row>
    <row r="3503" spans="1:8" ht="13" x14ac:dyDescent="0.15">
      <c r="A3503" s="5" t="str">
        <f ca="1">IFERROR(__xludf.DUMMYFUNCTION("""COMPUTED_VALUE"""),"73879")</f>
        <v>73879</v>
      </c>
      <c r="B3503" s="51">
        <f ca="1">IFERROR(__xludf.DUMMYFUNCTION("""COMPUTED_VALUE"""),44600)</f>
        <v>44600</v>
      </c>
      <c r="C3503" s="22">
        <f ca="1">IFERROR(__xludf.DUMMYFUNCTION("""COMPUTED_VALUE"""),500000)</f>
        <v>500000</v>
      </c>
      <c r="D3503" s="22">
        <f ca="1">IFERROR(__xludf.DUMMYFUNCTION("""COMPUTED_VALUE"""),0)</f>
        <v>0</v>
      </c>
      <c r="E3503" s="22">
        <f ca="1">IFERROR(__xludf.DUMMYFUNCTION("""COMPUTED_VALUE"""),500000)</f>
        <v>500000</v>
      </c>
      <c r="F3503" s="22">
        <f ca="1">IFERROR(__xludf.DUMMYFUNCTION("""COMPUTED_VALUE"""),500000)</f>
        <v>500000</v>
      </c>
      <c r="G3503" s="22">
        <f ca="1">IFERROR(__xludf.DUMMYFUNCTION("""COMPUTED_VALUE"""),0)</f>
        <v>0</v>
      </c>
      <c r="H3503" s="7">
        <f ca="1">IFERROR(__xludf.DUMMYFUNCTION("""COMPUTED_VALUE"""),500000)</f>
        <v>500000</v>
      </c>
    </row>
    <row r="3504" spans="1:8" ht="13" x14ac:dyDescent="0.15">
      <c r="A3504" s="5" t="str">
        <f ca="1">IFERROR(__xludf.DUMMYFUNCTION("""COMPUTED_VALUE"""),"73879")</f>
        <v>73879</v>
      </c>
      <c r="B3504" s="51">
        <f ca="1">IFERROR(__xludf.DUMMYFUNCTION("""COMPUTED_VALUE"""),44601)</f>
        <v>44601</v>
      </c>
      <c r="C3504" s="22">
        <f ca="1">IFERROR(__xludf.DUMMYFUNCTION("""COMPUTED_VALUE"""),500000)</f>
        <v>500000</v>
      </c>
      <c r="D3504" s="22">
        <f ca="1">IFERROR(__xludf.DUMMYFUNCTION("""COMPUTED_VALUE"""),0)</f>
        <v>0</v>
      </c>
      <c r="E3504" s="22">
        <f ca="1">IFERROR(__xludf.DUMMYFUNCTION("""COMPUTED_VALUE"""),500000)</f>
        <v>500000</v>
      </c>
      <c r="F3504" s="22">
        <f ca="1">IFERROR(__xludf.DUMMYFUNCTION("""COMPUTED_VALUE"""),500000)</f>
        <v>500000</v>
      </c>
      <c r="G3504" s="22">
        <f ca="1">IFERROR(__xludf.DUMMYFUNCTION("""COMPUTED_VALUE"""),0)</f>
        <v>0</v>
      </c>
      <c r="H3504" s="7">
        <f ca="1">IFERROR(__xludf.DUMMYFUNCTION("""COMPUTED_VALUE"""),500000)</f>
        <v>500000</v>
      </c>
    </row>
    <row r="3505" spans="1:8" ht="13" x14ac:dyDescent="0.15">
      <c r="A3505" s="5" t="str">
        <f ca="1">IFERROR(__xludf.DUMMYFUNCTION("""COMPUTED_VALUE"""),"73879")</f>
        <v>73879</v>
      </c>
      <c r="B3505" s="51">
        <f ca="1">IFERROR(__xludf.DUMMYFUNCTION("""COMPUTED_VALUE"""),44602)</f>
        <v>44602</v>
      </c>
      <c r="C3505" s="22">
        <f ca="1">IFERROR(__xludf.DUMMYFUNCTION("""COMPUTED_VALUE"""),500000)</f>
        <v>500000</v>
      </c>
      <c r="D3505" s="22">
        <f ca="1">IFERROR(__xludf.DUMMYFUNCTION("""COMPUTED_VALUE"""),0)</f>
        <v>0</v>
      </c>
      <c r="E3505" s="22">
        <f ca="1">IFERROR(__xludf.DUMMYFUNCTION("""COMPUTED_VALUE"""),500000)</f>
        <v>500000</v>
      </c>
      <c r="F3505" s="22">
        <f ca="1">IFERROR(__xludf.DUMMYFUNCTION("""COMPUTED_VALUE"""),500000)</f>
        <v>500000</v>
      </c>
      <c r="G3505" s="22">
        <f ca="1">IFERROR(__xludf.DUMMYFUNCTION("""COMPUTED_VALUE"""),0)</f>
        <v>0</v>
      </c>
      <c r="H3505" s="7">
        <f ca="1">IFERROR(__xludf.DUMMYFUNCTION("""COMPUTED_VALUE"""),500000)</f>
        <v>500000</v>
      </c>
    </row>
    <row r="3506" spans="1:8" ht="13" x14ac:dyDescent="0.15">
      <c r="A3506" s="5" t="str">
        <f ca="1">IFERROR(__xludf.DUMMYFUNCTION("""COMPUTED_VALUE"""),"73879")</f>
        <v>73879</v>
      </c>
      <c r="B3506" s="51">
        <f ca="1">IFERROR(__xludf.DUMMYFUNCTION("""COMPUTED_VALUE"""),44603)</f>
        <v>44603</v>
      </c>
      <c r="C3506" s="22">
        <f ca="1">IFERROR(__xludf.DUMMYFUNCTION("""COMPUTED_VALUE"""),500000)</f>
        <v>500000</v>
      </c>
      <c r="D3506" s="22">
        <f ca="1">IFERROR(__xludf.DUMMYFUNCTION("""COMPUTED_VALUE"""),0)</f>
        <v>0</v>
      </c>
      <c r="E3506" s="22">
        <f ca="1">IFERROR(__xludf.DUMMYFUNCTION("""COMPUTED_VALUE"""),500000)</f>
        <v>500000</v>
      </c>
      <c r="F3506" s="22">
        <f ca="1">IFERROR(__xludf.DUMMYFUNCTION("""COMPUTED_VALUE"""),500000)</f>
        <v>500000</v>
      </c>
      <c r="G3506" s="22">
        <f ca="1">IFERROR(__xludf.DUMMYFUNCTION("""COMPUTED_VALUE"""),0)</f>
        <v>0</v>
      </c>
      <c r="H3506" s="7">
        <f ca="1">IFERROR(__xludf.DUMMYFUNCTION("""COMPUTED_VALUE"""),500000)</f>
        <v>500000</v>
      </c>
    </row>
    <row r="3507" spans="1:8" ht="13" x14ac:dyDescent="0.15">
      <c r="A3507" s="5" t="str">
        <f ca="1">IFERROR(__xludf.DUMMYFUNCTION("""COMPUTED_VALUE"""),"73879")</f>
        <v>73879</v>
      </c>
      <c r="B3507" s="51">
        <f ca="1">IFERROR(__xludf.DUMMYFUNCTION("""COMPUTED_VALUE"""),44604)</f>
        <v>44604</v>
      </c>
      <c r="C3507" s="22">
        <f ca="1">IFERROR(__xludf.DUMMYFUNCTION("""COMPUTED_VALUE"""),500000)</f>
        <v>500000</v>
      </c>
      <c r="D3507" s="22">
        <f ca="1">IFERROR(__xludf.DUMMYFUNCTION("""COMPUTED_VALUE"""),0)</f>
        <v>0</v>
      </c>
      <c r="E3507" s="22">
        <f ca="1">IFERROR(__xludf.DUMMYFUNCTION("""COMPUTED_VALUE"""),500000)</f>
        <v>500000</v>
      </c>
      <c r="F3507" s="22">
        <f ca="1">IFERROR(__xludf.DUMMYFUNCTION("""COMPUTED_VALUE"""),500000)</f>
        <v>500000</v>
      </c>
      <c r="G3507" s="22">
        <f ca="1">IFERROR(__xludf.DUMMYFUNCTION("""COMPUTED_VALUE"""),0)</f>
        <v>0</v>
      </c>
      <c r="H3507" s="7">
        <f ca="1">IFERROR(__xludf.DUMMYFUNCTION("""COMPUTED_VALUE"""),500000)</f>
        <v>500000</v>
      </c>
    </row>
    <row r="3508" spans="1:8" ht="13" x14ac:dyDescent="0.15">
      <c r="A3508" s="5" t="str">
        <f ca="1">IFERROR(__xludf.DUMMYFUNCTION("""COMPUTED_VALUE"""),"73879")</f>
        <v>73879</v>
      </c>
      <c r="B3508" s="51">
        <f ca="1">IFERROR(__xludf.DUMMYFUNCTION("""COMPUTED_VALUE"""),44605)</f>
        <v>44605</v>
      </c>
      <c r="C3508" s="22">
        <f ca="1">IFERROR(__xludf.DUMMYFUNCTION("""COMPUTED_VALUE"""),500000)</f>
        <v>500000</v>
      </c>
      <c r="D3508" s="22">
        <f ca="1">IFERROR(__xludf.DUMMYFUNCTION("""COMPUTED_VALUE"""),0)</f>
        <v>0</v>
      </c>
      <c r="E3508" s="22">
        <f ca="1">IFERROR(__xludf.DUMMYFUNCTION("""COMPUTED_VALUE"""),500000)</f>
        <v>500000</v>
      </c>
      <c r="F3508" s="22">
        <f ca="1">IFERROR(__xludf.DUMMYFUNCTION("""COMPUTED_VALUE"""),500000)</f>
        <v>500000</v>
      </c>
      <c r="G3508" s="22">
        <f ca="1">IFERROR(__xludf.DUMMYFUNCTION("""COMPUTED_VALUE"""),0)</f>
        <v>0</v>
      </c>
      <c r="H3508" s="7">
        <f ca="1">IFERROR(__xludf.DUMMYFUNCTION("""COMPUTED_VALUE"""),500000)</f>
        <v>500000</v>
      </c>
    </row>
    <row r="3509" spans="1:8" ht="13" x14ac:dyDescent="0.15">
      <c r="A3509" s="5" t="str">
        <f ca="1">IFERROR(__xludf.DUMMYFUNCTION("""COMPUTED_VALUE"""),"73879")</f>
        <v>73879</v>
      </c>
      <c r="B3509" s="51">
        <f ca="1">IFERROR(__xludf.DUMMYFUNCTION("""COMPUTED_VALUE"""),44606)</f>
        <v>44606</v>
      </c>
      <c r="C3509" s="22">
        <f ca="1">IFERROR(__xludf.DUMMYFUNCTION("""COMPUTED_VALUE"""),500000)</f>
        <v>500000</v>
      </c>
      <c r="D3509" s="22">
        <f ca="1">IFERROR(__xludf.DUMMYFUNCTION("""COMPUTED_VALUE"""),0)</f>
        <v>0</v>
      </c>
      <c r="E3509" s="22">
        <f ca="1">IFERROR(__xludf.DUMMYFUNCTION("""COMPUTED_VALUE"""),500000)</f>
        <v>500000</v>
      </c>
      <c r="F3509" s="22">
        <f ca="1">IFERROR(__xludf.DUMMYFUNCTION("""COMPUTED_VALUE"""),500000)</f>
        <v>500000</v>
      </c>
      <c r="G3509" s="22">
        <f ca="1">IFERROR(__xludf.DUMMYFUNCTION("""COMPUTED_VALUE"""),0)</f>
        <v>0</v>
      </c>
      <c r="H3509" s="7">
        <f ca="1">IFERROR(__xludf.DUMMYFUNCTION("""COMPUTED_VALUE"""),500000)</f>
        <v>500000</v>
      </c>
    </row>
    <row r="3510" spans="1:8" ht="13" x14ac:dyDescent="0.15">
      <c r="A3510" s="5" t="str">
        <f ca="1">IFERROR(__xludf.DUMMYFUNCTION("""COMPUTED_VALUE"""),"73879")</f>
        <v>73879</v>
      </c>
      <c r="B3510" s="51">
        <f ca="1">IFERROR(__xludf.DUMMYFUNCTION("""COMPUTED_VALUE"""),44607)</f>
        <v>44607</v>
      </c>
      <c r="C3510" s="22">
        <f ca="1">IFERROR(__xludf.DUMMYFUNCTION("""COMPUTED_VALUE"""),500000)</f>
        <v>500000</v>
      </c>
      <c r="D3510" s="22">
        <f ca="1">IFERROR(__xludf.DUMMYFUNCTION("""COMPUTED_VALUE"""),0)</f>
        <v>0</v>
      </c>
      <c r="E3510" s="22">
        <f ca="1">IFERROR(__xludf.DUMMYFUNCTION("""COMPUTED_VALUE"""),500000)</f>
        <v>500000</v>
      </c>
      <c r="F3510" s="22">
        <f ca="1">IFERROR(__xludf.DUMMYFUNCTION("""COMPUTED_VALUE"""),500000)</f>
        <v>500000</v>
      </c>
      <c r="G3510" s="22">
        <f ca="1">IFERROR(__xludf.DUMMYFUNCTION("""COMPUTED_VALUE"""),0)</f>
        <v>0</v>
      </c>
      <c r="H3510" s="7">
        <f ca="1">IFERROR(__xludf.DUMMYFUNCTION("""COMPUTED_VALUE"""),500000)</f>
        <v>500000</v>
      </c>
    </row>
    <row r="3511" spans="1:8" ht="13" x14ac:dyDescent="0.15">
      <c r="A3511" s="5" t="str">
        <f ca="1">IFERROR(__xludf.DUMMYFUNCTION("""COMPUTED_VALUE"""),"73879")</f>
        <v>73879</v>
      </c>
      <c r="B3511" s="51">
        <f ca="1">IFERROR(__xludf.DUMMYFUNCTION("""COMPUTED_VALUE"""),44608)</f>
        <v>44608</v>
      </c>
      <c r="C3511" s="22">
        <f ca="1">IFERROR(__xludf.DUMMYFUNCTION("""COMPUTED_VALUE"""),500000)</f>
        <v>500000</v>
      </c>
      <c r="D3511" s="22">
        <f ca="1">IFERROR(__xludf.DUMMYFUNCTION("""COMPUTED_VALUE"""),0)</f>
        <v>0</v>
      </c>
      <c r="E3511" s="22">
        <f ca="1">IFERROR(__xludf.DUMMYFUNCTION("""COMPUTED_VALUE"""),500000)</f>
        <v>500000</v>
      </c>
      <c r="F3511" s="22">
        <f ca="1">IFERROR(__xludf.DUMMYFUNCTION("""COMPUTED_VALUE"""),500000)</f>
        <v>500000</v>
      </c>
      <c r="G3511" s="22">
        <f ca="1">IFERROR(__xludf.DUMMYFUNCTION("""COMPUTED_VALUE"""),0)</f>
        <v>0</v>
      </c>
      <c r="H3511" s="7">
        <f ca="1">IFERROR(__xludf.DUMMYFUNCTION("""COMPUTED_VALUE"""),500000)</f>
        <v>500000</v>
      </c>
    </row>
    <row r="3512" spans="1:8" ht="13" x14ac:dyDescent="0.15">
      <c r="A3512" s="5" t="str">
        <f ca="1">IFERROR(__xludf.DUMMYFUNCTION("""COMPUTED_VALUE"""),"73879")</f>
        <v>73879</v>
      </c>
      <c r="B3512" s="51">
        <f ca="1">IFERROR(__xludf.DUMMYFUNCTION("""COMPUTED_VALUE"""),44609)</f>
        <v>44609</v>
      </c>
      <c r="C3512" s="22">
        <f ca="1">IFERROR(__xludf.DUMMYFUNCTION("""COMPUTED_VALUE"""),500000)</f>
        <v>500000</v>
      </c>
      <c r="D3512" s="22">
        <f ca="1">IFERROR(__xludf.DUMMYFUNCTION("""COMPUTED_VALUE"""),0)</f>
        <v>0</v>
      </c>
      <c r="E3512" s="22">
        <f ca="1">IFERROR(__xludf.DUMMYFUNCTION("""COMPUTED_VALUE"""),500000)</f>
        <v>500000</v>
      </c>
      <c r="F3512" s="22">
        <f ca="1">IFERROR(__xludf.DUMMYFUNCTION("""COMPUTED_VALUE"""),500000)</f>
        <v>500000</v>
      </c>
      <c r="G3512" s="22">
        <f ca="1">IFERROR(__xludf.DUMMYFUNCTION("""COMPUTED_VALUE"""),0)</f>
        <v>0</v>
      </c>
      <c r="H3512" s="7">
        <f ca="1">IFERROR(__xludf.DUMMYFUNCTION("""COMPUTED_VALUE"""),500000)</f>
        <v>500000</v>
      </c>
    </row>
    <row r="3513" spans="1:8" ht="13" x14ac:dyDescent="0.15">
      <c r="A3513" s="5" t="str">
        <f ca="1">IFERROR(__xludf.DUMMYFUNCTION("""COMPUTED_VALUE"""),"73879")</f>
        <v>73879</v>
      </c>
      <c r="B3513" s="51">
        <f ca="1">IFERROR(__xludf.DUMMYFUNCTION("""COMPUTED_VALUE"""),44610)</f>
        <v>44610</v>
      </c>
      <c r="C3513" s="22">
        <f ca="1">IFERROR(__xludf.DUMMYFUNCTION("""COMPUTED_VALUE"""),500000)</f>
        <v>500000</v>
      </c>
      <c r="D3513" s="22">
        <f ca="1">IFERROR(__xludf.DUMMYFUNCTION("""COMPUTED_VALUE"""),0)</f>
        <v>0</v>
      </c>
      <c r="E3513" s="22">
        <f ca="1">IFERROR(__xludf.DUMMYFUNCTION("""COMPUTED_VALUE"""),500000)</f>
        <v>500000</v>
      </c>
      <c r="F3513" s="22">
        <f ca="1">IFERROR(__xludf.DUMMYFUNCTION("""COMPUTED_VALUE"""),500000)</f>
        <v>500000</v>
      </c>
      <c r="G3513" s="22">
        <f ca="1">IFERROR(__xludf.DUMMYFUNCTION("""COMPUTED_VALUE"""),0)</f>
        <v>0</v>
      </c>
      <c r="H3513" s="7">
        <f ca="1">IFERROR(__xludf.DUMMYFUNCTION("""COMPUTED_VALUE"""),500000)</f>
        <v>500000</v>
      </c>
    </row>
    <row r="3514" spans="1:8" ht="13" x14ac:dyDescent="0.15">
      <c r="A3514" s="5" t="str">
        <f ca="1">IFERROR(__xludf.DUMMYFUNCTION("""COMPUTED_VALUE"""),"73879")</f>
        <v>73879</v>
      </c>
      <c r="B3514" s="51">
        <f ca="1">IFERROR(__xludf.DUMMYFUNCTION("""COMPUTED_VALUE"""),44611)</f>
        <v>44611</v>
      </c>
      <c r="C3514" s="22">
        <f ca="1">IFERROR(__xludf.DUMMYFUNCTION("""COMPUTED_VALUE"""),500000)</f>
        <v>500000</v>
      </c>
      <c r="D3514" s="22">
        <f ca="1">IFERROR(__xludf.DUMMYFUNCTION("""COMPUTED_VALUE"""),0)</f>
        <v>0</v>
      </c>
      <c r="E3514" s="22">
        <f ca="1">IFERROR(__xludf.DUMMYFUNCTION("""COMPUTED_VALUE"""),500000)</f>
        <v>500000</v>
      </c>
      <c r="F3514" s="22">
        <f ca="1">IFERROR(__xludf.DUMMYFUNCTION("""COMPUTED_VALUE"""),500000)</f>
        <v>500000</v>
      </c>
      <c r="G3514" s="22">
        <f ca="1">IFERROR(__xludf.DUMMYFUNCTION("""COMPUTED_VALUE"""),0)</f>
        <v>0</v>
      </c>
      <c r="H3514" s="7">
        <f ca="1">IFERROR(__xludf.DUMMYFUNCTION("""COMPUTED_VALUE"""),500000)</f>
        <v>500000</v>
      </c>
    </row>
    <row r="3515" spans="1:8" ht="13" x14ac:dyDescent="0.15">
      <c r="A3515" s="5" t="str">
        <f ca="1">IFERROR(__xludf.DUMMYFUNCTION("""COMPUTED_VALUE"""),"73879")</f>
        <v>73879</v>
      </c>
      <c r="B3515" s="51">
        <f ca="1">IFERROR(__xludf.DUMMYFUNCTION("""COMPUTED_VALUE"""),44612)</f>
        <v>44612</v>
      </c>
      <c r="C3515" s="22">
        <f ca="1">IFERROR(__xludf.DUMMYFUNCTION("""COMPUTED_VALUE"""),500000)</f>
        <v>500000</v>
      </c>
      <c r="D3515" s="22">
        <f ca="1">IFERROR(__xludf.DUMMYFUNCTION("""COMPUTED_VALUE"""),0)</f>
        <v>0</v>
      </c>
      <c r="E3515" s="22">
        <f ca="1">IFERROR(__xludf.DUMMYFUNCTION("""COMPUTED_VALUE"""),500000)</f>
        <v>500000</v>
      </c>
      <c r="F3515" s="22">
        <f ca="1">IFERROR(__xludf.DUMMYFUNCTION("""COMPUTED_VALUE"""),500000)</f>
        <v>500000</v>
      </c>
      <c r="G3515" s="22">
        <f ca="1">IFERROR(__xludf.DUMMYFUNCTION("""COMPUTED_VALUE"""),0)</f>
        <v>0</v>
      </c>
      <c r="H3515" s="7">
        <f ca="1">IFERROR(__xludf.DUMMYFUNCTION("""COMPUTED_VALUE"""),500000)</f>
        <v>500000</v>
      </c>
    </row>
    <row r="3516" spans="1:8" ht="13" x14ac:dyDescent="0.15">
      <c r="A3516" s="5" t="str">
        <f ca="1">IFERROR(__xludf.DUMMYFUNCTION("""COMPUTED_VALUE"""),"73879")</f>
        <v>73879</v>
      </c>
      <c r="B3516" s="51">
        <f ca="1">IFERROR(__xludf.DUMMYFUNCTION("""COMPUTED_VALUE"""),44613)</f>
        <v>44613</v>
      </c>
      <c r="C3516" s="22">
        <f ca="1">IFERROR(__xludf.DUMMYFUNCTION("""COMPUTED_VALUE"""),500000)</f>
        <v>500000</v>
      </c>
      <c r="D3516" s="22">
        <f ca="1">IFERROR(__xludf.DUMMYFUNCTION("""COMPUTED_VALUE"""),0)</f>
        <v>0</v>
      </c>
      <c r="E3516" s="22">
        <f ca="1">IFERROR(__xludf.DUMMYFUNCTION("""COMPUTED_VALUE"""),500000)</f>
        <v>500000</v>
      </c>
      <c r="F3516" s="22">
        <f ca="1">IFERROR(__xludf.DUMMYFUNCTION("""COMPUTED_VALUE"""),500000)</f>
        <v>500000</v>
      </c>
      <c r="G3516" s="22">
        <f ca="1">IFERROR(__xludf.DUMMYFUNCTION("""COMPUTED_VALUE"""),0)</f>
        <v>0</v>
      </c>
      <c r="H3516" s="7">
        <f ca="1">IFERROR(__xludf.DUMMYFUNCTION("""COMPUTED_VALUE"""),500000)</f>
        <v>500000</v>
      </c>
    </row>
    <row r="3517" spans="1:8" ht="13" x14ac:dyDescent="0.15">
      <c r="A3517" s="5" t="str">
        <f ca="1">IFERROR(__xludf.DUMMYFUNCTION("""COMPUTED_VALUE"""),"73879")</f>
        <v>73879</v>
      </c>
      <c r="B3517" s="51">
        <f ca="1">IFERROR(__xludf.DUMMYFUNCTION("""COMPUTED_VALUE"""),44614)</f>
        <v>44614</v>
      </c>
      <c r="C3517" s="22">
        <f ca="1">IFERROR(__xludf.DUMMYFUNCTION("""COMPUTED_VALUE"""),500000)</f>
        <v>500000</v>
      </c>
      <c r="D3517" s="22">
        <f ca="1">IFERROR(__xludf.DUMMYFUNCTION("""COMPUTED_VALUE"""),0)</f>
        <v>0</v>
      </c>
      <c r="E3517" s="22">
        <f ca="1">IFERROR(__xludf.DUMMYFUNCTION("""COMPUTED_VALUE"""),500000)</f>
        <v>500000</v>
      </c>
      <c r="F3517" s="22">
        <f ca="1">IFERROR(__xludf.DUMMYFUNCTION("""COMPUTED_VALUE"""),500000)</f>
        <v>500000</v>
      </c>
      <c r="G3517" s="22">
        <f ca="1">IFERROR(__xludf.DUMMYFUNCTION("""COMPUTED_VALUE"""),0)</f>
        <v>0</v>
      </c>
      <c r="H3517" s="7">
        <f ca="1">IFERROR(__xludf.DUMMYFUNCTION("""COMPUTED_VALUE"""),500000)</f>
        <v>500000</v>
      </c>
    </row>
    <row r="3518" spans="1:8" ht="13" x14ac:dyDescent="0.15">
      <c r="A3518" s="5" t="str">
        <f ca="1">IFERROR(__xludf.DUMMYFUNCTION("""COMPUTED_VALUE"""),"73879")</f>
        <v>73879</v>
      </c>
      <c r="B3518" s="51">
        <f ca="1">IFERROR(__xludf.DUMMYFUNCTION("""COMPUTED_VALUE"""),44615)</f>
        <v>44615</v>
      </c>
      <c r="C3518" s="22">
        <f ca="1">IFERROR(__xludf.DUMMYFUNCTION("""COMPUTED_VALUE"""),500000)</f>
        <v>500000</v>
      </c>
      <c r="D3518" s="22">
        <f ca="1">IFERROR(__xludf.DUMMYFUNCTION("""COMPUTED_VALUE"""),0)</f>
        <v>0</v>
      </c>
      <c r="E3518" s="22">
        <f ca="1">IFERROR(__xludf.DUMMYFUNCTION("""COMPUTED_VALUE"""),500000)</f>
        <v>500000</v>
      </c>
      <c r="F3518" s="22">
        <f ca="1">IFERROR(__xludf.DUMMYFUNCTION("""COMPUTED_VALUE"""),500000)</f>
        <v>500000</v>
      </c>
      <c r="G3518" s="22">
        <f ca="1">IFERROR(__xludf.DUMMYFUNCTION("""COMPUTED_VALUE"""),0)</f>
        <v>0</v>
      </c>
      <c r="H3518" s="7">
        <f ca="1">IFERROR(__xludf.DUMMYFUNCTION("""COMPUTED_VALUE"""),500000)</f>
        <v>500000</v>
      </c>
    </row>
    <row r="3519" spans="1:8" ht="13" x14ac:dyDescent="0.15">
      <c r="A3519" s="5" t="str">
        <f ca="1">IFERROR(__xludf.DUMMYFUNCTION("""COMPUTED_VALUE"""),"73879")</f>
        <v>73879</v>
      </c>
      <c r="B3519" s="51">
        <f ca="1">IFERROR(__xludf.DUMMYFUNCTION("""COMPUTED_VALUE"""),44616)</f>
        <v>44616</v>
      </c>
      <c r="C3519" s="22">
        <f ca="1">IFERROR(__xludf.DUMMYFUNCTION("""COMPUTED_VALUE"""),500000)</f>
        <v>500000</v>
      </c>
      <c r="D3519" s="22">
        <f ca="1">IFERROR(__xludf.DUMMYFUNCTION("""COMPUTED_VALUE"""),0)</f>
        <v>0</v>
      </c>
      <c r="E3519" s="22">
        <f ca="1">IFERROR(__xludf.DUMMYFUNCTION("""COMPUTED_VALUE"""),500000)</f>
        <v>500000</v>
      </c>
      <c r="F3519" s="22">
        <f ca="1">IFERROR(__xludf.DUMMYFUNCTION("""COMPUTED_VALUE"""),500000)</f>
        <v>500000</v>
      </c>
      <c r="G3519" s="22">
        <f ca="1">IFERROR(__xludf.DUMMYFUNCTION("""COMPUTED_VALUE"""),0)</f>
        <v>0</v>
      </c>
      <c r="H3519" s="7">
        <f ca="1">IFERROR(__xludf.DUMMYFUNCTION("""COMPUTED_VALUE"""),500000)</f>
        <v>500000</v>
      </c>
    </row>
    <row r="3520" spans="1:8" ht="13" x14ac:dyDescent="0.15">
      <c r="A3520" s="5" t="str">
        <f ca="1">IFERROR(__xludf.DUMMYFUNCTION("""COMPUTED_VALUE"""),"73879")</f>
        <v>73879</v>
      </c>
      <c r="B3520" s="51">
        <f ca="1">IFERROR(__xludf.DUMMYFUNCTION("""COMPUTED_VALUE"""),44617)</f>
        <v>44617</v>
      </c>
      <c r="C3520" s="22">
        <f ca="1">IFERROR(__xludf.DUMMYFUNCTION("""COMPUTED_VALUE"""),500000)</f>
        <v>500000</v>
      </c>
      <c r="D3520" s="22">
        <f ca="1">IFERROR(__xludf.DUMMYFUNCTION("""COMPUTED_VALUE"""),0)</f>
        <v>0</v>
      </c>
      <c r="E3520" s="22">
        <f ca="1">IFERROR(__xludf.DUMMYFUNCTION("""COMPUTED_VALUE"""),500000)</f>
        <v>500000</v>
      </c>
      <c r="F3520" s="22">
        <f ca="1">IFERROR(__xludf.DUMMYFUNCTION("""COMPUTED_VALUE"""),500000)</f>
        <v>500000</v>
      </c>
      <c r="G3520" s="22">
        <f ca="1">IFERROR(__xludf.DUMMYFUNCTION("""COMPUTED_VALUE"""),0)</f>
        <v>0</v>
      </c>
      <c r="H3520" s="7">
        <f ca="1">IFERROR(__xludf.DUMMYFUNCTION("""COMPUTED_VALUE"""),500000)</f>
        <v>500000</v>
      </c>
    </row>
    <row r="3521" spans="1:8" ht="13" x14ac:dyDescent="0.15">
      <c r="A3521" s="5" t="str">
        <f ca="1">IFERROR(__xludf.DUMMYFUNCTION("""COMPUTED_VALUE"""),"73879")</f>
        <v>73879</v>
      </c>
      <c r="B3521" s="51">
        <f ca="1">IFERROR(__xludf.DUMMYFUNCTION("""COMPUTED_VALUE"""),44618)</f>
        <v>44618</v>
      </c>
      <c r="C3521" s="22">
        <f ca="1">IFERROR(__xludf.DUMMYFUNCTION("""COMPUTED_VALUE"""),500000)</f>
        <v>500000</v>
      </c>
      <c r="D3521" s="22">
        <f ca="1">IFERROR(__xludf.DUMMYFUNCTION("""COMPUTED_VALUE"""),0)</f>
        <v>0</v>
      </c>
      <c r="E3521" s="22">
        <f ca="1">IFERROR(__xludf.DUMMYFUNCTION("""COMPUTED_VALUE"""),500000)</f>
        <v>500000</v>
      </c>
      <c r="F3521" s="22">
        <f ca="1">IFERROR(__xludf.DUMMYFUNCTION("""COMPUTED_VALUE"""),500000)</f>
        <v>500000</v>
      </c>
      <c r="G3521" s="22">
        <f ca="1">IFERROR(__xludf.DUMMYFUNCTION("""COMPUTED_VALUE"""),0)</f>
        <v>0</v>
      </c>
      <c r="H3521" s="7">
        <f ca="1">IFERROR(__xludf.DUMMYFUNCTION("""COMPUTED_VALUE"""),500000)</f>
        <v>500000</v>
      </c>
    </row>
    <row r="3522" spans="1:8" ht="13" x14ac:dyDescent="0.15">
      <c r="A3522" s="5" t="str">
        <f ca="1">IFERROR(__xludf.DUMMYFUNCTION("""COMPUTED_VALUE"""),"73879")</f>
        <v>73879</v>
      </c>
      <c r="B3522" s="51">
        <f ca="1">IFERROR(__xludf.DUMMYFUNCTION("""COMPUTED_VALUE"""),44619)</f>
        <v>44619</v>
      </c>
      <c r="C3522" s="22">
        <f ca="1">IFERROR(__xludf.DUMMYFUNCTION("""COMPUTED_VALUE"""),500000)</f>
        <v>500000</v>
      </c>
      <c r="D3522" s="22">
        <f ca="1">IFERROR(__xludf.DUMMYFUNCTION("""COMPUTED_VALUE"""),0)</f>
        <v>0</v>
      </c>
      <c r="E3522" s="22">
        <f ca="1">IFERROR(__xludf.DUMMYFUNCTION("""COMPUTED_VALUE"""),500000)</f>
        <v>500000</v>
      </c>
      <c r="F3522" s="22">
        <f ca="1">IFERROR(__xludf.DUMMYFUNCTION("""COMPUTED_VALUE"""),500000)</f>
        <v>500000</v>
      </c>
      <c r="G3522" s="22">
        <f ca="1">IFERROR(__xludf.DUMMYFUNCTION("""COMPUTED_VALUE"""),0)</f>
        <v>0</v>
      </c>
      <c r="H3522" s="7">
        <f ca="1">IFERROR(__xludf.DUMMYFUNCTION("""COMPUTED_VALUE"""),500000)</f>
        <v>500000</v>
      </c>
    </row>
    <row r="3523" spans="1:8" ht="13" x14ac:dyDescent="0.15">
      <c r="A3523" s="5" t="str">
        <f ca="1">IFERROR(__xludf.DUMMYFUNCTION("""COMPUTED_VALUE"""),"73879")</f>
        <v>73879</v>
      </c>
      <c r="B3523" s="51">
        <f ca="1">IFERROR(__xludf.DUMMYFUNCTION("""COMPUTED_VALUE"""),44620)</f>
        <v>44620</v>
      </c>
      <c r="C3523" s="22">
        <f ca="1">IFERROR(__xludf.DUMMYFUNCTION("""COMPUTED_VALUE"""),500000)</f>
        <v>500000</v>
      </c>
      <c r="D3523" s="22">
        <f ca="1">IFERROR(__xludf.DUMMYFUNCTION("""COMPUTED_VALUE"""),0)</f>
        <v>0</v>
      </c>
      <c r="E3523" s="22">
        <f ca="1">IFERROR(__xludf.DUMMYFUNCTION("""COMPUTED_VALUE"""),500000)</f>
        <v>500000</v>
      </c>
      <c r="F3523" s="22">
        <f ca="1">IFERROR(__xludf.DUMMYFUNCTION("""COMPUTED_VALUE"""),500000)</f>
        <v>500000</v>
      </c>
      <c r="G3523" s="22">
        <f ca="1">IFERROR(__xludf.DUMMYFUNCTION("""COMPUTED_VALUE"""),0)</f>
        <v>0</v>
      </c>
      <c r="H3523" s="7">
        <f ca="1">IFERROR(__xludf.DUMMYFUNCTION("""COMPUTED_VALUE"""),500000)</f>
        <v>500000</v>
      </c>
    </row>
    <row r="3524" spans="1:8" ht="13" x14ac:dyDescent="0.15">
      <c r="A3524" s="5" t="str">
        <f ca="1">IFERROR(__xludf.DUMMYFUNCTION("""COMPUTED_VALUE"""),"73879")</f>
        <v>73879</v>
      </c>
      <c r="B3524" s="51">
        <f ca="1">IFERROR(__xludf.DUMMYFUNCTION("""COMPUTED_VALUE"""),44621)</f>
        <v>44621</v>
      </c>
      <c r="C3524" s="22">
        <f ca="1">IFERROR(__xludf.DUMMYFUNCTION("""COMPUTED_VALUE"""),500000)</f>
        <v>500000</v>
      </c>
      <c r="D3524" s="22">
        <f ca="1">IFERROR(__xludf.DUMMYFUNCTION("""COMPUTED_VALUE"""),0)</f>
        <v>0</v>
      </c>
      <c r="E3524" s="22">
        <f ca="1">IFERROR(__xludf.DUMMYFUNCTION("""COMPUTED_VALUE"""),500000)</f>
        <v>500000</v>
      </c>
      <c r="F3524" s="22">
        <f ca="1">IFERROR(__xludf.DUMMYFUNCTION("""COMPUTED_VALUE"""),500000)</f>
        <v>500000</v>
      </c>
      <c r="G3524" s="22">
        <f ca="1">IFERROR(__xludf.DUMMYFUNCTION("""COMPUTED_VALUE"""),0)</f>
        <v>0</v>
      </c>
      <c r="H3524" s="7">
        <f ca="1">IFERROR(__xludf.DUMMYFUNCTION("""COMPUTED_VALUE"""),500000)</f>
        <v>500000</v>
      </c>
    </row>
    <row r="3525" spans="1:8" ht="13" x14ac:dyDescent="0.15">
      <c r="A3525" s="5" t="str">
        <f ca="1">IFERROR(__xludf.DUMMYFUNCTION("""COMPUTED_VALUE"""),"73879")</f>
        <v>73879</v>
      </c>
      <c r="B3525" s="51">
        <f ca="1">IFERROR(__xludf.DUMMYFUNCTION("""COMPUTED_VALUE"""),44622)</f>
        <v>44622</v>
      </c>
      <c r="C3525" s="22">
        <f ca="1">IFERROR(__xludf.DUMMYFUNCTION("""COMPUTED_VALUE"""),500000)</f>
        <v>500000</v>
      </c>
      <c r="D3525" s="22">
        <f ca="1">IFERROR(__xludf.DUMMYFUNCTION("""COMPUTED_VALUE"""),0)</f>
        <v>0</v>
      </c>
      <c r="E3525" s="22">
        <f ca="1">IFERROR(__xludf.DUMMYFUNCTION("""COMPUTED_VALUE"""),500000)</f>
        <v>500000</v>
      </c>
      <c r="F3525" s="22">
        <f ca="1">IFERROR(__xludf.DUMMYFUNCTION("""COMPUTED_VALUE"""),500000)</f>
        <v>500000</v>
      </c>
      <c r="G3525" s="22">
        <f ca="1">IFERROR(__xludf.DUMMYFUNCTION("""COMPUTED_VALUE"""),0)</f>
        <v>0</v>
      </c>
      <c r="H3525" s="7">
        <f ca="1">IFERROR(__xludf.DUMMYFUNCTION("""COMPUTED_VALUE"""),500000)</f>
        <v>500000</v>
      </c>
    </row>
    <row r="3526" spans="1:8" ht="13" x14ac:dyDescent="0.15">
      <c r="A3526" s="5" t="str">
        <f ca="1">IFERROR(__xludf.DUMMYFUNCTION("""COMPUTED_VALUE"""),"73879")</f>
        <v>73879</v>
      </c>
      <c r="B3526" s="51">
        <f ca="1">IFERROR(__xludf.DUMMYFUNCTION("""COMPUTED_VALUE"""),44623)</f>
        <v>44623</v>
      </c>
      <c r="C3526" s="22">
        <f ca="1">IFERROR(__xludf.DUMMYFUNCTION("""COMPUTED_VALUE"""),500000)</f>
        <v>500000</v>
      </c>
      <c r="D3526" s="22">
        <f ca="1">IFERROR(__xludf.DUMMYFUNCTION("""COMPUTED_VALUE"""),0)</f>
        <v>0</v>
      </c>
      <c r="E3526" s="22">
        <f ca="1">IFERROR(__xludf.DUMMYFUNCTION("""COMPUTED_VALUE"""),500000)</f>
        <v>500000</v>
      </c>
      <c r="F3526" s="22">
        <f ca="1">IFERROR(__xludf.DUMMYFUNCTION("""COMPUTED_VALUE"""),500000)</f>
        <v>500000</v>
      </c>
      <c r="G3526" s="22">
        <f ca="1">IFERROR(__xludf.DUMMYFUNCTION("""COMPUTED_VALUE"""),0)</f>
        <v>0</v>
      </c>
      <c r="H3526" s="7">
        <f ca="1">IFERROR(__xludf.DUMMYFUNCTION("""COMPUTED_VALUE"""),500000)</f>
        <v>500000</v>
      </c>
    </row>
    <row r="3527" spans="1:8" ht="13" x14ac:dyDescent="0.15">
      <c r="A3527" s="5" t="str">
        <f ca="1">IFERROR(__xludf.DUMMYFUNCTION("""COMPUTED_VALUE"""),"73879")</f>
        <v>73879</v>
      </c>
      <c r="B3527" s="51">
        <f ca="1">IFERROR(__xludf.DUMMYFUNCTION("""COMPUTED_VALUE"""),44624)</f>
        <v>44624</v>
      </c>
      <c r="C3527" s="22">
        <f ca="1">IFERROR(__xludf.DUMMYFUNCTION("""COMPUTED_VALUE"""),500000)</f>
        <v>500000</v>
      </c>
      <c r="D3527" s="22">
        <f ca="1">IFERROR(__xludf.DUMMYFUNCTION("""COMPUTED_VALUE"""),0)</f>
        <v>0</v>
      </c>
      <c r="E3527" s="22">
        <f ca="1">IFERROR(__xludf.DUMMYFUNCTION("""COMPUTED_VALUE"""),500000)</f>
        <v>500000</v>
      </c>
      <c r="F3527" s="22">
        <f ca="1">IFERROR(__xludf.DUMMYFUNCTION("""COMPUTED_VALUE"""),500000)</f>
        <v>500000</v>
      </c>
      <c r="G3527" s="22">
        <f ca="1">IFERROR(__xludf.DUMMYFUNCTION("""COMPUTED_VALUE"""),0)</f>
        <v>0</v>
      </c>
      <c r="H3527" s="7">
        <f ca="1">IFERROR(__xludf.DUMMYFUNCTION("""COMPUTED_VALUE"""),500000)</f>
        <v>500000</v>
      </c>
    </row>
    <row r="3528" spans="1:8" ht="13" x14ac:dyDescent="0.15">
      <c r="A3528" s="5" t="str">
        <f ca="1">IFERROR(__xludf.DUMMYFUNCTION("""COMPUTED_VALUE"""),"73879")</f>
        <v>73879</v>
      </c>
      <c r="B3528" s="51">
        <f ca="1">IFERROR(__xludf.DUMMYFUNCTION("""COMPUTED_VALUE"""),44625)</f>
        <v>44625</v>
      </c>
      <c r="C3528" s="22">
        <f ca="1">IFERROR(__xludf.DUMMYFUNCTION("""COMPUTED_VALUE"""),500000)</f>
        <v>500000</v>
      </c>
      <c r="D3528" s="22">
        <f ca="1">IFERROR(__xludf.DUMMYFUNCTION("""COMPUTED_VALUE"""),0)</f>
        <v>0</v>
      </c>
      <c r="E3528" s="22">
        <f ca="1">IFERROR(__xludf.DUMMYFUNCTION("""COMPUTED_VALUE"""),500000)</f>
        <v>500000</v>
      </c>
      <c r="F3528" s="22">
        <f ca="1">IFERROR(__xludf.DUMMYFUNCTION("""COMPUTED_VALUE"""),500000)</f>
        <v>500000</v>
      </c>
      <c r="G3528" s="22">
        <f ca="1">IFERROR(__xludf.DUMMYFUNCTION("""COMPUTED_VALUE"""),0)</f>
        <v>0</v>
      </c>
      <c r="H3528" s="7">
        <f ca="1">IFERROR(__xludf.DUMMYFUNCTION("""COMPUTED_VALUE"""),500000)</f>
        <v>500000</v>
      </c>
    </row>
    <row r="3529" spans="1:8" ht="13" x14ac:dyDescent="0.15">
      <c r="A3529" s="5" t="str">
        <f ca="1">IFERROR(__xludf.DUMMYFUNCTION("""COMPUTED_VALUE"""),"73879")</f>
        <v>73879</v>
      </c>
      <c r="B3529" s="51">
        <f ca="1">IFERROR(__xludf.DUMMYFUNCTION("""COMPUTED_VALUE"""),44626)</f>
        <v>44626</v>
      </c>
      <c r="C3529" s="22">
        <f ca="1">IFERROR(__xludf.DUMMYFUNCTION("""COMPUTED_VALUE"""),500000)</f>
        <v>500000</v>
      </c>
      <c r="D3529" s="22">
        <f ca="1">IFERROR(__xludf.DUMMYFUNCTION("""COMPUTED_VALUE"""),0)</f>
        <v>0</v>
      </c>
      <c r="E3529" s="22">
        <f ca="1">IFERROR(__xludf.DUMMYFUNCTION("""COMPUTED_VALUE"""),500000)</f>
        <v>500000</v>
      </c>
      <c r="F3529" s="22">
        <f ca="1">IFERROR(__xludf.DUMMYFUNCTION("""COMPUTED_VALUE"""),500000)</f>
        <v>500000</v>
      </c>
      <c r="G3529" s="22">
        <f ca="1">IFERROR(__xludf.DUMMYFUNCTION("""COMPUTED_VALUE"""),0)</f>
        <v>0</v>
      </c>
      <c r="H3529" s="7">
        <f ca="1">IFERROR(__xludf.DUMMYFUNCTION("""COMPUTED_VALUE"""),500000)</f>
        <v>500000</v>
      </c>
    </row>
    <row r="3530" spans="1:8" ht="13" x14ac:dyDescent="0.15">
      <c r="A3530" s="5" t="str">
        <f ca="1">IFERROR(__xludf.DUMMYFUNCTION("""COMPUTED_VALUE"""),"73879")</f>
        <v>73879</v>
      </c>
      <c r="B3530" s="51">
        <f ca="1">IFERROR(__xludf.DUMMYFUNCTION("""COMPUTED_VALUE"""),44627)</f>
        <v>44627</v>
      </c>
      <c r="C3530" s="22">
        <f ca="1">IFERROR(__xludf.DUMMYFUNCTION("""COMPUTED_VALUE"""),306406.8)</f>
        <v>306406.8</v>
      </c>
      <c r="D3530" s="22">
        <f ca="1">IFERROR(__xludf.DUMMYFUNCTION("""COMPUTED_VALUE"""),193593.2)</f>
        <v>193593.2</v>
      </c>
      <c r="E3530" s="22">
        <f ca="1">IFERROR(__xludf.DUMMYFUNCTION("""COMPUTED_VALUE"""),500000)</f>
        <v>500000</v>
      </c>
      <c r="F3530" s="22">
        <f ca="1">IFERROR(__xludf.DUMMYFUNCTION("""COMPUTED_VALUE"""),306406.8)</f>
        <v>306406.8</v>
      </c>
      <c r="G3530" s="22">
        <f ca="1">IFERROR(__xludf.DUMMYFUNCTION("""COMPUTED_VALUE"""),0)</f>
        <v>0</v>
      </c>
      <c r="H3530" s="7">
        <f ca="1">IFERROR(__xludf.DUMMYFUNCTION("""COMPUTED_VALUE"""),500000)</f>
        <v>500000</v>
      </c>
    </row>
    <row r="3531" spans="1:8" ht="13" x14ac:dyDescent="0.15">
      <c r="A3531" s="5" t="str">
        <f ca="1">IFERROR(__xludf.DUMMYFUNCTION("""COMPUTED_VALUE"""),"73879")</f>
        <v>73879</v>
      </c>
      <c r="B3531" s="51">
        <f ca="1">IFERROR(__xludf.DUMMYFUNCTION("""COMPUTED_VALUE"""),44628)</f>
        <v>44628</v>
      </c>
      <c r="C3531" s="22">
        <f ca="1">IFERROR(__xludf.DUMMYFUNCTION("""COMPUTED_VALUE"""),306406.8)</f>
        <v>306406.8</v>
      </c>
      <c r="D3531" s="22">
        <f ca="1">IFERROR(__xludf.DUMMYFUNCTION("""COMPUTED_VALUE"""),192402.8)</f>
        <v>192402.8</v>
      </c>
      <c r="E3531" s="22">
        <f ca="1">IFERROR(__xludf.DUMMYFUNCTION("""COMPUTED_VALUE"""),498809.6)</f>
        <v>498809.59999999998</v>
      </c>
      <c r="F3531" s="22">
        <f ca="1">IFERROR(__xludf.DUMMYFUNCTION("""COMPUTED_VALUE"""),306406.8)</f>
        <v>306406.8</v>
      </c>
      <c r="G3531" s="22">
        <f ca="1">IFERROR(__xludf.DUMMYFUNCTION("""COMPUTED_VALUE"""),0)</f>
        <v>0</v>
      </c>
      <c r="H3531" s="7">
        <f ca="1">IFERROR(__xludf.DUMMYFUNCTION("""COMPUTED_VALUE"""),498343.399999999)</f>
        <v>498343.39999999898</v>
      </c>
    </row>
    <row r="3532" spans="1:8" ht="13" x14ac:dyDescent="0.15">
      <c r="A3532" s="5" t="str">
        <f ca="1">IFERROR(__xludf.DUMMYFUNCTION("""COMPUTED_VALUE"""),"73879")</f>
        <v>73879</v>
      </c>
      <c r="B3532" s="51">
        <f ca="1">IFERROR(__xludf.DUMMYFUNCTION("""COMPUTED_VALUE"""),44629)</f>
        <v>44629</v>
      </c>
      <c r="C3532" s="22">
        <f ca="1">IFERROR(__xludf.DUMMYFUNCTION("""COMPUTED_VALUE"""),306406.8)</f>
        <v>306406.8</v>
      </c>
      <c r="D3532" s="22">
        <f ca="1">IFERROR(__xludf.DUMMYFUNCTION("""COMPUTED_VALUE"""),192799.6)</f>
        <v>192799.6</v>
      </c>
      <c r="E3532" s="22">
        <f ca="1">IFERROR(__xludf.DUMMYFUNCTION("""COMPUTED_VALUE"""),499206.4)</f>
        <v>499206.40000000002</v>
      </c>
      <c r="F3532" s="22">
        <f ca="1">IFERROR(__xludf.DUMMYFUNCTION("""COMPUTED_VALUE"""),306406.8)</f>
        <v>306406.8</v>
      </c>
      <c r="G3532" s="22">
        <f ca="1">IFERROR(__xludf.DUMMYFUNCTION("""COMPUTED_VALUE"""),0)</f>
        <v>0</v>
      </c>
      <c r="H3532" s="7">
        <f ca="1">IFERROR(__xludf.DUMMYFUNCTION("""COMPUTED_VALUE"""),500738.2)</f>
        <v>500738.2</v>
      </c>
    </row>
    <row r="3533" spans="1:8" ht="13" x14ac:dyDescent="0.15">
      <c r="A3533" s="5" t="str">
        <f ca="1">IFERROR(__xludf.DUMMYFUNCTION("""COMPUTED_VALUE"""),"73879")</f>
        <v>73879</v>
      </c>
      <c r="B3533" s="51">
        <f ca="1">IFERROR(__xludf.DUMMYFUNCTION("""COMPUTED_VALUE"""),44630)</f>
        <v>44630</v>
      </c>
      <c r="C3533" s="22">
        <f ca="1">IFERROR(__xludf.DUMMYFUNCTION("""COMPUTED_VALUE"""),306406.8)</f>
        <v>306406.8</v>
      </c>
      <c r="D3533" s="22">
        <f ca="1">IFERROR(__xludf.DUMMYFUNCTION("""COMPUTED_VALUE"""),192849.2)</f>
        <v>192849.2</v>
      </c>
      <c r="E3533" s="22">
        <f ca="1">IFERROR(__xludf.DUMMYFUNCTION("""COMPUTED_VALUE"""),499256)</f>
        <v>499256</v>
      </c>
      <c r="F3533" s="22">
        <f ca="1">IFERROR(__xludf.DUMMYFUNCTION("""COMPUTED_VALUE"""),306406.8)</f>
        <v>306406.8</v>
      </c>
      <c r="G3533" s="22">
        <f ca="1">IFERROR(__xludf.DUMMYFUNCTION("""COMPUTED_VALUE"""),0)</f>
        <v>0</v>
      </c>
      <c r="H3533" s="7">
        <f ca="1">IFERROR(__xludf.DUMMYFUNCTION("""COMPUTED_VALUE"""),497924)</f>
        <v>497924</v>
      </c>
    </row>
    <row r="3534" spans="1:8" ht="13" x14ac:dyDescent="0.15">
      <c r="A3534" s="5" t="str">
        <f ca="1">IFERROR(__xludf.DUMMYFUNCTION("""COMPUTED_VALUE"""),"73879")</f>
        <v>73879</v>
      </c>
      <c r="B3534" s="51">
        <f ca="1">IFERROR(__xludf.DUMMYFUNCTION("""COMPUTED_VALUE"""),44631)</f>
        <v>44631</v>
      </c>
      <c r="C3534" s="22">
        <f ca="1">IFERROR(__xludf.DUMMYFUNCTION("""COMPUTED_VALUE"""),306406.8)</f>
        <v>306406.8</v>
      </c>
      <c r="D3534" s="22">
        <f ca="1">IFERROR(__xludf.DUMMYFUNCTION("""COMPUTED_VALUE"""),188583.6)</f>
        <v>188583.6</v>
      </c>
      <c r="E3534" s="22">
        <f ca="1">IFERROR(__xludf.DUMMYFUNCTION("""COMPUTED_VALUE"""),494990.4)</f>
        <v>494990.4</v>
      </c>
      <c r="F3534" s="22">
        <f ca="1">IFERROR(__xludf.DUMMYFUNCTION("""COMPUTED_VALUE"""),306406.8)</f>
        <v>306406.8</v>
      </c>
      <c r="G3534" s="22">
        <f ca="1">IFERROR(__xludf.DUMMYFUNCTION("""COMPUTED_VALUE"""),0)</f>
        <v>0</v>
      </c>
      <c r="H3534" s="7">
        <f ca="1">IFERROR(__xludf.DUMMYFUNCTION("""COMPUTED_VALUE"""),487797.6)</f>
        <v>487797.6</v>
      </c>
    </row>
    <row r="3535" spans="1:8" ht="13" x14ac:dyDescent="0.15">
      <c r="A3535" s="5" t="str">
        <f ca="1">IFERROR(__xludf.DUMMYFUNCTION("""COMPUTED_VALUE"""),"73879")</f>
        <v>73879</v>
      </c>
      <c r="B3535" s="51">
        <f ca="1">IFERROR(__xludf.DUMMYFUNCTION("""COMPUTED_VALUE"""),44632)</f>
        <v>44632</v>
      </c>
      <c r="C3535" s="22">
        <f ca="1">IFERROR(__xludf.DUMMYFUNCTION("""COMPUTED_VALUE"""),306406.8)</f>
        <v>306406.8</v>
      </c>
      <c r="D3535" s="22">
        <f ca="1">IFERROR(__xludf.DUMMYFUNCTION("""COMPUTED_VALUE"""),188583.6)</f>
        <v>188583.6</v>
      </c>
      <c r="E3535" s="22">
        <f ca="1">IFERROR(__xludf.DUMMYFUNCTION("""COMPUTED_VALUE"""),494990.4)</f>
        <v>494990.4</v>
      </c>
      <c r="F3535" s="22">
        <f ca="1">IFERROR(__xludf.DUMMYFUNCTION("""COMPUTED_VALUE"""),306406.8)</f>
        <v>306406.8</v>
      </c>
      <c r="G3535" s="22">
        <f ca="1">IFERROR(__xludf.DUMMYFUNCTION("""COMPUTED_VALUE"""),0)</f>
        <v>0</v>
      </c>
      <c r="H3535" s="7">
        <f ca="1">IFERROR(__xludf.DUMMYFUNCTION("""COMPUTED_VALUE"""),487797.6)</f>
        <v>487797.6</v>
      </c>
    </row>
    <row r="3536" spans="1:8" ht="13" x14ac:dyDescent="0.15">
      <c r="A3536" s="5" t="str">
        <f ca="1">IFERROR(__xludf.DUMMYFUNCTION("""COMPUTED_VALUE"""),"73879")</f>
        <v>73879</v>
      </c>
      <c r="B3536" s="51">
        <f ca="1">IFERROR(__xludf.DUMMYFUNCTION("""COMPUTED_VALUE"""),44633)</f>
        <v>44633</v>
      </c>
      <c r="C3536" s="22">
        <f ca="1">IFERROR(__xludf.DUMMYFUNCTION("""COMPUTED_VALUE"""),306406.8)</f>
        <v>306406.8</v>
      </c>
      <c r="D3536" s="22">
        <f ca="1">IFERROR(__xludf.DUMMYFUNCTION("""COMPUTED_VALUE"""),188583.6)</f>
        <v>188583.6</v>
      </c>
      <c r="E3536" s="22">
        <f ca="1">IFERROR(__xludf.DUMMYFUNCTION("""COMPUTED_VALUE"""),494990.4)</f>
        <v>494990.4</v>
      </c>
      <c r="F3536" s="22">
        <f ca="1">IFERROR(__xludf.DUMMYFUNCTION("""COMPUTED_VALUE"""),306406.8)</f>
        <v>306406.8</v>
      </c>
      <c r="G3536" s="22">
        <f ca="1">IFERROR(__xludf.DUMMYFUNCTION("""COMPUTED_VALUE"""),0)</f>
        <v>0</v>
      </c>
      <c r="H3536" s="7">
        <f ca="1">IFERROR(__xludf.DUMMYFUNCTION("""COMPUTED_VALUE"""),487797.6)</f>
        <v>487797.6</v>
      </c>
    </row>
    <row r="3537" spans="1:8" ht="13" x14ac:dyDescent="0.15">
      <c r="A3537" s="5" t="str">
        <f ca="1">IFERROR(__xludf.DUMMYFUNCTION("""COMPUTED_VALUE"""),"73879")</f>
        <v>73879</v>
      </c>
      <c r="B3537" s="51">
        <f ca="1">IFERROR(__xludf.DUMMYFUNCTION("""COMPUTED_VALUE"""),44634)</f>
        <v>44634</v>
      </c>
      <c r="C3537" s="22">
        <f ca="1">IFERROR(__xludf.DUMMYFUNCTION("""COMPUTED_VALUE"""),306406.8)</f>
        <v>306406.8</v>
      </c>
      <c r="D3537" s="22">
        <f ca="1">IFERROR(__xludf.DUMMYFUNCTION("""COMPUTED_VALUE"""),179655.6)</f>
        <v>179655.6</v>
      </c>
      <c r="E3537" s="22">
        <f ca="1">IFERROR(__xludf.DUMMYFUNCTION("""COMPUTED_VALUE"""),486062.4)</f>
        <v>486062.4</v>
      </c>
      <c r="F3537" s="22">
        <f ca="1">IFERROR(__xludf.DUMMYFUNCTION("""COMPUTED_VALUE"""),306406.8)</f>
        <v>306406.8</v>
      </c>
      <c r="G3537" s="22">
        <f ca="1">IFERROR(__xludf.DUMMYFUNCTION("""COMPUTED_VALUE"""),0)</f>
        <v>0</v>
      </c>
      <c r="H3537" s="7">
        <f ca="1">IFERROR(__xludf.DUMMYFUNCTION("""COMPUTED_VALUE"""),463684.8)</f>
        <v>463684.8</v>
      </c>
    </row>
    <row r="3538" spans="1:8" ht="13" x14ac:dyDescent="0.15">
      <c r="A3538" s="5" t="str">
        <f ca="1">IFERROR(__xludf.DUMMYFUNCTION("""COMPUTED_VALUE"""),"73879")</f>
        <v>73879</v>
      </c>
      <c r="B3538" s="51">
        <f ca="1">IFERROR(__xludf.DUMMYFUNCTION("""COMPUTED_VALUE"""),44635)</f>
        <v>44635</v>
      </c>
      <c r="C3538" s="22">
        <f ca="1">IFERROR(__xludf.DUMMYFUNCTION("""COMPUTED_VALUE"""),306406.8)</f>
        <v>306406.8</v>
      </c>
      <c r="D3538" s="22">
        <f ca="1">IFERROR(__xludf.DUMMYFUNCTION("""COMPUTED_VALUE"""),171273.2)</f>
        <v>171273.2</v>
      </c>
      <c r="E3538" s="22">
        <f ca="1">IFERROR(__xludf.DUMMYFUNCTION("""COMPUTED_VALUE"""),477680)</f>
        <v>477680</v>
      </c>
      <c r="F3538" s="22">
        <f ca="1">IFERROR(__xludf.DUMMYFUNCTION("""COMPUTED_VALUE"""),306406.8)</f>
        <v>306406.8</v>
      </c>
      <c r="G3538" s="22">
        <f ca="1">IFERROR(__xludf.DUMMYFUNCTION("""COMPUTED_VALUE"""),0)</f>
        <v>0</v>
      </c>
      <c r="H3538" s="7">
        <f ca="1">IFERROR(__xludf.DUMMYFUNCTION("""COMPUTED_VALUE"""),450906.8)</f>
        <v>450906.8</v>
      </c>
    </row>
    <row r="3539" spans="1:8" ht="13" x14ac:dyDescent="0.15">
      <c r="A3539" s="5" t="str">
        <f ca="1">IFERROR(__xludf.DUMMYFUNCTION("""COMPUTED_VALUE"""),"73879")</f>
        <v>73879</v>
      </c>
      <c r="B3539" s="51">
        <f ca="1">IFERROR(__xludf.DUMMYFUNCTION("""COMPUTED_VALUE"""),44636)</f>
        <v>44636</v>
      </c>
      <c r="C3539" s="22">
        <f ca="1">IFERROR(__xludf.DUMMYFUNCTION("""COMPUTED_VALUE"""),306406.8)</f>
        <v>306406.8</v>
      </c>
      <c r="D3539" s="22">
        <f ca="1">IFERROR(__xludf.DUMMYFUNCTION("""COMPUTED_VALUE"""),188385.2)</f>
        <v>188385.2</v>
      </c>
      <c r="E3539" s="22">
        <f ca="1">IFERROR(__xludf.DUMMYFUNCTION("""COMPUTED_VALUE"""),494792)</f>
        <v>494792</v>
      </c>
      <c r="F3539" s="22">
        <f ca="1">IFERROR(__xludf.DUMMYFUNCTION("""COMPUTED_VALUE"""),306406.8)</f>
        <v>306406.8</v>
      </c>
      <c r="G3539" s="22">
        <f ca="1">IFERROR(__xludf.DUMMYFUNCTION("""COMPUTED_VALUE"""),0)</f>
        <v>0</v>
      </c>
      <c r="H3539" s="7">
        <f ca="1">IFERROR(__xludf.DUMMYFUNCTION("""COMPUTED_VALUE"""),490662.8)</f>
        <v>490662.8</v>
      </c>
    </row>
    <row r="3540" spans="1:8" ht="13" x14ac:dyDescent="0.15">
      <c r="A3540" s="5" t="str">
        <f ca="1">IFERROR(__xludf.DUMMYFUNCTION("""COMPUTED_VALUE"""),"73879")</f>
        <v>73879</v>
      </c>
      <c r="B3540" s="51">
        <f ca="1">IFERROR(__xludf.DUMMYFUNCTION("""COMPUTED_VALUE"""),44637)</f>
        <v>44637</v>
      </c>
      <c r="C3540" s="22">
        <f ca="1">IFERROR(__xludf.DUMMYFUNCTION("""COMPUTED_VALUE"""),306406.8)</f>
        <v>306406.8</v>
      </c>
      <c r="D3540" s="22">
        <f ca="1">IFERROR(__xludf.DUMMYFUNCTION("""COMPUTED_VALUE"""),194089.2)</f>
        <v>194089.2</v>
      </c>
      <c r="E3540" s="22">
        <f ca="1">IFERROR(__xludf.DUMMYFUNCTION("""COMPUTED_VALUE"""),500496)</f>
        <v>500496</v>
      </c>
      <c r="F3540" s="22">
        <f ca="1">IFERROR(__xludf.DUMMYFUNCTION("""COMPUTED_VALUE"""),306406.8)</f>
        <v>306406.8</v>
      </c>
      <c r="G3540" s="22">
        <f ca="1">IFERROR(__xludf.DUMMYFUNCTION("""COMPUTED_VALUE"""),0)</f>
        <v>0</v>
      </c>
      <c r="H3540" s="7">
        <f ca="1">IFERROR(__xludf.DUMMYFUNCTION("""COMPUTED_VALUE"""),507822)</f>
        <v>507822</v>
      </c>
    </row>
    <row r="3541" spans="1:8" ht="13" x14ac:dyDescent="0.15">
      <c r="A3541" s="5" t="str">
        <f ca="1">IFERROR(__xludf.DUMMYFUNCTION("""COMPUTED_VALUE"""),"73879")</f>
        <v>73879</v>
      </c>
      <c r="B3541" s="51">
        <f ca="1">IFERROR(__xludf.DUMMYFUNCTION("""COMPUTED_VALUE"""),44638)</f>
        <v>44638</v>
      </c>
      <c r="C3541" s="22">
        <f ca="1">IFERROR(__xludf.DUMMYFUNCTION("""COMPUTED_VALUE"""),306406.8)</f>
        <v>306406.8</v>
      </c>
      <c r="D3541" s="22">
        <f ca="1">IFERROR(__xludf.DUMMYFUNCTION("""COMPUTED_VALUE"""),191857.2)</f>
        <v>191857.2</v>
      </c>
      <c r="E3541" s="22">
        <f ca="1">IFERROR(__xludf.DUMMYFUNCTION("""COMPUTED_VALUE"""),498264)</f>
        <v>498264</v>
      </c>
      <c r="F3541" s="22">
        <f ca="1">IFERROR(__xludf.DUMMYFUNCTION("""COMPUTED_VALUE"""),306406.8)</f>
        <v>306406.8</v>
      </c>
      <c r="G3541" s="22">
        <f ca="1">IFERROR(__xludf.DUMMYFUNCTION("""COMPUTED_VALUE"""),0)</f>
        <v>0</v>
      </c>
      <c r="H3541" s="7">
        <f ca="1">IFERROR(__xludf.DUMMYFUNCTION("""COMPUTED_VALUE"""),502992.6)</f>
        <v>502992.6</v>
      </c>
    </row>
    <row r="3542" spans="1:8" ht="13" x14ac:dyDescent="0.15">
      <c r="A3542" s="5" t="str">
        <f ca="1">IFERROR(__xludf.DUMMYFUNCTION("""COMPUTED_VALUE"""),"73879")</f>
        <v>73879</v>
      </c>
      <c r="B3542" s="51">
        <f ca="1">IFERROR(__xludf.DUMMYFUNCTION("""COMPUTED_VALUE"""),44639)</f>
        <v>44639</v>
      </c>
      <c r="C3542" s="22">
        <f ca="1">IFERROR(__xludf.DUMMYFUNCTION("""COMPUTED_VALUE"""),306406.8)</f>
        <v>306406.8</v>
      </c>
      <c r="D3542" s="22">
        <f ca="1">IFERROR(__xludf.DUMMYFUNCTION("""COMPUTED_VALUE"""),191857.2)</f>
        <v>191857.2</v>
      </c>
      <c r="E3542" s="22">
        <f ca="1">IFERROR(__xludf.DUMMYFUNCTION("""COMPUTED_VALUE"""),498264)</f>
        <v>498264</v>
      </c>
      <c r="F3542" s="22">
        <f ca="1">IFERROR(__xludf.DUMMYFUNCTION("""COMPUTED_VALUE"""),306406.8)</f>
        <v>306406.8</v>
      </c>
      <c r="G3542" s="22">
        <f ca="1">IFERROR(__xludf.DUMMYFUNCTION("""COMPUTED_VALUE"""),0)</f>
        <v>0</v>
      </c>
      <c r="H3542" s="7">
        <f ca="1">IFERROR(__xludf.DUMMYFUNCTION("""COMPUTED_VALUE"""),502992.6)</f>
        <v>502992.6</v>
      </c>
    </row>
    <row r="3543" spans="1:8" ht="13" x14ac:dyDescent="0.15">
      <c r="A3543" s="5" t="str">
        <f ca="1">IFERROR(__xludf.DUMMYFUNCTION("""COMPUTED_VALUE"""),"73879")</f>
        <v>73879</v>
      </c>
      <c r="B3543" s="51">
        <f ca="1">IFERROR(__xludf.DUMMYFUNCTION("""COMPUTED_VALUE"""),44640)</f>
        <v>44640</v>
      </c>
      <c r="C3543" s="22">
        <f ca="1">IFERROR(__xludf.DUMMYFUNCTION("""COMPUTED_VALUE"""),306406.8)</f>
        <v>306406.8</v>
      </c>
      <c r="D3543" s="22">
        <f ca="1">IFERROR(__xludf.DUMMYFUNCTION("""COMPUTED_VALUE"""),191857.2)</f>
        <v>191857.2</v>
      </c>
      <c r="E3543" s="22">
        <f ca="1">IFERROR(__xludf.DUMMYFUNCTION("""COMPUTED_VALUE"""),498264)</f>
        <v>498264</v>
      </c>
      <c r="F3543" s="22">
        <f ca="1">IFERROR(__xludf.DUMMYFUNCTION("""COMPUTED_VALUE"""),306406.8)</f>
        <v>306406.8</v>
      </c>
      <c r="G3543" s="22">
        <f ca="1">IFERROR(__xludf.DUMMYFUNCTION("""COMPUTED_VALUE"""),0)</f>
        <v>0</v>
      </c>
      <c r="H3543" s="7">
        <f ca="1">IFERROR(__xludf.DUMMYFUNCTION("""COMPUTED_VALUE"""),502992.6)</f>
        <v>502992.6</v>
      </c>
    </row>
    <row r="3544" spans="1:8" ht="13" x14ac:dyDescent="0.15">
      <c r="A3544" s="5" t="str">
        <f ca="1">IFERROR(__xludf.DUMMYFUNCTION("""COMPUTED_VALUE"""),"73879")</f>
        <v>73879</v>
      </c>
      <c r="B3544" s="51">
        <f ca="1">IFERROR(__xludf.DUMMYFUNCTION("""COMPUTED_VALUE"""),44641)</f>
        <v>44641</v>
      </c>
      <c r="C3544" s="22">
        <f ca="1">IFERROR(__xludf.DUMMYFUNCTION("""COMPUTED_VALUE"""),306406.8)</f>
        <v>306406.8</v>
      </c>
      <c r="D3544" s="22">
        <f ca="1">IFERROR(__xludf.DUMMYFUNCTION("""COMPUTED_VALUE"""),189724.4)</f>
        <v>189724.4</v>
      </c>
      <c r="E3544" s="22">
        <f ca="1">IFERROR(__xludf.DUMMYFUNCTION("""COMPUTED_VALUE"""),496131.199999999)</f>
        <v>496131.19999999902</v>
      </c>
      <c r="F3544" s="22">
        <f ca="1">IFERROR(__xludf.DUMMYFUNCTION("""COMPUTED_VALUE"""),306406.8)</f>
        <v>306406.8</v>
      </c>
      <c r="G3544" s="22">
        <f ca="1">IFERROR(__xludf.DUMMYFUNCTION("""COMPUTED_VALUE"""),0)</f>
        <v>0</v>
      </c>
      <c r="H3544" s="7">
        <f ca="1">IFERROR(__xludf.DUMMYFUNCTION("""COMPUTED_VALUE"""),494599.4)</f>
        <v>494599.4</v>
      </c>
    </row>
    <row r="3545" spans="1:8" ht="13" x14ac:dyDescent="0.15">
      <c r="A3545" s="5" t="str">
        <f ca="1">IFERROR(__xludf.DUMMYFUNCTION("""COMPUTED_VALUE"""),"73879")</f>
        <v>73879</v>
      </c>
      <c r="B3545" s="51">
        <f ca="1">IFERROR(__xludf.DUMMYFUNCTION("""COMPUTED_VALUE"""),44642)</f>
        <v>44642</v>
      </c>
      <c r="C3545" s="22">
        <f ca="1">IFERROR(__xludf.DUMMYFUNCTION("""COMPUTED_VALUE"""),306406.8)</f>
        <v>306406.8</v>
      </c>
      <c r="D3545" s="22">
        <f ca="1">IFERROR(__xludf.DUMMYFUNCTION("""COMPUTED_VALUE"""),193593.2)</f>
        <v>193593.2</v>
      </c>
      <c r="E3545" s="22">
        <f ca="1">IFERROR(__xludf.DUMMYFUNCTION("""COMPUTED_VALUE"""),500000)</f>
        <v>500000</v>
      </c>
      <c r="F3545" s="22">
        <f ca="1">IFERROR(__xludf.DUMMYFUNCTION("""COMPUTED_VALUE"""),306406.8)</f>
        <v>306406.8</v>
      </c>
      <c r="G3545" s="22">
        <f ca="1">IFERROR(__xludf.DUMMYFUNCTION("""COMPUTED_VALUE"""),0)</f>
        <v>0</v>
      </c>
      <c r="H3545" s="7">
        <f ca="1">IFERROR(__xludf.DUMMYFUNCTION("""COMPUTED_VALUE"""),504528.8)</f>
        <v>504528.8</v>
      </c>
    </row>
    <row r="3546" spans="1:8" ht="13" x14ac:dyDescent="0.15">
      <c r="A3546" s="5" t="str">
        <f ca="1">IFERROR(__xludf.DUMMYFUNCTION("""COMPUTED_VALUE"""),"74356")</f>
        <v>74356</v>
      </c>
      <c r="B3546" s="51">
        <f ca="1">IFERROR(__xludf.DUMMYFUNCTION("""COMPUTED_VALUE"""),44597)</f>
        <v>44597</v>
      </c>
      <c r="C3546" s="22">
        <f ca="1">IFERROR(__xludf.DUMMYFUNCTION("""COMPUTED_VALUE"""),500000)</f>
        <v>500000</v>
      </c>
      <c r="D3546" s="22">
        <f ca="1">IFERROR(__xludf.DUMMYFUNCTION("""COMPUTED_VALUE"""),0)</f>
        <v>0</v>
      </c>
      <c r="E3546" s="22">
        <f ca="1">IFERROR(__xludf.DUMMYFUNCTION("""COMPUTED_VALUE"""),500000)</f>
        <v>500000</v>
      </c>
      <c r="F3546" s="22">
        <f ca="1">IFERROR(__xludf.DUMMYFUNCTION("""COMPUTED_VALUE"""),500000)</f>
        <v>500000</v>
      </c>
      <c r="G3546" s="22">
        <f ca="1">IFERROR(__xludf.DUMMYFUNCTION("""COMPUTED_VALUE"""),0)</f>
        <v>0</v>
      </c>
      <c r="H3546" s="7">
        <f ca="1">IFERROR(__xludf.DUMMYFUNCTION("""COMPUTED_VALUE"""),500000)</f>
        <v>500000</v>
      </c>
    </row>
    <row r="3547" spans="1:8" ht="13" x14ac:dyDescent="0.15">
      <c r="A3547" s="5" t="str">
        <f ca="1">IFERROR(__xludf.DUMMYFUNCTION("""COMPUTED_VALUE"""),"74356")</f>
        <v>74356</v>
      </c>
      <c r="B3547" s="51">
        <f ca="1">IFERROR(__xludf.DUMMYFUNCTION("""COMPUTED_VALUE"""),44598)</f>
        <v>44598</v>
      </c>
      <c r="C3547" s="22">
        <f ca="1">IFERROR(__xludf.DUMMYFUNCTION("""COMPUTED_VALUE"""),500000)</f>
        <v>500000</v>
      </c>
      <c r="D3547" s="22">
        <f ca="1">IFERROR(__xludf.DUMMYFUNCTION("""COMPUTED_VALUE"""),0)</f>
        <v>0</v>
      </c>
      <c r="E3547" s="22">
        <f ca="1">IFERROR(__xludf.DUMMYFUNCTION("""COMPUTED_VALUE"""),500000)</f>
        <v>500000</v>
      </c>
      <c r="F3547" s="22">
        <f ca="1">IFERROR(__xludf.DUMMYFUNCTION("""COMPUTED_VALUE"""),500000)</f>
        <v>500000</v>
      </c>
      <c r="G3547" s="22">
        <f ca="1">IFERROR(__xludf.DUMMYFUNCTION("""COMPUTED_VALUE"""),0)</f>
        <v>0</v>
      </c>
      <c r="H3547" s="7">
        <f ca="1">IFERROR(__xludf.DUMMYFUNCTION("""COMPUTED_VALUE"""),500000)</f>
        <v>500000</v>
      </c>
    </row>
    <row r="3548" spans="1:8" ht="13" x14ac:dyDescent="0.15">
      <c r="A3548" s="5" t="str">
        <f ca="1">IFERROR(__xludf.DUMMYFUNCTION("""COMPUTED_VALUE"""),"74356")</f>
        <v>74356</v>
      </c>
      <c r="B3548" s="51">
        <f ca="1">IFERROR(__xludf.DUMMYFUNCTION("""COMPUTED_VALUE"""),44599)</f>
        <v>44599</v>
      </c>
      <c r="C3548" s="22">
        <f ca="1">IFERROR(__xludf.DUMMYFUNCTION("""COMPUTED_VALUE"""),500000)</f>
        <v>500000</v>
      </c>
      <c r="D3548" s="22">
        <f ca="1">IFERROR(__xludf.DUMMYFUNCTION("""COMPUTED_VALUE"""),0)</f>
        <v>0</v>
      </c>
      <c r="E3548" s="22">
        <f ca="1">IFERROR(__xludf.DUMMYFUNCTION("""COMPUTED_VALUE"""),500000)</f>
        <v>500000</v>
      </c>
      <c r="F3548" s="22">
        <f ca="1">IFERROR(__xludf.DUMMYFUNCTION("""COMPUTED_VALUE"""),500000)</f>
        <v>500000</v>
      </c>
      <c r="G3548" s="22">
        <f ca="1">IFERROR(__xludf.DUMMYFUNCTION("""COMPUTED_VALUE"""),0)</f>
        <v>0</v>
      </c>
      <c r="H3548" s="7">
        <f ca="1">IFERROR(__xludf.DUMMYFUNCTION("""COMPUTED_VALUE"""),500000)</f>
        <v>500000</v>
      </c>
    </row>
    <row r="3549" spans="1:8" ht="13" x14ac:dyDescent="0.15">
      <c r="A3549" s="5" t="str">
        <f ca="1">IFERROR(__xludf.DUMMYFUNCTION("""COMPUTED_VALUE"""),"74356")</f>
        <v>74356</v>
      </c>
      <c r="B3549" s="51">
        <f ca="1">IFERROR(__xludf.DUMMYFUNCTION("""COMPUTED_VALUE"""),44600)</f>
        <v>44600</v>
      </c>
      <c r="C3549" s="22">
        <f ca="1">IFERROR(__xludf.DUMMYFUNCTION("""COMPUTED_VALUE"""),500000)</f>
        <v>500000</v>
      </c>
      <c r="D3549" s="22">
        <f ca="1">IFERROR(__xludf.DUMMYFUNCTION("""COMPUTED_VALUE"""),0)</f>
        <v>0</v>
      </c>
      <c r="E3549" s="22">
        <f ca="1">IFERROR(__xludf.DUMMYFUNCTION("""COMPUTED_VALUE"""),500000)</f>
        <v>500000</v>
      </c>
      <c r="F3549" s="22">
        <f ca="1">IFERROR(__xludf.DUMMYFUNCTION("""COMPUTED_VALUE"""),500000)</f>
        <v>500000</v>
      </c>
      <c r="G3549" s="22">
        <f ca="1">IFERROR(__xludf.DUMMYFUNCTION("""COMPUTED_VALUE"""),0)</f>
        <v>0</v>
      </c>
      <c r="H3549" s="7">
        <f ca="1">IFERROR(__xludf.DUMMYFUNCTION("""COMPUTED_VALUE"""),500000)</f>
        <v>500000</v>
      </c>
    </row>
    <row r="3550" spans="1:8" ht="13" x14ac:dyDescent="0.15">
      <c r="A3550" s="5" t="str">
        <f ca="1">IFERROR(__xludf.DUMMYFUNCTION("""COMPUTED_VALUE"""),"74356")</f>
        <v>74356</v>
      </c>
      <c r="B3550" s="51">
        <f ca="1">IFERROR(__xludf.DUMMYFUNCTION("""COMPUTED_VALUE"""),44601)</f>
        <v>44601</v>
      </c>
      <c r="C3550" s="22">
        <f ca="1">IFERROR(__xludf.DUMMYFUNCTION("""COMPUTED_VALUE"""),500000)</f>
        <v>500000</v>
      </c>
      <c r="D3550" s="22">
        <f ca="1">IFERROR(__xludf.DUMMYFUNCTION("""COMPUTED_VALUE"""),0)</f>
        <v>0</v>
      </c>
      <c r="E3550" s="22">
        <f ca="1">IFERROR(__xludf.DUMMYFUNCTION("""COMPUTED_VALUE"""),500000)</f>
        <v>500000</v>
      </c>
      <c r="F3550" s="22">
        <f ca="1">IFERROR(__xludf.DUMMYFUNCTION("""COMPUTED_VALUE"""),500000)</f>
        <v>500000</v>
      </c>
      <c r="G3550" s="22">
        <f ca="1">IFERROR(__xludf.DUMMYFUNCTION("""COMPUTED_VALUE"""),0)</f>
        <v>0</v>
      </c>
      <c r="H3550" s="7">
        <f ca="1">IFERROR(__xludf.DUMMYFUNCTION("""COMPUTED_VALUE"""),500000)</f>
        <v>500000</v>
      </c>
    </row>
    <row r="3551" spans="1:8" ht="13" x14ac:dyDescent="0.15">
      <c r="A3551" s="5" t="str">
        <f ca="1">IFERROR(__xludf.DUMMYFUNCTION("""COMPUTED_VALUE"""),"74356")</f>
        <v>74356</v>
      </c>
      <c r="B3551" s="51">
        <f ca="1">IFERROR(__xludf.DUMMYFUNCTION("""COMPUTED_VALUE"""),44602)</f>
        <v>44602</v>
      </c>
      <c r="C3551" s="22">
        <f ca="1">IFERROR(__xludf.DUMMYFUNCTION("""COMPUTED_VALUE"""),500000)</f>
        <v>500000</v>
      </c>
      <c r="D3551" s="22">
        <f ca="1">IFERROR(__xludf.DUMMYFUNCTION("""COMPUTED_VALUE"""),0)</f>
        <v>0</v>
      </c>
      <c r="E3551" s="22">
        <f ca="1">IFERROR(__xludf.DUMMYFUNCTION("""COMPUTED_VALUE"""),500000)</f>
        <v>500000</v>
      </c>
      <c r="F3551" s="22">
        <f ca="1">IFERROR(__xludf.DUMMYFUNCTION("""COMPUTED_VALUE"""),500000)</f>
        <v>500000</v>
      </c>
      <c r="G3551" s="22">
        <f ca="1">IFERROR(__xludf.DUMMYFUNCTION("""COMPUTED_VALUE"""),0)</f>
        <v>0</v>
      </c>
      <c r="H3551" s="7">
        <f ca="1">IFERROR(__xludf.DUMMYFUNCTION("""COMPUTED_VALUE"""),500000)</f>
        <v>500000</v>
      </c>
    </row>
    <row r="3552" spans="1:8" ht="13" x14ac:dyDescent="0.15">
      <c r="A3552" s="5" t="str">
        <f ca="1">IFERROR(__xludf.DUMMYFUNCTION("""COMPUTED_VALUE"""),"74356")</f>
        <v>74356</v>
      </c>
      <c r="B3552" s="51">
        <f ca="1">IFERROR(__xludf.DUMMYFUNCTION("""COMPUTED_VALUE"""),44603)</f>
        <v>44603</v>
      </c>
      <c r="C3552" s="22">
        <f ca="1">IFERROR(__xludf.DUMMYFUNCTION("""COMPUTED_VALUE"""),489350.731138)</f>
        <v>489350.73113799997</v>
      </c>
      <c r="D3552" s="22">
        <f ca="1">IFERROR(__xludf.DUMMYFUNCTION("""COMPUTED_VALUE"""),10649.268862)</f>
        <v>10649.268862000001</v>
      </c>
      <c r="E3552" s="22">
        <f ca="1">IFERROR(__xludf.DUMMYFUNCTION("""COMPUTED_VALUE"""),500000)</f>
        <v>500000</v>
      </c>
      <c r="F3552" s="22">
        <f ca="1">IFERROR(__xludf.DUMMYFUNCTION("""COMPUTED_VALUE"""),489350.731138)</f>
        <v>489350.73113799997</v>
      </c>
      <c r="G3552" s="22">
        <f ca="1">IFERROR(__xludf.DUMMYFUNCTION("""COMPUTED_VALUE"""),0)</f>
        <v>0</v>
      </c>
      <c r="H3552" s="7">
        <f ca="1">IFERROR(__xludf.DUMMYFUNCTION("""COMPUTED_VALUE"""),500000)</f>
        <v>500000</v>
      </c>
    </row>
    <row r="3553" spans="1:8" ht="13" x14ac:dyDescent="0.15">
      <c r="A3553" s="5" t="str">
        <f ca="1">IFERROR(__xludf.DUMMYFUNCTION("""COMPUTED_VALUE"""),"74356")</f>
        <v>74356</v>
      </c>
      <c r="B3553" s="51">
        <f ca="1">IFERROR(__xludf.DUMMYFUNCTION("""COMPUTED_VALUE"""),44604)</f>
        <v>44604</v>
      </c>
      <c r="C3553" s="22">
        <f ca="1">IFERROR(__xludf.DUMMYFUNCTION("""COMPUTED_VALUE"""),489350.731138)</f>
        <v>489350.73113799997</v>
      </c>
      <c r="D3553" s="22">
        <f ca="1">IFERROR(__xludf.DUMMYFUNCTION("""COMPUTED_VALUE"""),10649.268862)</f>
        <v>10649.268862000001</v>
      </c>
      <c r="E3553" s="22">
        <f ca="1">IFERROR(__xludf.DUMMYFUNCTION("""COMPUTED_VALUE"""),500000)</f>
        <v>500000</v>
      </c>
      <c r="F3553" s="22">
        <f ca="1">IFERROR(__xludf.DUMMYFUNCTION("""COMPUTED_VALUE"""),489350.731138)</f>
        <v>489350.73113799997</v>
      </c>
      <c r="G3553" s="22">
        <f ca="1">IFERROR(__xludf.DUMMYFUNCTION("""COMPUTED_VALUE"""),0)</f>
        <v>0</v>
      </c>
      <c r="H3553" s="7">
        <f ca="1">IFERROR(__xludf.DUMMYFUNCTION("""COMPUTED_VALUE"""),500000)</f>
        <v>500000</v>
      </c>
    </row>
    <row r="3554" spans="1:8" ht="13" x14ac:dyDescent="0.15">
      <c r="A3554" s="5" t="str">
        <f ca="1">IFERROR(__xludf.DUMMYFUNCTION("""COMPUTED_VALUE"""),"74356")</f>
        <v>74356</v>
      </c>
      <c r="B3554" s="51">
        <f ca="1">IFERROR(__xludf.DUMMYFUNCTION("""COMPUTED_VALUE"""),44605)</f>
        <v>44605</v>
      </c>
      <c r="C3554" s="22">
        <f ca="1">IFERROR(__xludf.DUMMYFUNCTION("""COMPUTED_VALUE"""),489350.731138)</f>
        <v>489350.73113799997</v>
      </c>
      <c r="D3554" s="22">
        <f ca="1">IFERROR(__xludf.DUMMYFUNCTION("""COMPUTED_VALUE"""),10649.720018)</f>
        <v>10649.720018</v>
      </c>
      <c r="E3554" s="22">
        <f ca="1">IFERROR(__xludf.DUMMYFUNCTION("""COMPUTED_VALUE"""),500000.451155999)</f>
        <v>500000.45115599898</v>
      </c>
      <c r="F3554" s="22">
        <f ca="1">IFERROR(__xludf.DUMMYFUNCTION("""COMPUTED_VALUE"""),489350.731138)</f>
        <v>489350.73113799997</v>
      </c>
      <c r="G3554" s="22">
        <f ca="1">IFERROR(__xludf.DUMMYFUNCTION("""COMPUTED_VALUE"""),0)</f>
        <v>0</v>
      </c>
      <c r="H3554" s="7">
        <f ca="1">IFERROR(__xludf.DUMMYFUNCTION("""COMPUTED_VALUE"""),500000.451155999)</f>
        <v>500000.45115599898</v>
      </c>
    </row>
    <row r="3555" spans="1:8" ht="13" x14ac:dyDescent="0.15">
      <c r="A3555" s="5" t="str">
        <f ca="1">IFERROR(__xludf.DUMMYFUNCTION("""COMPUTED_VALUE"""),"74356")</f>
        <v>74356</v>
      </c>
      <c r="B3555" s="51">
        <f ca="1">IFERROR(__xludf.DUMMYFUNCTION("""COMPUTED_VALUE"""),44606)</f>
        <v>44606</v>
      </c>
      <c r="C3555" s="22">
        <f ca="1">IFERROR(__xludf.DUMMYFUNCTION("""COMPUTED_VALUE"""),489350.731138)</f>
        <v>489350.73113799997</v>
      </c>
      <c r="D3555" s="22">
        <f ca="1">IFERROR(__xludf.DUMMYFUNCTION("""COMPUTED_VALUE"""),10701.788742)</f>
        <v>10701.788742000001</v>
      </c>
      <c r="E3555" s="22">
        <f ca="1">IFERROR(__xludf.DUMMYFUNCTION("""COMPUTED_VALUE"""),500052.51988)</f>
        <v>500052.51987999998</v>
      </c>
      <c r="F3555" s="22">
        <f ca="1">IFERROR(__xludf.DUMMYFUNCTION("""COMPUTED_VALUE"""),489350.731138)</f>
        <v>489350.73113799997</v>
      </c>
      <c r="G3555" s="22">
        <f ca="1">IFERROR(__xludf.DUMMYFUNCTION("""COMPUTED_VALUE"""),0)</f>
        <v>0</v>
      </c>
      <c r="H3555" s="7">
        <f ca="1">IFERROR(__xludf.DUMMYFUNCTION("""COMPUTED_VALUE"""),500027.51988)</f>
        <v>500027.51987999998</v>
      </c>
    </row>
    <row r="3556" spans="1:8" ht="13" x14ac:dyDescent="0.15">
      <c r="A3556" s="5" t="str">
        <f ca="1">IFERROR(__xludf.DUMMYFUNCTION("""COMPUTED_VALUE"""),"74356")</f>
        <v>74356</v>
      </c>
      <c r="B3556" s="51">
        <f ca="1">IFERROR(__xludf.DUMMYFUNCTION("""COMPUTED_VALUE"""),44607)</f>
        <v>44607</v>
      </c>
      <c r="C3556" s="22">
        <f ca="1">IFERROR(__xludf.DUMMYFUNCTION("""COMPUTED_VALUE"""),489350.731138)</f>
        <v>489350.73113799997</v>
      </c>
      <c r="D3556" s="22">
        <f ca="1">IFERROR(__xludf.DUMMYFUNCTION("""COMPUTED_VALUE"""),11463.8629925)</f>
        <v>11463.8629925</v>
      </c>
      <c r="E3556" s="22">
        <f ca="1">IFERROR(__xludf.DUMMYFUNCTION("""COMPUTED_VALUE"""),500814.5941305)</f>
        <v>500814.59413049999</v>
      </c>
      <c r="F3556" s="22">
        <f ca="1">IFERROR(__xludf.DUMMYFUNCTION("""COMPUTED_VALUE"""),489350.731138)</f>
        <v>489350.73113799997</v>
      </c>
      <c r="G3556" s="22">
        <f ca="1">IFERROR(__xludf.DUMMYFUNCTION("""COMPUTED_VALUE"""),0)</f>
        <v>0</v>
      </c>
      <c r="H3556" s="7">
        <f ca="1">IFERROR(__xludf.DUMMYFUNCTION("""COMPUTED_VALUE"""),500724.5941305)</f>
        <v>500724.59413049999</v>
      </c>
    </row>
    <row r="3557" spans="1:8" ht="13" x14ac:dyDescent="0.15">
      <c r="A3557" s="5" t="str">
        <f ca="1">IFERROR(__xludf.DUMMYFUNCTION("""COMPUTED_VALUE"""),"74356")</f>
        <v>74356</v>
      </c>
      <c r="B3557" s="51">
        <f ca="1">IFERROR(__xludf.DUMMYFUNCTION("""COMPUTED_VALUE"""),44608)</f>
        <v>44608</v>
      </c>
      <c r="C3557" s="22">
        <f ca="1">IFERROR(__xludf.DUMMYFUNCTION("""COMPUTED_VALUE"""),489350.731138)</f>
        <v>489350.73113799997</v>
      </c>
      <c r="D3557" s="22">
        <f ca="1">IFERROR(__xludf.DUMMYFUNCTION("""COMPUTED_VALUE"""),11200.77995)</f>
        <v>11200.77995</v>
      </c>
      <c r="E3557" s="22">
        <f ca="1">IFERROR(__xludf.DUMMYFUNCTION("""COMPUTED_VALUE"""),500551.511087999)</f>
        <v>500551.51108799898</v>
      </c>
      <c r="F3557" s="22">
        <f ca="1">IFERROR(__xludf.DUMMYFUNCTION("""COMPUTED_VALUE"""),489350.731138)</f>
        <v>489350.73113799997</v>
      </c>
      <c r="G3557" s="22">
        <f ca="1">IFERROR(__xludf.DUMMYFUNCTION("""COMPUTED_VALUE"""),0)</f>
        <v>0</v>
      </c>
      <c r="H3557" s="7">
        <f ca="1">IFERROR(__xludf.DUMMYFUNCTION("""COMPUTED_VALUE"""),500466.511087999)</f>
        <v>500466.51108799898</v>
      </c>
    </row>
    <row r="3558" spans="1:8" ht="13" x14ac:dyDescent="0.15">
      <c r="A3558" s="5" t="str">
        <f ca="1">IFERROR(__xludf.DUMMYFUNCTION("""COMPUTED_VALUE"""),"74356")</f>
        <v>74356</v>
      </c>
      <c r="B3558" s="51">
        <f ca="1">IFERROR(__xludf.DUMMYFUNCTION("""COMPUTED_VALUE"""),44609)</f>
        <v>44609</v>
      </c>
      <c r="C3558" s="22">
        <f ca="1">IFERROR(__xludf.DUMMYFUNCTION("""COMPUTED_VALUE"""),436133.4699355)</f>
        <v>436133.4699355</v>
      </c>
      <c r="D3558" s="22">
        <f ca="1">IFERROR(__xludf.DUMMYFUNCTION("""COMPUTED_VALUE"""),63708.5224839999)</f>
        <v>63708.522483999899</v>
      </c>
      <c r="E3558" s="22">
        <f ca="1">IFERROR(__xludf.DUMMYFUNCTION("""COMPUTED_VALUE"""),499841.9924195)</f>
        <v>499841.99241950002</v>
      </c>
      <c r="F3558" s="22">
        <f ca="1">IFERROR(__xludf.DUMMYFUNCTION("""COMPUTED_VALUE"""),436133.469935499)</f>
        <v>436133.46993549902</v>
      </c>
      <c r="G3558" s="22">
        <f ca="1">IFERROR(__xludf.DUMMYFUNCTION("""COMPUTED_VALUE"""),0)</f>
        <v>0</v>
      </c>
      <c r="H3558" s="7">
        <f ca="1">IFERROR(__xludf.DUMMYFUNCTION("""COMPUTED_VALUE"""),499841.9924195)</f>
        <v>499841.99241950002</v>
      </c>
    </row>
    <row r="3559" spans="1:8" ht="13" x14ac:dyDescent="0.15">
      <c r="A3559" s="5" t="str">
        <f ca="1">IFERROR(__xludf.DUMMYFUNCTION("""COMPUTED_VALUE"""),"74356")</f>
        <v>74356</v>
      </c>
      <c r="B3559" s="51">
        <f ca="1">IFERROR(__xludf.DUMMYFUNCTION("""COMPUTED_VALUE"""),44610)</f>
        <v>44610</v>
      </c>
      <c r="C3559" s="22">
        <f ca="1">IFERROR(__xludf.DUMMYFUNCTION("""COMPUTED_VALUE"""),436133.4699355)</f>
        <v>436133.4699355</v>
      </c>
      <c r="D3559" s="22">
        <f ca="1">IFERROR(__xludf.DUMMYFUNCTION("""COMPUTED_VALUE"""),63090.6101394999)</f>
        <v>63090.610139499899</v>
      </c>
      <c r="E3559" s="22">
        <f ca="1">IFERROR(__xludf.DUMMYFUNCTION("""COMPUTED_VALUE"""),499224.080075)</f>
        <v>499224.08007500001</v>
      </c>
      <c r="F3559" s="22">
        <f ca="1">IFERROR(__xludf.DUMMYFUNCTION("""COMPUTED_VALUE"""),436133.469935499)</f>
        <v>436133.46993549902</v>
      </c>
      <c r="G3559" s="22">
        <f ca="1">IFERROR(__xludf.DUMMYFUNCTION("""COMPUTED_VALUE"""),0)</f>
        <v>0</v>
      </c>
      <c r="H3559" s="7">
        <f ca="1">IFERROR(__xludf.DUMMYFUNCTION("""COMPUTED_VALUE"""),498016.7192975)</f>
        <v>498016.71929749998</v>
      </c>
    </row>
    <row r="3560" spans="1:8" ht="13" x14ac:dyDescent="0.15">
      <c r="A3560" s="5" t="str">
        <f ca="1">IFERROR(__xludf.DUMMYFUNCTION("""COMPUTED_VALUE"""),"74356")</f>
        <v>74356</v>
      </c>
      <c r="B3560" s="51">
        <f ca="1">IFERROR(__xludf.DUMMYFUNCTION("""COMPUTED_VALUE"""),44611)</f>
        <v>44611</v>
      </c>
      <c r="C3560" s="22">
        <f ca="1">IFERROR(__xludf.DUMMYFUNCTION("""COMPUTED_VALUE"""),436133.4699355)</f>
        <v>436133.4699355</v>
      </c>
      <c r="D3560" s="22">
        <f ca="1">IFERROR(__xludf.DUMMYFUNCTION("""COMPUTED_VALUE"""),63090.6101394999)</f>
        <v>63090.610139499899</v>
      </c>
      <c r="E3560" s="22">
        <f ca="1">IFERROR(__xludf.DUMMYFUNCTION("""COMPUTED_VALUE"""),499224.080075)</f>
        <v>499224.08007500001</v>
      </c>
      <c r="F3560" s="22">
        <f ca="1">IFERROR(__xludf.DUMMYFUNCTION("""COMPUTED_VALUE"""),436133.469935499)</f>
        <v>436133.46993549902</v>
      </c>
      <c r="G3560" s="22">
        <f ca="1">IFERROR(__xludf.DUMMYFUNCTION("""COMPUTED_VALUE"""),0)</f>
        <v>0</v>
      </c>
      <c r="H3560" s="7">
        <f ca="1">IFERROR(__xludf.DUMMYFUNCTION("""COMPUTED_VALUE"""),498016.7192975)</f>
        <v>498016.71929749998</v>
      </c>
    </row>
    <row r="3561" spans="1:8" ht="13" x14ac:dyDescent="0.15">
      <c r="A3561" s="5" t="str">
        <f ca="1">IFERROR(__xludf.DUMMYFUNCTION("""COMPUTED_VALUE"""),"74356")</f>
        <v>74356</v>
      </c>
      <c r="B3561" s="51">
        <f ca="1">IFERROR(__xludf.DUMMYFUNCTION("""COMPUTED_VALUE"""),44612)</f>
        <v>44612</v>
      </c>
      <c r="C3561" s="22">
        <f ca="1">IFERROR(__xludf.DUMMYFUNCTION("""COMPUTED_VALUE"""),436133.4699355)</f>
        <v>436133.4699355</v>
      </c>
      <c r="D3561" s="22">
        <f ca="1">IFERROR(__xludf.DUMMYFUNCTION("""COMPUTED_VALUE"""),63090.3560839999)</f>
        <v>63090.356083999897</v>
      </c>
      <c r="E3561" s="22">
        <f ca="1">IFERROR(__xludf.DUMMYFUNCTION("""COMPUTED_VALUE"""),499223.8260195)</f>
        <v>499223.82601949997</v>
      </c>
      <c r="F3561" s="22">
        <f ca="1">IFERROR(__xludf.DUMMYFUNCTION("""COMPUTED_VALUE"""),436133.469935499)</f>
        <v>436133.46993549902</v>
      </c>
      <c r="G3561" s="22">
        <f ca="1">IFERROR(__xludf.DUMMYFUNCTION("""COMPUTED_VALUE"""),0)</f>
        <v>0</v>
      </c>
      <c r="H3561" s="7">
        <f ca="1">IFERROR(__xludf.DUMMYFUNCTION("""COMPUTED_VALUE"""),498014.6983545)</f>
        <v>498014.6983545</v>
      </c>
    </row>
    <row r="3562" spans="1:8" ht="13" x14ac:dyDescent="0.15">
      <c r="A3562" s="5" t="str">
        <f ca="1">IFERROR(__xludf.DUMMYFUNCTION("""COMPUTED_VALUE"""),"74356")</f>
        <v>74356</v>
      </c>
      <c r="B3562" s="51">
        <f ca="1">IFERROR(__xludf.DUMMYFUNCTION("""COMPUTED_VALUE"""),44613)</f>
        <v>44613</v>
      </c>
      <c r="C3562" s="22">
        <f ca="1">IFERROR(__xludf.DUMMYFUNCTION("""COMPUTED_VALUE"""),436133.4699355)</f>
        <v>436133.4699355</v>
      </c>
      <c r="D3562" s="22">
        <f ca="1">IFERROR(__xludf.DUMMYFUNCTION("""COMPUTED_VALUE"""),63111.0846959999)</f>
        <v>63111.084695999903</v>
      </c>
      <c r="E3562" s="22">
        <f ca="1">IFERROR(__xludf.DUMMYFUNCTION("""COMPUTED_VALUE"""),499244.5546315)</f>
        <v>499244.55463149998</v>
      </c>
      <c r="F3562" s="22">
        <f ca="1">IFERROR(__xludf.DUMMYFUNCTION("""COMPUTED_VALUE"""),436133.469935499)</f>
        <v>436133.46993549902</v>
      </c>
      <c r="G3562" s="22">
        <f ca="1">IFERROR(__xludf.DUMMYFUNCTION("""COMPUTED_VALUE"""),0)</f>
        <v>0</v>
      </c>
      <c r="H3562" s="7">
        <f ca="1">IFERROR(__xludf.DUMMYFUNCTION("""COMPUTED_VALUE"""),498040.4942665)</f>
        <v>498040.4942665</v>
      </c>
    </row>
    <row r="3563" spans="1:8" ht="13" x14ac:dyDescent="0.15">
      <c r="A3563" s="5" t="str">
        <f ca="1">IFERROR(__xludf.DUMMYFUNCTION("""COMPUTED_VALUE"""),"74356")</f>
        <v>74356</v>
      </c>
      <c r="B3563" s="51">
        <f ca="1">IFERROR(__xludf.DUMMYFUNCTION("""COMPUTED_VALUE"""),44614)</f>
        <v>44614</v>
      </c>
      <c r="C3563" s="22">
        <f ca="1">IFERROR(__xludf.DUMMYFUNCTION("""COMPUTED_VALUE"""),436133.4699355)</f>
        <v>436133.4699355</v>
      </c>
      <c r="D3563" s="22">
        <f ca="1">IFERROR(__xludf.DUMMYFUNCTION("""COMPUTED_VALUE"""),62987.8589774999)</f>
        <v>62987.858977499898</v>
      </c>
      <c r="E3563" s="22">
        <f ca="1">IFERROR(__xludf.DUMMYFUNCTION("""COMPUTED_VALUE"""),499121.328913)</f>
        <v>499121.328913</v>
      </c>
      <c r="F3563" s="22">
        <f ca="1">IFERROR(__xludf.DUMMYFUNCTION("""COMPUTED_VALUE"""),436133.469935499)</f>
        <v>436133.46993549902</v>
      </c>
      <c r="G3563" s="22">
        <f ca="1">IFERROR(__xludf.DUMMYFUNCTION("""COMPUTED_VALUE"""),0)</f>
        <v>0</v>
      </c>
      <c r="H3563" s="7">
        <f ca="1">IFERROR(__xludf.DUMMYFUNCTION("""COMPUTED_VALUE"""),496716.8654605)</f>
        <v>496716.8654605</v>
      </c>
    </row>
    <row r="3564" spans="1:8" ht="13" x14ac:dyDescent="0.15">
      <c r="A3564" s="5" t="str">
        <f ca="1">IFERROR(__xludf.DUMMYFUNCTION("""COMPUTED_VALUE"""),"74356")</f>
        <v>74356</v>
      </c>
      <c r="B3564" s="51">
        <f ca="1">IFERROR(__xludf.DUMMYFUNCTION("""COMPUTED_VALUE"""),44615)</f>
        <v>44615</v>
      </c>
      <c r="C3564" s="22">
        <f ca="1">IFERROR(__xludf.DUMMYFUNCTION("""COMPUTED_VALUE"""),436133.4699355)</f>
        <v>436133.4699355</v>
      </c>
      <c r="D3564" s="22">
        <f ca="1">IFERROR(__xludf.DUMMYFUNCTION("""COMPUTED_VALUE"""),62716.7592324999)</f>
        <v>62716.759232499899</v>
      </c>
      <c r="E3564" s="22">
        <f ca="1">IFERROR(__xludf.DUMMYFUNCTION("""COMPUTED_VALUE"""),498850.229168)</f>
        <v>498850.22916799999</v>
      </c>
      <c r="F3564" s="22">
        <f ca="1">IFERROR(__xludf.DUMMYFUNCTION("""COMPUTED_VALUE"""),436133.469935499)</f>
        <v>436133.46993549902</v>
      </c>
      <c r="G3564" s="22">
        <f ca="1">IFERROR(__xludf.DUMMYFUNCTION("""COMPUTED_VALUE"""),0)</f>
        <v>0</v>
      </c>
      <c r="H3564" s="7">
        <f ca="1">IFERROR(__xludf.DUMMYFUNCTION("""COMPUTED_VALUE"""),495533.2098155)</f>
        <v>495533.20981550001</v>
      </c>
    </row>
    <row r="3565" spans="1:8" ht="13" x14ac:dyDescent="0.15">
      <c r="A3565" s="5" t="str">
        <f ca="1">IFERROR(__xludf.DUMMYFUNCTION("""COMPUTED_VALUE"""),"74356")</f>
        <v>74356</v>
      </c>
      <c r="B3565" s="51">
        <f ca="1">IFERROR(__xludf.DUMMYFUNCTION("""COMPUTED_VALUE"""),44616)</f>
        <v>44616</v>
      </c>
      <c r="C3565" s="22">
        <f ca="1">IFERROR(__xludf.DUMMYFUNCTION("""COMPUTED_VALUE"""),444595.5093855)</f>
        <v>444595.50938549999</v>
      </c>
      <c r="D3565" s="22">
        <f ca="1">IFERROR(__xludf.DUMMYFUNCTION("""COMPUTED_VALUE"""),54410.50025)</f>
        <v>54410.500249999997</v>
      </c>
      <c r="E3565" s="22">
        <f ca="1">IFERROR(__xludf.DUMMYFUNCTION("""COMPUTED_VALUE"""),499006.009635499)</f>
        <v>499006.00963549898</v>
      </c>
      <c r="F3565" s="22">
        <f ca="1">IFERROR(__xludf.DUMMYFUNCTION("""COMPUTED_VALUE"""),444595.509385499)</f>
        <v>444595.509385499</v>
      </c>
      <c r="G3565" s="22">
        <f ca="1">IFERROR(__xludf.DUMMYFUNCTION("""COMPUTED_VALUE"""),0)</f>
        <v>0</v>
      </c>
      <c r="H3565" s="7">
        <f ca="1">IFERROR(__xludf.DUMMYFUNCTION("""COMPUTED_VALUE"""),499006.009635499)</f>
        <v>499006.00963549898</v>
      </c>
    </row>
    <row r="3566" spans="1:8" ht="13" x14ac:dyDescent="0.15">
      <c r="A3566" s="5" t="str">
        <f ca="1">IFERROR(__xludf.DUMMYFUNCTION("""COMPUTED_VALUE"""),"74356")</f>
        <v>74356</v>
      </c>
      <c r="B3566" s="51">
        <f ca="1">IFERROR(__xludf.DUMMYFUNCTION("""COMPUTED_VALUE"""),44617)</f>
        <v>44617</v>
      </c>
      <c r="C3566" s="22">
        <f ca="1">IFERROR(__xludf.DUMMYFUNCTION("""COMPUTED_VALUE"""),367551.781635499)</f>
        <v>367551.78163549898</v>
      </c>
      <c r="D3566" s="22">
        <f ca="1">IFERROR(__xludf.DUMMYFUNCTION("""COMPUTED_VALUE"""),131648.1521)</f>
        <v>131648.15210000001</v>
      </c>
      <c r="E3566" s="22">
        <f ca="1">IFERROR(__xludf.DUMMYFUNCTION("""COMPUTED_VALUE"""),499199.9337355)</f>
        <v>499199.93373549997</v>
      </c>
      <c r="F3566" s="22">
        <f ca="1">IFERROR(__xludf.DUMMYFUNCTION("""COMPUTED_VALUE"""),367551.781635499)</f>
        <v>367551.78163549898</v>
      </c>
      <c r="G3566" s="22">
        <f ca="1">IFERROR(__xludf.DUMMYFUNCTION("""COMPUTED_VALUE"""),0)</f>
        <v>0</v>
      </c>
      <c r="H3566" s="7">
        <f ca="1">IFERROR(__xludf.DUMMYFUNCTION("""COMPUTED_VALUE"""),499199.9337355)</f>
        <v>499199.93373549997</v>
      </c>
    </row>
    <row r="3567" spans="1:8" ht="13" x14ac:dyDescent="0.15">
      <c r="A3567" s="5" t="str">
        <f ca="1">IFERROR(__xludf.DUMMYFUNCTION("""COMPUTED_VALUE"""),"74356")</f>
        <v>74356</v>
      </c>
      <c r="B3567" s="51">
        <f ca="1">IFERROR(__xludf.DUMMYFUNCTION("""COMPUTED_VALUE"""),44618)</f>
        <v>44618</v>
      </c>
      <c r="C3567" s="22">
        <f ca="1">IFERROR(__xludf.DUMMYFUNCTION("""COMPUTED_VALUE"""),367551.781635499)</f>
        <v>367551.78163549898</v>
      </c>
      <c r="D3567" s="22">
        <f ca="1">IFERROR(__xludf.DUMMYFUNCTION("""COMPUTED_VALUE"""),131650.5491)</f>
        <v>131650.5491</v>
      </c>
      <c r="E3567" s="22">
        <f ca="1">IFERROR(__xludf.DUMMYFUNCTION("""COMPUTED_VALUE"""),499202.330735499)</f>
        <v>499202.33073549898</v>
      </c>
      <c r="F3567" s="22">
        <f ca="1">IFERROR(__xludf.DUMMYFUNCTION("""COMPUTED_VALUE"""),367551.781635499)</f>
        <v>367551.78163549898</v>
      </c>
      <c r="G3567" s="22">
        <f ca="1">IFERROR(__xludf.DUMMYFUNCTION("""COMPUTED_VALUE"""),0)</f>
        <v>0</v>
      </c>
      <c r="H3567" s="7">
        <f ca="1">IFERROR(__xludf.DUMMYFUNCTION("""COMPUTED_VALUE"""),499202.330735499)</f>
        <v>499202.33073549898</v>
      </c>
    </row>
    <row r="3568" spans="1:8" ht="13" x14ac:dyDescent="0.15">
      <c r="A3568" s="5" t="str">
        <f ca="1">IFERROR(__xludf.DUMMYFUNCTION("""COMPUTED_VALUE"""),"74356")</f>
        <v>74356</v>
      </c>
      <c r="B3568" s="51">
        <f ca="1">IFERROR(__xludf.DUMMYFUNCTION("""COMPUTED_VALUE"""),44619)</f>
        <v>44619</v>
      </c>
      <c r="C3568" s="22">
        <f ca="1">IFERROR(__xludf.DUMMYFUNCTION("""COMPUTED_VALUE"""),367551.781635499)</f>
        <v>367551.78163549898</v>
      </c>
      <c r="D3568" s="22">
        <f ca="1">IFERROR(__xludf.DUMMYFUNCTION("""COMPUTED_VALUE"""),131645.036)</f>
        <v>131645.03599999999</v>
      </c>
      <c r="E3568" s="22">
        <f ca="1">IFERROR(__xludf.DUMMYFUNCTION("""COMPUTED_VALUE"""),499196.8176355)</f>
        <v>499196.81763549999</v>
      </c>
      <c r="F3568" s="22">
        <f ca="1">IFERROR(__xludf.DUMMYFUNCTION("""COMPUTED_VALUE"""),367551.781635499)</f>
        <v>367551.78163549898</v>
      </c>
      <c r="G3568" s="22">
        <f ca="1">IFERROR(__xludf.DUMMYFUNCTION("""COMPUTED_VALUE"""),0)</f>
        <v>0</v>
      </c>
      <c r="H3568" s="7">
        <f ca="1">IFERROR(__xludf.DUMMYFUNCTION("""COMPUTED_VALUE"""),499196.8176355)</f>
        <v>499196.81763549999</v>
      </c>
    </row>
    <row r="3569" spans="1:8" ht="13" x14ac:dyDescent="0.15">
      <c r="A3569" s="5" t="str">
        <f ca="1">IFERROR(__xludf.DUMMYFUNCTION("""COMPUTED_VALUE"""),"74356")</f>
        <v>74356</v>
      </c>
      <c r="B3569" s="51">
        <f ca="1">IFERROR(__xludf.DUMMYFUNCTION("""COMPUTED_VALUE"""),44620)</f>
        <v>44620</v>
      </c>
      <c r="C3569" s="22">
        <f ca="1">IFERROR(__xludf.DUMMYFUNCTION("""COMPUTED_VALUE"""),367551.781635499)</f>
        <v>367551.78163549898</v>
      </c>
      <c r="D3569" s="22">
        <f ca="1">IFERROR(__xludf.DUMMYFUNCTION("""COMPUTED_VALUE"""),134317.3543)</f>
        <v>134317.35430000001</v>
      </c>
      <c r="E3569" s="22">
        <f ca="1">IFERROR(__xludf.DUMMYFUNCTION("""COMPUTED_VALUE"""),501869.1359355)</f>
        <v>501869.13593549997</v>
      </c>
      <c r="F3569" s="22">
        <f ca="1">IFERROR(__xludf.DUMMYFUNCTION("""COMPUTED_VALUE"""),367551.781635499)</f>
        <v>367551.78163549898</v>
      </c>
      <c r="G3569" s="22">
        <f ca="1">IFERROR(__xludf.DUMMYFUNCTION("""COMPUTED_VALUE"""),0)</f>
        <v>0</v>
      </c>
      <c r="H3569" s="7">
        <f ca="1">IFERROR(__xludf.DUMMYFUNCTION("""COMPUTED_VALUE"""),501869.1359355)</f>
        <v>501869.13593549997</v>
      </c>
    </row>
    <row r="3570" spans="1:8" ht="13" x14ac:dyDescent="0.15">
      <c r="A3570" s="5" t="str">
        <f ca="1">IFERROR(__xludf.DUMMYFUNCTION("""COMPUTED_VALUE"""),"74356")</f>
        <v>74356</v>
      </c>
      <c r="B3570" s="51">
        <f ca="1">IFERROR(__xludf.DUMMYFUNCTION("""COMPUTED_VALUE"""),44621)</f>
        <v>44621</v>
      </c>
      <c r="C3570" s="22">
        <f ca="1">IFERROR(__xludf.DUMMYFUNCTION("""COMPUTED_VALUE"""),367551.781635499)</f>
        <v>367551.78163549898</v>
      </c>
      <c r="D3570" s="22">
        <f ca="1">IFERROR(__xludf.DUMMYFUNCTION("""COMPUTED_VALUE"""),140393.4360325)</f>
        <v>140393.4360325</v>
      </c>
      <c r="E3570" s="22">
        <f ca="1">IFERROR(__xludf.DUMMYFUNCTION("""COMPUTED_VALUE"""),507945.217667999)</f>
        <v>507945.21766799898</v>
      </c>
      <c r="F3570" s="22">
        <f ca="1">IFERROR(__xludf.DUMMYFUNCTION("""COMPUTED_VALUE"""),367551.781635499)</f>
        <v>367551.78163549898</v>
      </c>
      <c r="G3570" s="22">
        <f ca="1">IFERROR(__xludf.DUMMYFUNCTION("""COMPUTED_VALUE"""),0)</f>
        <v>0</v>
      </c>
      <c r="H3570" s="7">
        <f ca="1">IFERROR(__xludf.DUMMYFUNCTION("""COMPUTED_VALUE"""),507945.217667999)</f>
        <v>507945.21766799898</v>
      </c>
    </row>
    <row r="3571" spans="1:8" ht="13" x14ac:dyDescent="0.15">
      <c r="A3571" s="5" t="str">
        <f ca="1">IFERROR(__xludf.DUMMYFUNCTION("""COMPUTED_VALUE"""),"74356")</f>
        <v>74356</v>
      </c>
      <c r="B3571" s="51">
        <f ca="1">IFERROR(__xludf.DUMMYFUNCTION("""COMPUTED_VALUE"""),44622)</f>
        <v>44622</v>
      </c>
      <c r="C3571" s="22">
        <f ca="1">IFERROR(__xludf.DUMMYFUNCTION("""COMPUTED_VALUE"""),367551.781635499)</f>
        <v>367551.78163549898</v>
      </c>
      <c r="D3571" s="22">
        <f ca="1">IFERROR(__xludf.DUMMYFUNCTION("""COMPUTED_VALUE"""),146676.5655)</f>
        <v>146676.5655</v>
      </c>
      <c r="E3571" s="22">
        <f ca="1">IFERROR(__xludf.DUMMYFUNCTION("""COMPUTED_VALUE"""),514228.347135499)</f>
        <v>514228.347135499</v>
      </c>
      <c r="F3571" s="22">
        <f ca="1">IFERROR(__xludf.DUMMYFUNCTION("""COMPUTED_VALUE"""),367551.781635499)</f>
        <v>367551.78163549898</v>
      </c>
      <c r="G3571" s="22">
        <f ca="1">IFERROR(__xludf.DUMMYFUNCTION("""COMPUTED_VALUE"""),0)</f>
        <v>0</v>
      </c>
      <c r="H3571" s="7">
        <f ca="1">IFERROR(__xludf.DUMMYFUNCTION("""COMPUTED_VALUE"""),514228.347135499)</f>
        <v>514228.347135499</v>
      </c>
    </row>
    <row r="3572" spans="1:8" ht="13" x14ac:dyDescent="0.15">
      <c r="A3572" s="5" t="str">
        <f ca="1">IFERROR(__xludf.DUMMYFUNCTION("""COMPUTED_VALUE"""),"74356")</f>
        <v>74356</v>
      </c>
      <c r="B3572" s="51">
        <f ca="1">IFERROR(__xludf.DUMMYFUNCTION("""COMPUTED_VALUE"""),44623)</f>
        <v>44623</v>
      </c>
      <c r="C3572" s="22">
        <f ca="1">IFERROR(__xludf.DUMMYFUNCTION("""COMPUTED_VALUE"""),367551.781635499)</f>
        <v>367551.78163549898</v>
      </c>
      <c r="D3572" s="22">
        <f ca="1">IFERROR(__xludf.DUMMYFUNCTION("""COMPUTED_VALUE"""),143791.45425)</f>
        <v>143791.45425000001</v>
      </c>
      <c r="E3572" s="22">
        <f ca="1">IFERROR(__xludf.DUMMYFUNCTION("""COMPUTED_VALUE"""),511343.2358855)</f>
        <v>511343.23588549998</v>
      </c>
      <c r="F3572" s="22">
        <f ca="1">IFERROR(__xludf.DUMMYFUNCTION("""COMPUTED_VALUE"""),367551.781635499)</f>
        <v>367551.78163549898</v>
      </c>
      <c r="G3572" s="22">
        <f ca="1">IFERROR(__xludf.DUMMYFUNCTION("""COMPUTED_VALUE"""),0)</f>
        <v>0</v>
      </c>
      <c r="H3572" s="7">
        <f ca="1">IFERROR(__xludf.DUMMYFUNCTION("""COMPUTED_VALUE"""),511343.2358855)</f>
        <v>511343.23588549998</v>
      </c>
    </row>
    <row r="3573" spans="1:8" ht="13" x14ac:dyDescent="0.15">
      <c r="A3573" s="5" t="str">
        <f ca="1">IFERROR(__xludf.DUMMYFUNCTION("""COMPUTED_VALUE"""),"74356")</f>
        <v>74356</v>
      </c>
      <c r="B3573" s="51">
        <f ca="1">IFERROR(__xludf.DUMMYFUNCTION("""COMPUTED_VALUE"""),44624)</f>
        <v>44624</v>
      </c>
      <c r="C3573" s="22">
        <f ca="1">IFERROR(__xludf.DUMMYFUNCTION("""COMPUTED_VALUE"""),359666.391687499)</f>
        <v>359666.39168749901</v>
      </c>
      <c r="D3573" s="22">
        <f ca="1">IFERROR(__xludf.DUMMYFUNCTION("""COMPUTED_VALUE"""),153807.988308)</f>
        <v>153807.988308</v>
      </c>
      <c r="E3573" s="22">
        <f ca="1">IFERROR(__xludf.DUMMYFUNCTION("""COMPUTED_VALUE"""),513474.379995499)</f>
        <v>513474.37999549898</v>
      </c>
      <c r="F3573" s="22">
        <f ca="1">IFERROR(__xludf.DUMMYFUNCTION("""COMPUTED_VALUE"""),359666.391687499)</f>
        <v>359666.39168749901</v>
      </c>
      <c r="G3573" s="22">
        <f ca="1">IFERROR(__xludf.DUMMYFUNCTION("""COMPUTED_VALUE"""),0)</f>
        <v>0</v>
      </c>
      <c r="H3573" s="7">
        <f ca="1">IFERROR(__xludf.DUMMYFUNCTION("""COMPUTED_VALUE"""),513474.379995499)</f>
        <v>513474.37999549898</v>
      </c>
    </row>
    <row r="3574" spans="1:8" ht="13" x14ac:dyDescent="0.15">
      <c r="A3574" s="5" t="str">
        <f ca="1">IFERROR(__xludf.DUMMYFUNCTION("""COMPUTED_VALUE"""),"74356")</f>
        <v>74356</v>
      </c>
      <c r="B3574" s="51">
        <f ca="1">IFERROR(__xludf.DUMMYFUNCTION("""COMPUTED_VALUE"""),44625)</f>
        <v>44625</v>
      </c>
      <c r="C3574" s="22">
        <f ca="1">IFERROR(__xludf.DUMMYFUNCTION("""COMPUTED_VALUE"""),359666.391687499)</f>
        <v>359666.39168749901</v>
      </c>
      <c r="D3574" s="22">
        <f ca="1">IFERROR(__xludf.DUMMYFUNCTION("""COMPUTED_VALUE"""),153807.988308)</f>
        <v>153807.988308</v>
      </c>
      <c r="E3574" s="22">
        <f ca="1">IFERROR(__xludf.DUMMYFUNCTION("""COMPUTED_VALUE"""),513474.379995499)</f>
        <v>513474.37999549898</v>
      </c>
      <c r="F3574" s="22">
        <f ca="1">IFERROR(__xludf.DUMMYFUNCTION("""COMPUTED_VALUE"""),359666.391687499)</f>
        <v>359666.39168749901</v>
      </c>
      <c r="G3574" s="22">
        <f ca="1">IFERROR(__xludf.DUMMYFUNCTION("""COMPUTED_VALUE"""),0)</f>
        <v>0</v>
      </c>
      <c r="H3574" s="7">
        <f ca="1">IFERROR(__xludf.DUMMYFUNCTION("""COMPUTED_VALUE"""),513474.379995499)</f>
        <v>513474.37999549898</v>
      </c>
    </row>
    <row r="3575" spans="1:8" ht="13" x14ac:dyDescent="0.15">
      <c r="A3575" s="5" t="str">
        <f ca="1">IFERROR(__xludf.DUMMYFUNCTION("""COMPUTED_VALUE"""),"74356")</f>
        <v>74356</v>
      </c>
      <c r="B3575" s="51">
        <f ca="1">IFERROR(__xludf.DUMMYFUNCTION("""COMPUTED_VALUE"""),44626)</f>
        <v>44626</v>
      </c>
      <c r="C3575" s="22">
        <f ca="1">IFERROR(__xludf.DUMMYFUNCTION("""COMPUTED_VALUE"""),359666.391687499)</f>
        <v>359666.39168749901</v>
      </c>
      <c r="D3575" s="22">
        <f ca="1">IFERROR(__xludf.DUMMYFUNCTION("""COMPUTED_VALUE"""),153828.1941155)</f>
        <v>153828.19411549999</v>
      </c>
      <c r="E3575" s="22">
        <f ca="1">IFERROR(__xludf.DUMMYFUNCTION("""COMPUTED_VALUE"""),513494.585802999)</f>
        <v>513494.58580299898</v>
      </c>
      <c r="F3575" s="22">
        <f ca="1">IFERROR(__xludf.DUMMYFUNCTION("""COMPUTED_VALUE"""),359666.391687499)</f>
        <v>359666.39168749901</v>
      </c>
      <c r="G3575" s="22">
        <f ca="1">IFERROR(__xludf.DUMMYFUNCTION("""COMPUTED_VALUE"""),0)</f>
        <v>0</v>
      </c>
      <c r="H3575" s="7">
        <f ca="1">IFERROR(__xludf.DUMMYFUNCTION("""COMPUTED_VALUE"""),513494.585802999)</f>
        <v>513494.58580299898</v>
      </c>
    </row>
    <row r="3576" spans="1:8" ht="13" x14ac:dyDescent="0.15">
      <c r="A3576" s="5" t="str">
        <f ca="1">IFERROR(__xludf.DUMMYFUNCTION("""COMPUTED_VALUE"""),"74356")</f>
        <v>74356</v>
      </c>
      <c r="B3576" s="51">
        <f ca="1">IFERROR(__xludf.DUMMYFUNCTION("""COMPUTED_VALUE"""),44627)</f>
        <v>44627</v>
      </c>
      <c r="C3576" s="22">
        <f ca="1">IFERROR(__xludf.DUMMYFUNCTION("""COMPUTED_VALUE"""),359666.391687499)</f>
        <v>359666.39168749901</v>
      </c>
      <c r="D3576" s="22">
        <f ca="1">IFERROR(__xludf.DUMMYFUNCTION("""COMPUTED_VALUE"""),154664.10873)</f>
        <v>154664.10873000001</v>
      </c>
      <c r="E3576" s="22">
        <f ca="1">IFERROR(__xludf.DUMMYFUNCTION("""COMPUTED_VALUE"""),514330.500417499)</f>
        <v>514330.50041749899</v>
      </c>
      <c r="F3576" s="22">
        <f ca="1">IFERROR(__xludf.DUMMYFUNCTION("""COMPUTED_VALUE"""),359666.391687499)</f>
        <v>359666.39168749901</v>
      </c>
      <c r="G3576" s="22">
        <f ca="1">IFERROR(__xludf.DUMMYFUNCTION("""COMPUTED_VALUE"""),0)</f>
        <v>0</v>
      </c>
      <c r="H3576" s="7">
        <f ca="1">IFERROR(__xludf.DUMMYFUNCTION("""COMPUTED_VALUE"""),514330.500417499)</f>
        <v>514330.50041749899</v>
      </c>
    </row>
    <row r="3577" spans="1:8" ht="13" x14ac:dyDescent="0.15">
      <c r="A3577" s="5" t="str">
        <f ca="1">IFERROR(__xludf.DUMMYFUNCTION("""COMPUTED_VALUE"""),"74356")</f>
        <v>74356</v>
      </c>
      <c r="B3577" s="51">
        <f ca="1">IFERROR(__xludf.DUMMYFUNCTION("""COMPUTED_VALUE"""),44628)</f>
        <v>44628</v>
      </c>
      <c r="C3577" s="22">
        <f ca="1">IFERROR(__xludf.DUMMYFUNCTION("""COMPUTED_VALUE"""),359666.391687499)</f>
        <v>359666.39168749901</v>
      </c>
      <c r="D3577" s="22">
        <f ca="1">IFERROR(__xludf.DUMMYFUNCTION("""COMPUTED_VALUE"""),160164.832575)</f>
        <v>160164.83257500001</v>
      </c>
      <c r="E3577" s="22">
        <f ca="1">IFERROR(__xludf.DUMMYFUNCTION("""COMPUTED_VALUE"""),519831.224262499)</f>
        <v>519831.22426249902</v>
      </c>
      <c r="F3577" s="22">
        <f ca="1">IFERROR(__xludf.DUMMYFUNCTION("""COMPUTED_VALUE"""),359666.391687499)</f>
        <v>359666.39168749901</v>
      </c>
      <c r="G3577" s="22">
        <f ca="1">IFERROR(__xludf.DUMMYFUNCTION("""COMPUTED_VALUE"""),0)</f>
        <v>0</v>
      </c>
      <c r="H3577" s="7">
        <f ca="1">IFERROR(__xludf.DUMMYFUNCTION("""COMPUTED_VALUE"""),519831.224262499)</f>
        <v>519831.22426249902</v>
      </c>
    </row>
    <row r="3578" spans="1:8" ht="13" x14ac:dyDescent="0.15">
      <c r="A3578" s="5" t="str">
        <f ca="1">IFERROR(__xludf.DUMMYFUNCTION("""COMPUTED_VALUE"""),"74356")</f>
        <v>74356</v>
      </c>
      <c r="B3578" s="51">
        <f ca="1">IFERROR(__xludf.DUMMYFUNCTION("""COMPUTED_VALUE"""),44629)</f>
        <v>44629</v>
      </c>
      <c r="C3578" s="22">
        <f ca="1">IFERROR(__xludf.DUMMYFUNCTION("""COMPUTED_VALUE"""),359666.391687499)</f>
        <v>359666.39168749901</v>
      </c>
      <c r="D3578" s="22">
        <f ca="1">IFERROR(__xludf.DUMMYFUNCTION("""COMPUTED_VALUE"""),150747.38316)</f>
        <v>150747.38316</v>
      </c>
      <c r="E3578" s="22">
        <f ca="1">IFERROR(__xludf.DUMMYFUNCTION("""COMPUTED_VALUE"""),510413.774847499)</f>
        <v>510413.77484749898</v>
      </c>
      <c r="F3578" s="22">
        <f ca="1">IFERROR(__xludf.DUMMYFUNCTION("""COMPUTED_VALUE"""),359666.391687499)</f>
        <v>359666.39168749901</v>
      </c>
      <c r="G3578" s="22">
        <f ca="1">IFERROR(__xludf.DUMMYFUNCTION("""COMPUTED_VALUE"""),0)</f>
        <v>0</v>
      </c>
      <c r="H3578" s="7">
        <f ca="1">IFERROR(__xludf.DUMMYFUNCTION("""COMPUTED_VALUE"""),510413.774847499)</f>
        <v>510413.77484749898</v>
      </c>
    </row>
    <row r="3579" spans="1:8" ht="13" x14ac:dyDescent="0.15">
      <c r="A3579" s="5" t="str">
        <f ca="1">IFERROR(__xludf.DUMMYFUNCTION("""COMPUTED_VALUE"""),"74356")</f>
        <v>74356</v>
      </c>
      <c r="B3579" s="51">
        <f ca="1">IFERROR(__xludf.DUMMYFUNCTION("""COMPUTED_VALUE"""),44630)</f>
        <v>44630</v>
      </c>
      <c r="C3579" s="22">
        <f ca="1">IFERROR(__xludf.DUMMYFUNCTION("""COMPUTED_VALUE"""),149396.006537499)</f>
        <v>149396.00653749899</v>
      </c>
      <c r="D3579" s="22">
        <f ca="1">IFERROR(__xludf.DUMMYFUNCTION("""COMPUTED_VALUE"""),357772.4053)</f>
        <v>357772.40529999998</v>
      </c>
      <c r="E3579" s="22">
        <f ca="1">IFERROR(__xludf.DUMMYFUNCTION("""COMPUTED_VALUE"""),507168.411837499)</f>
        <v>507168.41183749901</v>
      </c>
      <c r="F3579" s="22">
        <f ca="1">IFERROR(__xludf.DUMMYFUNCTION("""COMPUTED_VALUE"""),149396.006537499)</f>
        <v>149396.00653749899</v>
      </c>
      <c r="G3579" s="22">
        <f ca="1">IFERROR(__xludf.DUMMYFUNCTION("""COMPUTED_VALUE"""),0)</f>
        <v>0</v>
      </c>
      <c r="H3579" s="7">
        <f ca="1">IFERROR(__xludf.DUMMYFUNCTION("""COMPUTED_VALUE"""),507168.411837499)</f>
        <v>507168.41183749901</v>
      </c>
    </row>
    <row r="3580" spans="1:8" ht="13" x14ac:dyDescent="0.15">
      <c r="A3580" s="5" t="str">
        <f ca="1">IFERROR(__xludf.DUMMYFUNCTION("""COMPUTED_VALUE"""),"74356")</f>
        <v>74356</v>
      </c>
      <c r="B3580" s="51">
        <f ca="1">IFERROR(__xludf.DUMMYFUNCTION("""COMPUTED_VALUE"""),44631)</f>
        <v>44631</v>
      </c>
      <c r="C3580" s="22">
        <f ca="1">IFERROR(__xludf.DUMMYFUNCTION("""COMPUTED_VALUE"""),149393.318637499)</f>
        <v>149393.318637499</v>
      </c>
      <c r="D3580" s="22">
        <f ca="1">IFERROR(__xludf.DUMMYFUNCTION("""COMPUTED_VALUE"""),360821.91445)</f>
        <v>360821.91444999998</v>
      </c>
      <c r="E3580" s="22">
        <f ca="1">IFERROR(__xludf.DUMMYFUNCTION("""COMPUTED_VALUE"""),510215.2330875)</f>
        <v>510215.23308749998</v>
      </c>
      <c r="F3580" s="22">
        <f ca="1">IFERROR(__xludf.DUMMYFUNCTION("""COMPUTED_VALUE"""),149393.318637499)</f>
        <v>149393.318637499</v>
      </c>
      <c r="G3580" s="22">
        <f ca="1">IFERROR(__xludf.DUMMYFUNCTION("""COMPUTED_VALUE"""),0)</f>
        <v>0</v>
      </c>
      <c r="H3580" s="7">
        <f ca="1">IFERROR(__xludf.DUMMYFUNCTION("""COMPUTED_VALUE"""),508949.409737499)</f>
        <v>508949.40973749902</v>
      </c>
    </row>
    <row r="3581" spans="1:8" ht="13" x14ac:dyDescent="0.15">
      <c r="A3581" s="5" t="str">
        <f ca="1">IFERROR(__xludf.DUMMYFUNCTION("""COMPUTED_VALUE"""),"74356")</f>
        <v>74356</v>
      </c>
      <c r="B3581" s="51">
        <f ca="1">IFERROR(__xludf.DUMMYFUNCTION("""COMPUTED_VALUE"""),44632)</f>
        <v>44632</v>
      </c>
      <c r="C3581" s="22">
        <f ca="1">IFERROR(__xludf.DUMMYFUNCTION("""COMPUTED_VALUE"""),149393.318637499)</f>
        <v>149393.318637499</v>
      </c>
      <c r="D3581" s="22">
        <f ca="1">IFERROR(__xludf.DUMMYFUNCTION("""COMPUTED_VALUE"""),360821.91445)</f>
        <v>360821.91444999998</v>
      </c>
      <c r="E3581" s="22">
        <f ca="1">IFERROR(__xludf.DUMMYFUNCTION("""COMPUTED_VALUE"""),510215.2330875)</f>
        <v>510215.23308749998</v>
      </c>
      <c r="F3581" s="22">
        <f ca="1">IFERROR(__xludf.DUMMYFUNCTION("""COMPUTED_VALUE"""),149393.318637499)</f>
        <v>149393.318637499</v>
      </c>
      <c r="G3581" s="22">
        <f ca="1">IFERROR(__xludf.DUMMYFUNCTION("""COMPUTED_VALUE"""),0)</f>
        <v>0</v>
      </c>
      <c r="H3581" s="7">
        <f ca="1">IFERROR(__xludf.DUMMYFUNCTION("""COMPUTED_VALUE"""),508949.409737499)</f>
        <v>508949.40973749902</v>
      </c>
    </row>
    <row r="3582" spans="1:8" ht="13" x14ac:dyDescent="0.15">
      <c r="A3582" s="5" t="str">
        <f ca="1">IFERROR(__xludf.DUMMYFUNCTION("""COMPUTED_VALUE"""),"74356")</f>
        <v>74356</v>
      </c>
      <c r="B3582" s="51">
        <f ca="1">IFERROR(__xludf.DUMMYFUNCTION("""COMPUTED_VALUE"""),44633)</f>
        <v>44633</v>
      </c>
      <c r="C3582" s="22">
        <f ca="1">IFERROR(__xludf.DUMMYFUNCTION("""COMPUTED_VALUE"""),149393.318637499)</f>
        <v>149393.318637499</v>
      </c>
      <c r="D3582" s="22">
        <f ca="1">IFERROR(__xludf.DUMMYFUNCTION("""COMPUTED_VALUE"""),360793.807146)</f>
        <v>360793.80714599998</v>
      </c>
      <c r="E3582" s="22">
        <f ca="1">IFERROR(__xludf.DUMMYFUNCTION("""COMPUTED_VALUE"""),510187.125783499)</f>
        <v>510187.12578349898</v>
      </c>
      <c r="F3582" s="22">
        <f ca="1">IFERROR(__xludf.DUMMYFUNCTION("""COMPUTED_VALUE"""),149393.318637499)</f>
        <v>149393.318637499</v>
      </c>
      <c r="G3582" s="22">
        <f ca="1">IFERROR(__xludf.DUMMYFUNCTION("""COMPUTED_VALUE"""),0)</f>
        <v>0</v>
      </c>
      <c r="H3582" s="7">
        <f ca="1">IFERROR(__xludf.DUMMYFUNCTION("""COMPUTED_VALUE"""),508919.229051499)</f>
        <v>508919.22905149899</v>
      </c>
    </row>
    <row r="3583" spans="1:8" ht="13" x14ac:dyDescent="0.15">
      <c r="A3583" s="5" t="str">
        <f ca="1">IFERROR(__xludf.DUMMYFUNCTION("""COMPUTED_VALUE"""),"74356")</f>
        <v>74356</v>
      </c>
      <c r="B3583" s="51">
        <f ca="1">IFERROR(__xludf.DUMMYFUNCTION("""COMPUTED_VALUE"""),44634)</f>
        <v>44634</v>
      </c>
      <c r="C3583" s="22">
        <f ca="1">IFERROR(__xludf.DUMMYFUNCTION("""COMPUTED_VALUE"""),149393.318637499)</f>
        <v>149393.318637499</v>
      </c>
      <c r="D3583" s="22">
        <f ca="1">IFERROR(__xludf.DUMMYFUNCTION("""COMPUTED_VALUE"""),347062.729574999)</f>
        <v>347062.72957499902</v>
      </c>
      <c r="E3583" s="22">
        <f ca="1">IFERROR(__xludf.DUMMYFUNCTION("""COMPUTED_VALUE"""),496456.048212499)</f>
        <v>496456.04821249901</v>
      </c>
      <c r="F3583" s="22">
        <f ca="1">IFERROR(__xludf.DUMMYFUNCTION("""COMPUTED_VALUE"""),149393.318637499)</f>
        <v>149393.318637499</v>
      </c>
      <c r="G3583" s="22">
        <f ca="1">IFERROR(__xludf.DUMMYFUNCTION("""COMPUTED_VALUE"""),0)</f>
        <v>0</v>
      </c>
      <c r="H3583" s="7">
        <f ca="1">IFERROR(__xludf.DUMMYFUNCTION("""COMPUTED_VALUE"""),494545.886862499)</f>
        <v>494545.886862499</v>
      </c>
    </row>
    <row r="3584" spans="1:8" ht="13" x14ac:dyDescent="0.15">
      <c r="A3584" s="5" t="str">
        <f ca="1">IFERROR(__xludf.DUMMYFUNCTION("""COMPUTED_VALUE"""),"74356")</f>
        <v>74356</v>
      </c>
      <c r="B3584" s="51">
        <f ca="1">IFERROR(__xludf.DUMMYFUNCTION("""COMPUTED_VALUE"""),44635)</f>
        <v>44635</v>
      </c>
      <c r="C3584" s="22">
        <f ca="1">IFERROR(__xludf.DUMMYFUNCTION("""COMPUTED_VALUE"""),119280.693902499)</f>
        <v>119280.693902499</v>
      </c>
      <c r="D3584" s="22">
        <f ca="1">IFERROR(__xludf.DUMMYFUNCTION("""COMPUTED_VALUE"""),371044.31115)</f>
        <v>371044.31115000002</v>
      </c>
      <c r="E3584" s="22">
        <f ca="1">IFERROR(__xludf.DUMMYFUNCTION("""COMPUTED_VALUE"""),490325.005052499)</f>
        <v>490325.00505249901</v>
      </c>
      <c r="F3584" s="22">
        <f ca="1">IFERROR(__xludf.DUMMYFUNCTION("""COMPUTED_VALUE"""),119280.693902499)</f>
        <v>119280.693902499</v>
      </c>
      <c r="G3584" s="22">
        <f ca="1">IFERROR(__xludf.DUMMYFUNCTION("""COMPUTED_VALUE"""),0)</f>
        <v>0</v>
      </c>
      <c r="H3584" s="7">
        <f ca="1">IFERROR(__xludf.DUMMYFUNCTION("""COMPUTED_VALUE"""),490325.005052499)</f>
        <v>490325.00505249901</v>
      </c>
    </row>
    <row r="3585" spans="1:8" ht="13" x14ac:dyDescent="0.15">
      <c r="A3585" s="5" t="str">
        <f ca="1">IFERROR(__xludf.DUMMYFUNCTION("""COMPUTED_VALUE"""),"74356")</f>
        <v>74356</v>
      </c>
      <c r="B3585" s="51">
        <f ca="1">IFERROR(__xludf.DUMMYFUNCTION("""COMPUTED_VALUE"""),44636)</f>
        <v>44636</v>
      </c>
      <c r="C3585" s="22">
        <f ca="1">IFERROR(__xludf.DUMMYFUNCTION("""COMPUTED_VALUE"""),122603.193902499)</f>
        <v>122603.193902499</v>
      </c>
      <c r="D3585" s="22">
        <f ca="1">IFERROR(__xludf.DUMMYFUNCTION("""COMPUTED_VALUE"""),371276.60847)</f>
        <v>371276.60846999998</v>
      </c>
      <c r="E3585" s="22">
        <f ca="1">IFERROR(__xludf.DUMMYFUNCTION("""COMPUTED_VALUE"""),493879.802372499)</f>
        <v>493879.80237249902</v>
      </c>
      <c r="F3585" s="22">
        <f ca="1">IFERROR(__xludf.DUMMYFUNCTION("""COMPUTED_VALUE"""),122603.193902499)</f>
        <v>122603.193902499</v>
      </c>
      <c r="G3585" s="22">
        <f ca="1">IFERROR(__xludf.DUMMYFUNCTION("""COMPUTED_VALUE"""),0)</f>
        <v>0</v>
      </c>
      <c r="H3585" s="7">
        <f ca="1">IFERROR(__xludf.DUMMYFUNCTION("""COMPUTED_VALUE"""),493902.302372499)</f>
        <v>493902.30237249902</v>
      </c>
    </row>
    <row r="3586" spans="1:8" ht="13" x14ac:dyDescent="0.15">
      <c r="A3586" s="5" t="str">
        <f ca="1">IFERROR(__xludf.DUMMYFUNCTION("""COMPUTED_VALUE"""),"74356")</f>
        <v>74356</v>
      </c>
      <c r="B3586" s="51">
        <f ca="1">IFERROR(__xludf.DUMMYFUNCTION("""COMPUTED_VALUE"""),44637)</f>
        <v>44637</v>
      </c>
      <c r="C3586" s="22">
        <f ca="1">IFERROR(__xludf.DUMMYFUNCTION("""COMPUTED_VALUE"""),122603.193902499)</f>
        <v>122603.193902499</v>
      </c>
      <c r="D3586" s="22">
        <f ca="1">IFERROR(__xludf.DUMMYFUNCTION("""COMPUTED_VALUE"""),381073.35381)</f>
        <v>381073.35381</v>
      </c>
      <c r="E3586" s="22">
        <f ca="1">IFERROR(__xludf.DUMMYFUNCTION("""COMPUTED_VALUE"""),503676.5477125)</f>
        <v>503676.54771249997</v>
      </c>
      <c r="F3586" s="22">
        <f ca="1">IFERROR(__xludf.DUMMYFUNCTION("""COMPUTED_VALUE"""),122603.193902499)</f>
        <v>122603.193902499</v>
      </c>
      <c r="G3586" s="22">
        <f ca="1">IFERROR(__xludf.DUMMYFUNCTION("""COMPUTED_VALUE"""),0)</f>
        <v>0</v>
      </c>
      <c r="H3586" s="7">
        <f ca="1">IFERROR(__xludf.DUMMYFUNCTION("""COMPUTED_VALUE"""),503564.0477125)</f>
        <v>503564.04771249997</v>
      </c>
    </row>
    <row r="3587" spans="1:8" ht="13" x14ac:dyDescent="0.15">
      <c r="A3587" s="5" t="str">
        <f ca="1">IFERROR(__xludf.DUMMYFUNCTION("""COMPUTED_VALUE"""),"74356")</f>
        <v>74356</v>
      </c>
      <c r="B3587" s="51">
        <f ca="1">IFERROR(__xludf.DUMMYFUNCTION("""COMPUTED_VALUE"""),44638)</f>
        <v>44638</v>
      </c>
      <c r="C3587" s="22">
        <f ca="1">IFERROR(__xludf.DUMMYFUNCTION("""COMPUTED_VALUE"""),122603.193902499)</f>
        <v>122603.193902499</v>
      </c>
      <c r="D3587" s="22">
        <f ca="1">IFERROR(__xludf.DUMMYFUNCTION("""COMPUTED_VALUE"""),378730.25813)</f>
        <v>378730.25812999997</v>
      </c>
      <c r="E3587" s="22">
        <f ca="1">IFERROR(__xludf.DUMMYFUNCTION("""COMPUTED_VALUE"""),501333.452032499)</f>
        <v>501333.45203249902</v>
      </c>
      <c r="F3587" s="22">
        <f ca="1">IFERROR(__xludf.DUMMYFUNCTION("""COMPUTED_VALUE"""),122603.193902499)</f>
        <v>122603.193902499</v>
      </c>
      <c r="G3587" s="22">
        <f ca="1">IFERROR(__xludf.DUMMYFUNCTION("""COMPUTED_VALUE"""),0)</f>
        <v>0</v>
      </c>
      <c r="H3587" s="7">
        <f ca="1">IFERROR(__xludf.DUMMYFUNCTION("""COMPUTED_VALUE"""),501183.452032499)</f>
        <v>501183.45203249902</v>
      </c>
    </row>
    <row r="3588" spans="1:8" ht="13" x14ac:dyDescent="0.15">
      <c r="A3588" s="5" t="str">
        <f ca="1">IFERROR(__xludf.DUMMYFUNCTION("""COMPUTED_VALUE"""),"74356")</f>
        <v>74356</v>
      </c>
      <c r="B3588" s="51">
        <f ca="1">IFERROR(__xludf.DUMMYFUNCTION("""COMPUTED_VALUE"""),44639)</f>
        <v>44639</v>
      </c>
      <c r="C3588" s="22">
        <f ca="1">IFERROR(__xludf.DUMMYFUNCTION("""COMPUTED_VALUE"""),122603.193902499)</f>
        <v>122603.193902499</v>
      </c>
      <c r="D3588" s="22">
        <f ca="1">IFERROR(__xludf.DUMMYFUNCTION("""COMPUTED_VALUE"""),378730.25813)</f>
        <v>378730.25812999997</v>
      </c>
      <c r="E3588" s="22">
        <f ca="1">IFERROR(__xludf.DUMMYFUNCTION("""COMPUTED_VALUE"""),501333.452032499)</f>
        <v>501333.45203249902</v>
      </c>
      <c r="F3588" s="22">
        <f ca="1">IFERROR(__xludf.DUMMYFUNCTION("""COMPUTED_VALUE"""),122603.193902499)</f>
        <v>122603.193902499</v>
      </c>
      <c r="G3588" s="22">
        <f ca="1">IFERROR(__xludf.DUMMYFUNCTION("""COMPUTED_VALUE"""),0)</f>
        <v>0</v>
      </c>
      <c r="H3588" s="7">
        <f ca="1">IFERROR(__xludf.DUMMYFUNCTION("""COMPUTED_VALUE"""),501183.452032499)</f>
        <v>501183.45203249902</v>
      </c>
    </row>
    <row r="3589" spans="1:8" ht="13" x14ac:dyDescent="0.15">
      <c r="A3589" s="5" t="str">
        <f ca="1">IFERROR(__xludf.DUMMYFUNCTION("""COMPUTED_VALUE"""),"74356")</f>
        <v>74356</v>
      </c>
      <c r="B3589" s="51">
        <f ca="1">IFERROR(__xludf.DUMMYFUNCTION("""COMPUTED_VALUE"""),44640)</f>
        <v>44640</v>
      </c>
      <c r="C3589" s="22">
        <f ca="1">IFERROR(__xludf.DUMMYFUNCTION("""COMPUTED_VALUE"""),122603.193902499)</f>
        <v>122603.193902499</v>
      </c>
      <c r="D3589" s="22">
        <f ca="1">IFERROR(__xludf.DUMMYFUNCTION("""COMPUTED_VALUE"""),378648.524863)</f>
        <v>378648.52486300003</v>
      </c>
      <c r="E3589" s="22">
        <f ca="1">IFERROR(__xludf.DUMMYFUNCTION("""COMPUTED_VALUE"""),501251.7187655)</f>
        <v>501251.7187655</v>
      </c>
      <c r="F3589" s="22">
        <f ca="1">IFERROR(__xludf.DUMMYFUNCTION("""COMPUTED_VALUE"""),122603.193902499)</f>
        <v>122603.193902499</v>
      </c>
      <c r="G3589" s="22">
        <f ca="1">IFERROR(__xludf.DUMMYFUNCTION("""COMPUTED_VALUE"""),0)</f>
        <v>0</v>
      </c>
      <c r="H3589" s="7">
        <f ca="1">IFERROR(__xludf.DUMMYFUNCTION("""COMPUTED_VALUE"""),501101.7187655)</f>
        <v>501101.7187655</v>
      </c>
    </row>
    <row r="3590" spans="1:8" ht="13" x14ac:dyDescent="0.15">
      <c r="A3590" s="5" t="str">
        <f ca="1">IFERROR(__xludf.DUMMYFUNCTION("""COMPUTED_VALUE"""),"74356")</f>
        <v>74356</v>
      </c>
      <c r="B3590" s="51">
        <f ca="1">IFERROR(__xludf.DUMMYFUNCTION("""COMPUTED_VALUE"""),44641)</f>
        <v>44641</v>
      </c>
      <c r="C3590" s="22">
        <f ca="1">IFERROR(__xludf.DUMMYFUNCTION("""COMPUTED_VALUE"""),122603.193902499)</f>
        <v>122603.193902499</v>
      </c>
      <c r="D3590" s="22">
        <f ca="1">IFERROR(__xludf.DUMMYFUNCTION("""COMPUTED_VALUE"""),386637.05858)</f>
        <v>386637.05858000001</v>
      </c>
      <c r="E3590" s="22">
        <f ca="1">IFERROR(__xludf.DUMMYFUNCTION("""COMPUTED_VALUE"""),509240.2524825)</f>
        <v>509240.25248249999</v>
      </c>
      <c r="F3590" s="22">
        <f ca="1">IFERROR(__xludf.DUMMYFUNCTION("""COMPUTED_VALUE"""),122603.193902499)</f>
        <v>122603.193902499</v>
      </c>
      <c r="G3590" s="22">
        <f ca="1">IFERROR(__xludf.DUMMYFUNCTION("""COMPUTED_VALUE"""),0)</f>
        <v>0</v>
      </c>
      <c r="H3590" s="7">
        <f ca="1">IFERROR(__xludf.DUMMYFUNCTION("""COMPUTED_VALUE"""),509120.2524825)</f>
        <v>509120.25248249999</v>
      </c>
    </row>
    <row r="3591" spans="1:8" ht="13" x14ac:dyDescent="0.15">
      <c r="A3591" s="5" t="str">
        <f ca="1">IFERROR(__xludf.DUMMYFUNCTION("""COMPUTED_VALUE"""),"74356")</f>
        <v>74356</v>
      </c>
      <c r="B3591" s="51">
        <f ca="1">IFERROR(__xludf.DUMMYFUNCTION("""COMPUTED_VALUE"""),44642)</f>
        <v>44642</v>
      </c>
      <c r="C3591" s="22">
        <f ca="1">IFERROR(__xludf.DUMMYFUNCTION("""COMPUTED_VALUE"""),122603.193902499)</f>
        <v>122603.193902499</v>
      </c>
      <c r="D3591" s="22">
        <f ca="1">IFERROR(__xludf.DUMMYFUNCTION("""COMPUTED_VALUE"""),387066.34589)</f>
        <v>387066.34589</v>
      </c>
      <c r="E3591" s="22">
        <f ca="1">IFERROR(__xludf.DUMMYFUNCTION("""COMPUTED_VALUE"""),509669.539792499)</f>
        <v>509669.53979249898</v>
      </c>
      <c r="F3591" s="22">
        <f ca="1">IFERROR(__xludf.DUMMYFUNCTION("""COMPUTED_VALUE"""),122603.193902499)</f>
        <v>122603.193902499</v>
      </c>
      <c r="G3591" s="22">
        <f ca="1">IFERROR(__xludf.DUMMYFUNCTION("""COMPUTED_VALUE"""),0)</f>
        <v>0</v>
      </c>
      <c r="H3591" s="7">
        <f ca="1">IFERROR(__xludf.DUMMYFUNCTION("""COMPUTED_VALUE"""),509519.539792499)</f>
        <v>509519.53979249898</v>
      </c>
    </row>
    <row r="3592" spans="1:8" ht="13" x14ac:dyDescent="0.15">
      <c r="A3592" s="5" t="str">
        <f ca="1">IFERROR(__xludf.DUMMYFUNCTION("""COMPUTED_VALUE"""),"74641")</f>
        <v>74641</v>
      </c>
      <c r="B3592" s="51">
        <f ca="1">IFERROR(__xludf.DUMMYFUNCTION("""COMPUTED_VALUE"""),44597)</f>
        <v>44597</v>
      </c>
      <c r="C3592" s="22">
        <f ca="1">IFERROR(__xludf.DUMMYFUNCTION("""COMPUTED_VALUE"""),500000)</f>
        <v>500000</v>
      </c>
      <c r="D3592" s="22">
        <f ca="1">IFERROR(__xludf.DUMMYFUNCTION("""COMPUTED_VALUE"""),0)</f>
        <v>0</v>
      </c>
      <c r="E3592" s="22">
        <f ca="1">IFERROR(__xludf.DUMMYFUNCTION("""COMPUTED_VALUE"""),500000)</f>
        <v>500000</v>
      </c>
      <c r="F3592" s="22">
        <f ca="1">IFERROR(__xludf.DUMMYFUNCTION("""COMPUTED_VALUE"""),500000)</f>
        <v>500000</v>
      </c>
      <c r="G3592" s="22">
        <f ca="1">IFERROR(__xludf.DUMMYFUNCTION("""COMPUTED_VALUE"""),0)</f>
        <v>0</v>
      </c>
      <c r="H3592" s="7">
        <f ca="1">IFERROR(__xludf.DUMMYFUNCTION("""COMPUTED_VALUE"""),500000)</f>
        <v>500000</v>
      </c>
    </row>
    <row r="3593" spans="1:8" ht="13" x14ac:dyDescent="0.15">
      <c r="A3593" s="5" t="str">
        <f ca="1">IFERROR(__xludf.DUMMYFUNCTION("""COMPUTED_VALUE"""),"74641")</f>
        <v>74641</v>
      </c>
      <c r="B3593" s="51">
        <f ca="1">IFERROR(__xludf.DUMMYFUNCTION("""COMPUTED_VALUE"""),44598)</f>
        <v>44598</v>
      </c>
      <c r="C3593" s="22">
        <f ca="1">IFERROR(__xludf.DUMMYFUNCTION("""COMPUTED_VALUE"""),500000)</f>
        <v>500000</v>
      </c>
      <c r="D3593" s="22">
        <f ca="1">IFERROR(__xludf.DUMMYFUNCTION("""COMPUTED_VALUE"""),0)</f>
        <v>0</v>
      </c>
      <c r="E3593" s="22">
        <f ca="1">IFERROR(__xludf.DUMMYFUNCTION("""COMPUTED_VALUE"""),500000)</f>
        <v>500000</v>
      </c>
      <c r="F3593" s="22">
        <f ca="1">IFERROR(__xludf.DUMMYFUNCTION("""COMPUTED_VALUE"""),500000)</f>
        <v>500000</v>
      </c>
      <c r="G3593" s="22">
        <f ca="1">IFERROR(__xludf.DUMMYFUNCTION("""COMPUTED_VALUE"""),0)</f>
        <v>0</v>
      </c>
      <c r="H3593" s="7">
        <f ca="1">IFERROR(__xludf.DUMMYFUNCTION("""COMPUTED_VALUE"""),500000)</f>
        <v>500000</v>
      </c>
    </row>
    <row r="3594" spans="1:8" ht="13" x14ac:dyDescent="0.15">
      <c r="A3594" s="5" t="str">
        <f ca="1">IFERROR(__xludf.DUMMYFUNCTION("""COMPUTED_VALUE"""),"74641")</f>
        <v>74641</v>
      </c>
      <c r="B3594" s="51">
        <f ca="1">IFERROR(__xludf.DUMMYFUNCTION("""COMPUTED_VALUE"""),44599)</f>
        <v>44599</v>
      </c>
      <c r="C3594" s="22">
        <f ca="1">IFERROR(__xludf.DUMMYFUNCTION("""COMPUTED_VALUE"""),500000)</f>
        <v>500000</v>
      </c>
      <c r="D3594" s="22">
        <f ca="1">IFERROR(__xludf.DUMMYFUNCTION("""COMPUTED_VALUE"""),0)</f>
        <v>0</v>
      </c>
      <c r="E3594" s="22">
        <f ca="1">IFERROR(__xludf.DUMMYFUNCTION("""COMPUTED_VALUE"""),500000)</f>
        <v>500000</v>
      </c>
      <c r="F3594" s="22">
        <f ca="1">IFERROR(__xludf.DUMMYFUNCTION("""COMPUTED_VALUE"""),500000)</f>
        <v>500000</v>
      </c>
      <c r="G3594" s="22">
        <f ca="1">IFERROR(__xludf.DUMMYFUNCTION("""COMPUTED_VALUE"""),0)</f>
        <v>0</v>
      </c>
      <c r="H3594" s="7">
        <f ca="1">IFERROR(__xludf.DUMMYFUNCTION("""COMPUTED_VALUE"""),500000)</f>
        <v>500000</v>
      </c>
    </row>
    <row r="3595" spans="1:8" ht="13" x14ac:dyDescent="0.15">
      <c r="A3595" s="5" t="str">
        <f ca="1">IFERROR(__xludf.DUMMYFUNCTION("""COMPUTED_VALUE"""),"74641")</f>
        <v>74641</v>
      </c>
      <c r="B3595" s="51">
        <f ca="1">IFERROR(__xludf.DUMMYFUNCTION("""COMPUTED_VALUE"""),44600)</f>
        <v>44600</v>
      </c>
      <c r="C3595" s="22">
        <f ca="1">IFERROR(__xludf.DUMMYFUNCTION("""COMPUTED_VALUE"""),500000)</f>
        <v>500000</v>
      </c>
      <c r="D3595" s="22">
        <f ca="1">IFERROR(__xludf.DUMMYFUNCTION("""COMPUTED_VALUE"""),0)</f>
        <v>0</v>
      </c>
      <c r="E3595" s="22">
        <f ca="1">IFERROR(__xludf.DUMMYFUNCTION("""COMPUTED_VALUE"""),500000)</f>
        <v>500000</v>
      </c>
      <c r="F3595" s="22">
        <f ca="1">IFERROR(__xludf.DUMMYFUNCTION("""COMPUTED_VALUE"""),500000)</f>
        <v>500000</v>
      </c>
      <c r="G3595" s="22">
        <f ca="1">IFERROR(__xludf.DUMMYFUNCTION("""COMPUTED_VALUE"""),0)</f>
        <v>0</v>
      </c>
      <c r="H3595" s="7">
        <f ca="1">IFERROR(__xludf.DUMMYFUNCTION("""COMPUTED_VALUE"""),500000)</f>
        <v>500000</v>
      </c>
    </row>
    <row r="3596" spans="1:8" ht="13" x14ac:dyDescent="0.15">
      <c r="A3596" s="5" t="str">
        <f ca="1">IFERROR(__xludf.DUMMYFUNCTION("""COMPUTED_VALUE"""),"74641")</f>
        <v>74641</v>
      </c>
      <c r="B3596" s="51">
        <f ca="1">IFERROR(__xludf.DUMMYFUNCTION("""COMPUTED_VALUE"""),44601)</f>
        <v>44601</v>
      </c>
      <c r="C3596" s="22">
        <f ca="1">IFERROR(__xludf.DUMMYFUNCTION("""COMPUTED_VALUE"""),500000)</f>
        <v>500000</v>
      </c>
      <c r="D3596" s="22">
        <f ca="1">IFERROR(__xludf.DUMMYFUNCTION("""COMPUTED_VALUE"""),0)</f>
        <v>0</v>
      </c>
      <c r="E3596" s="22">
        <f ca="1">IFERROR(__xludf.DUMMYFUNCTION("""COMPUTED_VALUE"""),500000)</f>
        <v>500000</v>
      </c>
      <c r="F3596" s="22">
        <f ca="1">IFERROR(__xludf.DUMMYFUNCTION("""COMPUTED_VALUE"""),500000)</f>
        <v>500000</v>
      </c>
      <c r="G3596" s="22">
        <f ca="1">IFERROR(__xludf.DUMMYFUNCTION("""COMPUTED_VALUE"""),0)</f>
        <v>0</v>
      </c>
      <c r="H3596" s="7">
        <f ca="1">IFERROR(__xludf.DUMMYFUNCTION("""COMPUTED_VALUE"""),500000)</f>
        <v>500000</v>
      </c>
    </row>
    <row r="3597" spans="1:8" ht="13" x14ac:dyDescent="0.15">
      <c r="A3597" s="5" t="str">
        <f ca="1">IFERROR(__xludf.DUMMYFUNCTION("""COMPUTED_VALUE"""),"74641")</f>
        <v>74641</v>
      </c>
      <c r="B3597" s="51">
        <f ca="1">IFERROR(__xludf.DUMMYFUNCTION("""COMPUTED_VALUE"""),44602)</f>
        <v>44602</v>
      </c>
      <c r="C3597" s="22">
        <f ca="1">IFERROR(__xludf.DUMMYFUNCTION("""COMPUTED_VALUE"""),500000)</f>
        <v>500000</v>
      </c>
      <c r="D3597" s="22">
        <f ca="1">IFERROR(__xludf.DUMMYFUNCTION("""COMPUTED_VALUE"""),0)</f>
        <v>0</v>
      </c>
      <c r="E3597" s="22">
        <f ca="1">IFERROR(__xludf.DUMMYFUNCTION("""COMPUTED_VALUE"""),500000)</f>
        <v>500000</v>
      </c>
      <c r="F3597" s="22">
        <f ca="1">IFERROR(__xludf.DUMMYFUNCTION("""COMPUTED_VALUE"""),500000)</f>
        <v>500000</v>
      </c>
      <c r="G3597" s="22">
        <f ca="1">IFERROR(__xludf.DUMMYFUNCTION("""COMPUTED_VALUE"""),0)</f>
        <v>0</v>
      </c>
      <c r="H3597" s="7">
        <f ca="1">IFERROR(__xludf.DUMMYFUNCTION("""COMPUTED_VALUE"""),500000)</f>
        <v>500000</v>
      </c>
    </row>
    <row r="3598" spans="1:8" ht="13" x14ac:dyDescent="0.15">
      <c r="A3598" s="5" t="str">
        <f ca="1">IFERROR(__xludf.DUMMYFUNCTION("""COMPUTED_VALUE"""),"74641")</f>
        <v>74641</v>
      </c>
      <c r="B3598" s="51">
        <f ca="1">IFERROR(__xludf.DUMMYFUNCTION("""COMPUTED_VALUE"""),44603)</f>
        <v>44603</v>
      </c>
      <c r="C3598" s="22">
        <f ca="1">IFERROR(__xludf.DUMMYFUNCTION("""COMPUTED_VALUE"""),500000)</f>
        <v>500000</v>
      </c>
      <c r="D3598" s="22">
        <f ca="1">IFERROR(__xludf.DUMMYFUNCTION("""COMPUTED_VALUE"""),0)</f>
        <v>0</v>
      </c>
      <c r="E3598" s="22">
        <f ca="1">IFERROR(__xludf.DUMMYFUNCTION("""COMPUTED_VALUE"""),500000)</f>
        <v>500000</v>
      </c>
      <c r="F3598" s="22">
        <f ca="1">IFERROR(__xludf.DUMMYFUNCTION("""COMPUTED_VALUE"""),500000)</f>
        <v>500000</v>
      </c>
      <c r="G3598" s="22">
        <f ca="1">IFERROR(__xludf.DUMMYFUNCTION("""COMPUTED_VALUE"""),0)</f>
        <v>0</v>
      </c>
      <c r="H3598" s="7">
        <f ca="1">IFERROR(__xludf.DUMMYFUNCTION("""COMPUTED_VALUE"""),500000)</f>
        <v>500000</v>
      </c>
    </row>
    <row r="3599" spans="1:8" ht="13" x14ac:dyDescent="0.15">
      <c r="A3599" s="5" t="str">
        <f ca="1">IFERROR(__xludf.DUMMYFUNCTION("""COMPUTED_VALUE"""),"74641")</f>
        <v>74641</v>
      </c>
      <c r="B3599" s="51">
        <f ca="1">IFERROR(__xludf.DUMMYFUNCTION("""COMPUTED_VALUE"""),44604)</f>
        <v>44604</v>
      </c>
      <c r="C3599" s="22">
        <f ca="1">IFERROR(__xludf.DUMMYFUNCTION("""COMPUTED_VALUE"""),500000)</f>
        <v>500000</v>
      </c>
      <c r="D3599" s="22">
        <f ca="1">IFERROR(__xludf.DUMMYFUNCTION("""COMPUTED_VALUE"""),0)</f>
        <v>0</v>
      </c>
      <c r="E3599" s="22">
        <f ca="1">IFERROR(__xludf.DUMMYFUNCTION("""COMPUTED_VALUE"""),500000)</f>
        <v>500000</v>
      </c>
      <c r="F3599" s="22">
        <f ca="1">IFERROR(__xludf.DUMMYFUNCTION("""COMPUTED_VALUE"""),500000)</f>
        <v>500000</v>
      </c>
      <c r="G3599" s="22">
        <f ca="1">IFERROR(__xludf.DUMMYFUNCTION("""COMPUTED_VALUE"""),0)</f>
        <v>0</v>
      </c>
      <c r="H3599" s="7">
        <f ca="1">IFERROR(__xludf.DUMMYFUNCTION("""COMPUTED_VALUE"""),500000)</f>
        <v>500000</v>
      </c>
    </row>
    <row r="3600" spans="1:8" ht="13" x14ac:dyDescent="0.15">
      <c r="A3600" s="5" t="str">
        <f ca="1">IFERROR(__xludf.DUMMYFUNCTION("""COMPUTED_VALUE"""),"74641")</f>
        <v>74641</v>
      </c>
      <c r="B3600" s="51">
        <f ca="1">IFERROR(__xludf.DUMMYFUNCTION("""COMPUTED_VALUE"""),44605)</f>
        <v>44605</v>
      </c>
      <c r="C3600" s="22">
        <f ca="1">IFERROR(__xludf.DUMMYFUNCTION("""COMPUTED_VALUE"""),500000)</f>
        <v>500000</v>
      </c>
      <c r="D3600" s="22">
        <f ca="1">IFERROR(__xludf.DUMMYFUNCTION("""COMPUTED_VALUE"""),0)</f>
        <v>0</v>
      </c>
      <c r="E3600" s="22">
        <f ca="1">IFERROR(__xludf.DUMMYFUNCTION("""COMPUTED_VALUE"""),500000)</f>
        <v>500000</v>
      </c>
      <c r="F3600" s="22">
        <f ca="1">IFERROR(__xludf.DUMMYFUNCTION("""COMPUTED_VALUE"""),500000)</f>
        <v>500000</v>
      </c>
      <c r="G3600" s="22">
        <f ca="1">IFERROR(__xludf.DUMMYFUNCTION("""COMPUTED_VALUE"""),0)</f>
        <v>0</v>
      </c>
      <c r="H3600" s="7">
        <f ca="1">IFERROR(__xludf.DUMMYFUNCTION("""COMPUTED_VALUE"""),500000)</f>
        <v>500000</v>
      </c>
    </row>
    <row r="3601" spans="1:8" ht="13" x14ac:dyDescent="0.15">
      <c r="A3601" s="5" t="str">
        <f ca="1">IFERROR(__xludf.DUMMYFUNCTION("""COMPUTED_VALUE"""),"74641")</f>
        <v>74641</v>
      </c>
      <c r="B3601" s="51">
        <f ca="1">IFERROR(__xludf.DUMMYFUNCTION("""COMPUTED_VALUE"""),44606)</f>
        <v>44606</v>
      </c>
      <c r="C3601" s="22">
        <f ca="1">IFERROR(__xludf.DUMMYFUNCTION("""COMPUTED_VALUE"""),491862.29159)</f>
        <v>491862.29158999998</v>
      </c>
      <c r="D3601" s="22">
        <f ca="1">IFERROR(__xludf.DUMMYFUNCTION("""COMPUTED_VALUE"""),8137.70841)</f>
        <v>8137.7084100000002</v>
      </c>
      <c r="E3601" s="22">
        <f ca="1">IFERROR(__xludf.DUMMYFUNCTION("""COMPUTED_VALUE"""),500000)</f>
        <v>500000</v>
      </c>
      <c r="F3601" s="22">
        <f ca="1">IFERROR(__xludf.DUMMYFUNCTION("""COMPUTED_VALUE"""),491862.29159)</f>
        <v>491862.29158999998</v>
      </c>
      <c r="G3601" s="22">
        <f ca="1">IFERROR(__xludf.DUMMYFUNCTION("""COMPUTED_VALUE"""),0)</f>
        <v>0</v>
      </c>
      <c r="H3601" s="7">
        <f ca="1">IFERROR(__xludf.DUMMYFUNCTION("""COMPUTED_VALUE"""),500000)</f>
        <v>500000</v>
      </c>
    </row>
    <row r="3602" spans="1:8" ht="13" x14ac:dyDescent="0.15">
      <c r="A3602" s="5" t="str">
        <f ca="1">IFERROR(__xludf.DUMMYFUNCTION("""COMPUTED_VALUE"""),"74641")</f>
        <v>74641</v>
      </c>
      <c r="B3602" s="51">
        <f ca="1">IFERROR(__xludf.DUMMYFUNCTION("""COMPUTED_VALUE"""),44607)</f>
        <v>44607</v>
      </c>
      <c r="C3602" s="22">
        <f ca="1">IFERROR(__xludf.DUMMYFUNCTION("""COMPUTED_VALUE"""),491862.29159)</f>
        <v>491862.29158999998</v>
      </c>
      <c r="D3602" s="22">
        <f ca="1">IFERROR(__xludf.DUMMYFUNCTION("""COMPUTED_VALUE"""),8137.70841)</f>
        <v>8137.7084100000002</v>
      </c>
      <c r="E3602" s="22">
        <f ca="1">IFERROR(__xludf.DUMMYFUNCTION("""COMPUTED_VALUE"""),500000)</f>
        <v>500000</v>
      </c>
      <c r="F3602" s="22">
        <f ca="1">IFERROR(__xludf.DUMMYFUNCTION("""COMPUTED_VALUE"""),491862.29159)</f>
        <v>491862.29158999998</v>
      </c>
      <c r="G3602" s="22">
        <f ca="1">IFERROR(__xludf.DUMMYFUNCTION("""COMPUTED_VALUE"""),0)</f>
        <v>0</v>
      </c>
      <c r="H3602" s="7">
        <f ca="1">IFERROR(__xludf.DUMMYFUNCTION("""COMPUTED_VALUE"""),499735.74439)</f>
        <v>499735.74439000001</v>
      </c>
    </row>
    <row r="3603" spans="1:8" ht="13" x14ac:dyDescent="0.15">
      <c r="A3603" s="5" t="str">
        <f ca="1">IFERROR(__xludf.DUMMYFUNCTION("""COMPUTED_VALUE"""),"74641")</f>
        <v>74641</v>
      </c>
      <c r="B3603" s="51">
        <f ca="1">IFERROR(__xludf.DUMMYFUNCTION("""COMPUTED_VALUE"""),44608)</f>
        <v>44608</v>
      </c>
      <c r="C3603" s="22">
        <f ca="1">IFERROR(__xludf.DUMMYFUNCTION("""COMPUTED_VALUE"""),491862.29159)</f>
        <v>491862.29158999998</v>
      </c>
      <c r="D3603" s="22">
        <f ca="1">IFERROR(__xludf.DUMMYFUNCTION("""COMPUTED_VALUE"""),8137.70841)</f>
        <v>8137.7084100000002</v>
      </c>
      <c r="E3603" s="22">
        <f ca="1">IFERROR(__xludf.DUMMYFUNCTION("""COMPUTED_VALUE"""),500000)</f>
        <v>500000</v>
      </c>
      <c r="F3603" s="22">
        <f ca="1">IFERROR(__xludf.DUMMYFUNCTION("""COMPUTED_VALUE"""),491862.29159)</f>
        <v>491862.29158999998</v>
      </c>
      <c r="G3603" s="22">
        <f ca="1">IFERROR(__xludf.DUMMYFUNCTION("""COMPUTED_VALUE"""),0)</f>
        <v>0</v>
      </c>
      <c r="H3603" s="7">
        <f ca="1">IFERROR(__xludf.DUMMYFUNCTION("""COMPUTED_VALUE"""),499974.81883)</f>
        <v>499974.81883</v>
      </c>
    </row>
    <row r="3604" spans="1:8" ht="13" x14ac:dyDescent="0.15">
      <c r="A3604" s="5" t="str">
        <f ca="1">IFERROR(__xludf.DUMMYFUNCTION("""COMPUTED_VALUE"""),"74641")</f>
        <v>74641</v>
      </c>
      <c r="B3604" s="51">
        <f ca="1">IFERROR(__xludf.DUMMYFUNCTION("""COMPUTED_VALUE"""),44609)</f>
        <v>44609</v>
      </c>
      <c r="C3604" s="22">
        <f ca="1">IFERROR(__xludf.DUMMYFUNCTION("""COMPUTED_VALUE"""),491862.29159)</f>
        <v>491862.29158999998</v>
      </c>
      <c r="D3604" s="22">
        <f ca="1">IFERROR(__xludf.DUMMYFUNCTION("""COMPUTED_VALUE"""),8137.70841)</f>
        <v>8137.7084100000002</v>
      </c>
      <c r="E3604" s="22">
        <f ca="1">IFERROR(__xludf.DUMMYFUNCTION("""COMPUTED_VALUE"""),500000)</f>
        <v>500000</v>
      </c>
      <c r="F3604" s="22">
        <f ca="1">IFERROR(__xludf.DUMMYFUNCTION("""COMPUTED_VALUE"""),491862.29159)</f>
        <v>491862.29158999998</v>
      </c>
      <c r="G3604" s="22">
        <f ca="1">IFERROR(__xludf.DUMMYFUNCTION("""COMPUTED_VALUE"""),0)</f>
        <v>0</v>
      </c>
      <c r="H3604" s="7">
        <f ca="1">IFERROR(__xludf.DUMMYFUNCTION("""COMPUTED_VALUE"""),499626.65825)</f>
        <v>499626.65824999998</v>
      </c>
    </row>
    <row r="3605" spans="1:8" ht="13" x14ac:dyDescent="0.15">
      <c r="A3605" s="5" t="str">
        <f ca="1">IFERROR(__xludf.DUMMYFUNCTION("""COMPUTED_VALUE"""),"74641")</f>
        <v>74641</v>
      </c>
      <c r="B3605" s="51">
        <f ca="1">IFERROR(__xludf.DUMMYFUNCTION("""COMPUTED_VALUE"""),44610)</f>
        <v>44610</v>
      </c>
      <c r="C3605" s="22">
        <f ca="1">IFERROR(__xludf.DUMMYFUNCTION("""COMPUTED_VALUE"""),491862.29159)</f>
        <v>491862.29158999998</v>
      </c>
      <c r="D3605" s="22">
        <f ca="1">IFERROR(__xludf.DUMMYFUNCTION("""COMPUTED_VALUE"""),8137.70841)</f>
        <v>8137.7084100000002</v>
      </c>
      <c r="E3605" s="22">
        <f ca="1">IFERROR(__xludf.DUMMYFUNCTION("""COMPUTED_VALUE"""),500000)</f>
        <v>500000</v>
      </c>
      <c r="F3605" s="22">
        <f ca="1">IFERROR(__xludf.DUMMYFUNCTION("""COMPUTED_VALUE"""),491862.29159)</f>
        <v>491862.29158999998</v>
      </c>
      <c r="G3605" s="22">
        <f ca="1">IFERROR(__xludf.DUMMYFUNCTION("""COMPUTED_VALUE"""),0)</f>
        <v>0</v>
      </c>
      <c r="H3605" s="7">
        <f ca="1">IFERROR(__xludf.DUMMYFUNCTION("""COMPUTED_VALUE"""),499480.328149999)</f>
        <v>499480.32814999903</v>
      </c>
    </row>
    <row r="3606" spans="1:8" ht="13" x14ac:dyDescent="0.15">
      <c r="A3606" s="5" t="str">
        <f ca="1">IFERROR(__xludf.DUMMYFUNCTION("""COMPUTED_VALUE"""),"74641")</f>
        <v>74641</v>
      </c>
      <c r="B3606" s="51">
        <f ca="1">IFERROR(__xludf.DUMMYFUNCTION("""COMPUTED_VALUE"""),44611)</f>
        <v>44611</v>
      </c>
      <c r="C3606" s="22">
        <f ca="1">IFERROR(__xludf.DUMMYFUNCTION("""COMPUTED_VALUE"""),491862.29159)</f>
        <v>491862.29158999998</v>
      </c>
      <c r="D3606" s="22">
        <f ca="1">IFERROR(__xludf.DUMMYFUNCTION("""COMPUTED_VALUE"""),8137.70841)</f>
        <v>8137.7084100000002</v>
      </c>
      <c r="E3606" s="22">
        <f ca="1">IFERROR(__xludf.DUMMYFUNCTION("""COMPUTED_VALUE"""),500000)</f>
        <v>500000</v>
      </c>
      <c r="F3606" s="22">
        <f ca="1">IFERROR(__xludf.DUMMYFUNCTION("""COMPUTED_VALUE"""),491862.29159)</f>
        <v>491862.29158999998</v>
      </c>
      <c r="G3606" s="22">
        <f ca="1">IFERROR(__xludf.DUMMYFUNCTION("""COMPUTED_VALUE"""),0)</f>
        <v>0</v>
      </c>
      <c r="H3606" s="7">
        <f ca="1">IFERROR(__xludf.DUMMYFUNCTION("""COMPUTED_VALUE"""),499480.328149999)</f>
        <v>499480.32814999903</v>
      </c>
    </row>
    <row r="3607" spans="1:8" ht="13" x14ac:dyDescent="0.15">
      <c r="A3607" s="5" t="str">
        <f ca="1">IFERROR(__xludf.DUMMYFUNCTION("""COMPUTED_VALUE"""),"74641")</f>
        <v>74641</v>
      </c>
      <c r="B3607" s="51">
        <f ca="1">IFERROR(__xludf.DUMMYFUNCTION("""COMPUTED_VALUE"""),44612)</f>
        <v>44612</v>
      </c>
      <c r="C3607" s="22">
        <f ca="1">IFERROR(__xludf.DUMMYFUNCTION("""COMPUTED_VALUE"""),491862.29159)</f>
        <v>491862.29158999998</v>
      </c>
      <c r="D3607" s="22">
        <f ca="1">IFERROR(__xludf.DUMMYFUNCTION("""COMPUTED_VALUE"""),8137.70841)</f>
        <v>8137.7084100000002</v>
      </c>
      <c r="E3607" s="22">
        <f ca="1">IFERROR(__xludf.DUMMYFUNCTION("""COMPUTED_VALUE"""),500000)</f>
        <v>500000</v>
      </c>
      <c r="F3607" s="22">
        <f ca="1">IFERROR(__xludf.DUMMYFUNCTION("""COMPUTED_VALUE"""),491862.29159)</f>
        <v>491862.29158999998</v>
      </c>
      <c r="G3607" s="22">
        <f ca="1">IFERROR(__xludf.DUMMYFUNCTION("""COMPUTED_VALUE"""),0)</f>
        <v>0</v>
      </c>
      <c r="H3607" s="7">
        <f ca="1">IFERROR(__xludf.DUMMYFUNCTION("""COMPUTED_VALUE"""),499478.60393)</f>
        <v>499478.60392999998</v>
      </c>
    </row>
    <row r="3608" spans="1:8" ht="13" x14ac:dyDescent="0.15">
      <c r="A3608" s="5" t="str">
        <f ca="1">IFERROR(__xludf.DUMMYFUNCTION("""COMPUTED_VALUE"""),"74641")</f>
        <v>74641</v>
      </c>
      <c r="B3608" s="51">
        <f ca="1">IFERROR(__xludf.DUMMYFUNCTION("""COMPUTED_VALUE"""),44613)</f>
        <v>44613</v>
      </c>
      <c r="C3608" s="22">
        <f ca="1">IFERROR(__xludf.DUMMYFUNCTION("""COMPUTED_VALUE"""),491862.29159)</f>
        <v>491862.29158999998</v>
      </c>
      <c r="D3608" s="22">
        <f ca="1">IFERROR(__xludf.DUMMYFUNCTION("""COMPUTED_VALUE"""),7658.42475999999)</f>
        <v>7658.4247599999899</v>
      </c>
      <c r="E3608" s="22">
        <f ca="1">IFERROR(__xludf.DUMMYFUNCTION("""COMPUTED_VALUE"""),499520.71635)</f>
        <v>499520.71635</v>
      </c>
      <c r="F3608" s="22">
        <f ca="1">IFERROR(__xludf.DUMMYFUNCTION("""COMPUTED_VALUE"""),491862.29159)</f>
        <v>491862.29158999998</v>
      </c>
      <c r="G3608" s="22">
        <f ca="1">IFERROR(__xludf.DUMMYFUNCTION("""COMPUTED_VALUE"""),0)</f>
        <v>0</v>
      </c>
      <c r="H3608" s="7">
        <f ca="1">IFERROR(__xludf.DUMMYFUNCTION("""COMPUTED_VALUE"""),499520.71635)</f>
        <v>499520.71635</v>
      </c>
    </row>
    <row r="3609" spans="1:8" ht="13" x14ac:dyDescent="0.15">
      <c r="A3609" s="5" t="str">
        <f ca="1">IFERROR(__xludf.DUMMYFUNCTION("""COMPUTED_VALUE"""),"74641")</f>
        <v>74641</v>
      </c>
      <c r="B3609" s="51">
        <f ca="1">IFERROR(__xludf.DUMMYFUNCTION("""COMPUTED_VALUE"""),44614)</f>
        <v>44614</v>
      </c>
      <c r="C3609" s="22">
        <f ca="1">IFERROR(__xludf.DUMMYFUNCTION("""COMPUTED_VALUE"""),491862.29159)</f>
        <v>491862.29158999998</v>
      </c>
      <c r="D3609" s="22">
        <f ca="1">IFERROR(__xludf.DUMMYFUNCTION("""COMPUTED_VALUE"""),7363.11144)</f>
        <v>7363.1114399999997</v>
      </c>
      <c r="E3609" s="22">
        <f ca="1">IFERROR(__xludf.DUMMYFUNCTION("""COMPUTED_VALUE"""),499225.40303)</f>
        <v>499225.40302999999</v>
      </c>
      <c r="F3609" s="22">
        <f ca="1">IFERROR(__xludf.DUMMYFUNCTION("""COMPUTED_VALUE"""),491862.29159)</f>
        <v>491862.29158999998</v>
      </c>
      <c r="G3609" s="22">
        <f ca="1">IFERROR(__xludf.DUMMYFUNCTION("""COMPUTED_VALUE"""),0)</f>
        <v>0</v>
      </c>
      <c r="H3609" s="7">
        <f ca="1">IFERROR(__xludf.DUMMYFUNCTION("""COMPUTED_VALUE"""),499225.40303)</f>
        <v>499225.40302999999</v>
      </c>
    </row>
    <row r="3610" spans="1:8" ht="13" x14ac:dyDescent="0.15">
      <c r="A3610" s="5" t="str">
        <f ca="1">IFERROR(__xludf.DUMMYFUNCTION("""COMPUTED_VALUE"""),"74641")</f>
        <v>74641</v>
      </c>
      <c r="B3610" s="51">
        <f ca="1">IFERROR(__xludf.DUMMYFUNCTION("""COMPUTED_VALUE"""),44615)</f>
        <v>44615</v>
      </c>
      <c r="C3610" s="22">
        <f ca="1">IFERROR(__xludf.DUMMYFUNCTION("""COMPUTED_VALUE"""),491862.29159)</f>
        <v>491862.29158999998</v>
      </c>
      <c r="D3610" s="22">
        <f ca="1">IFERROR(__xludf.DUMMYFUNCTION("""COMPUTED_VALUE"""),7575.33753)</f>
        <v>7575.3375299999998</v>
      </c>
      <c r="E3610" s="22">
        <f ca="1">IFERROR(__xludf.DUMMYFUNCTION("""COMPUTED_VALUE"""),499437.62912)</f>
        <v>499437.62912</v>
      </c>
      <c r="F3610" s="22">
        <f ca="1">IFERROR(__xludf.DUMMYFUNCTION("""COMPUTED_VALUE"""),491862.29159)</f>
        <v>491862.29158999998</v>
      </c>
      <c r="G3610" s="22">
        <f ca="1">IFERROR(__xludf.DUMMYFUNCTION("""COMPUTED_VALUE"""),0)</f>
        <v>0</v>
      </c>
      <c r="H3610" s="7">
        <f ca="1">IFERROR(__xludf.DUMMYFUNCTION("""COMPUTED_VALUE"""),499437.62912)</f>
        <v>499437.62912</v>
      </c>
    </row>
    <row r="3611" spans="1:8" ht="13" x14ac:dyDescent="0.15">
      <c r="A3611" s="5" t="str">
        <f ca="1">IFERROR(__xludf.DUMMYFUNCTION("""COMPUTED_VALUE"""),"74641")</f>
        <v>74641</v>
      </c>
      <c r="B3611" s="51">
        <f ca="1">IFERROR(__xludf.DUMMYFUNCTION("""COMPUTED_VALUE"""),44616)</f>
        <v>44616</v>
      </c>
      <c r="C3611" s="22">
        <f ca="1">IFERROR(__xludf.DUMMYFUNCTION("""COMPUTED_VALUE"""),491862.29159)</f>
        <v>491862.29158999998</v>
      </c>
      <c r="D3611" s="22">
        <f ca="1">IFERROR(__xludf.DUMMYFUNCTION("""COMPUTED_VALUE"""),7080.27852)</f>
        <v>7080.2785199999998</v>
      </c>
      <c r="E3611" s="22">
        <f ca="1">IFERROR(__xludf.DUMMYFUNCTION("""COMPUTED_VALUE"""),498942.57011)</f>
        <v>498942.57010999997</v>
      </c>
      <c r="F3611" s="22">
        <f ca="1">IFERROR(__xludf.DUMMYFUNCTION("""COMPUTED_VALUE"""),491862.29159)</f>
        <v>491862.29158999998</v>
      </c>
      <c r="G3611" s="22">
        <f ca="1">IFERROR(__xludf.DUMMYFUNCTION("""COMPUTED_VALUE"""),0)</f>
        <v>0</v>
      </c>
      <c r="H3611" s="7">
        <f ca="1">IFERROR(__xludf.DUMMYFUNCTION("""COMPUTED_VALUE"""),498942.57011)</f>
        <v>498942.57010999997</v>
      </c>
    </row>
    <row r="3612" spans="1:8" ht="13" x14ac:dyDescent="0.15">
      <c r="A3612" s="5" t="str">
        <f ca="1">IFERROR(__xludf.DUMMYFUNCTION("""COMPUTED_VALUE"""),"74641")</f>
        <v>74641</v>
      </c>
      <c r="B3612" s="51">
        <f ca="1">IFERROR(__xludf.DUMMYFUNCTION("""COMPUTED_VALUE"""),44617)</f>
        <v>44617</v>
      </c>
      <c r="C3612" s="22">
        <f ca="1">IFERROR(__xludf.DUMMYFUNCTION("""COMPUTED_VALUE"""),491862.29159)</f>
        <v>491862.29158999998</v>
      </c>
      <c r="D3612" s="22">
        <f ca="1">IFERROR(__xludf.DUMMYFUNCTION("""COMPUTED_VALUE"""),7067.8322)</f>
        <v>7067.8321999999998</v>
      </c>
      <c r="E3612" s="22">
        <f ca="1">IFERROR(__xludf.DUMMYFUNCTION("""COMPUTED_VALUE"""),498930.12379)</f>
        <v>498930.12378999998</v>
      </c>
      <c r="F3612" s="22">
        <f ca="1">IFERROR(__xludf.DUMMYFUNCTION("""COMPUTED_VALUE"""),491862.29159)</f>
        <v>491862.29158999998</v>
      </c>
      <c r="G3612" s="22">
        <f ca="1">IFERROR(__xludf.DUMMYFUNCTION("""COMPUTED_VALUE"""),0)</f>
        <v>0</v>
      </c>
      <c r="H3612" s="7">
        <f ca="1">IFERROR(__xludf.DUMMYFUNCTION("""COMPUTED_VALUE"""),498930.12379)</f>
        <v>498930.12378999998</v>
      </c>
    </row>
    <row r="3613" spans="1:8" ht="13" x14ac:dyDescent="0.15">
      <c r="A3613" s="5" t="str">
        <f ca="1">IFERROR(__xludf.DUMMYFUNCTION("""COMPUTED_VALUE"""),"74641")</f>
        <v>74641</v>
      </c>
      <c r="B3613" s="51">
        <f ca="1">IFERROR(__xludf.DUMMYFUNCTION("""COMPUTED_VALUE"""),44618)</f>
        <v>44618</v>
      </c>
      <c r="C3613" s="22">
        <f ca="1">IFERROR(__xludf.DUMMYFUNCTION("""COMPUTED_VALUE"""),491862.29159)</f>
        <v>491862.29158999998</v>
      </c>
      <c r="D3613" s="22">
        <f ca="1">IFERROR(__xludf.DUMMYFUNCTION("""COMPUTED_VALUE"""),7103.55931999999)</f>
        <v>7103.5593199999903</v>
      </c>
      <c r="E3613" s="22">
        <f ca="1">IFERROR(__xludf.DUMMYFUNCTION("""COMPUTED_VALUE"""),498965.85091)</f>
        <v>498965.85090999998</v>
      </c>
      <c r="F3613" s="22">
        <f ca="1">IFERROR(__xludf.DUMMYFUNCTION("""COMPUTED_VALUE"""),491862.29159)</f>
        <v>491862.29158999998</v>
      </c>
      <c r="G3613" s="22">
        <f ca="1">IFERROR(__xludf.DUMMYFUNCTION("""COMPUTED_VALUE"""),0)</f>
        <v>0</v>
      </c>
      <c r="H3613" s="7">
        <f ca="1">IFERROR(__xludf.DUMMYFUNCTION("""COMPUTED_VALUE"""),498965.85091)</f>
        <v>498965.85090999998</v>
      </c>
    </row>
    <row r="3614" spans="1:8" ht="13" x14ac:dyDescent="0.15">
      <c r="A3614" s="5" t="str">
        <f ca="1">IFERROR(__xludf.DUMMYFUNCTION("""COMPUTED_VALUE"""),"74641")</f>
        <v>74641</v>
      </c>
      <c r="B3614" s="51">
        <f ca="1">IFERROR(__xludf.DUMMYFUNCTION("""COMPUTED_VALUE"""),44619)</f>
        <v>44619</v>
      </c>
      <c r="C3614" s="22">
        <f ca="1">IFERROR(__xludf.DUMMYFUNCTION("""COMPUTED_VALUE"""),491862.29159)</f>
        <v>491862.29158999998</v>
      </c>
      <c r="D3614" s="22">
        <f ca="1">IFERROR(__xludf.DUMMYFUNCTION("""COMPUTED_VALUE"""),7048.81892)</f>
        <v>7048.8189199999997</v>
      </c>
      <c r="E3614" s="22">
        <f ca="1">IFERROR(__xludf.DUMMYFUNCTION("""COMPUTED_VALUE"""),498911.110509999)</f>
        <v>498911.11050999898</v>
      </c>
      <c r="F3614" s="22">
        <f ca="1">IFERROR(__xludf.DUMMYFUNCTION("""COMPUTED_VALUE"""),491862.29159)</f>
        <v>491862.29158999998</v>
      </c>
      <c r="G3614" s="22">
        <f ca="1">IFERROR(__xludf.DUMMYFUNCTION("""COMPUTED_VALUE"""),0)</f>
        <v>0</v>
      </c>
      <c r="H3614" s="7">
        <f ca="1">IFERROR(__xludf.DUMMYFUNCTION("""COMPUTED_VALUE"""),498911.110509999)</f>
        <v>498911.11050999898</v>
      </c>
    </row>
    <row r="3615" spans="1:8" ht="13" x14ac:dyDescent="0.15">
      <c r="A3615" s="5" t="str">
        <f ca="1">IFERROR(__xludf.DUMMYFUNCTION("""COMPUTED_VALUE"""),"74641")</f>
        <v>74641</v>
      </c>
      <c r="B3615" s="51">
        <f ca="1">IFERROR(__xludf.DUMMYFUNCTION("""COMPUTED_VALUE"""),44620)</f>
        <v>44620</v>
      </c>
      <c r="C3615" s="22">
        <f ca="1">IFERROR(__xludf.DUMMYFUNCTION("""COMPUTED_VALUE"""),491862.29159)</f>
        <v>491862.29158999998</v>
      </c>
      <c r="D3615" s="22">
        <f ca="1">IFERROR(__xludf.DUMMYFUNCTION("""COMPUTED_VALUE"""),7205.13672)</f>
        <v>7205.1367200000004</v>
      </c>
      <c r="E3615" s="22">
        <f ca="1">IFERROR(__xludf.DUMMYFUNCTION("""COMPUTED_VALUE"""),499067.42831)</f>
        <v>499067.42830999999</v>
      </c>
      <c r="F3615" s="22">
        <f ca="1">IFERROR(__xludf.DUMMYFUNCTION("""COMPUTED_VALUE"""),491862.29159)</f>
        <v>491862.29158999998</v>
      </c>
      <c r="G3615" s="22">
        <f ca="1">IFERROR(__xludf.DUMMYFUNCTION("""COMPUTED_VALUE"""),0)</f>
        <v>0</v>
      </c>
      <c r="H3615" s="7">
        <f ca="1">IFERROR(__xludf.DUMMYFUNCTION("""COMPUTED_VALUE"""),499067.42831)</f>
        <v>499067.42830999999</v>
      </c>
    </row>
    <row r="3616" spans="1:8" ht="13" x14ac:dyDescent="0.15">
      <c r="A3616" s="5" t="str">
        <f ca="1">IFERROR(__xludf.DUMMYFUNCTION("""COMPUTED_VALUE"""),"74641")</f>
        <v>74641</v>
      </c>
      <c r="B3616" s="51">
        <f ca="1">IFERROR(__xludf.DUMMYFUNCTION("""COMPUTED_VALUE"""),44621)</f>
        <v>44621</v>
      </c>
      <c r="C3616" s="22">
        <f ca="1">IFERROR(__xludf.DUMMYFUNCTION("""COMPUTED_VALUE"""),465236.863589999)</f>
        <v>465236.86358999897</v>
      </c>
      <c r="D3616" s="22">
        <f ca="1">IFERROR(__xludf.DUMMYFUNCTION("""COMPUTED_VALUE"""),33857.6372799999)</f>
        <v>33857.637279999901</v>
      </c>
      <c r="E3616" s="22">
        <f ca="1">IFERROR(__xludf.DUMMYFUNCTION("""COMPUTED_VALUE"""),499094.50087)</f>
        <v>499094.50086999999</v>
      </c>
      <c r="F3616" s="22">
        <f ca="1">IFERROR(__xludf.DUMMYFUNCTION("""COMPUTED_VALUE"""),465236.863589999)</f>
        <v>465236.86358999897</v>
      </c>
      <c r="G3616" s="22">
        <f ca="1">IFERROR(__xludf.DUMMYFUNCTION("""COMPUTED_VALUE"""),0)</f>
        <v>0</v>
      </c>
      <c r="H3616" s="7">
        <f ca="1">IFERROR(__xludf.DUMMYFUNCTION("""COMPUTED_VALUE"""),499094.50087)</f>
        <v>499094.50086999999</v>
      </c>
    </row>
    <row r="3617" spans="1:8" ht="13" x14ac:dyDescent="0.15">
      <c r="A3617" s="5" t="str">
        <f ca="1">IFERROR(__xludf.DUMMYFUNCTION("""COMPUTED_VALUE"""),"74641")</f>
        <v>74641</v>
      </c>
      <c r="B3617" s="51">
        <f ca="1">IFERROR(__xludf.DUMMYFUNCTION("""COMPUTED_VALUE"""),44622)</f>
        <v>44622</v>
      </c>
      <c r="C3617" s="22">
        <f ca="1">IFERROR(__xludf.DUMMYFUNCTION("""COMPUTED_VALUE"""),465236.863589999)</f>
        <v>465236.86358999897</v>
      </c>
      <c r="D3617" s="22">
        <f ca="1">IFERROR(__xludf.DUMMYFUNCTION("""COMPUTED_VALUE"""),33880.06121)</f>
        <v>33880.06121</v>
      </c>
      <c r="E3617" s="22">
        <f ca="1">IFERROR(__xludf.DUMMYFUNCTION("""COMPUTED_VALUE"""),499116.9248)</f>
        <v>499116.92479999998</v>
      </c>
      <c r="F3617" s="22">
        <f ca="1">IFERROR(__xludf.DUMMYFUNCTION("""COMPUTED_VALUE"""),465236.863589999)</f>
        <v>465236.86358999897</v>
      </c>
      <c r="G3617" s="22">
        <f ca="1">IFERROR(__xludf.DUMMYFUNCTION("""COMPUTED_VALUE"""),0)</f>
        <v>0</v>
      </c>
      <c r="H3617" s="7">
        <f ca="1">IFERROR(__xludf.DUMMYFUNCTION("""COMPUTED_VALUE"""),497759.124734999)</f>
        <v>497759.12473499897</v>
      </c>
    </row>
    <row r="3618" spans="1:8" ht="13" x14ac:dyDescent="0.15">
      <c r="A3618" s="5" t="str">
        <f ca="1">IFERROR(__xludf.DUMMYFUNCTION("""COMPUTED_VALUE"""),"74641")</f>
        <v>74641</v>
      </c>
      <c r="B3618" s="51">
        <f ca="1">IFERROR(__xludf.DUMMYFUNCTION("""COMPUTED_VALUE"""),44623)</f>
        <v>44623</v>
      </c>
      <c r="C3618" s="22">
        <f ca="1">IFERROR(__xludf.DUMMYFUNCTION("""COMPUTED_VALUE"""),465236.863589999)</f>
        <v>465236.86358999897</v>
      </c>
      <c r="D3618" s="22">
        <f ca="1">IFERROR(__xludf.DUMMYFUNCTION("""COMPUTED_VALUE"""),33793.45379)</f>
        <v>33793.45379</v>
      </c>
      <c r="E3618" s="22">
        <f ca="1">IFERROR(__xludf.DUMMYFUNCTION("""COMPUTED_VALUE"""),499030.317379999)</f>
        <v>499030.31737999897</v>
      </c>
      <c r="F3618" s="22">
        <f ca="1">IFERROR(__xludf.DUMMYFUNCTION("""COMPUTED_VALUE"""),465236.863589999)</f>
        <v>465236.86358999897</v>
      </c>
      <c r="G3618" s="22">
        <f ca="1">IFERROR(__xludf.DUMMYFUNCTION("""COMPUTED_VALUE"""),0)</f>
        <v>0</v>
      </c>
      <c r="H3618" s="7">
        <f ca="1">IFERROR(__xludf.DUMMYFUNCTION("""COMPUTED_VALUE"""),496564.478894999)</f>
        <v>496564.47889499902</v>
      </c>
    </row>
    <row r="3619" spans="1:8" ht="13" x14ac:dyDescent="0.15">
      <c r="A3619" s="5" t="str">
        <f ca="1">IFERROR(__xludf.DUMMYFUNCTION("""COMPUTED_VALUE"""),"74641")</f>
        <v>74641</v>
      </c>
      <c r="B3619" s="51">
        <f ca="1">IFERROR(__xludf.DUMMYFUNCTION("""COMPUTED_VALUE"""),44624)</f>
        <v>44624</v>
      </c>
      <c r="C3619" s="22">
        <f ca="1">IFERROR(__xludf.DUMMYFUNCTION("""COMPUTED_VALUE"""),465236.863589999)</f>
        <v>465236.86358999897</v>
      </c>
      <c r="D3619" s="22">
        <f ca="1">IFERROR(__xludf.DUMMYFUNCTION("""COMPUTED_VALUE"""),33905.06159)</f>
        <v>33905.061589999998</v>
      </c>
      <c r="E3619" s="22">
        <f ca="1">IFERROR(__xludf.DUMMYFUNCTION("""COMPUTED_VALUE"""),499141.925179999)</f>
        <v>499141.92517999897</v>
      </c>
      <c r="F3619" s="22">
        <f ca="1">IFERROR(__xludf.DUMMYFUNCTION("""COMPUTED_VALUE"""),465236.863589999)</f>
        <v>465236.86358999897</v>
      </c>
      <c r="G3619" s="22">
        <f ca="1">IFERROR(__xludf.DUMMYFUNCTION("""COMPUTED_VALUE"""),0)</f>
        <v>0</v>
      </c>
      <c r="H3619" s="7">
        <f ca="1">IFERROR(__xludf.DUMMYFUNCTION("""COMPUTED_VALUE"""),496166.036865)</f>
        <v>496166.03686499997</v>
      </c>
    </row>
    <row r="3620" spans="1:8" ht="13" x14ac:dyDescent="0.15">
      <c r="A3620" s="5" t="str">
        <f ca="1">IFERROR(__xludf.DUMMYFUNCTION("""COMPUTED_VALUE"""),"74641")</f>
        <v>74641</v>
      </c>
      <c r="B3620" s="51">
        <f ca="1">IFERROR(__xludf.DUMMYFUNCTION("""COMPUTED_VALUE"""),44625)</f>
        <v>44625</v>
      </c>
      <c r="C3620" s="22">
        <f ca="1">IFERROR(__xludf.DUMMYFUNCTION("""COMPUTED_VALUE"""),465236.863589999)</f>
        <v>465236.86358999897</v>
      </c>
      <c r="D3620" s="22">
        <f ca="1">IFERROR(__xludf.DUMMYFUNCTION("""COMPUTED_VALUE"""),33865.18629)</f>
        <v>33865.186289999998</v>
      </c>
      <c r="E3620" s="22">
        <f ca="1">IFERROR(__xludf.DUMMYFUNCTION("""COMPUTED_VALUE"""),499102.049879999)</f>
        <v>499102.04987999902</v>
      </c>
      <c r="F3620" s="22">
        <f ca="1">IFERROR(__xludf.DUMMYFUNCTION("""COMPUTED_VALUE"""),465236.863589999)</f>
        <v>465236.86358999897</v>
      </c>
      <c r="G3620" s="22">
        <f ca="1">IFERROR(__xludf.DUMMYFUNCTION("""COMPUTED_VALUE"""),0)</f>
        <v>0</v>
      </c>
      <c r="H3620" s="7">
        <f ca="1">IFERROR(__xludf.DUMMYFUNCTION("""COMPUTED_VALUE"""),495996.617614999)</f>
        <v>495996.61761499901</v>
      </c>
    </row>
    <row r="3621" spans="1:8" ht="13" x14ac:dyDescent="0.15">
      <c r="A3621" s="5" t="str">
        <f ca="1">IFERROR(__xludf.DUMMYFUNCTION("""COMPUTED_VALUE"""),"74641")</f>
        <v>74641</v>
      </c>
      <c r="B3621" s="51">
        <f ca="1">IFERROR(__xludf.DUMMYFUNCTION("""COMPUTED_VALUE"""),44626)</f>
        <v>44626</v>
      </c>
      <c r="C3621" s="22">
        <f ca="1">IFERROR(__xludf.DUMMYFUNCTION("""COMPUTED_VALUE"""),465236.863589999)</f>
        <v>465236.86358999897</v>
      </c>
      <c r="D3621" s="22">
        <f ca="1">IFERROR(__xludf.DUMMYFUNCTION("""COMPUTED_VALUE"""),33829.24551)</f>
        <v>33829.245510000001</v>
      </c>
      <c r="E3621" s="22">
        <f ca="1">IFERROR(__xludf.DUMMYFUNCTION("""COMPUTED_VALUE"""),499066.109099999)</f>
        <v>499066.10909999901</v>
      </c>
      <c r="F3621" s="22">
        <f ca="1">IFERROR(__xludf.DUMMYFUNCTION("""COMPUTED_VALUE"""),465236.863589999)</f>
        <v>465236.86358999897</v>
      </c>
      <c r="G3621" s="22">
        <f ca="1">IFERROR(__xludf.DUMMYFUNCTION("""COMPUTED_VALUE"""),0)</f>
        <v>0</v>
      </c>
      <c r="H3621" s="7">
        <f ca="1">IFERROR(__xludf.DUMMYFUNCTION("""COMPUTED_VALUE"""),495843.915064999)</f>
        <v>495843.91506499902</v>
      </c>
    </row>
    <row r="3622" spans="1:8" ht="13" x14ac:dyDescent="0.15">
      <c r="A3622" s="5" t="str">
        <f ca="1">IFERROR(__xludf.DUMMYFUNCTION("""COMPUTED_VALUE"""),"74641")</f>
        <v>74641</v>
      </c>
      <c r="B3622" s="51">
        <f ca="1">IFERROR(__xludf.DUMMYFUNCTION("""COMPUTED_VALUE"""),44627)</f>
        <v>44627</v>
      </c>
      <c r="C3622" s="22">
        <f ca="1">IFERROR(__xludf.DUMMYFUNCTION("""COMPUTED_VALUE"""),465236.863589999)</f>
        <v>465236.86358999897</v>
      </c>
      <c r="D3622" s="22">
        <f ca="1">IFERROR(__xludf.DUMMYFUNCTION("""COMPUTED_VALUE"""),33838.62465)</f>
        <v>33838.624649999998</v>
      </c>
      <c r="E3622" s="22">
        <f ca="1">IFERROR(__xludf.DUMMYFUNCTION("""COMPUTED_VALUE"""),499075.48824)</f>
        <v>499075.48823999998</v>
      </c>
      <c r="F3622" s="22">
        <f ca="1">IFERROR(__xludf.DUMMYFUNCTION("""COMPUTED_VALUE"""),465236.863589999)</f>
        <v>465236.86358999897</v>
      </c>
      <c r="G3622" s="22">
        <f ca="1">IFERROR(__xludf.DUMMYFUNCTION("""COMPUTED_VALUE"""),0)</f>
        <v>0</v>
      </c>
      <c r="H3622" s="7">
        <f ca="1">IFERROR(__xludf.DUMMYFUNCTION("""COMPUTED_VALUE"""),494819.63064)</f>
        <v>494819.63063999999</v>
      </c>
    </row>
    <row r="3623" spans="1:8" ht="13" x14ac:dyDescent="0.15">
      <c r="A3623" s="5" t="str">
        <f ca="1">IFERROR(__xludf.DUMMYFUNCTION("""COMPUTED_VALUE"""),"74641")</f>
        <v>74641</v>
      </c>
      <c r="B3623" s="51">
        <f ca="1">IFERROR(__xludf.DUMMYFUNCTION("""COMPUTED_VALUE"""),44628)</f>
        <v>44628</v>
      </c>
      <c r="C3623" s="22">
        <f ca="1">IFERROR(__xludf.DUMMYFUNCTION("""COMPUTED_VALUE"""),465236.863589999)</f>
        <v>465236.86358999897</v>
      </c>
      <c r="D3623" s="22">
        <f ca="1">IFERROR(__xludf.DUMMYFUNCTION("""COMPUTED_VALUE"""),33457.62032)</f>
        <v>33457.620320000002</v>
      </c>
      <c r="E3623" s="22">
        <f ca="1">IFERROR(__xludf.DUMMYFUNCTION("""COMPUTED_VALUE"""),498694.483909999)</f>
        <v>498694.48390999902</v>
      </c>
      <c r="F3623" s="22">
        <f ca="1">IFERROR(__xludf.DUMMYFUNCTION("""COMPUTED_VALUE"""),465236.863589999)</f>
        <v>465236.86358999897</v>
      </c>
      <c r="G3623" s="22">
        <f ca="1">IFERROR(__xludf.DUMMYFUNCTION("""COMPUTED_VALUE"""),0)</f>
        <v>0</v>
      </c>
      <c r="H3623" s="7">
        <f ca="1">IFERROR(__xludf.DUMMYFUNCTION("""COMPUTED_VALUE"""),494929.670429999)</f>
        <v>494929.67042999901</v>
      </c>
    </row>
    <row r="3624" spans="1:8" ht="13" x14ac:dyDescent="0.15">
      <c r="A3624" s="5" t="str">
        <f ca="1">IFERROR(__xludf.DUMMYFUNCTION("""COMPUTED_VALUE"""),"74641")</f>
        <v>74641</v>
      </c>
      <c r="B3624" s="51">
        <f ca="1">IFERROR(__xludf.DUMMYFUNCTION("""COMPUTED_VALUE"""),44629)</f>
        <v>44629</v>
      </c>
      <c r="C3624" s="22">
        <f ca="1">IFERROR(__xludf.DUMMYFUNCTION("""COMPUTED_VALUE"""),465236.863589999)</f>
        <v>465236.86358999897</v>
      </c>
      <c r="D3624" s="22">
        <f ca="1">IFERROR(__xludf.DUMMYFUNCTION("""COMPUTED_VALUE"""),33656.39896)</f>
        <v>33656.398959999999</v>
      </c>
      <c r="E3624" s="22">
        <f ca="1">IFERROR(__xludf.DUMMYFUNCTION("""COMPUTED_VALUE"""),498893.26255)</f>
        <v>498893.26254999998</v>
      </c>
      <c r="F3624" s="22">
        <f ca="1">IFERROR(__xludf.DUMMYFUNCTION("""COMPUTED_VALUE"""),465236.863589999)</f>
        <v>465236.86358999897</v>
      </c>
      <c r="G3624" s="22">
        <f ca="1">IFERROR(__xludf.DUMMYFUNCTION("""COMPUTED_VALUE"""),0)</f>
        <v>0</v>
      </c>
      <c r="H3624" s="7">
        <f ca="1">IFERROR(__xludf.DUMMYFUNCTION("""COMPUTED_VALUE"""),495446.519624999)</f>
        <v>495446.51962499903</v>
      </c>
    </row>
    <row r="3625" spans="1:8" ht="13" x14ac:dyDescent="0.15">
      <c r="A3625" s="5" t="str">
        <f ca="1">IFERROR(__xludf.DUMMYFUNCTION("""COMPUTED_VALUE"""),"74641")</f>
        <v>74641</v>
      </c>
      <c r="B3625" s="51">
        <f ca="1">IFERROR(__xludf.DUMMYFUNCTION("""COMPUTED_VALUE"""),44630)</f>
        <v>44630</v>
      </c>
      <c r="C3625" s="22">
        <f ca="1">IFERROR(__xludf.DUMMYFUNCTION("""COMPUTED_VALUE"""),465236.863589999)</f>
        <v>465236.86358999897</v>
      </c>
      <c r="D3625" s="22">
        <f ca="1">IFERROR(__xludf.DUMMYFUNCTION("""COMPUTED_VALUE"""),33703.59624)</f>
        <v>33703.596239999999</v>
      </c>
      <c r="E3625" s="22">
        <f ca="1">IFERROR(__xludf.DUMMYFUNCTION("""COMPUTED_VALUE"""),498940.459829999)</f>
        <v>498940.45982999902</v>
      </c>
      <c r="F3625" s="22">
        <f ca="1">IFERROR(__xludf.DUMMYFUNCTION("""COMPUTED_VALUE"""),465236.863589999)</f>
        <v>465236.86358999897</v>
      </c>
      <c r="G3625" s="22">
        <f ca="1">IFERROR(__xludf.DUMMYFUNCTION("""COMPUTED_VALUE"""),0)</f>
        <v>0</v>
      </c>
      <c r="H3625" s="7">
        <f ca="1">IFERROR(__xludf.DUMMYFUNCTION("""COMPUTED_VALUE"""),495306.704189999)</f>
        <v>495306.70418999903</v>
      </c>
    </row>
    <row r="3626" spans="1:8" ht="13" x14ac:dyDescent="0.15">
      <c r="A3626" s="5" t="str">
        <f ca="1">IFERROR(__xludf.DUMMYFUNCTION("""COMPUTED_VALUE"""),"74641")</f>
        <v>74641</v>
      </c>
      <c r="B3626" s="51">
        <f ca="1">IFERROR(__xludf.DUMMYFUNCTION("""COMPUTED_VALUE"""),44631)</f>
        <v>44631</v>
      </c>
      <c r="C3626" s="22">
        <f ca="1">IFERROR(__xludf.DUMMYFUNCTION("""COMPUTED_VALUE"""),465236.863589999)</f>
        <v>465236.86358999897</v>
      </c>
      <c r="D3626" s="22">
        <f ca="1">IFERROR(__xludf.DUMMYFUNCTION("""COMPUTED_VALUE"""),33724.7345)</f>
        <v>33724.734499999999</v>
      </c>
      <c r="E3626" s="22">
        <f ca="1">IFERROR(__xludf.DUMMYFUNCTION("""COMPUTED_VALUE"""),498961.59809)</f>
        <v>498961.59808999998</v>
      </c>
      <c r="F3626" s="22">
        <f ca="1">IFERROR(__xludf.DUMMYFUNCTION("""COMPUTED_VALUE"""),465236.863589999)</f>
        <v>465236.86358999897</v>
      </c>
      <c r="G3626" s="22">
        <f ca="1">IFERROR(__xludf.DUMMYFUNCTION("""COMPUTED_VALUE"""),0)</f>
        <v>0</v>
      </c>
      <c r="H3626" s="7">
        <f ca="1">IFERROR(__xludf.DUMMYFUNCTION("""COMPUTED_VALUE"""),494436.61989)</f>
        <v>494436.61988999997</v>
      </c>
    </row>
    <row r="3627" spans="1:8" ht="13" x14ac:dyDescent="0.15">
      <c r="A3627" s="5" t="str">
        <f ca="1">IFERROR(__xludf.DUMMYFUNCTION("""COMPUTED_VALUE"""),"74641")</f>
        <v>74641</v>
      </c>
      <c r="B3627" s="51">
        <f ca="1">IFERROR(__xludf.DUMMYFUNCTION("""COMPUTED_VALUE"""),44632)</f>
        <v>44632</v>
      </c>
      <c r="C3627" s="22">
        <f ca="1">IFERROR(__xludf.DUMMYFUNCTION("""COMPUTED_VALUE"""),465236.863589999)</f>
        <v>465236.86358999897</v>
      </c>
      <c r="D3627" s="22">
        <f ca="1">IFERROR(__xludf.DUMMYFUNCTION("""COMPUTED_VALUE"""),33724.7345)</f>
        <v>33724.734499999999</v>
      </c>
      <c r="E3627" s="22">
        <f ca="1">IFERROR(__xludf.DUMMYFUNCTION("""COMPUTED_VALUE"""),498961.59809)</f>
        <v>498961.59808999998</v>
      </c>
      <c r="F3627" s="22">
        <f ca="1">IFERROR(__xludf.DUMMYFUNCTION("""COMPUTED_VALUE"""),465236.863589999)</f>
        <v>465236.86358999897</v>
      </c>
      <c r="G3627" s="22">
        <f ca="1">IFERROR(__xludf.DUMMYFUNCTION("""COMPUTED_VALUE"""),0)</f>
        <v>0</v>
      </c>
      <c r="H3627" s="7">
        <f ca="1">IFERROR(__xludf.DUMMYFUNCTION("""COMPUTED_VALUE"""),494436.61989)</f>
        <v>494436.61988999997</v>
      </c>
    </row>
    <row r="3628" spans="1:8" ht="13" x14ac:dyDescent="0.15">
      <c r="A3628" s="5" t="str">
        <f ca="1">IFERROR(__xludf.DUMMYFUNCTION("""COMPUTED_VALUE"""),"74641")</f>
        <v>74641</v>
      </c>
      <c r="B3628" s="51">
        <f ca="1">IFERROR(__xludf.DUMMYFUNCTION("""COMPUTED_VALUE"""),44633)</f>
        <v>44633</v>
      </c>
      <c r="C3628" s="22">
        <f ca="1">IFERROR(__xludf.DUMMYFUNCTION("""COMPUTED_VALUE"""),465236.863589999)</f>
        <v>465236.86358999897</v>
      </c>
      <c r="D3628" s="22">
        <f ca="1">IFERROR(__xludf.DUMMYFUNCTION("""COMPUTED_VALUE"""),33743.2725)</f>
        <v>33743.272499999999</v>
      </c>
      <c r="E3628" s="22">
        <f ca="1">IFERROR(__xludf.DUMMYFUNCTION("""COMPUTED_VALUE"""),498980.13609)</f>
        <v>498980.13608999999</v>
      </c>
      <c r="F3628" s="22">
        <f ca="1">IFERROR(__xludf.DUMMYFUNCTION("""COMPUTED_VALUE"""),465236.863589999)</f>
        <v>465236.86358999897</v>
      </c>
      <c r="G3628" s="22">
        <f ca="1">IFERROR(__xludf.DUMMYFUNCTION("""COMPUTED_VALUE"""),0)</f>
        <v>0</v>
      </c>
      <c r="H3628" s="7">
        <f ca="1">IFERROR(__xludf.DUMMYFUNCTION("""COMPUTED_VALUE"""),494512.86749)</f>
        <v>494512.86748999998</v>
      </c>
    </row>
    <row r="3629" spans="1:8" ht="13" x14ac:dyDescent="0.15">
      <c r="A3629" s="5" t="str">
        <f ca="1">IFERROR(__xludf.DUMMYFUNCTION("""COMPUTED_VALUE"""),"74641")</f>
        <v>74641</v>
      </c>
      <c r="B3629" s="51">
        <f ca="1">IFERROR(__xludf.DUMMYFUNCTION("""COMPUTED_VALUE"""),44634)</f>
        <v>44634</v>
      </c>
      <c r="C3629" s="22">
        <f ca="1">IFERROR(__xludf.DUMMYFUNCTION("""COMPUTED_VALUE"""),465236.863589999)</f>
        <v>465236.86358999897</v>
      </c>
      <c r="D3629" s="22">
        <f ca="1">IFERROR(__xludf.DUMMYFUNCTION("""COMPUTED_VALUE"""),33652.53086)</f>
        <v>33652.530859999999</v>
      </c>
      <c r="E3629" s="22">
        <f ca="1">IFERROR(__xludf.DUMMYFUNCTION("""COMPUTED_VALUE"""),498889.394449999)</f>
        <v>498889.39444999897</v>
      </c>
      <c r="F3629" s="22">
        <f ca="1">IFERROR(__xludf.DUMMYFUNCTION("""COMPUTED_VALUE"""),465236.863589999)</f>
        <v>465236.86358999897</v>
      </c>
      <c r="G3629" s="22">
        <f ca="1">IFERROR(__xludf.DUMMYFUNCTION("""COMPUTED_VALUE"""),0)</f>
        <v>0</v>
      </c>
      <c r="H3629" s="7">
        <f ca="1">IFERROR(__xludf.DUMMYFUNCTION("""COMPUTED_VALUE"""),493369.888349999)</f>
        <v>493369.88834999898</v>
      </c>
    </row>
    <row r="3630" spans="1:8" ht="13" x14ac:dyDescent="0.15">
      <c r="A3630" s="5" t="str">
        <f ca="1">IFERROR(__xludf.DUMMYFUNCTION("""COMPUTED_VALUE"""),"74641")</f>
        <v>74641</v>
      </c>
      <c r="B3630" s="51">
        <f ca="1">IFERROR(__xludf.DUMMYFUNCTION("""COMPUTED_VALUE"""),44635)</f>
        <v>44635</v>
      </c>
      <c r="C3630" s="22">
        <f ca="1">IFERROR(__xludf.DUMMYFUNCTION("""COMPUTED_VALUE"""),465236.863589999)</f>
        <v>465236.86358999897</v>
      </c>
      <c r="D3630" s="22">
        <f ca="1">IFERROR(__xludf.DUMMYFUNCTION("""COMPUTED_VALUE"""),33224.16992)</f>
        <v>33224.16992</v>
      </c>
      <c r="E3630" s="22">
        <f ca="1">IFERROR(__xludf.DUMMYFUNCTION("""COMPUTED_VALUE"""),498461.03351)</f>
        <v>498461.03350999998</v>
      </c>
      <c r="F3630" s="22">
        <f ca="1">IFERROR(__xludf.DUMMYFUNCTION("""COMPUTED_VALUE"""),465236.863589999)</f>
        <v>465236.86358999897</v>
      </c>
      <c r="G3630" s="22">
        <f ca="1">IFERROR(__xludf.DUMMYFUNCTION("""COMPUTED_VALUE"""),0)</f>
        <v>0</v>
      </c>
      <c r="H3630" s="7">
        <f ca="1">IFERROR(__xludf.DUMMYFUNCTION("""COMPUTED_VALUE"""),492541.15511)</f>
        <v>492541.15510999999</v>
      </c>
    </row>
    <row r="3631" spans="1:8" ht="13" x14ac:dyDescent="0.15">
      <c r="A3631" s="5" t="str">
        <f ca="1">IFERROR(__xludf.DUMMYFUNCTION("""COMPUTED_VALUE"""),"74641")</f>
        <v>74641</v>
      </c>
      <c r="B3631" s="51">
        <f ca="1">IFERROR(__xludf.DUMMYFUNCTION("""COMPUTED_VALUE"""),44636)</f>
        <v>44636</v>
      </c>
      <c r="C3631" s="22">
        <f ca="1">IFERROR(__xludf.DUMMYFUNCTION("""COMPUTED_VALUE"""),465236.863589999)</f>
        <v>465236.86358999897</v>
      </c>
      <c r="D3631" s="22">
        <f ca="1">IFERROR(__xludf.DUMMYFUNCTION("""COMPUTED_VALUE"""),33629.70989)</f>
        <v>33629.709889999998</v>
      </c>
      <c r="E3631" s="22">
        <f ca="1">IFERROR(__xludf.DUMMYFUNCTION("""COMPUTED_VALUE"""),498866.573479999)</f>
        <v>498866.57347999897</v>
      </c>
      <c r="F3631" s="22">
        <f ca="1">IFERROR(__xludf.DUMMYFUNCTION("""COMPUTED_VALUE"""),465236.863589999)</f>
        <v>465236.86358999897</v>
      </c>
      <c r="G3631" s="22">
        <f ca="1">IFERROR(__xludf.DUMMYFUNCTION("""COMPUTED_VALUE"""),0)</f>
        <v>0</v>
      </c>
      <c r="H3631" s="7">
        <f ca="1">IFERROR(__xludf.DUMMYFUNCTION("""COMPUTED_VALUE"""),493241.681339999)</f>
        <v>493241.68133999902</v>
      </c>
    </row>
    <row r="3632" spans="1:8" ht="13" x14ac:dyDescent="0.15">
      <c r="A3632" s="5" t="str">
        <f ca="1">IFERROR(__xludf.DUMMYFUNCTION("""COMPUTED_VALUE"""),"74641")</f>
        <v>74641</v>
      </c>
      <c r="B3632" s="51">
        <f ca="1">IFERROR(__xludf.DUMMYFUNCTION("""COMPUTED_VALUE"""),44637)</f>
        <v>44637</v>
      </c>
      <c r="C3632" s="22">
        <f ca="1">IFERROR(__xludf.DUMMYFUNCTION("""COMPUTED_VALUE"""),465236.863589999)</f>
        <v>465236.86358999897</v>
      </c>
      <c r="D3632" s="22">
        <f ca="1">IFERROR(__xludf.DUMMYFUNCTION("""COMPUTED_VALUE"""),34003.02947)</f>
        <v>34003.029470000001</v>
      </c>
      <c r="E3632" s="22">
        <f ca="1">IFERROR(__xludf.DUMMYFUNCTION("""COMPUTED_VALUE"""),499239.89306)</f>
        <v>499239.89305999997</v>
      </c>
      <c r="F3632" s="22">
        <f ca="1">IFERROR(__xludf.DUMMYFUNCTION("""COMPUTED_VALUE"""),465236.863589999)</f>
        <v>465236.86358999897</v>
      </c>
      <c r="G3632" s="22">
        <f ca="1">IFERROR(__xludf.DUMMYFUNCTION("""COMPUTED_VALUE"""),0)</f>
        <v>0</v>
      </c>
      <c r="H3632" s="7">
        <f ca="1">IFERROR(__xludf.DUMMYFUNCTION("""COMPUTED_VALUE"""),493983.644609999)</f>
        <v>493983.64460999903</v>
      </c>
    </row>
    <row r="3633" spans="1:8" ht="13" x14ac:dyDescent="0.15">
      <c r="A3633" s="5" t="str">
        <f ca="1">IFERROR(__xludf.DUMMYFUNCTION("""COMPUTED_VALUE"""),"74641")</f>
        <v>74641</v>
      </c>
      <c r="B3633" s="51">
        <f ca="1">IFERROR(__xludf.DUMMYFUNCTION("""COMPUTED_VALUE"""),44638)</f>
        <v>44638</v>
      </c>
      <c r="C3633" s="22">
        <f ca="1">IFERROR(__xludf.DUMMYFUNCTION("""COMPUTED_VALUE"""),465236.863589999)</f>
        <v>465236.86358999897</v>
      </c>
      <c r="D3633" s="22">
        <f ca="1">IFERROR(__xludf.DUMMYFUNCTION("""COMPUTED_VALUE"""),33941.91014)</f>
        <v>33941.91014</v>
      </c>
      <c r="E3633" s="22">
        <f ca="1">IFERROR(__xludf.DUMMYFUNCTION("""COMPUTED_VALUE"""),499178.773729999)</f>
        <v>499178.77372999903</v>
      </c>
      <c r="F3633" s="22">
        <f ca="1">IFERROR(__xludf.DUMMYFUNCTION("""COMPUTED_VALUE"""),465236.863589999)</f>
        <v>465236.86358999897</v>
      </c>
      <c r="G3633" s="22">
        <f ca="1">IFERROR(__xludf.DUMMYFUNCTION("""COMPUTED_VALUE"""),0)</f>
        <v>0</v>
      </c>
      <c r="H3633" s="7">
        <f ca="1">IFERROR(__xludf.DUMMYFUNCTION("""COMPUTED_VALUE"""),494047.05168)</f>
        <v>494047.05167999998</v>
      </c>
    </row>
    <row r="3634" spans="1:8" ht="13" x14ac:dyDescent="0.15">
      <c r="A3634" s="5" t="str">
        <f ca="1">IFERROR(__xludf.DUMMYFUNCTION("""COMPUTED_VALUE"""),"74641")</f>
        <v>74641</v>
      </c>
      <c r="B3634" s="51">
        <f ca="1">IFERROR(__xludf.DUMMYFUNCTION("""COMPUTED_VALUE"""),44639)</f>
        <v>44639</v>
      </c>
      <c r="C3634" s="22">
        <f ca="1">IFERROR(__xludf.DUMMYFUNCTION("""COMPUTED_VALUE"""),465236.863589999)</f>
        <v>465236.86358999897</v>
      </c>
      <c r="D3634" s="22">
        <f ca="1">IFERROR(__xludf.DUMMYFUNCTION("""COMPUTED_VALUE"""),33941.91014)</f>
        <v>33941.91014</v>
      </c>
      <c r="E3634" s="22">
        <f ca="1">IFERROR(__xludf.DUMMYFUNCTION("""COMPUTED_VALUE"""),499178.773729999)</f>
        <v>499178.77372999903</v>
      </c>
      <c r="F3634" s="22">
        <f ca="1">IFERROR(__xludf.DUMMYFUNCTION("""COMPUTED_VALUE"""),465236.863589999)</f>
        <v>465236.86358999897</v>
      </c>
      <c r="G3634" s="22">
        <f ca="1">IFERROR(__xludf.DUMMYFUNCTION("""COMPUTED_VALUE"""),0)</f>
        <v>0</v>
      </c>
      <c r="H3634" s="7">
        <f ca="1">IFERROR(__xludf.DUMMYFUNCTION("""COMPUTED_VALUE"""),494047.05168)</f>
        <v>494047.05167999998</v>
      </c>
    </row>
    <row r="3635" spans="1:8" ht="13" x14ac:dyDescent="0.15">
      <c r="A3635" s="5" t="str">
        <f ca="1">IFERROR(__xludf.DUMMYFUNCTION("""COMPUTED_VALUE"""),"74641")</f>
        <v>74641</v>
      </c>
      <c r="B3635" s="51">
        <f ca="1">IFERROR(__xludf.DUMMYFUNCTION("""COMPUTED_VALUE"""),44640)</f>
        <v>44640</v>
      </c>
      <c r="C3635" s="22">
        <f ca="1">IFERROR(__xludf.DUMMYFUNCTION("""COMPUTED_VALUE"""),465236.863589999)</f>
        <v>465236.86358999897</v>
      </c>
      <c r="D3635" s="22">
        <f ca="1">IFERROR(__xludf.DUMMYFUNCTION("""COMPUTED_VALUE"""),33920.89442)</f>
        <v>33920.894419999997</v>
      </c>
      <c r="E3635" s="22">
        <f ca="1">IFERROR(__xludf.DUMMYFUNCTION("""COMPUTED_VALUE"""),499157.75801)</f>
        <v>499157.75800999999</v>
      </c>
      <c r="F3635" s="22">
        <f ca="1">IFERROR(__xludf.DUMMYFUNCTION("""COMPUTED_VALUE"""),465236.863589999)</f>
        <v>465236.86358999897</v>
      </c>
      <c r="G3635" s="22">
        <f ca="1">IFERROR(__xludf.DUMMYFUNCTION("""COMPUTED_VALUE"""),0)</f>
        <v>0</v>
      </c>
      <c r="H3635" s="7">
        <f ca="1">IFERROR(__xludf.DUMMYFUNCTION("""COMPUTED_VALUE"""),493964.29786)</f>
        <v>493964.29785999999</v>
      </c>
    </row>
    <row r="3636" spans="1:8" ht="13" x14ac:dyDescent="0.15">
      <c r="A3636" s="5" t="str">
        <f ca="1">IFERROR(__xludf.DUMMYFUNCTION("""COMPUTED_VALUE"""),"74641")</f>
        <v>74641</v>
      </c>
      <c r="B3636" s="51">
        <f ca="1">IFERROR(__xludf.DUMMYFUNCTION("""COMPUTED_VALUE"""),44641)</f>
        <v>44641</v>
      </c>
      <c r="C3636" s="22">
        <f ca="1">IFERROR(__xludf.DUMMYFUNCTION("""COMPUTED_VALUE"""),465236.863589999)</f>
        <v>465236.86358999897</v>
      </c>
      <c r="D3636" s="22">
        <f ca="1">IFERROR(__xludf.DUMMYFUNCTION("""COMPUTED_VALUE"""),34098.41745)</f>
        <v>34098.417450000001</v>
      </c>
      <c r="E3636" s="22">
        <f ca="1">IFERROR(__xludf.DUMMYFUNCTION("""COMPUTED_VALUE"""),499335.28104)</f>
        <v>499335.28103999997</v>
      </c>
      <c r="F3636" s="22">
        <f ca="1">IFERROR(__xludf.DUMMYFUNCTION("""COMPUTED_VALUE"""),465236.863589999)</f>
        <v>465236.86358999897</v>
      </c>
      <c r="G3636" s="22">
        <f ca="1">IFERROR(__xludf.DUMMYFUNCTION("""COMPUTED_VALUE"""),0)</f>
        <v>0</v>
      </c>
      <c r="H3636" s="7">
        <f ca="1">IFERROR(__xludf.DUMMYFUNCTION("""COMPUTED_VALUE"""),494310.116614999)</f>
        <v>494310.11661499902</v>
      </c>
    </row>
    <row r="3637" spans="1:8" ht="13" x14ac:dyDescent="0.15">
      <c r="A3637" s="5" t="str">
        <f ca="1">IFERROR(__xludf.DUMMYFUNCTION("""COMPUTED_VALUE"""),"74641")</f>
        <v>74641</v>
      </c>
      <c r="B3637" s="51">
        <f ca="1">IFERROR(__xludf.DUMMYFUNCTION("""COMPUTED_VALUE"""),44642)</f>
        <v>44642</v>
      </c>
      <c r="C3637" s="22">
        <f ca="1">IFERROR(__xludf.DUMMYFUNCTION("""COMPUTED_VALUE"""),465236.863589999)</f>
        <v>465236.86358999897</v>
      </c>
      <c r="D3637" s="22">
        <f ca="1">IFERROR(__xludf.DUMMYFUNCTION("""COMPUTED_VALUE"""),34468.43856)</f>
        <v>34468.438560000002</v>
      </c>
      <c r="E3637" s="22">
        <f ca="1">IFERROR(__xludf.DUMMYFUNCTION("""COMPUTED_VALUE"""),499705.302149999)</f>
        <v>499705.30214999901</v>
      </c>
      <c r="F3637" s="22">
        <f ca="1">IFERROR(__xludf.DUMMYFUNCTION("""COMPUTED_VALUE"""),465236.863589999)</f>
        <v>465236.86358999897</v>
      </c>
      <c r="G3637" s="22">
        <f ca="1">IFERROR(__xludf.DUMMYFUNCTION("""COMPUTED_VALUE"""),0)</f>
        <v>0</v>
      </c>
      <c r="H3637" s="7">
        <f ca="1">IFERROR(__xludf.DUMMYFUNCTION("""COMPUTED_VALUE"""),494543.661669999)</f>
        <v>494543.66166999901</v>
      </c>
    </row>
    <row r="3638" spans="1:8" ht="13" x14ac:dyDescent="0.15">
      <c r="A3638" s="5" t="str">
        <f ca="1">IFERROR(__xludf.DUMMYFUNCTION("""COMPUTED_VALUE"""),"74972")</f>
        <v>74972</v>
      </c>
      <c r="B3638" s="51">
        <f ca="1">IFERROR(__xludf.DUMMYFUNCTION("""COMPUTED_VALUE"""),44597)</f>
        <v>44597</v>
      </c>
      <c r="C3638" s="22">
        <f ca="1">IFERROR(__xludf.DUMMYFUNCTION("""COMPUTED_VALUE"""),500000)</f>
        <v>500000</v>
      </c>
      <c r="D3638" s="22">
        <f ca="1">IFERROR(__xludf.DUMMYFUNCTION("""COMPUTED_VALUE"""),0)</f>
        <v>0</v>
      </c>
      <c r="E3638" s="22">
        <f ca="1">IFERROR(__xludf.DUMMYFUNCTION("""COMPUTED_VALUE"""),500000)</f>
        <v>500000</v>
      </c>
      <c r="F3638" s="22">
        <f ca="1">IFERROR(__xludf.DUMMYFUNCTION("""COMPUTED_VALUE"""),500000)</f>
        <v>500000</v>
      </c>
      <c r="G3638" s="22">
        <f ca="1">IFERROR(__xludf.DUMMYFUNCTION("""COMPUTED_VALUE"""),0)</f>
        <v>0</v>
      </c>
      <c r="H3638" s="7">
        <f ca="1">IFERROR(__xludf.DUMMYFUNCTION("""COMPUTED_VALUE"""),500000)</f>
        <v>500000</v>
      </c>
    </row>
    <row r="3639" spans="1:8" ht="13" x14ac:dyDescent="0.15">
      <c r="A3639" s="5" t="str">
        <f ca="1">IFERROR(__xludf.DUMMYFUNCTION("""COMPUTED_VALUE"""),"74972")</f>
        <v>74972</v>
      </c>
      <c r="B3639" s="51">
        <f ca="1">IFERROR(__xludf.DUMMYFUNCTION("""COMPUTED_VALUE"""),44598)</f>
        <v>44598</v>
      </c>
      <c r="C3639" s="22">
        <f ca="1">IFERROR(__xludf.DUMMYFUNCTION("""COMPUTED_VALUE"""),500000)</f>
        <v>500000</v>
      </c>
      <c r="D3639" s="22">
        <f ca="1">IFERROR(__xludf.DUMMYFUNCTION("""COMPUTED_VALUE"""),0)</f>
        <v>0</v>
      </c>
      <c r="E3639" s="22">
        <f ca="1">IFERROR(__xludf.DUMMYFUNCTION("""COMPUTED_VALUE"""),500000)</f>
        <v>500000</v>
      </c>
      <c r="F3639" s="22">
        <f ca="1">IFERROR(__xludf.DUMMYFUNCTION("""COMPUTED_VALUE"""),500000)</f>
        <v>500000</v>
      </c>
      <c r="G3639" s="22">
        <f ca="1">IFERROR(__xludf.DUMMYFUNCTION("""COMPUTED_VALUE"""),0)</f>
        <v>0</v>
      </c>
      <c r="H3639" s="7">
        <f ca="1">IFERROR(__xludf.DUMMYFUNCTION("""COMPUTED_VALUE"""),500000)</f>
        <v>500000</v>
      </c>
    </row>
    <row r="3640" spans="1:8" ht="13" x14ac:dyDescent="0.15">
      <c r="A3640" s="5" t="str">
        <f ca="1">IFERROR(__xludf.DUMMYFUNCTION("""COMPUTED_VALUE"""),"74972")</f>
        <v>74972</v>
      </c>
      <c r="B3640" s="51">
        <f ca="1">IFERROR(__xludf.DUMMYFUNCTION("""COMPUTED_VALUE"""),44599)</f>
        <v>44599</v>
      </c>
      <c r="C3640" s="22">
        <f ca="1">IFERROR(__xludf.DUMMYFUNCTION("""COMPUTED_VALUE"""),500000)</f>
        <v>500000</v>
      </c>
      <c r="D3640" s="22">
        <f ca="1">IFERROR(__xludf.DUMMYFUNCTION("""COMPUTED_VALUE"""),0)</f>
        <v>0</v>
      </c>
      <c r="E3640" s="22">
        <f ca="1">IFERROR(__xludf.DUMMYFUNCTION("""COMPUTED_VALUE"""),500000)</f>
        <v>500000</v>
      </c>
      <c r="F3640" s="22">
        <f ca="1">IFERROR(__xludf.DUMMYFUNCTION("""COMPUTED_VALUE"""),500000)</f>
        <v>500000</v>
      </c>
      <c r="G3640" s="22">
        <f ca="1">IFERROR(__xludf.DUMMYFUNCTION("""COMPUTED_VALUE"""),0)</f>
        <v>0</v>
      </c>
      <c r="H3640" s="7">
        <f ca="1">IFERROR(__xludf.DUMMYFUNCTION("""COMPUTED_VALUE"""),500000)</f>
        <v>500000</v>
      </c>
    </row>
    <row r="3641" spans="1:8" ht="13" x14ac:dyDescent="0.15">
      <c r="A3641" s="5" t="str">
        <f ca="1">IFERROR(__xludf.DUMMYFUNCTION("""COMPUTED_VALUE"""),"74972")</f>
        <v>74972</v>
      </c>
      <c r="B3641" s="51">
        <f ca="1">IFERROR(__xludf.DUMMYFUNCTION("""COMPUTED_VALUE"""),44600)</f>
        <v>44600</v>
      </c>
      <c r="C3641" s="22">
        <f ca="1">IFERROR(__xludf.DUMMYFUNCTION("""COMPUTED_VALUE"""),500000)</f>
        <v>500000</v>
      </c>
      <c r="D3641" s="22">
        <f ca="1">IFERROR(__xludf.DUMMYFUNCTION("""COMPUTED_VALUE"""),0)</f>
        <v>0</v>
      </c>
      <c r="E3641" s="22">
        <f ca="1">IFERROR(__xludf.DUMMYFUNCTION("""COMPUTED_VALUE"""),500000)</f>
        <v>500000</v>
      </c>
      <c r="F3641" s="22">
        <f ca="1">IFERROR(__xludf.DUMMYFUNCTION("""COMPUTED_VALUE"""),500000)</f>
        <v>500000</v>
      </c>
      <c r="G3641" s="22">
        <f ca="1">IFERROR(__xludf.DUMMYFUNCTION("""COMPUTED_VALUE"""),0)</f>
        <v>0</v>
      </c>
      <c r="H3641" s="7">
        <f ca="1">IFERROR(__xludf.DUMMYFUNCTION("""COMPUTED_VALUE"""),500000)</f>
        <v>500000</v>
      </c>
    </row>
    <row r="3642" spans="1:8" ht="13" x14ac:dyDescent="0.15">
      <c r="A3642" s="5" t="str">
        <f ca="1">IFERROR(__xludf.DUMMYFUNCTION("""COMPUTED_VALUE"""),"74972")</f>
        <v>74972</v>
      </c>
      <c r="B3642" s="51">
        <f ca="1">IFERROR(__xludf.DUMMYFUNCTION("""COMPUTED_VALUE"""),44601)</f>
        <v>44601</v>
      </c>
      <c r="C3642" s="22">
        <f ca="1">IFERROR(__xludf.DUMMYFUNCTION("""COMPUTED_VALUE"""),500000)</f>
        <v>500000</v>
      </c>
      <c r="D3642" s="22">
        <f ca="1">IFERROR(__xludf.DUMMYFUNCTION("""COMPUTED_VALUE"""),0)</f>
        <v>0</v>
      </c>
      <c r="E3642" s="22">
        <f ca="1">IFERROR(__xludf.DUMMYFUNCTION("""COMPUTED_VALUE"""),500000)</f>
        <v>500000</v>
      </c>
      <c r="F3642" s="22">
        <f ca="1">IFERROR(__xludf.DUMMYFUNCTION("""COMPUTED_VALUE"""),500000)</f>
        <v>500000</v>
      </c>
      <c r="G3642" s="22">
        <f ca="1">IFERROR(__xludf.DUMMYFUNCTION("""COMPUTED_VALUE"""),0)</f>
        <v>0</v>
      </c>
      <c r="H3642" s="7">
        <f ca="1">IFERROR(__xludf.DUMMYFUNCTION("""COMPUTED_VALUE"""),500000)</f>
        <v>500000</v>
      </c>
    </row>
    <row r="3643" spans="1:8" ht="13" x14ac:dyDescent="0.15">
      <c r="A3643" s="5" t="str">
        <f ca="1">IFERROR(__xludf.DUMMYFUNCTION("""COMPUTED_VALUE"""),"74972")</f>
        <v>74972</v>
      </c>
      <c r="B3643" s="51">
        <f ca="1">IFERROR(__xludf.DUMMYFUNCTION("""COMPUTED_VALUE"""),44602)</f>
        <v>44602</v>
      </c>
      <c r="C3643" s="22">
        <f ca="1">IFERROR(__xludf.DUMMYFUNCTION("""COMPUTED_VALUE"""),500000)</f>
        <v>500000</v>
      </c>
      <c r="D3643" s="22">
        <f ca="1">IFERROR(__xludf.DUMMYFUNCTION("""COMPUTED_VALUE"""),0)</f>
        <v>0</v>
      </c>
      <c r="E3643" s="22">
        <f ca="1">IFERROR(__xludf.DUMMYFUNCTION("""COMPUTED_VALUE"""),500000)</f>
        <v>500000</v>
      </c>
      <c r="F3643" s="22">
        <f ca="1">IFERROR(__xludf.DUMMYFUNCTION("""COMPUTED_VALUE"""),500000)</f>
        <v>500000</v>
      </c>
      <c r="G3643" s="22">
        <f ca="1">IFERROR(__xludf.DUMMYFUNCTION("""COMPUTED_VALUE"""),0)</f>
        <v>0</v>
      </c>
      <c r="H3643" s="7">
        <f ca="1">IFERROR(__xludf.DUMMYFUNCTION("""COMPUTED_VALUE"""),500000)</f>
        <v>500000</v>
      </c>
    </row>
    <row r="3644" spans="1:8" ht="13" x14ac:dyDescent="0.15">
      <c r="A3644" s="5" t="str">
        <f ca="1">IFERROR(__xludf.DUMMYFUNCTION("""COMPUTED_VALUE"""),"74972")</f>
        <v>74972</v>
      </c>
      <c r="B3644" s="51">
        <f ca="1">IFERROR(__xludf.DUMMYFUNCTION("""COMPUTED_VALUE"""),44603)</f>
        <v>44603</v>
      </c>
      <c r="C3644" s="22">
        <f ca="1">IFERROR(__xludf.DUMMYFUNCTION("""COMPUTED_VALUE"""),500000)</f>
        <v>500000</v>
      </c>
      <c r="D3644" s="22">
        <f ca="1">IFERROR(__xludf.DUMMYFUNCTION("""COMPUTED_VALUE"""),0)</f>
        <v>0</v>
      </c>
      <c r="E3644" s="22">
        <f ca="1">IFERROR(__xludf.DUMMYFUNCTION("""COMPUTED_VALUE"""),500000)</f>
        <v>500000</v>
      </c>
      <c r="F3644" s="22">
        <f ca="1">IFERROR(__xludf.DUMMYFUNCTION("""COMPUTED_VALUE"""),500000)</f>
        <v>500000</v>
      </c>
      <c r="G3644" s="22">
        <f ca="1">IFERROR(__xludf.DUMMYFUNCTION("""COMPUTED_VALUE"""),0)</f>
        <v>0</v>
      </c>
      <c r="H3644" s="7">
        <f ca="1">IFERROR(__xludf.DUMMYFUNCTION("""COMPUTED_VALUE"""),500000)</f>
        <v>500000</v>
      </c>
    </row>
    <row r="3645" spans="1:8" ht="13" x14ac:dyDescent="0.15">
      <c r="A3645" s="5" t="str">
        <f ca="1">IFERROR(__xludf.DUMMYFUNCTION("""COMPUTED_VALUE"""),"74972")</f>
        <v>74972</v>
      </c>
      <c r="B3645" s="51">
        <f ca="1">IFERROR(__xludf.DUMMYFUNCTION("""COMPUTED_VALUE"""),44604)</f>
        <v>44604</v>
      </c>
      <c r="C3645" s="22">
        <f ca="1">IFERROR(__xludf.DUMMYFUNCTION("""COMPUTED_VALUE"""),500000)</f>
        <v>500000</v>
      </c>
      <c r="D3645" s="22">
        <f ca="1">IFERROR(__xludf.DUMMYFUNCTION("""COMPUTED_VALUE"""),0)</f>
        <v>0</v>
      </c>
      <c r="E3645" s="22">
        <f ca="1">IFERROR(__xludf.DUMMYFUNCTION("""COMPUTED_VALUE"""),500000)</f>
        <v>500000</v>
      </c>
      <c r="F3645" s="22">
        <f ca="1">IFERROR(__xludf.DUMMYFUNCTION("""COMPUTED_VALUE"""),500000)</f>
        <v>500000</v>
      </c>
      <c r="G3645" s="22">
        <f ca="1">IFERROR(__xludf.DUMMYFUNCTION("""COMPUTED_VALUE"""),0)</f>
        <v>0</v>
      </c>
      <c r="H3645" s="7">
        <f ca="1">IFERROR(__xludf.DUMMYFUNCTION("""COMPUTED_VALUE"""),500000)</f>
        <v>500000</v>
      </c>
    </row>
    <row r="3646" spans="1:8" ht="13" x14ac:dyDescent="0.15">
      <c r="A3646" s="5" t="str">
        <f ca="1">IFERROR(__xludf.DUMMYFUNCTION("""COMPUTED_VALUE"""),"74972")</f>
        <v>74972</v>
      </c>
      <c r="B3646" s="51">
        <f ca="1">IFERROR(__xludf.DUMMYFUNCTION("""COMPUTED_VALUE"""),44605)</f>
        <v>44605</v>
      </c>
      <c r="C3646" s="22">
        <f ca="1">IFERROR(__xludf.DUMMYFUNCTION("""COMPUTED_VALUE"""),500000)</f>
        <v>500000</v>
      </c>
      <c r="D3646" s="22">
        <f ca="1">IFERROR(__xludf.DUMMYFUNCTION("""COMPUTED_VALUE"""),0)</f>
        <v>0</v>
      </c>
      <c r="E3646" s="22">
        <f ca="1">IFERROR(__xludf.DUMMYFUNCTION("""COMPUTED_VALUE"""),500000)</f>
        <v>500000</v>
      </c>
      <c r="F3646" s="22">
        <f ca="1">IFERROR(__xludf.DUMMYFUNCTION("""COMPUTED_VALUE"""),500000)</f>
        <v>500000</v>
      </c>
      <c r="G3646" s="22">
        <f ca="1">IFERROR(__xludf.DUMMYFUNCTION("""COMPUTED_VALUE"""),0)</f>
        <v>0</v>
      </c>
      <c r="H3646" s="7">
        <f ca="1">IFERROR(__xludf.DUMMYFUNCTION("""COMPUTED_VALUE"""),500000)</f>
        <v>500000</v>
      </c>
    </row>
    <row r="3647" spans="1:8" ht="13" x14ac:dyDescent="0.15">
      <c r="A3647" s="5" t="str">
        <f ca="1">IFERROR(__xludf.DUMMYFUNCTION("""COMPUTED_VALUE"""),"74972")</f>
        <v>74972</v>
      </c>
      <c r="B3647" s="51">
        <f ca="1">IFERROR(__xludf.DUMMYFUNCTION("""COMPUTED_VALUE"""),44606)</f>
        <v>44606</v>
      </c>
      <c r="C3647" s="22">
        <f ca="1">IFERROR(__xludf.DUMMYFUNCTION("""COMPUTED_VALUE"""),500000)</f>
        <v>500000</v>
      </c>
      <c r="D3647" s="22">
        <f ca="1">IFERROR(__xludf.DUMMYFUNCTION("""COMPUTED_VALUE"""),0)</f>
        <v>0</v>
      </c>
      <c r="E3647" s="22">
        <f ca="1">IFERROR(__xludf.DUMMYFUNCTION("""COMPUTED_VALUE"""),500000)</f>
        <v>500000</v>
      </c>
      <c r="F3647" s="22">
        <f ca="1">IFERROR(__xludf.DUMMYFUNCTION("""COMPUTED_VALUE"""),500000)</f>
        <v>500000</v>
      </c>
      <c r="G3647" s="22">
        <f ca="1">IFERROR(__xludf.DUMMYFUNCTION("""COMPUTED_VALUE"""),0)</f>
        <v>0</v>
      </c>
      <c r="H3647" s="7">
        <f ca="1">IFERROR(__xludf.DUMMYFUNCTION("""COMPUTED_VALUE"""),500000)</f>
        <v>500000</v>
      </c>
    </row>
    <row r="3648" spans="1:8" ht="13" x14ac:dyDescent="0.15">
      <c r="A3648" s="5" t="str">
        <f ca="1">IFERROR(__xludf.DUMMYFUNCTION("""COMPUTED_VALUE"""),"74972")</f>
        <v>74972</v>
      </c>
      <c r="B3648" s="51">
        <f ca="1">IFERROR(__xludf.DUMMYFUNCTION("""COMPUTED_VALUE"""),44607)</f>
        <v>44607</v>
      </c>
      <c r="C3648" s="22">
        <f ca="1">IFERROR(__xludf.DUMMYFUNCTION("""COMPUTED_VALUE"""),500000)</f>
        <v>500000</v>
      </c>
      <c r="D3648" s="22">
        <f ca="1">IFERROR(__xludf.DUMMYFUNCTION("""COMPUTED_VALUE"""),0)</f>
        <v>0</v>
      </c>
      <c r="E3648" s="22">
        <f ca="1">IFERROR(__xludf.DUMMYFUNCTION("""COMPUTED_VALUE"""),500000)</f>
        <v>500000</v>
      </c>
      <c r="F3648" s="22">
        <f ca="1">IFERROR(__xludf.DUMMYFUNCTION("""COMPUTED_VALUE"""),500000)</f>
        <v>500000</v>
      </c>
      <c r="G3648" s="22">
        <f ca="1">IFERROR(__xludf.DUMMYFUNCTION("""COMPUTED_VALUE"""),0)</f>
        <v>0</v>
      </c>
      <c r="H3648" s="7">
        <f ca="1">IFERROR(__xludf.DUMMYFUNCTION("""COMPUTED_VALUE"""),500000)</f>
        <v>500000</v>
      </c>
    </row>
    <row r="3649" spans="1:8" ht="13" x14ac:dyDescent="0.15">
      <c r="A3649" s="5" t="str">
        <f ca="1">IFERROR(__xludf.DUMMYFUNCTION("""COMPUTED_VALUE"""),"74972")</f>
        <v>74972</v>
      </c>
      <c r="B3649" s="51">
        <f ca="1">IFERROR(__xludf.DUMMYFUNCTION("""COMPUTED_VALUE"""),44608)</f>
        <v>44608</v>
      </c>
      <c r="C3649" s="22">
        <f ca="1">IFERROR(__xludf.DUMMYFUNCTION("""COMPUTED_VALUE"""),500000)</f>
        <v>500000</v>
      </c>
      <c r="D3649" s="22">
        <f ca="1">IFERROR(__xludf.DUMMYFUNCTION("""COMPUTED_VALUE"""),0)</f>
        <v>0</v>
      </c>
      <c r="E3649" s="22">
        <f ca="1">IFERROR(__xludf.DUMMYFUNCTION("""COMPUTED_VALUE"""),500000)</f>
        <v>500000</v>
      </c>
      <c r="F3649" s="22">
        <f ca="1">IFERROR(__xludf.DUMMYFUNCTION("""COMPUTED_VALUE"""),500000)</f>
        <v>500000</v>
      </c>
      <c r="G3649" s="22">
        <f ca="1">IFERROR(__xludf.DUMMYFUNCTION("""COMPUTED_VALUE"""),0)</f>
        <v>0</v>
      </c>
      <c r="H3649" s="7">
        <f ca="1">IFERROR(__xludf.DUMMYFUNCTION("""COMPUTED_VALUE"""),500000)</f>
        <v>500000</v>
      </c>
    </row>
    <row r="3650" spans="1:8" ht="13" x14ac:dyDescent="0.15">
      <c r="A3650" s="5" t="str">
        <f ca="1">IFERROR(__xludf.DUMMYFUNCTION("""COMPUTED_VALUE"""),"74972")</f>
        <v>74972</v>
      </c>
      <c r="B3650" s="51">
        <f ca="1">IFERROR(__xludf.DUMMYFUNCTION("""COMPUTED_VALUE"""),44609)</f>
        <v>44609</v>
      </c>
      <c r="C3650" s="22">
        <f ca="1">IFERROR(__xludf.DUMMYFUNCTION("""COMPUTED_VALUE"""),500000)</f>
        <v>500000</v>
      </c>
      <c r="D3650" s="22">
        <f ca="1">IFERROR(__xludf.DUMMYFUNCTION("""COMPUTED_VALUE"""),0)</f>
        <v>0</v>
      </c>
      <c r="E3650" s="22">
        <f ca="1">IFERROR(__xludf.DUMMYFUNCTION("""COMPUTED_VALUE"""),500000)</f>
        <v>500000</v>
      </c>
      <c r="F3650" s="22">
        <f ca="1">IFERROR(__xludf.DUMMYFUNCTION("""COMPUTED_VALUE"""),500000)</f>
        <v>500000</v>
      </c>
      <c r="G3650" s="22">
        <f ca="1">IFERROR(__xludf.DUMMYFUNCTION("""COMPUTED_VALUE"""),0)</f>
        <v>0</v>
      </c>
      <c r="H3650" s="7">
        <f ca="1">IFERROR(__xludf.DUMMYFUNCTION("""COMPUTED_VALUE"""),500000)</f>
        <v>500000</v>
      </c>
    </row>
    <row r="3651" spans="1:8" ht="13" x14ac:dyDescent="0.15">
      <c r="A3651" s="5" t="str">
        <f ca="1">IFERROR(__xludf.DUMMYFUNCTION("""COMPUTED_VALUE"""),"74972")</f>
        <v>74972</v>
      </c>
      <c r="B3651" s="51">
        <f ca="1">IFERROR(__xludf.DUMMYFUNCTION("""COMPUTED_VALUE"""),44610)</f>
        <v>44610</v>
      </c>
      <c r="C3651" s="22">
        <f ca="1">IFERROR(__xludf.DUMMYFUNCTION("""COMPUTED_VALUE"""),500000)</f>
        <v>500000</v>
      </c>
      <c r="D3651" s="22">
        <f ca="1">IFERROR(__xludf.DUMMYFUNCTION("""COMPUTED_VALUE"""),0)</f>
        <v>0</v>
      </c>
      <c r="E3651" s="22">
        <f ca="1">IFERROR(__xludf.DUMMYFUNCTION("""COMPUTED_VALUE"""),500000)</f>
        <v>500000</v>
      </c>
      <c r="F3651" s="22">
        <f ca="1">IFERROR(__xludf.DUMMYFUNCTION("""COMPUTED_VALUE"""),500000)</f>
        <v>500000</v>
      </c>
      <c r="G3651" s="22">
        <f ca="1">IFERROR(__xludf.DUMMYFUNCTION("""COMPUTED_VALUE"""),0)</f>
        <v>0</v>
      </c>
      <c r="H3651" s="7">
        <f ca="1">IFERROR(__xludf.DUMMYFUNCTION("""COMPUTED_VALUE"""),500000)</f>
        <v>500000</v>
      </c>
    </row>
    <row r="3652" spans="1:8" ht="13" x14ac:dyDescent="0.15">
      <c r="A3652" s="5" t="str">
        <f ca="1">IFERROR(__xludf.DUMMYFUNCTION("""COMPUTED_VALUE"""),"74972")</f>
        <v>74972</v>
      </c>
      <c r="B3652" s="51">
        <f ca="1">IFERROR(__xludf.DUMMYFUNCTION("""COMPUTED_VALUE"""),44611)</f>
        <v>44611</v>
      </c>
      <c r="C3652" s="22">
        <f ca="1">IFERROR(__xludf.DUMMYFUNCTION("""COMPUTED_VALUE"""),500000)</f>
        <v>500000</v>
      </c>
      <c r="D3652" s="22">
        <f ca="1">IFERROR(__xludf.DUMMYFUNCTION("""COMPUTED_VALUE"""),0)</f>
        <v>0</v>
      </c>
      <c r="E3652" s="22">
        <f ca="1">IFERROR(__xludf.DUMMYFUNCTION("""COMPUTED_VALUE"""),500000)</f>
        <v>500000</v>
      </c>
      <c r="F3652" s="22">
        <f ca="1">IFERROR(__xludf.DUMMYFUNCTION("""COMPUTED_VALUE"""),500000)</f>
        <v>500000</v>
      </c>
      <c r="G3652" s="22">
        <f ca="1">IFERROR(__xludf.DUMMYFUNCTION("""COMPUTED_VALUE"""),0)</f>
        <v>0</v>
      </c>
      <c r="H3652" s="7">
        <f ca="1">IFERROR(__xludf.DUMMYFUNCTION("""COMPUTED_VALUE"""),500000)</f>
        <v>500000</v>
      </c>
    </row>
    <row r="3653" spans="1:8" ht="13" x14ac:dyDescent="0.15">
      <c r="A3653" s="5" t="str">
        <f ca="1">IFERROR(__xludf.DUMMYFUNCTION("""COMPUTED_VALUE"""),"74972")</f>
        <v>74972</v>
      </c>
      <c r="B3653" s="51">
        <f ca="1">IFERROR(__xludf.DUMMYFUNCTION("""COMPUTED_VALUE"""),44612)</f>
        <v>44612</v>
      </c>
      <c r="C3653" s="22">
        <f ca="1">IFERROR(__xludf.DUMMYFUNCTION("""COMPUTED_VALUE"""),500000)</f>
        <v>500000</v>
      </c>
      <c r="D3653" s="22">
        <f ca="1">IFERROR(__xludf.DUMMYFUNCTION("""COMPUTED_VALUE"""),0)</f>
        <v>0</v>
      </c>
      <c r="E3653" s="22">
        <f ca="1">IFERROR(__xludf.DUMMYFUNCTION("""COMPUTED_VALUE"""),500000)</f>
        <v>500000</v>
      </c>
      <c r="F3653" s="22">
        <f ca="1">IFERROR(__xludf.DUMMYFUNCTION("""COMPUTED_VALUE"""),500000)</f>
        <v>500000</v>
      </c>
      <c r="G3653" s="22">
        <f ca="1">IFERROR(__xludf.DUMMYFUNCTION("""COMPUTED_VALUE"""),0)</f>
        <v>0</v>
      </c>
      <c r="H3653" s="7">
        <f ca="1">IFERROR(__xludf.DUMMYFUNCTION("""COMPUTED_VALUE"""),500000)</f>
        <v>500000</v>
      </c>
    </row>
    <row r="3654" spans="1:8" ht="13" x14ac:dyDescent="0.15">
      <c r="A3654" s="5" t="str">
        <f ca="1">IFERROR(__xludf.DUMMYFUNCTION("""COMPUTED_VALUE"""),"74972")</f>
        <v>74972</v>
      </c>
      <c r="B3654" s="51">
        <f ca="1">IFERROR(__xludf.DUMMYFUNCTION("""COMPUTED_VALUE"""),44613)</f>
        <v>44613</v>
      </c>
      <c r="C3654" s="22">
        <f ca="1">IFERROR(__xludf.DUMMYFUNCTION("""COMPUTED_VALUE"""),500000)</f>
        <v>500000</v>
      </c>
      <c r="D3654" s="22">
        <f ca="1">IFERROR(__xludf.DUMMYFUNCTION("""COMPUTED_VALUE"""),0)</f>
        <v>0</v>
      </c>
      <c r="E3654" s="22">
        <f ca="1">IFERROR(__xludf.DUMMYFUNCTION("""COMPUTED_VALUE"""),500000)</f>
        <v>500000</v>
      </c>
      <c r="F3654" s="22">
        <f ca="1">IFERROR(__xludf.DUMMYFUNCTION("""COMPUTED_VALUE"""),500000)</f>
        <v>500000</v>
      </c>
      <c r="G3654" s="22">
        <f ca="1">IFERROR(__xludf.DUMMYFUNCTION("""COMPUTED_VALUE"""),0)</f>
        <v>0</v>
      </c>
      <c r="H3654" s="7">
        <f ca="1">IFERROR(__xludf.DUMMYFUNCTION("""COMPUTED_VALUE"""),500000)</f>
        <v>500000</v>
      </c>
    </row>
    <row r="3655" spans="1:8" ht="13" x14ac:dyDescent="0.15">
      <c r="A3655" s="5" t="str">
        <f ca="1">IFERROR(__xludf.DUMMYFUNCTION("""COMPUTED_VALUE"""),"74972")</f>
        <v>74972</v>
      </c>
      <c r="B3655" s="51">
        <f ca="1">IFERROR(__xludf.DUMMYFUNCTION("""COMPUTED_VALUE"""),44614)</f>
        <v>44614</v>
      </c>
      <c r="C3655" s="22">
        <f ca="1">IFERROR(__xludf.DUMMYFUNCTION("""COMPUTED_VALUE"""),500000)</f>
        <v>500000</v>
      </c>
      <c r="D3655" s="22">
        <f ca="1">IFERROR(__xludf.DUMMYFUNCTION("""COMPUTED_VALUE"""),0)</f>
        <v>0</v>
      </c>
      <c r="E3655" s="22">
        <f ca="1">IFERROR(__xludf.DUMMYFUNCTION("""COMPUTED_VALUE"""),500000)</f>
        <v>500000</v>
      </c>
      <c r="F3655" s="22">
        <f ca="1">IFERROR(__xludf.DUMMYFUNCTION("""COMPUTED_VALUE"""),500000)</f>
        <v>500000</v>
      </c>
      <c r="G3655" s="22">
        <f ca="1">IFERROR(__xludf.DUMMYFUNCTION("""COMPUTED_VALUE"""),0)</f>
        <v>0</v>
      </c>
      <c r="H3655" s="7">
        <f ca="1">IFERROR(__xludf.DUMMYFUNCTION("""COMPUTED_VALUE"""),500000)</f>
        <v>500000</v>
      </c>
    </row>
    <row r="3656" spans="1:8" ht="13" x14ac:dyDescent="0.15">
      <c r="A3656" s="5" t="str">
        <f ca="1">IFERROR(__xludf.DUMMYFUNCTION("""COMPUTED_VALUE"""),"74972")</f>
        <v>74972</v>
      </c>
      <c r="B3656" s="51">
        <f ca="1">IFERROR(__xludf.DUMMYFUNCTION("""COMPUTED_VALUE"""),44615)</f>
        <v>44615</v>
      </c>
      <c r="C3656" s="22">
        <f ca="1">IFERROR(__xludf.DUMMYFUNCTION("""COMPUTED_VALUE"""),500000)</f>
        <v>500000</v>
      </c>
      <c r="D3656" s="22">
        <f ca="1">IFERROR(__xludf.DUMMYFUNCTION("""COMPUTED_VALUE"""),0)</f>
        <v>0</v>
      </c>
      <c r="E3656" s="22">
        <f ca="1">IFERROR(__xludf.DUMMYFUNCTION("""COMPUTED_VALUE"""),500000)</f>
        <v>500000</v>
      </c>
      <c r="F3656" s="22">
        <f ca="1">IFERROR(__xludf.DUMMYFUNCTION("""COMPUTED_VALUE"""),500000)</f>
        <v>500000</v>
      </c>
      <c r="G3656" s="22">
        <f ca="1">IFERROR(__xludf.DUMMYFUNCTION("""COMPUTED_VALUE"""),0)</f>
        <v>0</v>
      </c>
      <c r="H3656" s="7">
        <f ca="1">IFERROR(__xludf.DUMMYFUNCTION("""COMPUTED_VALUE"""),500000)</f>
        <v>500000</v>
      </c>
    </row>
    <row r="3657" spans="1:8" ht="13" x14ac:dyDescent="0.15">
      <c r="A3657" s="5" t="str">
        <f ca="1">IFERROR(__xludf.DUMMYFUNCTION("""COMPUTED_VALUE"""),"74972")</f>
        <v>74972</v>
      </c>
      <c r="B3657" s="51">
        <f ca="1">IFERROR(__xludf.DUMMYFUNCTION("""COMPUTED_VALUE"""),44616)</f>
        <v>44616</v>
      </c>
      <c r="C3657" s="22">
        <f ca="1">IFERROR(__xludf.DUMMYFUNCTION("""COMPUTED_VALUE"""),500000)</f>
        <v>500000</v>
      </c>
      <c r="D3657" s="22">
        <f ca="1">IFERROR(__xludf.DUMMYFUNCTION("""COMPUTED_VALUE"""),0)</f>
        <v>0</v>
      </c>
      <c r="E3657" s="22">
        <f ca="1">IFERROR(__xludf.DUMMYFUNCTION("""COMPUTED_VALUE"""),500000)</f>
        <v>500000</v>
      </c>
      <c r="F3657" s="22">
        <f ca="1">IFERROR(__xludf.DUMMYFUNCTION("""COMPUTED_VALUE"""),500000)</f>
        <v>500000</v>
      </c>
      <c r="G3657" s="22">
        <f ca="1">IFERROR(__xludf.DUMMYFUNCTION("""COMPUTED_VALUE"""),0)</f>
        <v>0</v>
      </c>
      <c r="H3657" s="7">
        <f ca="1">IFERROR(__xludf.DUMMYFUNCTION("""COMPUTED_VALUE"""),500000)</f>
        <v>500000</v>
      </c>
    </row>
    <row r="3658" spans="1:8" ht="13" x14ac:dyDescent="0.15">
      <c r="A3658" s="5" t="str">
        <f ca="1">IFERROR(__xludf.DUMMYFUNCTION("""COMPUTED_VALUE"""),"74972")</f>
        <v>74972</v>
      </c>
      <c r="B3658" s="51">
        <f ca="1">IFERROR(__xludf.DUMMYFUNCTION("""COMPUTED_VALUE"""),44617)</f>
        <v>44617</v>
      </c>
      <c r="C3658" s="22">
        <f ca="1">IFERROR(__xludf.DUMMYFUNCTION("""COMPUTED_VALUE"""),500000)</f>
        <v>500000</v>
      </c>
      <c r="D3658" s="22">
        <f ca="1">IFERROR(__xludf.DUMMYFUNCTION("""COMPUTED_VALUE"""),0)</f>
        <v>0</v>
      </c>
      <c r="E3658" s="22">
        <f ca="1">IFERROR(__xludf.DUMMYFUNCTION("""COMPUTED_VALUE"""),500000)</f>
        <v>500000</v>
      </c>
      <c r="F3658" s="22">
        <f ca="1">IFERROR(__xludf.DUMMYFUNCTION("""COMPUTED_VALUE"""),500000)</f>
        <v>500000</v>
      </c>
      <c r="G3658" s="22">
        <f ca="1">IFERROR(__xludf.DUMMYFUNCTION("""COMPUTED_VALUE"""),0)</f>
        <v>0</v>
      </c>
      <c r="H3658" s="7">
        <f ca="1">IFERROR(__xludf.DUMMYFUNCTION("""COMPUTED_VALUE"""),500000)</f>
        <v>500000</v>
      </c>
    </row>
    <row r="3659" spans="1:8" ht="13" x14ac:dyDescent="0.15">
      <c r="A3659" s="5" t="str">
        <f ca="1">IFERROR(__xludf.DUMMYFUNCTION("""COMPUTED_VALUE"""),"74972")</f>
        <v>74972</v>
      </c>
      <c r="B3659" s="51">
        <f ca="1">IFERROR(__xludf.DUMMYFUNCTION("""COMPUTED_VALUE"""),44618)</f>
        <v>44618</v>
      </c>
      <c r="C3659" s="22">
        <f ca="1">IFERROR(__xludf.DUMMYFUNCTION("""COMPUTED_VALUE"""),500000)</f>
        <v>500000</v>
      </c>
      <c r="D3659" s="22">
        <f ca="1">IFERROR(__xludf.DUMMYFUNCTION("""COMPUTED_VALUE"""),0)</f>
        <v>0</v>
      </c>
      <c r="E3659" s="22">
        <f ca="1">IFERROR(__xludf.DUMMYFUNCTION("""COMPUTED_VALUE"""),500000)</f>
        <v>500000</v>
      </c>
      <c r="F3659" s="22">
        <f ca="1">IFERROR(__xludf.DUMMYFUNCTION("""COMPUTED_VALUE"""),500000)</f>
        <v>500000</v>
      </c>
      <c r="G3659" s="22">
        <f ca="1">IFERROR(__xludf.DUMMYFUNCTION("""COMPUTED_VALUE"""),0)</f>
        <v>0</v>
      </c>
      <c r="H3659" s="7">
        <f ca="1">IFERROR(__xludf.DUMMYFUNCTION("""COMPUTED_VALUE"""),500000)</f>
        <v>500000</v>
      </c>
    </row>
    <row r="3660" spans="1:8" ht="13" x14ac:dyDescent="0.15">
      <c r="A3660" s="5" t="str">
        <f ca="1">IFERROR(__xludf.DUMMYFUNCTION("""COMPUTED_VALUE"""),"74972")</f>
        <v>74972</v>
      </c>
      <c r="B3660" s="51">
        <f ca="1">IFERROR(__xludf.DUMMYFUNCTION("""COMPUTED_VALUE"""),44619)</f>
        <v>44619</v>
      </c>
      <c r="C3660" s="22">
        <f ca="1">IFERROR(__xludf.DUMMYFUNCTION("""COMPUTED_VALUE"""),500000)</f>
        <v>500000</v>
      </c>
      <c r="D3660" s="22">
        <f ca="1">IFERROR(__xludf.DUMMYFUNCTION("""COMPUTED_VALUE"""),0)</f>
        <v>0</v>
      </c>
      <c r="E3660" s="22">
        <f ca="1">IFERROR(__xludf.DUMMYFUNCTION("""COMPUTED_VALUE"""),500000)</f>
        <v>500000</v>
      </c>
      <c r="F3660" s="22">
        <f ca="1">IFERROR(__xludf.DUMMYFUNCTION("""COMPUTED_VALUE"""),500000)</f>
        <v>500000</v>
      </c>
      <c r="G3660" s="22">
        <f ca="1">IFERROR(__xludf.DUMMYFUNCTION("""COMPUTED_VALUE"""),0)</f>
        <v>0</v>
      </c>
      <c r="H3660" s="7">
        <f ca="1">IFERROR(__xludf.DUMMYFUNCTION("""COMPUTED_VALUE"""),500000)</f>
        <v>500000</v>
      </c>
    </row>
    <row r="3661" spans="1:8" ht="13" x14ac:dyDescent="0.15">
      <c r="A3661" s="5" t="str">
        <f ca="1">IFERROR(__xludf.DUMMYFUNCTION("""COMPUTED_VALUE"""),"74972")</f>
        <v>74972</v>
      </c>
      <c r="B3661" s="51">
        <f ca="1">IFERROR(__xludf.DUMMYFUNCTION("""COMPUTED_VALUE"""),44620)</f>
        <v>44620</v>
      </c>
      <c r="C3661" s="22">
        <f ca="1">IFERROR(__xludf.DUMMYFUNCTION("""COMPUTED_VALUE"""),500000)</f>
        <v>500000</v>
      </c>
      <c r="D3661" s="22">
        <f ca="1">IFERROR(__xludf.DUMMYFUNCTION("""COMPUTED_VALUE"""),0)</f>
        <v>0</v>
      </c>
      <c r="E3661" s="22">
        <f ca="1">IFERROR(__xludf.DUMMYFUNCTION("""COMPUTED_VALUE"""),500000)</f>
        <v>500000</v>
      </c>
      <c r="F3661" s="22">
        <f ca="1">IFERROR(__xludf.DUMMYFUNCTION("""COMPUTED_VALUE"""),500000)</f>
        <v>500000</v>
      </c>
      <c r="G3661" s="22">
        <f ca="1">IFERROR(__xludf.DUMMYFUNCTION("""COMPUTED_VALUE"""),0)</f>
        <v>0</v>
      </c>
      <c r="H3661" s="7">
        <f ca="1">IFERROR(__xludf.DUMMYFUNCTION("""COMPUTED_VALUE"""),500000)</f>
        <v>500000</v>
      </c>
    </row>
    <row r="3662" spans="1:8" ht="13" x14ac:dyDescent="0.15">
      <c r="A3662" s="5" t="str">
        <f ca="1">IFERROR(__xludf.DUMMYFUNCTION("""COMPUTED_VALUE"""),"74972")</f>
        <v>74972</v>
      </c>
      <c r="B3662" s="51">
        <f ca="1">IFERROR(__xludf.DUMMYFUNCTION("""COMPUTED_VALUE"""),44621)</f>
        <v>44621</v>
      </c>
      <c r="C3662" s="22">
        <f ca="1">IFERROR(__xludf.DUMMYFUNCTION("""COMPUTED_VALUE"""),500000)</f>
        <v>500000</v>
      </c>
      <c r="D3662" s="22">
        <f ca="1">IFERROR(__xludf.DUMMYFUNCTION("""COMPUTED_VALUE"""),0)</f>
        <v>0</v>
      </c>
      <c r="E3662" s="22">
        <f ca="1">IFERROR(__xludf.DUMMYFUNCTION("""COMPUTED_VALUE"""),500000)</f>
        <v>500000</v>
      </c>
      <c r="F3662" s="22">
        <f ca="1">IFERROR(__xludf.DUMMYFUNCTION("""COMPUTED_VALUE"""),500000)</f>
        <v>500000</v>
      </c>
      <c r="G3662" s="22">
        <f ca="1">IFERROR(__xludf.DUMMYFUNCTION("""COMPUTED_VALUE"""),0)</f>
        <v>0</v>
      </c>
      <c r="H3662" s="7">
        <f ca="1">IFERROR(__xludf.DUMMYFUNCTION("""COMPUTED_VALUE"""),500000)</f>
        <v>500000</v>
      </c>
    </row>
    <row r="3663" spans="1:8" ht="13" x14ac:dyDescent="0.15">
      <c r="A3663" s="5" t="str">
        <f ca="1">IFERROR(__xludf.DUMMYFUNCTION("""COMPUTED_VALUE"""),"74972")</f>
        <v>74972</v>
      </c>
      <c r="B3663" s="51">
        <f ca="1">IFERROR(__xludf.DUMMYFUNCTION("""COMPUTED_VALUE"""),44622)</f>
        <v>44622</v>
      </c>
      <c r="C3663" s="22">
        <f ca="1">IFERROR(__xludf.DUMMYFUNCTION("""COMPUTED_VALUE"""),500000)</f>
        <v>500000</v>
      </c>
      <c r="D3663" s="22">
        <f ca="1">IFERROR(__xludf.DUMMYFUNCTION("""COMPUTED_VALUE"""),0)</f>
        <v>0</v>
      </c>
      <c r="E3663" s="22">
        <f ca="1">IFERROR(__xludf.DUMMYFUNCTION("""COMPUTED_VALUE"""),500000)</f>
        <v>500000</v>
      </c>
      <c r="F3663" s="22">
        <f ca="1">IFERROR(__xludf.DUMMYFUNCTION("""COMPUTED_VALUE"""),500000)</f>
        <v>500000</v>
      </c>
      <c r="G3663" s="22">
        <f ca="1">IFERROR(__xludf.DUMMYFUNCTION("""COMPUTED_VALUE"""),0)</f>
        <v>0</v>
      </c>
      <c r="H3663" s="7">
        <f ca="1">IFERROR(__xludf.DUMMYFUNCTION("""COMPUTED_VALUE"""),500000)</f>
        <v>500000</v>
      </c>
    </row>
    <row r="3664" spans="1:8" ht="13" x14ac:dyDescent="0.15">
      <c r="A3664" s="5" t="str">
        <f ca="1">IFERROR(__xludf.DUMMYFUNCTION("""COMPUTED_VALUE"""),"74972")</f>
        <v>74972</v>
      </c>
      <c r="B3664" s="51">
        <f ca="1">IFERROR(__xludf.DUMMYFUNCTION("""COMPUTED_VALUE"""),44623)</f>
        <v>44623</v>
      </c>
      <c r="C3664" s="22">
        <f ca="1">IFERROR(__xludf.DUMMYFUNCTION("""COMPUTED_VALUE"""),500000)</f>
        <v>500000</v>
      </c>
      <c r="D3664" s="22">
        <f ca="1">IFERROR(__xludf.DUMMYFUNCTION("""COMPUTED_VALUE"""),0)</f>
        <v>0</v>
      </c>
      <c r="E3664" s="22">
        <f ca="1">IFERROR(__xludf.DUMMYFUNCTION("""COMPUTED_VALUE"""),500000)</f>
        <v>500000</v>
      </c>
      <c r="F3664" s="22">
        <f ca="1">IFERROR(__xludf.DUMMYFUNCTION("""COMPUTED_VALUE"""),500000)</f>
        <v>500000</v>
      </c>
      <c r="G3664" s="22">
        <f ca="1">IFERROR(__xludf.DUMMYFUNCTION("""COMPUTED_VALUE"""),0)</f>
        <v>0</v>
      </c>
      <c r="H3664" s="7">
        <f ca="1">IFERROR(__xludf.DUMMYFUNCTION("""COMPUTED_VALUE"""),500000)</f>
        <v>500000</v>
      </c>
    </row>
    <row r="3665" spans="1:8" ht="13" x14ac:dyDescent="0.15">
      <c r="A3665" s="5" t="str">
        <f ca="1">IFERROR(__xludf.DUMMYFUNCTION("""COMPUTED_VALUE"""),"74972")</f>
        <v>74972</v>
      </c>
      <c r="B3665" s="51">
        <f ca="1">IFERROR(__xludf.DUMMYFUNCTION("""COMPUTED_VALUE"""),44624)</f>
        <v>44624</v>
      </c>
      <c r="C3665" s="22">
        <f ca="1">IFERROR(__xludf.DUMMYFUNCTION("""COMPUTED_VALUE"""),500000)</f>
        <v>500000</v>
      </c>
      <c r="D3665" s="22">
        <f ca="1">IFERROR(__xludf.DUMMYFUNCTION("""COMPUTED_VALUE"""),0)</f>
        <v>0</v>
      </c>
      <c r="E3665" s="22">
        <f ca="1">IFERROR(__xludf.DUMMYFUNCTION("""COMPUTED_VALUE"""),500000)</f>
        <v>500000</v>
      </c>
      <c r="F3665" s="22">
        <f ca="1">IFERROR(__xludf.DUMMYFUNCTION("""COMPUTED_VALUE"""),500000)</f>
        <v>500000</v>
      </c>
      <c r="G3665" s="22">
        <f ca="1">IFERROR(__xludf.DUMMYFUNCTION("""COMPUTED_VALUE"""),0)</f>
        <v>0</v>
      </c>
      <c r="H3665" s="7">
        <f ca="1">IFERROR(__xludf.DUMMYFUNCTION("""COMPUTED_VALUE"""),500000)</f>
        <v>500000</v>
      </c>
    </row>
    <row r="3666" spans="1:8" ht="13" x14ac:dyDescent="0.15">
      <c r="A3666" s="5" t="str">
        <f ca="1">IFERROR(__xludf.DUMMYFUNCTION("""COMPUTED_VALUE"""),"74972")</f>
        <v>74972</v>
      </c>
      <c r="B3666" s="51">
        <f ca="1">IFERROR(__xludf.DUMMYFUNCTION("""COMPUTED_VALUE"""),44625)</f>
        <v>44625</v>
      </c>
      <c r="C3666" s="22">
        <f ca="1">IFERROR(__xludf.DUMMYFUNCTION("""COMPUTED_VALUE"""),500000)</f>
        <v>500000</v>
      </c>
      <c r="D3666" s="22">
        <f ca="1">IFERROR(__xludf.DUMMYFUNCTION("""COMPUTED_VALUE"""),0)</f>
        <v>0</v>
      </c>
      <c r="E3666" s="22">
        <f ca="1">IFERROR(__xludf.DUMMYFUNCTION("""COMPUTED_VALUE"""),500000)</f>
        <v>500000</v>
      </c>
      <c r="F3666" s="22">
        <f ca="1">IFERROR(__xludf.DUMMYFUNCTION("""COMPUTED_VALUE"""),500000)</f>
        <v>500000</v>
      </c>
      <c r="G3666" s="22">
        <f ca="1">IFERROR(__xludf.DUMMYFUNCTION("""COMPUTED_VALUE"""),0)</f>
        <v>0</v>
      </c>
      <c r="H3666" s="7">
        <f ca="1">IFERROR(__xludf.DUMMYFUNCTION("""COMPUTED_VALUE"""),500000)</f>
        <v>500000</v>
      </c>
    </row>
    <row r="3667" spans="1:8" ht="13" x14ac:dyDescent="0.15">
      <c r="A3667" s="5" t="str">
        <f ca="1">IFERROR(__xludf.DUMMYFUNCTION("""COMPUTED_VALUE"""),"74972")</f>
        <v>74972</v>
      </c>
      <c r="B3667" s="51">
        <f ca="1">IFERROR(__xludf.DUMMYFUNCTION("""COMPUTED_VALUE"""),44626)</f>
        <v>44626</v>
      </c>
      <c r="C3667" s="22">
        <f ca="1">IFERROR(__xludf.DUMMYFUNCTION("""COMPUTED_VALUE"""),500000)</f>
        <v>500000</v>
      </c>
      <c r="D3667" s="22">
        <f ca="1">IFERROR(__xludf.DUMMYFUNCTION("""COMPUTED_VALUE"""),0)</f>
        <v>0</v>
      </c>
      <c r="E3667" s="22">
        <f ca="1">IFERROR(__xludf.DUMMYFUNCTION("""COMPUTED_VALUE"""),500000)</f>
        <v>500000</v>
      </c>
      <c r="F3667" s="22">
        <f ca="1">IFERROR(__xludf.DUMMYFUNCTION("""COMPUTED_VALUE"""),500000)</f>
        <v>500000</v>
      </c>
      <c r="G3667" s="22">
        <f ca="1">IFERROR(__xludf.DUMMYFUNCTION("""COMPUTED_VALUE"""),0)</f>
        <v>0</v>
      </c>
      <c r="H3667" s="7">
        <f ca="1">IFERROR(__xludf.DUMMYFUNCTION("""COMPUTED_VALUE"""),500000)</f>
        <v>500000</v>
      </c>
    </row>
    <row r="3668" spans="1:8" ht="13" x14ac:dyDescent="0.15">
      <c r="A3668" s="5" t="str">
        <f ca="1">IFERROR(__xludf.DUMMYFUNCTION("""COMPUTED_VALUE"""),"74972")</f>
        <v>74972</v>
      </c>
      <c r="B3668" s="51">
        <f ca="1">IFERROR(__xludf.DUMMYFUNCTION("""COMPUTED_VALUE"""),44627)</f>
        <v>44627</v>
      </c>
      <c r="C3668" s="22">
        <f ca="1">IFERROR(__xludf.DUMMYFUNCTION("""COMPUTED_VALUE"""),500000)</f>
        <v>500000</v>
      </c>
      <c r="D3668" s="22">
        <f ca="1">IFERROR(__xludf.DUMMYFUNCTION("""COMPUTED_VALUE"""),0)</f>
        <v>0</v>
      </c>
      <c r="E3668" s="22">
        <f ca="1">IFERROR(__xludf.DUMMYFUNCTION("""COMPUTED_VALUE"""),500000)</f>
        <v>500000</v>
      </c>
      <c r="F3668" s="22">
        <f ca="1">IFERROR(__xludf.DUMMYFUNCTION("""COMPUTED_VALUE"""),500000)</f>
        <v>500000</v>
      </c>
      <c r="G3668" s="22">
        <f ca="1">IFERROR(__xludf.DUMMYFUNCTION("""COMPUTED_VALUE"""),0)</f>
        <v>0</v>
      </c>
      <c r="H3668" s="7">
        <f ca="1">IFERROR(__xludf.DUMMYFUNCTION("""COMPUTED_VALUE"""),500000)</f>
        <v>500000</v>
      </c>
    </row>
    <row r="3669" spans="1:8" ht="13" x14ac:dyDescent="0.15">
      <c r="A3669" s="5" t="str">
        <f ca="1">IFERROR(__xludf.DUMMYFUNCTION("""COMPUTED_VALUE"""),"74972")</f>
        <v>74972</v>
      </c>
      <c r="B3669" s="51">
        <f ca="1">IFERROR(__xludf.DUMMYFUNCTION("""COMPUTED_VALUE"""),44628)</f>
        <v>44628</v>
      </c>
      <c r="C3669" s="22">
        <f ca="1">IFERROR(__xludf.DUMMYFUNCTION("""COMPUTED_VALUE"""),500000)</f>
        <v>500000</v>
      </c>
      <c r="D3669" s="22">
        <f ca="1">IFERROR(__xludf.DUMMYFUNCTION("""COMPUTED_VALUE"""),0)</f>
        <v>0</v>
      </c>
      <c r="E3669" s="22">
        <f ca="1">IFERROR(__xludf.DUMMYFUNCTION("""COMPUTED_VALUE"""),500000)</f>
        <v>500000</v>
      </c>
      <c r="F3669" s="22">
        <f ca="1">IFERROR(__xludf.DUMMYFUNCTION("""COMPUTED_VALUE"""),500000)</f>
        <v>500000</v>
      </c>
      <c r="G3669" s="22">
        <f ca="1">IFERROR(__xludf.DUMMYFUNCTION("""COMPUTED_VALUE"""),0)</f>
        <v>0</v>
      </c>
      <c r="H3669" s="7">
        <f ca="1">IFERROR(__xludf.DUMMYFUNCTION("""COMPUTED_VALUE"""),500000)</f>
        <v>500000</v>
      </c>
    </row>
    <row r="3670" spans="1:8" ht="13" x14ac:dyDescent="0.15">
      <c r="A3670" s="5" t="str">
        <f ca="1">IFERROR(__xludf.DUMMYFUNCTION("""COMPUTED_VALUE"""),"74972")</f>
        <v>74972</v>
      </c>
      <c r="B3670" s="51">
        <f ca="1">IFERROR(__xludf.DUMMYFUNCTION("""COMPUTED_VALUE"""),44629)</f>
        <v>44629</v>
      </c>
      <c r="C3670" s="22">
        <f ca="1">IFERROR(__xludf.DUMMYFUNCTION("""COMPUTED_VALUE"""),500000)</f>
        <v>500000</v>
      </c>
      <c r="D3670" s="22">
        <f ca="1">IFERROR(__xludf.DUMMYFUNCTION("""COMPUTED_VALUE"""),0)</f>
        <v>0</v>
      </c>
      <c r="E3670" s="22">
        <f ca="1">IFERROR(__xludf.DUMMYFUNCTION("""COMPUTED_VALUE"""),500000)</f>
        <v>500000</v>
      </c>
      <c r="F3670" s="22">
        <f ca="1">IFERROR(__xludf.DUMMYFUNCTION("""COMPUTED_VALUE"""),500000)</f>
        <v>500000</v>
      </c>
      <c r="G3670" s="22">
        <f ca="1">IFERROR(__xludf.DUMMYFUNCTION("""COMPUTED_VALUE"""),0)</f>
        <v>0</v>
      </c>
      <c r="H3670" s="7">
        <f ca="1">IFERROR(__xludf.DUMMYFUNCTION("""COMPUTED_VALUE"""),500000)</f>
        <v>500000</v>
      </c>
    </row>
    <row r="3671" spans="1:8" ht="13" x14ac:dyDescent="0.15">
      <c r="A3671" s="5" t="str">
        <f ca="1">IFERROR(__xludf.DUMMYFUNCTION("""COMPUTED_VALUE"""),"74972")</f>
        <v>74972</v>
      </c>
      <c r="B3671" s="51">
        <f ca="1">IFERROR(__xludf.DUMMYFUNCTION("""COMPUTED_VALUE"""),44630)</f>
        <v>44630</v>
      </c>
      <c r="C3671" s="22">
        <f ca="1">IFERROR(__xludf.DUMMYFUNCTION("""COMPUTED_VALUE"""),500000)</f>
        <v>500000</v>
      </c>
      <c r="D3671" s="22">
        <f ca="1">IFERROR(__xludf.DUMMYFUNCTION("""COMPUTED_VALUE"""),0)</f>
        <v>0</v>
      </c>
      <c r="E3671" s="22">
        <f ca="1">IFERROR(__xludf.DUMMYFUNCTION("""COMPUTED_VALUE"""),500000)</f>
        <v>500000</v>
      </c>
      <c r="F3671" s="22">
        <f ca="1">IFERROR(__xludf.DUMMYFUNCTION("""COMPUTED_VALUE"""),500000)</f>
        <v>500000</v>
      </c>
      <c r="G3671" s="22">
        <f ca="1">IFERROR(__xludf.DUMMYFUNCTION("""COMPUTED_VALUE"""),0)</f>
        <v>0</v>
      </c>
      <c r="H3671" s="7">
        <f ca="1">IFERROR(__xludf.DUMMYFUNCTION("""COMPUTED_VALUE"""),500000)</f>
        <v>500000</v>
      </c>
    </row>
    <row r="3672" spans="1:8" ht="13" x14ac:dyDescent="0.15">
      <c r="A3672" s="5" t="str">
        <f ca="1">IFERROR(__xludf.DUMMYFUNCTION("""COMPUTED_VALUE"""),"74972")</f>
        <v>74972</v>
      </c>
      <c r="B3672" s="51">
        <f ca="1">IFERROR(__xludf.DUMMYFUNCTION("""COMPUTED_VALUE"""),44631)</f>
        <v>44631</v>
      </c>
      <c r="C3672" s="22">
        <f ca="1">IFERROR(__xludf.DUMMYFUNCTION("""COMPUTED_VALUE"""),500000)</f>
        <v>500000</v>
      </c>
      <c r="D3672" s="22">
        <f ca="1">IFERROR(__xludf.DUMMYFUNCTION("""COMPUTED_VALUE"""),0)</f>
        <v>0</v>
      </c>
      <c r="E3672" s="22">
        <f ca="1">IFERROR(__xludf.DUMMYFUNCTION("""COMPUTED_VALUE"""),500000)</f>
        <v>500000</v>
      </c>
      <c r="F3672" s="22">
        <f ca="1">IFERROR(__xludf.DUMMYFUNCTION("""COMPUTED_VALUE"""),500000)</f>
        <v>500000</v>
      </c>
      <c r="G3672" s="22">
        <f ca="1">IFERROR(__xludf.DUMMYFUNCTION("""COMPUTED_VALUE"""),0)</f>
        <v>0</v>
      </c>
      <c r="H3672" s="7">
        <f ca="1">IFERROR(__xludf.DUMMYFUNCTION("""COMPUTED_VALUE"""),500000)</f>
        <v>500000</v>
      </c>
    </row>
    <row r="3673" spans="1:8" ht="13" x14ac:dyDescent="0.15">
      <c r="A3673" s="5" t="str">
        <f ca="1">IFERROR(__xludf.DUMMYFUNCTION("""COMPUTED_VALUE"""),"74972")</f>
        <v>74972</v>
      </c>
      <c r="B3673" s="51">
        <f ca="1">IFERROR(__xludf.DUMMYFUNCTION("""COMPUTED_VALUE"""),44632)</f>
        <v>44632</v>
      </c>
      <c r="C3673" s="22">
        <f ca="1">IFERROR(__xludf.DUMMYFUNCTION("""COMPUTED_VALUE"""),500000)</f>
        <v>500000</v>
      </c>
      <c r="D3673" s="22">
        <f ca="1">IFERROR(__xludf.DUMMYFUNCTION("""COMPUTED_VALUE"""),0)</f>
        <v>0</v>
      </c>
      <c r="E3673" s="22">
        <f ca="1">IFERROR(__xludf.DUMMYFUNCTION("""COMPUTED_VALUE"""),500000)</f>
        <v>500000</v>
      </c>
      <c r="F3673" s="22">
        <f ca="1">IFERROR(__xludf.DUMMYFUNCTION("""COMPUTED_VALUE"""),500000)</f>
        <v>500000</v>
      </c>
      <c r="G3673" s="22">
        <f ca="1">IFERROR(__xludf.DUMMYFUNCTION("""COMPUTED_VALUE"""),0)</f>
        <v>0</v>
      </c>
      <c r="H3673" s="7">
        <f ca="1">IFERROR(__xludf.DUMMYFUNCTION("""COMPUTED_VALUE"""),500000)</f>
        <v>500000</v>
      </c>
    </row>
    <row r="3674" spans="1:8" ht="13" x14ac:dyDescent="0.15">
      <c r="A3674" s="5" t="str">
        <f ca="1">IFERROR(__xludf.DUMMYFUNCTION("""COMPUTED_VALUE"""),"74972")</f>
        <v>74972</v>
      </c>
      <c r="B3674" s="51">
        <f ca="1">IFERROR(__xludf.DUMMYFUNCTION("""COMPUTED_VALUE"""),44633)</f>
        <v>44633</v>
      </c>
      <c r="C3674" s="22">
        <f ca="1">IFERROR(__xludf.DUMMYFUNCTION("""COMPUTED_VALUE"""),500000)</f>
        <v>500000</v>
      </c>
      <c r="D3674" s="22">
        <f ca="1">IFERROR(__xludf.DUMMYFUNCTION("""COMPUTED_VALUE"""),0)</f>
        <v>0</v>
      </c>
      <c r="E3674" s="22">
        <f ca="1">IFERROR(__xludf.DUMMYFUNCTION("""COMPUTED_VALUE"""),500000)</f>
        <v>500000</v>
      </c>
      <c r="F3674" s="22">
        <f ca="1">IFERROR(__xludf.DUMMYFUNCTION("""COMPUTED_VALUE"""),500000)</f>
        <v>500000</v>
      </c>
      <c r="G3674" s="22">
        <f ca="1">IFERROR(__xludf.DUMMYFUNCTION("""COMPUTED_VALUE"""),0)</f>
        <v>0</v>
      </c>
      <c r="H3674" s="7">
        <f ca="1">IFERROR(__xludf.DUMMYFUNCTION("""COMPUTED_VALUE"""),500000)</f>
        <v>500000</v>
      </c>
    </row>
    <row r="3675" spans="1:8" ht="13" x14ac:dyDescent="0.15">
      <c r="A3675" s="5" t="str">
        <f ca="1">IFERROR(__xludf.DUMMYFUNCTION("""COMPUTED_VALUE"""),"74972")</f>
        <v>74972</v>
      </c>
      <c r="B3675" s="51">
        <f ca="1">IFERROR(__xludf.DUMMYFUNCTION("""COMPUTED_VALUE"""),44634)</f>
        <v>44634</v>
      </c>
      <c r="C3675" s="22">
        <f ca="1">IFERROR(__xludf.DUMMYFUNCTION("""COMPUTED_VALUE"""),500000)</f>
        <v>500000</v>
      </c>
      <c r="D3675" s="22">
        <f ca="1">IFERROR(__xludf.DUMMYFUNCTION("""COMPUTED_VALUE"""),0)</f>
        <v>0</v>
      </c>
      <c r="E3675" s="22">
        <f ca="1">IFERROR(__xludf.DUMMYFUNCTION("""COMPUTED_VALUE"""),500000)</f>
        <v>500000</v>
      </c>
      <c r="F3675" s="22">
        <f ca="1">IFERROR(__xludf.DUMMYFUNCTION("""COMPUTED_VALUE"""),500000)</f>
        <v>500000</v>
      </c>
      <c r="G3675" s="22">
        <f ca="1">IFERROR(__xludf.DUMMYFUNCTION("""COMPUTED_VALUE"""),0)</f>
        <v>0</v>
      </c>
      <c r="H3675" s="7">
        <f ca="1">IFERROR(__xludf.DUMMYFUNCTION("""COMPUTED_VALUE"""),500000)</f>
        <v>500000</v>
      </c>
    </row>
    <row r="3676" spans="1:8" ht="13" x14ac:dyDescent="0.15">
      <c r="A3676" s="5" t="str">
        <f ca="1">IFERROR(__xludf.DUMMYFUNCTION("""COMPUTED_VALUE"""),"74972")</f>
        <v>74972</v>
      </c>
      <c r="B3676" s="51">
        <f ca="1">IFERROR(__xludf.DUMMYFUNCTION("""COMPUTED_VALUE"""),44635)</f>
        <v>44635</v>
      </c>
      <c r="C3676" s="22">
        <f ca="1">IFERROR(__xludf.DUMMYFUNCTION("""COMPUTED_VALUE"""),500000)</f>
        <v>500000</v>
      </c>
      <c r="D3676" s="22">
        <f ca="1">IFERROR(__xludf.DUMMYFUNCTION("""COMPUTED_VALUE"""),0)</f>
        <v>0</v>
      </c>
      <c r="E3676" s="22">
        <f ca="1">IFERROR(__xludf.DUMMYFUNCTION("""COMPUTED_VALUE"""),500000)</f>
        <v>500000</v>
      </c>
      <c r="F3676" s="22">
        <f ca="1">IFERROR(__xludf.DUMMYFUNCTION("""COMPUTED_VALUE"""),500000)</f>
        <v>500000</v>
      </c>
      <c r="G3676" s="22">
        <f ca="1">IFERROR(__xludf.DUMMYFUNCTION("""COMPUTED_VALUE"""),0)</f>
        <v>0</v>
      </c>
      <c r="H3676" s="7">
        <f ca="1">IFERROR(__xludf.DUMMYFUNCTION("""COMPUTED_VALUE"""),500000)</f>
        <v>500000</v>
      </c>
    </row>
    <row r="3677" spans="1:8" ht="13" x14ac:dyDescent="0.15">
      <c r="A3677" s="5" t="str">
        <f ca="1">IFERROR(__xludf.DUMMYFUNCTION("""COMPUTED_VALUE"""),"74972")</f>
        <v>74972</v>
      </c>
      <c r="B3677" s="51">
        <f ca="1">IFERROR(__xludf.DUMMYFUNCTION("""COMPUTED_VALUE"""),44636)</f>
        <v>44636</v>
      </c>
      <c r="C3677" s="22">
        <f ca="1">IFERROR(__xludf.DUMMYFUNCTION("""COMPUTED_VALUE"""),500000)</f>
        <v>500000</v>
      </c>
      <c r="D3677" s="22">
        <f ca="1">IFERROR(__xludf.DUMMYFUNCTION("""COMPUTED_VALUE"""),0)</f>
        <v>0</v>
      </c>
      <c r="E3677" s="22">
        <f ca="1">IFERROR(__xludf.DUMMYFUNCTION("""COMPUTED_VALUE"""),500000)</f>
        <v>500000</v>
      </c>
      <c r="F3677" s="22">
        <f ca="1">IFERROR(__xludf.DUMMYFUNCTION("""COMPUTED_VALUE"""),500000)</f>
        <v>500000</v>
      </c>
      <c r="G3677" s="22">
        <f ca="1">IFERROR(__xludf.DUMMYFUNCTION("""COMPUTED_VALUE"""),0)</f>
        <v>0</v>
      </c>
      <c r="H3677" s="7">
        <f ca="1">IFERROR(__xludf.DUMMYFUNCTION("""COMPUTED_VALUE"""),500000)</f>
        <v>500000</v>
      </c>
    </row>
    <row r="3678" spans="1:8" ht="13" x14ac:dyDescent="0.15">
      <c r="A3678" s="5" t="str">
        <f ca="1">IFERROR(__xludf.DUMMYFUNCTION("""COMPUTED_VALUE"""),"74972")</f>
        <v>74972</v>
      </c>
      <c r="B3678" s="51">
        <f ca="1">IFERROR(__xludf.DUMMYFUNCTION("""COMPUTED_VALUE"""),44637)</f>
        <v>44637</v>
      </c>
      <c r="C3678" s="22">
        <f ca="1">IFERROR(__xludf.DUMMYFUNCTION("""COMPUTED_VALUE"""),500000)</f>
        <v>500000</v>
      </c>
      <c r="D3678" s="22">
        <f ca="1">IFERROR(__xludf.DUMMYFUNCTION("""COMPUTED_VALUE"""),0)</f>
        <v>0</v>
      </c>
      <c r="E3678" s="22">
        <f ca="1">IFERROR(__xludf.DUMMYFUNCTION("""COMPUTED_VALUE"""),500000)</f>
        <v>500000</v>
      </c>
      <c r="F3678" s="22">
        <f ca="1">IFERROR(__xludf.DUMMYFUNCTION("""COMPUTED_VALUE"""),500000)</f>
        <v>500000</v>
      </c>
      <c r="G3678" s="22">
        <f ca="1">IFERROR(__xludf.DUMMYFUNCTION("""COMPUTED_VALUE"""),0)</f>
        <v>0</v>
      </c>
      <c r="H3678" s="7">
        <f ca="1">IFERROR(__xludf.DUMMYFUNCTION("""COMPUTED_VALUE"""),500000)</f>
        <v>500000</v>
      </c>
    </row>
    <row r="3679" spans="1:8" ht="13" x14ac:dyDescent="0.15">
      <c r="A3679" s="5" t="str">
        <f ca="1">IFERROR(__xludf.DUMMYFUNCTION("""COMPUTED_VALUE"""),"74972")</f>
        <v>74972</v>
      </c>
      <c r="B3679" s="51">
        <f ca="1">IFERROR(__xludf.DUMMYFUNCTION("""COMPUTED_VALUE"""),44638)</f>
        <v>44638</v>
      </c>
      <c r="C3679" s="22">
        <f ca="1">IFERROR(__xludf.DUMMYFUNCTION("""COMPUTED_VALUE"""),500000)</f>
        <v>500000</v>
      </c>
      <c r="D3679" s="22">
        <f ca="1">IFERROR(__xludf.DUMMYFUNCTION("""COMPUTED_VALUE"""),0)</f>
        <v>0</v>
      </c>
      <c r="E3679" s="22">
        <f ca="1">IFERROR(__xludf.DUMMYFUNCTION("""COMPUTED_VALUE"""),500000)</f>
        <v>500000</v>
      </c>
      <c r="F3679" s="22">
        <f ca="1">IFERROR(__xludf.DUMMYFUNCTION("""COMPUTED_VALUE"""),500000)</f>
        <v>500000</v>
      </c>
      <c r="G3679" s="22">
        <f ca="1">IFERROR(__xludf.DUMMYFUNCTION("""COMPUTED_VALUE"""),0)</f>
        <v>0</v>
      </c>
      <c r="H3679" s="7">
        <f ca="1">IFERROR(__xludf.DUMMYFUNCTION("""COMPUTED_VALUE"""),500000)</f>
        <v>500000</v>
      </c>
    </row>
    <row r="3680" spans="1:8" ht="13" x14ac:dyDescent="0.15">
      <c r="A3680" s="5" t="str">
        <f ca="1">IFERROR(__xludf.DUMMYFUNCTION("""COMPUTED_VALUE"""),"74972")</f>
        <v>74972</v>
      </c>
      <c r="B3680" s="51">
        <f ca="1">IFERROR(__xludf.DUMMYFUNCTION("""COMPUTED_VALUE"""),44639)</f>
        <v>44639</v>
      </c>
      <c r="C3680" s="22">
        <f ca="1">IFERROR(__xludf.DUMMYFUNCTION("""COMPUTED_VALUE"""),500000)</f>
        <v>500000</v>
      </c>
      <c r="D3680" s="22">
        <f ca="1">IFERROR(__xludf.DUMMYFUNCTION("""COMPUTED_VALUE"""),0)</f>
        <v>0</v>
      </c>
      <c r="E3680" s="22">
        <f ca="1">IFERROR(__xludf.DUMMYFUNCTION("""COMPUTED_VALUE"""),500000)</f>
        <v>500000</v>
      </c>
      <c r="F3680" s="22">
        <f ca="1">IFERROR(__xludf.DUMMYFUNCTION("""COMPUTED_VALUE"""),500000)</f>
        <v>500000</v>
      </c>
      <c r="G3680" s="22">
        <f ca="1">IFERROR(__xludf.DUMMYFUNCTION("""COMPUTED_VALUE"""),0)</f>
        <v>0</v>
      </c>
      <c r="H3680" s="7">
        <f ca="1">IFERROR(__xludf.DUMMYFUNCTION("""COMPUTED_VALUE"""),500000)</f>
        <v>500000</v>
      </c>
    </row>
    <row r="3681" spans="1:8" ht="13" x14ac:dyDescent="0.15">
      <c r="A3681" s="5" t="str">
        <f ca="1">IFERROR(__xludf.DUMMYFUNCTION("""COMPUTED_VALUE"""),"74972")</f>
        <v>74972</v>
      </c>
      <c r="B3681" s="51">
        <f ca="1">IFERROR(__xludf.DUMMYFUNCTION("""COMPUTED_VALUE"""),44640)</f>
        <v>44640</v>
      </c>
      <c r="C3681" s="22">
        <f ca="1">IFERROR(__xludf.DUMMYFUNCTION("""COMPUTED_VALUE"""),500000)</f>
        <v>500000</v>
      </c>
      <c r="D3681" s="22">
        <f ca="1">IFERROR(__xludf.DUMMYFUNCTION("""COMPUTED_VALUE"""),0)</f>
        <v>0</v>
      </c>
      <c r="E3681" s="22">
        <f ca="1">IFERROR(__xludf.DUMMYFUNCTION("""COMPUTED_VALUE"""),500000)</f>
        <v>500000</v>
      </c>
      <c r="F3681" s="22">
        <f ca="1">IFERROR(__xludf.DUMMYFUNCTION("""COMPUTED_VALUE"""),500000)</f>
        <v>500000</v>
      </c>
      <c r="G3681" s="22">
        <f ca="1">IFERROR(__xludf.DUMMYFUNCTION("""COMPUTED_VALUE"""),0)</f>
        <v>0</v>
      </c>
      <c r="H3681" s="7">
        <f ca="1">IFERROR(__xludf.DUMMYFUNCTION("""COMPUTED_VALUE"""),500000)</f>
        <v>500000</v>
      </c>
    </row>
    <row r="3682" spans="1:8" ht="13" x14ac:dyDescent="0.15">
      <c r="A3682" s="5" t="str">
        <f ca="1">IFERROR(__xludf.DUMMYFUNCTION("""COMPUTED_VALUE"""),"74972")</f>
        <v>74972</v>
      </c>
      <c r="B3682" s="51">
        <f ca="1">IFERROR(__xludf.DUMMYFUNCTION("""COMPUTED_VALUE"""),44641)</f>
        <v>44641</v>
      </c>
      <c r="C3682" s="22">
        <f ca="1">IFERROR(__xludf.DUMMYFUNCTION("""COMPUTED_VALUE"""),500000)</f>
        <v>500000</v>
      </c>
      <c r="D3682" s="22">
        <f ca="1">IFERROR(__xludf.DUMMYFUNCTION("""COMPUTED_VALUE"""),0)</f>
        <v>0</v>
      </c>
      <c r="E3682" s="22">
        <f ca="1">IFERROR(__xludf.DUMMYFUNCTION("""COMPUTED_VALUE"""),500000)</f>
        <v>500000</v>
      </c>
      <c r="F3682" s="22">
        <f ca="1">IFERROR(__xludf.DUMMYFUNCTION("""COMPUTED_VALUE"""),500000)</f>
        <v>500000</v>
      </c>
      <c r="G3682" s="22">
        <f ca="1">IFERROR(__xludf.DUMMYFUNCTION("""COMPUTED_VALUE"""),0)</f>
        <v>0</v>
      </c>
      <c r="H3682" s="7">
        <f ca="1">IFERROR(__xludf.DUMMYFUNCTION("""COMPUTED_VALUE"""),500000)</f>
        <v>500000</v>
      </c>
    </row>
    <row r="3683" spans="1:8" ht="13" x14ac:dyDescent="0.15">
      <c r="A3683" s="5" t="str">
        <f ca="1">IFERROR(__xludf.DUMMYFUNCTION("""COMPUTED_VALUE"""),"74972")</f>
        <v>74972</v>
      </c>
      <c r="B3683" s="51">
        <f ca="1">IFERROR(__xludf.DUMMYFUNCTION("""COMPUTED_VALUE"""),44642)</f>
        <v>44642</v>
      </c>
      <c r="C3683" s="22">
        <f ca="1">IFERROR(__xludf.DUMMYFUNCTION("""COMPUTED_VALUE"""),500000)</f>
        <v>500000</v>
      </c>
      <c r="D3683" s="22">
        <f ca="1">IFERROR(__xludf.DUMMYFUNCTION("""COMPUTED_VALUE"""),0)</f>
        <v>0</v>
      </c>
      <c r="E3683" s="22">
        <f ca="1">IFERROR(__xludf.DUMMYFUNCTION("""COMPUTED_VALUE"""),500000)</f>
        <v>500000</v>
      </c>
      <c r="F3683" s="22">
        <f ca="1">IFERROR(__xludf.DUMMYFUNCTION("""COMPUTED_VALUE"""),500000)</f>
        <v>500000</v>
      </c>
      <c r="G3683" s="22">
        <f ca="1">IFERROR(__xludf.DUMMYFUNCTION("""COMPUTED_VALUE"""),0)</f>
        <v>0</v>
      </c>
      <c r="H3683" s="7">
        <f ca="1">IFERROR(__xludf.DUMMYFUNCTION("""COMPUTED_VALUE"""),500000)</f>
        <v>500000</v>
      </c>
    </row>
    <row r="3684" spans="1:8" ht="13" x14ac:dyDescent="0.15">
      <c r="A3684" s="5" t="str">
        <f ca="1">IFERROR(__xludf.DUMMYFUNCTION("""COMPUTED_VALUE"""),"75005")</f>
        <v>75005</v>
      </c>
      <c r="B3684" s="51">
        <f ca="1">IFERROR(__xludf.DUMMYFUNCTION("""COMPUTED_VALUE"""),44597)</f>
        <v>44597</v>
      </c>
      <c r="C3684" s="22">
        <f ca="1">IFERROR(__xludf.DUMMYFUNCTION("""COMPUTED_VALUE"""),500000)</f>
        <v>500000</v>
      </c>
      <c r="D3684" s="22">
        <f ca="1">IFERROR(__xludf.DUMMYFUNCTION("""COMPUTED_VALUE"""),0)</f>
        <v>0</v>
      </c>
      <c r="E3684" s="22">
        <f ca="1">IFERROR(__xludf.DUMMYFUNCTION("""COMPUTED_VALUE"""),500000)</f>
        <v>500000</v>
      </c>
      <c r="F3684" s="22">
        <f ca="1">IFERROR(__xludf.DUMMYFUNCTION("""COMPUTED_VALUE"""),500000)</f>
        <v>500000</v>
      </c>
      <c r="G3684" s="22">
        <f ca="1">IFERROR(__xludf.DUMMYFUNCTION("""COMPUTED_VALUE"""),0)</f>
        <v>0</v>
      </c>
      <c r="H3684" s="7">
        <f ca="1">IFERROR(__xludf.DUMMYFUNCTION("""COMPUTED_VALUE"""),500000)</f>
        <v>500000</v>
      </c>
    </row>
    <row r="3685" spans="1:8" ht="13" x14ac:dyDescent="0.15">
      <c r="A3685" s="5" t="str">
        <f ca="1">IFERROR(__xludf.DUMMYFUNCTION("""COMPUTED_VALUE"""),"75005")</f>
        <v>75005</v>
      </c>
      <c r="B3685" s="51">
        <f ca="1">IFERROR(__xludf.DUMMYFUNCTION("""COMPUTED_VALUE"""),44598)</f>
        <v>44598</v>
      </c>
      <c r="C3685" s="22">
        <f ca="1">IFERROR(__xludf.DUMMYFUNCTION("""COMPUTED_VALUE"""),500000)</f>
        <v>500000</v>
      </c>
      <c r="D3685" s="22">
        <f ca="1">IFERROR(__xludf.DUMMYFUNCTION("""COMPUTED_VALUE"""),0)</f>
        <v>0</v>
      </c>
      <c r="E3685" s="22">
        <f ca="1">IFERROR(__xludf.DUMMYFUNCTION("""COMPUTED_VALUE"""),500000)</f>
        <v>500000</v>
      </c>
      <c r="F3685" s="22">
        <f ca="1">IFERROR(__xludf.DUMMYFUNCTION("""COMPUTED_VALUE"""),500000)</f>
        <v>500000</v>
      </c>
      <c r="G3685" s="22">
        <f ca="1">IFERROR(__xludf.DUMMYFUNCTION("""COMPUTED_VALUE"""),0)</f>
        <v>0</v>
      </c>
      <c r="H3685" s="7">
        <f ca="1">IFERROR(__xludf.DUMMYFUNCTION("""COMPUTED_VALUE"""),500000)</f>
        <v>500000</v>
      </c>
    </row>
    <row r="3686" spans="1:8" ht="13" x14ac:dyDescent="0.15">
      <c r="A3686" s="5" t="str">
        <f ca="1">IFERROR(__xludf.DUMMYFUNCTION("""COMPUTED_VALUE"""),"75005")</f>
        <v>75005</v>
      </c>
      <c r="B3686" s="51">
        <f ca="1">IFERROR(__xludf.DUMMYFUNCTION("""COMPUTED_VALUE"""),44599)</f>
        <v>44599</v>
      </c>
      <c r="C3686" s="22">
        <f ca="1">IFERROR(__xludf.DUMMYFUNCTION("""COMPUTED_VALUE"""),500000)</f>
        <v>500000</v>
      </c>
      <c r="D3686" s="22">
        <f ca="1">IFERROR(__xludf.DUMMYFUNCTION("""COMPUTED_VALUE"""),0)</f>
        <v>0</v>
      </c>
      <c r="E3686" s="22">
        <f ca="1">IFERROR(__xludf.DUMMYFUNCTION("""COMPUTED_VALUE"""),500000)</f>
        <v>500000</v>
      </c>
      <c r="F3686" s="22">
        <f ca="1">IFERROR(__xludf.DUMMYFUNCTION("""COMPUTED_VALUE"""),500000)</f>
        <v>500000</v>
      </c>
      <c r="G3686" s="22">
        <f ca="1">IFERROR(__xludf.DUMMYFUNCTION("""COMPUTED_VALUE"""),0)</f>
        <v>0</v>
      </c>
      <c r="H3686" s="7">
        <f ca="1">IFERROR(__xludf.DUMMYFUNCTION("""COMPUTED_VALUE"""),500000)</f>
        <v>500000</v>
      </c>
    </row>
    <row r="3687" spans="1:8" ht="13" x14ac:dyDescent="0.15">
      <c r="A3687" s="5" t="str">
        <f ca="1">IFERROR(__xludf.DUMMYFUNCTION("""COMPUTED_VALUE"""),"75005")</f>
        <v>75005</v>
      </c>
      <c r="B3687" s="51">
        <f ca="1">IFERROR(__xludf.DUMMYFUNCTION("""COMPUTED_VALUE"""),44600)</f>
        <v>44600</v>
      </c>
      <c r="C3687" s="22">
        <f ca="1">IFERROR(__xludf.DUMMYFUNCTION("""COMPUTED_VALUE"""),500000)</f>
        <v>500000</v>
      </c>
      <c r="D3687" s="22">
        <f ca="1">IFERROR(__xludf.DUMMYFUNCTION("""COMPUTED_VALUE"""),0)</f>
        <v>0</v>
      </c>
      <c r="E3687" s="22">
        <f ca="1">IFERROR(__xludf.DUMMYFUNCTION("""COMPUTED_VALUE"""),500000)</f>
        <v>500000</v>
      </c>
      <c r="F3687" s="22">
        <f ca="1">IFERROR(__xludf.DUMMYFUNCTION("""COMPUTED_VALUE"""),500000)</f>
        <v>500000</v>
      </c>
      <c r="G3687" s="22">
        <f ca="1">IFERROR(__xludf.DUMMYFUNCTION("""COMPUTED_VALUE"""),0)</f>
        <v>0</v>
      </c>
      <c r="H3687" s="7">
        <f ca="1">IFERROR(__xludf.DUMMYFUNCTION("""COMPUTED_VALUE"""),500000)</f>
        <v>500000</v>
      </c>
    </row>
    <row r="3688" spans="1:8" ht="13" x14ac:dyDescent="0.15">
      <c r="A3688" s="5" t="str">
        <f ca="1">IFERROR(__xludf.DUMMYFUNCTION("""COMPUTED_VALUE"""),"75005")</f>
        <v>75005</v>
      </c>
      <c r="B3688" s="51">
        <f ca="1">IFERROR(__xludf.DUMMYFUNCTION("""COMPUTED_VALUE"""),44601)</f>
        <v>44601</v>
      </c>
      <c r="C3688" s="22">
        <f ca="1">IFERROR(__xludf.DUMMYFUNCTION("""COMPUTED_VALUE"""),500000)</f>
        <v>500000</v>
      </c>
      <c r="D3688" s="22">
        <f ca="1">IFERROR(__xludf.DUMMYFUNCTION("""COMPUTED_VALUE"""),0)</f>
        <v>0</v>
      </c>
      <c r="E3688" s="22">
        <f ca="1">IFERROR(__xludf.DUMMYFUNCTION("""COMPUTED_VALUE"""),500000)</f>
        <v>500000</v>
      </c>
      <c r="F3688" s="22">
        <f ca="1">IFERROR(__xludf.DUMMYFUNCTION("""COMPUTED_VALUE"""),500000)</f>
        <v>500000</v>
      </c>
      <c r="G3688" s="22">
        <f ca="1">IFERROR(__xludf.DUMMYFUNCTION("""COMPUTED_VALUE"""),0)</f>
        <v>0</v>
      </c>
      <c r="H3688" s="7">
        <f ca="1">IFERROR(__xludf.DUMMYFUNCTION("""COMPUTED_VALUE"""),500000)</f>
        <v>500000</v>
      </c>
    </row>
    <row r="3689" spans="1:8" ht="13" x14ac:dyDescent="0.15">
      <c r="A3689" s="5" t="str">
        <f ca="1">IFERROR(__xludf.DUMMYFUNCTION("""COMPUTED_VALUE"""),"75005")</f>
        <v>75005</v>
      </c>
      <c r="B3689" s="51">
        <f ca="1">IFERROR(__xludf.DUMMYFUNCTION("""COMPUTED_VALUE"""),44602)</f>
        <v>44602</v>
      </c>
      <c r="C3689" s="22">
        <f ca="1">IFERROR(__xludf.DUMMYFUNCTION("""COMPUTED_VALUE"""),500000)</f>
        <v>500000</v>
      </c>
      <c r="D3689" s="22">
        <f ca="1">IFERROR(__xludf.DUMMYFUNCTION("""COMPUTED_VALUE"""),0)</f>
        <v>0</v>
      </c>
      <c r="E3689" s="22">
        <f ca="1">IFERROR(__xludf.DUMMYFUNCTION("""COMPUTED_VALUE"""),500000)</f>
        <v>500000</v>
      </c>
      <c r="F3689" s="22">
        <f ca="1">IFERROR(__xludf.DUMMYFUNCTION("""COMPUTED_VALUE"""),500000)</f>
        <v>500000</v>
      </c>
      <c r="G3689" s="22">
        <f ca="1">IFERROR(__xludf.DUMMYFUNCTION("""COMPUTED_VALUE"""),0)</f>
        <v>0</v>
      </c>
      <c r="H3689" s="7">
        <f ca="1">IFERROR(__xludf.DUMMYFUNCTION("""COMPUTED_VALUE"""),500000)</f>
        <v>500000</v>
      </c>
    </row>
    <row r="3690" spans="1:8" ht="13" x14ac:dyDescent="0.15">
      <c r="A3690" s="5" t="str">
        <f ca="1">IFERROR(__xludf.DUMMYFUNCTION("""COMPUTED_VALUE"""),"75005")</f>
        <v>75005</v>
      </c>
      <c r="B3690" s="51">
        <f ca="1">IFERROR(__xludf.DUMMYFUNCTION("""COMPUTED_VALUE"""),44603)</f>
        <v>44603</v>
      </c>
      <c r="C3690" s="22">
        <f ca="1">IFERROR(__xludf.DUMMYFUNCTION("""COMPUTED_VALUE"""),500000)</f>
        <v>500000</v>
      </c>
      <c r="D3690" s="22">
        <f ca="1">IFERROR(__xludf.DUMMYFUNCTION("""COMPUTED_VALUE"""),0)</f>
        <v>0</v>
      </c>
      <c r="E3690" s="22">
        <f ca="1">IFERROR(__xludf.DUMMYFUNCTION("""COMPUTED_VALUE"""),500000)</f>
        <v>500000</v>
      </c>
      <c r="F3690" s="22">
        <f ca="1">IFERROR(__xludf.DUMMYFUNCTION("""COMPUTED_VALUE"""),500000)</f>
        <v>500000</v>
      </c>
      <c r="G3690" s="22">
        <f ca="1">IFERROR(__xludf.DUMMYFUNCTION("""COMPUTED_VALUE"""),0)</f>
        <v>0</v>
      </c>
      <c r="H3690" s="7">
        <f ca="1">IFERROR(__xludf.DUMMYFUNCTION("""COMPUTED_VALUE"""),500000)</f>
        <v>500000</v>
      </c>
    </row>
    <row r="3691" spans="1:8" ht="13" x14ac:dyDescent="0.15">
      <c r="A3691" s="5" t="str">
        <f ca="1">IFERROR(__xludf.DUMMYFUNCTION("""COMPUTED_VALUE"""),"75005")</f>
        <v>75005</v>
      </c>
      <c r="B3691" s="51">
        <f ca="1">IFERROR(__xludf.DUMMYFUNCTION("""COMPUTED_VALUE"""),44604)</f>
        <v>44604</v>
      </c>
      <c r="C3691" s="22">
        <f ca="1">IFERROR(__xludf.DUMMYFUNCTION("""COMPUTED_VALUE"""),500000)</f>
        <v>500000</v>
      </c>
      <c r="D3691" s="22">
        <f ca="1">IFERROR(__xludf.DUMMYFUNCTION("""COMPUTED_VALUE"""),0)</f>
        <v>0</v>
      </c>
      <c r="E3691" s="22">
        <f ca="1">IFERROR(__xludf.DUMMYFUNCTION("""COMPUTED_VALUE"""),500000)</f>
        <v>500000</v>
      </c>
      <c r="F3691" s="22">
        <f ca="1">IFERROR(__xludf.DUMMYFUNCTION("""COMPUTED_VALUE"""),500000)</f>
        <v>500000</v>
      </c>
      <c r="G3691" s="22">
        <f ca="1">IFERROR(__xludf.DUMMYFUNCTION("""COMPUTED_VALUE"""),0)</f>
        <v>0</v>
      </c>
      <c r="H3691" s="7">
        <f ca="1">IFERROR(__xludf.DUMMYFUNCTION("""COMPUTED_VALUE"""),500000)</f>
        <v>500000</v>
      </c>
    </row>
    <row r="3692" spans="1:8" ht="13" x14ac:dyDescent="0.15">
      <c r="A3692" s="5" t="str">
        <f ca="1">IFERROR(__xludf.DUMMYFUNCTION("""COMPUTED_VALUE"""),"75005")</f>
        <v>75005</v>
      </c>
      <c r="B3692" s="51">
        <f ca="1">IFERROR(__xludf.DUMMYFUNCTION("""COMPUTED_VALUE"""),44605)</f>
        <v>44605</v>
      </c>
      <c r="C3692" s="22">
        <f ca="1">IFERROR(__xludf.DUMMYFUNCTION("""COMPUTED_VALUE"""),500000)</f>
        <v>500000</v>
      </c>
      <c r="D3692" s="22">
        <f ca="1">IFERROR(__xludf.DUMMYFUNCTION("""COMPUTED_VALUE"""),0)</f>
        <v>0</v>
      </c>
      <c r="E3692" s="22">
        <f ca="1">IFERROR(__xludf.DUMMYFUNCTION("""COMPUTED_VALUE"""),500000)</f>
        <v>500000</v>
      </c>
      <c r="F3692" s="22">
        <f ca="1">IFERROR(__xludf.DUMMYFUNCTION("""COMPUTED_VALUE"""),500000)</f>
        <v>500000</v>
      </c>
      <c r="G3692" s="22">
        <f ca="1">IFERROR(__xludf.DUMMYFUNCTION("""COMPUTED_VALUE"""),0)</f>
        <v>0</v>
      </c>
      <c r="H3692" s="7">
        <f ca="1">IFERROR(__xludf.DUMMYFUNCTION("""COMPUTED_VALUE"""),500000)</f>
        <v>500000</v>
      </c>
    </row>
    <row r="3693" spans="1:8" ht="13" x14ac:dyDescent="0.15">
      <c r="A3693" s="5" t="str">
        <f ca="1">IFERROR(__xludf.DUMMYFUNCTION("""COMPUTED_VALUE"""),"75005")</f>
        <v>75005</v>
      </c>
      <c r="B3693" s="51">
        <f ca="1">IFERROR(__xludf.DUMMYFUNCTION("""COMPUTED_VALUE"""),44606)</f>
        <v>44606</v>
      </c>
      <c r="C3693" s="22">
        <f ca="1">IFERROR(__xludf.DUMMYFUNCTION("""COMPUTED_VALUE"""),500000)</f>
        <v>500000</v>
      </c>
      <c r="D3693" s="22">
        <f ca="1">IFERROR(__xludf.DUMMYFUNCTION("""COMPUTED_VALUE"""),0)</f>
        <v>0</v>
      </c>
      <c r="E3693" s="22">
        <f ca="1">IFERROR(__xludf.DUMMYFUNCTION("""COMPUTED_VALUE"""),500000)</f>
        <v>500000</v>
      </c>
      <c r="F3693" s="22">
        <f ca="1">IFERROR(__xludf.DUMMYFUNCTION("""COMPUTED_VALUE"""),500000)</f>
        <v>500000</v>
      </c>
      <c r="G3693" s="22">
        <f ca="1">IFERROR(__xludf.DUMMYFUNCTION("""COMPUTED_VALUE"""),0)</f>
        <v>0</v>
      </c>
      <c r="H3693" s="7">
        <f ca="1">IFERROR(__xludf.DUMMYFUNCTION("""COMPUTED_VALUE"""),500000)</f>
        <v>500000</v>
      </c>
    </row>
    <row r="3694" spans="1:8" ht="13" x14ac:dyDescent="0.15">
      <c r="A3694" s="5" t="str">
        <f ca="1">IFERROR(__xludf.DUMMYFUNCTION("""COMPUTED_VALUE"""),"75005")</f>
        <v>75005</v>
      </c>
      <c r="B3694" s="51">
        <f ca="1">IFERROR(__xludf.DUMMYFUNCTION("""COMPUTED_VALUE"""),44607)</f>
        <v>44607</v>
      </c>
      <c r="C3694" s="22">
        <f ca="1">IFERROR(__xludf.DUMMYFUNCTION("""COMPUTED_VALUE"""),500000)</f>
        <v>500000</v>
      </c>
      <c r="D3694" s="22">
        <f ca="1">IFERROR(__xludf.DUMMYFUNCTION("""COMPUTED_VALUE"""),0)</f>
        <v>0</v>
      </c>
      <c r="E3694" s="22">
        <f ca="1">IFERROR(__xludf.DUMMYFUNCTION("""COMPUTED_VALUE"""),500000)</f>
        <v>500000</v>
      </c>
      <c r="F3694" s="22">
        <f ca="1">IFERROR(__xludf.DUMMYFUNCTION("""COMPUTED_VALUE"""),500000)</f>
        <v>500000</v>
      </c>
      <c r="G3694" s="22">
        <f ca="1">IFERROR(__xludf.DUMMYFUNCTION("""COMPUTED_VALUE"""),0)</f>
        <v>0</v>
      </c>
      <c r="H3694" s="7">
        <f ca="1">IFERROR(__xludf.DUMMYFUNCTION("""COMPUTED_VALUE"""),500000)</f>
        <v>500000</v>
      </c>
    </row>
    <row r="3695" spans="1:8" ht="13" x14ac:dyDescent="0.15">
      <c r="A3695" s="5" t="str">
        <f ca="1">IFERROR(__xludf.DUMMYFUNCTION("""COMPUTED_VALUE"""),"75005")</f>
        <v>75005</v>
      </c>
      <c r="B3695" s="51">
        <f ca="1">IFERROR(__xludf.DUMMYFUNCTION("""COMPUTED_VALUE"""),44608)</f>
        <v>44608</v>
      </c>
      <c r="C3695" s="22">
        <f ca="1">IFERROR(__xludf.DUMMYFUNCTION("""COMPUTED_VALUE"""),500000)</f>
        <v>500000</v>
      </c>
      <c r="D3695" s="22">
        <f ca="1">IFERROR(__xludf.DUMMYFUNCTION("""COMPUTED_VALUE"""),0)</f>
        <v>0</v>
      </c>
      <c r="E3695" s="22">
        <f ca="1">IFERROR(__xludf.DUMMYFUNCTION("""COMPUTED_VALUE"""),500000)</f>
        <v>500000</v>
      </c>
      <c r="F3695" s="22">
        <f ca="1">IFERROR(__xludf.DUMMYFUNCTION("""COMPUTED_VALUE"""),500000)</f>
        <v>500000</v>
      </c>
      <c r="G3695" s="22">
        <f ca="1">IFERROR(__xludf.DUMMYFUNCTION("""COMPUTED_VALUE"""),0)</f>
        <v>0</v>
      </c>
      <c r="H3695" s="7">
        <f ca="1">IFERROR(__xludf.DUMMYFUNCTION("""COMPUTED_VALUE"""),500000)</f>
        <v>500000</v>
      </c>
    </row>
    <row r="3696" spans="1:8" ht="13" x14ac:dyDescent="0.15">
      <c r="A3696" s="5" t="str">
        <f ca="1">IFERROR(__xludf.DUMMYFUNCTION("""COMPUTED_VALUE"""),"75005")</f>
        <v>75005</v>
      </c>
      <c r="B3696" s="51">
        <f ca="1">IFERROR(__xludf.DUMMYFUNCTION("""COMPUTED_VALUE"""),44609)</f>
        <v>44609</v>
      </c>
      <c r="C3696" s="22">
        <f ca="1">IFERROR(__xludf.DUMMYFUNCTION("""COMPUTED_VALUE"""),500000)</f>
        <v>500000</v>
      </c>
      <c r="D3696" s="22">
        <f ca="1">IFERROR(__xludf.DUMMYFUNCTION("""COMPUTED_VALUE"""),0)</f>
        <v>0</v>
      </c>
      <c r="E3696" s="22">
        <f ca="1">IFERROR(__xludf.DUMMYFUNCTION("""COMPUTED_VALUE"""),500000)</f>
        <v>500000</v>
      </c>
      <c r="F3696" s="22">
        <f ca="1">IFERROR(__xludf.DUMMYFUNCTION("""COMPUTED_VALUE"""),500000)</f>
        <v>500000</v>
      </c>
      <c r="G3696" s="22">
        <f ca="1">IFERROR(__xludf.DUMMYFUNCTION("""COMPUTED_VALUE"""),0)</f>
        <v>0</v>
      </c>
      <c r="H3696" s="7">
        <f ca="1">IFERROR(__xludf.DUMMYFUNCTION("""COMPUTED_VALUE"""),500000)</f>
        <v>500000</v>
      </c>
    </row>
    <row r="3697" spans="1:8" ht="13" x14ac:dyDescent="0.15">
      <c r="A3697" s="5" t="str">
        <f ca="1">IFERROR(__xludf.DUMMYFUNCTION("""COMPUTED_VALUE"""),"75005")</f>
        <v>75005</v>
      </c>
      <c r="B3697" s="51">
        <f ca="1">IFERROR(__xludf.DUMMYFUNCTION("""COMPUTED_VALUE"""),44610)</f>
        <v>44610</v>
      </c>
      <c r="C3697" s="22">
        <f ca="1">IFERROR(__xludf.DUMMYFUNCTION("""COMPUTED_VALUE"""),500000)</f>
        <v>500000</v>
      </c>
      <c r="D3697" s="22">
        <f ca="1">IFERROR(__xludf.DUMMYFUNCTION("""COMPUTED_VALUE"""),0)</f>
        <v>0</v>
      </c>
      <c r="E3697" s="22">
        <f ca="1">IFERROR(__xludf.DUMMYFUNCTION("""COMPUTED_VALUE"""),500000)</f>
        <v>500000</v>
      </c>
      <c r="F3697" s="22">
        <f ca="1">IFERROR(__xludf.DUMMYFUNCTION("""COMPUTED_VALUE"""),500000)</f>
        <v>500000</v>
      </c>
      <c r="G3697" s="22">
        <f ca="1">IFERROR(__xludf.DUMMYFUNCTION("""COMPUTED_VALUE"""),0)</f>
        <v>0</v>
      </c>
      <c r="H3697" s="7">
        <f ca="1">IFERROR(__xludf.DUMMYFUNCTION("""COMPUTED_VALUE"""),500000)</f>
        <v>500000</v>
      </c>
    </row>
    <row r="3698" spans="1:8" ht="13" x14ac:dyDescent="0.15">
      <c r="A3698" s="5" t="str">
        <f ca="1">IFERROR(__xludf.DUMMYFUNCTION("""COMPUTED_VALUE"""),"75005")</f>
        <v>75005</v>
      </c>
      <c r="B3698" s="51">
        <f ca="1">IFERROR(__xludf.DUMMYFUNCTION("""COMPUTED_VALUE"""),44611)</f>
        <v>44611</v>
      </c>
      <c r="C3698" s="22">
        <f ca="1">IFERROR(__xludf.DUMMYFUNCTION("""COMPUTED_VALUE"""),500000)</f>
        <v>500000</v>
      </c>
      <c r="D3698" s="22">
        <f ca="1">IFERROR(__xludf.DUMMYFUNCTION("""COMPUTED_VALUE"""),0)</f>
        <v>0</v>
      </c>
      <c r="E3698" s="22">
        <f ca="1">IFERROR(__xludf.DUMMYFUNCTION("""COMPUTED_VALUE"""),500000)</f>
        <v>500000</v>
      </c>
      <c r="F3698" s="22">
        <f ca="1">IFERROR(__xludf.DUMMYFUNCTION("""COMPUTED_VALUE"""),500000)</f>
        <v>500000</v>
      </c>
      <c r="G3698" s="22">
        <f ca="1">IFERROR(__xludf.DUMMYFUNCTION("""COMPUTED_VALUE"""),0)</f>
        <v>0</v>
      </c>
      <c r="H3698" s="7">
        <f ca="1">IFERROR(__xludf.DUMMYFUNCTION("""COMPUTED_VALUE"""),500000)</f>
        <v>500000</v>
      </c>
    </row>
    <row r="3699" spans="1:8" ht="13" x14ac:dyDescent="0.15">
      <c r="A3699" s="5" t="str">
        <f ca="1">IFERROR(__xludf.DUMMYFUNCTION("""COMPUTED_VALUE"""),"75005")</f>
        <v>75005</v>
      </c>
      <c r="B3699" s="51">
        <f ca="1">IFERROR(__xludf.DUMMYFUNCTION("""COMPUTED_VALUE"""),44612)</f>
        <v>44612</v>
      </c>
      <c r="C3699" s="22">
        <f ca="1">IFERROR(__xludf.DUMMYFUNCTION("""COMPUTED_VALUE"""),500000)</f>
        <v>500000</v>
      </c>
      <c r="D3699" s="22">
        <f ca="1">IFERROR(__xludf.DUMMYFUNCTION("""COMPUTED_VALUE"""),0)</f>
        <v>0</v>
      </c>
      <c r="E3699" s="22">
        <f ca="1">IFERROR(__xludf.DUMMYFUNCTION("""COMPUTED_VALUE"""),500000)</f>
        <v>500000</v>
      </c>
      <c r="F3699" s="22">
        <f ca="1">IFERROR(__xludf.DUMMYFUNCTION("""COMPUTED_VALUE"""),500000)</f>
        <v>500000</v>
      </c>
      <c r="G3699" s="22">
        <f ca="1">IFERROR(__xludf.DUMMYFUNCTION("""COMPUTED_VALUE"""),0)</f>
        <v>0</v>
      </c>
      <c r="H3699" s="7">
        <f ca="1">IFERROR(__xludf.DUMMYFUNCTION("""COMPUTED_VALUE"""),500000)</f>
        <v>500000</v>
      </c>
    </row>
    <row r="3700" spans="1:8" ht="13" x14ac:dyDescent="0.15">
      <c r="A3700" s="5" t="str">
        <f ca="1">IFERROR(__xludf.DUMMYFUNCTION("""COMPUTED_VALUE"""),"75005")</f>
        <v>75005</v>
      </c>
      <c r="B3700" s="51">
        <f ca="1">IFERROR(__xludf.DUMMYFUNCTION("""COMPUTED_VALUE"""),44613)</f>
        <v>44613</v>
      </c>
      <c r="C3700" s="22">
        <f ca="1">IFERROR(__xludf.DUMMYFUNCTION("""COMPUTED_VALUE"""),500000)</f>
        <v>500000</v>
      </c>
      <c r="D3700" s="22">
        <f ca="1">IFERROR(__xludf.DUMMYFUNCTION("""COMPUTED_VALUE"""),0)</f>
        <v>0</v>
      </c>
      <c r="E3700" s="22">
        <f ca="1">IFERROR(__xludf.DUMMYFUNCTION("""COMPUTED_VALUE"""),500000)</f>
        <v>500000</v>
      </c>
      <c r="F3700" s="22">
        <f ca="1">IFERROR(__xludf.DUMMYFUNCTION("""COMPUTED_VALUE"""),500000)</f>
        <v>500000</v>
      </c>
      <c r="G3700" s="22">
        <f ca="1">IFERROR(__xludf.DUMMYFUNCTION("""COMPUTED_VALUE"""),0)</f>
        <v>0</v>
      </c>
      <c r="H3700" s="7">
        <f ca="1">IFERROR(__xludf.DUMMYFUNCTION("""COMPUTED_VALUE"""),500000)</f>
        <v>500000</v>
      </c>
    </row>
    <row r="3701" spans="1:8" ht="13" x14ac:dyDescent="0.15">
      <c r="A3701" s="5" t="str">
        <f ca="1">IFERROR(__xludf.DUMMYFUNCTION("""COMPUTED_VALUE"""),"75005")</f>
        <v>75005</v>
      </c>
      <c r="B3701" s="51">
        <f ca="1">IFERROR(__xludf.DUMMYFUNCTION("""COMPUTED_VALUE"""),44614)</f>
        <v>44614</v>
      </c>
      <c r="C3701" s="22">
        <f ca="1">IFERROR(__xludf.DUMMYFUNCTION("""COMPUTED_VALUE"""),500000)</f>
        <v>500000</v>
      </c>
      <c r="D3701" s="22">
        <f ca="1">IFERROR(__xludf.DUMMYFUNCTION("""COMPUTED_VALUE"""),0)</f>
        <v>0</v>
      </c>
      <c r="E3701" s="22">
        <f ca="1">IFERROR(__xludf.DUMMYFUNCTION("""COMPUTED_VALUE"""),500000)</f>
        <v>500000</v>
      </c>
      <c r="F3701" s="22">
        <f ca="1">IFERROR(__xludf.DUMMYFUNCTION("""COMPUTED_VALUE"""),500000)</f>
        <v>500000</v>
      </c>
      <c r="G3701" s="22">
        <f ca="1">IFERROR(__xludf.DUMMYFUNCTION("""COMPUTED_VALUE"""),0)</f>
        <v>0</v>
      </c>
      <c r="H3701" s="7">
        <f ca="1">IFERROR(__xludf.DUMMYFUNCTION("""COMPUTED_VALUE"""),500000)</f>
        <v>500000</v>
      </c>
    </row>
    <row r="3702" spans="1:8" ht="13" x14ac:dyDescent="0.15">
      <c r="A3702" s="5" t="str">
        <f ca="1">IFERROR(__xludf.DUMMYFUNCTION("""COMPUTED_VALUE"""),"75005")</f>
        <v>75005</v>
      </c>
      <c r="B3702" s="51">
        <f ca="1">IFERROR(__xludf.DUMMYFUNCTION("""COMPUTED_VALUE"""),44615)</f>
        <v>44615</v>
      </c>
      <c r="C3702" s="22">
        <f ca="1">IFERROR(__xludf.DUMMYFUNCTION("""COMPUTED_VALUE"""),500000)</f>
        <v>500000</v>
      </c>
      <c r="D3702" s="22">
        <f ca="1">IFERROR(__xludf.DUMMYFUNCTION("""COMPUTED_VALUE"""),0)</f>
        <v>0</v>
      </c>
      <c r="E3702" s="22">
        <f ca="1">IFERROR(__xludf.DUMMYFUNCTION("""COMPUTED_VALUE"""),500000)</f>
        <v>500000</v>
      </c>
      <c r="F3702" s="22">
        <f ca="1">IFERROR(__xludf.DUMMYFUNCTION("""COMPUTED_VALUE"""),500000)</f>
        <v>500000</v>
      </c>
      <c r="G3702" s="22">
        <f ca="1">IFERROR(__xludf.DUMMYFUNCTION("""COMPUTED_VALUE"""),0)</f>
        <v>0</v>
      </c>
      <c r="H3702" s="7">
        <f ca="1">IFERROR(__xludf.DUMMYFUNCTION("""COMPUTED_VALUE"""),500000)</f>
        <v>500000</v>
      </c>
    </row>
    <row r="3703" spans="1:8" ht="13" x14ac:dyDescent="0.15">
      <c r="A3703" s="5" t="str">
        <f ca="1">IFERROR(__xludf.DUMMYFUNCTION("""COMPUTED_VALUE"""),"75005")</f>
        <v>75005</v>
      </c>
      <c r="B3703" s="51">
        <f ca="1">IFERROR(__xludf.DUMMYFUNCTION("""COMPUTED_VALUE"""),44616)</f>
        <v>44616</v>
      </c>
      <c r="C3703" s="22">
        <f ca="1">IFERROR(__xludf.DUMMYFUNCTION("""COMPUTED_VALUE"""),500000)</f>
        <v>500000</v>
      </c>
      <c r="D3703" s="22">
        <f ca="1">IFERROR(__xludf.DUMMYFUNCTION("""COMPUTED_VALUE"""),0)</f>
        <v>0</v>
      </c>
      <c r="E3703" s="22">
        <f ca="1">IFERROR(__xludf.DUMMYFUNCTION("""COMPUTED_VALUE"""),500000)</f>
        <v>500000</v>
      </c>
      <c r="F3703" s="22">
        <f ca="1">IFERROR(__xludf.DUMMYFUNCTION("""COMPUTED_VALUE"""),500000)</f>
        <v>500000</v>
      </c>
      <c r="G3703" s="22">
        <f ca="1">IFERROR(__xludf.DUMMYFUNCTION("""COMPUTED_VALUE"""),0)</f>
        <v>0</v>
      </c>
      <c r="H3703" s="7">
        <f ca="1">IFERROR(__xludf.DUMMYFUNCTION("""COMPUTED_VALUE"""),500000)</f>
        <v>500000</v>
      </c>
    </row>
    <row r="3704" spans="1:8" ht="13" x14ac:dyDescent="0.15">
      <c r="A3704" s="5" t="str">
        <f ca="1">IFERROR(__xludf.DUMMYFUNCTION("""COMPUTED_VALUE"""),"75005")</f>
        <v>75005</v>
      </c>
      <c r="B3704" s="51">
        <f ca="1">IFERROR(__xludf.DUMMYFUNCTION("""COMPUTED_VALUE"""),44617)</f>
        <v>44617</v>
      </c>
      <c r="C3704" s="22">
        <f ca="1">IFERROR(__xludf.DUMMYFUNCTION("""COMPUTED_VALUE"""),500000)</f>
        <v>500000</v>
      </c>
      <c r="D3704" s="22">
        <f ca="1">IFERROR(__xludf.DUMMYFUNCTION("""COMPUTED_VALUE"""),0)</f>
        <v>0</v>
      </c>
      <c r="E3704" s="22">
        <f ca="1">IFERROR(__xludf.DUMMYFUNCTION("""COMPUTED_VALUE"""),500000)</f>
        <v>500000</v>
      </c>
      <c r="F3704" s="22">
        <f ca="1">IFERROR(__xludf.DUMMYFUNCTION("""COMPUTED_VALUE"""),500000)</f>
        <v>500000</v>
      </c>
      <c r="G3704" s="22">
        <f ca="1">IFERROR(__xludf.DUMMYFUNCTION("""COMPUTED_VALUE"""),0)</f>
        <v>0</v>
      </c>
      <c r="H3704" s="7">
        <f ca="1">IFERROR(__xludf.DUMMYFUNCTION("""COMPUTED_VALUE"""),500000)</f>
        <v>500000</v>
      </c>
    </row>
    <row r="3705" spans="1:8" ht="13" x14ac:dyDescent="0.15">
      <c r="A3705" s="5" t="str">
        <f ca="1">IFERROR(__xludf.DUMMYFUNCTION("""COMPUTED_VALUE"""),"75005")</f>
        <v>75005</v>
      </c>
      <c r="B3705" s="51">
        <f ca="1">IFERROR(__xludf.DUMMYFUNCTION("""COMPUTED_VALUE"""),44618)</f>
        <v>44618</v>
      </c>
      <c r="C3705" s="22">
        <f ca="1">IFERROR(__xludf.DUMMYFUNCTION("""COMPUTED_VALUE"""),500000)</f>
        <v>500000</v>
      </c>
      <c r="D3705" s="22">
        <f ca="1">IFERROR(__xludf.DUMMYFUNCTION("""COMPUTED_VALUE"""),0)</f>
        <v>0</v>
      </c>
      <c r="E3705" s="22">
        <f ca="1">IFERROR(__xludf.DUMMYFUNCTION("""COMPUTED_VALUE"""),500000)</f>
        <v>500000</v>
      </c>
      <c r="F3705" s="22">
        <f ca="1">IFERROR(__xludf.DUMMYFUNCTION("""COMPUTED_VALUE"""),500000)</f>
        <v>500000</v>
      </c>
      <c r="G3705" s="22">
        <f ca="1">IFERROR(__xludf.DUMMYFUNCTION("""COMPUTED_VALUE"""),0)</f>
        <v>0</v>
      </c>
      <c r="H3705" s="7">
        <f ca="1">IFERROR(__xludf.DUMMYFUNCTION("""COMPUTED_VALUE"""),500000)</f>
        <v>500000</v>
      </c>
    </row>
    <row r="3706" spans="1:8" ht="13" x14ac:dyDescent="0.15">
      <c r="A3706" s="5" t="str">
        <f ca="1">IFERROR(__xludf.DUMMYFUNCTION("""COMPUTED_VALUE"""),"75005")</f>
        <v>75005</v>
      </c>
      <c r="B3706" s="51">
        <f ca="1">IFERROR(__xludf.DUMMYFUNCTION("""COMPUTED_VALUE"""),44619)</f>
        <v>44619</v>
      </c>
      <c r="C3706" s="22">
        <f ca="1">IFERROR(__xludf.DUMMYFUNCTION("""COMPUTED_VALUE"""),500000)</f>
        <v>500000</v>
      </c>
      <c r="D3706" s="22">
        <f ca="1">IFERROR(__xludf.DUMMYFUNCTION("""COMPUTED_VALUE"""),0)</f>
        <v>0</v>
      </c>
      <c r="E3706" s="22">
        <f ca="1">IFERROR(__xludf.DUMMYFUNCTION("""COMPUTED_VALUE"""),500000)</f>
        <v>500000</v>
      </c>
      <c r="F3706" s="22">
        <f ca="1">IFERROR(__xludf.DUMMYFUNCTION("""COMPUTED_VALUE"""),500000)</f>
        <v>500000</v>
      </c>
      <c r="G3706" s="22">
        <f ca="1">IFERROR(__xludf.DUMMYFUNCTION("""COMPUTED_VALUE"""),0)</f>
        <v>0</v>
      </c>
      <c r="H3706" s="7">
        <f ca="1">IFERROR(__xludf.DUMMYFUNCTION("""COMPUTED_VALUE"""),500000)</f>
        <v>500000</v>
      </c>
    </row>
    <row r="3707" spans="1:8" ht="13" x14ac:dyDescent="0.15">
      <c r="A3707" s="5" t="str">
        <f ca="1">IFERROR(__xludf.DUMMYFUNCTION("""COMPUTED_VALUE"""),"75005")</f>
        <v>75005</v>
      </c>
      <c r="B3707" s="51">
        <f ca="1">IFERROR(__xludf.DUMMYFUNCTION("""COMPUTED_VALUE"""),44620)</f>
        <v>44620</v>
      </c>
      <c r="C3707" s="22">
        <f ca="1">IFERROR(__xludf.DUMMYFUNCTION("""COMPUTED_VALUE"""),500000)</f>
        <v>500000</v>
      </c>
      <c r="D3707" s="22">
        <f ca="1">IFERROR(__xludf.DUMMYFUNCTION("""COMPUTED_VALUE"""),0)</f>
        <v>0</v>
      </c>
      <c r="E3707" s="22">
        <f ca="1">IFERROR(__xludf.DUMMYFUNCTION("""COMPUTED_VALUE"""),500000)</f>
        <v>500000</v>
      </c>
      <c r="F3707" s="22">
        <f ca="1">IFERROR(__xludf.DUMMYFUNCTION("""COMPUTED_VALUE"""),500000)</f>
        <v>500000</v>
      </c>
      <c r="G3707" s="22">
        <f ca="1">IFERROR(__xludf.DUMMYFUNCTION("""COMPUTED_VALUE"""),0)</f>
        <v>0</v>
      </c>
      <c r="H3707" s="7">
        <f ca="1">IFERROR(__xludf.DUMMYFUNCTION("""COMPUTED_VALUE"""),500000)</f>
        <v>500000</v>
      </c>
    </row>
    <row r="3708" spans="1:8" ht="13" x14ac:dyDescent="0.15">
      <c r="A3708" s="5" t="str">
        <f ca="1">IFERROR(__xludf.DUMMYFUNCTION("""COMPUTED_VALUE"""),"75005")</f>
        <v>75005</v>
      </c>
      <c r="B3708" s="51">
        <f ca="1">IFERROR(__xludf.DUMMYFUNCTION("""COMPUTED_VALUE"""),44621)</f>
        <v>44621</v>
      </c>
      <c r="C3708" s="22">
        <f ca="1">IFERROR(__xludf.DUMMYFUNCTION("""COMPUTED_VALUE"""),500000)</f>
        <v>500000</v>
      </c>
      <c r="D3708" s="22">
        <f ca="1">IFERROR(__xludf.DUMMYFUNCTION("""COMPUTED_VALUE"""),0)</f>
        <v>0</v>
      </c>
      <c r="E3708" s="22">
        <f ca="1">IFERROR(__xludf.DUMMYFUNCTION("""COMPUTED_VALUE"""),500000)</f>
        <v>500000</v>
      </c>
      <c r="F3708" s="22">
        <f ca="1">IFERROR(__xludf.DUMMYFUNCTION("""COMPUTED_VALUE"""),500000)</f>
        <v>500000</v>
      </c>
      <c r="G3708" s="22">
        <f ca="1">IFERROR(__xludf.DUMMYFUNCTION("""COMPUTED_VALUE"""),0)</f>
        <v>0</v>
      </c>
      <c r="H3708" s="7">
        <f ca="1">IFERROR(__xludf.DUMMYFUNCTION("""COMPUTED_VALUE"""),500000)</f>
        <v>500000</v>
      </c>
    </row>
    <row r="3709" spans="1:8" ht="13" x14ac:dyDescent="0.15">
      <c r="A3709" s="5" t="str">
        <f ca="1">IFERROR(__xludf.DUMMYFUNCTION("""COMPUTED_VALUE"""),"75005")</f>
        <v>75005</v>
      </c>
      <c r="B3709" s="51">
        <f ca="1">IFERROR(__xludf.DUMMYFUNCTION("""COMPUTED_VALUE"""),44622)</f>
        <v>44622</v>
      </c>
      <c r="C3709" s="22">
        <f ca="1">IFERROR(__xludf.DUMMYFUNCTION("""COMPUTED_VALUE"""),500000)</f>
        <v>500000</v>
      </c>
      <c r="D3709" s="22">
        <f ca="1">IFERROR(__xludf.DUMMYFUNCTION("""COMPUTED_VALUE"""),0)</f>
        <v>0</v>
      </c>
      <c r="E3709" s="22">
        <f ca="1">IFERROR(__xludf.DUMMYFUNCTION("""COMPUTED_VALUE"""),500000)</f>
        <v>500000</v>
      </c>
      <c r="F3709" s="22">
        <f ca="1">IFERROR(__xludf.DUMMYFUNCTION("""COMPUTED_VALUE"""),500000)</f>
        <v>500000</v>
      </c>
      <c r="G3709" s="22">
        <f ca="1">IFERROR(__xludf.DUMMYFUNCTION("""COMPUTED_VALUE"""),0)</f>
        <v>0</v>
      </c>
      <c r="H3709" s="7">
        <f ca="1">IFERROR(__xludf.DUMMYFUNCTION("""COMPUTED_VALUE"""),500000)</f>
        <v>500000</v>
      </c>
    </row>
    <row r="3710" spans="1:8" ht="13" x14ac:dyDescent="0.15">
      <c r="A3710" s="5" t="str">
        <f ca="1">IFERROR(__xludf.DUMMYFUNCTION("""COMPUTED_VALUE"""),"75005")</f>
        <v>75005</v>
      </c>
      <c r="B3710" s="51">
        <f ca="1">IFERROR(__xludf.DUMMYFUNCTION("""COMPUTED_VALUE"""),44623)</f>
        <v>44623</v>
      </c>
      <c r="C3710" s="22">
        <f ca="1">IFERROR(__xludf.DUMMYFUNCTION("""COMPUTED_VALUE"""),500000)</f>
        <v>500000</v>
      </c>
      <c r="D3710" s="22">
        <f ca="1">IFERROR(__xludf.DUMMYFUNCTION("""COMPUTED_VALUE"""),0)</f>
        <v>0</v>
      </c>
      <c r="E3710" s="22">
        <f ca="1">IFERROR(__xludf.DUMMYFUNCTION("""COMPUTED_VALUE"""),500000)</f>
        <v>500000</v>
      </c>
      <c r="F3710" s="22">
        <f ca="1">IFERROR(__xludf.DUMMYFUNCTION("""COMPUTED_VALUE"""),500000)</f>
        <v>500000</v>
      </c>
      <c r="G3710" s="22">
        <f ca="1">IFERROR(__xludf.DUMMYFUNCTION("""COMPUTED_VALUE"""),0)</f>
        <v>0</v>
      </c>
      <c r="H3710" s="7">
        <f ca="1">IFERROR(__xludf.DUMMYFUNCTION("""COMPUTED_VALUE"""),500000)</f>
        <v>500000</v>
      </c>
    </row>
    <row r="3711" spans="1:8" ht="13" x14ac:dyDescent="0.15">
      <c r="A3711" s="5" t="str">
        <f ca="1">IFERROR(__xludf.DUMMYFUNCTION("""COMPUTED_VALUE"""),"75005")</f>
        <v>75005</v>
      </c>
      <c r="B3711" s="51">
        <f ca="1">IFERROR(__xludf.DUMMYFUNCTION("""COMPUTED_VALUE"""),44624)</f>
        <v>44624</v>
      </c>
      <c r="C3711" s="22">
        <f ca="1">IFERROR(__xludf.DUMMYFUNCTION("""COMPUTED_VALUE"""),500000)</f>
        <v>500000</v>
      </c>
      <c r="D3711" s="22">
        <f ca="1">IFERROR(__xludf.DUMMYFUNCTION("""COMPUTED_VALUE"""),0)</f>
        <v>0</v>
      </c>
      <c r="E3711" s="22">
        <f ca="1">IFERROR(__xludf.DUMMYFUNCTION("""COMPUTED_VALUE"""),500000)</f>
        <v>500000</v>
      </c>
      <c r="F3711" s="22">
        <f ca="1">IFERROR(__xludf.DUMMYFUNCTION("""COMPUTED_VALUE"""),500000)</f>
        <v>500000</v>
      </c>
      <c r="G3711" s="22">
        <f ca="1">IFERROR(__xludf.DUMMYFUNCTION("""COMPUTED_VALUE"""),0)</f>
        <v>0</v>
      </c>
      <c r="H3711" s="7">
        <f ca="1">IFERROR(__xludf.DUMMYFUNCTION("""COMPUTED_VALUE"""),500000)</f>
        <v>500000</v>
      </c>
    </row>
    <row r="3712" spans="1:8" ht="13" x14ac:dyDescent="0.15">
      <c r="A3712" s="5" t="str">
        <f ca="1">IFERROR(__xludf.DUMMYFUNCTION("""COMPUTED_VALUE"""),"75005")</f>
        <v>75005</v>
      </c>
      <c r="B3712" s="51">
        <f ca="1">IFERROR(__xludf.DUMMYFUNCTION("""COMPUTED_VALUE"""),44625)</f>
        <v>44625</v>
      </c>
      <c r="C3712" s="22">
        <f ca="1">IFERROR(__xludf.DUMMYFUNCTION("""COMPUTED_VALUE"""),500000)</f>
        <v>500000</v>
      </c>
      <c r="D3712" s="22">
        <f ca="1">IFERROR(__xludf.DUMMYFUNCTION("""COMPUTED_VALUE"""),0)</f>
        <v>0</v>
      </c>
      <c r="E3712" s="22">
        <f ca="1">IFERROR(__xludf.DUMMYFUNCTION("""COMPUTED_VALUE"""),500000)</f>
        <v>500000</v>
      </c>
      <c r="F3712" s="22">
        <f ca="1">IFERROR(__xludf.DUMMYFUNCTION("""COMPUTED_VALUE"""),500000)</f>
        <v>500000</v>
      </c>
      <c r="G3712" s="22">
        <f ca="1">IFERROR(__xludf.DUMMYFUNCTION("""COMPUTED_VALUE"""),0)</f>
        <v>0</v>
      </c>
      <c r="H3712" s="7">
        <f ca="1">IFERROR(__xludf.DUMMYFUNCTION("""COMPUTED_VALUE"""),500000)</f>
        <v>500000</v>
      </c>
    </row>
    <row r="3713" spans="1:8" ht="13" x14ac:dyDescent="0.15">
      <c r="A3713" s="5" t="str">
        <f ca="1">IFERROR(__xludf.DUMMYFUNCTION("""COMPUTED_VALUE"""),"75005")</f>
        <v>75005</v>
      </c>
      <c r="B3713" s="51">
        <f ca="1">IFERROR(__xludf.DUMMYFUNCTION("""COMPUTED_VALUE"""),44626)</f>
        <v>44626</v>
      </c>
      <c r="C3713" s="22">
        <f ca="1">IFERROR(__xludf.DUMMYFUNCTION("""COMPUTED_VALUE"""),500000)</f>
        <v>500000</v>
      </c>
      <c r="D3713" s="22">
        <f ca="1">IFERROR(__xludf.DUMMYFUNCTION("""COMPUTED_VALUE"""),0)</f>
        <v>0</v>
      </c>
      <c r="E3713" s="22">
        <f ca="1">IFERROR(__xludf.DUMMYFUNCTION("""COMPUTED_VALUE"""),500000)</f>
        <v>500000</v>
      </c>
      <c r="F3713" s="22">
        <f ca="1">IFERROR(__xludf.DUMMYFUNCTION("""COMPUTED_VALUE"""),500000)</f>
        <v>500000</v>
      </c>
      <c r="G3713" s="22">
        <f ca="1">IFERROR(__xludf.DUMMYFUNCTION("""COMPUTED_VALUE"""),0)</f>
        <v>0</v>
      </c>
      <c r="H3713" s="7">
        <f ca="1">IFERROR(__xludf.DUMMYFUNCTION("""COMPUTED_VALUE"""),500000)</f>
        <v>500000</v>
      </c>
    </row>
    <row r="3714" spans="1:8" ht="13" x14ac:dyDescent="0.15">
      <c r="A3714" s="5" t="str">
        <f ca="1">IFERROR(__xludf.DUMMYFUNCTION("""COMPUTED_VALUE"""),"75005")</f>
        <v>75005</v>
      </c>
      <c r="B3714" s="51">
        <f ca="1">IFERROR(__xludf.DUMMYFUNCTION("""COMPUTED_VALUE"""),44627)</f>
        <v>44627</v>
      </c>
      <c r="C3714" s="22">
        <f ca="1">IFERROR(__xludf.DUMMYFUNCTION("""COMPUTED_VALUE"""),500000)</f>
        <v>500000</v>
      </c>
      <c r="D3714" s="22">
        <f ca="1">IFERROR(__xludf.DUMMYFUNCTION("""COMPUTED_VALUE"""),0)</f>
        <v>0</v>
      </c>
      <c r="E3714" s="22">
        <f ca="1">IFERROR(__xludf.DUMMYFUNCTION("""COMPUTED_VALUE"""),500000)</f>
        <v>500000</v>
      </c>
      <c r="F3714" s="22">
        <f ca="1">IFERROR(__xludf.DUMMYFUNCTION("""COMPUTED_VALUE"""),500000)</f>
        <v>500000</v>
      </c>
      <c r="G3714" s="22">
        <f ca="1">IFERROR(__xludf.DUMMYFUNCTION("""COMPUTED_VALUE"""),0)</f>
        <v>0</v>
      </c>
      <c r="H3714" s="7">
        <f ca="1">IFERROR(__xludf.DUMMYFUNCTION("""COMPUTED_VALUE"""),500000)</f>
        <v>500000</v>
      </c>
    </row>
    <row r="3715" spans="1:8" ht="13" x14ac:dyDescent="0.15">
      <c r="A3715" s="5" t="str">
        <f ca="1">IFERROR(__xludf.DUMMYFUNCTION("""COMPUTED_VALUE"""),"75005")</f>
        <v>75005</v>
      </c>
      <c r="B3715" s="51">
        <f ca="1">IFERROR(__xludf.DUMMYFUNCTION("""COMPUTED_VALUE"""),44628)</f>
        <v>44628</v>
      </c>
      <c r="C3715" s="22">
        <f ca="1">IFERROR(__xludf.DUMMYFUNCTION("""COMPUTED_VALUE"""),500000)</f>
        <v>500000</v>
      </c>
      <c r="D3715" s="22">
        <f ca="1">IFERROR(__xludf.DUMMYFUNCTION("""COMPUTED_VALUE"""),0)</f>
        <v>0</v>
      </c>
      <c r="E3715" s="22">
        <f ca="1">IFERROR(__xludf.DUMMYFUNCTION("""COMPUTED_VALUE"""),500000)</f>
        <v>500000</v>
      </c>
      <c r="F3715" s="22">
        <f ca="1">IFERROR(__xludf.DUMMYFUNCTION("""COMPUTED_VALUE"""),500000)</f>
        <v>500000</v>
      </c>
      <c r="G3715" s="22">
        <f ca="1">IFERROR(__xludf.DUMMYFUNCTION("""COMPUTED_VALUE"""),0)</f>
        <v>0</v>
      </c>
      <c r="H3715" s="7">
        <f ca="1">IFERROR(__xludf.DUMMYFUNCTION("""COMPUTED_VALUE"""),500000)</f>
        <v>500000</v>
      </c>
    </row>
    <row r="3716" spans="1:8" ht="13" x14ac:dyDescent="0.15">
      <c r="A3716" s="5" t="str">
        <f ca="1">IFERROR(__xludf.DUMMYFUNCTION("""COMPUTED_VALUE"""),"75005")</f>
        <v>75005</v>
      </c>
      <c r="B3716" s="51">
        <f ca="1">IFERROR(__xludf.DUMMYFUNCTION("""COMPUTED_VALUE"""),44629)</f>
        <v>44629</v>
      </c>
      <c r="C3716" s="22">
        <f ca="1">IFERROR(__xludf.DUMMYFUNCTION("""COMPUTED_VALUE"""),500000)</f>
        <v>500000</v>
      </c>
      <c r="D3716" s="22">
        <f ca="1">IFERROR(__xludf.DUMMYFUNCTION("""COMPUTED_VALUE"""),0)</f>
        <v>0</v>
      </c>
      <c r="E3716" s="22">
        <f ca="1">IFERROR(__xludf.DUMMYFUNCTION("""COMPUTED_VALUE"""),500000)</f>
        <v>500000</v>
      </c>
      <c r="F3716" s="22">
        <f ca="1">IFERROR(__xludf.DUMMYFUNCTION("""COMPUTED_VALUE"""),500000)</f>
        <v>500000</v>
      </c>
      <c r="G3716" s="22">
        <f ca="1">IFERROR(__xludf.DUMMYFUNCTION("""COMPUTED_VALUE"""),0)</f>
        <v>0</v>
      </c>
      <c r="H3716" s="7">
        <f ca="1">IFERROR(__xludf.DUMMYFUNCTION("""COMPUTED_VALUE"""),500000)</f>
        <v>500000</v>
      </c>
    </row>
    <row r="3717" spans="1:8" ht="13" x14ac:dyDescent="0.15">
      <c r="A3717" s="5" t="str">
        <f ca="1">IFERROR(__xludf.DUMMYFUNCTION("""COMPUTED_VALUE"""),"75005")</f>
        <v>75005</v>
      </c>
      <c r="B3717" s="51">
        <f ca="1">IFERROR(__xludf.DUMMYFUNCTION("""COMPUTED_VALUE"""),44630)</f>
        <v>44630</v>
      </c>
      <c r="C3717" s="22">
        <f ca="1">IFERROR(__xludf.DUMMYFUNCTION("""COMPUTED_VALUE"""),500000)</f>
        <v>500000</v>
      </c>
      <c r="D3717" s="22">
        <f ca="1">IFERROR(__xludf.DUMMYFUNCTION("""COMPUTED_VALUE"""),0)</f>
        <v>0</v>
      </c>
      <c r="E3717" s="22">
        <f ca="1">IFERROR(__xludf.DUMMYFUNCTION("""COMPUTED_VALUE"""),500000)</f>
        <v>500000</v>
      </c>
      <c r="F3717" s="22">
        <f ca="1">IFERROR(__xludf.DUMMYFUNCTION("""COMPUTED_VALUE"""),500000)</f>
        <v>500000</v>
      </c>
      <c r="G3717" s="22">
        <f ca="1">IFERROR(__xludf.DUMMYFUNCTION("""COMPUTED_VALUE"""),0)</f>
        <v>0</v>
      </c>
      <c r="H3717" s="7">
        <f ca="1">IFERROR(__xludf.DUMMYFUNCTION("""COMPUTED_VALUE"""),500000)</f>
        <v>500000</v>
      </c>
    </row>
    <row r="3718" spans="1:8" ht="13" x14ac:dyDescent="0.15">
      <c r="A3718" s="5" t="str">
        <f ca="1">IFERROR(__xludf.DUMMYFUNCTION("""COMPUTED_VALUE"""),"75005")</f>
        <v>75005</v>
      </c>
      <c r="B3718" s="51">
        <f ca="1">IFERROR(__xludf.DUMMYFUNCTION("""COMPUTED_VALUE"""),44631)</f>
        <v>44631</v>
      </c>
      <c r="C3718" s="22">
        <f ca="1">IFERROR(__xludf.DUMMYFUNCTION("""COMPUTED_VALUE"""),500000)</f>
        <v>500000</v>
      </c>
      <c r="D3718" s="22">
        <f ca="1">IFERROR(__xludf.DUMMYFUNCTION("""COMPUTED_VALUE"""),0)</f>
        <v>0</v>
      </c>
      <c r="E3718" s="22">
        <f ca="1">IFERROR(__xludf.DUMMYFUNCTION("""COMPUTED_VALUE"""),500000)</f>
        <v>500000</v>
      </c>
      <c r="F3718" s="22">
        <f ca="1">IFERROR(__xludf.DUMMYFUNCTION("""COMPUTED_VALUE"""),500000)</f>
        <v>500000</v>
      </c>
      <c r="G3718" s="22">
        <f ca="1">IFERROR(__xludf.DUMMYFUNCTION("""COMPUTED_VALUE"""),0)</f>
        <v>0</v>
      </c>
      <c r="H3718" s="7">
        <f ca="1">IFERROR(__xludf.DUMMYFUNCTION("""COMPUTED_VALUE"""),500000)</f>
        <v>500000</v>
      </c>
    </row>
    <row r="3719" spans="1:8" ht="13" x14ac:dyDescent="0.15">
      <c r="A3719" s="5" t="str">
        <f ca="1">IFERROR(__xludf.DUMMYFUNCTION("""COMPUTED_VALUE"""),"75005")</f>
        <v>75005</v>
      </c>
      <c r="B3719" s="51">
        <f ca="1">IFERROR(__xludf.DUMMYFUNCTION("""COMPUTED_VALUE"""),44632)</f>
        <v>44632</v>
      </c>
      <c r="C3719" s="22">
        <f ca="1">IFERROR(__xludf.DUMMYFUNCTION("""COMPUTED_VALUE"""),500000)</f>
        <v>500000</v>
      </c>
      <c r="D3719" s="22">
        <f ca="1">IFERROR(__xludf.DUMMYFUNCTION("""COMPUTED_VALUE"""),0)</f>
        <v>0</v>
      </c>
      <c r="E3719" s="22">
        <f ca="1">IFERROR(__xludf.DUMMYFUNCTION("""COMPUTED_VALUE"""),500000)</f>
        <v>500000</v>
      </c>
      <c r="F3719" s="22">
        <f ca="1">IFERROR(__xludf.DUMMYFUNCTION("""COMPUTED_VALUE"""),500000)</f>
        <v>500000</v>
      </c>
      <c r="G3719" s="22">
        <f ca="1">IFERROR(__xludf.DUMMYFUNCTION("""COMPUTED_VALUE"""),0)</f>
        <v>0</v>
      </c>
      <c r="H3719" s="7">
        <f ca="1">IFERROR(__xludf.DUMMYFUNCTION("""COMPUTED_VALUE"""),500000)</f>
        <v>500000</v>
      </c>
    </row>
    <row r="3720" spans="1:8" ht="13" x14ac:dyDescent="0.15">
      <c r="A3720" s="5" t="str">
        <f ca="1">IFERROR(__xludf.DUMMYFUNCTION("""COMPUTED_VALUE"""),"75005")</f>
        <v>75005</v>
      </c>
      <c r="B3720" s="51">
        <f ca="1">IFERROR(__xludf.DUMMYFUNCTION("""COMPUTED_VALUE"""),44633)</f>
        <v>44633</v>
      </c>
      <c r="C3720" s="22">
        <f ca="1">IFERROR(__xludf.DUMMYFUNCTION("""COMPUTED_VALUE"""),500000)</f>
        <v>500000</v>
      </c>
      <c r="D3720" s="22">
        <f ca="1">IFERROR(__xludf.DUMMYFUNCTION("""COMPUTED_VALUE"""),0)</f>
        <v>0</v>
      </c>
      <c r="E3720" s="22">
        <f ca="1">IFERROR(__xludf.DUMMYFUNCTION("""COMPUTED_VALUE"""),500000)</f>
        <v>500000</v>
      </c>
      <c r="F3720" s="22">
        <f ca="1">IFERROR(__xludf.DUMMYFUNCTION("""COMPUTED_VALUE"""),500000)</f>
        <v>500000</v>
      </c>
      <c r="G3720" s="22">
        <f ca="1">IFERROR(__xludf.DUMMYFUNCTION("""COMPUTED_VALUE"""),0)</f>
        <v>0</v>
      </c>
      <c r="H3720" s="7">
        <f ca="1">IFERROR(__xludf.DUMMYFUNCTION("""COMPUTED_VALUE"""),500000)</f>
        <v>500000</v>
      </c>
    </row>
    <row r="3721" spans="1:8" ht="13" x14ac:dyDescent="0.15">
      <c r="A3721" s="5" t="str">
        <f ca="1">IFERROR(__xludf.DUMMYFUNCTION("""COMPUTED_VALUE"""),"75005")</f>
        <v>75005</v>
      </c>
      <c r="B3721" s="51">
        <f ca="1">IFERROR(__xludf.DUMMYFUNCTION("""COMPUTED_VALUE"""),44634)</f>
        <v>44634</v>
      </c>
      <c r="C3721" s="22">
        <f ca="1">IFERROR(__xludf.DUMMYFUNCTION("""COMPUTED_VALUE"""),500000)</f>
        <v>500000</v>
      </c>
      <c r="D3721" s="22">
        <f ca="1">IFERROR(__xludf.DUMMYFUNCTION("""COMPUTED_VALUE"""),0)</f>
        <v>0</v>
      </c>
      <c r="E3721" s="22">
        <f ca="1">IFERROR(__xludf.DUMMYFUNCTION("""COMPUTED_VALUE"""),500000)</f>
        <v>500000</v>
      </c>
      <c r="F3721" s="22">
        <f ca="1">IFERROR(__xludf.DUMMYFUNCTION("""COMPUTED_VALUE"""),500000)</f>
        <v>500000</v>
      </c>
      <c r="G3721" s="22">
        <f ca="1">IFERROR(__xludf.DUMMYFUNCTION("""COMPUTED_VALUE"""),0)</f>
        <v>0</v>
      </c>
      <c r="H3721" s="7">
        <f ca="1">IFERROR(__xludf.DUMMYFUNCTION("""COMPUTED_VALUE"""),500000)</f>
        <v>500000</v>
      </c>
    </row>
    <row r="3722" spans="1:8" ht="13" x14ac:dyDescent="0.15">
      <c r="A3722" s="5" t="str">
        <f ca="1">IFERROR(__xludf.DUMMYFUNCTION("""COMPUTED_VALUE"""),"75005")</f>
        <v>75005</v>
      </c>
      <c r="B3722" s="51">
        <f ca="1">IFERROR(__xludf.DUMMYFUNCTION("""COMPUTED_VALUE"""),44635)</f>
        <v>44635</v>
      </c>
      <c r="C3722" s="22">
        <f ca="1">IFERROR(__xludf.DUMMYFUNCTION("""COMPUTED_VALUE"""),500000)</f>
        <v>500000</v>
      </c>
      <c r="D3722" s="22">
        <f ca="1">IFERROR(__xludf.DUMMYFUNCTION("""COMPUTED_VALUE"""),0)</f>
        <v>0</v>
      </c>
      <c r="E3722" s="22">
        <f ca="1">IFERROR(__xludf.DUMMYFUNCTION("""COMPUTED_VALUE"""),500000)</f>
        <v>500000</v>
      </c>
      <c r="F3722" s="22">
        <f ca="1">IFERROR(__xludf.DUMMYFUNCTION("""COMPUTED_VALUE"""),500000)</f>
        <v>500000</v>
      </c>
      <c r="G3722" s="22">
        <f ca="1">IFERROR(__xludf.DUMMYFUNCTION("""COMPUTED_VALUE"""),0)</f>
        <v>0</v>
      </c>
      <c r="H3722" s="7">
        <f ca="1">IFERROR(__xludf.DUMMYFUNCTION("""COMPUTED_VALUE"""),500000)</f>
        <v>500000</v>
      </c>
    </row>
    <row r="3723" spans="1:8" ht="13" x14ac:dyDescent="0.15">
      <c r="A3723" s="5" t="str">
        <f ca="1">IFERROR(__xludf.DUMMYFUNCTION("""COMPUTED_VALUE"""),"75005")</f>
        <v>75005</v>
      </c>
      <c r="B3723" s="51">
        <f ca="1">IFERROR(__xludf.DUMMYFUNCTION("""COMPUTED_VALUE"""),44636)</f>
        <v>44636</v>
      </c>
      <c r="C3723" s="22">
        <f ca="1">IFERROR(__xludf.DUMMYFUNCTION("""COMPUTED_VALUE"""),500000)</f>
        <v>500000</v>
      </c>
      <c r="D3723" s="22">
        <f ca="1">IFERROR(__xludf.DUMMYFUNCTION("""COMPUTED_VALUE"""),0)</f>
        <v>0</v>
      </c>
      <c r="E3723" s="22">
        <f ca="1">IFERROR(__xludf.DUMMYFUNCTION("""COMPUTED_VALUE"""),500000)</f>
        <v>500000</v>
      </c>
      <c r="F3723" s="22">
        <f ca="1">IFERROR(__xludf.DUMMYFUNCTION("""COMPUTED_VALUE"""),500000)</f>
        <v>500000</v>
      </c>
      <c r="G3723" s="22">
        <f ca="1">IFERROR(__xludf.DUMMYFUNCTION("""COMPUTED_VALUE"""),0)</f>
        <v>0</v>
      </c>
      <c r="H3723" s="7">
        <f ca="1">IFERROR(__xludf.DUMMYFUNCTION("""COMPUTED_VALUE"""),500000)</f>
        <v>500000</v>
      </c>
    </row>
    <row r="3724" spans="1:8" ht="13" x14ac:dyDescent="0.15">
      <c r="A3724" s="5" t="str">
        <f ca="1">IFERROR(__xludf.DUMMYFUNCTION("""COMPUTED_VALUE"""),"75005")</f>
        <v>75005</v>
      </c>
      <c r="B3724" s="51">
        <f ca="1">IFERROR(__xludf.DUMMYFUNCTION("""COMPUTED_VALUE"""),44637)</f>
        <v>44637</v>
      </c>
      <c r="C3724" s="22">
        <f ca="1">IFERROR(__xludf.DUMMYFUNCTION("""COMPUTED_VALUE"""),500000)</f>
        <v>500000</v>
      </c>
      <c r="D3724" s="22">
        <f ca="1">IFERROR(__xludf.DUMMYFUNCTION("""COMPUTED_VALUE"""),0)</f>
        <v>0</v>
      </c>
      <c r="E3724" s="22">
        <f ca="1">IFERROR(__xludf.DUMMYFUNCTION("""COMPUTED_VALUE"""),500000)</f>
        <v>500000</v>
      </c>
      <c r="F3724" s="22">
        <f ca="1">IFERROR(__xludf.DUMMYFUNCTION("""COMPUTED_VALUE"""),500000)</f>
        <v>500000</v>
      </c>
      <c r="G3724" s="22">
        <f ca="1">IFERROR(__xludf.DUMMYFUNCTION("""COMPUTED_VALUE"""),0)</f>
        <v>0</v>
      </c>
      <c r="H3724" s="7">
        <f ca="1">IFERROR(__xludf.DUMMYFUNCTION("""COMPUTED_VALUE"""),500000)</f>
        <v>500000</v>
      </c>
    </row>
    <row r="3725" spans="1:8" ht="13" x14ac:dyDescent="0.15">
      <c r="A3725" s="5" t="str">
        <f ca="1">IFERROR(__xludf.DUMMYFUNCTION("""COMPUTED_VALUE"""),"75005")</f>
        <v>75005</v>
      </c>
      <c r="B3725" s="51">
        <f ca="1">IFERROR(__xludf.DUMMYFUNCTION("""COMPUTED_VALUE"""),44638)</f>
        <v>44638</v>
      </c>
      <c r="C3725" s="22">
        <f ca="1">IFERROR(__xludf.DUMMYFUNCTION("""COMPUTED_VALUE"""),500000)</f>
        <v>500000</v>
      </c>
      <c r="D3725" s="22">
        <f ca="1">IFERROR(__xludf.DUMMYFUNCTION("""COMPUTED_VALUE"""),0)</f>
        <v>0</v>
      </c>
      <c r="E3725" s="22">
        <f ca="1">IFERROR(__xludf.DUMMYFUNCTION("""COMPUTED_VALUE"""),500000)</f>
        <v>500000</v>
      </c>
      <c r="F3725" s="22">
        <f ca="1">IFERROR(__xludf.DUMMYFUNCTION("""COMPUTED_VALUE"""),500000)</f>
        <v>500000</v>
      </c>
      <c r="G3725" s="22">
        <f ca="1">IFERROR(__xludf.DUMMYFUNCTION("""COMPUTED_VALUE"""),0)</f>
        <v>0</v>
      </c>
      <c r="H3725" s="7">
        <f ca="1">IFERROR(__xludf.DUMMYFUNCTION("""COMPUTED_VALUE"""),500000)</f>
        <v>500000</v>
      </c>
    </row>
    <row r="3726" spans="1:8" ht="13" x14ac:dyDescent="0.15">
      <c r="A3726" s="5" t="str">
        <f ca="1">IFERROR(__xludf.DUMMYFUNCTION("""COMPUTED_VALUE"""),"75005")</f>
        <v>75005</v>
      </c>
      <c r="B3726" s="51">
        <f ca="1">IFERROR(__xludf.DUMMYFUNCTION("""COMPUTED_VALUE"""),44639)</f>
        <v>44639</v>
      </c>
      <c r="C3726" s="22">
        <f ca="1">IFERROR(__xludf.DUMMYFUNCTION("""COMPUTED_VALUE"""),500000)</f>
        <v>500000</v>
      </c>
      <c r="D3726" s="22">
        <f ca="1">IFERROR(__xludf.DUMMYFUNCTION("""COMPUTED_VALUE"""),0)</f>
        <v>0</v>
      </c>
      <c r="E3726" s="22">
        <f ca="1">IFERROR(__xludf.DUMMYFUNCTION("""COMPUTED_VALUE"""),500000)</f>
        <v>500000</v>
      </c>
      <c r="F3726" s="22">
        <f ca="1">IFERROR(__xludf.DUMMYFUNCTION("""COMPUTED_VALUE"""),500000)</f>
        <v>500000</v>
      </c>
      <c r="G3726" s="22">
        <f ca="1">IFERROR(__xludf.DUMMYFUNCTION("""COMPUTED_VALUE"""),0)</f>
        <v>0</v>
      </c>
      <c r="H3726" s="7">
        <f ca="1">IFERROR(__xludf.DUMMYFUNCTION("""COMPUTED_VALUE"""),500000)</f>
        <v>500000</v>
      </c>
    </row>
    <row r="3727" spans="1:8" ht="13" x14ac:dyDescent="0.15">
      <c r="A3727" s="5" t="str">
        <f ca="1">IFERROR(__xludf.DUMMYFUNCTION("""COMPUTED_VALUE"""),"75005")</f>
        <v>75005</v>
      </c>
      <c r="B3727" s="51">
        <f ca="1">IFERROR(__xludf.DUMMYFUNCTION("""COMPUTED_VALUE"""),44640)</f>
        <v>44640</v>
      </c>
      <c r="C3727" s="22">
        <f ca="1">IFERROR(__xludf.DUMMYFUNCTION("""COMPUTED_VALUE"""),500000)</f>
        <v>500000</v>
      </c>
      <c r="D3727" s="22">
        <f ca="1">IFERROR(__xludf.DUMMYFUNCTION("""COMPUTED_VALUE"""),0)</f>
        <v>0</v>
      </c>
      <c r="E3727" s="22">
        <f ca="1">IFERROR(__xludf.DUMMYFUNCTION("""COMPUTED_VALUE"""),500000)</f>
        <v>500000</v>
      </c>
      <c r="F3727" s="22">
        <f ca="1">IFERROR(__xludf.DUMMYFUNCTION("""COMPUTED_VALUE"""),500000)</f>
        <v>500000</v>
      </c>
      <c r="G3727" s="22">
        <f ca="1">IFERROR(__xludf.DUMMYFUNCTION("""COMPUTED_VALUE"""),0)</f>
        <v>0</v>
      </c>
      <c r="H3727" s="7">
        <f ca="1">IFERROR(__xludf.DUMMYFUNCTION("""COMPUTED_VALUE"""),500000)</f>
        <v>500000</v>
      </c>
    </row>
    <row r="3728" spans="1:8" ht="13" x14ac:dyDescent="0.15">
      <c r="A3728" s="5" t="str">
        <f ca="1">IFERROR(__xludf.DUMMYFUNCTION("""COMPUTED_VALUE"""),"75005")</f>
        <v>75005</v>
      </c>
      <c r="B3728" s="51">
        <f ca="1">IFERROR(__xludf.DUMMYFUNCTION("""COMPUTED_VALUE"""),44641)</f>
        <v>44641</v>
      </c>
      <c r="C3728" s="22">
        <f ca="1">IFERROR(__xludf.DUMMYFUNCTION("""COMPUTED_VALUE"""),500000)</f>
        <v>500000</v>
      </c>
      <c r="D3728" s="22">
        <f ca="1">IFERROR(__xludf.DUMMYFUNCTION("""COMPUTED_VALUE"""),0)</f>
        <v>0</v>
      </c>
      <c r="E3728" s="22">
        <f ca="1">IFERROR(__xludf.DUMMYFUNCTION("""COMPUTED_VALUE"""),500000)</f>
        <v>500000</v>
      </c>
      <c r="F3728" s="22">
        <f ca="1">IFERROR(__xludf.DUMMYFUNCTION("""COMPUTED_VALUE"""),500000)</f>
        <v>500000</v>
      </c>
      <c r="G3728" s="22">
        <f ca="1">IFERROR(__xludf.DUMMYFUNCTION("""COMPUTED_VALUE"""),0)</f>
        <v>0</v>
      </c>
      <c r="H3728" s="7">
        <f ca="1">IFERROR(__xludf.DUMMYFUNCTION("""COMPUTED_VALUE"""),500000)</f>
        <v>500000</v>
      </c>
    </row>
    <row r="3729" spans="1:8" ht="13" x14ac:dyDescent="0.15">
      <c r="A3729" s="5" t="str">
        <f ca="1">IFERROR(__xludf.DUMMYFUNCTION("""COMPUTED_VALUE"""),"75005")</f>
        <v>75005</v>
      </c>
      <c r="B3729" s="51">
        <f ca="1">IFERROR(__xludf.DUMMYFUNCTION("""COMPUTED_VALUE"""),44642)</f>
        <v>44642</v>
      </c>
      <c r="C3729" s="22">
        <f ca="1">IFERROR(__xludf.DUMMYFUNCTION("""COMPUTED_VALUE"""),500000)</f>
        <v>500000</v>
      </c>
      <c r="D3729" s="22">
        <f ca="1">IFERROR(__xludf.DUMMYFUNCTION("""COMPUTED_VALUE"""),0)</f>
        <v>0</v>
      </c>
      <c r="E3729" s="22">
        <f ca="1">IFERROR(__xludf.DUMMYFUNCTION("""COMPUTED_VALUE"""),500000)</f>
        <v>500000</v>
      </c>
      <c r="F3729" s="22">
        <f ca="1">IFERROR(__xludf.DUMMYFUNCTION("""COMPUTED_VALUE"""),500000)</f>
        <v>500000</v>
      </c>
      <c r="G3729" s="22">
        <f ca="1">IFERROR(__xludf.DUMMYFUNCTION("""COMPUTED_VALUE"""),0)</f>
        <v>0</v>
      </c>
      <c r="H3729" s="7">
        <f ca="1">IFERROR(__xludf.DUMMYFUNCTION("""COMPUTED_VALUE"""),500000)</f>
        <v>500000</v>
      </c>
    </row>
    <row r="3730" spans="1:8" ht="13" x14ac:dyDescent="0.15">
      <c r="A3730" s="5" t="str">
        <f ca="1">IFERROR(__xludf.DUMMYFUNCTION("""COMPUTED_VALUE"""),"75076")</f>
        <v>75076</v>
      </c>
      <c r="B3730" s="51">
        <f ca="1">IFERROR(__xludf.DUMMYFUNCTION("""COMPUTED_VALUE"""),44597)</f>
        <v>44597</v>
      </c>
      <c r="C3730" s="22">
        <f ca="1">IFERROR(__xludf.DUMMYFUNCTION("""COMPUTED_VALUE"""),500000)</f>
        <v>500000</v>
      </c>
      <c r="D3730" s="22">
        <f ca="1">IFERROR(__xludf.DUMMYFUNCTION("""COMPUTED_VALUE"""),0)</f>
        <v>0</v>
      </c>
      <c r="E3730" s="22">
        <f ca="1">IFERROR(__xludf.DUMMYFUNCTION("""COMPUTED_VALUE"""),500000)</f>
        <v>500000</v>
      </c>
      <c r="F3730" s="22">
        <f ca="1">IFERROR(__xludf.DUMMYFUNCTION("""COMPUTED_VALUE"""),500000)</f>
        <v>500000</v>
      </c>
      <c r="G3730" s="22">
        <f ca="1">IFERROR(__xludf.DUMMYFUNCTION("""COMPUTED_VALUE"""),0)</f>
        <v>0</v>
      </c>
      <c r="H3730" s="7">
        <f ca="1">IFERROR(__xludf.DUMMYFUNCTION("""COMPUTED_VALUE"""),500000)</f>
        <v>500000</v>
      </c>
    </row>
    <row r="3731" spans="1:8" ht="13" x14ac:dyDescent="0.15">
      <c r="A3731" s="5" t="str">
        <f ca="1">IFERROR(__xludf.DUMMYFUNCTION("""COMPUTED_VALUE"""),"75076")</f>
        <v>75076</v>
      </c>
      <c r="B3731" s="51">
        <f ca="1">IFERROR(__xludf.DUMMYFUNCTION("""COMPUTED_VALUE"""),44598)</f>
        <v>44598</v>
      </c>
      <c r="C3731" s="22">
        <f ca="1">IFERROR(__xludf.DUMMYFUNCTION("""COMPUTED_VALUE"""),500000)</f>
        <v>500000</v>
      </c>
      <c r="D3731" s="22">
        <f ca="1">IFERROR(__xludf.DUMMYFUNCTION("""COMPUTED_VALUE"""),0)</f>
        <v>0</v>
      </c>
      <c r="E3731" s="22">
        <f ca="1">IFERROR(__xludf.DUMMYFUNCTION("""COMPUTED_VALUE"""),500000)</f>
        <v>500000</v>
      </c>
      <c r="F3731" s="22">
        <f ca="1">IFERROR(__xludf.DUMMYFUNCTION("""COMPUTED_VALUE"""),500000)</f>
        <v>500000</v>
      </c>
      <c r="G3731" s="22">
        <f ca="1">IFERROR(__xludf.DUMMYFUNCTION("""COMPUTED_VALUE"""),0)</f>
        <v>0</v>
      </c>
      <c r="H3731" s="7">
        <f ca="1">IFERROR(__xludf.DUMMYFUNCTION("""COMPUTED_VALUE"""),500000)</f>
        <v>500000</v>
      </c>
    </row>
    <row r="3732" spans="1:8" ht="13" x14ac:dyDescent="0.15">
      <c r="A3732" s="5" t="str">
        <f ca="1">IFERROR(__xludf.DUMMYFUNCTION("""COMPUTED_VALUE"""),"75076")</f>
        <v>75076</v>
      </c>
      <c r="B3732" s="51">
        <f ca="1">IFERROR(__xludf.DUMMYFUNCTION("""COMPUTED_VALUE"""),44599)</f>
        <v>44599</v>
      </c>
      <c r="C3732" s="22">
        <f ca="1">IFERROR(__xludf.DUMMYFUNCTION("""COMPUTED_VALUE"""),500000)</f>
        <v>500000</v>
      </c>
      <c r="D3732" s="22">
        <f ca="1">IFERROR(__xludf.DUMMYFUNCTION("""COMPUTED_VALUE"""),0)</f>
        <v>0</v>
      </c>
      <c r="E3732" s="22">
        <f ca="1">IFERROR(__xludf.DUMMYFUNCTION("""COMPUTED_VALUE"""),500000)</f>
        <v>500000</v>
      </c>
      <c r="F3732" s="22">
        <f ca="1">IFERROR(__xludf.DUMMYFUNCTION("""COMPUTED_VALUE"""),500000)</f>
        <v>500000</v>
      </c>
      <c r="G3732" s="22">
        <f ca="1">IFERROR(__xludf.DUMMYFUNCTION("""COMPUTED_VALUE"""),0)</f>
        <v>0</v>
      </c>
      <c r="H3732" s="7">
        <f ca="1">IFERROR(__xludf.DUMMYFUNCTION("""COMPUTED_VALUE"""),500000)</f>
        <v>500000</v>
      </c>
    </row>
    <row r="3733" spans="1:8" ht="13" x14ac:dyDescent="0.15">
      <c r="A3733" s="5" t="str">
        <f ca="1">IFERROR(__xludf.DUMMYFUNCTION("""COMPUTED_VALUE"""),"75076")</f>
        <v>75076</v>
      </c>
      <c r="B3733" s="51">
        <f ca="1">IFERROR(__xludf.DUMMYFUNCTION("""COMPUTED_VALUE"""),44600)</f>
        <v>44600</v>
      </c>
      <c r="C3733" s="22">
        <f ca="1">IFERROR(__xludf.DUMMYFUNCTION("""COMPUTED_VALUE"""),500000)</f>
        <v>500000</v>
      </c>
      <c r="D3733" s="22">
        <f ca="1">IFERROR(__xludf.DUMMYFUNCTION("""COMPUTED_VALUE"""),0)</f>
        <v>0</v>
      </c>
      <c r="E3733" s="22">
        <f ca="1">IFERROR(__xludf.DUMMYFUNCTION("""COMPUTED_VALUE"""),500000)</f>
        <v>500000</v>
      </c>
      <c r="F3733" s="22">
        <f ca="1">IFERROR(__xludf.DUMMYFUNCTION("""COMPUTED_VALUE"""),500000)</f>
        <v>500000</v>
      </c>
      <c r="G3733" s="22">
        <f ca="1">IFERROR(__xludf.DUMMYFUNCTION("""COMPUTED_VALUE"""),0)</f>
        <v>0</v>
      </c>
      <c r="H3733" s="7">
        <f ca="1">IFERROR(__xludf.DUMMYFUNCTION("""COMPUTED_VALUE"""),500000)</f>
        <v>500000</v>
      </c>
    </row>
    <row r="3734" spans="1:8" ht="13" x14ac:dyDescent="0.15">
      <c r="A3734" s="5" t="str">
        <f ca="1">IFERROR(__xludf.DUMMYFUNCTION("""COMPUTED_VALUE"""),"75076")</f>
        <v>75076</v>
      </c>
      <c r="B3734" s="51">
        <f ca="1">IFERROR(__xludf.DUMMYFUNCTION("""COMPUTED_VALUE"""),44601)</f>
        <v>44601</v>
      </c>
      <c r="C3734" s="22">
        <f ca="1">IFERROR(__xludf.DUMMYFUNCTION("""COMPUTED_VALUE"""),500000)</f>
        <v>500000</v>
      </c>
      <c r="D3734" s="22">
        <f ca="1">IFERROR(__xludf.DUMMYFUNCTION("""COMPUTED_VALUE"""),0)</f>
        <v>0</v>
      </c>
      <c r="E3734" s="22">
        <f ca="1">IFERROR(__xludf.DUMMYFUNCTION("""COMPUTED_VALUE"""),500000)</f>
        <v>500000</v>
      </c>
      <c r="F3734" s="22">
        <f ca="1">IFERROR(__xludf.DUMMYFUNCTION("""COMPUTED_VALUE"""),500000)</f>
        <v>500000</v>
      </c>
      <c r="G3734" s="22">
        <f ca="1">IFERROR(__xludf.DUMMYFUNCTION("""COMPUTED_VALUE"""),0)</f>
        <v>0</v>
      </c>
      <c r="H3734" s="7">
        <f ca="1">IFERROR(__xludf.DUMMYFUNCTION("""COMPUTED_VALUE"""),500000)</f>
        <v>500000</v>
      </c>
    </row>
    <row r="3735" spans="1:8" ht="13" x14ac:dyDescent="0.15">
      <c r="A3735" s="5" t="str">
        <f ca="1">IFERROR(__xludf.DUMMYFUNCTION("""COMPUTED_VALUE"""),"75076")</f>
        <v>75076</v>
      </c>
      <c r="B3735" s="51">
        <f ca="1">IFERROR(__xludf.DUMMYFUNCTION("""COMPUTED_VALUE"""),44602)</f>
        <v>44602</v>
      </c>
      <c r="C3735" s="22">
        <f ca="1">IFERROR(__xludf.DUMMYFUNCTION("""COMPUTED_VALUE"""),500000)</f>
        <v>500000</v>
      </c>
      <c r="D3735" s="22">
        <f ca="1">IFERROR(__xludf.DUMMYFUNCTION("""COMPUTED_VALUE"""),0)</f>
        <v>0</v>
      </c>
      <c r="E3735" s="22">
        <f ca="1">IFERROR(__xludf.DUMMYFUNCTION("""COMPUTED_VALUE"""),500000)</f>
        <v>500000</v>
      </c>
      <c r="F3735" s="22">
        <f ca="1">IFERROR(__xludf.DUMMYFUNCTION("""COMPUTED_VALUE"""),500000)</f>
        <v>500000</v>
      </c>
      <c r="G3735" s="22">
        <f ca="1">IFERROR(__xludf.DUMMYFUNCTION("""COMPUTED_VALUE"""),0)</f>
        <v>0</v>
      </c>
      <c r="H3735" s="7">
        <f ca="1">IFERROR(__xludf.DUMMYFUNCTION("""COMPUTED_VALUE"""),500000)</f>
        <v>500000</v>
      </c>
    </row>
    <row r="3736" spans="1:8" ht="13" x14ac:dyDescent="0.15">
      <c r="A3736" s="5" t="str">
        <f ca="1">IFERROR(__xludf.DUMMYFUNCTION("""COMPUTED_VALUE"""),"75076")</f>
        <v>75076</v>
      </c>
      <c r="B3736" s="51">
        <f ca="1">IFERROR(__xludf.DUMMYFUNCTION("""COMPUTED_VALUE"""),44603)</f>
        <v>44603</v>
      </c>
      <c r="C3736" s="22">
        <f ca="1">IFERROR(__xludf.DUMMYFUNCTION("""COMPUTED_VALUE"""),60614.28092)</f>
        <v>60614.280919999997</v>
      </c>
      <c r="D3736" s="22">
        <f ca="1">IFERROR(__xludf.DUMMYFUNCTION("""COMPUTED_VALUE"""),439385.719079999)</f>
        <v>439385.71907999902</v>
      </c>
      <c r="E3736" s="22">
        <f ca="1">IFERROR(__xludf.DUMMYFUNCTION("""COMPUTED_VALUE"""),500000)</f>
        <v>500000</v>
      </c>
      <c r="F3736" s="22">
        <f ca="1">IFERROR(__xludf.DUMMYFUNCTION("""COMPUTED_VALUE"""),60614.2809199999)</f>
        <v>60614.280919999903</v>
      </c>
      <c r="G3736" s="22">
        <f ca="1">IFERROR(__xludf.DUMMYFUNCTION("""COMPUTED_VALUE"""),0)</f>
        <v>0</v>
      </c>
      <c r="H3736" s="7">
        <f ca="1">IFERROR(__xludf.DUMMYFUNCTION("""COMPUTED_VALUE"""),500000)</f>
        <v>500000</v>
      </c>
    </row>
    <row r="3737" spans="1:8" ht="13" x14ac:dyDescent="0.15">
      <c r="A3737" s="5" t="str">
        <f ca="1">IFERROR(__xludf.DUMMYFUNCTION("""COMPUTED_VALUE"""),"75076")</f>
        <v>75076</v>
      </c>
      <c r="B3737" s="51">
        <f ca="1">IFERROR(__xludf.DUMMYFUNCTION("""COMPUTED_VALUE"""),44604)</f>
        <v>44604</v>
      </c>
      <c r="C3737" s="22">
        <f ca="1">IFERROR(__xludf.DUMMYFUNCTION("""COMPUTED_VALUE"""),60614.28092)</f>
        <v>60614.280919999997</v>
      </c>
      <c r="D3737" s="22">
        <f ca="1">IFERROR(__xludf.DUMMYFUNCTION("""COMPUTED_VALUE"""),439385.719079999)</f>
        <v>439385.71907999902</v>
      </c>
      <c r="E3737" s="22">
        <f ca="1">IFERROR(__xludf.DUMMYFUNCTION("""COMPUTED_VALUE"""),500000)</f>
        <v>500000</v>
      </c>
      <c r="F3737" s="22">
        <f ca="1">IFERROR(__xludf.DUMMYFUNCTION("""COMPUTED_VALUE"""),60614.2809199999)</f>
        <v>60614.280919999903</v>
      </c>
      <c r="G3737" s="22">
        <f ca="1">IFERROR(__xludf.DUMMYFUNCTION("""COMPUTED_VALUE"""),0)</f>
        <v>0</v>
      </c>
      <c r="H3737" s="7">
        <f ca="1">IFERROR(__xludf.DUMMYFUNCTION("""COMPUTED_VALUE"""),500000)</f>
        <v>500000</v>
      </c>
    </row>
    <row r="3738" spans="1:8" ht="13" x14ac:dyDescent="0.15">
      <c r="A3738" s="5" t="str">
        <f ca="1">IFERROR(__xludf.DUMMYFUNCTION("""COMPUTED_VALUE"""),"75076")</f>
        <v>75076</v>
      </c>
      <c r="B3738" s="51">
        <f ca="1">IFERROR(__xludf.DUMMYFUNCTION("""COMPUTED_VALUE"""),44605)</f>
        <v>44605</v>
      </c>
      <c r="C3738" s="22">
        <f ca="1">IFERROR(__xludf.DUMMYFUNCTION("""COMPUTED_VALUE"""),60614.28092)</f>
        <v>60614.280919999997</v>
      </c>
      <c r="D3738" s="22">
        <f ca="1">IFERROR(__xludf.DUMMYFUNCTION("""COMPUTED_VALUE"""),439385.719079999)</f>
        <v>439385.71907999902</v>
      </c>
      <c r="E3738" s="22">
        <f ca="1">IFERROR(__xludf.DUMMYFUNCTION("""COMPUTED_VALUE"""),500000)</f>
        <v>500000</v>
      </c>
      <c r="F3738" s="22">
        <f ca="1">IFERROR(__xludf.DUMMYFUNCTION("""COMPUTED_VALUE"""),60614.2809199999)</f>
        <v>60614.280919999903</v>
      </c>
      <c r="G3738" s="22">
        <f ca="1">IFERROR(__xludf.DUMMYFUNCTION("""COMPUTED_VALUE"""),0)</f>
        <v>0</v>
      </c>
      <c r="H3738" s="7">
        <f ca="1">IFERROR(__xludf.DUMMYFUNCTION("""COMPUTED_VALUE"""),500024.22104)</f>
        <v>500024.22103999997</v>
      </c>
    </row>
    <row r="3739" spans="1:8" ht="13" x14ac:dyDescent="0.15">
      <c r="A3739" s="5" t="str">
        <f ca="1">IFERROR(__xludf.DUMMYFUNCTION("""COMPUTED_VALUE"""),"75076")</f>
        <v>75076</v>
      </c>
      <c r="B3739" s="51">
        <f ca="1">IFERROR(__xludf.DUMMYFUNCTION("""COMPUTED_VALUE"""),44606)</f>
        <v>44606</v>
      </c>
      <c r="C3739" s="22">
        <f ca="1">IFERROR(__xludf.DUMMYFUNCTION("""COMPUTED_VALUE"""),60614.28092)</f>
        <v>60614.280919999997</v>
      </c>
      <c r="D3739" s="22">
        <f ca="1">IFERROR(__xludf.DUMMYFUNCTION("""COMPUTED_VALUE"""),439385.719079999)</f>
        <v>439385.71907999902</v>
      </c>
      <c r="E3739" s="22">
        <f ca="1">IFERROR(__xludf.DUMMYFUNCTION("""COMPUTED_VALUE"""),500000)</f>
        <v>500000</v>
      </c>
      <c r="F3739" s="22">
        <f ca="1">IFERROR(__xludf.DUMMYFUNCTION("""COMPUTED_VALUE"""),60614.2809199999)</f>
        <v>60614.280919999903</v>
      </c>
      <c r="G3739" s="22">
        <f ca="1">IFERROR(__xludf.DUMMYFUNCTION("""COMPUTED_VALUE"""),0)</f>
        <v>0</v>
      </c>
      <c r="H3739" s="7">
        <f ca="1">IFERROR(__xludf.DUMMYFUNCTION("""COMPUTED_VALUE"""),489776.25592)</f>
        <v>489776.25592000003</v>
      </c>
    </row>
    <row r="3740" spans="1:8" ht="13" x14ac:dyDescent="0.15">
      <c r="A3740" s="5" t="str">
        <f ca="1">IFERROR(__xludf.DUMMYFUNCTION("""COMPUTED_VALUE"""),"75076")</f>
        <v>75076</v>
      </c>
      <c r="B3740" s="51">
        <f ca="1">IFERROR(__xludf.DUMMYFUNCTION("""COMPUTED_VALUE"""),44607)</f>
        <v>44607</v>
      </c>
      <c r="C3740" s="22">
        <f ca="1">IFERROR(__xludf.DUMMYFUNCTION("""COMPUTED_VALUE"""),60614.28092)</f>
        <v>60614.280919999997</v>
      </c>
      <c r="D3740" s="22">
        <f ca="1">IFERROR(__xludf.DUMMYFUNCTION("""COMPUTED_VALUE"""),439385.719079999)</f>
        <v>439385.71907999902</v>
      </c>
      <c r="E3740" s="22">
        <f ca="1">IFERROR(__xludf.DUMMYFUNCTION("""COMPUTED_VALUE"""),500000)</f>
        <v>500000</v>
      </c>
      <c r="F3740" s="22">
        <f ca="1">IFERROR(__xludf.DUMMYFUNCTION("""COMPUTED_VALUE"""),60614.2809199999)</f>
        <v>60614.280919999903</v>
      </c>
      <c r="G3740" s="22">
        <f ca="1">IFERROR(__xludf.DUMMYFUNCTION("""COMPUTED_VALUE"""),0)</f>
        <v>0</v>
      </c>
      <c r="H3740" s="7">
        <f ca="1">IFERROR(__xludf.DUMMYFUNCTION("""COMPUTED_VALUE"""),485195.22544)</f>
        <v>485195.22544000001</v>
      </c>
    </row>
    <row r="3741" spans="1:8" ht="13" x14ac:dyDescent="0.15">
      <c r="A3741" s="5" t="str">
        <f ca="1">IFERROR(__xludf.DUMMYFUNCTION("""COMPUTED_VALUE"""),"75076")</f>
        <v>75076</v>
      </c>
      <c r="B3741" s="51">
        <f ca="1">IFERROR(__xludf.DUMMYFUNCTION("""COMPUTED_VALUE"""),44608)</f>
        <v>44608</v>
      </c>
      <c r="C3741" s="22">
        <f ca="1">IFERROR(__xludf.DUMMYFUNCTION("""COMPUTED_VALUE"""),60614.28092)</f>
        <v>60614.280919999997</v>
      </c>
      <c r="D3741" s="22">
        <f ca="1">IFERROR(__xludf.DUMMYFUNCTION("""COMPUTED_VALUE"""),439385.719079999)</f>
        <v>439385.71907999902</v>
      </c>
      <c r="E3741" s="22">
        <f ca="1">IFERROR(__xludf.DUMMYFUNCTION("""COMPUTED_VALUE"""),500000)</f>
        <v>500000</v>
      </c>
      <c r="F3741" s="22">
        <f ca="1">IFERROR(__xludf.DUMMYFUNCTION("""COMPUTED_VALUE"""),60614.2809199999)</f>
        <v>60614.280919999903</v>
      </c>
      <c r="G3741" s="22">
        <f ca="1">IFERROR(__xludf.DUMMYFUNCTION("""COMPUTED_VALUE"""),0)</f>
        <v>0</v>
      </c>
      <c r="H3741" s="7">
        <f ca="1">IFERROR(__xludf.DUMMYFUNCTION("""COMPUTED_VALUE"""),488580.91292)</f>
        <v>488580.91291999997</v>
      </c>
    </row>
    <row r="3742" spans="1:8" ht="13" x14ac:dyDescent="0.15">
      <c r="A3742" s="5" t="str">
        <f ca="1">IFERROR(__xludf.DUMMYFUNCTION("""COMPUTED_VALUE"""),"75076")</f>
        <v>75076</v>
      </c>
      <c r="B3742" s="51">
        <f ca="1">IFERROR(__xludf.DUMMYFUNCTION("""COMPUTED_VALUE"""),44609)</f>
        <v>44609</v>
      </c>
      <c r="C3742" s="22">
        <f ca="1">IFERROR(__xludf.DUMMYFUNCTION("""COMPUTED_VALUE"""),60614.28092)</f>
        <v>60614.280919999997</v>
      </c>
      <c r="D3742" s="22">
        <f ca="1">IFERROR(__xludf.DUMMYFUNCTION("""COMPUTED_VALUE"""),439385.719079999)</f>
        <v>439385.71907999902</v>
      </c>
      <c r="E3742" s="22">
        <f ca="1">IFERROR(__xludf.DUMMYFUNCTION("""COMPUTED_VALUE"""),500000)</f>
        <v>500000</v>
      </c>
      <c r="F3742" s="22">
        <f ca="1">IFERROR(__xludf.DUMMYFUNCTION("""COMPUTED_VALUE"""),60614.2809199999)</f>
        <v>60614.280919999903</v>
      </c>
      <c r="G3742" s="22">
        <f ca="1">IFERROR(__xludf.DUMMYFUNCTION("""COMPUTED_VALUE"""),0)</f>
        <v>0</v>
      </c>
      <c r="H3742" s="7">
        <f ca="1">IFERROR(__xludf.DUMMYFUNCTION("""COMPUTED_VALUE"""),487818.60416)</f>
        <v>487818.60415999999</v>
      </c>
    </row>
    <row r="3743" spans="1:8" ht="13" x14ac:dyDescent="0.15">
      <c r="A3743" s="5" t="str">
        <f ca="1">IFERROR(__xludf.DUMMYFUNCTION("""COMPUTED_VALUE"""),"75076")</f>
        <v>75076</v>
      </c>
      <c r="B3743" s="51">
        <f ca="1">IFERROR(__xludf.DUMMYFUNCTION("""COMPUTED_VALUE"""),44610)</f>
        <v>44610</v>
      </c>
      <c r="C3743" s="22">
        <f ca="1">IFERROR(__xludf.DUMMYFUNCTION("""COMPUTED_VALUE"""),60614.28092)</f>
        <v>60614.280919999997</v>
      </c>
      <c r="D3743" s="22">
        <f ca="1">IFERROR(__xludf.DUMMYFUNCTION("""COMPUTED_VALUE"""),439385.719079999)</f>
        <v>439385.71907999902</v>
      </c>
      <c r="E3743" s="22">
        <f ca="1">IFERROR(__xludf.DUMMYFUNCTION("""COMPUTED_VALUE"""),500000)</f>
        <v>500000</v>
      </c>
      <c r="F3743" s="22">
        <f ca="1">IFERROR(__xludf.DUMMYFUNCTION("""COMPUTED_VALUE"""),60614.2809199999)</f>
        <v>60614.280919999903</v>
      </c>
      <c r="G3743" s="22">
        <f ca="1">IFERROR(__xludf.DUMMYFUNCTION("""COMPUTED_VALUE"""),0)</f>
        <v>0</v>
      </c>
      <c r="H3743" s="7">
        <f ca="1">IFERROR(__xludf.DUMMYFUNCTION("""COMPUTED_VALUE"""),485274.04532)</f>
        <v>485274.04531999998</v>
      </c>
    </row>
    <row r="3744" spans="1:8" ht="13" x14ac:dyDescent="0.15">
      <c r="A3744" s="5" t="str">
        <f ca="1">IFERROR(__xludf.DUMMYFUNCTION("""COMPUTED_VALUE"""),"75076")</f>
        <v>75076</v>
      </c>
      <c r="B3744" s="51">
        <f ca="1">IFERROR(__xludf.DUMMYFUNCTION("""COMPUTED_VALUE"""),44611)</f>
        <v>44611</v>
      </c>
      <c r="C3744" s="22">
        <f ca="1">IFERROR(__xludf.DUMMYFUNCTION("""COMPUTED_VALUE"""),60614.28092)</f>
        <v>60614.280919999997</v>
      </c>
      <c r="D3744" s="22">
        <f ca="1">IFERROR(__xludf.DUMMYFUNCTION("""COMPUTED_VALUE"""),439385.719079999)</f>
        <v>439385.71907999902</v>
      </c>
      <c r="E3744" s="22">
        <f ca="1">IFERROR(__xludf.DUMMYFUNCTION("""COMPUTED_VALUE"""),500000)</f>
        <v>500000</v>
      </c>
      <c r="F3744" s="22">
        <f ca="1">IFERROR(__xludf.DUMMYFUNCTION("""COMPUTED_VALUE"""),60614.2809199999)</f>
        <v>60614.280919999903</v>
      </c>
      <c r="G3744" s="22">
        <f ca="1">IFERROR(__xludf.DUMMYFUNCTION("""COMPUTED_VALUE"""),0)</f>
        <v>0</v>
      </c>
      <c r="H3744" s="7">
        <f ca="1">IFERROR(__xludf.DUMMYFUNCTION("""COMPUTED_VALUE"""),485274.04532)</f>
        <v>485274.04531999998</v>
      </c>
    </row>
    <row r="3745" spans="1:8" ht="13" x14ac:dyDescent="0.15">
      <c r="A3745" s="5" t="str">
        <f ca="1">IFERROR(__xludf.DUMMYFUNCTION("""COMPUTED_VALUE"""),"75076")</f>
        <v>75076</v>
      </c>
      <c r="B3745" s="51">
        <f ca="1">IFERROR(__xludf.DUMMYFUNCTION("""COMPUTED_VALUE"""),44612)</f>
        <v>44612</v>
      </c>
      <c r="C3745" s="22">
        <f ca="1">IFERROR(__xludf.DUMMYFUNCTION("""COMPUTED_VALUE"""),60614.28092)</f>
        <v>60614.280919999997</v>
      </c>
      <c r="D3745" s="22">
        <f ca="1">IFERROR(__xludf.DUMMYFUNCTION("""COMPUTED_VALUE"""),439385.719079999)</f>
        <v>439385.71907999902</v>
      </c>
      <c r="E3745" s="22">
        <f ca="1">IFERROR(__xludf.DUMMYFUNCTION("""COMPUTED_VALUE"""),500000)</f>
        <v>500000</v>
      </c>
      <c r="F3745" s="22">
        <f ca="1">IFERROR(__xludf.DUMMYFUNCTION("""COMPUTED_VALUE"""),60614.2809199999)</f>
        <v>60614.280919999903</v>
      </c>
      <c r="G3745" s="22">
        <f ca="1">IFERROR(__xludf.DUMMYFUNCTION("""COMPUTED_VALUE"""),0)</f>
        <v>0</v>
      </c>
      <c r="H3745" s="7">
        <f ca="1">IFERROR(__xludf.DUMMYFUNCTION("""COMPUTED_VALUE"""),485259.61872)</f>
        <v>485259.61872000003</v>
      </c>
    </row>
    <row r="3746" spans="1:8" ht="13" x14ac:dyDescent="0.15">
      <c r="A3746" s="5" t="str">
        <f ca="1">IFERROR(__xludf.DUMMYFUNCTION("""COMPUTED_VALUE"""),"75076")</f>
        <v>75076</v>
      </c>
      <c r="B3746" s="51">
        <f ca="1">IFERROR(__xludf.DUMMYFUNCTION("""COMPUTED_VALUE"""),44613)</f>
        <v>44613</v>
      </c>
      <c r="C3746" s="22">
        <f ca="1">IFERROR(__xludf.DUMMYFUNCTION("""COMPUTED_VALUE"""),60614.28092)</f>
        <v>60614.280919999997</v>
      </c>
      <c r="D3746" s="22">
        <f ca="1">IFERROR(__xludf.DUMMYFUNCTION("""COMPUTED_VALUE"""),439385.719079999)</f>
        <v>439385.71907999902</v>
      </c>
      <c r="E3746" s="22">
        <f ca="1">IFERROR(__xludf.DUMMYFUNCTION("""COMPUTED_VALUE"""),500000)</f>
        <v>500000</v>
      </c>
      <c r="F3746" s="22">
        <f ca="1">IFERROR(__xludf.DUMMYFUNCTION("""COMPUTED_VALUE"""),60614.2809199999)</f>
        <v>60614.280919999903</v>
      </c>
      <c r="G3746" s="22">
        <f ca="1">IFERROR(__xludf.DUMMYFUNCTION("""COMPUTED_VALUE"""),0)</f>
        <v>0</v>
      </c>
      <c r="H3746" s="7">
        <f ca="1">IFERROR(__xludf.DUMMYFUNCTION("""COMPUTED_VALUE"""),485300.99312)</f>
        <v>485300.99312</v>
      </c>
    </row>
    <row r="3747" spans="1:8" ht="13" x14ac:dyDescent="0.15">
      <c r="A3747" s="5" t="str">
        <f ca="1">IFERROR(__xludf.DUMMYFUNCTION("""COMPUTED_VALUE"""),"75076")</f>
        <v>75076</v>
      </c>
      <c r="B3747" s="51">
        <f ca="1">IFERROR(__xludf.DUMMYFUNCTION("""COMPUTED_VALUE"""),44614)</f>
        <v>44614</v>
      </c>
      <c r="C3747" s="22">
        <f ca="1">IFERROR(__xludf.DUMMYFUNCTION("""COMPUTED_VALUE"""),60614.28092)</f>
        <v>60614.280919999997</v>
      </c>
      <c r="D3747" s="22">
        <f ca="1">IFERROR(__xludf.DUMMYFUNCTION("""COMPUTED_VALUE"""),439385.719079999)</f>
        <v>439385.71907999902</v>
      </c>
      <c r="E3747" s="22">
        <f ca="1">IFERROR(__xludf.DUMMYFUNCTION("""COMPUTED_VALUE"""),500000)</f>
        <v>500000</v>
      </c>
      <c r="F3747" s="22">
        <f ca="1">IFERROR(__xludf.DUMMYFUNCTION("""COMPUTED_VALUE"""),60614.2809199999)</f>
        <v>60614.280919999903</v>
      </c>
      <c r="G3747" s="22">
        <f ca="1">IFERROR(__xludf.DUMMYFUNCTION("""COMPUTED_VALUE"""),0)</f>
        <v>0</v>
      </c>
      <c r="H3747" s="7">
        <f ca="1">IFERROR(__xludf.DUMMYFUNCTION("""COMPUTED_VALUE"""),478476.01092)</f>
        <v>478476.01091999997</v>
      </c>
    </row>
    <row r="3748" spans="1:8" ht="13" x14ac:dyDescent="0.15">
      <c r="A3748" s="5" t="str">
        <f ca="1">IFERROR(__xludf.DUMMYFUNCTION("""COMPUTED_VALUE"""),"75076")</f>
        <v>75076</v>
      </c>
      <c r="B3748" s="51">
        <f ca="1">IFERROR(__xludf.DUMMYFUNCTION("""COMPUTED_VALUE"""),44615)</f>
        <v>44615</v>
      </c>
      <c r="C3748" s="22">
        <f ca="1">IFERROR(__xludf.DUMMYFUNCTION("""COMPUTED_VALUE"""),60614.28092)</f>
        <v>60614.280919999997</v>
      </c>
      <c r="D3748" s="22">
        <f ca="1">IFERROR(__xludf.DUMMYFUNCTION("""COMPUTED_VALUE"""),439385.719079999)</f>
        <v>439385.71907999902</v>
      </c>
      <c r="E3748" s="22">
        <f ca="1">IFERROR(__xludf.DUMMYFUNCTION("""COMPUTED_VALUE"""),500000)</f>
        <v>500000</v>
      </c>
      <c r="F3748" s="22">
        <f ca="1">IFERROR(__xludf.DUMMYFUNCTION("""COMPUTED_VALUE"""),60614.2809199999)</f>
        <v>60614.280919999903</v>
      </c>
      <c r="G3748" s="22">
        <f ca="1">IFERROR(__xludf.DUMMYFUNCTION("""COMPUTED_VALUE"""),0)</f>
        <v>0</v>
      </c>
      <c r="H3748" s="7">
        <f ca="1">IFERROR(__xludf.DUMMYFUNCTION("""COMPUTED_VALUE"""),482982.79132)</f>
        <v>482982.79132000002</v>
      </c>
    </row>
    <row r="3749" spans="1:8" ht="13" x14ac:dyDescent="0.15">
      <c r="A3749" s="5" t="str">
        <f ca="1">IFERROR(__xludf.DUMMYFUNCTION("""COMPUTED_VALUE"""),"75076")</f>
        <v>75076</v>
      </c>
      <c r="B3749" s="51">
        <f ca="1">IFERROR(__xludf.DUMMYFUNCTION("""COMPUTED_VALUE"""),44616)</f>
        <v>44616</v>
      </c>
      <c r="C3749" s="22">
        <f ca="1">IFERROR(__xludf.DUMMYFUNCTION("""COMPUTED_VALUE"""),60614.28092)</f>
        <v>60614.280919999997</v>
      </c>
      <c r="D3749" s="22">
        <f ca="1">IFERROR(__xludf.DUMMYFUNCTION("""COMPUTED_VALUE"""),439385.719079999)</f>
        <v>439385.71907999902</v>
      </c>
      <c r="E3749" s="22">
        <f ca="1">IFERROR(__xludf.DUMMYFUNCTION("""COMPUTED_VALUE"""),500000)</f>
        <v>500000</v>
      </c>
      <c r="F3749" s="22">
        <f ca="1">IFERROR(__xludf.DUMMYFUNCTION("""COMPUTED_VALUE"""),60614.2809199999)</f>
        <v>60614.280919999903</v>
      </c>
      <c r="G3749" s="22">
        <f ca="1">IFERROR(__xludf.DUMMYFUNCTION("""COMPUTED_VALUE"""),0)</f>
        <v>0</v>
      </c>
      <c r="H3749" s="7">
        <f ca="1">IFERROR(__xludf.DUMMYFUNCTION("""COMPUTED_VALUE"""),479796.76292)</f>
        <v>479796.76292000001</v>
      </c>
    </row>
    <row r="3750" spans="1:8" ht="13" x14ac:dyDescent="0.15">
      <c r="A3750" s="5" t="str">
        <f ca="1">IFERROR(__xludf.DUMMYFUNCTION("""COMPUTED_VALUE"""),"75076")</f>
        <v>75076</v>
      </c>
      <c r="B3750" s="51">
        <f ca="1">IFERROR(__xludf.DUMMYFUNCTION("""COMPUTED_VALUE"""),44617)</f>
        <v>44617</v>
      </c>
      <c r="C3750" s="22">
        <f ca="1">IFERROR(__xludf.DUMMYFUNCTION("""COMPUTED_VALUE"""),60614.28092)</f>
        <v>60614.280919999997</v>
      </c>
      <c r="D3750" s="22">
        <f ca="1">IFERROR(__xludf.DUMMYFUNCTION("""COMPUTED_VALUE"""),439385.719079999)</f>
        <v>439385.71907999902</v>
      </c>
      <c r="E3750" s="22">
        <f ca="1">IFERROR(__xludf.DUMMYFUNCTION("""COMPUTED_VALUE"""),500000)</f>
        <v>500000</v>
      </c>
      <c r="F3750" s="22">
        <f ca="1">IFERROR(__xludf.DUMMYFUNCTION("""COMPUTED_VALUE"""),60614.2809199999)</f>
        <v>60614.280919999903</v>
      </c>
      <c r="G3750" s="22">
        <f ca="1">IFERROR(__xludf.DUMMYFUNCTION("""COMPUTED_VALUE"""),0)</f>
        <v>0</v>
      </c>
      <c r="H3750" s="7">
        <f ca="1">IFERROR(__xludf.DUMMYFUNCTION("""COMPUTED_VALUE"""),490888.079)</f>
        <v>490888.07900000003</v>
      </c>
    </row>
    <row r="3751" spans="1:8" ht="13" x14ac:dyDescent="0.15">
      <c r="A3751" s="5" t="str">
        <f ca="1">IFERROR(__xludf.DUMMYFUNCTION("""COMPUTED_VALUE"""),"75076")</f>
        <v>75076</v>
      </c>
      <c r="B3751" s="51">
        <f ca="1">IFERROR(__xludf.DUMMYFUNCTION("""COMPUTED_VALUE"""),44618)</f>
        <v>44618</v>
      </c>
      <c r="C3751" s="22">
        <f ca="1">IFERROR(__xludf.DUMMYFUNCTION("""COMPUTED_VALUE"""),60614.28092)</f>
        <v>60614.280919999997</v>
      </c>
      <c r="D3751" s="22">
        <f ca="1">IFERROR(__xludf.DUMMYFUNCTION("""COMPUTED_VALUE"""),439385.719079999)</f>
        <v>439385.71907999902</v>
      </c>
      <c r="E3751" s="22">
        <f ca="1">IFERROR(__xludf.DUMMYFUNCTION("""COMPUTED_VALUE"""),500000)</f>
        <v>500000</v>
      </c>
      <c r="F3751" s="22">
        <f ca="1">IFERROR(__xludf.DUMMYFUNCTION("""COMPUTED_VALUE"""),60614.2809199999)</f>
        <v>60614.280919999903</v>
      </c>
      <c r="G3751" s="22">
        <f ca="1">IFERROR(__xludf.DUMMYFUNCTION("""COMPUTED_VALUE"""),0)</f>
        <v>0</v>
      </c>
      <c r="H3751" s="7">
        <f ca="1">IFERROR(__xludf.DUMMYFUNCTION("""COMPUTED_VALUE"""),490896.344599999)</f>
        <v>490896.34459999902</v>
      </c>
    </row>
    <row r="3752" spans="1:8" ht="13" x14ac:dyDescent="0.15">
      <c r="A3752" s="5" t="str">
        <f ca="1">IFERROR(__xludf.DUMMYFUNCTION("""COMPUTED_VALUE"""),"75076")</f>
        <v>75076</v>
      </c>
      <c r="B3752" s="51">
        <f ca="1">IFERROR(__xludf.DUMMYFUNCTION("""COMPUTED_VALUE"""),44619)</f>
        <v>44619</v>
      </c>
      <c r="C3752" s="22">
        <f ca="1">IFERROR(__xludf.DUMMYFUNCTION("""COMPUTED_VALUE"""),60614.28092)</f>
        <v>60614.280919999997</v>
      </c>
      <c r="D3752" s="22">
        <f ca="1">IFERROR(__xludf.DUMMYFUNCTION("""COMPUTED_VALUE"""),439385.719079999)</f>
        <v>439385.71907999902</v>
      </c>
      <c r="E3752" s="22">
        <f ca="1">IFERROR(__xludf.DUMMYFUNCTION("""COMPUTED_VALUE"""),500000)</f>
        <v>500000</v>
      </c>
      <c r="F3752" s="22">
        <f ca="1">IFERROR(__xludf.DUMMYFUNCTION("""COMPUTED_VALUE"""),60614.2809199999)</f>
        <v>60614.280919999903</v>
      </c>
      <c r="G3752" s="22">
        <f ca="1">IFERROR(__xludf.DUMMYFUNCTION("""COMPUTED_VALUE"""),0)</f>
        <v>0</v>
      </c>
      <c r="H3752" s="7">
        <f ca="1">IFERROR(__xludf.DUMMYFUNCTION("""COMPUTED_VALUE"""),490877.33372)</f>
        <v>490877.33372</v>
      </c>
    </row>
    <row r="3753" spans="1:8" ht="13" x14ac:dyDescent="0.15">
      <c r="A3753" s="5" t="str">
        <f ca="1">IFERROR(__xludf.DUMMYFUNCTION("""COMPUTED_VALUE"""),"75076")</f>
        <v>75076</v>
      </c>
      <c r="B3753" s="51">
        <f ca="1">IFERROR(__xludf.DUMMYFUNCTION("""COMPUTED_VALUE"""),44620)</f>
        <v>44620</v>
      </c>
      <c r="C3753" s="22">
        <f ca="1">IFERROR(__xludf.DUMMYFUNCTION("""COMPUTED_VALUE"""),60614.28092)</f>
        <v>60614.280919999997</v>
      </c>
      <c r="D3753" s="22">
        <f ca="1">IFERROR(__xludf.DUMMYFUNCTION("""COMPUTED_VALUE"""),439385.719079999)</f>
        <v>439385.71907999902</v>
      </c>
      <c r="E3753" s="22">
        <f ca="1">IFERROR(__xludf.DUMMYFUNCTION("""COMPUTED_VALUE"""),500000)</f>
        <v>500000</v>
      </c>
      <c r="F3753" s="22">
        <f ca="1">IFERROR(__xludf.DUMMYFUNCTION("""COMPUTED_VALUE"""),60614.2809199999)</f>
        <v>60614.280919999903</v>
      </c>
      <c r="G3753" s="22">
        <f ca="1">IFERROR(__xludf.DUMMYFUNCTION("""COMPUTED_VALUE"""),0)</f>
        <v>0</v>
      </c>
      <c r="H3753" s="7">
        <f ca="1">IFERROR(__xludf.DUMMYFUNCTION("""COMPUTED_VALUE"""),501792.92172)</f>
        <v>501792.92171999998</v>
      </c>
    </row>
    <row r="3754" spans="1:8" ht="13" x14ac:dyDescent="0.15">
      <c r="A3754" s="5" t="str">
        <f ca="1">IFERROR(__xludf.DUMMYFUNCTION("""COMPUTED_VALUE"""),"75076")</f>
        <v>75076</v>
      </c>
      <c r="B3754" s="51">
        <f ca="1">IFERROR(__xludf.DUMMYFUNCTION("""COMPUTED_VALUE"""),44621)</f>
        <v>44621</v>
      </c>
      <c r="C3754" s="22">
        <f ca="1">IFERROR(__xludf.DUMMYFUNCTION("""COMPUTED_VALUE"""),60614.28092)</f>
        <v>60614.280919999997</v>
      </c>
      <c r="D3754" s="22">
        <f ca="1">IFERROR(__xludf.DUMMYFUNCTION("""COMPUTED_VALUE"""),439385.719079999)</f>
        <v>439385.71907999902</v>
      </c>
      <c r="E3754" s="22">
        <f ca="1">IFERROR(__xludf.DUMMYFUNCTION("""COMPUTED_VALUE"""),500000)</f>
        <v>500000</v>
      </c>
      <c r="F3754" s="22">
        <f ca="1">IFERROR(__xludf.DUMMYFUNCTION("""COMPUTED_VALUE"""),60614.2809199999)</f>
        <v>60614.280919999903</v>
      </c>
      <c r="G3754" s="22">
        <f ca="1">IFERROR(__xludf.DUMMYFUNCTION("""COMPUTED_VALUE"""),0)</f>
        <v>0</v>
      </c>
      <c r="H3754" s="7">
        <f ca="1">IFERROR(__xludf.DUMMYFUNCTION("""COMPUTED_VALUE"""),506365.27168)</f>
        <v>506365.27168000001</v>
      </c>
    </row>
    <row r="3755" spans="1:8" ht="13" x14ac:dyDescent="0.15">
      <c r="A3755" s="5" t="str">
        <f ca="1">IFERROR(__xludf.DUMMYFUNCTION("""COMPUTED_VALUE"""),"75076")</f>
        <v>75076</v>
      </c>
      <c r="B3755" s="51">
        <f ca="1">IFERROR(__xludf.DUMMYFUNCTION("""COMPUTED_VALUE"""),44622)</f>
        <v>44622</v>
      </c>
      <c r="C3755" s="22">
        <f ca="1">IFERROR(__xludf.DUMMYFUNCTION("""COMPUTED_VALUE"""),60614.28092)</f>
        <v>60614.280919999997</v>
      </c>
      <c r="D3755" s="22">
        <f ca="1">IFERROR(__xludf.DUMMYFUNCTION("""COMPUTED_VALUE"""),439385.719079999)</f>
        <v>439385.71907999902</v>
      </c>
      <c r="E3755" s="22">
        <f ca="1">IFERROR(__xludf.DUMMYFUNCTION("""COMPUTED_VALUE"""),500000)</f>
        <v>500000</v>
      </c>
      <c r="F3755" s="22">
        <f ca="1">IFERROR(__xludf.DUMMYFUNCTION("""COMPUTED_VALUE"""),60614.2809199999)</f>
        <v>60614.280919999903</v>
      </c>
      <c r="G3755" s="22">
        <f ca="1">IFERROR(__xludf.DUMMYFUNCTION("""COMPUTED_VALUE"""),0)</f>
        <v>0</v>
      </c>
      <c r="H3755" s="7">
        <f ca="1">IFERROR(__xludf.DUMMYFUNCTION("""COMPUTED_VALUE"""),516448.86812)</f>
        <v>516448.86812</v>
      </c>
    </row>
    <row r="3756" spans="1:8" ht="13" x14ac:dyDescent="0.15">
      <c r="A3756" s="5" t="str">
        <f ca="1">IFERROR(__xludf.DUMMYFUNCTION("""COMPUTED_VALUE"""),"75076")</f>
        <v>75076</v>
      </c>
      <c r="B3756" s="51">
        <f ca="1">IFERROR(__xludf.DUMMYFUNCTION("""COMPUTED_VALUE"""),44623)</f>
        <v>44623</v>
      </c>
      <c r="C3756" s="22">
        <f ca="1">IFERROR(__xludf.DUMMYFUNCTION("""COMPUTED_VALUE"""),60614.28092)</f>
        <v>60614.280919999997</v>
      </c>
      <c r="D3756" s="22">
        <f ca="1">IFERROR(__xludf.DUMMYFUNCTION("""COMPUTED_VALUE"""),439385.719079999)</f>
        <v>439385.71907999902</v>
      </c>
      <c r="E3756" s="22">
        <f ca="1">IFERROR(__xludf.DUMMYFUNCTION("""COMPUTED_VALUE"""),500000)</f>
        <v>500000</v>
      </c>
      <c r="F3756" s="22">
        <f ca="1">IFERROR(__xludf.DUMMYFUNCTION("""COMPUTED_VALUE"""),60614.2809199999)</f>
        <v>60614.280919999903</v>
      </c>
      <c r="G3756" s="22">
        <f ca="1">IFERROR(__xludf.DUMMYFUNCTION("""COMPUTED_VALUE"""),0)</f>
        <v>0</v>
      </c>
      <c r="H3756" s="7">
        <f ca="1">IFERROR(__xludf.DUMMYFUNCTION("""COMPUTED_VALUE"""),517810.24252)</f>
        <v>517810.24252000003</v>
      </c>
    </row>
    <row r="3757" spans="1:8" ht="13" x14ac:dyDescent="0.15">
      <c r="A3757" s="5" t="str">
        <f ca="1">IFERROR(__xludf.DUMMYFUNCTION("""COMPUTED_VALUE"""),"75076")</f>
        <v>75076</v>
      </c>
      <c r="B3757" s="51">
        <f ca="1">IFERROR(__xludf.DUMMYFUNCTION("""COMPUTED_VALUE"""),44624)</f>
        <v>44624</v>
      </c>
      <c r="C3757" s="22">
        <f ca="1">IFERROR(__xludf.DUMMYFUNCTION("""COMPUTED_VALUE"""),60614.28092)</f>
        <v>60614.280919999997</v>
      </c>
      <c r="D3757" s="22">
        <f ca="1">IFERROR(__xludf.DUMMYFUNCTION("""COMPUTED_VALUE"""),439385.719079999)</f>
        <v>439385.71907999902</v>
      </c>
      <c r="E3757" s="22">
        <f ca="1">IFERROR(__xludf.DUMMYFUNCTION("""COMPUTED_VALUE"""),500000)</f>
        <v>500000</v>
      </c>
      <c r="F3757" s="22">
        <f ca="1">IFERROR(__xludf.DUMMYFUNCTION("""COMPUTED_VALUE"""),60614.2809199999)</f>
        <v>60614.280919999903</v>
      </c>
      <c r="G3757" s="22">
        <f ca="1">IFERROR(__xludf.DUMMYFUNCTION("""COMPUTED_VALUE"""),0)</f>
        <v>0</v>
      </c>
      <c r="H3757" s="7">
        <f ca="1">IFERROR(__xludf.DUMMYFUNCTION("""COMPUTED_VALUE"""),530908.90844)</f>
        <v>530908.90844000003</v>
      </c>
    </row>
    <row r="3758" spans="1:8" ht="13" x14ac:dyDescent="0.15">
      <c r="A3758" s="5" t="str">
        <f ca="1">IFERROR(__xludf.DUMMYFUNCTION("""COMPUTED_VALUE"""),"75076")</f>
        <v>75076</v>
      </c>
      <c r="B3758" s="51">
        <f ca="1">IFERROR(__xludf.DUMMYFUNCTION("""COMPUTED_VALUE"""),44625)</f>
        <v>44625</v>
      </c>
      <c r="C3758" s="22">
        <f ca="1">IFERROR(__xludf.DUMMYFUNCTION("""COMPUTED_VALUE"""),60614.28092)</f>
        <v>60614.280919999997</v>
      </c>
      <c r="D3758" s="22">
        <f ca="1">IFERROR(__xludf.DUMMYFUNCTION("""COMPUTED_VALUE"""),439385.719079999)</f>
        <v>439385.71907999902</v>
      </c>
      <c r="E3758" s="22">
        <f ca="1">IFERROR(__xludf.DUMMYFUNCTION("""COMPUTED_VALUE"""),500000)</f>
        <v>500000</v>
      </c>
      <c r="F3758" s="22">
        <f ca="1">IFERROR(__xludf.DUMMYFUNCTION("""COMPUTED_VALUE"""),60614.2809199999)</f>
        <v>60614.280919999903</v>
      </c>
      <c r="G3758" s="22">
        <f ca="1">IFERROR(__xludf.DUMMYFUNCTION("""COMPUTED_VALUE"""),0)</f>
        <v>0</v>
      </c>
      <c r="H3758" s="7">
        <f ca="1">IFERROR(__xludf.DUMMYFUNCTION("""COMPUTED_VALUE"""),530908.90844)</f>
        <v>530908.90844000003</v>
      </c>
    </row>
    <row r="3759" spans="1:8" ht="13" x14ac:dyDescent="0.15">
      <c r="A3759" s="5" t="str">
        <f ca="1">IFERROR(__xludf.DUMMYFUNCTION("""COMPUTED_VALUE"""),"75076")</f>
        <v>75076</v>
      </c>
      <c r="B3759" s="51">
        <f ca="1">IFERROR(__xludf.DUMMYFUNCTION("""COMPUTED_VALUE"""),44626)</f>
        <v>44626</v>
      </c>
      <c r="C3759" s="22">
        <f ca="1">IFERROR(__xludf.DUMMYFUNCTION("""COMPUTED_VALUE"""),60614.28092)</f>
        <v>60614.280919999997</v>
      </c>
      <c r="D3759" s="22">
        <f ca="1">IFERROR(__xludf.DUMMYFUNCTION("""COMPUTED_VALUE"""),439385.719079999)</f>
        <v>439385.71907999902</v>
      </c>
      <c r="E3759" s="22">
        <f ca="1">IFERROR(__xludf.DUMMYFUNCTION("""COMPUTED_VALUE"""),500000)</f>
        <v>500000</v>
      </c>
      <c r="F3759" s="22">
        <f ca="1">IFERROR(__xludf.DUMMYFUNCTION("""COMPUTED_VALUE"""),60614.2809199999)</f>
        <v>60614.280919999903</v>
      </c>
      <c r="G3759" s="22">
        <f ca="1">IFERROR(__xludf.DUMMYFUNCTION("""COMPUTED_VALUE"""),0)</f>
        <v>0</v>
      </c>
      <c r="H3759" s="7">
        <f ca="1">IFERROR(__xludf.DUMMYFUNCTION("""COMPUTED_VALUE"""),530973.60624)</f>
        <v>530973.60623999999</v>
      </c>
    </row>
    <row r="3760" spans="1:8" ht="13" x14ac:dyDescent="0.15">
      <c r="A3760" s="5" t="str">
        <f ca="1">IFERROR(__xludf.DUMMYFUNCTION("""COMPUTED_VALUE"""),"75076")</f>
        <v>75076</v>
      </c>
      <c r="B3760" s="51">
        <f ca="1">IFERROR(__xludf.DUMMYFUNCTION("""COMPUTED_VALUE"""),44627)</f>
        <v>44627</v>
      </c>
      <c r="C3760" s="22">
        <f ca="1">IFERROR(__xludf.DUMMYFUNCTION("""COMPUTED_VALUE"""),60614.28092)</f>
        <v>60614.280919999997</v>
      </c>
      <c r="D3760" s="22">
        <f ca="1">IFERROR(__xludf.DUMMYFUNCTION("""COMPUTED_VALUE"""),439385.719079999)</f>
        <v>439385.71907999902</v>
      </c>
      <c r="E3760" s="22">
        <f ca="1">IFERROR(__xludf.DUMMYFUNCTION("""COMPUTED_VALUE"""),500000)</f>
        <v>500000</v>
      </c>
      <c r="F3760" s="22">
        <f ca="1">IFERROR(__xludf.DUMMYFUNCTION("""COMPUTED_VALUE"""),60614.2809199999)</f>
        <v>60614.280919999903</v>
      </c>
      <c r="G3760" s="22">
        <f ca="1">IFERROR(__xludf.DUMMYFUNCTION("""COMPUTED_VALUE"""),0)</f>
        <v>0</v>
      </c>
      <c r="H3760" s="7">
        <f ca="1">IFERROR(__xludf.DUMMYFUNCTION("""COMPUTED_VALUE"""),538108.76652)</f>
        <v>538108.76651999995</v>
      </c>
    </row>
    <row r="3761" spans="1:8" ht="13" x14ac:dyDescent="0.15">
      <c r="A3761" s="5" t="str">
        <f ca="1">IFERROR(__xludf.DUMMYFUNCTION("""COMPUTED_VALUE"""),"75076")</f>
        <v>75076</v>
      </c>
      <c r="B3761" s="51">
        <f ca="1">IFERROR(__xludf.DUMMYFUNCTION("""COMPUTED_VALUE"""),44628)</f>
        <v>44628</v>
      </c>
      <c r="C3761" s="22">
        <f ca="1">IFERROR(__xludf.DUMMYFUNCTION("""COMPUTED_VALUE"""),60614.28092)</f>
        <v>60614.280919999997</v>
      </c>
      <c r="D3761" s="22">
        <f ca="1">IFERROR(__xludf.DUMMYFUNCTION("""COMPUTED_VALUE"""),439385.719079999)</f>
        <v>439385.71907999902</v>
      </c>
      <c r="E3761" s="22">
        <f ca="1">IFERROR(__xludf.DUMMYFUNCTION("""COMPUTED_VALUE"""),500000)</f>
        <v>500000</v>
      </c>
      <c r="F3761" s="22">
        <f ca="1">IFERROR(__xludf.DUMMYFUNCTION("""COMPUTED_VALUE"""),60614.2809199999)</f>
        <v>60614.280919999903</v>
      </c>
      <c r="G3761" s="22">
        <f ca="1">IFERROR(__xludf.DUMMYFUNCTION("""COMPUTED_VALUE"""),0)</f>
        <v>0</v>
      </c>
      <c r="H3761" s="7">
        <f ca="1">IFERROR(__xludf.DUMMYFUNCTION("""COMPUTED_VALUE"""),545640.93812)</f>
        <v>545640.93811999995</v>
      </c>
    </row>
    <row r="3762" spans="1:8" ht="13" x14ac:dyDescent="0.15">
      <c r="A3762" s="5" t="str">
        <f ca="1">IFERROR(__xludf.DUMMYFUNCTION("""COMPUTED_VALUE"""),"75076")</f>
        <v>75076</v>
      </c>
      <c r="B3762" s="51">
        <f ca="1">IFERROR(__xludf.DUMMYFUNCTION("""COMPUTED_VALUE"""),44629)</f>
        <v>44629</v>
      </c>
      <c r="C3762" s="22">
        <f ca="1">IFERROR(__xludf.DUMMYFUNCTION("""COMPUTED_VALUE"""),60614.28092)</f>
        <v>60614.280919999997</v>
      </c>
      <c r="D3762" s="22">
        <f ca="1">IFERROR(__xludf.DUMMYFUNCTION("""COMPUTED_VALUE"""),439385.719079999)</f>
        <v>439385.71907999902</v>
      </c>
      <c r="E3762" s="22">
        <f ca="1">IFERROR(__xludf.DUMMYFUNCTION("""COMPUTED_VALUE"""),500000)</f>
        <v>500000</v>
      </c>
      <c r="F3762" s="22">
        <f ca="1">IFERROR(__xludf.DUMMYFUNCTION("""COMPUTED_VALUE"""),60614.2809199999)</f>
        <v>60614.280919999903</v>
      </c>
      <c r="G3762" s="22">
        <f ca="1">IFERROR(__xludf.DUMMYFUNCTION("""COMPUTED_VALUE"""),0)</f>
        <v>0</v>
      </c>
      <c r="H3762" s="7">
        <f ca="1">IFERROR(__xludf.DUMMYFUNCTION("""COMPUTED_VALUE"""),530713.60292)</f>
        <v>530713.60291999998</v>
      </c>
    </row>
    <row r="3763" spans="1:8" ht="13" x14ac:dyDescent="0.15">
      <c r="A3763" s="5" t="str">
        <f ca="1">IFERROR(__xludf.DUMMYFUNCTION("""COMPUTED_VALUE"""),"75076")</f>
        <v>75076</v>
      </c>
      <c r="B3763" s="51">
        <f ca="1">IFERROR(__xludf.DUMMYFUNCTION("""COMPUTED_VALUE"""),44630)</f>
        <v>44630</v>
      </c>
      <c r="C3763" s="22">
        <f ca="1">IFERROR(__xludf.DUMMYFUNCTION("""COMPUTED_VALUE"""),60614.28092)</f>
        <v>60614.280919999997</v>
      </c>
      <c r="D3763" s="22">
        <f ca="1">IFERROR(__xludf.DUMMYFUNCTION("""COMPUTED_VALUE"""),439385.719079999)</f>
        <v>439385.71907999902</v>
      </c>
      <c r="E3763" s="22">
        <f ca="1">IFERROR(__xludf.DUMMYFUNCTION("""COMPUTED_VALUE"""),500000)</f>
        <v>500000</v>
      </c>
      <c r="F3763" s="22">
        <f ca="1">IFERROR(__xludf.DUMMYFUNCTION("""COMPUTED_VALUE"""),60614.2809199999)</f>
        <v>60614.280919999903</v>
      </c>
      <c r="G3763" s="22">
        <f ca="1">IFERROR(__xludf.DUMMYFUNCTION("""COMPUTED_VALUE"""),0)</f>
        <v>0</v>
      </c>
      <c r="H3763" s="7">
        <f ca="1">IFERROR(__xludf.DUMMYFUNCTION("""COMPUTED_VALUE"""),531049.18852)</f>
        <v>531049.18851999997</v>
      </c>
    </row>
    <row r="3764" spans="1:8" ht="13" x14ac:dyDescent="0.15">
      <c r="A3764" s="5" t="str">
        <f ca="1">IFERROR(__xludf.DUMMYFUNCTION("""COMPUTED_VALUE"""),"75076")</f>
        <v>75076</v>
      </c>
      <c r="B3764" s="51">
        <f ca="1">IFERROR(__xludf.DUMMYFUNCTION("""COMPUTED_VALUE"""),44631)</f>
        <v>44631</v>
      </c>
      <c r="C3764" s="22">
        <f ca="1">IFERROR(__xludf.DUMMYFUNCTION("""COMPUTED_VALUE"""),60614.28092)</f>
        <v>60614.280919999997</v>
      </c>
      <c r="D3764" s="22">
        <f ca="1">IFERROR(__xludf.DUMMYFUNCTION("""COMPUTED_VALUE"""),439385.719079999)</f>
        <v>439385.71907999902</v>
      </c>
      <c r="E3764" s="22">
        <f ca="1">IFERROR(__xludf.DUMMYFUNCTION("""COMPUTED_VALUE"""),500000)</f>
        <v>500000</v>
      </c>
      <c r="F3764" s="22">
        <f ca="1">IFERROR(__xludf.DUMMYFUNCTION("""COMPUTED_VALUE"""),60614.2809199999)</f>
        <v>60614.280919999903</v>
      </c>
      <c r="G3764" s="22">
        <f ca="1">IFERROR(__xludf.DUMMYFUNCTION("""COMPUTED_VALUE"""),0)</f>
        <v>0</v>
      </c>
      <c r="H3764" s="7">
        <f ca="1">IFERROR(__xludf.DUMMYFUNCTION("""COMPUTED_VALUE"""),541971.94092)</f>
        <v>541971.94091999996</v>
      </c>
    </row>
    <row r="3765" spans="1:8" ht="13" x14ac:dyDescent="0.15">
      <c r="A3765" s="5" t="str">
        <f ca="1">IFERROR(__xludf.DUMMYFUNCTION("""COMPUTED_VALUE"""),"75076")</f>
        <v>75076</v>
      </c>
      <c r="B3765" s="51">
        <f ca="1">IFERROR(__xludf.DUMMYFUNCTION("""COMPUTED_VALUE"""),44632)</f>
        <v>44632</v>
      </c>
      <c r="C3765" s="22">
        <f ca="1">IFERROR(__xludf.DUMMYFUNCTION("""COMPUTED_VALUE"""),60614.28092)</f>
        <v>60614.280919999997</v>
      </c>
      <c r="D3765" s="22">
        <f ca="1">IFERROR(__xludf.DUMMYFUNCTION("""COMPUTED_VALUE"""),439385.719079999)</f>
        <v>439385.71907999902</v>
      </c>
      <c r="E3765" s="22">
        <f ca="1">IFERROR(__xludf.DUMMYFUNCTION("""COMPUTED_VALUE"""),500000)</f>
        <v>500000</v>
      </c>
      <c r="F3765" s="22">
        <f ca="1">IFERROR(__xludf.DUMMYFUNCTION("""COMPUTED_VALUE"""),60614.2809199999)</f>
        <v>60614.280919999903</v>
      </c>
      <c r="G3765" s="22">
        <f ca="1">IFERROR(__xludf.DUMMYFUNCTION("""COMPUTED_VALUE"""),0)</f>
        <v>0</v>
      </c>
      <c r="H3765" s="7">
        <f ca="1">IFERROR(__xludf.DUMMYFUNCTION("""COMPUTED_VALUE"""),541971.94092)</f>
        <v>541971.94091999996</v>
      </c>
    </row>
    <row r="3766" spans="1:8" ht="13" x14ac:dyDescent="0.15">
      <c r="A3766" s="5" t="str">
        <f ca="1">IFERROR(__xludf.DUMMYFUNCTION("""COMPUTED_VALUE"""),"75076")</f>
        <v>75076</v>
      </c>
      <c r="B3766" s="51">
        <f ca="1">IFERROR(__xludf.DUMMYFUNCTION("""COMPUTED_VALUE"""),44633)</f>
        <v>44633</v>
      </c>
      <c r="C3766" s="22">
        <f ca="1">IFERROR(__xludf.DUMMYFUNCTION("""COMPUTED_VALUE"""),60614.28092)</f>
        <v>60614.280919999997</v>
      </c>
      <c r="D3766" s="22">
        <f ca="1">IFERROR(__xludf.DUMMYFUNCTION("""COMPUTED_VALUE"""),439385.719079999)</f>
        <v>439385.71907999902</v>
      </c>
      <c r="E3766" s="22">
        <f ca="1">IFERROR(__xludf.DUMMYFUNCTION("""COMPUTED_VALUE"""),500000)</f>
        <v>500000</v>
      </c>
      <c r="F3766" s="22">
        <f ca="1">IFERROR(__xludf.DUMMYFUNCTION("""COMPUTED_VALUE"""),60614.2809199999)</f>
        <v>60614.280919999903</v>
      </c>
      <c r="G3766" s="22">
        <f ca="1">IFERROR(__xludf.DUMMYFUNCTION("""COMPUTED_VALUE"""),0)</f>
        <v>0</v>
      </c>
      <c r="H3766" s="7">
        <f ca="1">IFERROR(__xludf.DUMMYFUNCTION("""COMPUTED_VALUE"""),541930.74932)</f>
        <v>541930.74931999994</v>
      </c>
    </row>
    <row r="3767" spans="1:8" ht="13" x14ac:dyDescent="0.15">
      <c r="A3767" s="5" t="str">
        <f ca="1">IFERROR(__xludf.DUMMYFUNCTION("""COMPUTED_VALUE"""),"75076")</f>
        <v>75076</v>
      </c>
      <c r="B3767" s="51">
        <f ca="1">IFERROR(__xludf.DUMMYFUNCTION("""COMPUTED_VALUE"""),44634)</f>
        <v>44634</v>
      </c>
      <c r="C3767" s="22">
        <f ca="1">IFERROR(__xludf.DUMMYFUNCTION("""COMPUTED_VALUE"""),60614.28092)</f>
        <v>60614.280919999997</v>
      </c>
      <c r="D3767" s="22">
        <f ca="1">IFERROR(__xludf.DUMMYFUNCTION("""COMPUTED_VALUE"""),439385.719079999)</f>
        <v>439385.71907999902</v>
      </c>
      <c r="E3767" s="22">
        <f ca="1">IFERROR(__xludf.DUMMYFUNCTION("""COMPUTED_VALUE"""),500000)</f>
        <v>500000</v>
      </c>
      <c r="F3767" s="22">
        <f ca="1">IFERROR(__xludf.DUMMYFUNCTION("""COMPUTED_VALUE"""),60614.2809199999)</f>
        <v>60614.280919999903</v>
      </c>
      <c r="G3767" s="22">
        <f ca="1">IFERROR(__xludf.DUMMYFUNCTION("""COMPUTED_VALUE"""),0)</f>
        <v>0</v>
      </c>
      <c r="H3767" s="7">
        <f ca="1">IFERROR(__xludf.DUMMYFUNCTION("""COMPUTED_VALUE"""),527550.75092)</f>
        <v>527550.75092000002</v>
      </c>
    </row>
    <row r="3768" spans="1:8" ht="13" x14ac:dyDescent="0.15">
      <c r="A3768" s="5" t="str">
        <f ca="1">IFERROR(__xludf.DUMMYFUNCTION("""COMPUTED_VALUE"""),"75076")</f>
        <v>75076</v>
      </c>
      <c r="B3768" s="51">
        <f ca="1">IFERROR(__xludf.DUMMYFUNCTION("""COMPUTED_VALUE"""),44635)</f>
        <v>44635</v>
      </c>
      <c r="C3768" s="22">
        <f ca="1">IFERROR(__xludf.DUMMYFUNCTION("""COMPUTED_VALUE"""),60614.28092)</f>
        <v>60614.280919999997</v>
      </c>
      <c r="D3768" s="22">
        <f ca="1">IFERROR(__xludf.DUMMYFUNCTION("""COMPUTED_VALUE"""),439385.719079999)</f>
        <v>439385.71907999902</v>
      </c>
      <c r="E3768" s="22">
        <f ca="1">IFERROR(__xludf.DUMMYFUNCTION("""COMPUTED_VALUE"""),500000)</f>
        <v>500000</v>
      </c>
      <c r="F3768" s="22">
        <f ca="1">IFERROR(__xludf.DUMMYFUNCTION("""COMPUTED_VALUE"""),60614.2809199999)</f>
        <v>60614.280919999903</v>
      </c>
      <c r="G3768" s="22">
        <f ca="1">IFERROR(__xludf.DUMMYFUNCTION("""COMPUTED_VALUE"""),0)</f>
        <v>0</v>
      </c>
      <c r="H3768" s="7">
        <f ca="1">IFERROR(__xludf.DUMMYFUNCTION("""COMPUTED_VALUE"""),510319.52012)</f>
        <v>510319.52012</v>
      </c>
    </row>
    <row r="3769" spans="1:8" ht="13" x14ac:dyDescent="0.15">
      <c r="A3769" s="5" t="str">
        <f ca="1">IFERROR(__xludf.DUMMYFUNCTION("""COMPUTED_VALUE"""),"75076")</f>
        <v>75076</v>
      </c>
      <c r="B3769" s="51">
        <f ca="1">IFERROR(__xludf.DUMMYFUNCTION("""COMPUTED_VALUE"""),44636)</f>
        <v>44636</v>
      </c>
      <c r="C3769" s="22">
        <f ca="1">IFERROR(__xludf.DUMMYFUNCTION("""COMPUTED_VALUE"""),60614.28092)</f>
        <v>60614.280919999997</v>
      </c>
      <c r="D3769" s="22">
        <f ca="1">IFERROR(__xludf.DUMMYFUNCTION("""COMPUTED_VALUE"""),439385.719079999)</f>
        <v>439385.71907999902</v>
      </c>
      <c r="E3769" s="22">
        <f ca="1">IFERROR(__xludf.DUMMYFUNCTION("""COMPUTED_VALUE"""),500000)</f>
        <v>500000</v>
      </c>
      <c r="F3769" s="22">
        <f ca="1">IFERROR(__xludf.DUMMYFUNCTION("""COMPUTED_VALUE"""),60614.2809199999)</f>
        <v>60614.280919999903</v>
      </c>
      <c r="G3769" s="22">
        <f ca="1">IFERROR(__xludf.DUMMYFUNCTION("""COMPUTED_VALUE"""),0)</f>
        <v>0</v>
      </c>
      <c r="H3769" s="7">
        <f ca="1">IFERROR(__xludf.DUMMYFUNCTION("""COMPUTED_VALUE"""),507887.17652)</f>
        <v>507887.17651999998</v>
      </c>
    </row>
    <row r="3770" spans="1:8" ht="13" x14ac:dyDescent="0.15">
      <c r="A3770" s="5" t="str">
        <f ca="1">IFERROR(__xludf.DUMMYFUNCTION("""COMPUTED_VALUE"""),"75076")</f>
        <v>75076</v>
      </c>
      <c r="B3770" s="51">
        <f ca="1">IFERROR(__xludf.DUMMYFUNCTION("""COMPUTED_VALUE"""),44637)</f>
        <v>44637</v>
      </c>
      <c r="C3770" s="22">
        <f ca="1">IFERROR(__xludf.DUMMYFUNCTION("""COMPUTED_VALUE"""),60614.28092)</f>
        <v>60614.280919999997</v>
      </c>
      <c r="D3770" s="22">
        <f ca="1">IFERROR(__xludf.DUMMYFUNCTION("""COMPUTED_VALUE"""),439385.719079999)</f>
        <v>439385.71907999902</v>
      </c>
      <c r="E3770" s="22">
        <f ca="1">IFERROR(__xludf.DUMMYFUNCTION("""COMPUTED_VALUE"""),500000)</f>
        <v>500000</v>
      </c>
      <c r="F3770" s="22">
        <f ca="1">IFERROR(__xludf.DUMMYFUNCTION("""COMPUTED_VALUE"""),60614.2809199999)</f>
        <v>60614.280919999903</v>
      </c>
      <c r="G3770" s="22">
        <f ca="1">IFERROR(__xludf.DUMMYFUNCTION("""COMPUTED_VALUE"""),0)</f>
        <v>0</v>
      </c>
      <c r="H3770" s="7">
        <f ca="1">IFERROR(__xludf.DUMMYFUNCTION("""COMPUTED_VALUE"""),523065.04292)</f>
        <v>523065.04291999998</v>
      </c>
    </row>
    <row r="3771" spans="1:8" ht="13" x14ac:dyDescent="0.15">
      <c r="A3771" s="5" t="str">
        <f ca="1">IFERROR(__xludf.DUMMYFUNCTION("""COMPUTED_VALUE"""),"75076")</f>
        <v>75076</v>
      </c>
      <c r="B3771" s="51">
        <f ca="1">IFERROR(__xludf.DUMMYFUNCTION("""COMPUTED_VALUE"""),44638)</f>
        <v>44638</v>
      </c>
      <c r="C3771" s="22">
        <f ca="1">IFERROR(__xludf.DUMMYFUNCTION("""COMPUTED_VALUE"""),60614.28092)</f>
        <v>60614.280919999997</v>
      </c>
      <c r="D3771" s="22">
        <f ca="1">IFERROR(__xludf.DUMMYFUNCTION("""COMPUTED_VALUE"""),439385.719079999)</f>
        <v>439385.71907999902</v>
      </c>
      <c r="E3771" s="22">
        <f ca="1">IFERROR(__xludf.DUMMYFUNCTION("""COMPUTED_VALUE"""),500000)</f>
        <v>500000</v>
      </c>
      <c r="F3771" s="22">
        <f ca="1">IFERROR(__xludf.DUMMYFUNCTION("""COMPUTED_VALUE"""),60614.2809199999)</f>
        <v>60614.280919999903</v>
      </c>
      <c r="G3771" s="22">
        <f ca="1">IFERROR(__xludf.DUMMYFUNCTION("""COMPUTED_VALUE"""),0)</f>
        <v>0</v>
      </c>
      <c r="H3771" s="7">
        <f ca="1">IFERROR(__xludf.DUMMYFUNCTION("""COMPUTED_VALUE"""),523100.12572)</f>
        <v>523100.12572000001</v>
      </c>
    </row>
    <row r="3772" spans="1:8" ht="13" x14ac:dyDescent="0.15">
      <c r="A3772" s="5" t="str">
        <f ca="1">IFERROR(__xludf.DUMMYFUNCTION("""COMPUTED_VALUE"""),"75076")</f>
        <v>75076</v>
      </c>
      <c r="B3772" s="51">
        <f ca="1">IFERROR(__xludf.DUMMYFUNCTION("""COMPUTED_VALUE"""),44639)</f>
        <v>44639</v>
      </c>
      <c r="C3772" s="22">
        <f ca="1">IFERROR(__xludf.DUMMYFUNCTION("""COMPUTED_VALUE"""),60614.28092)</f>
        <v>60614.280919999997</v>
      </c>
      <c r="D3772" s="22">
        <f ca="1">IFERROR(__xludf.DUMMYFUNCTION("""COMPUTED_VALUE"""),439385.719079999)</f>
        <v>439385.71907999902</v>
      </c>
      <c r="E3772" s="22">
        <f ca="1">IFERROR(__xludf.DUMMYFUNCTION("""COMPUTED_VALUE"""),500000)</f>
        <v>500000</v>
      </c>
      <c r="F3772" s="22">
        <f ca="1">IFERROR(__xludf.DUMMYFUNCTION("""COMPUTED_VALUE"""),60614.2809199999)</f>
        <v>60614.280919999903</v>
      </c>
      <c r="G3772" s="22">
        <f ca="1">IFERROR(__xludf.DUMMYFUNCTION("""COMPUTED_VALUE"""),0)</f>
        <v>0</v>
      </c>
      <c r="H3772" s="7">
        <f ca="1">IFERROR(__xludf.DUMMYFUNCTION("""COMPUTED_VALUE"""),523100.12572)</f>
        <v>523100.12572000001</v>
      </c>
    </row>
    <row r="3773" spans="1:8" ht="13" x14ac:dyDescent="0.15">
      <c r="A3773" s="5" t="str">
        <f ca="1">IFERROR(__xludf.DUMMYFUNCTION("""COMPUTED_VALUE"""),"75076")</f>
        <v>75076</v>
      </c>
      <c r="B3773" s="51">
        <f ca="1">IFERROR(__xludf.DUMMYFUNCTION("""COMPUTED_VALUE"""),44640)</f>
        <v>44640</v>
      </c>
      <c r="C3773" s="22">
        <f ca="1">IFERROR(__xludf.DUMMYFUNCTION("""COMPUTED_VALUE"""),60614.28092)</f>
        <v>60614.280919999997</v>
      </c>
      <c r="D3773" s="22">
        <f ca="1">IFERROR(__xludf.DUMMYFUNCTION("""COMPUTED_VALUE"""),439385.719079999)</f>
        <v>439385.71907999902</v>
      </c>
      <c r="E3773" s="22">
        <f ca="1">IFERROR(__xludf.DUMMYFUNCTION("""COMPUTED_VALUE"""),500000)</f>
        <v>500000</v>
      </c>
      <c r="F3773" s="22">
        <f ca="1">IFERROR(__xludf.DUMMYFUNCTION("""COMPUTED_VALUE"""),60614.2809199999)</f>
        <v>60614.280919999903</v>
      </c>
      <c r="G3773" s="22">
        <f ca="1">IFERROR(__xludf.DUMMYFUNCTION("""COMPUTED_VALUE"""),0)</f>
        <v>0</v>
      </c>
      <c r="H3773" s="7">
        <f ca="1">IFERROR(__xludf.DUMMYFUNCTION("""COMPUTED_VALUE"""),522999.3534)</f>
        <v>522999.35340000002</v>
      </c>
    </row>
    <row r="3774" spans="1:8" ht="13" x14ac:dyDescent="0.15">
      <c r="A3774" s="5" t="str">
        <f ca="1">IFERROR(__xludf.DUMMYFUNCTION("""COMPUTED_VALUE"""),"75076")</f>
        <v>75076</v>
      </c>
      <c r="B3774" s="51">
        <f ca="1">IFERROR(__xludf.DUMMYFUNCTION("""COMPUTED_VALUE"""),44641)</f>
        <v>44641</v>
      </c>
      <c r="C3774" s="22">
        <f ca="1">IFERROR(__xludf.DUMMYFUNCTION("""COMPUTED_VALUE"""),60614.28092)</f>
        <v>60614.280919999997</v>
      </c>
      <c r="D3774" s="22">
        <f ca="1">IFERROR(__xludf.DUMMYFUNCTION("""COMPUTED_VALUE"""),439385.719079999)</f>
        <v>439385.71907999902</v>
      </c>
      <c r="E3774" s="22">
        <f ca="1">IFERROR(__xludf.DUMMYFUNCTION("""COMPUTED_VALUE"""),500000)</f>
        <v>500000</v>
      </c>
      <c r="F3774" s="22">
        <f ca="1">IFERROR(__xludf.DUMMYFUNCTION("""COMPUTED_VALUE"""),60614.2809199999)</f>
        <v>60614.280919999903</v>
      </c>
      <c r="G3774" s="22">
        <f ca="1">IFERROR(__xludf.DUMMYFUNCTION("""COMPUTED_VALUE"""),0)</f>
        <v>0</v>
      </c>
      <c r="H3774" s="7">
        <f ca="1">IFERROR(__xludf.DUMMYFUNCTION("""COMPUTED_VALUE"""),537215.48772)</f>
        <v>537215.48771999998</v>
      </c>
    </row>
    <row r="3775" spans="1:8" ht="13" x14ac:dyDescent="0.15">
      <c r="A3775" s="5" t="str">
        <f ca="1">IFERROR(__xludf.DUMMYFUNCTION("""COMPUTED_VALUE"""),"75076")</f>
        <v>75076</v>
      </c>
      <c r="B3775" s="51">
        <f ca="1">IFERROR(__xludf.DUMMYFUNCTION("""COMPUTED_VALUE"""),44642)</f>
        <v>44642</v>
      </c>
      <c r="C3775" s="22">
        <f ca="1">IFERROR(__xludf.DUMMYFUNCTION("""COMPUTED_VALUE"""),60614.28092)</f>
        <v>60614.280919999997</v>
      </c>
      <c r="D3775" s="22">
        <f ca="1">IFERROR(__xludf.DUMMYFUNCTION("""COMPUTED_VALUE"""),439385.719079999)</f>
        <v>439385.71907999902</v>
      </c>
      <c r="E3775" s="22">
        <f ca="1">IFERROR(__xludf.DUMMYFUNCTION("""COMPUTED_VALUE"""),500000)</f>
        <v>500000</v>
      </c>
      <c r="F3775" s="22">
        <f ca="1">IFERROR(__xludf.DUMMYFUNCTION("""COMPUTED_VALUE"""),60614.2809199999)</f>
        <v>60614.280919999903</v>
      </c>
      <c r="G3775" s="22">
        <f ca="1">IFERROR(__xludf.DUMMYFUNCTION("""COMPUTED_VALUE"""),0)</f>
        <v>0</v>
      </c>
      <c r="H3775" s="7">
        <f ca="1">IFERROR(__xludf.DUMMYFUNCTION("""COMPUTED_VALUE"""),533800.37012)</f>
        <v>533800.37011999998</v>
      </c>
    </row>
    <row r="3776" spans="1:8" ht="13" x14ac:dyDescent="0.15">
      <c r="A3776" s="5" t="str">
        <f ca="1">IFERROR(__xludf.DUMMYFUNCTION("""COMPUTED_VALUE"""),"75288")</f>
        <v>75288</v>
      </c>
      <c r="B3776" s="51">
        <f ca="1">IFERROR(__xludf.DUMMYFUNCTION("""COMPUTED_VALUE"""),44597)</f>
        <v>44597</v>
      </c>
      <c r="C3776" s="22">
        <f ca="1">IFERROR(__xludf.DUMMYFUNCTION("""COMPUTED_VALUE"""),500000)</f>
        <v>500000</v>
      </c>
      <c r="D3776" s="22">
        <f ca="1">IFERROR(__xludf.DUMMYFUNCTION("""COMPUTED_VALUE"""),0)</f>
        <v>0</v>
      </c>
      <c r="E3776" s="22">
        <f ca="1">IFERROR(__xludf.DUMMYFUNCTION("""COMPUTED_VALUE"""),500000)</f>
        <v>500000</v>
      </c>
      <c r="F3776" s="22">
        <f ca="1">IFERROR(__xludf.DUMMYFUNCTION("""COMPUTED_VALUE"""),500000)</f>
        <v>500000</v>
      </c>
      <c r="G3776" s="22">
        <f ca="1">IFERROR(__xludf.DUMMYFUNCTION("""COMPUTED_VALUE"""),0)</f>
        <v>0</v>
      </c>
      <c r="H3776" s="7">
        <f ca="1">IFERROR(__xludf.DUMMYFUNCTION("""COMPUTED_VALUE"""),500000)</f>
        <v>500000</v>
      </c>
    </row>
    <row r="3777" spans="1:8" ht="13" x14ac:dyDescent="0.15">
      <c r="A3777" s="5" t="str">
        <f ca="1">IFERROR(__xludf.DUMMYFUNCTION("""COMPUTED_VALUE"""),"75288")</f>
        <v>75288</v>
      </c>
      <c r="B3777" s="51">
        <f ca="1">IFERROR(__xludf.DUMMYFUNCTION("""COMPUTED_VALUE"""),44598)</f>
        <v>44598</v>
      </c>
      <c r="C3777" s="22">
        <f ca="1">IFERROR(__xludf.DUMMYFUNCTION("""COMPUTED_VALUE"""),500000)</f>
        <v>500000</v>
      </c>
      <c r="D3777" s="22">
        <f ca="1">IFERROR(__xludf.DUMMYFUNCTION("""COMPUTED_VALUE"""),0)</f>
        <v>0</v>
      </c>
      <c r="E3777" s="22">
        <f ca="1">IFERROR(__xludf.DUMMYFUNCTION("""COMPUTED_VALUE"""),500000)</f>
        <v>500000</v>
      </c>
      <c r="F3777" s="22">
        <f ca="1">IFERROR(__xludf.DUMMYFUNCTION("""COMPUTED_VALUE"""),500000)</f>
        <v>500000</v>
      </c>
      <c r="G3777" s="22">
        <f ca="1">IFERROR(__xludf.DUMMYFUNCTION("""COMPUTED_VALUE"""),0)</f>
        <v>0</v>
      </c>
      <c r="H3777" s="7">
        <f ca="1">IFERROR(__xludf.DUMMYFUNCTION("""COMPUTED_VALUE"""),500000)</f>
        <v>500000</v>
      </c>
    </row>
    <row r="3778" spans="1:8" ht="13" x14ac:dyDescent="0.15">
      <c r="A3778" s="5" t="str">
        <f ca="1">IFERROR(__xludf.DUMMYFUNCTION("""COMPUTED_VALUE"""),"75288")</f>
        <v>75288</v>
      </c>
      <c r="B3778" s="51">
        <f ca="1">IFERROR(__xludf.DUMMYFUNCTION("""COMPUTED_VALUE"""),44599)</f>
        <v>44599</v>
      </c>
      <c r="C3778" s="22">
        <f ca="1">IFERROR(__xludf.DUMMYFUNCTION("""COMPUTED_VALUE"""),500000)</f>
        <v>500000</v>
      </c>
      <c r="D3778" s="22">
        <f ca="1">IFERROR(__xludf.DUMMYFUNCTION("""COMPUTED_VALUE"""),0)</f>
        <v>0</v>
      </c>
      <c r="E3778" s="22">
        <f ca="1">IFERROR(__xludf.DUMMYFUNCTION("""COMPUTED_VALUE"""),500000)</f>
        <v>500000</v>
      </c>
      <c r="F3778" s="22">
        <f ca="1">IFERROR(__xludf.DUMMYFUNCTION("""COMPUTED_VALUE"""),500000)</f>
        <v>500000</v>
      </c>
      <c r="G3778" s="22">
        <f ca="1">IFERROR(__xludf.DUMMYFUNCTION("""COMPUTED_VALUE"""),0)</f>
        <v>0</v>
      </c>
      <c r="H3778" s="7">
        <f ca="1">IFERROR(__xludf.DUMMYFUNCTION("""COMPUTED_VALUE"""),500000)</f>
        <v>500000</v>
      </c>
    </row>
    <row r="3779" spans="1:8" ht="13" x14ac:dyDescent="0.15">
      <c r="A3779" s="5" t="str">
        <f ca="1">IFERROR(__xludf.DUMMYFUNCTION("""COMPUTED_VALUE"""),"75288")</f>
        <v>75288</v>
      </c>
      <c r="B3779" s="51">
        <f ca="1">IFERROR(__xludf.DUMMYFUNCTION("""COMPUTED_VALUE"""),44600)</f>
        <v>44600</v>
      </c>
      <c r="C3779" s="22">
        <f ca="1">IFERROR(__xludf.DUMMYFUNCTION("""COMPUTED_VALUE"""),500000)</f>
        <v>500000</v>
      </c>
      <c r="D3779" s="22">
        <f ca="1">IFERROR(__xludf.DUMMYFUNCTION("""COMPUTED_VALUE"""),0)</f>
        <v>0</v>
      </c>
      <c r="E3779" s="22">
        <f ca="1">IFERROR(__xludf.DUMMYFUNCTION("""COMPUTED_VALUE"""),500000)</f>
        <v>500000</v>
      </c>
      <c r="F3779" s="22">
        <f ca="1">IFERROR(__xludf.DUMMYFUNCTION("""COMPUTED_VALUE"""),500000)</f>
        <v>500000</v>
      </c>
      <c r="G3779" s="22">
        <f ca="1">IFERROR(__xludf.DUMMYFUNCTION("""COMPUTED_VALUE"""),0)</f>
        <v>0</v>
      </c>
      <c r="H3779" s="7">
        <f ca="1">IFERROR(__xludf.DUMMYFUNCTION("""COMPUTED_VALUE"""),500000)</f>
        <v>500000</v>
      </c>
    </row>
    <row r="3780" spans="1:8" ht="13" x14ac:dyDescent="0.15">
      <c r="A3780" s="5" t="str">
        <f ca="1">IFERROR(__xludf.DUMMYFUNCTION("""COMPUTED_VALUE"""),"75288")</f>
        <v>75288</v>
      </c>
      <c r="B3780" s="51">
        <f ca="1">IFERROR(__xludf.DUMMYFUNCTION("""COMPUTED_VALUE"""),44601)</f>
        <v>44601</v>
      </c>
      <c r="C3780" s="22">
        <f ca="1">IFERROR(__xludf.DUMMYFUNCTION("""COMPUTED_VALUE"""),500000)</f>
        <v>500000</v>
      </c>
      <c r="D3780" s="22">
        <f ca="1">IFERROR(__xludf.DUMMYFUNCTION("""COMPUTED_VALUE"""),0)</f>
        <v>0</v>
      </c>
      <c r="E3780" s="22">
        <f ca="1">IFERROR(__xludf.DUMMYFUNCTION("""COMPUTED_VALUE"""),500000)</f>
        <v>500000</v>
      </c>
      <c r="F3780" s="22">
        <f ca="1">IFERROR(__xludf.DUMMYFUNCTION("""COMPUTED_VALUE"""),500000)</f>
        <v>500000</v>
      </c>
      <c r="G3780" s="22">
        <f ca="1">IFERROR(__xludf.DUMMYFUNCTION("""COMPUTED_VALUE"""),0)</f>
        <v>0</v>
      </c>
      <c r="H3780" s="7">
        <f ca="1">IFERROR(__xludf.DUMMYFUNCTION("""COMPUTED_VALUE"""),500000)</f>
        <v>500000</v>
      </c>
    </row>
    <row r="3781" spans="1:8" ht="13" x14ac:dyDescent="0.15">
      <c r="A3781" s="5" t="str">
        <f ca="1">IFERROR(__xludf.DUMMYFUNCTION("""COMPUTED_VALUE"""),"75288")</f>
        <v>75288</v>
      </c>
      <c r="B3781" s="51">
        <f ca="1">IFERROR(__xludf.DUMMYFUNCTION("""COMPUTED_VALUE"""),44602)</f>
        <v>44602</v>
      </c>
      <c r="C3781" s="22">
        <f ca="1">IFERROR(__xludf.DUMMYFUNCTION("""COMPUTED_VALUE"""),500000)</f>
        <v>500000</v>
      </c>
      <c r="D3781" s="22">
        <f ca="1">IFERROR(__xludf.DUMMYFUNCTION("""COMPUTED_VALUE"""),0)</f>
        <v>0</v>
      </c>
      <c r="E3781" s="22">
        <f ca="1">IFERROR(__xludf.DUMMYFUNCTION("""COMPUTED_VALUE"""),500000)</f>
        <v>500000</v>
      </c>
      <c r="F3781" s="22">
        <f ca="1">IFERROR(__xludf.DUMMYFUNCTION("""COMPUTED_VALUE"""),500000)</f>
        <v>500000</v>
      </c>
      <c r="G3781" s="22">
        <f ca="1">IFERROR(__xludf.DUMMYFUNCTION("""COMPUTED_VALUE"""),0)</f>
        <v>0</v>
      </c>
      <c r="H3781" s="7">
        <f ca="1">IFERROR(__xludf.DUMMYFUNCTION("""COMPUTED_VALUE"""),500000)</f>
        <v>500000</v>
      </c>
    </row>
    <row r="3782" spans="1:8" ht="13" x14ac:dyDescent="0.15">
      <c r="A3782" s="5" t="str">
        <f ca="1">IFERROR(__xludf.DUMMYFUNCTION("""COMPUTED_VALUE"""),"75288")</f>
        <v>75288</v>
      </c>
      <c r="B3782" s="51">
        <f ca="1">IFERROR(__xludf.DUMMYFUNCTION("""COMPUTED_VALUE"""),44603)</f>
        <v>44603</v>
      </c>
      <c r="C3782" s="22">
        <f ca="1">IFERROR(__xludf.DUMMYFUNCTION("""COMPUTED_VALUE"""),500000)</f>
        <v>500000</v>
      </c>
      <c r="D3782" s="22">
        <f ca="1">IFERROR(__xludf.DUMMYFUNCTION("""COMPUTED_VALUE"""),0)</f>
        <v>0</v>
      </c>
      <c r="E3782" s="22">
        <f ca="1">IFERROR(__xludf.DUMMYFUNCTION("""COMPUTED_VALUE"""),500000)</f>
        <v>500000</v>
      </c>
      <c r="F3782" s="22">
        <f ca="1">IFERROR(__xludf.DUMMYFUNCTION("""COMPUTED_VALUE"""),500000)</f>
        <v>500000</v>
      </c>
      <c r="G3782" s="22">
        <f ca="1">IFERROR(__xludf.DUMMYFUNCTION("""COMPUTED_VALUE"""),0)</f>
        <v>0</v>
      </c>
      <c r="H3782" s="7">
        <f ca="1">IFERROR(__xludf.DUMMYFUNCTION("""COMPUTED_VALUE"""),500000)</f>
        <v>500000</v>
      </c>
    </row>
    <row r="3783" spans="1:8" ht="13" x14ac:dyDescent="0.15">
      <c r="A3783" s="5" t="str">
        <f ca="1">IFERROR(__xludf.DUMMYFUNCTION("""COMPUTED_VALUE"""),"75288")</f>
        <v>75288</v>
      </c>
      <c r="B3783" s="51">
        <f ca="1">IFERROR(__xludf.DUMMYFUNCTION("""COMPUTED_VALUE"""),44604)</f>
        <v>44604</v>
      </c>
      <c r="C3783" s="22">
        <f ca="1">IFERROR(__xludf.DUMMYFUNCTION("""COMPUTED_VALUE"""),500000)</f>
        <v>500000</v>
      </c>
      <c r="D3783" s="22">
        <f ca="1">IFERROR(__xludf.DUMMYFUNCTION("""COMPUTED_VALUE"""),0)</f>
        <v>0</v>
      </c>
      <c r="E3783" s="22">
        <f ca="1">IFERROR(__xludf.DUMMYFUNCTION("""COMPUTED_VALUE"""),500000)</f>
        <v>500000</v>
      </c>
      <c r="F3783" s="22">
        <f ca="1">IFERROR(__xludf.DUMMYFUNCTION("""COMPUTED_VALUE"""),500000)</f>
        <v>500000</v>
      </c>
      <c r="G3783" s="22">
        <f ca="1">IFERROR(__xludf.DUMMYFUNCTION("""COMPUTED_VALUE"""),0)</f>
        <v>0</v>
      </c>
      <c r="H3783" s="7">
        <f ca="1">IFERROR(__xludf.DUMMYFUNCTION("""COMPUTED_VALUE"""),500000)</f>
        <v>500000</v>
      </c>
    </row>
    <row r="3784" spans="1:8" ht="13" x14ac:dyDescent="0.15">
      <c r="A3784" s="5" t="str">
        <f ca="1">IFERROR(__xludf.DUMMYFUNCTION("""COMPUTED_VALUE"""),"75288")</f>
        <v>75288</v>
      </c>
      <c r="B3784" s="51">
        <f ca="1">IFERROR(__xludf.DUMMYFUNCTION("""COMPUTED_VALUE"""),44605)</f>
        <v>44605</v>
      </c>
      <c r="C3784" s="22">
        <f ca="1">IFERROR(__xludf.DUMMYFUNCTION("""COMPUTED_VALUE"""),500000)</f>
        <v>500000</v>
      </c>
      <c r="D3784" s="22">
        <f ca="1">IFERROR(__xludf.DUMMYFUNCTION("""COMPUTED_VALUE"""),0)</f>
        <v>0</v>
      </c>
      <c r="E3784" s="22">
        <f ca="1">IFERROR(__xludf.DUMMYFUNCTION("""COMPUTED_VALUE"""),500000)</f>
        <v>500000</v>
      </c>
      <c r="F3784" s="22">
        <f ca="1">IFERROR(__xludf.DUMMYFUNCTION("""COMPUTED_VALUE"""),500000)</f>
        <v>500000</v>
      </c>
      <c r="G3784" s="22">
        <f ca="1">IFERROR(__xludf.DUMMYFUNCTION("""COMPUTED_VALUE"""),0)</f>
        <v>0</v>
      </c>
      <c r="H3784" s="7">
        <f ca="1">IFERROR(__xludf.DUMMYFUNCTION("""COMPUTED_VALUE"""),500000)</f>
        <v>500000</v>
      </c>
    </row>
    <row r="3785" spans="1:8" ht="13" x14ac:dyDescent="0.15">
      <c r="A3785" s="5" t="str">
        <f ca="1">IFERROR(__xludf.DUMMYFUNCTION("""COMPUTED_VALUE"""),"75288")</f>
        <v>75288</v>
      </c>
      <c r="B3785" s="51">
        <f ca="1">IFERROR(__xludf.DUMMYFUNCTION("""COMPUTED_VALUE"""),44606)</f>
        <v>44606</v>
      </c>
      <c r="C3785" s="22">
        <f ca="1">IFERROR(__xludf.DUMMYFUNCTION("""COMPUTED_VALUE"""),500000)</f>
        <v>500000</v>
      </c>
      <c r="D3785" s="22">
        <f ca="1">IFERROR(__xludf.DUMMYFUNCTION("""COMPUTED_VALUE"""),0)</f>
        <v>0</v>
      </c>
      <c r="E3785" s="22">
        <f ca="1">IFERROR(__xludf.DUMMYFUNCTION("""COMPUTED_VALUE"""),500000)</f>
        <v>500000</v>
      </c>
      <c r="F3785" s="22">
        <f ca="1">IFERROR(__xludf.DUMMYFUNCTION("""COMPUTED_VALUE"""),500000)</f>
        <v>500000</v>
      </c>
      <c r="G3785" s="22">
        <f ca="1">IFERROR(__xludf.DUMMYFUNCTION("""COMPUTED_VALUE"""),0)</f>
        <v>0</v>
      </c>
      <c r="H3785" s="7">
        <f ca="1">IFERROR(__xludf.DUMMYFUNCTION("""COMPUTED_VALUE"""),500000)</f>
        <v>500000</v>
      </c>
    </row>
    <row r="3786" spans="1:8" ht="13" x14ac:dyDescent="0.15">
      <c r="A3786" s="5" t="str">
        <f ca="1">IFERROR(__xludf.DUMMYFUNCTION("""COMPUTED_VALUE"""),"75288")</f>
        <v>75288</v>
      </c>
      <c r="B3786" s="51">
        <f ca="1">IFERROR(__xludf.DUMMYFUNCTION("""COMPUTED_VALUE"""),44607)</f>
        <v>44607</v>
      </c>
      <c r="C3786" s="22">
        <f ca="1">IFERROR(__xludf.DUMMYFUNCTION("""COMPUTED_VALUE"""),500000)</f>
        <v>500000</v>
      </c>
      <c r="D3786" s="22">
        <f ca="1">IFERROR(__xludf.DUMMYFUNCTION("""COMPUTED_VALUE"""),0)</f>
        <v>0</v>
      </c>
      <c r="E3786" s="22">
        <f ca="1">IFERROR(__xludf.DUMMYFUNCTION("""COMPUTED_VALUE"""),500000)</f>
        <v>500000</v>
      </c>
      <c r="F3786" s="22">
        <f ca="1">IFERROR(__xludf.DUMMYFUNCTION("""COMPUTED_VALUE"""),500000)</f>
        <v>500000</v>
      </c>
      <c r="G3786" s="22">
        <f ca="1">IFERROR(__xludf.DUMMYFUNCTION("""COMPUTED_VALUE"""),0)</f>
        <v>0</v>
      </c>
      <c r="H3786" s="7">
        <f ca="1">IFERROR(__xludf.DUMMYFUNCTION("""COMPUTED_VALUE"""),500000)</f>
        <v>500000</v>
      </c>
    </row>
    <row r="3787" spans="1:8" ht="13" x14ac:dyDescent="0.15">
      <c r="A3787" s="5" t="str">
        <f ca="1">IFERROR(__xludf.DUMMYFUNCTION("""COMPUTED_VALUE"""),"75288")</f>
        <v>75288</v>
      </c>
      <c r="B3787" s="51">
        <f ca="1">IFERROR(__xludf.DUMMYFUNCTION("""COMPUTED_VALUE"""),44608)</f>
        <v>44608</v>
      </c>
      <c r="C3787" s="22">
        <f ca="1">IFERROR(__xludf.DUMMYFUNCTION("""COMPUTED_VALUE"""),500000)</f>
        <v>500000</v>
      </c>
      <c r="D3787" s="22">
        <f ca="1">IFERROR(__xludf.DUMMYFUNCTION("""COMPUTED_VALUE"""),0)</f>
        <v>0</v>
      </c>
      <c r="E3787" s="22">
        <f ca="1">IFERROR(__xludf.DUMMYFUNCTION("""COMPUTED_VALUE"""),500000)</f>
        <v>500000</v>
      </c>
      <c r="F3787" s="22">
        <f ca="1">IFERROR(__xludf.DUMMYFUNCTION("""COMPUTED_VALUE"""),500000)</f>
        <v>500000</v>
      </c>
      <c r="G3787" s="22">
        <f ca="1">IFERROR(__xludf.DUMMYFUNCTION("""COMPUTED_VALUE"""),0)</f>
        <v>0</v>
      </c>
      <c r="H3787" s="7">
        <f ca="1">IFERROR(__xludf.DUMMYFUNCTION("""COMPUTED_VALUE"""),500000)</f>
        <v>500000</v>
      </c>
    </row>
    <row r="3788" spans="1:8" ht="13" x14ac:dyDescent="0.15">
      <c r="A3788" s="5" t="str">
        <f ca="1">IFERROR(__xludf.DUMMYFUNCTION("""COMPUTED_VALUE"""),"75288")</f>
        <v>75288</v>
      </c>
      <c r="B3788" s="51">
        <f ca="1">IFERROR(__xludf.DUMMYFUNCTION("""COMPUTED_VALUE"""),44609)</f>
        <v>44609</v>
      </c>
      <c r="C3788" s="22">
        <f ca="1">IFERROR(__xludf.DUMMYFUNCTION("""COMPUTED_VALUE"""),500000)</f>
        <v>500000</v>
      </c>
      <c r="D3788" s="22">
        <f ca="1">IFERROR(__xludf.DUMMYFUNCTION("""COMPUTED_VALUE"""),0)</f>
        <v>0</v>
      </c>
      <c r="E3788" s="22">
        <f ca="1">IFERROR(__xludf.DUMMYFUNCTION("""COMPUTED_VALUE"""),500000)</f>
        <v>500000</v>
      </c>
      <c r="F3788" s="22">
        <f ca="1">IFERROR(__xludf.DUMMYFUNCTION("""COMPUTED_VALUE"""),500000)</f>
        <v>500000</v>
      </c>
      <c r="G3788" s="22">
        <f ca="1">IFERROR(__xludf.DUMMYFUNCTION("""COMPUTED_VALUE"""),0)</f>
        <v>0</v>
      </c>
      <c r="H3788" s="7">
        <f ca="1">IFERROR(__xludf.DUMMYFUNCTION("""COMPUTED_VALUE"""),500000)</f>
        <v>500000</v>
      </c>
    </row>
    <row r="3789" spans="1:8" ht="13" x14ac:dyDescent="0.15">
      <c r="A3789" s="5" t="str">
        <f ca="1">IFERROR(__xludf.DUMMYFUNCTION("""COMPUTED_VALUE"""),"75288")</f>
        <v>75288</v>
      </c>
      <c r="B3789" s="51">
        <f ca="1">IFERROR(__xludf.DUMMYFUNCTION("""COMPUTED_VALUE"""),44610)</f>
        <v>44610</v>
      </c>
      <c r="C3789" s="22">
        <f ca="1">IFERROR(__xludf.DUMMYFUNCTION("""COMPUTED_VALUE"""),399410)</f>
        <v>399410</v>
      </c>
      <c r="D3789" s="22">
        <f ca="1">IFERROR(__xludf.DUMMYFUNCTION("""COMPUTED_VALUE"""),100590)</f>
        <v>100590</v>
      </c>
      <c r="E3789" s="22">
        <f ca="1">IFERROR(__xludf.DUMMYFUNCTION("""COMPUTED_VALUE"""),500000)</f>
        <v>500000</v>
      </c>
      <c r="F3789" s="22">
        <f ca="1">IFERROR(__xludf.DUMMYFUNCTION("""COMPUTED_VALUE"""),399410)</f>
        <v>399410</v>
      </c>
      <c r="G3789" s="22">
        <f ca="1">IFERROR(__xludf.DUMMYFUNCTION("""COMPUTED_VALUE"""),0)</f>
        <v>0</v>
      </c>
      <c r="H3789" s="7">
        <f ca="1">IFERROR(__xludf.DUMMYFUNCTION("""COMPUTED_VALUE"""),498110)</f>
        <v>498110</v>
      </c>
    </row>
    <row r="3790" spans="1:8" ht="13" x14ac:dyDescent="0.15">
      <c r="A3790" s="5" t="str">
        <f ca="1">IFERROR(__xludf.DUMMYFUNCTION("""COMPUTED_VALUE"""),"75288")</f>
        <v>75288</v>
      </c>
      <c r="B3790" s="51">
        <f ca="1">IFERROR(__xludf.DUMMYFUNCTION("""COMPUTED_VALUE"""),44611)</f>
        <v>44611</v>
      </c>
      <c r="C3790" s="22">
        <f ca="1">IFERROR(__xludf.DUMMYFUNCTION("""COMPUTED_VALUE"""),399410)</f>
        <v>399410</v>
      </c>
      <c r="D3790" s="22">
        <f ca="1">IFERROR(__xludf.DUMMYFUNCTION("""COMPUTED_VALUE"""),100590)</f>
        <v>100590</v>
      </c>
      <c r="E3790" s="22">
        <f ca="1">IFERROR(__xludf.DUMMYFUNCTION("""COMPUTED_VALUE"""),500000)</f>
        <v>500000</v>
      </c>
      <c r="F3790" s="22">
        <f ca="1">IFERROR(__xludf.DUMMYFUNCTION("""COMPUTED_VALUE"""),399410)</f>
        <v>399410</v>
      </c>
      <c r="G3790" s="22">
        <f ca="1">IFERROR(__xludf.DUMMYFUNCTION("""COMPUTED_VALUE"""),0)</f>
        <v>0</v>
      </c>
      <c r="H3790" s="7">
        <f ca="1">IFERROR(__xludf.DUMMYFUNCTION("""COMPUTED_VALUE"""),498110)</f>
        <v>498110</v>
      </c>
    </row>
    <row r="3791" spans="1:8" ht="13" x14ac:dyDescent="0.15">
      <c r="A3791" s="5" t="str">
        <f ca="1">IFERROR(__xludf.DUMMYFUNCTION("""COMPUTED_VALUE"""),"75288")</f>
        <v>75288</v>
      </c>
      <c r="B3791" s="51">
        <f ca="1">IFERROR(__xludf.DUMMYFUNCTION("""COMPUTED_VALUE"""),44612)</f>
        <v>44612</v>
      </c>
      <c r="C3791" s="22">
        <f ca="1">IFERROR(__xludf.DUMMYFUNCTION("""COMPUTED_VALUE"""),399410)</f>
        <v>399410</v>
      </c>
      <c r="D3791" s="22">
        <f ca="1">IFERROR(__xludf.DUMMYFUNCTION("""COMPUTED_VALUE"""),100590)</f>
        <v>100590</v>
      </c>
      <c r="E3791" s="22">
        <f ca="1">IFERROR(__xludf.DUMMYFUNCTION("""COMPUTED_VALUE"""),500000)</f>
        <v>500000</v>
      </c>
      <c r="F3791" s="22">
        <f ca="1">IFERROR(__xludf.DUMMYFUNCTION("""COMPUTED_VALUE"""),399410)</f>
        <v>399410</v>
      </c>
      <c r="G3791" s="22">
        <f ca="1">IFERROR(__xludf.DUMMYFUNCTION("""COMPUTED_VALUE"""),0)</f>
        <v>0</v>
      </c>
      <c r="H3791" s="7">
        <f ca="1">IFERROR(__xludf.DUMMYFUNCTION("""COMPUTED_VALUE"""),498110)</f>
        <v>498110</v>
      </c>
    </row>
    <row r="3792" spans="1:8" ht="13" x14ac:dyDescent="0.15">
      <c r="A3792" s="5" t="str">
        <f ca="1">IFERROR(__xludf.DUMMYFUNCTION("""COMPUTED_VALUE"""),"75288")</f>
        <v>75288</v>
      </c>
      <c r="B3792" s="51">
        <f ca="1">IFERROR(__xludf.DUMMYFUNCTION("""COMPUTED_VALUE"""),44613)</f>
        <v>44613</v>
      </c>
      <c r="C3792" s="22">
        <f ca="1">IFERROR(__xludf.DUMMYFUNCTION("""COMPUTED_VALUE"""),399410)</f>
        <v>399410</v>
      </c>
      <c r="D3792" s="22">
        <f ca="1">IFERROR(__xludf.DUMMYFUNCTION("""COMPUTED_VALUE"""),100590)</f>
        <v>100590</v>
      </c>
      <c r="E3792" s="22">
        <f ca="1">IFERROR(__xludf.DUMMYFUNCTION("""COMPUTED_VALUE"""),500000)</f>
        <v>500000</v>
      </c>
      <c r="F3792" s="22">
        <f ca="1">IFERROR(__xludf.DUMMYFUNCTION("""COMPUTED_VALUE"""),399410)</f>
        <v>399410</v>
      </c>
      <c r="G3792" s="22">
        <f ca="1">IFERROR(__xludf.DUMMYFUNCTION("""COMPUTED_VALUE"""),0)</f>
        <v>0</v>
      </c>
      <c r="H3792" s="7">
        <f ca="1">IFERROR(__xludf.DUMMYFUNCTION("""COMPUTED_VALUE"""),492944)</f>
        <v>492944</v>
      </c>
    </row>
    <row r="3793" spans="1:8" ht="13" x14ac:dyDescent="0.15">
      <c r="A3793" s="5" t="str">
        <f ca="1">IFERROR(__xludf.DUMMYFUNCTION("""COMPUTED_VALUE"""),"75288")</f>
        <v>75288</v>
      </c>
      <c r="B3793" s="51">
        <f ca="1">IFERROR(__xludf.DUMMYFUNCTION("""COMPUTED_VALUE"""),44614)</f>
        <v>44614</v>
      </c>
      <c r="C3793" s="22">
        <f ca="1">IFERROR(__xludf.DUMMYFUNCTION("""COMPUTED_VALUE"""),399410)</f>
        <v>399410</v>
      </c>
      <c r="D3793" s="22">
        <f ca="1">IFERROR(__xludf.DUMMYFUNCTION("""COMPUTED_VALUE"""),100590)</f>
        <v>100590</v>
      </c>
      <c r="E3793" s="22">
        <f ca="1">IFERROR(__xludf.DUMMYFUNCTION("""COMPUTED_VALUE"""),500000)</f>
        <v>500000</v>
      </c>
      <c r="F3793" s="22">
        <f ca="1">IFERROR(__xludf.DUMMYFUNCTION("""COMPUTED_VALUE"""),399410)</f>
        <v>399410</v>
      </c>
      <c r="G3793" s="22">
        <f ca="1">IFERROR(__xludf.DUMMYFUNCTION("""COMPUTED_VALUE"""),0)</f>
        <v>0</v>
      </c>
      <c r="H3793" s="7">
        <f ca="1">IFERROR(__xludf.DUMMYFUNCTION("""COMPUTED_VALUE"""),492818)</f>
        <v>492818</v>
      </c>
    </row>
    <row r="3794" spans="1:8" ht="13" x14ac:dyDescent="0.15">
      <c r="A3794" s="5" t="str">
        <f ca="1">IFERROR(__xludf.DUMMYFUNCTION("""COMPUTED_VALUE"""),"75288")</f>
        <v>75288</v>
      </c>
      <c r="B3794" s="51">
        <f ca="1">IFERROR(__xludf.DUMMYFUNCTION("""COMPUTED_VALUE"""),44615)</f>
        <v>44615</v>
      </c>
      <c r="C3794" s="22">
        <f ca="1">IFERROR(__xludf.DUMMYFUNCTION("""COMPUTED_VALUE"""),399410)</f>
        <v>399410</v>
      </c>
      <c r="D3794" s="22">
        <f ca="1">IFERROR(__xludf.DUMMYFUNCTION("""COMPUTED_VALUE"""),100590)</f>
        <v>100590</v>
      </c>
      <c r="E3794" s="22">
        <f ca="1">IFERROR(__xludf.DUMMYFUNCTION("""COMPUTED_VALUE"""),500000)</f>
        <v>500000</v>
      </c>
      <c r="F3794" s="22">
        <f ca="1">IFERROR(__xludf.DUMMYFUNCTION("""COMPUTED_VALUE"""),399410)</f>
        <v>399410</v>
      </c>
      <c r="G3794" s="22">
        <f ca="1">IFERROR(__xludf.DUMMYFUNCTION("""COMPUTED_VALUE"""),0)</f>
        <v>0</v>
      </c>
      <c r="H3794" s="7">
        <f ca="1">IFERROR(__xludf.DUMMYFUNCTION("""COMPUTED_VALUE"""),492860)</f>
        <v>492860</v>
      </c>
    </row>
    <row r="3795" spans="1:8" ht="13" x14ac:dyDescent="0.15">
      <c r="A3795" s="5" t="str">
        <f ca="1">IFERROR(__xludf.DUMMYFUNCTION("""COMPUTED_VALUE"""),"75288")</f>
        <v>75288</v>
      </c>
      <c r="B3795" s="51">
        <f ca="1">IFERROR(__xludf.DUMMYFUNCTION("""COMPUTED_VALUE"""),44616)</f>
        <v>44616</v>
      </c>
      <c r="C3795" s="22">
        <f ca="1">IFERROR(__xludf.DUMMYFUNCTION("""COMPUTED_VALUE"""),399410)</f>
        <v>399410</v>
      </c>
      <c r="D3795" s="22">
        <f ca="1">IFERROR(__xludf.DUMMYFUNCTION("""COMPUTED_VALUE"""),100590)</f>
        <v>100590</v>
      </c>
      <c r="E3795" s="22">
        <f ca="1">IFERROR(__xludf.DUMMYFUNCTION("""COMPUTED_VALUE"""),500000)</f>
        <v>500000</v>
      </c>
      <c r="F3795" s="22">
        <f ca="1">IFERROR(__xludf.DUMMYFUNCTION("""COMPUTED_VALUE"""),399410)</f>
        <v>399410</v>
      </c>
      <c r="G3795" s="22">
        <f ca="1">IFERROR(__xludf.DUMMYFUNCTION("""COMPUTED_VALUE"""),0)</f>
        <v>0</v>
      </c>
      <c r="H3795" s="7">
        <f ca="1">IFERROR(__xludf.DUMMYFUNCTION("""COMPUTED_VALUE"""),489248)</f>
        <v>489248</v>
      </c>
    </row>
    <row r="3796" spans="1:8" ht="13" x14ac:dyDescent="0.15">
      <c r="A3796" s="5" t="str">
        <f ca="1">IFERROR(__xludf.DUMMYFUNCTION("""COMPUTED_VALUE"""),"75288")</f>
        <v>75288</v>
      </c>
      <c r="B3796" s="51">
        <f ca="1">IFERROR(__xludf.DUMMYFUNCTION("""COMPUTED_VALUE"""),44617)</f>
        <v>44617</v>
      </c>
      <c r="C3796" s="22">
        <f ca="1">IFERROR(__xludf.DUMMYFUNCTION("""COMPUTED_VALUE"""),399410)</f>
        <v>399410</v>
      </c>
      <c r="D3796" s="22">
        <f ca="1">IFERROR(__xludf.DUMMYFUNCTION("""COMPUTED_VALUE"""),100590)</f>
        <v>100590</v>
      </c>
      <c r="E3796" s="22">
        <f ca="1">IFERROR(__xludf.DUMMYFUNCTION("""COMPUTED_VALUE"""),500000)</f>
        <v>500000</v>
      </c>
      <c r="F3796" s="22">
        <f ca="1">IFERROR(__xludf.DUMMYFUNCTION("""COMPUTED_VALUE"""),399410)</f>
        <v>399410</v>
      </c>
      <c r="G3796" s="22">
        <f ca="1">IFERROR(__xludf.DUMMYFUNCTION("""COMPUTED_VALUE"""),0)</f>
        <v>0</v>
      </c>
      <c r="H3796" s="7">
        <f ca="1">IFERROR(__xludf.DUMMYFUNCTION("""COMPUTED_VALUE"""),488450)</f>
        <v>488450</v>
      </c>
    </row>
    <row r="3797" spans="1:8" ht="13" x14ac:dyDescent="0.15">
      <c r="A3797" s="5" t="str">
        <f ca="1">IFERROR(__xludf.DUMMYFUNCTION("""COMPUTED_VALUE"""),"75288")</f>
        <v>75288</v>
      </c>
      <c r="B3797" s="51">
        <f ca="1">IFERROR(__xludf.DUMMYFUNCTION("""COMPUTED_VALUE"""),44618)</f>
        <v>44618</v>
      </c>
      <c r="C3797" s="22">
        <f ca="1">IFERROR(__xludf.DUMMYFUNCTION("""COMPUTED_VALUE"""),399410)</f>
        <v>399410</v>
      </c>
      <c r="D3797" s="22">
        <f ca="1">IFERROR(__xludf.DUMMYFUNCTION("""COMPUTED_VALUE"""),100590)</f>
        <v>100590</v>
      </c>
      <c r="E3797" s="22">
        <f ca="1">IFERROR(__xludf.DUMMYFUNCTION("""COMPUTED_VALUE"""),500000)</f>
        <v>500000</v>
      </c>
      <c r="F3797" s="22">
        <f ca="1">IFERROR(__xludf.DUMMYFUNCTION("""COMPUTED_VALUE"""),399410)</f>
        <v>399410</v>
      </c>
      <c r="G3797" s="22">
        <f ca="1">IFERROR(__xludf.DUMMYFUNCTION("""COMPUTED_VALUE"""),0)</f>
        <v>0</v>
      </c>
      <c r="H3797" s="7">
        <f ca="1">IFERROR(__xludf.DUMMYFUNCTION("""COMPUTED_VALUE"""),488450)</f>
        <v>488450</v>
      </c>
    </row>
    <row r="3798" spans="1:8" ht="13" x14ac:dyDescent="0.15">
      <c r="A3798" s="5" t="str">
        <f ca="1">IFERROR(__xludf.DUMMYFUNCTION("""COMPUTED_VALUE"""),"75288")</f>
        <v>75288</v>
      </c>
      <c r="B3798" s="51">
        <f ca="1">IFERROR(__xludf.DUMMYFUNCTION("""COMPUTED_VALUE"""),44619)</f>
        <v>44619</v>
      </c>
      <c r="C3798" s="22">
        <f ca="1">IFERROR(__xludf.DUMMYFUNCTION("""COMPUTED_VALUE"""),399410)</f>
        <v>399410</v>
      </c>
      <c r="D3798" s="22">
        <f ca="1">IFERROR(__xludf.DUMMYFUNCTION("""COMPUTED_VALUE"""),100590)</f>
        <v>100590</v>
      </c>
      <c r="E3798" s="22">
        <f ca="1">IFERROR(__xludf.DUMMYFUNCTION("""COMPUTED_VALUE"""),500000)</f>
        <v>500000</v>
      </c>
      <c r="F3798" s="22">
        <f ca="1">IFERROR(__xludf.DUMMYFUNCTION("""COMPUTED_VALUE"""),399410)</f>
        <v>399410</v>
      </c>
      <c r="G3798" s="22">
        <f ca="1">IFERROR(__xludf.DUMMYFUNCTION("""COMPUTED_VALUE"""),0)</f>
        <v>0</v>
      </c>
      <c r="H3798" s="7">
        <f ca="1">IFERROR(__xludf.DUMMYFUNCTION("""COMPUTED_VALUE"""),488450)</f>
        <v>488450</v>
      </c>
    </row>
    <row r="3799" spans="1:8" ht="13" x14ac:dyDescent="0.15">
      <c r="A3799" s="5" t="str">
        <f ca="1">IFERROR(__xludf.DUMMYFUNCTION("""COMPUTED_VALUE"""),"75288")</f>
        <v>75288</v>
      </c>
      <c r="B3799" s="51">
        <f ca="1">IFERROR(__xludf.DUMMYFUNCTION("""COMPUTED_VALUE"""),44620)</f>
        <v>44620</v>
      </c>
      <c r="C3799" s="22">
        <f ca="1">IFERROR(__xludf.DUMMYFUNCTION("""COMPUTED_VALUE"""),399410)</f>
        <v>399410</v>
      </c>
      <c r="D3799" s="22">
        <f ca="1">IFERROR(__xludf.DUMMYFUNCTION("""COMPUTED_VALUE"""),100590)</f>
        <v>100590</v>
      </c>
      <c r="E3799" s="22">
        <f ca="1">IFERROR(__xludf.DUMMYFUNCTION("""COMPUTED_VALUE"""),500000)</f>
        <v>500000</v>
      </c>
      <c r="F3799" s="22">
        <f ca="1">IFERROR(__xludf.DUMMYFUNCTION("""COMPUTED_VALUE"""),399410)</f>
        <v>399410</v>
      </c>
      <c r="G3799" s="22">
        <f ca="1">IFERROR(__xludf.DUMMYFUNCTION("""COMPUTED_VALUE"""),0)</f>
        <v>0</v>
      </c>
      <c r="H3799" s="7">
        <f ca="1">IFERROR(__xludf.DUMMYFUNCTION("""COMPUTED_VALUE"""),487862)</f>
        <v>487862</v>
      </c>
    </row>
    <row r="3800" spans="1:8" ht="13" x14ac:dyDescent="0.15">
      <c r="A3800" s="5" t="str">
        <f ca="1">IFERROR(__xludf.DUMMYFUNCTION("""COMPUTED_VALUE"""),"75288")</f>
        <v>75288</v>
      </c>
      <c r="B3800" s="51">
        <f ca="1">IFERROR(__xludf.DUMMYFUNCTION("""COMPUTED_VALUE"""),44621)</f>
        <v>44621</v>
      </c>
      <c r="C3800" s="22">
        <f ca="1">IFERROR(__xludf.DUMMYFUNCTION("""COMPUTED_VALUE"""),399410)</f>
        <v>399410</v>
      </c>
      <c r="D3800" s="22">
        <f ca="1">IFERROR(__xludf.DUMMYFUNCTION("""COMPUTED_VALUE"""),100590)</f>
        <v>100590</v>
      </c>
      <c r="E3800" s="22">
        <f ca="1">IFERROR(__xludf.DUMMYFUNCTION("""COMPUTED_VALUE"""),500000)</f>
        <v>500000</v>
      </c>
      <c r="F3800" s="22">
        <f ca="1">IFERROR(__xludf.DUMMYFUNCTION("""COMPUTED_VALUE"""),399410)</f>
        <v>399410</v>
      </c>
      <c r="G3800" s="22">
        <f ca="1">IFERROR(__xludf.DUMMYFUNCTION("""COMPUTED_VALUE"""),0)</f>
        <v>0</v>
      </c>
      <c r="H3800" s="7">
        <f ca="1">IFERROR(__xludf.DUMMYFUNCTION("""COMPUTED_VALUE"""),489920)</f>
        <v>489920</v>
      </c>
    </row>
    <row r="3801" spans="1:8" ht="13" x14ac:dyDescent="0.15">
      <c r="A3801" s="5" t="str">
        <f ca="1">IFERROR(__xludf.DUMMYFUNCTION("""COMPUTED_VALUE"""),"75288")</f>
        <v>75288</v>
      </c>
      <c r="B3801" s="51">
        <f ca="1">IFERROR(__xludf.DUMMYFUNCTION("""COMPUTED_VALUE"""),44622)</f>
        <v>44622</v>
      </c>
      <c r="C3801" s="22">
        <f ca="1">IFERROR(__xludf.DUMMYFUNCTION("""COMPUTED_VALUE"""),399410)</f>
        <v>399410</v>
      </c>
      <c r="D3801" s="22">
        <f ca="1">IFERROR(__xludf.DUMMYFUNCTION("""COMPUTED_VALUE"""),100590)</f>
        <v>100590</v>
      </c>
      <c r="E3801" s="22">
        <f ca="1">IFERROR(__xludf.DUMMYFUNCTION("""COMPUTED_VALUE"""),500000)</f>
        <v>500000</v>
      </c>
      <c r="F3801" s="22">
        <f ca="1">IFERROR(__xludf.DUMMYFUNCTION("""COMPUTED_VALUE"""),399410)</f>
        <v>399410</v>
      </c>
      <c r="G3801" s="22">
        <f ca="1">IFERROR(__xludf.DUMMYFUNCTION("""COMPUTED_VALUE"""),0)</f>
        <v>0</v>
      </c>
      <c r="H3801" s="7">
        <f ca="1">IFERROR(__xludf.DUMMYFUNCTION("""COMPUTED_VALUE"""),488324)</f>
        <v>488324</v>
      </c>
    </row>
    <row r="3802" spans="1:8" ht="13" x14ac:dyDescent="0.15">
      <c r="A3802" s="5" t="str">
        <f ca="1">IFERROR(__xludf.DUMMYFUNCTION("""COMPUTED_VALUE"""),"75288")</f>
        <v>75288</v>
      </c>
      <c r="B3802" s="51">
        <f ca="1">IFERROR(__xludf.DUMMYFUNCTION("""COMPUTED_VALUE"""),44623)</f>
        <v>44623</v>
      </c>
      <c r="C3802" s="22">
        <f ca="1">IFERROR(__xludf.DUMMYFUNCTION("""COMPUTED_VALUE"""),399410)</f>
        <v>399410</v>
      </c>
      <c r="D3802" s="22">
        <f ca="1">IFERROR(__xludf.DUMMYFUNCTION("""COMPUTED_VALUE"""),100590)</f>
        <v>100590</v>
      </c>
      <c r="E3802" s="22">
        <f ca="1">IFERROR(__xludf.DUMMYFUNCTION("""COMPUTED_VALUE"""),500000)</f>
        <v>500000</v>
      </c>
      <c r="F3802" s="22">
        <f ca="1">IFERROR(__xludf.DUMMYFUNCTION("""COMPUTED_VALUE"""),399410)</f>
        <v>399410</v>
      </c>
      <c r="G3802" s="22">
        <f ca="1">IFERROR(__xludf.DUMMYFUNCTION("""COMPUTED_VALUE"""),0)</f>
        <v>0</v>
      </c>
      <c r="H3802" s="7">
        <f ca="1">IFERROR(__xludf.DUMMYFUNCTION("""COMPUTED_VALUE"""),487358)</f>
        <v>487358</v>
      </c>
    </row>
    <row r="3803" spans="1:8" ht="13" x14ac:dyDescent="0.15">
      <c r="A3803" s="5" t="str">
        <f ca="1">IFERROR(__xludf.DUMMYFUNCTION("""COMPUTED_VALUE"""),"75288")</f>
        <v>75288</v>
      </c>
      <c r="B3803" s="51">
        <f ca="1">IFERROR(__xludf.DUMMYFUNCTION("""COMPUTED_VALUE"""),44624)</f>
        <v>44624</v>
      </c>
      <c r="C3803" s="22">
        <f ca="1">IFERROR(__xludf.DUMMYFUNCTION("""COMPUTED_VALUE"""),399410)</f>
        <v>399410</v>
      </c>
      <c r="D3803" s="22">
        <f ca="1">IFERROR(__xludf.DUMMYFUNCTION("""COMPUTED_VALUE"""),100590)</f>
        <v>100590</v>
      </c>
      <c r="E3803" s="22">
        <f ca="1">IFERROR(__xludf.DUMMYFUNCTION("""COMPUTED_VALUE"""),500000)</f>
        <v>500000</v>
      </c>
      <c r="F3803" s="22">
        <f ca="1">IFERROR(__xludf.DUMMYFUNCTION("""COMPUTED_VALUE"""),399410)</f>
        <v>399410</v>
      </c>
      <c r="G3803" s="22">
        <f ca="1">IFERROR(__xludf.DUMMYFUNCTION("""COMPUTED_VALUE"""),0)</f>
        <v>0</v>
      </c>
      <c r="H3803" s="7">
        <f ca="1">IFERROR(__xludf.DUMMYFUNCTION("""COMPUTED_VALUE"""),484082)</f>
        <v>484082</v>
      </c>
    </row>
    <row r="3804" spans="1:8" ht="13" x14ac:dyDescent="0.15">
      <c r="A3804" s="5" t="str">
        <f ca="1">IFERROR(__xludf.DUMMYFUNCTION("""COMPUTED_VALUE"""),"75288")</f>
        <v>75288</v>
      </c>
      <c r="B3804" s="51">
        <f ca="1">IFERROR(__xludf.DUMMYFUNCTION("""COMPUTED_VALUE"""),44625)</f>
        <v>44625</v>
      </c>
      <c r="C3804" s="22">
        <f ca="1">IFERROR(__xludf.DUMMYFUNCTION("""COMPUTED_VALUE"""),399410)</f>
        <v>399410</v>
      </c>
      <c r="D3804" s="22">
        <f ca="1">IFERROR(__xludf.DUMMYFUNCTION("""COMPUTED_VALUE"""),100590)</f>
        <v>100590</v>
      </c>
      <c r="E3804" s="22">
        <f ca="1">IFERROR(__xludf.DUMMYFUNCTION("""COMPUTED_VALUE"""),500000)</f>
        <v>500000</v>
      </c>
      <c r="F3804" s="22">
        <f ca="1">IFERROR(__xludf.DUMMYFUNCTION("""COMPUTED_VALUE"""),399410)</f>
        <v>399410</v>
      </c>
      <c r="G3804" s="22">
        <f ca="1">IFERROR(__xludf.DUMMYFUNCTION("""COMPUTED_VALUE"""),0)</f>
        <v>0</v>
      </c>
      <c r="H3804" s="7">
        <f ca="1">IFERROR(__xludf.DUMMYFUNCTION("""COMPUTED_VALUE"""),484082)</f>
        <v>484082</v>
      </c>
    </row>
    <row r="3805" spans="1:8" ht="13" x14ac:dyDescent="0.15">
      <c r="A3805" s="5" t="str">
        <f ca="1">IFERROR(__xludf.DUMMYFUNCTION("""COMPUTED_VALUE"""),"75288")</f>
        <v>75288</v>
      </c>
      <c r="B3805" s="51">
        <f ca="1">IFERROR(__xludf.DUMMYFUNCTION("""COMPUTED_VALUE"""),44626)</f>
        <v>44626</v>
      </c>
      <c r="C3805" s="22">
        <f ca="1">IFERROR(__xludf.DUMMYFUNCTION("""COMPUTED_VALUE"""),399410)</f>
        <v>399410</v>
      </c>
      <c r="D3805" s="22">
        <f ca="1">IFERROR(__xludf.DUMMYFUNCTION("""COMPUTED_VALUE"""),100590)</f>
        <v>100590</v>
      </c>
      <c r="E3805" s="22">
        <f ca="1">IFERROR(__xludf.DUMMYFUNCTION("""COMPUTED_VALUE"""),500000)</f>
        <v>500000</v>
      </c>
      <c r="F3805" s="22">
        <f ca="1">IFERROR(__xludf.DUMMYFUNCTION("""COMPUTED_VALUE"""),399410)</f>
        <v>399410</v>
      </c>
      <c r="G3805" s="22">
        <f ca="1">IFERROR(__xludf.DUMMYFUNCTION("""COMPUTED_VALUE"""),0)</f>
        <v>0</v>
      </c>
      <c r="H3805" s="7">
        <f ca="1">IFERROR(__xludf.DUMMYFUNCTION("""COMPUTED_VALUE"""),484082)</f>
        <v>484082</v>
      </c>
    </row>
    <row r="3806" spans="1:8" ht="13" x14ac:dyDescent="0.15">
      <c r="A3806" s="5" t="str">
        <f ca="1">IFERROR(__xludf.DUMMYFUNCTION("""COMPUTED_VALUE"""),"75288")</f>
        <v>75288</v>
      </c>
      <c r="B3806" s="51">
        <f ca="1">IFERROR(__xludf.DUMMYFUNCTION("""COMPUTED_VALUE"""),44627)</f>
        <v>44627</v>
      </c>
      <c r="C3806" s="22">
        <f ca="1">IFERROR(__xludf.DUMMYFUNCTION("""COMPUTED_VALUE"""),399410)</f>
        <v>399410</v>
      </c>
      <c r="D3806" s="22">
        <f ca="1">IFERROR(__xludf.DUMMYFUNCTION("""COMPUTED_VALUE"""),100590)</f>
        <v>100590</v>
      </c>
      <c r="E3806" s="22">
        <f ca="1">IFERROR(__xludf.DUMMYFUNCTION("""COMPUTED_VALUE"""),500000)</f>
        <v>500000</v>
      </c>
      <c r="F3806" s="22">
        <f ca="1">IFERROR(__xludf.DUMMYFUNCTION("""COMPUTED_VALUE"""),399410)</f>
        <v>399410</v>
      </c>
      <c r="G3806" s="22">
        <f ca="1">IFERROR(__xludf.DUMMYFUNCTION("""COMPUTED_VALUE"""),0)</f>
        <v>0</v>
      </c>
      <c r="H3806" s="7">
        <f ca="1">IFERROR(__xludf.DUMMYFUNCTION("""COMPUTED_VALUE"""),480890)</f>
        <v>480890</v>
      </c>
    </row>
    <row r="3807" spans="1:8" ht="13" x14ac:dyDescent="0.15">
      <c r="A3807" s="5" t="str">
        <f ca="1">IFERROR(__xludf.DUMMYFUNCTION("""COMPUTED_VALUE"""),"75288")</f>
        <v>75288</v>
      </c>
      <c r="B3807" s="51">
        <f ca="1">IFERROR(__xludf.DUMMYFUNCTION("""COMPUTED_VALUE"""),44628)</f>
        <v>44628</v>
      </c>
      <c r="C3807" s="22">
        <f ca="1">IFERROR(__xludf.DUMMYFUNCTION("""COMPUTED_VALUE"""),399410)</f>
        <v>399410</v>
      </c>
      <c r="D3807" s="22">
        <f ca="1">IFERROR(__xludf.DUMMYFUNCTION("""COMPUTED_VALUE"""),100590)</f>
        <v>100590</v>
      </c>
      <c r="E3807" s="22">
        <f ca="1">IFERROR(__xludf.DUMMYFUNCTION("""COMPUTED_VALUE"""),500000)</f>
        <v>500000</v>
      </c>
      <c r="F3807" s="22">
        <f ca="1">IFERROR(__xludf.DUMMYFUNCTION("""COMPUTED_VALUE"""),399410)</f>
        <v>399410</v>
      </c>
      <c r="G3807" s="22">
        <f ca="1">IFERROR(__xludf.DUMMYFUNCTION("""COMPUTED_VALUE"""),0)</f>
        <v>0</v>
      </c>
      <c r="H3807" s="7">
        <f ca="1">IFERROR(__xludf.DUMMYFUNCTION("""COMPUTED_VALUE"""),479882)</f>
        <v>479882</v>
      </c>
    </row>
    <row r="3808" spans="1:8" ht="13" x14ac:dyDescent="0.15">
      <c r="A3808" s="5" t="str">
        <f ca="1">IFERROR(__xludf.DUMMYFUNCTION("""COMPUTED_VALUE"""),"75288")</f>
        <v>75288</v>
      </c>
      <c r="B3808" s="51">
        <f ca="1">IFERROR(__xludf.DUMMYFUNCTION("""COMPUTED_VALUE"""),44629)</f>
        <v>44629</v>
      </c>
      <c r="C3808" s="22">
        <f ca="1">IFERROR(__xludf.DUMMYFUNCTION("""COMPUTED_VALUE"""),399410)</f>
        <v>399410</v>
      </c>
      <c r="D3808" s="22">
        <f ca="1">IFERROR(__xludf.DUMMYFUNCTION("""COMPUTED_VALUE"""),100590)</f>
        <v>100590</v>
      </c>
      <c r="E3808" s="22">
        <f ca="1">IFERROR(__xludf.DUMMYFUNCTION("""COMPUTED_VALUE"""),500000)</f>
        <v>500000</v>
      </c>
      <c r="F3808" s="22">
        <f ca="1">IFERROR(__xludf.DUMMYFUNCTION("""COMPUTED_VALUE"""),399410)</f>
        <v>399410</v>
      </c>
      <c r="G3808" s="22">
        <f ca="1">IFERROR(__xludf.DUMMYFUNCTION("""COMPUTED_VALUE"""),0)</f>
        <v>0</v>
      </c>
      <c r="H3808" s="7">
        <f ca="1">IFERROR(__xludf.DUMMYFUNCTION("""COMPUTED_VALUE"""),480218)</f>
        <v>480218</v>
      </c>
    </row>
    <row r="3809" spans="1:8" ht="13" x14ac:dyDescent="0.15">
      <c r="A3809" s="5" t="str">
        <f ca="1">IFERROR(__xludf.DUMMYFUNCTION("""COMPUTED_VALUE"""),"75288")</f>
        <v>75288</v>
      </c>
      <c r="B3809" s="51">
        <f ca="1">IFERROR(__xludf.DUMMYFUNCTION("""COMPUTED_VALUE"""),44630)</f>
        <v>44630</v>
      </c>
      <c r="C3809" s="22">
        <f ca="1">IFERROR(__xludf.DUMMYFUNCTION("""COMPUTED_VALUE"""),389477.22)</f>
        <v>389477.22</v>
      </c>
      <c r="D3809" s="22">
        <f ca="1">IFERROR(__xludf.DUMMYFUNCTION("""COMPUTED_VALUE"""),90782.78)</f>
        <v>90782.78</v>
      </c>
      <c r="E3809" s="22">
        <f ca="1">IFERROR(__xludf.DUMMYFUNCTION("""COMPUTED_VALUE"""),480260)</f>
        <v>480260</v>
      </c>
      <c r="F3809" s="22">
        <f ca="1">IFERROR(__xludf.DUMMYFUNCTION("""COMPUTED_VALUE"""),389477.22)</f>
        <v>389477.22</v>
      </c>
      <c r="G3809" s="22">
        <f ca="1">IFERROR(__xludf.DUMMYFUNCTION("""COMPUTED_VALUE"""),0)</f>
        <v>0</v>
      </c>
      <c r="H3809" s="7">
        <f ca="1">IFERROR(__xludf.DUMMYFUNCTION("""COMPUTED_VALUE"""),480260)</f>
        <v>480260</v>
      </c>
    </row>
    <row r="3810" spans="1:8" ht="13" x14ac:dyDescent="0.15">
      <c r="A3810" s="5" t="str">
        <f ca="1">IFERROR(__xludf.DUMMYFUNCTION("""COMPUTED_VALUE"""),"75288")</f>
        <v>75288</v>
      </c>
      <c r="B3810" s="51">
        <f ca="1">IFERROR(__xludf.DUMMYFUNCTION("""COMPUTED_VALUE"""),44631)</f>
        <v>44631</v>
      </c>
      <c r="C3810" s="22">
        <f ca="1">IFERROR(__xludf.DUMMYFUNCTION("""COMPUTED_VALUE"""),389477.22)</f>
        <v>389477.22</v>
      </c>
      <c r="D3810" s="22">
        <f ca="1">IFERROR(__xludf.DUMMYFUNCTION("""COMPUTED_VALUE"""),87170.78)</f>
        <v>87170.78</v>
      </c>
      <c r="E3810" s="22">
        <f ca="1">IFERROR(__xludf.DUMMYFUNCTION("""COMPUTED_VALUE"""),476648)</f>
        <v>476648</v>
      </c>
      <c r="F3810" s="22">
        <f ca="1">IFERROR(__xludf.DUMMYFUNCTION("""COMPUTED_VALUE"""),389477.22)</f>
        <v>389477.22</v>
      </c>
      <c r="G3810" s="22">
        <f ca="1">IFERROR(__xludf.DUMMYFUNCTION("""COMPUTED_VALUE"""),0)</f>
        <v>0</v>
      </c>
      <c r="H3810" s="7">
        <f ca="1">IFERROR(__xludf.DUMMYFUNCTION("""COMPUTED_VALUE"""),476231.24)</f>
        <v>476231.24</v>
      </c>
    </row>
    <row r="3811" spans="1:8" ht="13" x14ac:dyDescent="0.15">
      <c r="A3811" s="5" t="str">
        <f ca="1">IFERROR(__xludf.DUMMYFUNCTION("""COMPUTED_VALUE"""),"75288")</f>
        <v>75288</v>
      </c>
      <c r="B3811" s="51">
        <f ca="1">IFERROR(__xludf.DUMMYFUNCTION("""COMPUTED_VALUE"""),44632)</f>
        <v>44632</v>
      </c>
      <c r="C3811" s="22">
        <f ca="1">IFERROR(__xludf.DUMMYFUNCTION("""COMPUTED_VALUE"""),389477.22)</f>
        <v>389477.22</v>
      </c>
      <c r="D3811" s="22">
        <f ca="1">IFERROR(__xludf.DUMMYFUNCTION("""COMPUTED_VALUE"""),87170.78)</f>
        <v>87170.78</v>
      </c>
      <c r="E3811" s="22">
        <f ca="1">IFERROR(__xludf.DUMMYFUNCTION("""COMPUTED_VALUE"""),476648)</f>
        <v>476648</v>
      </c>
      <c r="F3811" s="22">
        <f ca="1">IFERROR(__xludf.DUMMYFUNCTION("""COMPUTED_VALUE"""),389477.22)</f>
        <v>389477.22</v>
      </c>
      <c r="G3811" s="22">
        <f ca="1">IFERROR(__xludf.DUMMYFUNCTION("""COMPUTED_VALUE"""),0)</f>
        <v>0</v>
      </c>
      <c r="H3811" s="7">
        <f ca="1">IFERROR(__xludf.DUMMYFUNCTION("""COMPUTED_VALUE"""),476231.24)</f>
        <v>476231.24</v>
      </c>
    </row>
    <row r="3812" spans="1:8" ht="13" x14ac:dyDescent="0.15">
      <c r="A3812" s="5" t="str">
        <f ca="1">IFERROR(__xludf.DUMMYFUNCTION("""COMPUTED_VALUE"""),"75288")</f>
        <v>75288</v>
      </c>
      <c r="B3812" s="51">
        <f ca="1">IFERROR(__xludf.DUMMYFUNCTION("""COMPUTED_VALUE"""),44633)</f>
        <v>44633</v>
      </c>
      <c r="C3812" s="22">
        <f ca="1">IFERROR(__xludf.DUMMYFUNCTION("""COMPUTED_VALUE"""),389477.22)</f>
        <v>389477.22</v>
      </c>
      <c r="D3812" s="22">
        <f ca="1">IFERROR(__xludf.DUMMYFUNCTION("""COMPUTED_VALUE"""),87170.78)</f>
        <v>87170.78</v>
      </c>
      <c r="E3812" s="22">
        <f ca="1">IFERROR(__xludf.DUMMYFUNCTION("""COMPUTED_VALUE"""),476648)</f>
        <v>476648</v>
      </c>
      <c r="F3812" s="22">
        <f ca="1">IFERROR(__xludf.DUMMYFUNCTION("""COMPUTED_VALUE"""),389477.22)</f>
        <v>389477.22</v>
      </c>
      <c r="G3812" s="22">
        <f ca="1">IFERROR(__xludf.DUMMYFUNCTION("""COMPUTED_VALUE"""),0)</f>
        <v>0</v>
      </c>
      <c r="H3812" s="7">
        <f ca="1">IFERROR(__xludf.DUMMYFUNCTION("""COMPUTED_VALUE"""),476231.24)</f>
        <v>476231.24</v>
      </c>
    </row>
    <row r="3813" spans="1:8" ht="13" x14ac:dyDescent="0.15">
      <c r="A3813" s="5" t="str">
        <f ca="1">IFERROR(__xludf.DUMMYFUNCTION("""COMPUTED_VALUE"""),"75288")</f>
        <v>75288</v>
      </c>
      <c r="B3813" s="51">
        <f ca="1">IFERROR(__xludf.DUMMYFUNCTION("""COMPUTED_VALUE"""),44634)</f>
        <v>44634</v>
      </c>
      <c r="C3813" s="22">
        <f ca="1">IFERROR(__xludf.DUMMYFUNCTION("""COMPUTED_VALUE"""),389477.22)</f>
        <v>389477.22</v>
      </c>
      <c r="D3813" s="22">
        <f ca="1">IFERROR(__xludf.DUMMYFUNCTION("""COMPUTED_VALUE"""),79610.78)</f>
        <v>79610.78</v>
      </c>
      <c r="E3813" s="22">
        <f ca="1">IFERROR(__xludf.DUMMYFUNCTION("""COMPUTED_VALUE"""),469088)</f>
        <v>469088</v>
      </c>
      <c r="F3813" s="22">
        <f ca="1">IFERROR(__xludf.DUMMYFUNCTION("""COMPUTED_VALUE"""),389477.22)</f>
        <v>389477.22</v>
      </c>
      <c r="G3813" s="22">
        <f ca="1">IFERROR(__xludf.DUMMYFUNCTION("""COMPUTED_VALUE"""),0)</f>
        <v>0</v>
      </c>
      <c r="H3813" s="7">
        <f ca="1">IFERROR(__xludf.DUMMYFUNCTION("""COMPUTED_VALUE"""),467872.449999999)</f>
        <v>467872.44999999902</v>
      </c>
    </row>
    <row r="3814" spans="1:8" ht="13" x14ac:dyDescent="0.15">
      <c r="A3814" s="5" t="str">
        <f ca="1">IFERROR(__xludf.DUMMYFUNCTION("""COMPUTED_VALUE"""),"75288")</f>
        <v>75288</v>
      </c>
      <c r="B3814" s="51">
        <f ca="1">IFERROR(__xludf.DUMMYFUNCTION("""COMPUTED_VALUE"""),44635)</f>
        <v>44635</v>
      </c>
      <c r="C3814" s="22">
        <f ca="1">IFERROR(__xludf.DUMMYFUNCTION("""COMPUTED_VALUE"""),389477.22)</f>
        <v>389477.22</v>
      </c>
      <c r="D3814" s="22">
        <f ca="1">IFERROR(__xludf.DUMMYFUNCTION("""COMPUTED_VALUE"""),72512.78)</f>
        <v>72512.78</v>
      </c>
      <c r="E3814" s="22">
        <f ca="1">IFERROR(__xludf.DUMMYFUNCTION("""COMPUTED_VALUE"""),461990)</f>
        <v>461990</v>
      </c>
      <c r="F3814" s="22">
        <f ca="1">IFERROR(__xludf.DUMMYFUNCTION("""COMPUTED_VALUE"""),389477.22)</f>
        <v>389477.22</v>
      </c>
      <c r="G3814" s="22">
        <f ca="1">IFERROR(__xludf.DUMMYFUNCTION("""COMPUTED_VALUE"""),0)</f>
        <v>0</v>
      </c>
      <c r="H3814" s="7">
        <f ca="1">IFERROR(__xludf.DUMMYFUNCTION("""COMPUTED_VALUE"""),459975.66)</f>
        <v>459975.66</v>
      </c>
    </row>
    <row r="3815" spans="1:8" ht="13" x14ac:dyDescent="0.15">
      <c r="A3815" s="5" t="str">
        <f ca="1">IFERROR(__xludf.DUMMYFUNCTION("""COMPUTED_VALUE"""),"75288")</f>
        <v>75288</v>
      </c>
      <c r="B3815" s="51">
        <f ca="1">IFERROR(__xludf.DUMMYFUNCTION("""COMPUTED_VALUE"""),44636)</f>
        <v>44636</v>
      </c>
      <c r="C3815" s="22">
        <f ca="1">IFERROR(__xludf.DUMMYFUNCTION("""COMPUTED_VALUE"""),389477.22)</f>
        <v>389477.22</v>
      </c>
      <c r="D3815" s="22">
        <f ca="1">IFERROR(__xludf.DUMMYFUNCTION("""COMPUTED_VALUE"""),87002.78)</f>
        <v>87002.78</v>
      </c>
      <c r="E3815" s="22">
        <f ca="1">IFERROR(__xludf.DUMMYFUNCTION("""COMPUTED_VALUE"""),476480)</f>
        <v>476480</v>
      </c>
      <c r="F3815" s="22">
        <f ca="1">IFERROR(__xludf.DUMMYFUNCTION("""COMPUTED_VALUE"""),389477.22)</f>
        <v>389477.22</v>
      </c>
      <c r="G3815" s="22">
        <f ca="1">IFERROR(__xludf.DUMMYFUNCTION("""COMPUTED_VALUE"""),0)</f>
        <v>0</v>
      </c>
      <c r="H3815" s="7">
        <f ca="1">IFERROR(__xludf.DUMMYFUNCTION("""COMPUTED_VALUE"""),475577.019999999)</f>
        <v>475577.01999999897</v>
      </c>
    </row>
    <row r="3816" spans="1:8" ht="13" x14ac:dyDescent="0.15">
      <c r="A3816" s="5" t="str">
        <f ca="1">IFERROR(__xludf.DUMMYFUNCTION("""COMPUTED_VALUE"""),"75288")</f>
        <v>75288</v>
      </c>
      <c r="B3816" s="51">
        <f ca="1">IFERROR(__xludf.DUMMYFUNCTION("""COMPUTED_VALUE"""),44637)</f>
        <v>44637</v>
      </c>
      <c r="C3816" s="22">
        <f ca="1">IFERROR(__xludf.DUMMYFUNCTION("""COMPUTED_VALUE"""),471377.22)</f>
        <v>471377.22</v>
      </c>
      <c r="D3816" s="22">
        <f ca="1">IFERROR(__xludf.DUMMYFUNCTION("""COMPUTED_VALUE"""),8821.41999999999)</f>
        <v>8821.4199999999892</v>
      </c>
      <c r="E3816" s="22">
        <f ca="1">IFERROR(__xludf.DUMMYFUNCTION("""COMPUTED_VALUE"""),480198.639999999)</f>
        <v>480198.63999999902</v>
      </c>
      <c r="F3816" s="22">
        <f ca="1">IFERROR(__xludf.DUMMYFUNCTION("""COMPUTED_VALUE"""),471377.22)</f>
        <v>471377.22</v>
      </c>
      <c r="G3816" s="22">
        <f ca="1">IFERROR(__xludf.DUMMYFUNCTION("""COMPUTED_VALUE"""),0)</f>
        <v>0</v>
      </c>
      <c r="H3816" s="7">
        <f ca="1">IFERROR(__xludf.DUMMYFUNCTION("""COMPUTED_VALUE"""),480198.639999999)</f>
        <v>480198.63999999902</v>
      </c>
    </row>
    <row r="3817" spans="1:8" ht="13" x14ac:dyDescent="0.15">
      <c r="A3817" s="5" t="str">
        <f ca="1">IFERROR(__xludf.DUMMYFUNCTION("""COMPUTED_VALUE"""),"75288")</f>
        <v>75288</v>
      </c>
      <c r="B3817" s="51">
        <f ca="1">IFERROR(__xludf.DUMMYFUNCTION("""COMPUTED_VALUE"""),44638)</f>
        <v>44638</v>
      </c>
      <c r="C3817" s="22">
        <f ca="1">IFERROR(__xludf.DUMMYFUNCTION("""COMPUTED_VALUE"""),471377.22)</f>
        <v>471377.22</v>
      </c>
      <c r="D3817" s="22">
        <f ca="1">IFERROR(__xludf.DUMMYFUNCTION("""COMPUTED_VALUE"""),7243.99)</f>
        <v>7243.99</v>
      </c>
      <c r="E3817" s="22">
        <f ca="1">IFERROR(__xludf.DUMMYFUNCTION("""COMPUTED_VALUE"""),478621.209999999)</f>
        <v>478621.20999999897</v>
      </c>
      <c r="F3817" s="22">
        <f ca="1">IFERROR(__xludf.DUMMYFUNCTION("""COMPUTED_VALUE"""),471377.22)</f>
        <v>471377.22</v>
      </c>
      <c r="G3817" s="22">
        <f ca="1">IFERROR(__xludf.DUMMYFUNCTION("""COMPUTED_VALUE"""),0)</f>
        <v>0</v>
      </c>
      <c r="H3817" s="7">
        <f ca="1">IFERROR(__xludf.DUMMYFUNCTION("""COMPUTED_VALUE"""),480511.209999999)</f>
        <v>480511.20999999897</v>
      </c>
    </row>
    <row r="3818" spans="1:8" ht="13" x14ac:dyDescent="0.15">
      <c r="A3818" s="5" t="str">
        <f ca="1">IFERROR(__xludf.DUMMYFUNCTION("""COMPUTED_VALUE"""),"75288")</f>
        <v>75288</v>
      </c>
      <c r="B3818" s="51">
        <f ca="1">IFERROR(__xludf.DUMMYFUNCTION("""COMPUTED_VALUE"""),44639)</f>
        <v>44639</v>
      </c>
      <c r="C3818" s="22">
        <f ca="1">IFERROR(__xludf.DUMMYFUNCTION("""COMPUTED_VALUE"""),471377.22)</f>
        <v>471377.22</v>
      </c>
      <c r="D3818" s="22">
        <f ca="1">IFERROR(__xludf.DUMMYFUNCTION("""COMPUTED_VALUE"""),7243.99)</f>
        <v>7243.99</v>
      </c>
      <c r="E3818" s="22">
        <f ca="1">IFERROR(__xludf.DUMMYFUNCTION("""COMPUTED_VALUE"""),478621.209999999)</f>
        <v>478621.20999999897</v>
      </c>
      <c r="F3818" s="22">
        <f ca="1">IFERROR(__xludf.DUMMYFUNCTION("""COMPUTED_VALUE"""),471377.22)</f>
        <v>471377.22</v>
      </c>
      <c r="G3818" s="22">
        <f ca="1">IFERROR(__xludf.DUMMYFUNCTION("""COMPUTED_VALUE"""),0)</f>
        <v>0</v>
      </c>
      <c r="H3818" s="7">
        <f ca="1">IFERROR(__xludf.DUMMYFUNCTION("""COMPUTED_VALUE"""),480511.209999999)</f>
        <v>480511.20999999897</v>
      </c>
    </row>
    <row r="3819" spans="1:8" ht="13" x14ac:dyDescent="0.15">
      <c r="A3819" s="5" t="str">
        <f ca="1">IFERROR(__xludf.DUMMYFUNCTION("""COMPUTED_VALUE"""),"75288")</f>
        <v>75288</v>
      </c>
      <c r="B3819" s="51">
        <f ca="1">IFERROR(__xludf.DUMMYFUNCTION("""COMPUTED_VALUE"""),44640)</f>
        <v>44640</v>
      </c>
      <c r="C3819" s="22">
        <f ca="1">IFERROR(__xludf.DUMMYFUNCTION("""COMPUTED_VALUE"""),471377.22)</f>
        <v>471377.22</v>
      </c>
      <c r="D3819" s="22">
        <f ca="1">IFERROR(__xludf.DUMMYFUNCTION("""COMPUTED_VALUE"""),7243.99)</f>
        <v>7243.99</v>
      </c>
      <c r="E3819" s="22">
        <f ca="1">IFERROR(__xludf.DUMMYFUNCTION("""COMPUTED_VALUE"""),478621.209999999)</f>
        <v>478621.20999999897</v>
      </c>
      <c r="F3819" s="22">
        <f ca="1">IFERROR(__xludf.DUMMYFUNCTION("""COMPUTED_VALUE"""),471377.22)</f>
        <v>471377.22</v>
      </c>
      <c r="G3819" s="22">
        <f ca="1">IFERROR(__xludf.DUMMYFUNCTION("""COMPUTED_VALUE"""),0)</f>
        <v>0</v>
      </c>
      <c r="H3819" s="7">
        <f ca="1">IFERROR(__xludf.DUMMYFUNCTION("""COMPUTED_VALUE"""),480511.209999999)</f>
        <v>480511.20999999897</v>
      </c>
    </row>
    <row r="3820" spans="1:8" ht="13" x14ac:dyDescent="0.15">
      <c r="A3820" s="5" t="str">
        <f ca="1">IFERROR(__xludf.DUMMYFUNCTION("""COMPUTED_VALUE"""),"75288")</f>
        <v>75288</v>
      </c>
      <c r="B3820" s="51">
        <f ca="1">IFERROR(__xludf.DUMMYFUNCTION("""COMPUTED_VALUE"""),44641)</f>
        <v>44641</v>
      </c>
      <c r="C3820" s="22">
        <f ca="1">IFERROR(__xludf.DUMMYFUNCTION("""COMPUTED_VALUE"""),368087.22)</f>
        <v>368087.22</v>
      </c>
      <c r="D3820" s="22">
        <f ca="1">IFERROR(__xludf.DUMMYFUNCTION("""COMPUTED_VALUE"""),112076.69)</f>
        <v>112076.69</v>
      </c>
      <c r="E3820" s="22">
        <f ca="1">IFERROR(__xludf.DUMMYFUNCTION("""COMPUTED_VALUE"""),480163.91)</f>
        <v>480163.91</v>
      </c>
      <c r="F3820" s="22">
        <f ca="1">IFERROR(__xludf.DUMMYFUNCTION("""COMPUTED_VALUE"""),368087.22)</f>
        <v>368087.22</v>
      </c>
      <c r="G3820" s="22">
        <f ca="1">IFERROR(__xludf.DUMMYFUNCTION("""COMPUTED_VALUE"""),0)</f>
        <v>0</v>
      </c>
      <c r="H3820" s="7">
        <f ca="1">IFERROR(__xludf.DUMMYFUNCTION("""COMPUTED_VALUE"""),480163.91)</f>
        <v>480163.91</v>
      </c>
    </row>
    <row r="3821" spans="1:8" ht="13" x14ac:dyDescent="0.15">
      <c r="A3821" s="5" t="str">
        <f ca="1">IFERROR(__xludf.DUMMYFUNCTION("""COMPUTED_VALUE"""),"75288")</f>
        <v>75288</v>
      </c>
      <c r="B3821" s="51">
        <f ca="1">IFERROR(__xludf.DUMMYFUNCTION("""COMPUTED_VALUE"""),44642)</f>
        <v>44642</v>
      </c>
      <c r="C3821" s="22">
        <f ca="1">IFERROR(__xludf.DUMMYFUNCTION("""COMPUTED_VALUE"""),368087.22)</f>
        <v>368087.22</v>
      </c>
      <c r="D3821" s="22">
        <f ca="1">IFERROR(__xludf.DUMMYFUNCTION("""COMPUTED_VALUE"""),114451.42)</f>
        <v>114451.42</v>
      </c>
      <c r="E3821" s="22">
        <f ca="1">IFERROR(__xludf.DUMMYFUNCTION("""COMPUTED_VALUE"""),482538.639999999)</f>
        <v>482538.63999999902</v>
      </c>
      <c r="F3821" s="22">
        <f ca="1">IFERROR(__xludf.DUMMYFUNCTION("""COMPUTED_VALUE"""),368087.22)</f>
        <v>368087.22</v>
      </c>
      <c r="G3821" s="22">
        <f ca="1">IFERROR(__xludf.DUMMYFUNCTION("""COMPUTED_VALUE"""),0)</f>
        <v>0</v>
      </c>
      <c r="H3821" s="7">
        <f ca="1">IFERROR(__xludf.DUMMYFUNCTION("""COMPUTED_VALUE"""),484608.639999999)</f>
        <v>484608.63999999902</v>
      </c>
    </row>
    <row r="3822" spans="1:8" ht="13" x14ac:dyDescent="0.15">
      <c r="A3822" s="5" t="str">
        <f ca="1">IFERROR(__xludf.DUMMYFUNCTION("""COMPUTED_VALUE"""),"75369")</f>
        <v>75369</v>
      </c>
      <c r="B3822" s="51">
        <f ca="1">IFERROR(__xludf.DUMMYFUNCTION("""COMPUTED_VALUE"""),44597)</f>
        <v>44597</v>
      </c>
      <c r="C3822" s="22">
        <f ca="1">IFERROR(__xludf.DUMMYFUNCTION("""COMPUTED_VALUE"""),500000)</f>
        <v>500000</v>
      </c>
      <c r="D3822" s="22">
        <f ca="1">IFERROR(__xludf.DUMMYFUNCTION("""COMPUTED_VALUE"""),0)</f>
        <v>0</v>
      </c>
      <c r="E3822" s="22">
        <f ca="1">IFERROR(__xludf.DUMMYFUNCTION("""COMPUTED_VALUE"""),500000)</f>
        <v>500000</v>
      </c>
      <c r="F3822" s="22">
        <f ca="1">IFERROR(__xludf.DUMMYFUNCTION("""COMPUTED_VALUE"""),500000)</f>
        <v>500000</v>
      </c>
      <c r="G3822" s="22">
        <f ca="1">IFERROR(__xludf.DUMMYFUNCTION("""COMPUTED_VALUE"""),0)</f>
        <v>0</v>
      </c>
      <c r="H3822" s="7">
        <f ca="1">IFERROR(__xludf.DUMMYFUNCTION("""COMPUTED_VALUE"""),500000)</f>
        <v>500000</v>
      </c>
    </row>
    <row r="3823" spans="1:8" ht="13" x14ac:dyDescent="0.15">
      <c r="A3823" s="5" t="str">
        <f ca="1">IFERROR(__xludf.DUMMYFUNCTION("""COMPUTED_VALUE"""),"75369")</f>
        <v>75369</v>
      </c>
      <c r="B3823" s="51">
        <f ca="1">IFERROR(__xludf.DUMMYFUNCTION("""COMPUTED_VALUE"""),44598)</f>
        <v>44598</v>
      </c>
      <c r="C3823" s="22">
        <f ca="1">IFERROR(__xludf.DUMMYFUNCTION("""COMPUTED_VALUE"""),500000)</f>
        <v>500000</v>
      </c>
      <c r="D3823" s="22">
        <f ca="1">IFERROR(__xludf.DUMMYFUNCTION("""COMPUTED_VALUE"""),0)</f>
        <v>0</v>
      </c>
      <c r="E3823" s="22">
        <f ca="1">IFERROR(__xludf.DUMMYFUNCTION("""COMPUTED_VALUE"""),500000)</f>
        <v>500000</v>
      </c>
      <c r="F3823" s="22">
        <f ca="1">IFERROR(__xludf.DUMMYFUNCTION("""COMPUTED_VALUE"""),500000)</f>
        <v>500000</v>
      </c>
      <c r="G3823" s="22">
        <f ca="1">IFERROR(__xludf.DUMMYFUNCTION("""COMPUTED_VALUE"""),0)</f>
        <v>0</v>
      </c>
      <c r="H3823" s="7">
        <f ca="1">IFERROR(__xludf.DUMMYFUNCTION("""COMPUTED_VALUE"""),500000)</f>
        <v>500000</v>
      </c>
    </row>
    <row r="3824" spans="1:8" ht="13" x14ac:dyDescent="0.15">
      <c r="A3824" s="5" t="str">
        <f ca="1">IFERROR(__xludf.DUMMYFUNCTION("""COMPUTED_VALUE"""),"75369")</f>
        <v>75369</v>
      </c>
      <c r="B3824" s="51">
        <f ca="1">IFERROR(__xludf.DUMMYFUNCTION("""COMPUTED_VALUE"""),44599)</f>
        <v>44599</v>
      </c>
      <c r="C3824" s="22">
        <f ca="1">IFERROR(__xludf.DUMMYFUNCTION("""COMPUTED_VALUE"""),500000)</f>
        <v>500000</v>
      </c>
      <c r="D3824" s="22">
        <f ca="1">IFERROR(__xludf.DUMMYFUNCTION("""COMPUTED_VALUE"""),0)</f>
        <v>0</v>
      </c>
      <c r="E3824" s="22">
        <f ca="1">IFERROR(__xludf.DUMMYFUNCTION("""COMPUTED_VALUE"""),500000)</f>
        <v>500000</v>
      </c>
      <c r="F3824" s="22">
        <f ca="1">IFERROR(__xludf.DUMMYFUNCTION("""COMPUTED_VALUE"""),500000)</f>
        <v>500000</v>
      </c>
      <c r="G3824" s="22">
        <f ca="1">IFERROR(__xludf.DUMMYFUNCTION("""COMPUTED_VALUE"""),0)</f>
        <v>0</v>
      </c>
      <c r="H3824" s="7">
        <f ca="1">IFERROR(__xludf.DUMMYFUNCTION("""COMPUTED_VALUE"""),500000)</f>
        <v>500000</v>
      </c>
    </row>
    <row r="3825" spans="1:8" ht="13" x14ac:dyDescent="0.15">
      <c r="A3825" s="5" t="str">
        <f ca="1">IFERROR(__xludf.DUMMYFUNCTION("""COMPUTED_VALUE"""),"75369")</f>
        <v>75369</v>
      </c>
      <c r="B3825" s="51">
        <f ca="1">IFERROR(__xludf.DUMMYFUNCTION("""COMPUTED_VALUE"""),44600)</f>
        <v>44600</v>
      </c>
      <c r="C3825" s="22">
        <f ca="1">IFERROR(__xludf.DUMMYFUNCTION("""COMPUTED_VALUE"""),500000)</f>
        <v>500000</v>
      </c>
      <c r="D3825" s="22">
        <f ca="1">IFERROR(__xludf.DUMMYFUNCTION("""COMPUTED_VALUE"""),0)</f>
        <v>0</v>
      </c>
      <c r="E3825" s="22">
        <f ca="1">IFERROR(__xludf.DUMMYFUNCTION("""COMPUTED_VALUE"""),500000)</f>
        <v>500000</v>
      </c>
      <c r="F3825" s="22">
        <f ca="1">IFERROR(__xludf.DUMMYFUNCTION("""COMPUTED_VALUE"""),500000)</f>
        <v>500000</v>
      </c>
      <c r="G3825" s="22">
        <f ca="1">IFERROR(__xludf.DUMMYFUNCTION("""COMPUTED_VALUE"""),0)</f>
        <v>0</v>
      </c>
      <c r="H3825" s="7">
        <f ca="1">IFERROR(__xludf.DUMMYFUNCTION("""COMPUTED_VALUE"""),500000)</f>
        <v>500000</v>
      </c>
    </row>
    <row r="3826" spans="1:8" ht="13" x14ac:dyDescent="0.15">
      <c r="A3826" s="5" t="str">
        <f ca="1">IFERROR(__xludf.DUMMYFUNCTION("""COMPUTED_VALUE"""),"75369")</f>
        <v>75369</v>
      </c>
      <c r="B3826" s="51">
        <f ca="1">IFERROR(__xludf.DUMMYFUNCTION("""COMPUTED_VALUE"""),44601)</f>
        <v>44601</v>
      </c>
      <c r="C3826" s="22">
        <f ca="1">IFERROR(__xludf.DUMMYFUNCTION("""COMPUTED_VALUE"""),500000)</f>
        <v>500000</v>
      </c>
      <c r="D3826" s="22">
        <f ca="1">IFERROR(__xludf.DUMMYFUNCTION("""COMPUTED_VALUE"""),0)</f>
        <v>0</v>
      </c>
      <c r="E3826" s="22">
        <f ca="1">IFERROR(__xludf.DUMMYFUNCTION("""COMPUTED_VALUE"""),500000)</f>
        <v>500000</v>
      </c>
      <c r="F3826" s="22">
        <f ca="1">IFERROR(__xludf.DUMMYFUNCTION("""COMPUTED_VALUE"""),500000)</f>
        <v>500000</v>
      </c>
      <c r="G3826" s="22">
        <f ca="1">IFERROR(__xludf.DUMMYFUNCTION("""COMPUTED_VALUE"""),0)</f>
        <v>0</v>
      </c>
      <c r="H3826" s="7">
        <f ca="1">IFERROR(__xludf.DUMMYFUNCTION("""COMPUTED_VALUE"""),500000)</f>
        <v>500000</v>
      </c>
    </row>
    <row r="3827" spans="1:8" ht="13" x14ac:dyDescent="0.15">
      <c r="A3827" s="5" t="str">
        <f ca="1">IFERROR(__xludf.DUMMYFUNCTION("""COMPUTED_VALUE"""),"75369")</f>
        <v>75369</v>
      </c>
      <c r="B3827" s="51">
        <f ca="1">IFERROR(__xludf.DUMMYFUNCTION("""COMPUTED_VALUE"""),44602)</f>
        <v>44602</v>
      </c>
      <c r="C3827" s="22">
        <f ca="1">IFERROR(__xludf.DUMMYFUNCTION("""COMPUTED_VALUE"""),500000)</f>
        <v>500000</v>
      </c>
      <c r="D3827" s="22">
        <f ca="1">IFERROR(__xludf.DUMMYFUNCTION("""COMPUTED_VALUE"""),0)</f>
        <v>0</v>
      </c>
      <c r="E3827" s="22">
        <f ca="1">IFERROR(__xludf.DUMMYFUNCTION("""COMPUTED_VALUE"""),500000)</f>
        <v>500000</v>
      </c>
      <c r="F3827" s="22">
        <f ca="1">IFERROR(__xludf.DUMMYFUNCTION("""COMPUTED_VALUE"""),500000)</f>
        <v>500000</v>
      </c>
      <c r="G3827" s="22">
        <f ca="1">IFERROR(__xludf.DUMMYFUNCTION("""COMPUTED_VALUE"""),0)</f>
        <v>0</v>
      </c>
      <c r="H3827" s="7">
        <f ca="1">IFERROR(__xludf.DUMMYFUNCTION("""COMPUTED_VALUE"""),500000)</f>
        <v>500000</v>
      </c>
    </row>
    <row r="3828" spans="1:8" ht="13" x14ac:dyDescent="0.15">
      <c r="A3828" s="5" t="str">
        <f ca="1">IFERROR(__xludf.DUMMYFUNCTION("""COMPUTED_VALUE"""),"75369")</f>
        <v>75369</v>
      </c>
      <c r="B3828" s="51">
        <f ca="1">IFERROR(__xludf.DUMMYFUNCTION("""COMPUTED_VALUE"""),44603)</f>
        <v>44603</v>
      </c>
      <c r="C3828" s="22">
        <f ca="1">IFERROR(__xludf.DUMMYFUNCTION("""COMPUTED_VALUE"""),500000)</f>
        <v>500000</v>
      </c>
      <c r="D3828" s="22">
        <f ca="1">IFERROR(__xludf.DUMMYFUNCTION("""COMPUTED_VALUE"""),0)</f>
        <v>0</v>
      </c>
      <c r="E3828" s="22">
        <f ca="1">IFERROR(__xludf.DUMMYFUNCTION("""COMPUTED_VALUE"""),500000)</f>
        <v>500000</v>
      </c>
      <c r="F3828" s="22">
        <f ca="1">IFERROR(__xludf.DUMMYFUNCTION("""COMPUTED_VALUE"""),500000)</f>
        <v>500000</v>
      </c>
      <c r="G3828" s="22">
        <f ca="1">IFERROR(__xludf.DUMMYFUNCTION("""COMPUTED_VALUE"""),0)</f>
        <v>0</v>
      </c>
      <c r="H3828" s="7">
        <f ca="1">IFERROR(__xludf.DUMMYFUNCTION("""COMPUTED_VALUE"""),500000)</f>
        <v>500000</v>
      </c>
    </row>
    <row r="3829" spans="1:8" ht="13" x14ac:dyDescent="0.15">
      <c r="A3829" s="5" t="str">
        <f ca="1">IFERROR(__xludf.DUMMYFUNCTION("""COMPUTED_VALUE"""),"75369")</f>
        <v>75369</v>
      </c>
      <c r="B3829" s="51">
        <f ca="1">IFERROR(__xludf.DUMMYFUNCTION("""COMPUTED_VALUE"""),44604)</f>
        <v>44604</v>
      </c>
      <c r="C3829" s="22">
        <f ca="1">IFERROR(__xludf.DUMMYFUNCTION("""COMPUTED_VALUE"""),500000)</f>
        <v>500000</v>
      </c>
      <c r="D3829" s="22">
        <f ca="1">IFERROR(__xludf.DUMMYFUNCTION("""COMPUTED_VALUE"""),0)</f>
        <v>0</v>
      </c>
      <c r="E3829" s="22">
        <f ca="1">IFERROR(__xludf.DUMMYFUNCTION("""COMPUTED_VALUE"""),500000)</f>
        <v>500000</v>
      </c>
      <c r="F3829" s="22">
        <f ca="1">IFERROR(__xludf.DUMMYFUNCTION("""COMPUTED_VALUE"""),500000)</f>
        <v>500000</v>
      </c>
      <c r="G3829" s="22">
        <f ca="1">IFERROR(__xludf.DUMMYFUNCTION("""COMPUTED_VALUE"""),0)</f>
        <v>0</v>
      </c>
      <c r="H3829" s="7">
        <f ca="1">IFERROR(__xludf.DUMMYFUNCTION("""COMPUTED_VALUE"""),500000)</f>
        <v>500000</v>
      </c>
    </row>
    <row r="3830" spans="1:8" ht="13" x14ac:dyDescent="0.15">
      <c r="A3830" s="5" t="str">
        <f ca="1">IFERROR(__xludf.DUMMYFUNCTION("""COMPUTED_VALUE"""),"75369")</f>
        <v>75369</v>
      </c>
      <c r="B3830" s="51">
        <f ca="1">IFERROR(__xludf.DUMMYFUNCTION("""COMPUTED_VALUE"""),44605)</f>
        <v>44605</v>
      </c>
      <c r="C3830" s="22">
        <f ca="1">IFERROR(__xludf.DUMMYFUNCTION("""COMPUTED_VALUE"""),500000)</f>
        <v>500000</v>
      </c>
      <c r="D3830" s="22">
        <f ca="1">IFERROR(__xludf.DUMMYFUNCTION("""COMPUTED_VALUE"""),0)</f>
        <v>0</v>
      </c>
      <c r="E3830" s="22">
        <f ca="1">IFERROR(__xludf.DUMMYFUNCTION("""COMPUTED_VALUE"""),500000)</f>
        <v>500000</v>
      </c>
      <c r="F3830" s="22">
        <f ca="1">IFERROR(__xludf.DUMMYFUNCTION("""COMPUTED_VALUE"""),500000)</f>
        <v>500000</v>
      </c>
      <c r="G3830" s="22">
        <f ca="1">IFERROR(__xludf.DUMMYFUNCTION("""COMPUTED_VALUE"""),0)</f>
        <v>0</v>
      </c>
      <c r="H3830" s="7">
        <f ca="1">IFERROR(__xludf.DUMMYFUNCTION("""COMPUTED_VALUE"""),500000)</f>
        <v>500000</v>
      </c>
    </row>
    <row r="3831" spans="1:8" ht="13" x14ac:dyDescent="0.15">
      <c r="A3831" s="5" t="str">
        <f ca="1">IFERROR(__xludf.DUMMYFUNCTION("""COMPUTED_VALUE"""),"75369")</f>
        <v>75369</v>
      </c>
      <c r="B3831" s="51">
        <f ca="1">IFERROR(__xludf.DUMMYFUNCTION("""COMPUTED_VALUE"""),44606)</f>
        <v>44606</v>
      </c>
      <c r="C3831" s="22">
        <f ca="1">IFERROR(__xludf.DUMMYFUNCTION("""COMPUTED_VALUE"""),500000)</f>
        <v>500000</v>
      </c>
      <c r="D3831" s="22">
        <f ca="1">IFERROR(__xludf.DUMMYFUNCTION("""COMPUTED_VALUE"""),0)</f>
        <v>0</v>
      </c>
      <c r="E3831" s="22">
        <f ca="1">IFERROR(__xludf.DUMMYFUNCTION("""COMPUTED_VALUE"""),500000)</f>
        <v>500000</v>
      </c>
      <c r="F3831" s="22">
        <f ca="1">IFERROR(__xludf.DUMMYFUNCTION("""COMPUTED_VALUE"""),500000)</f>
        <v>500000</v>
      </c>
      <c r="G3831" s="22">
        <f ca="1">IFERROR(__xludf.DUMMYFUNCTION("""COMPUTED_VALUE"""),0)</f>
        <v>0</v>
      </c>
      <c r="H3831" s="7">
        <f ca="1">IFERROR(__xludf.DUMMYFUNCTION("""COMPUTED_VALUE"""),500000)</f>
        <v>500000</v>
      </c>
    </row>
    <row r="3832" spans="1:8" ht="13" x14ac:dyDescent="0.15">
      <c r="A3832" s="5" t="str">
        <f ca="1">IFERROR(__xludf.DUMMYFUNCTION("""COMPUTED_VALUE"""),"75369")</f>
        <v>75369</v>
      </c>
      <c r="B3832" s="51">
        <f ca="1">IFERROR(__xludf.DUMMYFUNCTION("""COMPUTED_VALUE"""),44607)</f>
        <v>44607</v>
      </c>
      <c r="C3832" s="22">
        <f ca="1">IFERROR(__xludf.DUMMYFUNCTION("""COMPUTED_VALUE"""),500000)</f>
        <v>500000</v>
      </c>
      <c r="D3832" s="22">
        <f ca="1">IFERROR(__xludf.DUMMYFUNCTION("""COMPUTED_VALUE"""),0)</f>
        <v>0</v>
      </c>
      <c r="E3832" s="22">
        <f ca="1">IFERROR(__xludf.DUMMYFUNCTION("""COMPUTED_VALUE"""),500000)</f>
        <v>500000</v>
      </c>
      <c r="F3832" s="22">
        <f ca="1">IFERROR(__xludf.DUMMYFUNCTION("""COMPUTED_VALUE"""),500000)</f>
        <v>500000</v>
      </c>
      <c r="G3832" s="22">
        <f ca="1">IFERROR(__xludf.DUMMYFUNCTION("""COMPUTED_VALUE"""),0)</f>
        <v>0</v>
      </c>
      <c r="H3832" s="7">
        <f ca="1">IFERROR(__xludf.DUMMYFUNCTION("""COMPUTED_VALUE"""),500000)</f>
        <v>500000</v>
      </c>
    </row>
    <row r="3833" spans="1:8" ht="13" x14ac:dyDescent="0.15">
      <c r="A3833" s="5" t="str">
        <f ca="1">IFERROR(__xludf.DUMMYFUNCTION("""COMPUTED_VALUE"""),"75369")</f>
        <v>75369</v>
      </c>
      <c r="B3833" s="51">
        <f ca="1">IFERROR(__xludf.DUMMYFUNCTION("""COMPUTED_VALUE"""),44608)</f>
        <v>44608</v>
      </c>
      <c r="C3833" s="22">
        <f ca="1">IFERROR(__xludf.DUMMYFUNCTION("""COMPUTED_VALUE"""),500000)</f>
        <v>500000</v>
      </c>
      <c r="D3833" s="22">
        <f ca="1">IFERROR(__xludf.DUMMYFUNCTION("""COMPUTED_VALUE"""),0)</f>
        <v>0</v>
      </c>
      <c r="E3833" s="22">
        <f ca="1">IFERROR(__xludf.DUMMYFUNCTION("""COMPUTED_VALUE"""),500000)</f>
        <v>500000</v>
      </c>
      <c r="F3833" s="22">
        <f ca="1">IFERROR(__xludf.DUMMYFUNCTION("""COMPUTED_VALUE"""),500000)</f>
        <v>500000</v>
      </c>
      <c r="G3833" s="22">
        <f ca="1">IFERROR(__xludf.DUMMYFUNCTION("""COMPUTED_VALUE"""),0)</f>
        <v>0</v>
      </c>
      <c r="H3833" s="7">
        <f ca="1">IFERROR(__xludf.DUMMYFUNCTION("""COMPUTED_VALUE"""),500000)</f>
        <v>500000</v>
      </c>
    </row>
    <row r="3834" spans="1:8" ht="13" x14ac:dyDescent="0.15">
      <c r="A3834" s="5" t="str">
        <f ca="1">IFERROR(__xludf.DUMMYFUNCTION("""COMPUTED_VALUE"""),"75369")</f>
        <v>75369</v>
      </c>
      <c r="B3834" s="51">
        <f ca="1">IFERROR(__xludf.DUMMYFUNCTION("""COMPUTED_VALUE"""),44609)</f>
        <v>44609</v>
      </c>
      <c r="C3834" s="22">
        <f ca="1">IFERROR(__xludf.DUMMYFUNCTION("""COMPUTED_VALUE"""),500000)</f>
        <v>500000</v>
      </c>
      <c r="D3834" s="22">
        <f ca="1">IFERROR(__xludf.DUMMYFUNCTION("""COMPUTED_VALUE"""),0)</f>
        <v>0</v>
      </c>
      <c r="E3834" s="22">
        <f ca="1">IFERROR(__xludf.DUMMYFUNCTION("""COMPUTED_VALUE"""),500000)</f>
        <v>500000</v>
      </c>
      <c r="F3834" s="22">
        <f ca="1">IFERROR(__xludf.DUMMYFUNCTION("""COMPUTED_VALUE"""),500000)</f>
        <v>500000</v>
      </c>
      <c r="G3834" s="22">
        <f ca="1">IFERROR(__xludf.DUMMYFUNCTION("""COMPUTED_VALUE"""),0)</f>
        <v>0</v>
      </c>
      <c r="H3834" s="7">
        <f ca="1">IFERROR(__xludf.DUMMYFUNCTION("""COMPUTED_VALUE"""),500000)</f>
        <v>500000</v>
      </c>
    </row>
    <row r="3835" spans="1:8" ht="13" x14ac:dyDescent="0.15">
      <c r="A3835" s="5" t="str">
        <f ca="1">IFERROR(__xludf.DUMMYFUNCTION("""COMPUTED_VALUE"""),"75369")</f>
        <v>75369</v>
      </c>
      <c r="B3835" s="51">
        <f ca="1">IFERROR(__xludf.DUMMYFUNCTION("""COMPUTED_VALUE"""),44610)</f>
        <v>44610</v>
      </c>
      <c r="C3835" s="22">
        <f ca="1">IFERROR(__xludf.DUMMYFUNCTION("""COMPUTED_VALUE"""),500000)</f>
        <v>500000</v>
      </c>
      <c r="D3835" s="22">
        <f ca="1">IFERROR(__xludf.DUMMYFUNCTION("""COMPUTED_VALUE"""),0)</f>
        <v>0</v>
      </c>
      <c r="E3835" s="22">
        <f ca="1">IFERROR(__xludf.DUMMYFUNCTION("""COMPUTED_VALUE"""),500000)</f>
        <v>500000</v>
      </c>
      <c r="F3835" s="22">
        <f ca="1">IFERROR(__xludf.DUMMYFUNCTION("""COMPUTED_VALUE"""),500000)</f>
        <v>500000</v>
      </c>
      <c r="G3835" s="22">
        <f ca="1">IFERROR(__xludf.DUMMYFUNCTION("""COMPUTED_VALUE"""),0)</f>
        <v>0</v>
      </c>
      <c r="H3835" s="7">
        <f ca="1">IFERROR(__xludf.DUMMYFUNCTION("""COMPUTED_VALUE"""),500000)</f>
        <v>500000</v>
      </c>
    </row>
    <row r="3836" spans="1:8" ht="13" x14ac:dyDescent="0.15">
      <c r="A3836" s="5" t="str">
        <f ca="1">IFERROR(__xludf.DUMMYFUNCTION("""COMPUTED_VALUE"""),"75369")</f>
        <v>75369</v>
      </c>
      <c r="B3836" s="51">
        <f ca="1">IFERROR(__xludf.DUMMYFUNCTION("""COMPUTED_VALUE"""),44611)</f>
        <v>44611</v>
      </c>
      <c r="C3836" s="22">
        <f ca="1">IFERROR(__xludf.DUMMYFUNCTION("""COMPUTED_VALUE"""),500000)</f>
        <v>500000</v>
      </c>
      <c r="D3836" s="22">
        <f ca="1">IFERROR(__xludf.DUMMYFUNCTION("""COMPUTED_VALUE"""),0)</f>
        <v>0</v>
      </c>
      <c r="E3836" s="22">
        <f ca="1">IFERROR(__xludf.DUMMYFUNCTION("""COMPUTED_VALUE"""),500000)</f>
        <v>500000</v>
      </c>
      <c r="F3836" s="22">
        <f ca="1">IFERROR(__xludf.DUMMYFUNCTION("""COMPUTED_VALUE"""),500000)</f>
        <v>500000</v>
      </c>
      <c r="G3836" s="22">
        <f ca="1">IFERROR(__xludf.DUMMYFUNCTION("""COMPUTED_VALUE"""),0)</f>
        <v>0</v>
      </c>
      <c r="H3836" s="7">
        <f ca="1">IFERROR(__xludf.DUMMYFUNCTION("""COMPUTED_VALUE"""),500000)</f>
        <v>500000</v>
      </c>
    </row>
    <row r="3837" spans="1:8" ht="13" x14ac:dyDescent="0.15">
      <c r="A3837" s="5" t="str">
        <f ca="1">IFERROR(__xludf.DUMMYFUNCTION("""COMPUTED_VALUE"""),"75369")</f>
        <v>75369</v>
      </c>
      <c r="B3837" s="51">
        <f ca="1">IFERROR(__xludf.DUMMYFUNCTION("""COMPUTED_VALUE"""),44612)</f>
        <v>44612</v>
      </c>
      <c r="C3837" s="22">
        <f ca="1">IFERROR(__xludf.DUMMYFUNCTION("""COMPUTED_VALUE"""),500000)</f>
        <v>500000</v>
      </c>
      <c r="D3837" s="22">
        <f ca="1">IFERROR(__xludf.DUMMYFUNCTION("""COMPUTED_VALUE"""),0)</f>
        <v>0</v>
      </c>
      <c r="E3837" s="22">
        <f ca="1">IFERROR(__xludf.DUMMYFUNCTION("""COMPUTED_VALUE"""),500000)</f>
        <v>500000</v>
      </c>
      <c r="F3837" s="22">
        <f ca="1">IFERROR(__xludf.DUMMYFUNCTION("""COMPUTED_VALUE"""),500000)</f>
        <v>500000</v>
      </c>
      <c r="G3837" s="22">
        <f ca="1">IFERROR(__xludf.DUMMYFUNCTION("""COMPUTED_VALUE"""),0)</f>
        <v>0</v>
      </c>
      <c r="H3837" s="7">
        <f ca="1">IFERROR(__xludf.DUMMYFUNCTION("""COMPUTED_VALUE"""),500000)</f>
        <v>500000</v>
      </c>
    </row>
    <row r="3838" spans="1:8" ht="13" x14ac:dyDescent="0.15">
      <c r="A3838" s="5" t="str">
        <f ca="1">IFERROR(__xludf.DUMMYFUNCTION("""COMPUTED_VALUE"""),"75369")</f>
        <v>75369</v>
      </c>
      <c r="B3838" s="51">
        <f ca="1">IFERROR(__xludf.DUMMYFUNCTION("""COMPUTED_VALUE"""),44613)</f>
        <v>44613</v>
      </c>
      <c r="C3838" s="22">
        <f ca="1">IFERROR(__xludf.DUMMYFUNCTION("""COMPUTED_VALUE"""),500000)</f>
        <v>500000</v>
      </c>
      <c r="D3838" s="22">
        <f ca="1">IFERROR(__xludf.DUMMYFUNCTION("""COMPUTED_VALUE"""),0)</f>
        <v>0</v>
      </c>
      <c r="E3838" s="22">
        <f ca="1">IFERROR(__xludf.DUMMYFUNCTION("""COMPUTED_VALUE"""),500000)</f>
        <v>500000</v>
      </c>
      <c r="F3838" s="22">
        <f ca="1">IFERROR(__xludf.DUMMYFUNCTION("""COMPUTED_VALUE"""),500000)</f>
        <v>500000</v>
      </c>
      <c r="G3838" s="22">
        <f ca="1">IFERROR(__xludf.DUMMYFUNCTION("""COMPUTED_VALUE"""),0)</f>
        <v>0</v>
      </c>
      <c r="H3838" s="7">
        <f ca="1">IFERROR(__xludf.DUMMYFUNCTION("""COMPUTED_VALUE"""),500000)</f>
        <v>500000</v>
      </c>
    </row>
    <row r="3839" spans="1:8" ht="13" x14ac:dyDescent="0.15">
      <c r="A3839" s="5" t="str">
        <f ca="1">IFERROR(__xludf.DUMMYFUNCTION("""COMPUTED_VALUE"""),"75369")</f>
        <v>75369</v>
      </c>
      <c r="B3839" s="51">
        <f ca="1">IFERROR(__xludf.DUMMYFUNCTION("""COMPUTED_VALUE"""),44614)</f>
        <v>44614</v>
      </c>
      <c r="C3839" s="22">
        <f ca="1">IFERROR(__xludf.DUMMYFUNCTION("""COMPUTED_VALUE"""),500000)</f>
        <v>500000</v>
      </c>
      <c r="D3839" s="22">
        <f ca="1">IFERROR(__xludf.DUMMYFUNCTION("""COMPUTED_VALUE"""),0)</f>
        <v>0</v>
      </c>
      <c r="E3839" s="22">
        <f ca="1">IFERROR(__xludf.DUMMYFUNCTION("""COMPUTED_VALUE"""),500000)</f>
        <v>500000</v>
      </c>
      <c r="F3839" s="22">
        <f ca="1">IFERROR(__xludf.DUMMYFUNCTION("""COMPUTED_VALUE"""),500000)</f>
        <v>500000</v>
      </c>
      <c r="G3839" s="22">
        <f ca="1">IFERROR(__xludf.DUMMYFUNCTION("""COMPUTED_VALUE"""),0)</f>
        <v>0</v>
      </c>
      <c r="H3839" s="7">
        <f ca="1">IFERROR(__xludf.DUMMYFUNCTION("""COMPUTED_VALUE"""),500000)</f>
        <v>500000</v>
      </c>
    </row>
    <row r="3840" spans="1:8" ht="13" x14ac:dyDescent="0.15">
      <c r="A3840" s="5" t="str">
        <f ca="1">IFERROR(__xludf.DUMMYFUNCTION("""COMPUTED_VALUE"""),"75369")</f>
        <v>75369</v>
      </c>
      <c r="B3840" s="51">
        <f ca="1">IFERROR(__xludf.DUMMYFUNCTION("""COMPUTED_VALUE"""),44615)</f>
        <v>44615</v>
      </c>
      <c r="C3840" s="22">
        <f ca="1">IFERROR(__xludf.DUMMYFUNCTION("""COMPUTED_VALUE"""),500000)</f>
        <v>500000</v>
      </c>
      <c r="D3840" s="22">
        <f ca="1">IFERROR(__xludf.DUMMYFUNCTION("""COMPUTED_VALUE"""),0)</f>
        <v>0</v>
      </c>
      <c r="E3840" s="22">
        <f ca="1">IFERROR(__xludf.DUMMYFUNCTION("""COMPUTED_VALUE"""),500000)</f>
        <v>500000</v>
      </c>
      <c r="F3840" s="22">
        <f ca="1">IFERROR(__xludf.DUMMYFUNCTION("""COMPUTED_VALUE"""),500000)</f>
        <v>500000</v>
      </c>
      <c r="G3840" s="22">
        <f ca="1">IFERROR(__xludf.DUMMYFUNCTION("""COMPUTED_VALUE"""),0)</f>
        <v>0</v>
      </c>
      <c r="H3840" s="7">
        <f ca="1">IFERROR(__xludf.DUMMYFUNCTION("""COMPUTED_VALUE"""),500000)</f>
        <v>500000</v>
      </c>
    </row>
    <row r="3841" spans="1:8" ht="13" x14ac:dyDescent="0.15">
      <c r="A3841" s="5" t="str">
        <f ca="1">IFERROR(__xludf.DUMMYFUNCTION("""COMPUTED_VALUE"""),"75369")</f>
        <v>75369</v>
      </c>
      <c r="B3841" s="51">
        <f ca="1">IFERROR(__xludf.DUMMYFUNCTION("""COMPUTED_VALUE"""),44616)</f>
        <v>44616</v>
      </c>
      <c r="C3841" s="22">
        <f ca="1">IFERROR(__xludf.DUMMYFUNCTION("""COMPUTED_VALUE"""),500000)</f>
        <v>500000</v>
      </c>
      <c r="D3841" s="22">
        <f ca="1">IFERROR(__xludf.DUMMYFUNCTION("""COMPUTED_VALUE"""),0)</f>
        <v>0</v>
      </c>
      <c r="E3841" s="22">
        <f ca="1">IFERROR(__xludf.DUMMYFUNCTION("""COMPUTED_VALUE"""),500000)</f>
        <v>500000</v>
      </c>
      <c r="F3841" s="22">
        <f ca="1">IFERROR(__xludf.DUMMYFUNCTION("""COMPUTED_VALUE"""),500000)</f>
        <v>500000</v>
      </c>
      <c r="G3841" s="22">
        <f ca="1">IFERROR(__xludf.DUMMYFUNCTION("""COMPUTED_VALUE"""),0)</f>
        <v>0</v>
      </c>
      <c r="H3841" s="7">
        <f ca="1">IFERROR(__xludf.DUMMYFUNCTION("""COMPUTED_VALUE"""),500000)</f>
        <v>500000</v>
      </c>
    </row>
    <row r="3842" spans="1:8" ht="13" x14ac:dyDescent="0.15">
      <c r="A3842" s="5" t="str">
        <f ca="1">IFERROR(__xludf.DUMMYFUNCTION("""COMPUTED_VALUE"""),"75369")</f>
        <v>75369</v>
      </c>
      <c r="B3842" s="51">
        <f ca="1">IFERROR(__xludf.DUMMYFUNCTION("""COMPUTED_VALUE"""),44617)</f>
        <v>44617</v>
      </c>
      <c r="C3842" s="22">
        <f ca="1">IFERROR(__xludf.DUMMYFUNCTION("""COMPUTED_VALUE"""),500000)</f>
        <v>500000</v>
      </c>
      <c r="D3842" s="22">
        <f ca="1">IFERROR(__xludf.DUMMYFUNCTION("""COMPUTED_VALUE"""),0)</f>
        <v>0</v>
      </c>
      <c r="E3842" s="22">
        <f ca="1">IFERROR(__xludf.DUMMYFUNCTION("""COMPUTED_VALUE"""),500000)</f>
        <v>500000</v>
      </c>
      <c r="F3842" s="22">
        <f ca="1">IFERROR(__xludf.DUMMYFUNCTION("""COMPUTED_VALUE"""),500000)</f>
        <v>500000</v>
      </c>
      <c r="G3842" s="22">
        <f ca="1">IFERROR(__xludf.DUMMYFUNCTION("""COMPUTED_VALUE"""),0)</f>
        <v>0</v>
      </c>
      <c r="H3842" s="7">
        <f ca="1">IFERROR(__xludf.DUMMYFUNCTION("""COMPUTED_VALUE"""),500000)</f>
        <v>500000</v>
      </c>
    </row>
    <row r="3843" spans="1:8" ht="13" x14ac:dyDescent="0.15">
      <c r="A3843" s="5" t="str">
        <f ca="1">IFERROR(__xludf.DUMMYFUNCTION("""COMPUTED_VALUE"""),"75369")</f>
        <v>75369</v>
      </c>
      <c r="B3843" s="51">
        <f ca="1">IFERROR(__xludf.DUMMYFUNCTION("""COMPUTED_VALUE"""),44618)</f>
        <v>44618</v>
      </c>
      <c r="C3843" s="22">
        <f ca="1">IFERROR(__xludf.DUMMYFUNCTION("""COMPUTED_VALUE"""),500000)</f>
        <v>500000</v>
      </c>
      <c r="D3843" s="22">
        <f ca="1">IFERROR(__xludf.DUMMYFUNCTION("""COMPUTED_VALUE"""),0)</f>
        <v>0</v>
      </c>
      <c r="E3843" s="22">
        <f ca="1">IFERROR(__xludf.DUMMYFUNCTION("""COMPUTED_VALUE"""),500000)</f>
        <v>500000</v>
      </c>
      <c r="F3843" s="22">
        <f ca="1">IFERROR(__xludf.DUMMYFUNCTION("""COMPUTED_VALUE"""),500000)</f>
        <v>500000</v>
      </c>
      <c r="G3843" s="22">
        <f ca="1">IFERROR(__xludf.DUMMYFUNCTION("""COMPUTED_VALUE"""),0)</f>
        <v>0</v>
      </c>
      <c r="H3843" s="7">
        <f ca="1">IFERROR(__xludf.DUMMYFUNCTION("""COMPUTED_VALUE"""),500000)</f>
        <v>500000</v>
      </c>
    </row>
    <row r="3844" spans="1:8" ht="13" x14ac:dyDescent="0.15">
      <c r="A3844" s="5" t="str">
        <f ca="1">IFERROR(__xludf.DUMMYFUNCTION("""COMPUTED_VALUE"""),"75369")</f>
        <v>75369</v>
      </c>
      <c r="B3844" s="51">
        <f ca="1">IFERROR(__xludf.DUMMYFUNCTION("""COMPUTED_VALUE"""),44619)</f>
        <v>44619</v>
      </c>
      <c r="C3844" s="22">
        <f ca="1">IFERROR(__xludf.DUMMYFUNCTION("""COMPUTED_VALUE"""),500000)</f>
        <v>500000</v>
      </c>
      <c r="D3844" s="22">
        <f ca="1">IFERROR(__xludf.DUMMYFUNCTION("""COMPUTED_VALUE"""),0)</f>
        <v>0</v>
      </c>
      <c r="E3844" s="22">
        <f ca="1">IFERROR(__xludf.DUMMYFUNCTION("""COMPUTED_VALUE"""),500000)</f>
        <v>500000</v>
      </c>
      <c r="F3844" s="22">
        <f ca="1">IFERROR(__xludf.DUMMYFUNCTION("""COMPUTED_VALUE"""),500000)</f>
        <v>500000</v>
      </c>
      <c r="G3844" s="22">
        <f ca="1">IFERROR(__xludf.DUMMYFUNCTION("""COMPUTED_VALUE"""),0)</f>
        <v>0</v>
      </c>
      <c r="H3844" s="7">
        <f ca="1">IFERROR(__xludf.DUMMYFUNCTION("""COMPUTED_VALUE"""),500000)</f>
        <v>500000</v>
      </c>
    </row>
    <row r="3845" spans="1:8" ht="13" x14ac:dyDescent="0.15">
      <c r="A3845" s="5" t="str">
        <f ca="1">IFERROR(__xludf.DUMMYFUNCTION("""COMPUTED_VALUE"""),"75369")</f>
        <v>75369</v>
      </c>
      <c r="B3845" s="51">
        <f ca="1">IFERROR(__xludf.DUMMYFUNCTION("""COMPUTED_VALUE"""),44620)</f>
        <v>44620</v>
      </c>
      <c r="C3845" s="22">
        <f ca="1">IFERROR(__xludf.DUMMYFUNCTION("""COMPUTED_VALUE"""),500000)</f>
        <v>500000</v>
      </c>
      <c r="D3845" s="22">
        <f ca="1">IFERROR(__xludf.DUMMYFUNCTION("""COMPUTED_VALUE"""),0)</f>
        <v>0</v>
      </c>
      <c r="E3845" s="22">
        <f ca="1">IFERROR(__xludf.DUMMYFUNCTION("""COMPUTED_VALUE"""),500000)</f>
        <v>500000</v>
      </c>
      <c r="F3845" s="22">
        <f ca="1">IFERROR(__xludf.DUMMYFUNCTION("""COMPUTED_VALUE"""),500000)</f>
        <v>500000</v>
      </c>
      <c r="G3845" s="22">
        <f ca="1">IFERROR(__xludf.DUMMYFUNCTION("""COMPUTED_VALUE"""),0)</f>
        <v>0</v>
      </c>
      <c r="H3845" s="7">
        <f ca="1">IFERROR(__xludf.DUMMYFUNCTION("""COMPUTED_VALUE"""),500000)</f>
        <v>500000</v>
      </c>
    </row>
    <row r="3846" spans="1:8" ht="13" x14ac:dyDescent="0.15">
      <c r="A3846" s="5" t="str">
        <f ca="1">IFERROR(__xludf.DUMMYFUNCTION("""COMPUTED_VALUE"""),"75369")</f>
        <v>75369</v>
      </c>
      <c r="B3846" s="51">
        <f ca="1">IFERROR(__xludf.DUMMYFUNCTION("""COMPUTED_VALUE"""),44621)</f>
        <v>44621</v>
      </c>
      <c r="C3846" s="22">
        <f ca="1">IFERROR(__xludf.DUMMYFUNCTION("""COMPUTED_VALUE"""),500000)</f>
        <v>500000</v>
      </c>
      <c r="D3846" s="22">
        <f ca="1">IFERROR(__xludf.DUMMYFUNCTION("""COMPUTED_VALUE"""),0)</f>
        <v>0</v>
      </c>
      <c r="E3846" s="22">
        <f ca="1">IFERROR(__xludf.DUMMYFUNCTION("""COMPUTED_VALUE"""),500000)</f>
        <v>500000</v>
      </c>
      <c r="F3846" s="22">
        <f ca="1">IFERROR(__xludf.DUMMYFUNCTION("""COMPUTED_VALUE"""),500000)</f>
        <v>500000</v>
      </c>
      <c r="G3846" s="22">
        <f ca="1">IFERROR(__xludf.DUMMYFUNCTION("""COMPUTED_VALUE"""),0)</f>
        <v>0</v>
      </c>
      <c r="H3846" s="7">
        <f ca="1">IFERROR(__xludf.DUMMYFUNCTION("""COMPUTED_VALUE"""),500000)</f>
        <v>500000</v>
      </c>
    </row>
    <row r="3847" spans="1:8" ht="13" x14ac:dyDescent="0.15">
      <c r="A3847" s="5" t="str">
        <f ca="1">IFERROR(__xludf.DUMMYFUNCTION("""COMPUTED_VALUE"""),"75369")</f>
        <v>75369</v>
      </c>
      <c r="B3847" s="51">
        <f ca="1">IFERROR(__xludf.DUMMYFUNCTION("""COMPUTED_VALUE"""),44622)</f>
        <v>44622</v>
      </c>
      <c r="C3847" s="22">
        <f ca="1">IFERROR(__xludf.DUMMYFUNCTION("""COMPUTED_VALUE"""),500000)</f>
        <v>500000</v>
      </c>
      <c r="D3847" s="22">
        <f ca="1">IFERROR(__xludf.DUMMYFUNCTION("""COMPUTED_VALUE"""),0)</f>
        <v>0</v>
      </c>
      <c r="E3847" s="22">
        <f ca="1">IFERROR(__xludf.DUMMYFUNCTION("""COMPUTED_VALUE"""),500000)</f>
        <v>500000</v>
      </c>
      <c r="F3847" s="22">
        <f ca="1">IFERROR(__xludf.DUMMYFUNCTION("""COMPUTED_VALUE"""),500000)</f>
        <v>500000</v>
      </c>
      <c r="G3847" s="22">
        <f ca="1">IFERROR(__xludf.DUMMYFUNCTION("""COMPUTED_VALUE"""),0)</f>
        <v>0</v>
      </c>
      <c r="H3847" s="7">
        <f ca="1">IFERROR(__xludf.DUMMYFUNCTION("""COMPUTED_VALUE"""),500000)</f>
        <v>500000</v>
      </c>
    </row>
    <row r="3848" spans="1:8" ht="13" x14ac:dyDescent="0.15">
      <c r="A3848" s="5" t="str">
        <f ca="1">IFERROR(__xludf.DUMMYFUNCTION("""COMPUTED_VALUE"""),"75369")</f>
        <v>75369</v>
      </c>
      <c r="B3848" s="51">
        <f ca="1">IFERROR(__xludf.DUMMYFUNCTION("""COMPUTED_VALUE"""),44623)</f>
        <v>44623</v>
      </c>
      <c r="C3848" s="22">
        <f ca="1">IFERROR(__xludf.DUMMYFUNCTION("""COMPUTED_VALUE"""),500000)</f>
        <v>500000</v>
      </c>
      <c r="D3848" s="22">
        <f ca="1">IFERROR(__xludf.DUMMYFUNCTION("""COMPUTED_VALUE"""),0)</f>
        <v>0</v>
      </c>
      <c r="E3848" s="22">
        <f ca="1">IFERROR(__xludf.DUMMYFUNCTION("""COMPUTED_VALUE"""),500000)</f>
        <v>500000</v>
      </c>
      <c r="F3848" s="22">
        <f ca="1">IFERROR(__xludf.DUMMYFUNCTION("""COMPUTED_VALUE"""),500000)</f>
        <v>500000</v>
      </c>
      <c r="G3848" s="22">
        <f ca="1">IFERROR(__xludf.DUMMYFUNCTION("""COMPUTED_VALUE"""),0)</f>
        <v>0</v>
      </c>
      <c r="H3848" s="7">
        <f ca="1">IFERROR(__xludf.DUMMYFUNCTION("""COMPUTED_VALUE"""),500000)</f>
        <v>500000</v>
      </c>
    </row>
    <row r="3849" spans="1:8" ht="13" x14ac:dyDescent="0.15">
      <c r="A3849" s="5" t="str">
        <f ca="1">IFERROR(__xludf.DUMMYFUNCTION("""COMPUTED_VALUE"""),"75369")</f>
        <v>75369</v>
      </c>
      <c r="B3849" s="51">
        <f ca="1">IFERROR(__xludf.DUMMYFUNCTION("""COMPUTED_VALUE"""),44624)</f>
        <v>44624</v>
      </c>
      <c r="C3849" s="22">
        <f ca="1">IFERROR(__xludf.DUMMYFUNCTION("""COMPUTED_VALUE"""),500000)</f>
        <v>500000</v>
      </c>
      <c r="D3849" s="22">
        <f ca="1">IFERROR(__xludf.DUMMYFUNCTION("""COMPUTED_VALUE"""),0)</f>
        <v>0</v>
      </c>
      <c r="E3849" s="22">
        <f ca="1">IFERROR(__xludf.DUMMYFUNCTION("""COMPUTED_VALUE"""),500000)</f>
        <v>500000</v>
      </c>
      <c r="F3849" s="22">
        <f ca="1">IFERROR(__xludf.DUMMYFUNCTION("""COMPUTED_VALUE"""),500000)</f>
        <v>500000</v>
      </c>
      <c r="G3849" s="22">
        <f ca="1">IFERROR(__xludf.DUMMYFUNCTION("""COMPUTED_VALUE"""),0)</f>
        <v>0</v>
      </c>
      <c r="H3849" s="7">
        <f ca="1">IFERROR(__xludf.DUMMYFUNCTION("""COMPUTED_VALUE"""),500000)</f>
        <v>500000</v>
      </c>
    </row>
    <row r="3850" spans="1:8" ht="13" x14ac:dyDescent="0.15">
      <c r="A3850" s="5" t="str">
        <f ca="1">IFERROR(__xludf.DUMMYFUNCTION("""COMPUTED_VALUE"""),"75369")</f>
        <v>75369</v>
      </c>
      <c r="B3850" s="51">
        <f ca="1">IFERROR(__xludf.DUMMYFUNCTION("""COMPUTED_VALUE"""),44625)</f>
        <v>44625</v>
      </c>
      <c r="C3850" s="22">
        <f ca="1">IFERROR(__xludf.DUMMYFUNCTION("""COMPUTED_VALUE"""),500000)</f>
        <v>500000</v>
      </c>
      <c r="D3850" s="22">
        <f ca="1">IFERROR(__xludf.DUMMYFUNCTION("""COMPUTED_VALUE"""),0)</f>
        <v>0</v>
      </c>
      <c r="E3850" s="22">
        <f ca="1">IFERROR(__xludf.DUMMYFUNCTION("""COMPUTED_VALUE"""),500000)</f>
        <v>500000</v>
      </c>
      <c r="F3850" s="22">
        <f ca="1">IFERROR(__xludf.DUMMYFUNCTION("""COMPUTED_VALUE"""),500000)</f>
        <v>500000</v>
      </c>
      <c r="G3850" s="22">
        <f ca="1">IFERROR(__xludf.DUMMYFUNCTION("""COMPUTED_VALUE"""),0)</f>
        <v>0</v>
      </c>
      <c r="H3850" s="7">
        <f ca="1">IFERROR(__xludf.DUMMYFUNCTION("""COMPUTED_VALUE"""),500000)</f>
        <v>500000</v>
      </c>
    </row>
    <row r="3851" spans="1:8" ht="13" x14ac:dyDescent="0.15">
      <c r="A3851" s="5" t="str">
        <f ca="1">IFERROR(__xludf.DUMMYFUNCTION("""COMPUTED_VALUE"""),"75369")</f>
        <v>75369</v>
      </c>
      <c r="B3851" s="51">
        <f ca="1">IFERROR(__xludf.DUMMYFUNCTION("""COMPUTED_VALUE"""),44626)</f>
        <v>44626</v>
      </c>
      <c r="C3851" s="22">
        <f ca="1">IFERROR(__xludf.DUMMYFUNCTION("""COMPUTED_VALUE"""),500000)</f>
        <v>500000</v>
      </c>
      <c r="D3851" s="22">
        <f ca="1">IFERROR(__xludf.DUMMYFUNCTION("""COMPUTED_VALUE"""),0)</f>
        <v>0</v>
      </c>
      <c r="E3851" s="22">
        <f ca="1">IFERROR(__xludf.DUMMYFUNCTION("""COMPUTED_VALUE"""),500000)</f>
        <v>500000</v>
      </c>
      <c r="F3851" s="22">
        <f ca="1">IFERROR(__xludf.DUMMYFUNCTION("""COMPUTED_VALUE"""),500000)</f>
        <v>500000</v>
      </c>
      <c r="G3851" s="22">
        <f ca="1">IFERROR(__xludf.DUMMYFUNCTION("""COMPUTED_VALUE"""),0)</f>
        <v>0</v>
      </c>
      <c r="H3851" s="7">
        <f ca="1">IFERROR(__xludf.DUMMYFUNCTION("""COMPUTED_VALUE"""),500000)</f>
        <v>500000</v>
      </c>
    </row>
    <row r="3852" spans="1:8" ht="13" x14ac:dyDescent="0.15">
      <c r="A3852" s="5" t="str">
        <f ca="1">IFERROR(__xludf.DUMMYFUNCTION("""COMPUTED_VALUE"""),"75369")</f>
        <v>75369</v>
      </c>
      <c r="B3852" s="51">
        <f ca="1">IFERROR(__xludf.DUMMYFUNCTION("""COMPUTED_VALUE"""),44627)</f>
        <v>44627</v>
      </c>
      <c r="C3852" s="22">
        <f ca="1">IFERROR(__xludf.DUMMYFUNCTION("""COMPUTED_VALUE"""),500000)</f>
        <v>500000</v>
      </c>
      <c r="D3852" s="22">
        <f ca="1">IFERROR(__xludf.DUMMYFUNCTION("""COMPUTED_VALUE"""),0)</f>
        <v>0</v>
      </c>
      <c r="E3852" s="22">
        <f ca="1">IFERROR(__xludf.DUMMYFUNCTION("""COMPUTED_VALUE"""),500000)</f>
        <v>500000</v>
      </c>
      <c r="F3852" s="22">
        <f ca="1">IFERROR(__xludf.DUMMYFUNCTION("""COMPUTED_VALUE"""),500000)</f>
        <v>500000</v>
      </c>
      <c r="G3852" s="22">
        <f ca="1">IFERROR(__xludf.DUMMYFUNCTION("""COMPUTED_VALUE"""),0)</f>
        <v>0</v>
      </c>
      <c r="H3852" s="7">
        <f ca="1">IFERROR(__xludf.DUMMYFUNCTION("""COMPUTED_VALUE"""),500000)</f>
        <v>500000</v>
      </c>
    </row>
    <row r="3853" spans="1:8" ht="13" x14ac:dyDescent="0.15">
      <c r="A3853" s="5" t="str">
        <f ca="1">IFERROR(__xludf.DUMMYFUNCTION("""COMPUTED_VALUE"""),"75369")</f>
        <v>75369</v>
      </c>
      <c r="B3853" s="51">
        <f ca="1">IFERROR(__xludf.DUMMYFUNCTION("""COMPUTED_VALUE"""),44628)</f>
        <v>44628</v>
      </c>
      <c r="C3853" s="22">
        <f ca="1">IFERROR(__xludf.DUMMYFUNCTION("""COMPUTED_VALUE"""),500000)</f>
        <v>500000</v>
      </c>
      <c r="D3853" s="22">
        <f ca="1">IFERROR(__xludf.DUMMYFUNCTION("""COMPUTED_VALUE"""),0)</f>
        <v>0</v>
      </c>
      <c r="E3853" s="22">
        <f ca="1">IFERROR(__xludf.DUMMYFUNCTION("""COMPUTED_VALUE"""),500000)</f>
        <v>500000</v>
      </c>
      <c r="F3853" s="22">
        <f ca="1">IFERROR(__xludf.DUMMYFUNCTION("""COMPUTED_VALUE"""),500000)</f>
        <v>500000</v>
      </c>
      <c r="G3853" s="22">
        <f ca="1">IFERROR(__xludf.DUMMYFUNCTION("""COMPUTED_VALUE"""),0)</f>
        <v>0</v>
      </c>
      <c r="H3853" s="7">
        <f ca="1">IFERROR(__xludf.DUMMYFUNCTION("""COMPUTED_VALUE"""),500000)</f>
        <v>500000</v>
      </c>
    </row>
    <row r="3854" spans="1:8" ht="13" x14ac:dyDescent="0.15">
      <c r="A3854" s="5" t="str">
        <f ca="1">IFERROR(__xludf.DUMMYFUNCTION("""COMPUTED_VALUE"""),"75369")</f>
        <v>75369</v>
      </c>
      <c r="B3854" s="51">
        <f ca="1">IFERROR(__xludf.DUMMYFUNCTION("""COMPUTED_VALUE"""),44629)</f>
        <v>44629</v>
      </c>
      <c r="C3854" s="22">
        <f ca="1">IFERROR(__xludf.DUMMYFUNCTION("""COMPUTED_VALUE"""),500000)</f>
        <v>500000</v>
      </c>
      <c r="D3854" s="22">
        <f ca="1">IFERROR(__xludf.DUMMYFUNCTION("""COMPUTED_VALUE"""),0)</f>
        <v>0</v>
      </c>
      <c r="E3854" s="22">
        <f ca="1">IFERROR(__xludf.DUMMYFUNCTION("""COMPUTED_VALUE"""),500000)</f>
        <v>500000</v>
      </c>
      <c r="F3854" s="22">
        <f ca="1">IFERROR(__xludf.DUMMYFUNCTION("""COMPUTED_VALUE"""),500000)</f>
        <v>500000</v>
      </c>
      <c r="G3854" s="22">
        <f ca="1">IFERROR(__xludf.DUMMYFUNCTION("""COMPUTED_VALUE"""),0)</f>
        <v>0</v>
      </c>
      <c r="H3854" s="7">
        <f ca="1">IFERROR(__xludf.DUMMYFUNCTION("""COMPUTED_VALUE"""),500000)</f>
        <v>500000</v>
      </c>
    </row>
    <row r="3855" spans="1:8" ht="13" x14ac:dyDescent="0.15">
      <c r="A3855" s="5" t="str">
        <f ca="1">IFERROR(__xludf.DUMMYFUNCTION("""COMPUTED_VALUE"""),"75369")</f>
        <v>75369</v>
      </c>
      <c r="B3855" s="51">
        <f ca="1">IFERROR(__xludf.DUMMYFUNCTION("""COMPUTED_VALUE"""),44630)</f>
        <v>44630</v>
      </c>
      <c r="C3855" s="22">
        <f ca="1">IFERROR(__xludf.DUMMYFUNCTION("""COMPUTED_VALUE"""),500000)</f>
        <v>500000</v>
      </c>
      <c r="D3855" s="22">
        <f ca="1">IFERROR(__xludf.DUMMYFUNCTION("""COMPUTED_VALUE"""),0)</f>
        <v>0</v>
      </c>
      <c r="E3855" s="22">
        <f ca="1">IFERROR(__xludf.DUMMYFUNCTION("""COMPUTED_VALUE"""),500000)</f>
        <v>500000</v>
      </c>
      <c r="F3855" s="22">
        <f ca="1">IFERROR(__xludf.DUMMYFUNCTION("""COMPUTED_VALUE"""),500000)</f>
        <v>500000</v>
      </c>
      <c r="G3855" s="22">
        <f ca="1">IFERROR(__xludf.DUMMYFUNCTION("""COMPUTED_VALUE"""),0)</f>
        <v>0</v>
      </c>
      <c r="H3855" s="7">
        <f ca="1">IFERROR(__xludf.DUMMYFUNCTION("""COMPUTED_VALUE"""),500000)</f>
        <v>500000</v>
      </c>
    </row>
    <row r="3856" spans="1:8" ht="13" x14ac:dyDescent="0.15">
      <c r="A3856" s="5" t="str">
        <f ca="1">IFERROR(__xludf.DUMMYFUNCTION("""COMPUTED_VALUE"""),"75369")</f>
        <v>75369</v>
      </c>
      <c r="B3856" s="51">
        <f ca="1">IFERROR(__xludf.DUMMYFUNCTION("""COMPUTED_VALUE"""),44631)</f>
        <v>44631</v>
      </c>
      <c r="C3856" s="22">
        <f ca="1">IFERROR(__xludf.DUMMYFUNCTION("""COMPUTED_VALUE"""),500000)</f>
        <v>500000</v>
      </c>
      <c r="D3856" s="22">
        <f ca="1">IFERROR(__xludf.DUMMYFUNCTION("""COMPUTED_VALUE"""),0)</f>
        <v>0</v>
      </c>
      <c r="E3856" s="22">
        <f ca="1">IFERROR(__xludf.DUMMYFUNCTION("""COMPUTED_VALUE"""),500000)</f>
        <v>500000</v>
      </c>
      <c r="F3856" s="22">
        <f ca="1">IFERROR(__xludf.DUMMYFUNCTION("""COMPUTED_VALUE"""),500000)</f>
        <v>500000</v>
      </c>
      <c r="G3856" s="22">
        <f ca="1">IFERROR(__xludf.DUMMYFUNCTION("""COMPUTED_VALUE"""),0)</f>
        <v>0</v>
      </c>
      <c r="H3856" s="7">
        <f ca="1">IFERROR(__xludf.DUMMYFUNCTION("""COMPUTED_VALUE"""),500000)</f>
        <v>500000</v>
      </c>
    </row>
    <row r="3857" spans="1:8" ht="13" x14ac:dyDescent="0.15">
      <c r="A3857" s="5" t="str">
        <f ca="1">IFERROR(__xludf.DUMMYFUNCTION("""COMPUTED_VALUE"""),"75369")</f>
        <v>75369</v>
      </c>
      <c r="B3857" s="51">
        <f ca="1">IFERROR(__xludf.DUMMYFUNCTION("""COMPUTED_VALUE"""),44632)</f>
        <v>44632</v>
      </c>
      <c r="C3857" s="22">
        <f ca="1">IFERROR(__xludf.DUMMYFUNCTION("""COMPUTED_VALUE"""),500000)</f>
        <v>500000</v>
      </c>
      <c r="D3857" s="22">
        <f ca="1">IFERROR(__xludf.DUMMYFUNCTION("""COMPUTED_VALUE"""),0)</f>
        <v>0</v>
      </c>
      <c r="E3857" s="22">
        <f ca="1">IFERROR(__xludf.DUMMYFUNCTION("""COMPUTED_VALUE"""),500000)</f>
        <v>500000</v>
      </c>
      <c r="F3857" s="22">
        <f ca="1">IFERROR(__xludf.DUMMYFUNCTION("""COMPUTED_VALUE"""),500000)</f>
        <v>500000</v>
      </c>
      <c r="G3857" s="22">
        <f ca="1">IFERROR(__xludf.DUMMYFUNCTION("""COMPUTED_VALUE"""),0)</f>
        <v>0</v>
      </c>
      <c r="H3857" s="7">
        <f ca="1">IFERROR(__xludf.DUMMYFUNCTION("""COMPUTED_VALUE"""),500000)</f>
        <v>500000</v>
      </c>
    </row>
    <row r="3858" spans="1:8" ht="13" x14ac:dyDescent="0.15">
      <c r="A3858" s="5" t="str">
        <f ca="1">IFERROR(__xludf.DUMMYFUNCTION("""COMPUTED_VALUE"""),"75369")</f>
        <v>75369</v>
      </c>
      <c r="B3858" s="51">
        <f ca="1">IFERROR(__xludf.DUMMYFUNCTION("""COMPUTED_VALUE"""),44633)</f>
        <v>44633</v>
      </c>
      <c r="C3858" s="22">
        <f ca="1">IFERROR(__xludf.DUMMYFUNCTION("""COMPUTED_VALUE"""),500000)</f>
        <v>500000</v>
      </c>
      <c r="D3858" s="22">
        <f ca="1">IFERROR(__xludf.DUMMYFUNCTION("""COMPUTED_VALUE"""),0)</f>
        <v>0</v>
      </c>
      <c r="E3858" s="22">
        <f ca="1">IFERROR(__xludf.DUMMYFUNCTION("""COMPUTED_VALUE"""),500000)</f>
        <v>500000</v>
      </c>
      <c r="F3858" s="22">
        <f ca="1">IFERROR(__xludf.DUMMYFUNCTION("""COMPUTED_VALUE"""),500000)</f>
        <v>500000</v>
      </c>
      <c r="G3858" s="22">
        <f ca="1">IFERROR(__xludf.DUMMYFUNCTION("""COMPUTED_VALUE"""),0)</f>
        <v>0</v>
      </c>
      <c r="H3858" s="7">
        <f ca="1">IFERROR(__xludf.DUMMYFUNCTION("""COMPUTED_VALUE"""),500000)</f>
        <v>500000</v>
      </c>
    </row>
    <row r="3859" spans="1:8" ht="13" x14ac:dyDescent="0.15">
      <c r="A3859" s="5" t="str">
        <f ca="1">IFERROR(__xludf.DUMMYFUNCTION("""COMPUTED_VALUE"""),"75369")</f>
        <v>75369</v>
      </c>
      <c r="B3859" s="51">
        <f ca="1">IFERROR(__xludf.DUMMYFUNCTION("""COMPUTED_VALUE"""),44634)</f>
        <v>44634</v>
      </c>
      <c r="C3859" s="22">
        <f ca="1">IFERROR(__xludf.DUMMYFUNCTION("""COMPUTED_VALUE"""),500000)</f>
        <v>500000</v>
      </c>
      <c r="D3859" s="22">
        <f ca="1">IFERROR(__xludf.DUMMYFUNCTION("""COMPUTED_VALUE"""),0)</f>
        <v>0</v>
      </c>
      <c r="E3859" s="22">
        <f ca="1">IFERROR(__xludf.DUMMYFUNCTION("""COMPUTED_VALUE"""),500000)</f>
        <v>500000</v>
      </c>
      <c r="F3859" s="22">
        <f ca="1">IFERROR(__xludf.DUMMYFUNCTION("""COMPUTED_VALUE"""),500000)</f>
        <v>500000</v>
      </c>
      <c r="G3859" s="22">
        <f ca="1">IFERROR(__xludf.DUMMYFUNCTION("""COMPUTED_VALUE"""),0)</f>
        <v>0</v>
      </c>
      <c r="H3859" s="7">
        <f ca="1">IFERROR(__xludf.DUMMYFUNCTION("""COMPUTED_VALUE"""),500000)</f>
        <v>500000</v>
      </c>
    </row>
    <row r="3860" spans="1:8" ht="13" x14ac:dyDescent="0.15">
      <c r="A3860" s="5" t="str">
        <f ca="1">IFERROR(__xludf.DUMMYFUNCTION("""COMPUTED_VALUE"""),"75369")</f>
        <v>75369</v>
      </c>
      <c r="B3860" s="51">
        <f ca="1">IFERROR(__xludf.DUMMYFUNCTION("""COMPUTED_VALUE"""),44635)</f>
        <v>44635</v>
      </c>
      <c r="C3860" s="22">
        <f ca="1">IFERROR(__xludf.DUMMYFUNCTION("""COMPUTED_VALUE"""),500000)</f>
        <v>500000</v>
      </c>
      <c r="D3860" s="22">
        <f ca="1">IFERROR(__xludf.DUMMYFUNCTION("""COMPUTED_VALUE"""),0)</f>
        <v>0</v>
      </c>
      <c r="E3860" s="22">
        <f ca="1">IFERROR(__xludf.DUMMYFUNCTION("""COMPUTED_VALUE"""),500000)</f>
        <v>500000</v>
      </c>
      <c r="F3860" s="22">
        <f ca="1">IFERROR(__xludf.DUMMYFUNCTION("""COMPUTED_VALUE"""),500000)</f>
        <v>500000</v>
      </c>
      <c r="G3860" s="22">
        <f ca="1">IFERROR(__xludf.DUMMYFUNCTION("""COMPUTED_VALUE"""),0)</f>
        <v>0</v>
      </c>
      <c r="H3860" s="7">
        <f ca="1">IFERROR(__xludf.DUMMYFUNCTION("""COMPUTED_VALUE"""),500000)</f>
        <v>500000</v>
      </c>
    </row>
    <row r="3861" spans="1:8" ht="13" x14ac:dyDescent="0.15">
      <c r="A3861" s="5" t="str">
        <f ca="1">IFERROR(__xludf.DUMMYFUNCTION("""COMPUTED_VALUE"""),"75369")</f>
        <v>75369</v>
      </c>
      <c r="B3861" s="51">
        <f ca="1">IFERROR(__xludf.DUMMYFUNCTION("""COMPUTED_VALUE"""),44636)</f>
        <v>44636</v>
      </c>
      <c r="C3861" s="22">
        <f ca="1">IFERROR(__xludf.DUMMYFUNCTION("""COMPUTED_VALUE"""),500000)</f>
        <v>500000</v>
      </c>
      <c r="D3861" s="22">
        <f ca="1">IFERROR(__xludf.DUMMYFUNCTION("""COMPUTED_VALUE"""),0)</f>
        <v>0</v>
      </c>
      <c r="E3861" s="22">
        <f ca="1">IFERROR(__xludf.DUMMYFUNCTION("""COMPUTED_VALUE"""),500000)</f>
        <v>500000</v>
      </c>
      <c r="F3861" s="22">
        <f ca="1">IFERROR(__xludf.DUMMYFUNCTION("""COMPUTED_VALUE"""),500000)</f>
        <v>500000</v>
      </c>
      <c r="G3861" s="22">
        <f ca="1">IFERROR(__xludf.DUMMYFUNCTION("""COMPUTED_VALUE"""),0)</f>
        <v>0</v>
      </c>
      <c r="H3861" s="7">
        <f ca="1">IFERROR(__xludf.DUMMYFUNCTION("""COMPUTED_VALUE"""),500000)</f>
        <v>500000</v>
      </c>
    </row>
    <row r="3862" spans="1:8" ht="13" x14ac:dyDescent="0.15">
      <c r="A3862" s="5" t="str">
        <f ca="1">IFERROR(__xludf.DUMMYFUNCTION("""COMPUTED_VALUE"""),"75369")</f>
        <v>75369</v>
      </c>
      <c r="B3862" s="51">
        <f ca="1">IFERROR(__xludf.DUMMYFUNCTION("""COMPUTED_VALUE"""),44637)</f>
        <v>44637</v>
      </c>
      <c r="C3862" s="22">
        <f ca="1">IFERROR(__xludf.DUMMYFUNCTION("""COMPUTED_VALUE"""),500000)</f>
        <v>500000</v>
      </c>
      <c r="D3862" s="22">
        <f ca="1">IFERROR(__xludf.DUMMYFUNCTION("""COMPUTED_VALUE"""),0)</f>
        <v>0</v>
      </c>
      <c r="E3862" s="22">
        <f ca="1">IFERROR(__xludf.DUMMYFUNCTION("""COMPUTED_VALUE"""),500000)</f>
        <v>500000</v>
      </c>
      <c r="F3862" s="22">
        <f ca="1">IFERROR(__xludf.DUMMYFUNCTION("""COMPUTED_VALUE"""),500000)</f>
        <v>500000</v>
      </c>
      <c r="G3862" s="22">
        <f ca="1">IFERROR(__xludf.DUMMYFUNCTION("""COMPUTED_VALUE"""),0)</f>
        <v>0</v>
      </c>
      <c r="H3862" s="7">
        <f ca="1">IFERROR(__xludf.DUMMYFUNCTION("""COMPUTED_VALUE"""),500000)</f>
        <v>500000</v>
      </c>
    </row>
    <row r="3863" spans="1:8" ht="13" x14ac:dyDescent="0.15">
      <c r="A3863" s="5" t="str">
        <f ca="1">IFERROR(__xludf.DUMMYFUNCTION("""COMPUTED_VALUE"""),"75369")</f>
        <v>75369</v>
      </c>
      <c r="B3863" s="51">
        <f ca="1">IFERROR(__xludf.DUMMYFUNCTION("""COMPUTED_VALUE"""),44638)</f>
        <v>44638</v>
      </c>
      <c r="C3863" s="22">
        <f ca="1">IFERROR(__xludf.DUMMYFUNCTION("""COMPUTED_VALUE"""),500000)</f>
        <v>500000</v>
      </c>
      <c r="D3863" s="22">
        <f ca="1">IFERROR(__xludf.DUMMYFUNCTION("""COMPUTED_VALUE"""),0)</f>
        <v>0</v>
      </c>
      <c r="E3863" s="22">
        <f ca="1">IFERROR(__xludf.DUMMYFUNCTION("""COMPUTED_VALUE"""),500000)</f>
        <v>500000</v>
      </c>
      <c r="F3863" s="22">
        <f ca="1">IFERROR(__xludf.DUMMYFUNCTION("""COMPUTED_VALUE"""),500000)</f>
        <v>500000</v>
      </c>
      <c r="G3863" s="22">
        <f ca="1">IFERROR(__xludf.DUMMYFUNCTION("""COMPUTED_VALUE"""),0)</f>
        <v>0</v>
      </c>
      <c r="H3863" s="7">
        <f ca="1">IFERROR(__xludf.DUMMYFUNCTION("""COMPUTED_VALUE"""),500000)</f>
        <v>500000</v>
      </c>
    </row>
    <row r="3864" spans="1:8" ht="13" x14ac:dyDescent="0.15">
      <c r="A3864" s="5" t="str">
        <f ca="1">IFERROR(__xludf.DUMMYFUNCTION("""COMPUTED_VALUE"""),"75369")</f>
        <v>75369</v>
      </c>
      <c r="B3864" s="51">
        <f ca="1">IFERROR(__xludf.DUMMYFUNCTION("""COMPUTED_VALUE"""),44639)</f>
        <v>44639</v>
      </c>
      <c r="C3864" s="22">
        <f ca="1">IFERROR(__xludf.DUMMYFUNCTION("""COMPUTED_VALUE"""),500000)</f>
        <v>500000</v>
      </c>
      <c r="D3864" s="22">
        <f ca="1">IFERROR(__xludf.DUMMYFUNCTION("""COMPUTED_VALUE"""),0)</f>
        <v>0</v>
      </c>
      <c r="E3864" s="22">
        <f ca="1">IFERROR(__xludf.DUMMYFUNCTION("""COMPUTED_VALUE"""),500000)</f>
        <v>500000</v>
      </c>
      <c r="F3864" s="22">
        <f ca="1">IFERROR(__xludf.DUMMYFUNCTION("""COMPUTED_VALUE"""),500000)</f>
        <v>500000</v>
      </c>
      <c r="G3864" s="22">
        <f ca="1">IFERROR(__xludf.DUMMYFUNCTION("""COMPUTED_VALUE"""),0)</f>
        <v>0</v>
      </c>
      <c r="H3864" s="7">
        <f ca="1">IFERROR(__xludf.DUMMYFUNCTION("""COMPUTED_VALUE"""),500000)</f>
        <v>500000</v>
      </c>
    </row>
    <row r="3865" spans="1:8" ht="13" x14ac:dyDescent="0.15">
      <c r="A3865" s="5" t="str">
        <f ca="1">IFERROR(__xludf.DUMMYFUNCTION("""COMPUTED_VALUE"""),"75369")</f>
        <v>75369</v>
      </c>
      <c r="B3865" s="51">
        <f ca="1">IFERROR(__xludf.DUMMYFUNCTION("""COMPUTED_VALUE"""),44640)</f>
        <v>44640</v>
      </c>
      <c r="C3865" s="22">
        <f ca="1">IFERROR(__xludf.DUMMYFUNCTION("""COMPUTED_VALUE"""),500000)</f>
        <v>500000</v>
      </c>
      <c r="D3865" s="22">
        <f ca="1">IFERROR(__xludf.DUMMYFUNCTION("""COMPUTED_VALUE"""),0)</f>
        <v>0</v>
      </c>
      <c r="E3865" s="22">
        <f ca="1">IFERROR(__xludf.DUMMYFUNCTION("""COMPUTED_VALUE"""),500000)</f>
        <v>500000</v>
      </c>
      <c r="F3865" s="22">
        <f ca="1">IFERROR(__xludf.DUMMYFUNCTION("""COMPUTED_VALUE"""),500000)</f>
        <v>500000</v>
      </c>
      <c r="G3865" s="22">
        <f ca="1">IFERROR(__xludf.DUMMYFUNCTION("""COMPUTED_VALUE"""),0)</f>
        <v>0</v>
      </c>
      <c r="H3865" s="7">
        <f ca="1">IFERROR(__xludf.DUMMYFUNCTION("""COMPUTED_VALUE"""),500000)</f>
        <v>500000</v>
      </c>
    </row>
    <row r="3866" spans="1:8" ht="13" x14ac:dyDescent="0.15">
      <c r="A3866" s="5" t="str">
        <f ca="1">IFERROR(__xludf.DUMMYFUNCTION("""COMPUTED_VALUE"""),"75369")</f>
        <v>75369</v>
      </c>
      <c r="B3866" s="51">
        <f ca="1">IFERROR(__xludf.DUMMYFUNCTION("""COMPUTED_VALUE"""),44641)</f>
        <v>44641</v>
      </c>
      <c r="C3866" s="22">
        <f ca="1">IFERROR(__xludf.DUMMYFUNCTION("""COMPUTED_VALUE"""),500000)</f>
        <v>500000</v>
      </c>
      <c r="D3866" s="22">
        <f ca="1">IFERROR(__xludf.DUMMYFUNCTION("""COMPUTED_VALUE"""),0)</f>
        <v>0</v>
      </c>
      <c r="E3866" s="22">
        <f ca="1">IFERROR(__xludf.DUMMYFUNCTION("""COMPUTED_VALUE"""),500000)</f>
        <v>500000</v>
      </c>
      <c r="F3866" s="22">
        <f ca="1">IFERROR(__xludf.DUMMYFUNCTION("""COMPUTED_VALUE"""),500000)</f>
        <v>500000</v>
      </c>
      <c r="G3866" s="22">
        <f ca="1">IFERROR(__xludf.DUMMYFUNCTION("""COMPUTED_VALUE"""),0)</f>
        <v>0</v>
      </c>
      <c r="H3866" s="7">
        <f ca="1">IFERROR(__xludf.DUMMYFUNCTION("""COMPUTED_VALUE"""),500000)</f>
        <v>500000</v>
      </c>
    </row>
    <row r="3867" spans="1:8" ht="13" x14ac:dyDescent="0.15">
      <c r="A3867" s="5" t="str">
        <f ca="1">IFERROR(__xludf.DUMMYFUNCTION("""COMPUTED_VALUE"""),"75369")</f>
        <v>75369</v>
      </c>
      <c r="B3867" s="51">
        <f ca="1">IFERROR(__xludf.DUMMYFUNCTION("""COMPUTED_VALUE"""),44642)</f>
        <v>44642</v>
      </c>
      <c r="C3867" s="22">
        <f ca="1">IFERROR(__xludf.DUMMYFUNCTION("""COMPUTED_VALUE"""),500000)</f>
        <v>500000</v>
      </c>
      <c r="D3867" s="22">
        <f ca="1">IFERROR(__xludf.DUMMYFUNCTION("""COMPUTED_VALUE"""),0)</f>
        <v>0</v>
      </c>
      <c r="E3867" s="22">
        <f ca="1">IFERROR(__xludf.DUMMYFUNCTION("""COMPUTED_VALUE"""),500000)</f>
        <v>500000</v>
      </c>
      <c r="F3867" s="22">
        <f ca="1">IFERROR(__xludf.DUMMYFUNCTION("""COMPUTED_VALUE"""),500000)</f>
        <v>500000</v>
      </c>
      <c r="G3867" s="22">
        <f ca="1">IFERROR(__xludf.DUMMYFUNCTION("""COMPUTED_VALUE"""),0)</f>
        <v>0</v>
      </c>
      <c r="H3867" s="7">
        <f ca="1">IFERROR(__xludf.DUMMYFUNCTION("""COMPUTED_VALUE"""),500000)</f>
        <v>500000</v>
      </c>
    </row>
    <row r="3868" spans="1:8" ht="13" x14ac:dyDescent="0.15">
      <c r="A3868" s="5" t="str">
        <f ca="1">IFERROR(__xludf.DUMMYFUNCTION("""COMPUTED_VALUE"""),"75415")</f>
        <v>75415</v>
      </c>
      <c r="B3868" s="51">
        <f ca="1">IFERROR(__xludf.DUMMYFUNCTION("""COMPUTED_VALUE"""),44597)</f>
        <v>44597</v>
      </c>
      <c r="C3868" s="22">
        <f ca="1">IFERROR(__xludf.DUMMYFUNCTION("""COMPUTED_VALUE"""),500000)</f>
        <v>500000</v>
      </c>
      <c r="D3868" s="22">
        <f ca="1">IFERROR(__xludf.DUMMYFUNCTION("""COMPUTED_VALUE"""),0)</f>
        <v>0</v>
      </c>
      <c r="E3868" s="22">
        <f ca="1">IFERROR(__xludf.DUMMYFUNCTION("""COMPUTED_VALUE"""),500000)</f>
        <v>500000</v>
      </c>
      <c r="F3868" s="22">
        <f ca="1">IFERROR(__xludf.DUMMYFUNCTION("""COMPUTED_VALUE"""),500000)</f>
        <v>500000</v>
      </c>
      <c r="G3868" s="22">
        <f ca="1">IFERROR(__xludf.DUMMYFUNCTION("""COMPUTED_VALUE"""),0)</f>
        <v>0</v>
      </c>
      <c r="H3868" s="7">
        <f ca="1">IFERROR(__xludf.DUMMYFUNCTION("""COMPUTED_VALUE"""),500000)</f>
        <v>500000</v>
      </c>
    </row>
    <row r="3869" spans="1:8" ht="13" x14ac:dyDescent="0.15">
      <c r="A3869" s="5" t="str">
        <f ca="1">IFERROR(__xludf.DUMMYFUNCTION("""COMPUTED_VALUE"""),"75415")</f>
        <v>75415</v>
      </c>
      <c r="B3869" s="51">
        <f ca="1">IFERROR(__xludf.DUMMYFUNCTION("""COMPUTED_VALUE"""),44598)</f>
        <v>44598</v>
      </c>
      <c r="C3869" s="22">
        <f ca="1">IFERROR(__xludf.DUMMYFUNCTION("""COMPUTED_VALUE"""),500000)</f>
        <v>500000</v>
      </c>
      <c r="D3869" s="22">
        <f ca="1">IFERROR(__xludf.DUMMYFUNCTION("""COMPUTED_VALUE"""),0)</f>
        <v>0</v>
      </c>
      <c r="E3869" s="22">
        <f ca="1">IFERROR(__xludf.DUMMYFUNCTION("""COMPUTED_VALUE"""),500000)</f>
        <v>500000</v>
      </c>
      <c r="F3869" s="22">
        <f ca="1">IFERROR(__xludf.DUMMYFUNCTION("""COMPUTED_VALUE"""),500000)</f>
        <v>500000</v>
      </c>
      <c r="G3869" s="22">
        <f ca="1">IFERROR(__xludf.DUMMYFUNCTION("""COMPUTED_VALUE"""),0)</f>
        <v>0</v>
      </c>
      <c r="H3869" s="7">
        <f ca="1">IFERROR(__xludf.DUMMYFUNCTION("""COMPUTED_VALUE"""),500000)</f>
        <v>500000</v>
      </c>
    </row>
    <row r="3870" spans="1:8" ht="13" x14ac:dyDescent="0.15">
      <c r="A3870" s="5" t="str">
        <f ca="1">IFERROR(__xludf.DUMMYFUNCTION("""COMPUTED_VALUE"""),"75415")</f>
        <v>75415</v>
      </c>
      <c r="B3870" s="51">
        <f ca="1">IFERROR(__xludf.DUMMYFUNCTION("""COMPUTED_VALUE"""),44599)</f>
        <v>44599</v>
      </c>
      <c r="C3870" s="22">
        <f ca="1">IFERROR(__xludf.DUMMYFUNCTION("""COMPUTED_VALUE"""),500000)</f>
        <v>500000</v>
      </c>
      <c r="D3870" s="22">
        <f ca="1">IFERROR(__xludf.DUMMYFUNCTION("""COMPUTED_VALUE"""),0)</f>
        <v>0</v>
      </c>
      <c r="E3870" s="22">
        <f ca="1">IFERROR(__xludf.DUMMYFUNCTION("""COMPUTED_VALUE"""),500000)</f>
        <v>500000</v>
      </c>
      <c r="F3870" s="22">
        <f ca="1">IFERROR(__xludf.DUMMYFUNCTION("""COMPUTED_VALUE"""),500000)</f>
        <v>500000</v>
      </c>
      <c r="G3870" s="22">
        <f ca="1">IFERROR(__xludf.DUMMYFUNCTION("""COMPUTED_VALUE"""),0)</f>
        <v>0</v>
      </c>
      <c r="H3870" s="7">
        <f ca="1">IFERROR(__xludf.DUMMYFUNCTION("""COMPUTED_VALUE"""),500000)</f>
        <v>500000</v>
      </c>
    </row>
    <row r="3871" spans="1:8" ht="13" x14ac:dyDescent="0.15">
      <c r="A3871" s="5" t="str">
        <f ca="1">IFERROR(__xludf.DUMMYFUNCTION("""COMPUTED_VALUE"""),"75415")</f>
        <v>75415</v>
      </c>
      <c r="B3871" s="51">
        <f ca="1">IFERROR(__xludf.DUMMYFUNCTION("""COMPUTED_VALUE"""),44600)</f>
        <v>44600</v>
      </c>
      <c r="C3871" s="22">
        <f ca="1">IFERROR(__xludf.DUMMYFUNCTION("""COMPUTED_VALUE"""),500000)</f>
        <v>500000</v>
      </c>
      <c r="D3871" s="22">
        <f ca="1">IFERROR(__xludf.DUMMYFUNCTION("""COMPUTED_VALUE"""),0)</f>
        <v>0</v>
      </c>
      <c r="E3871" s="22">
        <f ca="1">IFERROR(__xludf.DUMMYFUNCTION("""COMPUTED_VALUE"""),500000)</f>
        <v>500000</v>
      </c>
      <c r="F3871" s="22">
        <f ca="1">IFERROR(__xludf.DUMMYFUNCTION("""COMPUTED_VALUE"""),500000)</f>
        <v>500000</v>
      </c>
      <c r="G3871" s="22">
        <f ca="1">IFERROR(__xludf.DUMMYFUNCTION("""COMPUTED_VALUE"""),0)</f>
        <v>0</v>
      </c>
      <c r="H3871" s="7">
        <f ca="1">IFERROR(__xludf.DUMMYFUNCTION("""COMPUTED_VALUE"""),500000)</f>
        <v>500000</v>
      </c>
    </row>
    <row r="3872" spans="1:8" ht="13" x14ac:dyDescent="0.15">
      <c r="A3872" s="5" t="str">
        <f ca="1">IFERROR(__xludf.DUMMYFUNCTION("""COMPUTED_VALUE"""),"75415")</f>
        <v>75415</v>
      </c>
      <c r="B3872" s="51">
        <f ca="1">IFERROR(__xludf.DUMMYFUNCTION("""COMPUTED_VALUE"""),44601)</f>
        <v>44601</v>
      </c>
      <c r="C3872" s="22">
        <f ca="1">IFERROR(__xludf.DUMMYFUNCTION("""COMPUTED_VALUE"""),396272.19918)</f>
        <v>396272.19918</v>
      </c>
      <c r="D3872" s="22">
        <f ca="1">IFERROR(__xludf.DUMMYFUNCTION("""COMPUTED_VALUE"""),103727.80082)</f>
        <v>103727.80082</v>
      </c>
      <c r="E3872" s="22">
        <f ca="1">IFERROR(__xludf.DUMMYFUNCTION("""COMPUTED_VALUE"""),500000)</f>
        <v>500000</v>
      </c>
      <c r="F3872" s="22">
        <f ca="1">IFERROR(__xludf.DUMMYFUNCTION("""COMPUTED_VALUE"""),396272.19918)</f>
        <v>396272.19918</v>
      </c>
      <c r="G3872" s="22">
        <f ca="1">IFERROR(__xludf.DUMMYFUNCTION("""COMPUTED_VALUE"""),0)</f>
        <v>0</v>
      </c>
      <c r="H3872" s="7">
        <f ca="1">IFERROR(__xludf.DUMMYFUNCTION("""COMPUTED_VALUE"""),500000)</f>
        <v>500000</v>
      </c>
    </row>
    <row r="3873" spans="1:8" ht="13" x14ac:dyDescent="0.15">
      <c r="A3873" s="5" t="str">
        <f ca="1">IFERROR(__xludf.DUMMYFUNCTION("""COMPUTED_VALUE"""),"75415")</f>
        <v>75415</v>
      </c>
      <c r="B3873" s="51">
        <f ca="1">IFERROR(__xludf.DUMMYFUNCTION("""COMPUTED_VALUE"""),44602)</f>
        <v>44602</v>
      </c>
      <c r="C3873" s="22">
        <f ca="1">IFERROR(__xludf.DUMMYFUNCTION("""COMPUTED_VALUE"""),396272.19918)</f>
        <v>396272.19918</v>
      </c>
      <c r="D3873" s="22">
        <f ca="1">IFERROR(__xludf.DUMMYFUNCTION("""COMPUTED_VALUE"""),103727.80082)</f>
        <v>103727.80082</v>
      </c>
      <c r="E3873" s="22">
        <f ca="1">IFERROR(__xludf.DUMMYFUNCTION("""COMPUTED_VALUE"""),500000)</f>
        <v>500000</v>
      </c>
      <c r="F3873" s="22">
        <f ca="1">IFERROR(__xludf.DUMMYFUNCTION("""COMPUTED_VALUE"""),396272.19918)</f>
        <v>396272.19918</v>
      </c>
      <c r="G3873" s="22">
        <f ca="1">IFERROR(__xludf.DUMMYFUNCTION("""COMPUTED_VALUE"""),0)</f>
        <v>0</v>
      </c>
      <c r="H3873" s="7">
        <f ca="1">IFERROR(__xludf.DUMMYFUNCTION("""COMPUTED_VALUE"""),496577.709555)</f>
        <v>496577.70955500001</v>
      </c>
    </row>
    <row r="3874" spans="1:8" ht="13" x14ac:dyDescent="0.15">
      <c r="A3874" s="5" t="str">
        <f ca="1">IFERROR(__xludf.DUMMYFUNCTION("""COMPUTED_VALUE"""),"75415")</f>
        <v>75415</v>
      </c>
      <c r="B3874" s="51">
        <f ca="1">IFERROR(__xludf.DUMMYFUNCTION("""COMPUTED_VALUE"""),44603)</f>
        <v>44603</v>
      </c>
      <c r="C3874" s="22">
        <f ca="1">IFERROR(__xludf.DUMMYFUNCTION("""COMPUTED_VALUE"""),396272.19918)</f>
        <v>396272.19918</v>
      </c>
      <c r="D3874" s="22">
        <f ca="1">IFERROR(__xludf.DUMMYFUNCTION("""COMPUTED_VALUE"""),103727.80082)</f>
        <v>103727.80082</v>
      </c>
      <c r="E3874" s="22">
        <f ca="1">IFERROR(__xludf.DUMMYFUNCTION("""COMPUTED_VALUE"""),500000)</f>
        <v>500000</v>
      </c>
      <c r="F3874" s="22">
        <f ca="1">IFERROR(__xludf.DUMMYFUNCTION("""COMPUTED_VALUE"""),396272.19918)</f>
        <v>396272.19918</v>
      </c>
      <c r="G3874" s="22">
        <f ca="1">IFERROR(__xludf.DUMMYFUNCTION("""COMPUTED_VALUE"""),0)</f>
        <v>0</v>
      </c>
      <c r="H3874" s="7">
        <f ca="1">IFERROR(__xludf.DUMMYFUNCTION("""COMPUTED_VALUE"""),492125.72893275)</f>
        <v>492125.72893275</v>
      </c>
    </row>
    <row r="3875" spans="1:8" ht="13" x14ac:dyDescent="0.15">
      <c r="A3875" s="5" t="str">
        <f ca="1">IFERROR(__xludf.DUMMYFUNCTION("""COMPUTED_VALUE"""),"75415")</f>
        <v>75415</v>
      </c>
      <c r="B3875" s="51">
        <f ca="1">IFERROR(__xludf.DUMMYFUNCTION("""COMPUTED_VALUE"""),44604)</f>
        <v>44604</v>
      </c>
      <c r="C3875" s="22">
        <f ca="1">IFERROR(__xludf.DUMMYFUNCTION("""COMPUTED_VALUE"""),396272.19918)</f>
        <v>396272.19918</v>
      </c>
      <c r="D3875" s="22">
        <f ca="1">IFERROR(__xludf.DUMMYFUNCTION("""COMPUTED_VALUE"""),103727.80082)</f>
        <v>103727.80082</v>
      </c>
      <c r="E3875" s="22">
        <f ca="1">IFERROR(__xludf.DUMMYFUNCTION("""COMPUTED_VALUE"""),500000)</f>
        <v>500000</v>
      </c>
      <c r="F3875" s="22">
        <f ca="1">IFERROR(__xludf.DUMMYFUNCTION("""COMPUTED_VALUE"""),396272.19918)</f>
        <v>396272.19918</v>
      </c>
      <c r="G3875" s="22">
        <f ca="1">IFERROR(__xludf.DUMMYFUNCTION("""COMPUTED_VALUE"""),0)</f>
        <v>0</v>
      </c>
      <c r="H3875" s="7">
        <f ca="1">IFERROR(__xludf.DUMMYFUNCTION("""COMPUTED_VALUE"""),492125.72893275)</f>
        <v>492125.72893275</v>
      </c>
    </row>
    <row r="3876" spans="1:8" ht="13" x14ac:dyDescent="0.15">
      <c r="A3876" s="5" t="str">
        <f ca="1">IFERROR(__xludf.DUMMYFUNCTION("""COMPUTED_VALUE"""),"75415")</f>
        <v>75415</v>
      </c>
      <c r="B3876" s="51">
        <f ca="1">IFERROR(__xludf.DUMMYFUNCTION("""COMPUTED_VALUE"""),44605)</f>
        <v>44605</v>
      </c>
      <c r="C3876" s="22">
        <f ca="1">IFERROR(__xludf.DUMMYFUNCTION("""COMPUTED_VALUE"""),396272.19918)</f>
        <v>396272.19918</v>
      </c>
      <c r="D3876" s="22">
        <f ca="1">IFERROR(__xludf.DUMMYFUNCTION("""COMPUTED_VALUE"""),103727.80082)</f>
        <v>103727.80082</v>
      </c>
      <c r="E3876" s="22">
        <f ca="1">IFERROR(__xludf.DUMMYFUNCTION("""COMPUTED_VALUE"""),500000)</f>
        <v>500000</v>
      </c>
      <c r="F3876" s="22">
        <f ca="1">IFERROR(__xludf.DUMMYFUNCTION("""COMPUTED_VALUE"""),396272.19918)</f>
        <v>396272.19918</v>
      </c>
      <c r="G3876" s="22">
        <f ca="1">IFERROR(__xludf.DUMMYFUNCTION("""COMPUTED_VALUE"""),0)</f>
        <v>0</v>
      </c>
      <c r="H3876" s="7">
        <f ca="1">IFERROR(__xludf.DUMMYFUNCTION("""COMPUTED_VALUE"""),492131.01283725)</f>
        <v>492131.01283725002</v>
      </c>
    </row>
    <row r="3877" spans="1:8" ht="13" x14ac:dyDescent="0.15">
      <c r="A3877" s="5" t="str">
        <f ca="1">IFERROR(__xludf.DUMMYFUNCTION("""COMPUTED_VALUE"""),"75415")</f>
        <v>75415</v>
      </c>
      <c r="B3877" s="51">
        <f ca="1">IFERROR(__xludf.DUMMYFUNCTION("""COMPUTED_VALUE"""),44606)</f>
        <v>44606</v>
      </c>
      <c r="C3877" s="22">
        <f ca="1">IFERROR(__xludf.DUMMYFUNCTION("""COMPUTED_VALUE"""),396272.19918)</f>
        <v>396272.19918</v>
      </c>
      <c r="D3877" s="22">
        <f ca="1">IFERROR(__xludf.DUMMYFUNCTION("""COMPUTED_VALUE"""),103727.80082)</f>
        <v>103727.80082</v>
      </c>
      <c r="E3877" s="22">
        <f ca="1">IFERROR(__xludf.DUMMYFUNCTION("""COMPUTED_VALUE"""),500000)</f>
        <v>500000</v>
      </c>
      <c r="F3877" s="22">
        <f ca="1">IFERROR(__xludf.DUMMYFUNCTION("""COMPUTED_VALUE"""),396272.19918)</f>
        <v>396272.19918</v>
      </c>
      <c r="G3877" s="22">
        <f ca="1">IFERROR(__xludf.DUMMYFUNCTION("""COMPUTED_VALUE"""),0)</f>
        <v>0</v>
      </c>
      <c r="H3877" s="7">
        <f ca="1">IFERROR(__xludf.DUMMYFUNCTION("""COMPUTED_VALUE"""),491637.84223375)</f>
        <v>491637.84223374998</v>
      </c>
    </row>
    <row r="3878" spans="1:8" ht="13" x14ac:dyDescent="0.15">
      <c r="A3878" s="5" t="str">
        <f ca="1">IFERROR(__xludf.DUMMYFUNCTION("""COMPUTED_VALUE"""),"75415")</f>
        <v>75415</v>
      </c>
      <c r="B3878" s="51">
        <f ca="1">IFERROR(__xludf.DUMMYFUNCTION("""COMPUTED_VALUE"""),44607)</f>
        <v>44607</v>
      </c>
      <c r="C3878" s="22">
        <f ca="1">IFERROR(__xludf.DUMMYFUNCTION("""COMPUTED_VALUE"""),396272.19918)</f>
        <v>396272.19918</v>
      </c>
      <c r="D3878" s="22">
        <f ca="1">IFERROR(__xludf.DUMMYFUNCTION("""COMPUTED_VALUE"""),103727.80082)</f>
        <v>103727.80082</v>
      </c>
      <c r="E3878" s="22">
        <f ca="1">IFERROR(__xludf.DUMMYFUNCTION("""COMPUTED_VALUE"""),500000)</f>
        <v>500000</v>
      </c>
      <c r="F3878" s="22">
        <f ca="1">IFERROR(__xludf.DUMMYFUNCTION("""COMPUTED_VALUE"""),396272.19918)</f>
        <v>396272.19918</v>
      </c>
      <c r="G3878" s="22">
        <f ca="1">IFERROR(__xludf.DUMMYFUNCTION("""COMPUTED_VALUE"""),0)</f>
        <v>0</v>
      </c>
      <c r="H3878" s="7">
        <f ca="1">IFERROR(__xludf.DUMMYFUNCTION("""COMPUTED_VALUE"""),497575.52432925)</f>
        <v>497575.52432924998</v>
      </c>
    </row>
    <row r="3879" spans="1:8" ht="13" x14ac:dyDescent="0.15">
      <c r="A3879" s="5" t="str">
        <f ca="1">IFERROR(__xludf.DUMMYFUNCTION("""COMPUTED_VALUE"""),"75415")</f>
        <v>75415</v>
      </c>
      <c r="B3879" s="51">
        <f ca="1">IFERROR(__xludf.DUMMYFUNCTION("""COMPUTED_VALUE"""),44608)</f>
        <v>44608</v>
      </c>
      <c r="C3879" s="22">
        <f ca="1">IFERROR(__xludf.DUMMYFUNCTION("""COMPUTED_VALUE"""),396272.19918)</f>
        <v>396272.19918</v>
      </c>
      <c r="D3879" s="22">
        <f ca="1">IFERROR(__xludf.DUMMYFUNCTION("""COMPUTED_VALUE"""),103727.80082)</f>
        <v>103727.80082</v>
      </c>
      <c r="E3879" s="22">
        <f ca="1">IFERROR(__xludf.DUMMYFUNCTION("""COMPUTED_VALUE"""),500000)</f>
        <v>500000</v>
      </c>
      <c r="F3879" s="22">
        <f ca="1">IFERROR(__xludf.DUMMYFUNCTION("""COMPUTED_VALUE"""),396272.19918)</f>
        <v>396272.19918</v>
      </c>
      <c r="G3879" s="22">
        <f ca="1">IFERROR(__xludf.DUMMYFUNCTION("""COMPUTED_VALUE"""),0)</f>
        <v>0</v>
      </c>
      <c r="H3879" s="7">
        <f ca="1">IFERROR(__xludf.DUMMYFUNCTION("""COMPUTED_VALUE"""),497014.09658)</f>
        <v>497014.09658000001</v>
      </c>
    </row>
    <row r="3880" spans="1:8" ht="13" x14ac:dyDescent="0.15">
      <c r="A3880" s="5" t="str">
        <f ca="1">IFERROR(__xludf.DUMMYFUNCTION("""COMPUTED_VALUE"""),"75415")</f>
        <v>75415</v>
      </c>
      <c r="B3880" s="51">
        <f ca="1">IFERROR(__xludf.DUMMYFUNCTION("""COMPUTED_VALUE"""),44609)</f>
        <v>44609</v>
      </c>
      <c r="C3880" s="22">
        <f ca="1">IFERROR(__xludf.DUMMYFUNCTION("""COMPUTED_VALUE"""),396272.19918)</f>
        <v>396272.19918</v>
      </c>
      <c r="D3880" s="22">
        <f ca="1">IFERROR(__xludf.DUMMYFUNCTION("""COMPUTED_VALUE"""),103727.80082)</f>
        <v>103727.80082</v>
      </c>
      <c r="E3880" s="22">
        <f ca="1">IFERROR(__xludf.DUMMYFUNCTION("""COMPUTED_VALUE"""),500000)</f>
        <v>500000</v>
      </c>
      <c r="F3880" s="22">
        <f ca="1">IFERROR(__xludf.DUMMYFUNCTION("""COMPUTED_VALUE"""),396272.19918)</f>
        <v>396272.19918</v>
      </c>
      <c r="G3880" s="22">
        <f ca="1">IFERROR(__xludf.DUMMYFUNCTION("""COMPUTED_VALUE"""),0)</f>
        <v>0</v>
      </c>
      <c r="H3880" s="7">
        <f ca="1">IFERROR(__xludf.DUMMYFUNCTION("""COMPUTED_VALUE"""),487998.370606499)</f>
        <v>487998.37060649903</v>
      </c>
    </row>
    <row r="3881" spans="1:8" ht="13" x14ac:dyDescent="0.15">
      <c r="A3881" s="5" t="str">
        <f ca="1">IFERROR(__xludf.DUMMYFUNCTION("""COMPUTED_VALUE"""),"75415")</f>
        <v>75415</v>
      </c>
      <c r="B3881" s="51">
        <f ca="1">IFERROR(__xludf.DUMMYFUNCTION("""COMPUTED_VALUE"""),44610)</f>
        <v>44610</v>
      </c>
      <c r="C3881" s="22">
        <f ca="1">IFERROR(__xludf.DUMMYFUNCTION("""COMPUTED_VALUE"""),-4783.22195999993)</f>
        <v>-4783.2219599999298</v>
      </c>
      <c r="D3881" s="22">
        <f ca="1">IFERROR(__xludf.DUMMYFUNCTION("""COMPUTED_VALUE"""),489431.299184999)</f>
        <v>489431.29918499902</v>
      </c>
      <c r="E3881" s="22">
        <f ca="1">IFERROR(__xludf.DUMMYFUNCTION("""COMPUTED_VALUE"""),484648.077225)</f>
        <v>484648.07722500002</v>
      </c>
      <c r="F3881" s="22">
        <f ca="1">IFERROR(__xludf.DUMMYFUNCTION("""COMPUTED_VALUE"""),-4783.22195999999)</f>
        <v>-4783.2219599999898</v>
      </c>
      <c r="G3881" s="22">
        <f ca="1">IFERROR(__xludf.DUMMYFUNCTION("""COMPUTED_VALUE"""),4783.22195999999)</f>
        <v>4783.2219599999898</v>
      </c>
      <c r="H3881" s="7">
        <f ca="1">IFERROR(__xludf.DUMMYFUNCTION("""COMPUTED_VALUE"""),484648.077225)</f>
        <v>484648.07722500002</v>
      </c>
    </row>
    <row r="3882" spans="1:8" ht="13" x14ac:dyDescent="0.15">
      <c r="A3882" s="5" t="str">
        <f ca="1">IFERROR(__xludf.DUMMYFUNCTION("""COMPUTED_VALUE"""),"75415")</f>
        <v>75415</v>
      </c>
      <c r="B3882" s="51">
        <f ca="1">IFERROR(__xludf.DUMMYFUNCTION("""COMPUTED_VALUE"""),44611)</f>
        <v>44611</v>
      </c>
      <c r="C3882" s="22">
        <f ca="1">IFERROR(__xludf.DUMMYFUNCTION("""COMPUTED_VALUE"""),-4783.22195999993)</f>
        <v>-4783.2219599999298</v>
      </c>
      <c r="D3882" s="22">
        <f ca="1">IFERROR(__xludf.DUMMYFUNCTION("""COMPUTED_VALUE"""),489431.299184999)</f>
        <v>489431.29918499902</v>
      </c>
      <c r="E3882" s="22">
        <f ca="1">IFERROR(__xludf.DUMMYFUNCTION("""COMPUTED_VALUE"""),484648.077225)</f>
        <v>484648.07722500002</v>
      </c>
      <c r="F3882" s="22">
        <f ca="1">IFERROR(__xludf.DUMMYFUNCTION("""COMPUTED_VALUE"""),-4783.22195999999)</f>
        <v>-4783.2219599999898</v>
      </c>
      <c r="G3882" s="22">
        <f ca="1">IFERROR(__xludf.DUMMYFUNCTION("""COMPUTED_VALUE"""),4783.22195999999)</f>
        <v>4783.2219599999898</v>
      </c>
      <c r="H3882" s="7">
        <f ca="1">IFERROR(__xludf.DUMMYFUNCTION("""COMPUTED_VALUE"""),484648.077225)</f>
        <v>484648.07722500002</v>
      </c>
    </row>
    <row r="3883" spans="1:8" ht="13" x14ac:dyDescent="0.15">
      <c r="A3883" s="5" t="str">
        <f ca="1">IFERROR(__xludf.DUMMYFUNCTION("""COMPUTED_VALUE"""),"75415")</f>
        <v>75415</v>
      </c>
      <c r="B3883" s="51">
        <f ca="1">IFERROR(__xludf.DUMMYFUNCTION("""COMPUTED_VALUE"""),44612)</f>
        <v>44612</v>
      </c>
      <c r="C3883" s="22">
        <f ca="1">IFERROR(__xludf.DUMMYFUNCTION("""COMPUTED_VALUE"""),-4783.22195999993)</f>
        <v>-4783.2219599999298</v>
      </c>
      <c r="D3883" s="22">
        <f ca="1">IFERROR(__xludf.DUMMYFUNCTION("""COMPUTED_VALUE"""),489428.296867499)</f>
        <v>489428.29686749901</v>
      </c>
      <c r="E3883" s="22">
        <f ca="1">IFERROR(__xludf.DUMMYFUNCTION("""COMPUTED_VALUE"""),484645.0749075)</f>
        <v>484645.07490750001</v>
      </c>
      <c r="F3883" s="22">
        <f ca="1">IFERROR(__xludf.DUMMYFUNCTION("""COMPUTED_VALUE"""),-4783.22195999999)</f>
        <v>-4783.2219599999898</v>
      </c>
      <c r="G3883" s="22">
        <f ca="1">IFERROR(__xludf.DUMMYFUNCTION("""COMPUTED_VALUE"""),4783.22195999999)</f>
        <v>4783.2219599999898</v>
      </c>
      <c r="H3883" s="7">
        <f ca="1">IFERROR(__xludf.DUMMYFUNCTION("""COMPUTED_VALUE"""),484631.4501975)</f>
        <v>484631.4501975</v>
      </c>
    </row>
    <row r="3884" spans="1:8" ht="13" x14ac:dyDescent="0.15">
      <c r="A3884" s="5" t="str">
        <f ca="1">IFERROR(__xludf.DUMMYFUNCTION("""COMPUTED_VALUE"""),"75415")</f>
        <v>75415</v>
      </c>
      <c r="B3884" s="51">
        <f ca="1">IFERROR(__xludf.DUMMYFUNCTION("""COMPUTED_VALUE"""),44613)</f>
        <v>44613</v>
      </c>
      <c r="C3884" s="22">
        <f ca="1">IFERROR(__xludf.DUMMYFUNCTION("""COMPUTED_VALUE"""),-4783.22195999993)</f>
        <v>-4783.2219599999298</v>
      </c>
      <c r="D3884" s="22">
        <f ca="1">IFERROR(__xludf.DUMMYFUNCTION("""COMPUTED_VALUE"""),489436.907287499)</f>
        <v>489436.90728749899</v>
      </c>
      <c r="E3884" s="22">
        <f ca="1">IFERROR(__xludf.DUMMYFUNCTION("""COMPUTED_VALUE"""),484653.6853275)</f>
        <v>484653.68532749999</v>
      </c>
      <c r="F3884" s="22">
        <f ca="1">IFERROR(__xludf.DUMMYFUNCTION("""COMPUTED_VALUE"""),-4783.22195999999)</f>
        <v>-4783.2219599999898</v>
      </c>
      <c r="G3884" s="22">
        <f ca="1">IFERROR(__xludf.DUMMYFUNCTION("""COMPUTED_VALUE"""),4783.22195999999)</f>
        <v>4783.2219599999898</v>
      </c>
      <c r="H3884" s="7">
        <f ca="1">IFERROR(__xludf.DUMMYFUNCTION("""COMPUTED_VALUE"""),484679.1352575)</f>
        <v>484679.13525749999</v>
      </c>
    </row>
    <row r="3885" spans="1:8" ht="13" x14ac:dyDescent="0.15">
      <c r="A3885" s="5" t="str">
        <f ca="1">IFERROR(__xludf.DUMMYFUNCTION("""COMPUTED_VALUE"""),"75415")</f>
        <v>75415</v>
      </c>
      <c r="B3885" s="51">
        <f ca="1">IFERROR(__xludf.DUMMYFUNCTION("""COMPUTED_VALUE"""),44614)</f>
        <v>44614</v>
      </c>
      <c r="C3885" s="22">
        <f ca="1">IFERROR(__xludf.DUMMYFUNCTION("""COMPUTED_VALUE"""),-4783.22195999993)</f>
        <v>-4783.2219599999298</v>
      </c>
      <c r="D3885" s="22">
        <f ca="1">IFERROR(__xludf.DUMMYFUNCTION("""COMPUTED_VALUE"""),485009.662802499)</f>
        <v>485009.66280249902</v>
      </c>
      <c r="E3885" s="22">
        <f ca="1">IFERROR(__xludf.DUMMYFUNCTION("""COMPUTED_VALUE"""),480226.4408425)</f>
        <v>480226.44084250001</v>
      </c>
      <c r="F3885" s="22">
        <f ca="1">IFERROR(__xludf.DUMMYFUNCTION("""COMPUTED_VALUE"""),-4783.22195999999)</f>
        <v>-4783.2219599999898</v>
      </c>
      <c r="G3885" s="22">
        <f ca="1">IFERROR(__xludf.DUMMYFUNCTION("""COMPUTED_VALUE"""),4783.22195999999)</f>
        <v>4783.2219599999898</v>
      </c>
      <c r="H3885" s="7">
        <f ca="1">IFERROR(__xludf.DUMMYFUNCTION("""COMPUTED_VALUE"""),463613.9535775)</f>
        <v>463613.95357750001</v>
      </c>
    </row>
    <row r="3886" spans="1:8" ht="13" x14ac:dyDescent="0.15">
      <c r="A3886" s="5" t="str">
        <f ca="1">IFERROR(__xludf.DUMMYFUNCTION("""COMPUTED_VALUE"""),"75415")</f>
        <v>75415</v>
      </c>
      <c r="B3886" s="51">
        <f ca="1">IFERROR(__xludf.DUMMYFUNCTION("""COMPUTED_VALUE"""),44615)</f>
        <v>44615</v>
      </c>
      <c r="C3886" s="22">
        <f ca="1">IFERROR(__xludf.DUMMYFUNCTION("""COMPUTED_VALUE"""),-4783.22195999993)</f>
        <v>-4783.2219599999298</v>
      </c>
      <c r="D3886" s="22">
        <f ca="1">IFERROR(__xludf.DUMMYFUNCTION("""COMPUTED_VALUE"""),484077.699792499)</f>
        <v>484077.69979249901</v>
      </c>
      <c r="E3886" s="22">
        <f ca="1">IFERROR(__xludf.DUMMYFUNCTION("""COMPUTED_VALUE"""),479294.4778325)</f>
        <v>479294.47783250001</v>
      </c>
      <c r="F3886" s="22">
        <f ca="1">IFERROR(__xludf.DUMMYFUNCTION("""COMPUTED_VALUE"""),-4783.22195999999)</f>
        <v>-4783.2219599999898</v>
      </c>
      <c r="G3886" s="22">
        <f ca="1">IFERROR(__xludf.DUMMYFUNCTION("""COMPUTED_VALUE"""),4783.22195999999)</f>
        <v>4783.2219599999898</v>
      </c>
      <c r="H3886" s="7">
        <f ca="1">IFERROR(__xludf.DUMMYFUNCTION("""COMPUTED_VALUE"""),455300.8325675)</f>
        <v>455300.83256750001</v>
      </c>
    </row>
    <row r="3887" spans="1:8" ht="13" x14ac:dyDescent="0.15">
      <c r="A3887" s="5" t="str">
        <f ca="1">IFERROR(__xludf.DUMMYFUNCTION("""COMPUTED_VALUE"""),"75415")</f>
        <v>75415</v>
      </c>
      <c r="B3887" s="51">
        <f ca="1">IFERROR(__xludf.DUMMYFUNCTION("""COMPUTED_VALUE"""),44616)</f>
        <v>44616</v>
      </c>
      <c r="C3887" s="22">
        <f ca="1">IFERROR(__xludf.DUMMYFUNCTION("""COMPUTED_VALUE"""),-4783.22195999993)</f>
        <v>-4783.2219599999298</v>
      </c>
      <c r="D3887" s="22">
        <f ca="1">IFERROR(__xludf.DUMMYFUNCTION("""COMPUTED_VALUE"""),487212.771227499)</f>
        <v>487212.771227499</v>
      </c>
      <c r="E3887" s="22">
        <f ca="1">IFERROR(__xludf.DUMMYFUNCTION("""COMPUTED_VALUE"""),482429.5492675)</f>
        <v>482429.5492675</v>
      </c>
      <c r="F3887" s="22">
        <f ca="1">IFERROR(__xludf.DUMMYFUNCTION("""COMPUTED_VALUE"""),-4783.22195999999)</f>
        <v>-4783.2219599999898</v>
      </c>
      <c r="G3887" s="22">
        <f ca="1">IFERROR(__xludf.DUMMYFUNCTION("""COMPUTED_VALUE"""),4783.22195999999)</f>
        <v>4783.2219599999898</v>
      </c>
      <c r="H3887" s="7">
        <f ca="1">IFERROR(__xludf.DUMMYFUNCTION("""COMPUTED_VALUE"""),462997.4287525)</f>
        <v>462997.42875249998</v>
      </c>
    </row>
    <row r="3888" spans="1:8" ht="13" x14ac:dyDescent="0.15">
      <c r="A3888" s="5" t="str">
        <f ca="1">IFERROR(__xludf.DUMMYFUNCTION("""COMPUTED_VALUE"""),"75415")</f>
        <v>75415</v>
      </c>
      <c r="B3888" s="51">
        <f ca="1">IFERROR(__xludf.DUMMYFUNCTION("""COMPUTED_VALUE"""),44617)</f>
        <v>44617</v>
      </c>
      <c r="C3888" s="22">
        <f ca="1">IFERROR(__xludf.DUMMYFUNCTION("""COMPUTED_VALUE"""),-4783.22195999993)</f>
        <v>-4783.2219599999298</v>
      </c>
      <c r="D3888" s="22">
        <f ca="1">IFERROR(__xludf.DUMMYFUNCTION("""COMPUTED_VALUE"""),489115.571801874)</f>
        <v>489115.57180187397</v>
      </c>
      <c r="E3888" s="22">
        <f ca="1">IFERROR(__xludf.DUMMYFUNCTION("""COMPUTED_VALUE"""),484332.349841874)</f>
        <v>484332.34984187398</v>
      </c>
      <c r="F3888" s="22">
        <f ca="1">IFERROR(__xludf.DUMMYFUNCTION("""COMPUTED_VALUE"""),-4783.22195999999)</f>
        <v>-4783.2219599999898</v>
      </c>
      <c r="G3888" s="22">
        <f ca="1">IFERROR(__xludf.DUMMYFUNCTION("""COMPUTED_VALUE"""),4783.22195999999)</f>
        <v>4783.2219599999898</v>
      </c>
      <c r="H3888" s="7">
        <f ca="1">IFERROR(__xludf.DUMMYFUNCTION("""COMPUTED_VALUE"""),480064.424824375)</f>
        <v>480064.42482437502</v>
      </c>
    </row>
    <row r="3889" spans="1:8" ht="13" x14ac:dyDescent="0.15">
      <c r="A3889" s="5" t="str">
        <f ca="1">IFERROR(__xludf.DUMMYFUNCTION("""COMPUTED_VALUE"""),"75415")</f>
        <v>75415</v>
      </c>
      <c r="B3889" s="51">
        <f ca="1">IFERROR(__xludf.DUMMYFUNCTION("""COMPUTED_VALUE"""),44618)</f>
        <v>44618</v>
      </c>
      <c r="C3889" s="22">
        <f ca="1">IFERROR(__xludf.DUMMYFUNCTION("""COMPUTED_VALUE"""),-4783.22195999993)</f>
        <v>-4783.2219599999298</v>
      </c>
      <c r="D3889" s="22">
        <f ca="1">IFERROR(__xludf.DUMMYFUNCTION("""COMPUTED_VALUE"""),489117.263445624)</f>
        <v>489117.26344562398</v>
      </c>
      <c r="E3889" s="22">
        <f ca="1">IFERROR(__xludf.DUMMYFUNCTION("""COMPUTED_VALUE"""),484334.041485625)</f>
        <v>484334.04148562503</v>
      </c>
      <c r="F3889" s="22">
        <f ca="1">IFERROR(__xludf.DUMMYFUNCTION("""COMPUTED_VALUE"""),-4783.22195999999)</f>
        <v>-4783.2219599999898</v>
      </c>
      <c r="G3889" s="22">
        <f ca="1">IFERROR(__xludf.DUMMYFUNCTION("""COMPUTED_VALUE"""),4783.22195999999)</f>
        <v>4783.2219599999898</v>
      </c>
      <c r="H3889" s="7">
        <f ca="1">IFERROR(__xludf.DUMMYFUNCTION("""COMPUTED_VALUE"""),480073.738793124)</f>
        <v>480073.73879312398</v>
      </c>
    </row>
    <row r="3890" spans="1:8" ht="13" x14ac:dyDescent="0.15">
      <c r="A3890" s="5" t="str">
        <f ca="1">IFERROR(__xludf.DUMMYFUNCTION("""COMPUTED_VALUE"""),"75415")</f>
        <v>75415</v>
      </c>
      <c r="B3890" s="51">
        <f ca="1">IFERROR(__xludf.DUMMYFUNCTION("""COMPUTED_VALUE"""),44619)</f>
        <v>44619</v>
      </c>
      <c r="C3890" s="22">
        <f ca="1">IFERROR(__xludf.DUMMYFUNCTION("""COMPUTED_VALUE"""),-4783.22195999993)</f>
        <v>-4783.2219599999298</v>
      </c>
      <c r="D3890" s="22">
        <f ca="1">IFERROR(__xludf.DUMMYFUNCTION("""COMPUTED_VALUE"""),489113.372664999)</f>
        <v>489113.37266499898</v>
      </c>
      <c r="E3890" s="22">
        <f ca="1">IFERROR(__xludf.DUMMYFUNCTION("""COMPUTED_VALUE"""),484330.150705)</f>
        <v>484330.15070499998</v>
      </c>
      <c r="F3890" s="22">
        <f ca="1">IFERROR(__xludf.DUMMYFUNCTION("""COMPUTED_VALUE"""),-4783.22195999999)</f>
        <v>-4783.2219599999898</v>
      </c>
      <c r="G3890" s="22">
        <f ca="1">IFERROR(__xludf.DUMMYFUNCTION("""COMPUTED_VALUE"""),4783.22195999999)</f>
        <v>4783.2219599999898</v>
      </c>
      <c r="H3890" s="7">
        <f ca="1">IFERROR(__xludf.DUMMYFUNCTION("""COMPUTED_VALUE"""),480052.316665)</f>
        <v>480052.31666499999</v>
      </c>
    </row>
    <row r="3891" spans="1:8" ht="13" x14ac:dyDescent="0.15">
      <c r="A3891" s="5" t="str">
        <f ca="1">IFERROR(__xludf.DUMMYFUNCTION("""COMPUTED_VALUE"""),"75415")</f>
        <v>75415</v>
      </c>
      <c r="B3891" s="51">
        <f ca="1">IFERROR(__xludf.DUMMYFUNCTION("""COMPUTED_VALUE"""),44620)</f>
        <v>44620</v>
      </c>
      <c r="C3891" s="22">
        <f ca="1">IFERROR(__xludf.DUMMYFUNCTION("""COMPUTED_VALUE"""),-4783.22195999993)</f>
        <v>-4783.2219599999298</v>
      </c>
      <c r="D3891" s="22">
        <f ca="1">IFERROR(__xludf.DUMMYFUNCTION("""COMPUTED_VALUE"""),496354.898772499)</f>
        <v>496354.898772499</v>
      </c>
      <c r="E3891" s="22">
        <f ca="1">IFERROR(__xludf.DUMMYFUNCTION("""COMPUTED_VALUE"""),491571.6768125)</f>
        <v>491571.67681249999</v>
      </c>
      <c r="F3891" s="22">
        <f ca="1">IFERROR(__xludf.DUMMYFUNCTION("""COMPUTED_VALUE"""),-4783.22195999999)</f>
        <v>-4783.2219599999898</v>
      </c>
      <c r="G3891" s="22">
        <f ca="1">IFERROR(__xludf.DUMMYFUNCTION("""COMPUTED_VALUE"""),4783.22195999999)</f>
        <v>4783.2219599999898</v>
      </c>
      <c r="H3891" s="7">
        <f ca="1">IFERROR(__xludf.DUMMYFUNCTION("""COMPUTED_VALUE"""),481548.1743725)</f>
        <v>481548.17437249998</v>
      </c>
    </row>
    <row r="3892" spans="1:8" ht="13" x14ac:dyDescent="0.15">
      <c r="A3892" s="5" t="str">
        <f ca="1">IFERROR(__xludf.DUMMYFUNCTION("""COMPUTED_VALUE"""),"75415")</f>
        <v>75415</v>
      </c>
      <c r="B3892" s="51">
        <f ca="1">IFERROR(__xludf.DUMMYFUNCTION("""COMPUTED_VALUE"""),44621)</f>
        <v>44621</v>
      </c>
      <c r="C3892" s="22">
        <f ca="1">IFERROR(__xludf.DUMMYFUNCTION("""COMPUTED_VALUE"""),-4783.22195999993)</f>
        <v>-4783.2219599999298</v>
      </c>
      <c r="D3892" s="22">
        <f ca="1">IFERROR(__xludf.DUMMYFUNCTION("""COMPUTED_VALUE"""),500794.862696249)</f>
        <v>500794.86269624898</v>
      </c>
      <c r="E3892" s="22">
        <f ca="1">IFERROR(__xludf.DUMMYFUNCTION("""COMPUTED_VALUE"""),496011.64073625)</f>
        <v>496011.64073624997</v>
      </c>
      <c r="F3892" s="22">
        <f ca="1">IFERROR(__xludf.DUMMYFUNCTION("""COMPUTED_VALUE"""),-4783.22195999999)</f>
        <v>-4783.2219599999898</v>
      </c>
      <c r="G3892" s="22">
        <f ca="1">IFERROR(__xludf.DUMMYFUNCTION("""COMPUTED_VALUE"""),4783.22195999999)</f>
        <v>4783.2219599999898</v>
      </c>
      <c r="H3892" s="7">
        <f ca="1">IFERROR(__xludf.DUMMYFUNCTION("""COMPUTED_VALUE"""),466949.45857125)</f>
        <v>466949.45857125003</v>
      </c>
    </row>
    <row r="3893" spans="1:8" ht="13" x14ac:dyDescent="0.15">
      <c r="A3893" s="5" t="str">
        <f ca="1">IFERROR(__xludf.DUMMYFUNCTION("""COMPUTED_VALUE"""),"75415")</f>
        <v>75415</v>
      </c>
      <c r="B3893" s="51">
        <f ca="1">IFERROR(__xludf.DUMMYFUNCTION("""COMPUTED_VALUE"""),44622)</f>
        <v>44622</v>
      </c>
      <c r="C3893" s="22">
        <f ca="1">IFERROR(__xludf.DUMMYFUNCTION("""COMPUTED_VALUE"""),-4783.22195999993)</f>
        <v>-4783.2219599999298</v>
      </c>
      <c r="D3893" s="22">
        <f ca="1">IFERROR(__xludf.DUMMYFUNCTION("""COMPUTED_VALUE"""),498913.072337249)</f>
        <v>498913.072337249</v>
      </c>
      <c r="E3893" s="22">
        <f ca="1">IFERROR(__xludf.DUMMYFUNCTION("""COMPUTED_VALUE"""),494129.85037725)</f>
        <v>494129.85037725</v>
      </c>
      <c r="F3893" s="22">
        <f ca="1">IFERROR(__xludf.DUMMYFUNCTION("""COMPUTED_VALUE"""),-4783.22195999999)</f>
        <v>-4783.2219599999898</v>
      </c>
      <c r="G3893" s="22">
        <f ca="1">IFERROR(__xludf.DUMMYFUNCTION("""COMPUTED_VALUE"""),4783.22195999999)</f>
        <v>4783.2219599999898</v>
      </c>
      <c r="H3893" s="7">
        <f ca="1">IFERROR(__xludf.DUMMYFUNCTION("""COMPUTED_VALUE"""),496157.03998725)</f>
        <v>496157.03998725</v>
      </c>
    </row>
    <row r="3894" spans="1:8" ht="13" x14ac:dyDescent="0.15">
      <c r="A3894" s="5" t="str">
        <f ca="1">IFERROR(__xludf.DUMMYFUNCTION("""COMPUTED_VALUE"""),"75415")</f>
        <v>75415</v>
      </c>
      <c r="B3894" s="51">
        <f ca="1">IFERROR(__xludf.DUMMYFUNCTION("""COMPUTED_VALUE"""),44623)</f>
        <v>44623</v>
      </c>
      <c r="C3894" s="22">
        <f ca="1">IFERROR(__xludf.DUMMYFUNCTION("""COMPUTED_VALUE"""),-4783.22195999993)</f>
        <v>-4783.2219599999298</v>
      </c>
      <c r="D3894" s="22">
        <f ca="1">IFERROR(__xludf.DUMMYFUNCTION("""COMPUTED_VALUE"""),492232.391692499)</f>
        <v>492232.39169249899</v>
      </c>
      <c r="E3894" s="22">
        <f ca="1">IFERROR(__xludf.DUMMYFUNCTION("""COMPUTED_VALUE"""),487449.1697325)</f>
        <v>487449.16973249998</v>
      </c>
      <c r="F3894" s="22">
        <f ca="1">IFERROR(__xludf.DUMMYFUNCTION("""COMPUTED_VALUE"""),-4783.22195999999)</f>
        <v>-4783.2219599999898</v>
      </c>
      <c r="G3894" s="22">
        <f ca="1">IFERROR(__xludf.DUMMYFUNCTION("""COMPUTED_VALUE"""),4783.22195999999)</f>
        <v>4783.2219599999898</v>
      </c>
      <c r="H3894" s="7">
        <f ca="1">IFERROR(__xludf.DUMMYFUNCTION("""COMPUTED_VALUE"""),478436.7845925)</f>
        <v>478436.78459250001</v>
      </c>
    </row>
    <row r="3895" spans="1:8" ht="13" x14ac:dyDescent="0.15">
      <c r="A3895" s="5" t="str">
        <f ca="1">IFERROR(__xludf.DUMMYFUNCTION("""COMPUTED_VALUE"""),"75415")</f>
        <v>75415</v>
      </c>
      <c r="B3895" s="51">
        <f ca="1">IFERROR(__xludf.DUMMYFUNCTION("""COMPUTED_VALUE"""),44624)</f>
        <v>44624</v>
      </c>
      <c r="C3895" s="22">
        <f ca="1">IFERROR(__xludf.DUMMYFUNCTION("""COMPUTED_VALUE"""),-4783.22195999993)</f>
        <v>-4783.2219599999298</v>
      </c>
      <c r="D3895" s="22">
        <f ca="1">IFERROR(__xludf.DUMMYFUNCTION("""COMPUTED_VALUE"""),485793.082745999)</f>
        <v>485793.08274599898</v>
      </c>
      <c r="E3895" s="22">
        <f ca="1">IFERROR(__xludf.DUMMYFUNCTION("""COMPUTED_VALUE"""),481009.860786)</f>
        <v>481009.86078599998</v>
      </c>
      <c r="F3895" s="22">
        <f ca="1">IFERROR(__xludf.DUMMYFUNCTION("""COMPUTED_VALUE"""),-4783.22195999999)</f>
        <v>-4783.2219599999898</v>
      </c>
      <c r="G3895" s="22">
        <f ca="1">IFERROR(__xludf.DUMMYFUNCTION("""COMPUTED_VALUE"""),4783.22195999999)</f>
        <v>4783.2219599999898</v>
      </c>
      <c r="H3895" s="7">
        <f ca="1">IFERROR(__xludf.DUMMYFUNCTION("""COMPUTED_VALUE"""),455215.700946)</f>
        <v>455215.700946</v>
      </c>
    </row>
    <row r="3896" spans="1:8" ht="13" x14ac:dyDescent="0.15">
      <c r="A3896" s="5" t="str">
        <f ca="1">IFERROR(__xludf.DUMMYFUNCTION("""COMPUTED_VALUE"""),"75415")</f>
        <v>75415</v>
      </c>
      <c r="B3896" s="51">
        <f ca="1">IFERROR(__xludf.DUMMYFUNCTION("""COMPUTED_VALUE"""),44625)</f>
        <v>44625</v>
      </c>
      <c r="C3896" s="22">
        <f ca="1">IFERROR(__xludf.DUMMYFUNCTION("""COMPUTED_VALUE"""),-4783.22195999993)</f>
        <v>-4783.2219599999298</v>
      </c>
      <c r="D3896" s="22">
        <f ca="1">IFERROR(__xludf.DUMMYFUNCTION("""COMPUTED_VALUE"""),485793.082745999)</f>
        <v>485793.08274599898</v>
      </c>
      <c r="E3896" s="22">
        <f ca="1">IFERROR(__xludf.DUMMYFUNCTION("""COMPUTED_VALUE"""),481009.860786)</f>
        <v>481009.86078599998</v>
      </c>
      <c r="F3896" s="22">
        <f ca="1">IFERROR(__xludf.DUMMYFUNCTION("""COMPUTED_VALUE"""),-4783.22195999999)</f>
        <v>-4783.2219599999898</v>
      </c>
      <c r="G3896" s="22">
        <f ca="1">IFERROR(__xludf.DUMMYFUNCTION("""COMPUTED_VALUE"""),4783.22195999999)</f>
        <v>4783.2219599999898</v>
      </c>
      <c r="H3896" s="7">
        <f ca="1">IFERROR(__xludf.DUMMYFUNCTION("""COMPUTED_VALUE"""),455215.700946)</f>
        <v>455215.700946</v>
      </c>
    </row>
    <row r="3897" spans="1:8" ht="13" x14ac:dyDescent="0.15">
      <c r="A3897" s="5" t="str">
        <f ca="1">IFERROR(__xludf.DUMMYFUNCTION("""COMPUTED_VALUE"""),"75415")</f>
        <v>75415</v>
      </c>
      <c r="B3897" s="51">
        <f ca="1">IFERROR(__xludf.DUMMYFUNCTION("""COMPUTED_VALUE"""),44626)</f>
        <v>44626</v>
      </c>
      <c r="C3897" s="22">
        <f ca="1">IFERROR(__xludf.DUMMYFUNCTION("""COMPUTED_VALUE"""),-4783.22195999993)</f>
        <v>-4783.2219599999298</v>
      </c>
      <c r="D3897" s="22">
        <f ca="1">IFERROR(__xludf.DUMMYFUNCTION("""COMPUTED_VALUE"""),485804.739992249)</f>
        <v>485804.739992249</v>
      </c>
      <c r="E3897" s="22">
        <f ca="1">IFERROR(__xludf.DUMMYFUNCTION("""COMPUTED_VALUE"""),481021.51803225)</f>
        <v>481021.51803224999</v>
      </c>
      <c r="F3897" s="22">
        <f ca="1">IFERROR(__xludf.DUMMYFUNCTION("""COMPUTED_VALUE"""),-4783.22195999999)</f>
        <v>-4783.2219599999898</v>
      </c>
      <c r="G3897" s="22">
        <f ca="1">IFERROR(__xludf.DUMMYFUNCTION("""COMPUTED_VALUE"""),4783.22195999999)</f>
        <v>4783.2219599999898</v>
      </c>
      <c r="H3897" s="7">
        <f ca="1">IFERROR(__xludf.DUMMYFUNCTION("""COMPUTED_VALUE"""),455278.98237975)</f>
        <v>455278.98237975</v>
      </c>
    </row>
    <row r="3898" spans="1:8" ht="13" x14ac:dyDescent="0.15">
      <c r="A3898" s="5" t="str">
        <f ca="1">IFERROR(__xludf.DUMMYFUNCTION("""COMPUTED_VALUE"""),"75415")</f>
        <v>75415</v>
      </c>
      <c r="B3898" s="51">
        <f ca="1">IFERROR(__xludf.DUMMYFUNCTION("""COMPUTED_VALUE"""),44627)</f>
        <v>44627</v>
      </c>
      <c r="C3898" s="22">
        <f ca="1">IFERROR(__xludf.DUMMYFUNCTION("""COMPUTED_VALUE"""),-4783.22195999993)</f>
        <v>-4783.2219599999298</v>
      </c>
      <c r="D3898" s="22">
        <f ca="1">IFERROR(__xludf.DUMMYFUNCTION("""COMPUTED_VALUE"""),481102.126967499)</f>
        <v>481102.12696749897</v>
      </c>
      <c r="E3898" s="22">
        <f ca="1">IFERROR(__xludf.DUMMYFUNCTION("""COMPUTED_VALUE"""),476318.9050075)</f>
        <v>476318.90500750003</v>
      </c>
      <c r="F3898" s="22">
        <f ca="1">IFERROR(__xludf.DUMMYFUNCTION("""COMPUTED_VALUE"""),-4783.22195999999)</f>
        <v>-4783.2219599999898</v>
      </c>
      <c r="G3898" s="22">
        <f ca="1">IFERROR(__xludf.DUMMYFUNCTION("""COMPUTED_VALUE"""),4783.22195999999)</f>
        <v>4783.2219599999898</v>
      </c>
      <c r="H3898" s="7">
        <f ca="1">IFERROR(__xludf.DUMMYFUNCTION("""COMPUTED_VALUE"""),431120.8778425)</f>
        <v>431120.87784249999</v>
      </c>
    </row>
    <row r="3899" spans="1:8" ht="13" x14ac:dyDescent="0.15">
      <c r="A3899" s="5" t="str">
        <f ca="1">IFERROR(__xludf.DUMMYFUNCTION("""COMPUTED_VALUE"""),"75415")</f>
        <v>75415</v>
      </c>
      <c r="B3899" s="51">
        <f ca="1">IFERROR(__xludf.DUMMYFUNCTION("""COMPUTED_VALUE"""),44628)</f>
        <v>44628</v>
      </c>
      <c r="C3899" s="22">
        <f ca="1">IFERROR(__xludf.DUMMYFUNCTION("""COMPUTED_VALUE"""),-4783.22195999993)</f>
        <v>-4783.2219599999298</v>
      </c>
      <c r="D3899" s="22">
        <f ca="1">IFERROR(__xludf.DUMMYFUNCTION("""COMPUTED_VALUE"""),483799.724077499)</f>
        <v>483799.72407749901</v>
      </c>
      <c r="E3899" s="22">
        <f ca="1">IFERROR(__xludf.DUMMYFUNCTION("""COMPUTED_VALUE"""),479016.5021175)</f>
        <v>479016.5021175</v>
      </c>
      <c r="F3899" s="22">
        <f ca="1">IFERROR(__xludf.DUMMYFUNCTION("""COMPUTED_VALUE"""),-4783.22195999999)</f>
        <v>-4783.2219599999898</v>
      </c>
      <c r="G3899" s="22">
        <f ca="1">IFERROR(__xludf.DUMMYFUNCTION("""COMPUTED_VALUE"""),4783.22195999999)</f>
        <v>4783.2219599999898</v>
      </c>
      <c r="H3899" s="7">
        <f ca="1">IFERROR(__xludf.DUMMYFUNCTION("""COMPUTED_VALUE"""),435174.86334)</f>
        <v>435174.86333999998</v>
      </c>
    </row>
    <row r="3900" spans="1:8" ht="13" x14ac:dyDescent="0.15">
      <c r="A3900" s="5" t="str">
        <f ca="1">IFERROR(__xludf.DUMMYFUNCTION("""COMPUTED_VALUE"""),"75415")</f>
        <v>75415</v>
      </c>
      <c r="B3900" s="51">
        <f ca="1">IFERROR(__xludf.DUMMYFUNCTION("""COMPUTED_VALUE"""),44629)</f>
        <v>44629</v>
      </c>
      <c r="C3900" s="22">
        <f ca="1">IFERROR(__xludf.DUMMYFUNCTION("""COMPUTED_VALUE"""),-4783.22195999993)</f>
        <v>-4783.2219599999298</v>
      </c>
      <c r="D3900" s="22">
        <f ca="1">IFERROR(__xludf.DUMMYFUNCTION("""COMPUTED_VALUE"""),492240.771164999)</f>
        <v>492240.77116499899</v>
      </c>
      <c r="E3900" s="22">
        <f ca="1">IFERROR(__xludf.DUMMYFUNCTION("""COMPUTED_VALUE"""),487457.549205)</f>
        <v>487457.54920499999</v>
      </c>
      <c r="F3900" s="22">
        <f ca="1">IFERROR(__xludf.DUMMYFUNCTION("""COMPUTED_VALUE"""),-4783.22195999999)</f>
        <v>-4783.2219599999898</v>
      </c>
      <c r="G3900" s="22">
        <f ca="1">IFERROR(__xludf.DUMMYFUNCTION("""COMPUTED_VALUE"""),4783.22195999999)</f>
        <v>4783.2219599999898</v>
      </c>
      <c r="H3900" s="7">
        <f ca="1">IFERROR(__xludf.DUMMYFUNCTION("""COMPUTED_VALUE"""),451098.5669025)</f>
        <v>451098.5669025</v>
      </c>
    </row>
    <row r="3901" spans="1:8" ht="13" x14ac:dyDescent="0.15">
      <c r="A3901" s="5" t="str">
        <f ca="1">IFERROR(__xludf.DUMMYFUNCTION("""COMPUTED_VALUE"""),"75415")</f>
        <v>75415</v>
      </c>
      <c r="B3901" s="51">
        <f ca="1">IFERROR(__xludf.DUMMYFUNCTION("""COMPUTED_VALUE"""),44630)</f>
        <v>44630</v>
      </c>
      <c r="C3901" s="22">
        <f ca="1">IFERROR(__xludf.DUMMYFUNCTION("""COMPUTED_VALUE"""),-4783.22195999993)</f>
        <v>-4783.2219599999298</v>
      </c>
      <c r="D3901" s="22">
        <f ca="1">IFERROR(__xludf.DUMMYFUNCTION("""COMPUTED_VALUE"""),492281.586414999)</f>
        <v>492281.58641499898</v>
      </c>
      <c r="E3901" s="22">
        <f ca="1">IFERROR(__xludf.DUMMYFUNCTION("""COMPUTED_VALUE"""),487498.364455)</f>
        <v>487498.36445499997</v>
      </c>
      <c r="F3901" s="22">
        <f ca="1">IFERROR(__xludf.DUMMYFUNCTION("""COMPUTED_VALUE"""),-4783.22195999999)</f>
        <v>-4783.2219599999898</v>
      </c>
      <c r="G3901" s="22">
        <f ca="1">IFERROR(__xludf.DUMMYFUNCTION("""COMPUTED_VALUE"""),4783.22195999999)</f>
        <v>4783.2219599999898</v>
      </c>
      <c r="H3901" s="7">
        <f ca="1">IFERROR(__xludf.DUMMYFUNCTION("""COMPUTED_VALUE"""),451414.09864)</f>
        <v>451414.09863999998</v>
      </c>
    </row>
    <row r="3902" spans="1:8" ht="13" x14ac:dyDescent="0.15">
      <c r="A3902" s="5" t="str">
        <f ca="1">IFERROR(__xludf.DUMMYFUNCTION("""COMPUTED_VALUE"""),"75415")</f>
        <v>75415</v>
      </c>
      <c r="B3902" s="51">
        <f ca="1">IFERROR(__xludf.DUMMYFUNCTION("""COMPUTED_VALUE"""),44631)</f>
        <v>44631</v>
      </c>
      <c r="C3902" s="22">
        <f ca="1">IFERROR(__xludf.DUMMYFUNCTION("""COMPUTED_VALUE"""),-4783.22195999993)</f>
        <v>-4783.2219599999298</v>
      </c>
      <c r="D3902" s="22">
        <f ca="1">IFERROR(__xludf.DUMMYFUNCTION("""COMPUTED_VALUE"""),483943.597314999)</f>
        <v>483943.59731499897</v>
      </c>
      <c r="E3902" s="22">
        <f ca="1">IFERROR(__xludf.DUMMYFUNCTION("""COMPUTED_VALUE"""),479160.375355)</f>
        <v>479160.37535500003</v>
      </c>
      <c r="F3902" s="22">
        <f ca="1">IFERROR(__xludf.DUMMYFUNCTION("""COMPUTED_VALUE"""),-4783.22195999999)</f>
        <v>-4783.2219599999898</v>
      </c>
      <c r="G3902" s="22">
        <f ca="1">IFERROR(__xludf.DUMMYFUNCTION("""COMPUTED_VALUE"""),4783.22195999999)</f>
        <v>4783.2219599999898</v>
      </c>
      <c r="H3902" s="7">
        <f ca="1">IFERROR(__xludf.DUMMYFUNCTION("""COMPUTED_VALUE"""),436022.717215)</f>
        <v>436022.71721500001</v>
      </c>
    </row>
    <row r="3903" spans="1:8" ht="13" x14ac:dyDescent="0.15">
      <c r="A3903" s="5" t="str">
        <f ca="1">IFERROR(__xludf.DUMMYFUNCTION("""COMPUTED_VALUE"""),"75415")</f>
        <v>75415</v>
      </c>
      <c r="B3903" s="51">
        <f ca="1">IFERROR(__xludf.DUMMYFUNCTION("""COMPUTED_VALUE"""),44632)</f>
        <v>44632</v>
      </c>
      <c r="C3903" s="22">
        <f ca="1">IFERROR(__xludf.DUMMYFUNCTION("""COMPUTED_VALUE"""),-4783.22195999993)</f>
        <v>-4783.2219599999298</v>
      </c>
      <c r="D3903" s="22">
        <f ca="1">IFERROR(__xludf.DUMMYFUNCTION("""COMPUTED_VALUE"""),483943.597314999)</f>
        <v>483943.59731499897</v>
      </c>
      <c r="E3903" s="22">
        <f ca="1">IFERROR(__xludf.DUMMYFUNCTION("""COMPUTED_VALUE"""),479160.375355)</f>
        <v>479160.37535500003</v>
      </c>
      <c r="F3903" s="22">
        <f ca="1">IFERROR(__xludf.DUMMYFUNCTION("""COMPUTED_VALUE"""),-4783.22195999999)</f>
        <v>-4783.2219599999898</v>
      </c>
      <c r="G3903" s="22">
        <f ca="1">IFERROR(__xludf.DUMMYFUNCTION("""COMPUTED_VALUE"""),4783.22195999999)</f>
        <v>4783.2219599999898</v>
      </c>
      <c r="H3903" s="7">
        <f ca="1">IFERROR(__xludf.DUMMYFUNCTION("""COMPUTED_VALUE"""),436022.717215)</f>
        <v>436022.71721500001</v>
      </c>
    </row>
    <row r="3904" spans="1:8" ht="13" x14ac:dyDescent="0.15">
      <c r="A3904" s="5" t="str">
        <f ca="1">IFERROR(__xludf.DUMMYFUNCTION("""COMPUTED_VALUE"""),"75415")</f>
        <v>75415</v>
      </c>
      <c r="B3904" s="51">
        <f ca="1">IFERROR(__xludf.DUMMYFUNCTION("""COMPUTED_VALUE"""),44633)</f>
        <v>44633</v>
      </c>
      <c r="C3904" s="22">
        <f ca="1">IFERROR(__xludf.DUMMYFUNCTION("""COMPUTED_VALUE"""),-4783.22195999993)</f>
        <v>-4783.2219599999298</v>
      </c>
      <c r="D3904" s="22">
        <f ca="1">IFERROR(__xludf.DUMMYFUNCTION("""COMPUTED_VALUE"""),483936.504259499)</f>
        <v>483936.50425949902</v>
      </c>
      <c r="E3904" s="22">
        <f ca="1">IFERROR(__xludf.DUMMYFUNCTION("""COMPUTED_VALUE"""),479153.2822995)</f>
        <v>479153.28229950002</v>
      </c>
      <c r="F3904" s="22">
        <f ca="1">IFERROR(__xludf.DUMMYFUNCTION("""COMPUTED_VALUE"""),-4783.22195999999)</f>
        <v>-4783.2219599999898</v>
      </c>
      <c r="G3904" s="22">
        <f ca="1">IFERROR(__xludf.DUMMYFUNCTION("""COMPUTED_VALUE"""),4783.22195999999)</f>
        <v>4783.2219599999898</v>
      </c>
      <c r="H3904" s="7">
        <f ca="1">IFERROR(__xludf.DUMMYFUNCTION("""COMPUTED_VALUE"""),435984.9957795)</f>
        <v>435984.99577949999</v>
      </c>
    </row>
    <row r="3905" spans="1:8" ht="13" x14ac:dyDescent="0.15">
      <c r="A3905" s="5" t="str">
        <f ca="1">IFERROR(__xludf.DUMMYFUNCTION("""COMPUTED_VALUE"""),"75415")</f>
        <v>75415</v>
      </c>
      <c r="B3905" s="51">
        <f ca="1">IFERROR(__xludf.DUMMYFUNCTION("""COMPUTED_VALUE"""),44634)</f>
        <v>44634</v>
      </c>
      <c r="C3905" s="22">
        <f ca="1">IFERROR(__xludf.DUMMYFUNCTION("""COMPUTED_VALUE"""),428957.22804)</f>
        <v>428957.22804000002</v>
      </c>
      <c r="D3905" s="22">
        <f ca="1">IFERROR(__xludf.DUMMYFUNCTION("""COMPUTED_VALUE"""),0)</f>
        <v>0</v>
      </c>
      <c r="E3905" s="22">
        <f ca="1">IFERROR(__xludf.DUMMYFUNCTION("""COMPUTED_VALUE"""),428957.22804)</f>
        <v>428957.22804000002</v>
      </c>
      <c r="F3905" s="22">
        <f ca="1">IFERROR(__xludf.DUMMYFUNCTION("""COMPUTED_VALUE"""),428957.22804)</f>
        <v>428957.22804000002</v>
      </c>
      <c r="G3905" s="22">
        <f ca="1">IFERROR(__xludf.DUMMYFUNCTION("""COMPUTED_VALUE"""),0)</f>
        <v>0</v>
      </c>
      <c r="H3905" s="7">
        <f ca="1">IFERROR(__xludf.DUMMYFUNCTION("""COMPUTED_VALUE"""),428957.22804)</f>
        <v>428957.22804000002</v>
      </c>
    </row>
    <row r="3906" spans="1:8" ht="13" x14ac:dyDescent="0.15">
      <c r="A3906" s="5" t="str">
        <f ca="1">IFERROR(__xludf.DUMMYFUNCTION("""COMPUTED_VALUE"""),"75415")</f>
        <v>75415</v>
      </c>
      <c r="B3906" s="51">
        <f ca="1">IFERROR(__xludf.DUMMYFUNCTION("""COMPUTED_VALUE"""),44635)</f>
        <v>44635</v>
      </c>
      <c r="C3906" s="22">
        <f ca="1">IFERROR(__xludf.DUMMYFUNCTION("""COMPUTED_VALUE"""),428957.22804)</f>
        <v>428957.22804000002</v>
      </c>
      <c r="D3906" s="22">
        <f ca="1">IFERROR(__xludf.DUMMYFUNCTION("""COMPUTED_VALUE"""),7035.00269999995)</f>
        <v>7035.00269999995</v>
      </c>
      <c r="E3906" s="22">
        <f ca="1">IFERROR(__xludf.DUMMYFUNCTION("""COMPUTED_VALUE"""),435992.23074)</f>
        <v>435992.23074000003</v>
      </c>
      <c r="F3906" s="22">
        <f ca="1">IFERROR(__xludf.DUMMYFUNCTION("""COMPUTED_VALUE"""),428957.22804)</f>
        <v>428957.22804000002</v>
      </c>
      <c r="G3906" s="22">
        <f ca="1">IFERROR(__xludf.DUMMYFUNCTION("""COMPUTED_VALUE"""),0)</f>
        <v>0</v>
      </c>
      <c r="H3906" s="7">
        <f ca="1">IFERROR(__xludf.DUMMYFUNCTION("""COMPUTED_VALUE"""),428957.22804)</f>
        <v>428957.22804000002</v>
      </c>
    </row>
    <row r="3907" spans="1:8" ht="13" x14ac:dyDescent="0.15">
      <c r="A3907" s="5" t="str">
        <f ca="1">IFERROR(__xludf.DUMMYFUNCTION("""COMPUTED_VALUE"""),"75415")</f>
        <v>75415</v>
      </c>
      <c r="B3907" s="51">
        <f ca="1">IFERROR(__xludf.DUMMYFUNCTION("""COMPUTED_VALUE"""),44636)</f>
        <v>44636</v>
      </c>
      <c r="C3907" s="22">
        <f ca="1">IFERROR(__xludf.DUMMYFUNCTION("""COMPUTED_VALUE"""),212525.44104)</f>
        <v>212525.44104000001</v>
      </c>
      <c r="D3907" s="22">
        <f ca="1">IFERROR(__xludf.DUMMYFUNCTION("""COMPUTED_VALUE"""),248561.29485)</f>
        <v>248561.29485000001</v>
      </c>
      <c r="E3907" s="22">
        <f ca="1">IFERROR(__xludf.DUMMYFUNCTION("""COMPUTED_VALUE"""),461086.73589)</f>
        <v>461086.73589000001</v>
      </c>
      <c r="F3907" s="22">
        <f ca="1">IFERROR(__xludf.DUMMYFUNCTION("""COMPUTED_VALUE"""),212525.44104)</f>
        <v>212525.44104000001</v>
      </c>
      <c r="G3907" s="22">
        <f ca="1">IFERROR(__xludf.DUMMYFUNCTION("""COMPUTED_VALUE"""),0)</f>
        <v>0</v>
      </c>
      <c r="H3907" s="7">
        <f ca="1">IFERROR(__xludf.DUMMYFUNCTION("""COMPUTED_VALUE"""),442754.61249)</f>
        <v>442754.61249000003</v>
      </c>
    </row>
    <row r="3908" spans="1:8" ht="13" x14ac:dyDescent="0.15">
      <c r="A3908" s="5" t="str">
        <f ca="1">IFERROR(__xludf.DUMMYFUNCTION("""COMPUTED_VALUE"""),"75415")</f>
        <v>75415</v>
      </c>
      <c r="B3908" s="51">
        <f ca="1">IFERROR(__xludf.DUMMYFUNCTION("""COMPUTED_VALUE"""),44637)</f>
        <v>44637</v>
      </c>
      <c r="C3908" s="22">
        <f ca="1">IFERROR(__xludf.DUMMYFUNCTION("""COMPUTED_VALUE"""),212525.44104)</f>
        <v>212525.44104000001</v>
      </c>
      <c r="D3908" s="22">
        <f ca="1">IFERROR(__xludf.DUMMYFUNCTION("""COMPUTED_VALUE"""),248934.0105)</f>
        <v>248934.0105</v>
      </c>
      <c r="E3908" s="22">
        <f ca="1">IFERROR(__xludf.DUMMYFUNCTION("""COMPUTED_VALUE"""),461459.45154)</f>
        <v>461459.45153999998</v>
      </c>
      <c r="F3908" s="22">
        <f ca="1">IFERROR(__xludf.DUMMYFUNCTION("""COMPUTED_VALUE"""),212525.44104)</f>
        <v>212525.44104000001</v>
      </c>
      <c r="G3908" s="22">
        <f ca="1">IFERROR(__xludf.DUMMYFUNCTION("""COMPUTED_VALUE"""),0)</f>
        <v>0</v>
      </c>
      <c r="H3908" s="7">
        <f ca="1">IFERROR(__xludf.DUMMYFUNCTION("""COMPUTED_VALUE"""),443297.43894)</f>
        <v>443297.43894000002</v>
      </c>
    </row>
    <row r="3909" spans="1:8" ht="13" x14ac:dyDescent="0.15">
      <c r="A3909" s="5" t="str">
        <f ca="1">IFERROR(__xludf.DUMMYFUNCTION("""COMPUTED_VALUE"""),"75415")</f>
        <v>75415</v>
      </c>
      <c r="B3909" s="51">
        <f ca="1">IFERROR(__xludf.DUMMYFUNCTION("""COMPUTED_VALUE"""),44638)</f>
        <v>44638</v>
      </c>
      <c r="C3909" s="22">
        <f ca="1">IFERROR(__xludf.DUMMYFUNCTION("""COMPUTED_VALUE"""),212525.44104)</f>
        <v>212525.44104000001</v>
      </c>
      <c r="D3909" s="22">
        <f ca="1">IFERROR(__xludf.DUMMYFUNCTION("""COMPUTED_VALUE"""),259869.319549999)</f>
        <v>259869.319549999</v>
      </c>
      <c r="E3909" s="22">
        <f ca="1">IFERROR(__xludf.DUMMYFUNCTION("""COMPUTED_VALUE"""),472394.76059)</f>
        <v>472394.76059000002</v>
      </c>
      <c r="F3909" s="22">
        <f ca="1">IFERROR(__xludf.DUMMYFUNCTION("""COMPUTED_VALUE"""),212525.44104)</f>
        <v>212525.44104000001</v>
      </c>
      <c r="G3909" s="22">
        <f ca="1">IFERROR(__xludf.DUMMYFUNCTION("""COMPUTED_VALUE"""),0)</f>
        <v>0</v>
      </c>
      <c r="H3909" s="7">
        <f ca="1">IFERROR(__xludf.DUMMYFUNCTION("""COMPUTED_VALUE"""),447610.41389)</f>
        <v>447610.41389000003</v>
      </c>
    </row>
    <row r="3910" spans="1:8" ht="13" x14ac:dyDescent="0.15">
      <c r="A3910" s="5" t="str">
        <f ca="1">IFERROR(__xludf.DUMMYFUNCTION("""COMPUTED_VALUE"""),"75415")</f>
        <v>75415</v>
      </c>
      <c r="B3910" s="51">
        <f ca="1">IFERROR(__xludf.DUMMYFUNCTION("""COMPUTED_VALUE"""),44639)</f>
        <v>44639</v>
      </c>
      <c r="C3910" s="22">
        <f ca="1">IFERROR(__xludf.DUMMYFUNCTION("""COMPUTED_VALUE"""),212525.44104)</f>
        <v>212525.44104000001</v>
      </c>
      <c r="D3910" s="22">
        <f ca="1">IFERROR(__xludf.DUMMYFUNCTION("""COMPUTED_VALUE"""),259869.319549999)</f>
        <v>259869.319549999</v>
      </c>
      <c r="E3910" s="22">
        <f ca="1">IFERROR(__xludf.DUMMYFUNCTION("""COMPUTED_VALUE"""),472394.76059)</f>
        <v>472394.76059000002</v>
      </c>
      <c r="F3910" s="22">
        <f ca="1">IFERROR(__xludf.DUMMYFUNCTION("""COMPUTED_VALUE"""),212525.44104)</f>
        <v>212525.44104000001</v>
      </c>
      <c r="G3910" s="22">
        <f ca="1">IFERROR(__xludf.DUMMYFUNCTION("""COMPUTED_VALUE"""),0)</f>
        <v>0</v>
      </c>
      <c r="H3910" s="7">
        <f ca="1">IFERROR(__xludf.DUMMYFUNCTION("""COMPUTED_VALUE"""),447610.41389)</f>
        <v>447610.41389000003</v>
      </c>
    </row>
    <row r="3911" spans="1:8" ht="13" x14ac:dyDescent="0.15">
      <c r="A3911" s="5" t="str">
        <f ca="1">IFERROR(__xludf.DUMMYFUNCTION("""COMPUTED_VALUE"""),"75415")</f>
        <v>75415</v>
      </c>
      <c r="B3911" s="51">
        <f ca="1">IFERROR(__xludf.DUMMYFUNCTION("""COMPUTED_VALUE"""),44640)</f>
        <v>44640</v>
      </c>
      <c r="C3911" s="22">
        <f ca="1">IFERROR(__xludf.DUMMYFUNCTION("""COMPUTED_VALUE"""),212525.44104)</f>
        <v>212525.44104000001</v>
      </c>
      <c r="D3911" s="22">
        <f ca="1">IFERROR(__xludf.DUMMYFUNCTION("""COMPUTED_VALUE"""),259736.169279999)</f>
        <v>259736.16927999901</v>
      </c>
      <c r="E3911" s="22">
        <f ca="1">IFERROR(__xludf.DUMMYFUNCTION("""COMPUTED_VALUE"""),472261.61032)</f>
        <v>472261.61031999998</v>
      </c>
      <c r="F3911" s="22">
        <f ca="1">IFERROR(__xludf.DUMMYFUNCTION("""COMPUTED_VALUE"""),212525.44104)</f>
        <v>212525.44104000001</v>
      </c>
      <c r="G3911" s="22">
        <f ca="1">IFERROR(__xludf.DUMMYFUNCTION("""COMPUTED_VALUE"""),0)</f>
        <v>0</v>
      </c>
      <c r="H3911" s="7">
        <f ca="1">IFERROR(__xludf.DUMMYFUNCTION("""COMPUTED_VALUE"""),447559.190575)</f>
        <v>447559.19057500002</v>
      </c>
    </row>
    <row r="3912" spans="1:8" ht="13" x14ac:dyDescent="0.15">
      <c r="A3912" s="5" t="str">
        <f ca="1">IFERROR(__xludf.DUMMYFUNCTION("""COMPUTED_VALUE"""),"75415")</f>
        <v>75415</v>
      </c>
      <c r="B3912" s="51">
        <f ca="1">IFERROR(__xludf.DUMMYFUNCTION("""COMPUTED_VALUE"""),44641)</f>
        <v>44641</v>
      </c>
      <c r="C3912" s="22">
        <f ca="1">IFERROR(__xludf.DUMMYFUNCTION("""COMPUTED_VALUE"""),330611.48154)</f>
        <v>330611.48154000001</v>
      </c>
      <c r="D3912" s="22">
        <f ca="1">IFERROR(__xludf.DUMMYFUNCTION("""COMPUTED_VALUE"""),116020.121699999)</f>
        <v>116020.121699999</v>
      </c>
      <c r="E3912" s="22">
        <f ca="1">IFERROR(__xludf.DUMMYFUNCTION("""COMPUTED_VALUE"""),446631.603239999)</f>
        <v>446631.60323999898</v>
      </c>
      <c r="F3912" s="22">
        <f ca="1">IFERROR(__xludf.DUMMYFUNCTION("""COMPUTED_VALUE"""),94439.40054)</f>
        <v>94439.400540000002</v>
      </c>
      <c r="G3912" s="22">
        <f ca="1">IFERROR(__xludf.DUMMYFUNCTION("""COMPUTED_VALUE"""),0)</f>
        <v>0</v>
      </c>
      <c r="H3912" s="7">
        <f ca="1">IFERROR(__xludf.DUMMYFUNCTION("""COMPUTED_VALUE"""),446631.60324)</f>
        <v>446631.60324000003</v>
      </c>
    </row>
    <row r="3913" spans="1:8" ht="13" x14ac:dyDescent="0.15">
      <c r="A3913" s="5" t="str">
        <f ca="1">IFERROR(__xludf.DUMMYFUNCTION("""COMPUTED_VALUE"""),"75415")</f>
        <v>75415</v>
      </c>
      <c r="B3913" s="51">
        <f ca="1">IFERROR(__xludf.DUMMYFUNCTION("""COMPUTED_VALUE"""),44642)</f>
        <v>44642</v>
      </c>
      <c r="C3913" s="22">
        <f ca="1">IFERROR(__xludf.DUMMYFUNCTION("""COMPUTED_VALUE"""),246941.38604)</f>
        <v>246941.38604000001</v>
      </c>
      <c r="D3913" s="22">
        <f ca="1">IFERROR(__xludf.DUMMYFUNCTION("""COMPUTED_VALUE"""),206443.633199999)</f>
        <v>206443.63319999899</v>
      </c>
      <c r="E3913" s="22">
        <f ca="1">IFERROR(__xludf.DUMMYFUNCTION("""COMPUTED_VALUE"""),453385.019239999)</f>
        <v>453385.019239999</v>
      </c>
      <c r="F3913" s="22">
        <f ca="1">IFERROR(__xludf.DUMMYFUNCTION("""COMPUTED_VALUE"""),10769.30504)</f>
        <v>10769.305039999999</v>
      </c>
      <c r="G3913" s="22">
        <f ca="1">IFERROR(__xludf.DUMMYFUNCTION("""COMPUTED_VALUE"""),0)</f>
        <v>0</v>
      </c>
      <c r="H3913" s="7">
        <f ca="1">IFERROR(__xludf.DUMMYFUNCTION("""COMPUTED_VALUE"""),453385.01924)</f>
        <v>453385.01923999999</v>
      </c>
    </row>
    <row r="3914" spans="1:8" ht="13" x14ac:dyDescent="0.15">
      <c r="A3914" s="5" t="str">
        <f ca="1">IFERROR(__xludf.DUMMYFUNCTION("""COMPUTED_VALUE"""),"75597")</f>
        <v>75597</v>
      </c>
      <c r="B3914" s="51">
        <f ca="1">IFERROR(__xludf.DUMMYFUNCTION("""COMPUTED_VALUE"""),44597)</f>
        <v>44597</v>
      </c>
      <c r="C3914" s="22">
        <f ca="1">IFERROR(__xludf.DUMMYFUNCTION("""COMPUTED_VALUE"""),500000)</f>
        <v>500000</v>
      </c>
      <c r="D3914" s="22">
        <f ca="1">IFERROR(__xludf.DUMMYFUNCTION("""COMPUTED_VALUE"""),0)</f>
        <v>0</v>
      </c>
      <c r="E3914" s="22">
        <f ca="1">IFERROR(__xludf.DUMMYFUNCTION("""COMPUTED_VALUE"""),500000)</f>
        <v>500000</v>
      </c>
      <c r="F3914" s="22">
        <f ca="1">IFERROR(__xludf.DUMMYFUNCTION("""COMPUTED_VALUE"""),500000)</f>
        <v>500000</v>
      </c>
      <c r="G3914" s="22">
        <f ca="1">IFERROR(__xludf.DUMMYFUNCTION("""COMPUTED_VALUE"""),0)</f>
        <v>0</v>
      </c>
      <c r="H3914" s="7">
        <f ca="1">IFERROR(__xludf.DUMMYFUNCTION("""COMPUTED_VALUE"""),500000)</f>
        <v>500000</v>
      </c>
    </row>
    <row r="3915" spans="1:8" ht="13" x14ac:dyDescent="0.15">
      <c r="A3915" s="5" t="str">
        <f ca="1">IFERROR(__xludf.DUMMYFUNCTION("""COMPUTED_VALUE"""),"75597")</f>
        <v>75597</v>
      </c>
      <c r="B3915" s="51">
        <f ca="1">IFERROR(__xludf.DUMMYFUNCTION("""COMPUTED_VALUE"""),44598)</f>
        <v>44598</v>
      </c>
      <c r="C3915" s="22">
        <f ca="1">IFERROR(__xludf.DUMMYFUNCTION("""COMPUTED_VALUE"""),500000)</f>
        <v>500000</v>
      </c>
      <c r="D3915" s="22">
        <f ca="1">IFERROR(__xludf.DUMMYFUNCTION("""COMPUTED_VALUE"""),0)</f>
        <v>0</v>
      </c>
      <c r="E3915" s="22">
        <f ca="1">IFERROR(__xludf.DUMMYFUNCTION("""COMPUTED_VALUE"""),500000)</f>
        <v>500000</v>
      </c>
      <c r="F3915" s="22">
        <f ca="1">IFERROR(__xludf.DUMMYFUNCTION("""COMPUTED_VALUE"""),500000)</f>
        <v>500000</v>
      </c>
      <c r="G3915" s="22">
        <f ca="1">IFERROR(__xludf.DUMMYFUNCTION("""COMPUTED_VALUE"""),0)</f>
        <v>0</v>
      </c>
      <c r="H3915" s="7">
        <f ca="1">IFERROR(__xludf.DUMMYFUNCTION("""COMPUTED_VALUE"""),500000)</f>
        <v>500000</v>
      </c>
    </row>
    <row r="3916" spans="1:8" ht="13" x14ac:dyDescent="0.15">
      <c r="A3916" s="5" t="str">
        <f ca="1">IFERROR(__xludf.DUMMYFUNCTION("""COMPUTED_VALUE"""),"75597")</f>
        <v>75597</v>
      </c>
      <c r="B3916" s="51">
        <f ca="1">IFERROR(__xludf.DUMMYFUNCTION("""COMPUTED_VALUE"""),44599)</f>
        <v>44599</v>
      </c>
      <c r="C3916" s="22">
        <f ca="1">IFERROR(__xludf.DUMMYFUNCTION("""COMPUTED_VALUE"""),500000)</f>
        <v>500000</v>
      </c>
      <c r="D3916" s="22">
        <f ca="1">IFERROR(__xludf.DUMMYFUNCTION("""COMPUTED_VALUE"""),0)</f>
        <v>0</v>
      </c>
      <c r="E3916" s="22">
        <f ca="1">IFERROR(__xludf.DUMMYFUNCTION("""COMPUTED_VALUE"""),500000)</f>
        <v>500000</v>
      </c>
      <c r="F3916" s="22">
        <f ca="1">IFERROR(__xludf.DUMMYFUNCTION("""COMPUTED_VALUE"""),500000)</f>
        <v>500000</v>
      </c>
      <c r="G3916" s="22">
        <f ca="1">IFERROR(__xludf.DUMMYFUNCTION("""COMPUTED_VALUE"""),0)</f>
        <v>0</v>
      </c>
      <c r="H3916" s="7">
        <f ca="1">IFERROR(__xludf.DUMMYFUNCTION("""COMPUTED_VALUE"""),500000)</f>
        <v>500000</v>
      </c>
    </row>
    <row r="3917" spans="1:8" ht="13" x14ac:dyDescent="0.15">
      <c r="A3917" s="5" t="str">
        <f ca="1">IFERROR(__xludf.DUMMYFUNCTION("""COMPUTED_VALUE"""),"75597")</f>
        <v>75597</v>
      </c>
      <c r="B3917" s="51">
        <f ca="1">IFERROR(__xludf.DUMMYFUNCTION("""COMPUTED_VALUE"""),44600)</f>
        <v>44600</v>
      </c>
      <c r="C3917" s="22">
        <f ca="1">IFERROR(__xludf.DUMMYFUNCTION("""COMPUTED_VALUE"""),500000)</f>
        <v>500000</v>
      </c>
      <c r="D3917" s="22">
        <f ca="1">IFERROR(__xludf.DUMMYFUNCTION("""COMPUTED_VALUE"""),0)</f>
        <v>0</v>
      </c>
      <c r="E3917" s="22">
        <f ca="1">IFERROR(__xludf.DUMMYFUNCTION("""COMPUTED_VALUE"""),500000)</f>
        <v>500000</v>
      </c>
      <c r="F3917" s="22">
        <f ca="1">IFERROR(__xludf.DUMMYFUNCTION("""COMPUTED_VALUE"""),500000)</f>
        <v>500000</v>
      </c>
      <c r="G3917" s="22">
        <f ca="1">IFERROR(__xludf.DUMMYFUNCTION("""COMPUTED_VALUE"""),0)</f>
        <v>0</v>
      </c>
      <c r="H3917" s="7">
        <f ca="1">IFERROR(__xludf.DUMMYFUNCTION("""COMPUTED_VALUE"""),500000)</f>
        <v>500000</v>
      </c>
    </row>
    <row r="3918" spans="1:8" ht="13" x14ac:dyDescent="0.15">
      <c r="A3918" s="5" t="str">
        <f ca="1">IFERROR(__xludf.DUMMYFUNCTION("""COMPUTED_VALUE"""),"75597")</f>
        <v>75597</v>
      </c>
      <c r="B3918" s="51">
        <f ca="1">IFERROR(__xludf.DUMMYFUNCTION("""COMPUTED_VALUE"""),44601)</f>
        <v>44601</v>
      </c>
      <c r="C3918" s="22">
        <f ca="1">IFERROR(__xludf.DUMMYFUNCTION("""COMPUTED_VALUE"""),500000)</f>
        <v>500000</v>
      </c>
      <c r="D3918" s="22">
        <f ca="1">IFERROR(__xludf.DUMMYFUNCTION("""COMPUTED_VALUE"""),0)</f>
        <v>0</v>
      </c>
      <c r="E3918" s="22">
        <f ca="1">IFERROR(__xludf.DUMMYFUNCTION("""COMPUTED_VALUE"""),500000)</f>
        <v>500000</v>
      </c>
      <c r="F3918" s="22">
        <f ca="1">IFERROR(__xludf.DUMMYFUNCTION("""COMPUTED_VALUE"""),500000)</f>
        <v>500000</v>
      </c>
      <c r="G3918" s="22">
        <f ca="1">IFERROR(__xludf.DUMMYFUNCTION("""COMPUTED_VALUE"""),0)</f>
        <v>0</v>
      </c>
      <c r="H3918" s="7">
        <f ca="1">IFERROR(__xludf.DUMMYFUNCTION("""COMPUTED_VALUE"""),500000)</f>
        <v>500000</v>
      </c>
    </row>
    <row r="3919" spans="1:8" ht="13" x14ac:dyDescent="0.15">
      <c r="A3919" s="5" t="str">
        <f ca="1">IFERROR(__xludf.DUMMYFUNCTION("""COMPUTED_VALUE"""),"75597")</f>
        <v>75597</v>
      </c>
      <c r="B3919" s="51">
        <f ca="1">IFERROR(__xludf.DUMMYFUNCTION("""COMPUTED_VALUE"""),44602)</f>
        <v>44602</v>
      </c>
      <c r="C3919" s="22">
        <f ca="1">IFERROR(__xludf.DUMMYFUNCTION("""COMPUTED_VALUE"""),500000)</f>
        <v>500000</v>
      </c>
      <c r="D3919" s="22">
        <f ca="1">IFERROR(__xludf.DUMMYFUNCTION("""COMPUTED_VALUE"""),0)</f>
        <v>0</v>
      </c>
      <c r="E3919" s="22">
        <f ca="1">IFERROR(__xludf.DUMMYFUNCTION("""COMPUTED_VALUE"""),500000)</f>
        <v>500000</v>
      </c>
      <c r="F3919" s="22">
        <f ca="1">IFERROR(__xludf.DUMMYFUNCTION("""COMPUTED_VALUE"""),500000)</f>
        <v>500000</v>
      </c>
      <c r="G3919" s="22">
        <f ca="1">IFERROR(__xludf.DUMMYFUNCTION("""COMPUTED_VALUE"""),0)</f>
        <v>0</v>
      </c>
      <c r="H3919" s="7">
        <f ca="1">IFERROR(__xludf.DUMMYFUNCTION("""COMPUTED_VALUE"""),500000)</f>
        <v>500000</v>
      </c>
    </row>
    <row r="3920" spans="1:8" ht="13" x14ac:dyDescent="0.15">
      <c r="A3920" s="5" t="str">
        <f ca="1">IFERROR(__xludf.DUMMYFUNCTION("""COMPUTED_VALUE"""),"75597")</f>
        <v>75597</v>
      </c>
      <c r="B3920" s="51">
        <f ca="1">IFERROR(__xludf.DUMMYFUNCTION("""COMPUTED_VALUE"""),44603)</f>
        <v>44603</v>
      </c>
      <c r="C3920" s="22">
        <f ca="1">IFERROR(__xludf.DUMMYFUNCTION("""COMPUTED_VALUE"""),500000)</f>
        <v>500000</v>
      </c>
      <c r="D3920" s="22">
        <f ca="1">IFERROR(__xludf.DUMMYFUNCTION("""COMPUTED_VALUE"""),0)</f>
        <v>0</v>
      </c>
      <c r="E3920" s="22">
        <f ca="1">IFERROR(__xludf.DUMMYFUNCTION("""COMPUTED_VALUE"""),500000)</f>
        <v>500000</v>
      </c>
      <c r="F3920" s="22">
        <f ca="1">IFERROR(__xludf.DUMMYFUNCTION("""COMPUTED_VALUE"""),500000)</f>
        <v>500000</v>
      </c>
      <c r="G3920" s="22">
        <f ca="1">IFERROR(__xludf.DUMMYFUNCTION("""COMPUTED_VALUE"""),0)</f>
        <v>0</v>
      </c>
      <c r="H3920" s="7">
        <f ca="1">IFERROR(__xludf.DUMMYFUNCTION("""COMPUTED_VALUE"""),500000)</f>
        <v>500000</v>
      </c>
    </row>
    <row r="3921" spans="1:8" ht="13" x14ac:dyDescent="0.15">
      <c r="A3921" s="5" t="str">
        <f ca="1">IFERROR(__xludf.DUMMYFUNCTION("""COMPUTED_VALUE"""),"75597")</f>
        <v>75597</v>
      </c>
      <c r="B3921" s="51">
        <f ca="1">IFERROR(__xludf.DUMMYFUNCTION("""COMPUTED_VALUE"""),44604)</f>
        <v>44604</v>
      </c>
      <c r="C3921" s="22">
        <f ca="1">IFERROR(__xludf.DUMMYFUNCTION("""COMPUTED_VALUE"""),500000)</f>
        <v>500000</v>
      </c>
      <c r="D3921" s="22">
        <f ca="1">IFERROR(__xludf.DUMMYFUNCTION("""COMPUTED_VALUE"""),0)</f>
        <v>0</v>
      </c>
      <c r="E3921" s="22">
        <f ca="1">IFERROR(__xludf.DUMMYFUNCTION("""COMPUTED_VALUE"""),500000)</f>
        <v>500000</v>
      </c>
      <c r="F3921" s="22">
        <f ca="1">IFERROR(__xludf.DUMMYFUNCTION("""COMPUTED_VALUE"""),500000)</f>
        <v>500000</v>
      </c>
      <c r="G3921" s="22">
        <f ca="1">IFERROR(__xludf.DUMMYFUNCTION("""COMPUTED_VALUE"""),0)</f>
        <v>0</v>
      </c>
      <c r="H3921" s="7">
        <f ca="1">IFERROR(__xludf.DUMMYFUNCTION("""COMPUTED_VALUE"""),500000)</f>
        <v>500000</v>
      </c>
    </row>
    <row r="3922" spans="1:8" ht="13" x14ac:dyDescent="0.15">
      <c r="A3922" s="5" t="str">
        <f ca="1">IFERROR(__xludf.DUMMYFUNCTION("""COMPUTED_VALUE"""),"75597")</f>
        <v>75597</v>
      </c>
      <c r="B3922" s="51">
        <f ca="1">IFERROR(__xludf.DUMMYFUNCTION("""COMPUTED_VALUE"""),44605)</f>
        <v>44605</v>
      </c>
      <c r="C3922" s="22">
        <f ca="1">IFERROR(__xludf.DUMMYFUNCTION("""COMPUTED_VALUE"""),500000)</f>
        <v>500000</v>
      </c>
      <c r="D3922" s="22">
        <f ca="1">IFERROR(__xludf.DUMMYFUNCTION("""COMPUTED_VALUE"""),0)</f>
        <v>0</v>
      </c>
      <c r="E3922" s="22">
        <f ca="1">IFERROR(__xludf.DUMMYFUNCTION("""COMPUTED_VALUE"""),500000)</f>
        <v>500000</v>
      </c>
      <c r="F3922" s="22">
        <f ca="1">IFERROR(__xludf.DUMMYFUNCTION("""COMPUTED_VALUE"""),500000)</f>
        <v>500000</v>
      </c>
      <c r="G3922" s="22">
        <f ca="1">IFERROR(__xludf.DUMMYFUNCTION("""COMPUTED_VALUE"""),0)</f>
        <v>0</v>
      </c>
      <c r="H3922" s="7">
        <f ca="1">IFERROR(__xludf.DUMMYFUNCTION("""COMPUTED_VALUE"""),500000)</f>
        <v>500000</v>
      </c>
    </row>
    <row r="3923" spans="1:8" ht="13" x14ac:dyDescent="0.15">
      <c r="A3923" s="5" t="str">
        <f ca="1">IFERROR(__xludf.DUMMYFUNCTION("""COMPUTED_VALUE"""),"75597")</f>
        <v>75597</v>
      </c>
      <c r="B3923" s="51">
        <f ca="1">IFERROR(__xludf.DUMMYFUNCTION("""COMPUTED_VALUE"""),44606)</f>
        <v>44606</v>
      </c>
      <c r="C3923" s="22">
        <f ca="1">IFERROR(__xludf.DUMMYFUNCTION("""COMPUTED_VALUE"""),500000)</f>
        <v>500000</v>
      </c>
      <c r="D3923" s="22">
        <f ca="1">IFERROR(__xludf.DUMMYFUNCTION("""COMPUTED_VALUE"""),0)</f>
        <v>0</v>
      </c>
      <c r="E3923" s="22">
        <f ca="1">IFERROR(__xludf.DUMMYFUNCTION("""COMPUTED_VALUE"""),500000)</f>
        <v>500000</v>
      </c>
      <c r="F3923" s="22">
        <f ca="1">IFERROR(__xludf.DUMMYFUNCTION("""COMPUTED_VALUE"""),500000)</f>
        <v>500000</v>
      </c>
      <c r="G3923" s="22">
        <f ca="1">IFERROR(__xludf.DUMMYFUNCTION("""COMPUTED_VALUE"""),0)</f>
        <v>0</v>
      </c>
      <c r="H3923" s="7">
        <f ca="1">IFERROR(__xludf.DUMMYFUNCTION("""COMPUTED_VALUE"""),500000)</f>
        <v>500000</v>
      </c>
    </row>
    <row r="3924" spans="1:8" ht="13" x14ac:dyDescent="0.15">
      <c r="A3924" s="5" t="str">
        <f ca="1">IFERROR(__xludf.DUMMYFUNCTION("""COMPUTED_VALUE"""),"75597")</f>
        <v>75597</v>
      </c>
      <c r="B3924" s="51">
        <f ca="1">IFERROR(__xludf.DUMMYFUNCTION("""COMPUTED_VALUE"""),44607)</f>
        <v>44607</v>
      </c>
      <c r="C3924" s="22">
        <f ca="1">IFERROR(__xludf.DUMMYFUNCTION("""COMPUTED_VALUE"""),500000)</f>
        <v>500000</v>
      </c>
      <c r="D3924" s="22">
        <f ca="1">IFERROR(__xludf.DUMMYFUNCTION("""COMPUTED_VALUE"""),0)</f>
        <v>0</v>
      </c>
      <c r="E3924" s="22">
        <f ca="1">IFERROR(__xludf.DUMMYFUNCTION("""COMPUTED_VALUE"""),500000)</f>
        <v>500000</v>
      </c>
      <c r="F3924" s="22">
        <f ca="1">IFERROR(__xludf.DUMMYFUNCTION("""COMPUTED_VALUE"""),500000)</f>
        <v>500000</v>
      </c>
      <c r="G3924" s="22">
        <f ca="1">IFERROR(__xludf.DUMMYFUNCTION("""COMPUTED_VALUE"""),0)</f>
        <v>0</v>
      </c>
      <c r="H3924" s="7">
        <f ca="1">IFERROR(__xludf.DUMMYFUNCTION("""COMPUTED_VALUE"""),500000)</f>
        <v>500000</v>
      </c>
    </row>
    <row r="3925" spans="1:8" ht="13" x14ac:dyDescent="0.15">
      <c r="A3925" s="5" t="str">
        <f ca="1">IFERROR(__xludf.DUMMYFUNCTION("""COMPUTED_VALUE"""),"75597")</f>
        <v>75597</v>
      </c>
      <c r="B3925" s="51">
        <f ca="1">IFERROR(__xludf.DUMMYFUNCTION("""COMPUTED_VALUE"""),44608)</f>
        <v>44608</v>
      </c>
      <c r="C3925" s="22">
        <f ca="1">IFERROR(__xludf.DUMMYFUNCTION("""COMPUTED_VALUE"""),500000)</f>
        <v>500000</v>
      </c>
      <c r="D3925" s="22">
        <f ca="1">IFERROR(__xludf.DUMMYFUNCTION("""COMPUTED_VALUE"""),0)</f>
        <v>0</v>
      </c>
      <c r="E3925" s="22">
        <f ca="1">IFERROR(__xludf.DUMMYFUNCTION("""COMPUTED_VALUE"""),500000)</f>
        <v>500000</v>
      </c>
      <c r="F3925" s="22">
        <f ca="1">IFERROR(__xludf.DUMMYFUNCTION("""COMPUTED_VALUE"""),500000)</f>
        <v>500000</v>
      </c>
      <c r="G3925" s="22">
        <f ca="1">IFERROR(__xludf.DUMMYFUNCTION("""COMPUTED_VALUE"""),0)</f>
        <v>0</v>
      </c>
      <c r="H3925" s="7">
        <f ca="1">IFERROR(__xludf.DUMMYFUNCTION("""COMPUTED_VALUE"""),500000)</f>
        <v>500000</v>
      </c>
    </row>
    <row r="3926" spans="1:8" ht="13" x14ac:dyDescent="0.15">
      <c r="A3926" s="5" t="str">
        <f ca="1">IFERROR(__xludf.DUMMYFUNCTION("""COMPUTED_VALUE"""),"75597")</f>
        <v>75597</v>
      </c>
      <c r="B3926" s="51">
        <f ca="1">IFERROR(__xludf.DUMMYFUNCTION("""COMPUTED_VALUE"""),44609)</f>
        <v>44609</v>
      </c>
      <c r="C3926" s="22">
        <f ca="1">IFERROR(__xludf.DUMMYFUNCTION("""COMPUTED_VALUE"""),500000)</f>
        <v>500000</v>
      </c>
      <c r="D3926" s="22">
        <f ca="1">IFERROR(__xludf.DUMMYFUNCTION("""COMPUTED_VALUE"""),0)</f>
        <v>0</v>
      </c>
      <c r="E3926" s="22">
        <f ca="1">IFERROR(__xludf.DUMMYFUNCTION("""COMPUTED_VALUE"""),500000)</f>
        <v>500000</v>
      </c>
      <c r="F3926" s="22">
        <f ca="1">IFERROR(__xludf.DUMMYFUNCTION("""COMPUTED_VALUE"""),500000)</f>
        <v>500000</v>
      </c>
      <c r="G3926" s="22">
        <f ca="1">IFERROR(__xludf.DUMMYFUNCTION("""COMPUTED_VALUE"""),0)</f>
        <v>0</v>
      </c>
      <c r="H3926" s="7">
        <f ca="1">IFERROR(__xludf.DUMMYFUNCTION("""COMPUTED_VALUE"""),500000)</f>
        <v>500000</v>
      </c>
    </row>
    <row r="3927" spans="1:8" ht="13" x14ac:dyDescent="0.15">
      <c r="A3927" s="5" t="str">
        <f ca="1">IFERROR(__xludf.DUMMYFUNCTION("""COMPUTED_VALUE"""),"75597")</f>
        <v>75597</v>
      </c>
      <c r="B3927" s="51">
        <f ca="1">IFERROR(__xludf.DUMMYFUNCTION("""COMPUTED_VALUE"""),44610)</f>
        <v>44610</v>
      </c>
      <c r="C3927" s="22">
        <f ca="1">IFERROR(__xludf.DUMMYFUNCTION("""COMPUTED_VALUE"""),500000)</f>
        <v>500000</v>
      </c>
      <c r="D3927" s="22">
        <f ca="1">IFERROR(__xludf.DUMMYFUNCTION("""COMPUTED_VALUE"""),0)</f>
        <v>0</v>
      </c>
      <c r="E3927" s="22">
        <f ca="1">IFERROR(__xludf.DUMMYFUNCTION("""COMPUTED_VALUE"""),500000)</f>
        <v>500000</v>
      </c>
      <c r="F3927" s="22">
        <f ca="1">IFERROR(__xludf.DUMMYFUNCTION("""COMPUTED_VALUE"""),500000)</f>
        <v>500000</v>
      </c>
      <c r="G3927" s="22">
        <f ca="1">IFERROR(__xludf.DUMMYFUNCTION("""COMPUTED_VALUE"""),0)</f>
        <v>0</v>
      </c>
      <c r="H3927" s="7">
        <f ca="1">IFERROR(__xludf.DUMMYFUNCTION("""COMPUTED_VALUE"""),500000)</f>
        <v>500000</v>
      </c>
    </row>
    <row r="3928" spans="1:8" ht="13" x14ac:dyDescent="0.15">
      <c r="A3928" s="5" t="str">
        <f ca="1">IFERROR(__xludf.DUMMYFUNCTION("""COMPUTED_VALUE"""),"75597")</f>
        <v>75597</v>
      </c>
      <c r="B3928" s="51">
        <f ca="1">IFERROR(__xludf.DUMMYFUNCTION("""COMPUTED_VALUE"""),44611)</f>
        <v>44611</v>
      </c>
      <c r="C3928" s="22">
        <f ca="1">IFERROR(__xludf.DUMMYFUNCTION("""COMPUTED_VALUE"""),500000)</f>
        <v>500000</v>
      </c>
      <c r="D3928" s="22">
        <f ca="1">IFERROR(__xludf.DUMMYFUNCTION("""COMPUTED_VALUE"""),0)</f>
        <v>0</v>
      </c>
      <c r="E3928" s="22">
        <f ca="1">IFERROR(__xludf.DUMMYFUNCTION("""COMPUTED_VALUE"""),500000)</f>
        <v>500000</v>
      </c>
      <c r="F3928" s="22">
        <f ca="1">IFERROR(__xludf.DUMMYFUNCTION("""COMPUTED_VALUE"""),500000)</f>
        <v>500000</v>
      </c>
      <c r="G3928" s="22">
        <f ca="1">IFERROR(__xludf.DUMMYFUNCTION("""COMPUTED_VALUE"""),0)</f>
        <v>0</v>
      </c>
      <c r="H3928" s="7">
        <f ca="1">IFERROR(__xludf.DUMMYFUNCTION("""COMPUTED_VALUE"""),500000)</f>
        <v>500000</v>
      </c>
    </row>
    <row r="3929" spans="1:8" ht="13" x14ac:dyDescent="0.15">
      <c r="A3929" s="5" t="str">
        <f ca="1">IFERROR(__xludf.DUMMYFUNCTION("""COMPUTED_VALUE"""),"75597")</f>
        <v>75597</v>
      </c>
      <c r="B3929" s="51">
        <f ca="1">IFERROR(__xludf.DUMMYFUNCTION("""COMPUTED_VALUE"""),44612)</f>
        <v>44612</v>
      </c>
      <c r="C3929" s="22">
        <f ca="1">IFERROR(__xludf.DUMMYFUNCTION("""COMPUTED_VALUE"""),500000)</f>
        <v>500000</v>
      </c>
      <c r="D3929" s="22">
        <f ca="1">IFERROR(__xludf.DUMMYFUNCTION("""COMPUTED_VALUE"""),0)</f>
        <v>0</v>
      </c>
      <c r="E3929" s="22">
        <f ca="1">IFERROR(__xludf.DUMMYFUNCTION("""COMPUTED_VALUE"""),500000)</f>
        <v>500000</v>
      </c>
      <c r="F3929" s="22">
        <f ca="1">IFERROR(__xludf.DUMMYFUNCTION("""COMPUTED_VALUE"""),500000)</f>
        <v>500000</v>
      </c>
      <c r="G3929" s="22">
        <f ca="1">IFERROR(__xludf.DUMMYFUNCTION("""COMPUTED_VALUE"""),0)</f>
        <v>0</v>
      </c>
      <c r="H3929" s="7">
        <f ca="1">IFERROR(__xludf.DUMMYFUNCTION("""COMPUTED_VALUE"""),500000)</f>
        <v>500000</v>
      </c>
    </row>
    <row r="3930" spans="1:8" ht="13" x14ac:dyDescent="0.15">
      <c r="A3930" s="5" t="str">
        <f ca="1">IFERROR(__xludf.DUMMYFUNCTION("""COMPUTED_VALUE"""),"75597")</f>
        <v>75597</v>
      </c>
      <c r="B3930" s="51">
        <f ca="1">IFERROR(__xludf.DUMMYFUNCTION("""COMPUTED_VALUE"""),44613)</f>
        <v>44613</v>
      </c>
      <c r="C3930" s="22">
        <f ca="1">IFERROR(__xludf.DUMMYFUNCTION("""COMPUTED_VALUE"""),500000)</f>
        <v>500000</v>
      </c>
      <c r="D3930" s="22">
        <f ca="1">IFERROR(__xludf.DUMMYFUNCTION("""COMPUTED_VALUE"""),0)</f>
        <v>0</v>
      </c>
      <c r="E3930" s="22">
        <f ca="1">IFERROR(__xludf.DUMMYFUNCTION("""COMPUTED_VALUE"""),500000)</f>
        <v>500000</v>
      </c>
      <c r="F3930" s="22">
        <f ca="1">IFERROR(__xludf.DUMMYFUNCTION("""COMPUTED_VALUE"""),500000)</f>
        <v>500000</v>
      </c>
      <c r="G3930" s="22">
        <f ca="1">IFERROR(__xludf.DUMMYFUNCTION("""COMPUTED_VALUE"""),0)</f>
        <v>0</v>
      </c>
      <c r="H3930" s="7">
        <f ca="1">IFERROR(__xludf.DUMMYFUNCTION("""COMPUTED_VALUE"""),500000)</f>
        <v>500000</v>
      </c>
    </row>
    <row r="3931" spans="1:8" ht="13" x14ac:dyDescent="0.15">
      <c r="A3931" s="5" t="str">
        <f ca="1">IFERROR(__xludf.DUMMYFUNCTION("""COMPUTED_VALUE"""),"75597")</f>
        <v>75597</v>
      </c>
      <c r="B3931" s="51">
        <f ca="1">IFERROR(__xludf.DUMMYFUNCTION("""COMPUTED_VALUE"""),44614)</f>
        <v>44614</v>
      </c>
      <c r="C3931" s="22">
        <f ca="1">IFERROR(__xludf.DUMMYFUNCTION("""COMPUTED_VALUE"""),500000)</f>
        <v>500000</v>
      </c>
      <c r="D3931" s="22">
        <f ca="1">IFERROR(__xludf.DUMMYFUNCTION("""COMPUTED_VALUE"""),0)</f>
        <v>0</v>
      </c>
      <c r="E3931" s="22">
        <f ca="1">IFERROR(__xludf.DUMMYFUNCTION("""COMPUTED_VALUE"""),500000)</f>
        <v>500000</v>
      </c>
      <c r="F3931" s="22">
        <f ca="1">IFERROR(__xludf.DUMMYFUNCTION("""COMPUTED_VALUE"""),500000)</f>
        <v>500000</v>
      </c>
      <c r="G3931" s="22">
        <f ca="1">IFERROR(__xludf.DUMMYFUNCTION("""COMPUTED_VALUE"""),0)</f>
        <v>0</v>
      </c>
      <c r="H3931" s="7">
        <f ca="1">IFERROR(__xludf.DUMMYFUNCTION("""COMPUTED_VALUE"""),500000)</f>
        <v>500000</v>
      </c>
    </row>
    <row r="3932" spans="1:8" ht="13" x14ac:dyDescent="0.15">
      <c r="A3932" s="5" t="str">
        <f ca="1">IFERROR(__xludf.DUMMYFUNCTION("""COMPUTED_VALUE"""),"75597")</f>
        <v>75597</v>
      </c>
      <c r="B3932" s="51">
        <f ca="1">IFERROR(__xludf.DUMMYFUNCTION("""COMPUTED_VALUE"""),44615)</f>
        <v>44615</v>
      </c>
      <c r="C3932" s="22">
        <f ca="1">IFERROR(__xludf.DUMMYFUNCTION("""COMPUTED_VALUE"""),500000)</f>
        <v>500000</v>
      </c>
      <c r="D3932" s="22">
        <f ca="1">IFERROR(__xludf.DUMMYFUNCTION("""COMPUTED_VALUE"""),0)</f>
        <v>0</v>
      </c>
      <c r="E3932" s="22">
        <f ca="1">IFERROR(__xludf.DUMMYFUNCTION("""COMPUTED_VALUE"""),500000)</f>
        <v>500000</v>
      </c>
      <c r="F3932" s="22">
        <f ca="1">IFERROR(__xludf.DUMMYFUNCTION("""COMPUTED_VALUE"""),500000)</f>
        <v>500000</v>
      </c>
      <c r="G3932" s="22">
        <f ca="1">IFERROR(__xludf.DUMMYFUNCTION("""COMPUTED_VALUE"""),0)</f>
        <v>0</v>
      </c>
      <c r="H3932" s="7">
        <f ca="1">IFERROR(__xludf.DUMMYFUNCTION("""COMPUTED_VALUE"""),500000)</f>
        <v>500000</v>
      </c>
    </row>
    <row r="3933" spans="1:8" ht="13" x14ac:dyDescent="0.15">
      <c r="A3933" s="5" t="str">
        <f ca="1">IFERROR(__xludf.DUMMYFUNCTION("""COMPUTED_VALUE"""),"75597")</f>
        <v>75597</v>
      </c>
      <c r="B3933" s="51">
        <f ca="1">IFERROR(__xludf.DUMMYFUNCTION("""COMPUTED_VALUE"""),44616)</f>
        <v>44616</v>
      </c>
      <c r="C3933" s="22">
        <f ca="1">IFERROR(__xludf.DUMMYFUNCTION("""COMPUTED_VALUE"""),500000)</f>
        <v>500000</v>
      </c>
      <c r="D3933" s="22">
        <f ca="1">IFERROR(__xludf.DUMMYFUNCTION("""COMPUTED_VALUE"""),0)</f>
        <v>0</v>
      </c>
      <c r="E3933" s="22">
        <f ca="1">IFERROR(__xludf.DUMMYFUNCTION("""COMPUTED_VALUE"""),500000)</f>
        <v>500000</v>
      </c>
      <c r="F3933" s="22">
        <f ca="1">IFERROR(__xludf.DUMMYFUNCTION("""COMPUTED_VALUE"""),500000)</f>
        <v>500000</v>
      </c>
      <c r="G3933" s="22">
        <f ca="1">IFERROR(__xludf.DUMMYFUNCTION("""COMPUTED_VALUE"""),0)</f>
        <v>0</v>
      </c>
      <c r="H3933" s="7">
        <f ca="1">IFERROR(__xludf.DUMMYFUNCTION("""COMPUTED_VALUE"""),500000)</f>
        <v>500000</v>
      </c>
    </row>
    <row r="3934" spans="1:8" ht="13" x14ac:dyDescent="0.15">
      <c r="A3934" s="5" t="str">
        <f ca="1">IFERROR(__xludf.DUMMYFUNCTION("""COMPUTED_VALUE"""),"75597")</f>
        <v>75597</v>
      </c>
      <c r="B3934" s="51">
        <f ca="1">IFERROR(__xludf.DUMMYFUNCTION("""COMPUTED_VALUE"""),44617)</f>
        <v>44617</v>
      </c>
      <c r="C3934" s="22">
        <f ca="1">IFERROR(__xludf.DUMMYFUNCTION("""COMPUTED_VALUE"""),500000)</f>
        <v>500000</v>
      </c>
      <c r="D3934" s="22">
        <f ca="1">IFERROR(__xludf.DUMMYFUNCTION("""COMPUTED_VALUE"""),0)</f>
        <v>0</v>
      </c>
      <c r="E3934" s="22">
        <f ca="1">IFERROR(__xludf.DUMMYFUNCTION("""COMPUTED_VALUE"""),500000)</f>
        <v>500000</v>
      </c>
      <c r="F3934" s="22">
        <f ca="1">IFERROR(__xludf.DUMMYFUNCTION("""COMPUTED_VALUE"""),500000)</f>
        <v>500000</v>
      </c>
      <c r="G3934" s="22">
        <f ca="1">IFERROR(__xludf.DUMMYFUNCTION("""COMPUTED_VALUE"""),0)</f>
        <v>0</v>
      </c>
      <c r="H3934" s="7">
        <f ca="1">IFERROR(__xludf.DUMMYFUNCTION("""COMPUTED_VALUE"""),500000)</f>
        <v>500000</v>
      </c>
    </row>
    <row r="3935" spans="1:8" ht="13" x14ac:dyDescent="0.15">
      <c r="A3935" s="5" t="str">
        <f ca="1">IFERROR(__xludf.DUMMYFUNCTION("""COMPUTED_VALUE"""),"75597")</f>
        <v>75597</v>
      </c>
      <c r="B3935" s="51">
        <f ca="1">IFERROR(__xludf.DUMMYFUNCTION("""COMPUTED_VALUE"""),44618)</f>
        <v>44618</v>
      </c>
      <c r="C3935" s="22">
        <f ca="1">IFERROR(__xludf.DUMMYFUNCTION("""COMPUTED_VALUE"""),500000)</f>
        <v>500000</v>
      </c>
      <c r="D3935" s="22">
        <f ca="1">IFERROR(__xludf.DUMMYFUNCTION("""COMPUTED_VALUE"""),0)</f>
        <v>0</v>
      </c>
      <c r="E3935" s="22">
        <f ca="1">IFERROR(__xludf.DUMMYFUNCTION("""COMPUTED_VALUE"""),500000)</f>
        <v>500000</v>
      </c>
      <c r="F3935" s="22">
        <f ca="1">IFERROR(__xludf.DUMMYFUNCTION("""COMPUTED_VALUE"""),500000)</f>
        <v>500000</v>
      </c>
      <c r="G3935" s="22">
        <f ca="1">IFERROR(__xludf.DUMMYFUNCTION("""COMPUTED_VALUE"""),0)</f>
        <v>0</v>
      </c>
      <c r="H3935" s="7">
        <f ca="1">IFERROR(__xludf.DUMMYFUNCTION("""COMPUTED_VALUE"""),500000)</f>
        <v>500000</v>
      </c>
    </row>
    <row r="3936" spans="1:8" ht="13" x14ac:dyDescent="0.15">
      <c r="A3936" s="5" t="str">
        <f ca="1">IFERROR(__xludf.DUMMYFUNCTION("""COMPUTED_VALUE"""),"75597")</f>
        <v>75597</v>
      </c>
      <c r="B3936" s="51">
        <f ca="1">IFERROR(__xludf.DUMMYFUNCTION("""COMPUTED_VALUE"""),44619)</f>
        <v>44619</v>
      </c>
      <c r="C3936" s="22">
        <f ca="1">IFERROR(__xludf.DUMMYFUNCTION("""COMPUTED_VALUE"""),500000)</f>
        <v>500000</v>
      </c>
      <c r="D3936" s="22">
        <f ca="1">IFERROR(__xludf.DUMMYFUNCTION("""COMPUTED_VALUE"""),0)</f>
        <v>0</v>
      </c>
      <c r="E3936" s="22">
        <f ca="1">IFERROR(__xludf.DUMMYFUNCTION("""COMPUTED_VALUE"""),500000)</f>
        <v>500000</v>
      </c>
      <c r="F3936" s="22">
        <f ca="1">IFERROR(__xludf.DUMMYFUNCTION("""COMPUTED_VALUE"""),500000)</f>
        <v>500000</v>
      </c>
      <c r="G3936" s="22">
        <f ca="1">IFERROR(__xludf.DUMMYFUNCTION("""COMPUTED_VALUE"""),0)</f>
        <v>0</v>
      </c>
      <c r="H3936" s="7">
        <f ca="1">IFERROR(__xludf.DUMMYFUNCTION("""COMPUTED_VALUE"""),500000)</f>
        <v>500000</v>
      </c>
    </row>
    <row r="3937" spans="1:8" ht="13" x14ac:dyDescent="0.15">
      <c r="A3937" s="5" t="str">
        <f ca="1">IFERROR(__xludf.DUMMYFUNCTION("""COMPUTED_VALUE"""),"75597")</f>
        <v>75597</v>
      </c>
      <c r="B3937" s="51">
        <f ca="1">IFERROR(__xludf.DUMMYFUNCTION("""COMPUTED_VALUE"""),44620)</f>
        <v>44620</v>
      </c>
      <c r="C3937" s="22">
        <f ca="1">IFERROR(__xludf.DUMMYFUNCTION("""COMPUTED_VALUE"""),500000)</f>
        <v>500000</v>
      </c>
      <c r="D3937" s="22">
        <f ca="1">IFERROR(__xludf.DUMMYFUNCTION("""COMPUTED_VALUE"""),0)</f>
        <v>0</v>
      </c>
      <c r="E3937" s="22">
        <f ca="1">IFERROR(__xludf.DUMMYFUNCTION("""COMPUTED_VALUE"""),500000)</f>
        <v>500000</v>
      </c>
      <c r="F3937" s="22">
        <f ca="1">IFERROR(__xludf.DUMMYFUNCTION("""COMPUTED_VALUE"""),500000)</f>
        <v>500000</v>
      </c>
      <c r="G3937" s="22">
        <f ca="1">IFERROR(__xludf.DUMMYFUNCTION("""COMPUTED_VALUE"""),0)</f>
        <v>0</v>
      </c>
      <c r="H3937" s="7">
        <f ca="1">IFERROR(__xludf.DUMMYFUNCTION("""COMPUTED_VALUE"""),500000)</f>
        <v>500000</v>
      </c>
    </row>
    <row r="3938" spans="1:8" ht="13" x14ac:dyDescent="0.15">
      <c r="A3938" s="5" t="str">
        <f ca="1">IFERROR(__xludf.DUMMYFUNCTION("""COMPUTED_VALUE"""),"75597")</f>
        <v>75597</v>
      </c>
      <c r="B3938" s="51">
        <f ca="1">IFERROR(__xludf.DUMMYFUNCTION("""COMPUTED_VALUE"""),44621)</f>
        <v>44621</v>
      </c>
      <c r="C3938" s="22">
        <f ca="1">IFERROR(__xludf.DUMMYFUNCTION("""COMPUTED_VALUE"""),500000)</f>
        <v>500000</v>
      </c>
      <c r="D3938" s="22">
        <f ca="1">IFERROR(__xludf.DUMMYFUNCTION("""COMPUTED_VALUE"""),0)</f>
        <v>0</v>
      </c>
      <c r="E3938" s="22">
        <f ca="1">IFERROR(__xludf.DUMMYFUNCTION("""COMPUTED_VALUE"""),500000)</f>
        <v>500000</v>
      </c>
      <c r="F3938" s="22">
        <f ca="1">IFERROR(__xludf.DUMMYFUNCTION("""COMPUTED_VALUE"""),500000)</f>
        <v>500000</v>
      </c>
      <c r="G3938" s="22">
        <f ca="1">IFERROR(__xludf.DUMMYFUNCTION("""COMPUTED_VALUE"""),0)</f>
        <v>0</v>
      </c>
      <c r="H3938" s="7">
        <f ca="1">IFERROR(__xludf.DUMMYFUNCTION("""COMPUTED_VALUE"""),500000)</f>
        <v>500000</v>
      </c>
    </row>
    <row r="3939" spans="1:8" ht="13" x14ac:dyDescent="0.15">
      <c r="A3939" s="5" t="str">
        <f ca="1">IFERROR(__xludf.DUMMYFUNCTION("""COMPUTED_VALUE"""),"75597")</f>
        <v>75597</v>
      </c>
      <c r="B3939" s="51">
        <f ca="1">IFERROR(__xludf.DUMMYFUNCTION("""COMPUTED_VALUE"""),44622)</f>
        <v>44622</v>
      </c>
      <c r="C3939" s="22">
        <f ca="1">IFERROR(__xludf.DUMMYFUNCTION("""COMPUTED_VALUE"""),500000)</f>
        <v>500000</v>
      </c>
      <c r="D3939" s="22">
        <f ca="1">IFERROR(__xludf.DUMMYFUNCTION("""COMPUTED_VALUE"""),0)</f>
        <v>0</v>
      </c>
      <c r="E3939" s="22">
        <f ca="1">IFERROR(__xludf.DUMMYFUNCTION("""COMPUTED_VALUE"""),500000)</f>
        <v>500000</v>
      </c>
      <c r="F3939" s="22">
        <f ca="1">IFERROR(__xludf.DUMMYFUNCTION("""COMPUTED_VALUE"""),500000)</f>
        <v>500000</v>
      </c>
      <c r="G3939" s="22">
        <f ca="1">IFERROR(__xludf.DUMMYFUNCTION("""COMPUTED_VALUE"""),0)</f>
        <v>0</v>
      </c>
      <c r="H3939" s="7">
        <f ca="1">IFERROR(__xludf.DUMMYFUNCTION("""COMPUTED_VALUE"""),500000)</f>
        <v>500000</v>
      </c>
    </row>
    <row r="3940" spans="1:8" ht="13" x14ac:dyDescent="0.15">
      <c r="A3940" s="5" t="str">
        <f ca="1">IFERROR(__xludf.DUMMYFUNCTION("""COMPUTED_VALUE"""),"75597")</f>
        <v>75597</v>
      </c>
      <c r="B3940" s="51">
        <f ca="1">IFERROR(__xludf.DUMMYFUNCTION("""COMPUTED_VALUE"""),44623)</f>
        <v>44623</v>
      </c>
      <c r="C3940" s="22">
        <f ca="1">IFERROR(__xludf.DUMMYFUNCTION("""COMPUTED_VALUE"""),500000)</f>
        <v>500000</v>
      </c>
      <c r="D3940" s="22">
        <f ca="1">IFERROR(__xludf.DUMMYFUNCTION("""COMPUTED_VALUE"""),0)</f>
        <v>0</v>
      </c>
      <c r="E3940" s="22">
        <f ca="1">IFERROR(__xludf.DUMMYFUNCTION("""COMPUTED_VALUE"""),500000)</f>
        <v>500000</v>
      </c>
      <c r="F3940" s="22">
        <f ca="1">IFERROR(__xludf.DUMMYFUNCTION("""COMPUTED_VALUE"""),500000)</f>
        <v>500000</v>
      </c>
      <c r="G3940" s="22">
        <f ca="1">IFERROR(__xludf.DUMMYFUNCTION("""COMPUTED_VALUE"""),0)</f>
        <v>0</v>
      </c>
      <c r="H3940" s="7">
        <f ca="1">IFERROR(__xludf.DUMMYFUNCTION("""COMPUTED_VALUE"""),500000)</f>
        <v>500000</v>
      </c>
    </row>
    <row r="3941" spans="1:8" ht="13" x14ac:dyDescent="0.15">
      <c r="A3941" s="5" t="str">
        <f ca="1">IFERROR(__xludf.DUMMYFUNCTION("""COMPUTED_VALUE"""),"75597")</f>
        <v>75597</v>
      </c>
      <c r="B3941" s="51">
        <f ca="1">IFERROR(__xludf.DUMMYFUNCTION("""COMPUTED_VALUE"""),44624)</f>
        <v>44624</v>
      </c>
      <c r="C3941" s="22">
        <f ca="1">IFERROR(__xludf.DUMMYFUNCTION("""COMPUTED_VALUE"""),500000)</f>
        <v>500000</v>
      </c>
      <c r="D3941" s="22">
        <f ca="1">IFERROR(__xludf.DUMMYFUNCTION("""COMPUTED_VALUE"""),0)</f>
        <v>0</v>
      </c>
      <c r="E3941" s="22">
        <f ca="1">IFERROR(__xludf.DUMMYFUNCTION("""COMPUTED_VALUE"""),500000)</f>
        <v>500000</v>
      </c>
      <c r="F3941" s="22">
        <f ca="1">IFERROR(__xludf.DUMMYFUNCTION("""COMPUTED_VALUE"""),500000)</f>
        <v>500000</v>
      </c>
      <c r="G3941" s="22">
        <f ca="1">IFERROR(__xludf.DUMMYFUNCTION("""COMPUTED_VALUE"""),0)</f>
        <v>0</v>
      </c>
      <c r="H3941" s="7">
        <f ca="1">IFERROR(__xludf.DUMMYFUNCTION("""COMPUTED_VALUE"""),500000)</f>
        <v>500000</v>
      </c>
    </row>
    <row r="3942" spans="1:8" ht="13" x14ac:dyDescent="0.15">
      <c r="A3942" s="5" t="str">
        <f ca="1">IFERROR(__xludf.DUMMYFUNCTION("""COMPUTED_VALUE"""),"75597")</f>
        <v>75597</v>
      </c>
      <c r="B3942" s="51">
        <f ca="1">IFERROR(__xludf.DUMMYFUNCTION("""COMPUTED_VALUE"""),44625)</f>
        <v>44625</v>
      </c>
      <c r="C3942" s="22">
        <f ca="1">IFERROR(__xludf.DUMMYFUNCTION("""COMPUTED_VALUE"""),500000)</f>
        <v>500000</v>
      </c>
      <c r="D3942" s="22">
        <f ca="1">IFERROR(__xludf.DUMMYFUNCTION("""COMPUTED_VALUE"""),0)</f>
        <v>0</v>
      </c>
      <c r="E3942" s="22">
        <f ca="1">IFERROR(__xludf.DUMMYFUNCTION("""COMPUTED_VALUE"""),500000)</f>
        <v>500000</v>
      </c>
      <c r="F3942" s="22">
        <f ca="1">IFERROR(__xludf.DUMMYFUNCTION("""COMPUTED_VALUE"""),500000)</f>
        <v>500000</v>
      </c>
      <c r="G3942" s="22">
        <f ca="1">IFERROR(__xludf.DUMMYFUNCTION("""COMPUTED_VALUE"""),0)</f>
        <v>0</v>
      </c>
      <c r="H3942" s="7">
        <f ca="1">IFERROR(__xludf.DUMMYFUNCTION("""COMPUTED_VALUE"""),500000)</f>
        <v>500000</v>
      </c>
    </row>
    <row r="3943" spans="1:8" ht="13" x14ac:dyDescent="0.15">
      <c r="A3943" s="5" t="str">
        <f ca="1">IFERROR(__xludf.DUMMYFUNCTION("""COMPUTED_VALUE"""),"75597")</f>
        <v>75597</v>
      </c>
      <c r="B3943" s="51">
        <f ca="1">IFERROR(__xludf.DUMMYFUNCTION("""COMPUTED_VALUE"""),44626)</f>
        <v>44626</v>
      </c>
      <c r="C3943" s="22">
        <f ca="1">IFERROR(__xludf.DUMMYFUNCTION("""COMPUTED_VALUE"""),500000)</f>
        <v>500000</v>
      </c>
      <c r="D3943" s="22">
        <f ca="1">IFERROR(__xludf.DUMMYFUNCTION("""COMPUTED_VALUE"""),0)</f>
        <v>0</v>
      </c>
      <c r="E3943" s="22">
        <f ca="1">IFERROR(__xludf.DUMMYFUNCTION("""COMPUTED_VALUE"""),500000)</f>
        <v>500000</v>
      </c>
      <c r="F3943" s="22">
        <f ca="1">IFERROR(__xludf.DUMMYFUNCTION("""COMPUTED_VALUE"""),500000)</f>
        <v>500000</v>
      </c>
      <c r="G3943" s="22">
        <f ca="1">IFERROR(__xludf.DUMMYFUNCTION("""COMPUTED_VALUE"""),0)</f>
        <v>0</v>
      </c>
      <c r="H3943" s="7">
        <f ca="1">IFERROR(__xludf.DUMMYFUNCTION("""COMPUTED_VALUE"""),500000)</f>
        <v>500000</v>
      </c>
    </row>
    <row r="3944" spans="1:8" ht="13" x14ac:dyDescent="0.15">
      <c r="A3944" s="5" t="str">
        <f ca="1">IFERROR(__xludf.DUMMYFUNCTION("""COMPUTED_VALUE"""),"75597")</f>
        <v>75597</v>
      </c>
      <c r="B3944" s="51">
        <f ca="1">IFERROR(__xludf.DUMMYFUNCTION("""COMPUTED_VALUE"""),44627)</f>
        <v>44627</v>
      </c>
      <c r="C3944" s="22">
        <f ca="1">IFERROR(__xludf.DUMMYFUNCTION("""COMPUTED_VALUE"""),500000)</f>
        <v>500000</v>
      </c>
      <c r="D3944" s="22">
        <f ca="1">IFERROR(__xludf.DUMMYFUNCTION("""COMPUTED_VALUE"""),0)</f>
        <v>0</v>
      </c>
      <c r="E3944" s="22">
        <f ca="1">IFERROR(__xludf.DUMMYFUNCTION("""COMPUTED_VALUE"""),500000)</f>
        <v>500000</v>
      </c>
      <c r="F3944" s="22">
        <f ca="1">IFERROR(__xludf.DUMMYFUNCTION("""COMPUTED_VALUE"""),500000)</f>
        <v>500000</v>
      </c>
      <c r="G3944" s="22">
        <f ca="1">IFERROR(__xludf.DUMMYFUNCTION("""COMPUTED_VALUE"""),0)</f>
        <v>0</v>
      </c>
      <c r="H3944" s="7">
        <f ca="1">IFERROR(__xludf.DUMMYFUNCTION("""COMPUTED_VALUE"""),500000)</f>
        <v>500000</v>
      </c>
    </row>
    <row r="3945" spans="1:8" ht="13" x14ac:dyDescent="0.15">
      <c r="A3945" s="5" t="str">
        <f ca="1">IFERROR(__xludf.DUMMYFUNCTION("""COMPUTED_VALUE"""),"75597")</f>
        <v>75597</v>
      </c>
      <c r="B3945" s="51">
        <f ca="1">IFERROR(__xludf.DUMMYFUNCTION("""COMPUTED_VALUE"""),44628)</f>
        <v>44628</v>
      </c>
      <c r="C3945" s="22">
        <f ca="1">IFERROR(__xludf.DUMMYFUNCTION("""COMPUTED_VALUE"""),500000)</f>
        <v>500000</v>
      </c>
      <c r="D3945" s="22">
        <f ca="1">IFERROR(__xludf.DUMMYFUNCTION("""COMPUTED_VALUE"""),0)</f>
        <v>0</v>
      </c>
      <c r="E3945" s="22">
        <f ca="1">IFERROR(__xludf.DUMMYFUNCTION("""COMPUTED_VALUE"""),500000)</f>
        <v>500000</v>
      </c>
      <c r="F3945" s="22">
        <f ca="1">IFERROR(__xludf.DUMMYFUNCTION("""COMPUTED_VALUE"""),500000)</f>
        <v>500000</v>
      </c>
      <c r="G3945" s="22">
        <f ca="1">IFERROR(__xludf.DUMMYFUNCTION("""COMPUTED_VALUE"""),0)</f>
        <v>0</v>
      </c>
      <c r="H3945" s="7">
        <f ca="1">IFERROR(__xludf.DUMMYFUNCTION("""COMPUTED_VALUE"""),500000)</f>
        <v>500000</v>
      </c>
    </row>
    <row r="3946" spans="1:8" ht="13" x14ac:dyDescent="0.15">
      <c r="A3946" s="5" t="str">
        <f ca="1">IFERROR(__xludf.DUMMYFUNCTION("""COMPUTED_VALUE"""),"75597")</f>
        <v>75597</v>
      </c>
      <c r="B3946" s="51">
        <f ca="1">IFERROR(__xludf.DUMMYFUNCTION("""COMPUTED_VALUE"""),44629)</f>
        <v>44629</v>
      </c>
      <c r="C3946" s="22">
        <f ca="1">IFERROR(__xludf.DUMMYFUNCTION("""COMPUTED_VALUE"""),500000)</f>
        <v>500000</v>
      </c>
      <c r="D3946" s="22">
        <f ca="1">IFERROR(__xludf.DUMMYFUNCTION("""COMPUTED_VALUE"""),0)</f>
        <v>0</v>
      </c>
      <c r="E3946" s="22">
        <f ca="1">IFERROR(__xludf.DUMMYFUNCTION("""COMPUTED_VALUE"""),500000)</f>
        <v>500000</v>
      </c>
      <c r="F3946" s="22">
        <f ca="1">IFERROR(__xludf.DUMMYFUNCTION("""COMPUTED_VALUE"""),500000)</f>
        <v>500000</v>
      </c>
      <c r="G3946" s="22">
        <f ca="1">IFERROR(__xludf.DUMMYFUNCTION("""COMPUTED_VALUE"""),0)</f>
        <v>0</v>
      </c>
      <c r="H3946" s="7">
        <f ca="1">IFERROR(__xludf.DUMMYFUNCTION("""COMPUTED_VALUE"""),500000)</f>
        <v>500000</v>
      </c>
    </row>
    <row r="3947" spans="1:8" ht="13" x14ac:dyDescent="0.15">
      <c r="A3947" s="5" t="str">
        <f ca="1">IFERROR(__xludf.DUMMYFUNCTION("""COMPUTED_VALUE"""),"75597")</f>
        <v>75597</v>
      </c>
      <c r="B3947" s="51">
        <f ca="1">IFERROR(__xludf.DUMMYFUNCTION("""COMPUTED_VALUE"""),44630)</f>
        <v>44630</v>
      </c>
      <c r="C3947" s="22">
        <f ca="1">IFERROR(__xludf.DUMMYFUNCTION("""COMPUTED_VALUE"""),500000)</f>
        <v>500000</v>
      </c>
      <c r="D3947" s="22">
        <f ca="1">IFERROR(__xludf.DUMMYFUNCTION("""COMPUTED_VALUE"""),0)</f>
        <v>0</v>
      </c>
      <c r="E3947" s="22">
        <f ca="1">IFERROR(__xludf.DUMMYFUNCTION("""COMPUTED_VALUE"""),500000)</f>
        <v>500000</v>
      </c>
      <c r="F3947" s="22">
        <f ca="1">IFERROR(__xludf.DUMMYFUNCTION("""COMPUTED_VALUE"""),500000)</f>
        <v>500000</v>
      </c>
      <c r="G3947" s="22">
        <f ca="1">IFERROR(__xludf.DUMMYFUNCTION("""COMPUTED_VALUE"""),0)</f>
        <v>0</v>
      </c>
      <c r="H3947" s="7">
        <f ca="1">IFERROR(__xludf.DUMMYFUNCTION("""COMPUTED_VALUE"""),500000)</f>
        <v>500000</v>
      </c>
    </row>
    <row r="3948" spans="1:8" ht="13" x14ac:dyDescent="0.15">
      <c r="A3948" s="5" t="str">
        <f ca="1">IFERROR(__xludf.DUMMYFUNCTION("""COMPUTED_VALUE"""),"75597")</f>
        <v>75597</v>
      </c>
      <c r="B3948" s="51">
        <f ca="1">IFERROR(__xludf.DUMMYFUNCTION("""COMPUTED_VALUE"""),44631)</f>
        <v>44631</v>
      </c>
      <c r="C3948" s="22">
        <f ca="1">IFERROR(__xludf.DUMMYFUNCTION("""COMPUTED_VALUE"""),500000)</f>
        <v>500000</v>
      </c>
      <c r="D3948" s="22">
        <f ca="1">IFERROR(__xludf.DUMMYFUNCTION("""COMPUTED_VALUE"""),0)</f>
        <v>0</v>
      </c>
      <c r="E3948" s="22">
        <f ca="1">IFERROR(__xludf.DUMMYFUNCTION("""COMPUTED_VALUE"""),500000)</f>
        <v>500000</v>
      </c>
      <c r="F3948" s="22">
        <f ca="1">IFERROR(__xludf.DUMMYFUNCTION("""COMPUTED_VALUE"""),500000)</f>
        <v>500000</v>
      </c>
      <c r="G3948" s="22">
        <f ca="1">IFERROR(__xludf.DUMMYFUNCTION("""COMPUTED_VALUE"""),0)</f>
        <v>0</v>
      </c>
      <c r="H3948" s="7">
        <f ca="1">IFERROR(__xludf.DUMMYFUNCTION("""COMPUTED_VALUE"""),500000)</f>
        <v>500000</v>
      </c>
    </row>
    <row r="3949" spans="1:8" ht="13" x14ac:dyDescent="0.15">
      <c r="A3949" s="5" t="str">
        <f ca="1">IFERROR(__xludf.DUMMYFUNCTION("""COMPUTED_VALUE"""),"75597")</f>
        <v>75597</v>
      </c>
      <c r="B3949" s="51">
        <f ca="1">IFERROR(__xludf.DUMMYFUNCTION("""COMPUTED_VALUE"""),44632)</f>
        <v>44632</v>
      </c>
      <c r="C3949" s="22">
        <f ca="1">IFERROR(__xludf.DUMMYFUNCTION("""COMPUTED_VALUE"""),500000)</f>
        <v>500000</v>
      </c>
      <c r="D3949" s="22">
        <f ca="1">IFERROR(__xludf.DUMMYFUNCTION("""COMPUTED_VALUE"""),0)</f>
        <v>0</v>
      </c>
      <c r="E3949" s="22">
        <f ca="1">IFERROR(__xludf.DUMMYFUNCTION("""COMPUTED_VALUE"""),500000)</f>
        <v>500000</v>
      </c>
      <c r="F3949" s="22">
        <f ca="1">IFERROR(__xludf.DUMMYFUNCTION("""COMPUTED_VALUE"""),500000)</f>
        <v>500000</v>
      </c>
      <c r="G3949" s="22">
        <f ca="1">IFERROR(__xludf.DUMMYFUNCTION("""COMPUTED_VALUE"""),0)</f>
        <v>0</v>
      </c>
      <c r="H3949" s="7">
        <f ca="1">IFERROR(__xludf.DUMMYFUNCTION("""COMPUTED_VALUE"""),500000)</f>
        <v>500000</v>
      </c>
    </row>
    <row r="3950" spans="1:8" ht="13" x14ac:dyDescent="0.15">
      <c r="A3950" s="5" t="str">
        <f ca="1">IFERROR(__xludf.DUMMYFUNCTION("""COMPUTED_VALUE"""),"75597")</f>
        <v>75597</v>
      </c>
      <c r="B3950" s="51">
        <f ca="1">IFERROR(__xludf.DUMMYFUNCTION("""COMPUTED_VALUE"""),44633)</f>
        <v>44633</v>
      </c>
      <c r="C3950" s="22">
        <f ca="1">IFERROR(__xludf.DUMMYFUNCTION("""COMPUTED_VALUE"""),500000)</f>
        <v>500000</v>
      </c>
      <c r="D3950" s="22">
        <f ca="1">IFERROR(__xludf.DUMMYFUNCTION("""COMPUTED_VALUE"""),0)</f>
        <v>0</v>
      </c>
      <c r="E3950" s="22">
        <f ca="1">IFERROR(__xludf.DUMMYFUNCTION("""COMPUTED_VALUE"""),500000)</f>
        <v>500000</v>
      </c>
      <c r="F3950" s="22">
        <f ca="1">IFERROR(__xludf.DUMMYFUNCTION("""COMPUTED_VALUE"""),500000)</f>
        <v>500000</v>
      </c>
      <c r="G3950" s="22">
        <f ca="1">IFERROR(__xludf.DUMMYFUNCTION("""COMPUTED_VALUE"""),0)</f>
        <v>0</v>
      </c>
      <c r="H3950" s="7">
        <f ca="1">IFERROR(__xludf.DUMMYFUNCTION("""COMPUTED_VALUE"""),500000)</f>
        <v>500000</v>
      </c>
    </row>
    <row r="3951" spans="1:8" ht="13" x14ac:dyDescent="0.15">
      <c r="A3951" s="5" t="str">
        <f ca="1">IFERROR(__xludf.DUMMYFUNCTION("""COMPUTED_VALUE"""),"75597")</f>
        <v>75597</v>
      </c>
      <c r="B3951" s="51">
        <f ca="1">IFERROR(__xludf.DUMMYFUNCTION("""COMPUTED_VALUE"""),44634)</f>
        <v>44634</v>
      </c>
      <c r="C3951" s="22">
        <f ca="1">IFERROR(__xludf.DUMMYFUNCTION("""COMPUTED_VALUE"""),500000)</f>
        <v>500000</v>
      </c>
      <c r="D3951" s="22">
        <f ca="1">IFERROR(__xludf.DUMMYFUNCTION("""COMPUTED_VALUE"""),0)</f>
        <v>0</v>
      </c>
      <c r="E3951" s="22">
        <f ca="1">IFERROR(__xludf.DUMMYFUNCTION("""COMPUTED_VALUE"""),500000)</f>
        <v>500000</v>
      </c>
      <c r="F3951" s="22">
        <f ca="1">IFERROR(__xludf.DUMMYFUNCTION("""COMPUTED_VALUE"""),500000)</f>
        <v>500000</v>
      </c>
      <c r="G3951" s="22">
        <f ca="1">IFERROR(__xludf.DUMMYFUNCTION("""COMPUTED_VALUE"""),0)</f>
        <v>0</v>
      </c>
      <c r="H3951" s="7">
        <f ca="1">IFERROR(__xludf.DUMMYFUNCTION("""COMPUTED_VALUE"""),500000)</f>
        <v>500000</v>
      </c>
    </row>
    <row r="3952" spans="1:8" ht="13" x14ac:dyDescent="0.15">
      <c r="A3952" s="5" t="str">
        <f ca="1">IFERROR(__xludf.DUMMYFUNCTION("""COMPUTED_VALUE"""),"75597")</f>
        <v>75597</v>
      </c>
      <c r="B3952" s="51">
        <f ca="1">IFERROR(__xludf.DUMMYFUNCTION("""COMPUTED_VALUE"""),44635)</f>
        <v>44635</v>
      </c>
      <c r="C3952" s="22">
        <f ca="1">IFERROR(__xludf.DUMMYFUNCTION("""COMPUTED_VALUE"""),500000)</f>
        <v>500000</v>
      </c>
      <c r="D3952" s="22">
        <f ca="1">IFERROR(__xludf.DUMMYFUNCTION("""COMPUTED_VALUE"""),0)</f>
        <v>0</v>
      </c>
      <c r="E3952" s="22">
        <f ca="1">IFERROR(__xludf.DUMMYFUNCTION("""COMPUTED_VALUE"""),500000)</f>
        <v>500000</v>
      </c>
      <c r="F3952" s="22">
        <f ca="1">IFERROR(__xludf.DUMMYFUNCTION("""COMPUTED_VALUE"""),500000)</f>
        <v>500000</v>
      </c>
      <c r="G3952" s="22">
        <f ca="1">IFERROR(__xludf.DUMMYFUNCTION("""COMPUTED_VALUE"""),0)</f>
        <v>0</v>
      </c>
      <c r="H3952" s="7">
        <f ca="1">IFERROR(__xludf.DUMMYFUNCTION("""COMPUTED_VALUE"""),500000)</f>
        <v>500000</v>
      </c>
    </row>
    <row r="3953" spans="1:8" ht="13" x14ac:dyDescent="0.15">
      <c r="A3953" s="5" t="str">
        <f ca="1">IFERROR(__xludf.DUMMYFUNCTION("""COMPUTED_VALUE"""),"75597")</f>
        <v>75597</v>
      </c>
      <c r="B3953" s="51">
        <f ca="1">IFERROR(__xludf.DUMMYFUNCTION("""COMPUTED_VALUE"""),44636)</f>
        <v>44636</v>
      </c>
      <c r="C3953" s="22">
        <f ca="1">IFERROR(__xludf.DUMMYFUNCTION("""COMPUTED_VALUE"""),500000)</f>
        <v>500000</v>
      </c>
      <c r="D3953" s="22">
        <f ca="1">IFERROR(__xludf.DUMMYFUNCTION("""COMPUTED_VALUE"""),0)</f>
        <v>0</v>
      </c>
      <c r="E3953" s="22">
        <f ca="1">IFERROR(__xludf.DUMMYFUNCTION("""COMPUTED_VALUE"""),500000)</f>
        <v>500000</v>
      </c>
      <c r="F3953" s="22">
        <f ca="1">IFERROR(__xludf.DUMMYFUNCTION("""COMPUTED_VALUE"""),500000)</f>
        <v>500000</v>
      </c>
      <c r="G3953" s="22">
        <f ca="1">IFERROR(__xludf.DUMMYFUNCTION("""COMPUTED_VALUE"""),0)</f>
        <v>0</v>
      </c>
      <c r="H3953" s="7">
        <f ca="1">IFERROR(__xludf.DUMMYFUNCTION("""COMPUTED_VALUE"""),500000)</f>
        <v>500000</v>
      </c>
    </row>
    <row r="3954" spans="1:8" ht="13" x14ac:dyDescent="0.15">
      <c r="A3954" s="5" t="str">
        <f ca="1">IFERROR(__xludf.DUMMYFUNCTION("""COMPUTED_VALUE"""),"75597")</f>
        <v>75597</v>
      </c>
      <c r="B3954" s="51">
        <f ca="1">IFERROR(__xludf.DUMMYFUNCTION("""COMPUTED_VALUE"""),44637)</f>
        <v>44637</v>
      </c>
      <c r="C3954" s="22">
        <f ca="1">IFERROR(__xludf.DUMMYFUNCTION("""COMPUTED_VALUE"""),500000)</f>
        <v>500000</v>
      </c>
      <c r="D3954" s="22">
        <f ca="1">IFERROR(__xludf.DUMMYFUNCTION("""COMPUTED_VALUE"""),0)</f>
        <v>0</v>
      </c>
      <c r="E3954" s="22">
        <f ca="1">IFERROR(__xludf.DUMMYFUNCTION("""COMPUTED_VALUE"""),500000)</f>
        <v>500000</v>
      </c>
      <c r="F3954" s="22">
        <f ca="1">IFERROR(__xludf.DUMMYFUNCTION("""COMPUTED_VALUE"""),500000)</f>
        <v>500000</v>
      </c>
      <c r="G3954" s="22">
        <f ca="1">IFERROR(__xludf.DUMMYFUNCTION("""COMPUTED_VALUE"""),0)</f>
        <v>0</v>
      </c>
      <c r="H3954" s="7">
        <f ca="1">IFERROR(__xludf.DUMMYFUNCTION("""COMPUTED_VALUE"""),500000)</f>
        <v>500000</v>
      </c>
    </row>
    <row r="3955" spans="1:8" ht="13" x14ac:dyDescent="0.15">
      <c r="A3955" s="5" t="str">
        <f ca="1">IFERROR(__xludf.DUMMYFUNCTION("""COMPUTED_VALUE"""),"75597")</f>
        <v>75597</v>
      </c>
      <c r="B3955" s="51">
        <f ca="1">IFERROR(__xludf.DUMMYFUNCTION("""COMPUTED_VALUE"""),44638)</f>
        <v>44638</v>
      </c>
      <c r="C3955" s="22">
        <f ca="1">IFERROR(__xludf.DUMMYFUNCTION("""COMPUTED_VALUE"""),500000)</f>
        <v>500000</v>
      </c>
      <c r="D3955" s="22">
        <f ca="1">IFERROR(__xludf.DUMMYFUNCTION("""COMPUTED_VALUE"""),0)</f>
        <v>0</v>
      </c>
      <c r="E3955" s="22">
        <f ca="1">IFERROR(__xludf.DUMMYFUNCTION("""COMPUTED_VALUE"""),500000)</f>
        <v>500000</v>
      </c>
      <c r="F3955" s="22">
        <f ca="1">IFERROR(__xludf.DUMMYFUNCTION("""COMPUTED_VALUE"""),500000)</f>
        <v>500000</v>
      </c>
      <c r="G3955" s="22">
        <f ca="1">IFERROR(__xludf.DUMMYFUNCTION("""COMPUTED_VALUE"""),0)</f>
        <v>0</v>
      </c>
      <c r="H3955" s="7">
        <f ca="1">IFERROR(__xludf.DUMMYFUNCTION("""COMPUTED_VALUE"""),500000)</f>
        <v>500000</v>
      </c>
    </row>
    <row r="3956" spans="1:8" ht="13" x14ac:dyDescent="0.15">
      <c r="A3956" s="5" t="str">
        <f ca="1">IFERROR(__xludf.DUMMYFUNCTION("""COMPUTED_VALUE"""),"75597")</f>
        <v>75597</v>
      </c>
      <c r="B3956" s="51">
        <f ca="1">IFERROR(__xludf.DUMMYFUNCTION("""COMPUTED_VALUE"""),44639)</f>
        <v>44639</v>
      </c>
      <c r="C3956" s="22">
        <f ca="1">IFERROR(__xludf.DUMMYFUNCTION("""COMPUTED_VALUE"""),500000)</f>
        <v>500000</v>
      </c>
      <c r="D3956" s="22">
        <f ca="1">IFERROR(__xludf.DUMMYFUNCTION("""COMPUTED_VALUE"""),0)</f>
        <v>0</v>
      </c>
      <c r="E3956" s="22">
        <f ca="1">IFERROR(__xludf.DUMMYFUNCTION("""COMPUTED_VALUE"""),500000)</f>
        <v>500000</v>
      </c>
      <c r="F3956" s="22">
        <f ca="1">IFERROR(__xludf.DUMMYFUNCTION("""COMPUTED_VALUE"""),500000)</f>
        <v>500000</v>
      </c>
      <c r="G3956" s="22">
        <f ca="1">IFERROR(__xludf.DUMMYFUNCTION("""COMPUTED_VALUE"""),0)</f>
        <v>0</v>
      </c>
      <c r="H3956" s="7">
        <f ca="1">IFERROR(__xludf.DUMMYFUNCTION("""COMPUTED_VALUE"""),500000)</f>
        <v>500000</v>
      </c>
    </row>
    <row r="3957" spans="1:8" ht="13" x14ac:dyDescent="0.15">
      <c r="A3957" s="5" t="str">
        <f ca="1">IFERROR(__xludf.DUMMYFUNCTION("""COMPUTED_VALUE"""),"75597")</f>
        <v>75597</v>
      </c>
      <c r="B3957" s="51">
        <f ca="1">IFERROR(__xludf.DUMMYFUNCTION("""COMPUTED_VALUE"""),44640)</f>
        <v>44640</v>
      </c>
      <c r="C3957" s="22">
        <f ca="1">IFERROR(__xludf.DUMMYFUNCTION("""COMPUTED_VALUE"""),500000)</f>
        <v>500000</v>
      </c>
      <c r="D3957" s="22">
        <f ca="1">IFERROR(__xludf.DUMMYFUNCTION("""COMPUTED_VALUE"""),0)</f>
        <v>0</v>
      </c>
      <c r="E3957" s="22">
        <f ca="1">IFERROR(__xludf.DUMMYFUNCTION("""COMPUTED_VALUE"""),500000)</f>
        <v>500000</v>
      </c>
      <c r="F3957" s="22">
        <f ca="1">IFERROR(__xludf.DUMMYFUNCTION("""COMPUTED_VALUE"""),500000)</f>
        <v>500000</v>
      </c>
      <c r="G3957" s="22">
        <f ca="1">IFERROR(__xludf.DUMMYFUNCTION("""COMPUTED_VALUE"""),0)</f>
        <v>0</v>
      </c>
      <c r="H3957" s="7">
        <f ca="1">IFERROR(__xludf.DUMMYFUNCTION("""COMPUTED_VALUE"""),500000)</f>
        <v>500000</v>
      </c>
    </row>
    <row r="3958" spans="1:8" ht="13" x14ac:dyDescent="0.15">
      <c r="A3958" s="5" t="str">
        <f ca="1">IFERROR(__xludf.DUMMYFUNCTION("""COMPUTED_VALUE"""),"75597")</f>
        <v>75597</v>
      </c>
      <c r="B3958" s="51">
        <f ca="1">IFERROR(__xludf.DUMMYFUNCTION("""COMPUTED_VALUE"""),44641)</f>
        <v>44641</v>
      </c>
      <c r="C3958" s="22">
        <f ca="1">IFERROR(__xludf.DUMMYFUNCTION("""COMPUTED_VALUE"""),395088.830975)</f>
        <v>395088.83097499999</v>
      </c>
      <c r="D3958" s="22">
        <f ca="1">IFERROR(__xludf.DUMMYFUNCTION("""COMPUTED_VALUE"""),104911.169025)</f>
        <v>104911.169025</v>
      </c>
      <c r="E3958" s="22">
        <f ca="1">IFERROR(__xludf.DUMMYFUNCTION("""COMPUTED_VALUE"""),500000)</f>
        <v>500000</v>
      </c>
      <c r="F3958" s="22">
        <f ca="1">IFERROR(__xludf.DUMMYFUNCTION("""COMPUTED_VALUE"""),395088.830975)</f>
        <v>395088.83097499999</v>
      </c>
      <c r="G3958" s="22">
        <f ca="1">IFERROR(__xludf.DUMMYFUNCTION("""COMPUTED_VALUE"""),0)</f>
        <v>0</v>
      </c>
      <c r="H3958" s="7">
        <f ca="1">IFERROR(__xludf.DUMMYFUNCTION("""COMPUTED_VALUE"""),500000)</f>
        <v>500000</v>
      </c>
    </row>
    <row r="3959" spans="1:8" ht="13" x14ac:dyDescent="0.15">
      <c r="A3959" s="5" t="str">
        <f ca="1">IFERROR(__xludf.DUMMYFUNCTION("""COMPUTED_VALUE"""),"75597")</f>
        <v>75597</v>
      </c>
      <c r="B3959" s="51">
        <f ca="1">IFERROR(__xludf.DUMMYFUNCTION("""COMPUTED_VALUE"""),44642)</f>
        <v>44642</v>
      </c>
      <c r="C3959" s="22">
        <f ca="1">IFERROR(__xludf.DUMMYFUNCTION("""COMPUTED_VALUE"""),395088.830975)</f>
        <v>395088.83097499999</v>
      </c>
      <c r="D3959" s="22">
        <f ca="1">IFERROR(__xludf.DUMMYFUNCTION("""COMPUTED_VALUE"""),104911.169025)</f>
        <v>104911.169025</v>
      </c>
      <c r="E3959" s="22">
        <f ca="1">IFERROR(__xludf.DUMMYFUNCTION("""COMPUTED_VALUE"""),500000)</f>
        <v>500000</v>
      </c>
      <c r="F3959" s="22">
        <f ca="1">IFERROR(__xludf.DUMMYFUNCTION("""COMPUTED_VALUE"""),395088.830975)</f>
        <v>395088.83097499999</v>
      </c>
      <c r="G3959" s="22">
        <f ca="1">IFERROR(__xludf.DUMMYFUNCTION("""COMPUTED_VALUE"""),0)</f>
        <v>0</v>
      </c>
      <c r="H3959" s="7">
        <f ca="1">IFERROR(__xludf.DUMMYFUNCTION("""COMPUTED_VALUE"""),499273.022974999)</f>
        <v>499273.02297499898</v>
      </c>
    </row>
    <row r="3960" spans="1:8" ht="13" x14ac:dyDescent="0.15">
      <c r="A3960" s="5" t="str">
        <f ca="1">IFERROR(__xludf.DUMMYFUNCTION("""COMPUTED_VALUE"""),"75965")</f>
        <v>75965</v>
      </c>
      <c r="B3960" s="51">
        <f ca="1">IFERROR(__xludf.DUMMYFUNCTION("""COMPUTED_VALUE"""),44597)</f>
        <v>44597</v>
      </c>
      <c r="C3960" s="22">
        <f ca="1">IFERROR(__xludf.DUMMYFUNCTION("""COMPUTED_VALUE"""),500000)</f>
        <v>500000</v>
      </c>
      <c r="D3960" s="22">
        <f ca="1">IFERROR(__xludf.DUMMYFUNCTION("""COMPUTED_VALUE"""),0)</f>
        <v>0</v>
      </c>
      <c r="E3960" s="22">
        <f ca="1">IFERROR(__xludf.DUMMYFUNCTION("""COMPUTED_VALUE"""),500000)</f>
        <v>500000</v>
      </c>
      <c r="F3960" s="22">
        <f ca="1">IFERROR(__xludf.DUMMYFUNCTION("""COMPUTED_VALUE"""),500000)</f>
        <v>500000</v>
      </c>
      <c r="G3960" s="22">
        <f ca="1">IFERROR(__xludf.DUMMYFUNCTION("""COMPUTED_VALUE"""),0)</f>
        <v>0</v>
      </c>
      <c r="H3960" s="7">
        <f ca="1">IFERROR(__xludf.DUMMYFUNCTION("""COMPUTED_VALUE"""),500000)</f>
        <v>500000</v>
      </c>
    </row>
    <row r="3961" spans="1:8" ht="13" x14ac:dyDescent="0.15">
      <c r="A3961" s="5" t="str">
        <f ca="1">IFERROR(__xludf.DUMMYFUNCTION("""COMPUTED_VALUE"""),"75965")</f>
        <v>75965</v>
      </c>
      <c r="B3961" s="51">
        <f ca="1">IFERROR(__xludf.DUMMYFUNCTION("""COMPUTED_VALUE"""),44598)</f>
        <v>44598</v>
      </c>
      <c r="C3961" s="22">
        <f ca="1">IFERROR(__xludf.DUMMYFUNCTION("""COMPUTED_VALUE"""),500000)</f>
        <v>500000</v>
      </c>
      <c r="D3961" s="22">
        <f ca="1">IFERROR(__xludf.DUMMYFUNCTION("""COMPUTED_VALUE"""),0)</f>
        <v>0</v>
      </c>
      <c r="E3961" s="22">
        <f ca="1">IFERROR(__xludf.DUMMYFUNCTION("""COMPUTED_VALUE"""),500000)</f>
        <v>500000</v>
      </c>
      <c r="F3961" s="22">
        <f ca="1">IFERROR(__xludf.DUMMYFUNCTION("""COMPUTED_VALUE"""),500000)</f>
        <v>500000</v>
      </c>
      <c r="G3961" s="22">
        <f ca="1">IFERROR(__xludf.DUMMYFUNCTION("""COMPUTED_VALUE"""),0)</f>
        <v>0</v>
      </c>
      <c r="H3961" s="7">
        <f ca="1">IFERROR(__xludf.DUMMYFUNCTION("""COMPUTED_VALUE"""),500000)</f>
        <v>500000</v>
      </c>
    </row>
    <row r="3962" spans="1:8" ht="13" x14ac:dyDescent="0.15">
      <c r="A3962" s="5" t="str">
        <f ca="1">IFERROR(__xludf.DUMMYFUNCTION("""COMPUTED_VALUE"""),"75965")</f>
        <v>75965</v>
      </c>
      <c r="B3962" s="51">
        <f ca="1">IFERROR(__xludf.DUMMYFUNCTION("""COMPUTED_VALUE"""),44599)</f>
        <v>44599</v>
      </c>
      <c r="C3962" s="22">
        <f ca="1">IFERROR(__xludf.DUMMYFUNCTION("""COMPUTED_VALUE"""),500000)</f>
        <v>500000</v>
      </c>
      <c r="D3962" s="22">
        <f ca="1">IFERROR(__xludf.DUMMYFUNCTION("""COMPUTED_VALUE"""),0)</f>
        <v>0</v>
      </c>
      <c r="E3962" s="22">
        <f ca="1">IFERROR(__xludf.DUMMYFUNCTION("""COMPUTED_VALUE"""),500000)</f>
        <v>500000</v>
      </c>
      <c r="F3962" s="22">
        <f ca="1">IFERROR(__xludf.DUMMYFUNCTION("""COMPUTED_VALUE"""),500000)</f>
        <v>500000</v>
      </c>
      <c r="G3962" s="22">
        <f ca="1">IFERROR(__xludf.DUMMYFUNCTION("""COMPUTED_VALUE"""),0)</f>
        <v>0</v>
      </c>
      <c r="H3962" s="7">
        <f ca="1">IFERROR(__xludf.DUMMYFUNCTION("""COMPUTED_VALUE"""),500000)</f>
        <v>500000</v>
      </c>
    </row>
    <row r="3963" spans="1:8" ht="13" x14ac:dyDescent="0.15">
      <c r="A3963" s="5" t="str">
        <f ca="1">IFERROR(__xludf.DUMMYFUNCTION("""COMPUTED_VALUE"""),"75965")</f>
        <v>75965</v>
      </c>
      <c r="B3963" s="51">
        <f ca="1">IFERROR(__xludf.DUMMYFUNCTION("""COMPUTED_VALUE"""),44600)</f>
        <v>44600</v>
      </c>
      <c r="C3963" s="22">
        <f ca="1">IFERROR(__xludf.DUMMYFUNCTION("""COMPUTED_VALUE"""),500000)</f>
        <v>500000</v>
      </c>
      <c r="D3963" s="22">
        <f ca="1">IFERROR(__xludf.DUMMYFUNCTION("""COMPUTED_VALUE"""),0)</f>
        <v>0</v>
      </c>
      <c r="E3963" s="22">
        <f ca="1">IFERROR(__xludf.DUMMYFUNCTION("""COMPUTED_VALUE"""),500000)</f>
        <v>500000</v>
      </c>
      <c r="F3963" s="22">
        <f ca="1">IFERROR(__xludf.DUMMYFUNCTION("""COMPUTED_VALUE"""),500000)</f>
        <v>500000</v>
      </c>
      <c r="G3963" s="22">
        <f ca="1">IFERROR(__xludf.DUMMYFUNCTION("""COMPUTED_VALUE"""),0)</f>
        <v>0</v>
      </c>
      <c r="H3963" s="7">
        <f ca="1">IFERROR(__xludf.DUMMYFUNCTION("""COMPUTED_VALUE"""),500000)</f>
        <v>500000</v>
      </c>
    </row>
    <row r="3964" spans="1:8" ht="13" x14ac:dyDescent="0.15">
      <c r="A3964" s="5" t="str">
        <f ca="1">IFERROR(__xludf.DUMMYFUNCTION("""COMPUTED_VALUE"""),"75965")</f>
        <v>75965</v>
      </c>
      <c r="B3964" s="51">
        <f ca="1">IFERROR(__xludf.DUMMYFUNCTION("""COMPUTED_VALUE"""),44601)</f>
        <v>44601</v>
      </c>
      <c r="C3964" s="22">
        <f ca="1">IFERROR(__xludf.DUMMYFUNCTION("""COMPUTED_VALUE"""),500000)</f>
        <v>500000</v>
      </c>
      <c r="D3964" s="22">
        <f ca="1">IFERROR(__xludf.DUMMYFUNCTION("""COMPUTED_VALUE"""),0)</f>
        <v>0</v>
      </c>
      <c r="E3964" s="22">
        <f ca="1">IFERROR(__xludf.DUMMYFUNCTION("""COMPUTED_VALUE"""),500000)</f>
        <v>500000</v>
      </c>
      <c r="F3964" s="22">
        <f ca="1">IFERROR(__xludf.DUMMYFUNCTION("""COMPUTED_VALUE"""),500000)</f>
        <v>500000</v>
      </c>
      <c r="G3964" s="22">
        <f ca="1">IFERROR(__xludf.DUMMYFUNCTION("""COMPUTED_VALUE"""),0)</f>
        <v>0</v>
      </c>
      <c r="H3964" s="7">
        <f ca="1">IFERROR(__xludf.DUMMYFUNCTION("""COMPUTED_VALUE"""),500000)</f>
        <v>500000</v>
      </c>
    </row>
    <row r="3965" spans="1:8" ht="13" x14ac:dyDescent="0.15">
      <c r="A3965" s="5" t="str">
        <f ca="1">IFERROR(__xludf.DUMMYFUNCTION("""COMPUTED_VALUE"""),"75965")</f>
        <v>75965</v>
      </c>
      <c r="B3965" s="51">
        <f ca="1">IFERROR(__xludf.DUMMYFUNCTION("""COMPUTED_VALUE"""),44602)</f>
        <v>44602</v>
      </c>
      <c r="C3965" s="22">
        <f ca="1">IFERROR(__xludf.DUMMYFUNCTION("""COMPUTED_VALUE"""),500000)</f>
        <v>500000</v>
      </c>
      <c r="D3965" s="22">
        <f ca="1">IFERROR(__xludf.DUMMYFUNCTION("""COMPUTED_VALUE"""),0)</f>
        <v>0</v>
      </c>
      <c r="E3965" s="22">
        <f ca="1">IFERROR(__xludf.DUMMYFUNCTION("""COMPUTED_VALUE"""),500000)</f>
        <v>500000</v>
      </c>
      <c r="F3965" s="22">
        <f ca="1">IFERROR(__xludf.DUMMYFUNCTION("""COMPUTED_VALUE"""),500000)</f>
        <v>500000</v>
      </c>
      <c r="G3965" s="22">
        <f ca="1">IFERROR(__xludf.DUMMYFUNCTION("""COMPUTED_VALUE"""),0)</f>
        <v>0</v>
      </c>
      <c r="H3965" s="7">
        <f ca="1">IFERROR(__xludf.DUMMYFUNCTION("""COMPUTED_VALUE"""),500000)</f>
        <v>500000</v>
      </c>
    </row>
    <row r="3966" spans="1:8" ht="13" x14ac:dyDescent="0.15">
      <c r="A3966" s="5" t="str">
        <f ca="1">IFERROR(__xludf.DUMMYFUNCTION("""COMPUTED_VALUE"""),"75965")</f>
        <v>75965</v>
      </c>
      <c r="B3966" s="51">
        <f ca="1">IFERROR(__xludf.DUMMYFUNCTION("""COMPUTED_VALUE"""),44603)</f>
        <v>44603</v>
      </c>
      <c r="C3966" s="22">
        <f ca="1">IFERROR(__xludf.DUMMYFUNCTION("""COMPUTED_VALUE"""),500000)</f>
        <v>500000</v>
      </c>
      <c r="D3966" s="22">
        <f ca="1">IFERROR(__xludf.DUMMYFUNCTION("""COMPUTED_VALUE"""),0)</f>
        <v>0</v>
      </c>
      <c r="E3966" s="22">
        <f ca="1">IFERROR(__xludf.DUMMYFUNCTION("""COMPUTED_VALUE"""),500000)</f>
        <v>500000</v>
      </c>
      <c r="F3966" s="22">
        <f ca="1">IFERROR(__xludf.DUMMYFUNCTION("""COMPUTED_VALUE"""),500000)</f>
        <v>500000</v>
      </c>
      <c r="G3966" s="22">
        <f ca="1">IFERROR(__xludf.DUMMYFUNCTION("""COMPUTED_VALUE"""),0)</f>
        <v>0</v>
      </c>
      <c r="H3966" s="7">
        <f ca="1">IFERROR(__xludf.DUMMYFUNCTION("""COMPUTED_VALUE"""),500000)</f>
        <v>500000</v>
      </c>
    </row>
    <row r="3967" spans="1:8" ht="13" x14ac:dyDescent="0.15">
      <c r="A3967" s="5" t="str">
        <f ca="1">IFERROR(__xludf.DUMMYFUNCTION("""COMPUTED_VALUE"""),"75965")</f>
        <v>75965</v>
      </c>
      <c r="B3967" s="51">
        <f ca="1">IFERROR(__xludf.DUMMYFUNCTION("""COMPUTED_VALUE"""),44604)</f>
        <v>44604</v>
      </c>
      <c r="C3967" s="22">
        <f ca="1">IFERROR(__xludf.DUMMYFUNCTION("""COMPUTED_VALUE"""),500000)</f>
        <v>500000</v>
      </c>
      <c r="D3967" s="22">
        <f ca="1">IFERROR(__xludf.DUMMYFUNCTION("""COMPUTED_VALUE"""),0)</f>
        <v>0</v>
      </c>
      <c r="E3967" s="22">
        <f ca="1">IFERROR(__xludf.DUMMYFUNCTION("""COMPUTED_VALUE"""),500000)</f>
        <v>500000</v>
      </c>
      <c r="F3967" s="22">
        <f ca="1">IFERROR(__xludf.DUMMYFUNCTION("""COMPUTED_VALUE"""),500000)</f>
        <v>500000</v>
      </c>
      <c r="G3967" s="22">
        <f ca="1">IFERROR(__xludf.DUMMYFUNCTION("""COMPUTED_VALUE"""),0)</f>
        <v>0</v>
      </c>
      <c r="H3967" s="7">
        <f ca="1">IFERROR(__xludf.DUMMYFUNCTION("""COMPUTED_VALUE"""),500000)</f>
        <v>500000</v>
      </c>
    </row>
    <row r="3968" spans="1:8" ht="13" x14ac:dyDescent="0.15">
      <c r="A3968" s="5" t="str">
        <f ca="1">IFERROR(__xludf.DUMMYFUNCTION("""COMPUTED_VALUE"""),"75965")</f>
        <v>75965</v>
      </c>
      <c r="B3968" s="51">
        <f ca="1">IFERROR(__xludf.DUMMYFUNCTION("""COMPUTED_VALUE"""),44605)</f>
        <v>44605</v>
      </c>
      <c r="C3968" s="22">
        <f ca="1">IFERROR(__xludf.DUMMYFUNCTION("""COMPUTED_VALUE"""),500000)</f>
        <v>500000</v>
      </c>
      <c r="D3968" s="22">
        <f ca="1">IFERROR(__xludf.DUMMYFUNCTION("""COMPUTED_VALUE"""),0)</f>
        <v>0</v>
      </c>
      <c r="E3968" s="22">
        <f ca="1">IFERROR(__xludf.DUMMYFUNCTION("""COMPUTED_VALUE"""),500000)</f>
        <v>500000</v>
      </c>
      <c r="F3968" s="22">
        <f ca="1">IFERROR(__xludf.DUMMYFUNCTION("""COMPUTED_VALUE"""),500000)</f>
        <v>500000</v>
      </c>
      <c r="G3968" s="22">
        <f ca="1">IFERROR(__xludf.DUMMYFUNCTION("""COMPUTED_VALUE"""),0)</f>
        <v>0</v>
      </c>
      <c r="H3968" s="7">
        <f ca="1">IFERROR(__xludf.DUMMYFUNCTION("""COMPUTED_VALUE"""),500000)</f>
        <v>500000</v>
      </c>
    </row>
    <row r="3969" spans="1:8" ht="13" x14ac:dyDescent="0.15">
      <c r="A3969" s="5" t="str">
        <f ca="1">IFERROR(__xludf.DUMMYFUNCTION("""COMPUTED_VALUE"""),"75965")</f>
        <v>75965</v>
      </c>
      <c r="B3969" s="51">
        <f ca="1">IFERROR(__xludf.DUMMYFUNCTION("""COMPUTED_VALUE"""),44606)</f>
        <v>44606</v>
      </c>
      <c r="C3969" s="22">
        <f ca="1">IFERROR(__xludf.DUMMYFUNCTION("""COMPUTED_VALUE"""),500000)</f>
        <v>500000</v>
      </c>
      <c r="D3969" s="22">
        <f ca="1">IFERROR(__xludf.DUMMYFUNCTION("""COMPUTED_VALUE"""),0)</f>
        <v>0</v>
      </c>
      <c r="E3969" s="22">
        <f ca="1">IFERROR(__xludf.DUMMYFUNCTION("""COMPUTED_VALUE"""),500000)</f>
        <v>500000</v>
      </c>
      <c r="F3969" s="22">
        <f ca="1">IFERROR(__xludf.DUMMYFUNCTION("""COMPUTED_VALUE"""),500000)</f>
        <v>500000</v>
      </c>
      <c r="G3969" s="22">
        <f ca="1">IFERROR(__xludf.DUMMYFUNCTION("""COMPUTED_VALUE"""),0)</f>
        <v>0</v>
      </c>
      <c r="H3969" s="7">
        <f ca="1">IFERROR(__xludf.DUMMYFUNCTION("""COMPUTED_VALUE"""),500000)</f>
        <v>500000</v>
      </c>
    </row>
    <row r="3970" spans="1:8" ht="13" x14ac:dyDescent="0.15">
      <c r="A3970" s="5" t="str">
        <f ca="1">IFERROR(__xludf.DUMMYFUNCTION("""COMPUTED_VALUE"""),"75965")</f>
        <v>75965</v>
      </c>
      <c r="B3970" s="51">
        <f ca="1">IFERROR(__xludf.DUMMYFUNCTION("""COMPUTED_VALUE"""),44607)</f>
        <v>44607</v>
      </c>
      <c r="C3970" s="22">
        <f ca="1">IFERROR(__xludf.DUMMYFUNCTION("""COMPUTED_VALUE"""),500000)</f>
        <v>500000</v>
      </c>
      <c r="D3970" s="22">
        <f ca="1">IFERROR(__xludf.DUMMYFUNCTION("""COMPUTED_VALUE"""),0)</f>
        <v>0</v>
      </c>
      <c r="E3970" s="22">
        <f ca="1">IFERROR(__xludf.DUMMYFUNCTION("""COMPUTED_VALUE"""),500000)</f>
        <v>500000</v>
      </c>
      <c r="F3970" s="22">
        <f ca="1">IFERROR(__xludf.DUMMYFUNCTION("""COMPUTED_VALUE"""),500000)</f>
        <v>500000</v>
      </c>
      <c r="G3970" s="22">
        <f ca="1">IFERROR(__xludf.DUMMYFUNCTION("""COMPUTED_VALUE"""),0)</f>
        <v>0</v>
      </c>
      <c r="H3970" s="7">
        <f ca="1">IFERROR(__xludf.DUMMYFUNCTION("""COMPUTED_VALUE"""),500000)</f>
        <v>500000</v>
      </c>
    </row>
    <row r="3971" spans="1:8" ht="13" x14ac:dyDescent="0.15">
      <c r="A3971" s="5" t="str">
        <f ca="1">IFERROR(__xludf.DUMMYFUNCTION("""COMPUTED_VALUE"""),"75965")</f>
        <v>75965</v>
      </c>
      <c r="B3971" s="51">
        <f ca="1">IFERROR(__xludf.DUMMYFUNCTION("""COMPUTED_VALUE"""),44608)</f>
        <v>44608</v>
      </c>
      <c r="C3971" s="22">
        <f ca="1">IFERROR(__xludf.DUMMYFUNCTION("""COMPUTED_VALUE"""),500000)</f>
        <v>500000</v>
      </c>
      <c r="D3971" s="22">
        <f ca="1">IFERROR(__xludf.DUMMYFUNCTION("""COMPUTED_VALUE"""),0)</f>
        <v>0</v>
      </c>
      <c r="E3971" s="22">
        <f ca="1">IFERROR(__xludf.DUMMYFUNCTION("""COMPUTED_VALUE"""),500000)</f>
        <v>500000</v>
      </c>
      <c r="F3971" s="22">
        <f ca="1">IFERROR(__xludf.DUMMYFUNCTION("""COMPUTED_VALUE"""),500000)</f>
        <v>500000</v>
      </c>
      <c r="G3971" s="22">
        <f ca="1">IFERROR(__xludf.DUMMYFUNCTION("""COMPUTED_VALUE"""),0)</f>
        <v>0</v>
      </c>
      <c r="H3971" s="7">
        <f ca="1">IFERROR(__xludf.DUMMYFUNCTION("""COMPUTED_VALUE"""),500000)</f>
        <v>500000</v>
      </c>
    </row>
    <row r="3972" spans="1:8" ht="13" x14ac:dyDescent="0.15">
      <c r="A3972" s="5" t="str">
        <f ca="1">IFERROR(__xludf.DUMMYFUNCTION("""COMPUTED_VALUE"""),"75965")</f>
        <v>75965</v>
      </c>
      <c r="B3972" s="51">
        <f ca="1">IFERROR(__xludf.DUMMYFUNCTION("""COMPUTED_VALUE"""),44609)</f>
        <v>44609</v>
      </c>
      <c r="C3972" s="22">
        <f ca="1">IFERROR(__xludf.DUMMYFUNCTION("""COMPUTED_VALUE"""),500000)</f>
        <v>500000</v>
      </c>
      <c r="D3972" s="22">
        <f ca="1">IFERROR(__xludf.DUMMYFUNCTION("""COMPUTED_VALUE"""),0)</f>
        <v>0</v>
      </c>
      <c r="E3972" s="22">
        <f ca="1">IFERROR(__xludf.DUMMYFUNCTION("""COMPUTED_VALUE"""),500000)</f>
        <v>500000</v>
      </c>
      <c r="F3972" s="22">
        <f ca="1">IFERROR(__xludf.DUMMYFUNCTION("""COMPUTED_VALUE"""),500000)</f>
        <v>500000</v>
      </c>
      <c r="G3972" s="22">
        <f ca="1">IFERROR(__xludf.DUMMYFUNCTION("""COMPUTED_VALUE"""),0)</f>
        <v>0</v>
      </c>
      <c r="H3972" s="7">
        <f ca="1">IFERROR(__xludf.DUMMYFUNCTION("""COMPUTED_VALUE"""),500000)</f>
        <v>500000</v>
      </c>
    </row>
    <row r="3973" spans="1:8" ht="13" x14ac:dyDescent="0.15">
      <c r="A3973" s="5" t="str">
        <f ca="1">IFERROR(__xludf.DUMMYFUNCTION("""COMPUTED_VALUE"""),"75965")</f>
        <v>75965</v>
      </c>
      <c r="B3973" s="51">
        <f ca="1">IFERROR(__xludf.DUMMYFUNCTION("""COMPUTED_VALUE"""),44610)</f>
        <v>44610</v>
      </c>
      <c r="C3973" s="22">
        <f ca="1">IFERROR(__xludf.DUMMYFUNCTION("""COMPUTED_VALUE"""),500000)</f>
        <v>500000</v>
      </c>
      <c r="D3973" s="22">
        <f ca="1">IFERROR(__xludf.DUMMYFUNCTION("""COMPUTED_VALUE"""),0)</f>
        <v>0</v>
      </c>
      <c r="E3973" s="22">
        <f ca="1">IFERROR(__xludf.DUMMYFUNCTION("""COMPUTED_VALUE"""),500000)</f>
        <v>500000</v>
      </c>
      <c r="F3973" s="22">
        <f ca="1">IFERROR(__xludf.DUMMYFUNCTION("""COMPUTED_VALUE"""),500000)</f>
        <v>500000</v>
      </c>
      <c r="G3973" s="22">
        <f ca="1">IFERROR(__xludf.DUMMYFUNCTION("""COMPUTED_VALUE"""),0)</f>
        <v>0</v>
      </c>
      <c r="H3973" s="7">
        <f ca="1">IFERROR(__xludf.DUMMYFUNCTION("""COMPUTED_VALUE"""),500000)</f>
        <v>500000</v>
      </c>
    </row>
    <row r="3974" spans="1:8" ht="13" x14ac:dyDescent="0.15">
      <c r="A3974" s="5" t="str">
        <f ca="1">IFERROR(__xludf.DUMMYFUNCTION("""COMPUTED_VALUE"""),"75965")</f>
        <v>75965</v>
      </c>
      <c r="B3974" s="51">
        <f ca="1">IFERROR(__xludf.DUMMYFUNCTION("""COMPUTED_VALUE"""),44611)</f>
        <v>44611</v>
      </c>
      <c r="C3974" s="22">
        <f ca="1">IFERROR(__xludf.DUMMYFUNCTION("""COMPUTED_VALUE"""),500000)</f>
        <v>500000</v>
      </c>
      <c r="D3974" s="22">
        <f ca="1">IFERROR(__xludf.DUMMYFUNCTION("""COMPUTED_VALUE"""),0)</f>
        <v>0</v>
      </c>
      <c r="E3974" s="22">
        <f ca="1">IFERROR(__xludf.DUMMYFUNCTION("""COMPUTED_VALUE"""),500000)</f>
        <v>500000</v>
      </c>
      <c r="F3974" s="22">
        <f ca="1">IFERROR(__xludf.DUMMYFUNCTION("""COMPUTED_VALUE"""),500000)</f>
        <v>500000</v>
      </c>
      <c r="G3974" s="22">
        <f ca="1">IFERROR(__xludf.DUMMYFUNCTION("""COMPUTED_VALUE"""),0)</f>
        <v>0</v>
      </c>
      <c r="H3974" s="7">
        <f ca="1">IFERROR(__xludf.DUMMYFUNCTION("""COMPUTED_VALUE"""),500000)</f>
        <v>500000</v>
      </c>
    </row>
    <row r="3975" spans="1:8" ht="13" x14ac:dyDescent="0.15">
      <c r="A3975" s="5" t="str">
        <f ca="1">IFERROR(__xludf.DUMMYFUNCTION("""COMPUTED_VALUE"""),"75965")</f>
        <v>75965</v>
      </c>
      <c r="B3975" s="51">
        <f ca="1">IFERROR(__xludf.DUMMYFUNCTION("""COMPUTED_VALUE"""),44612)</f>
        <v>44612</v>
      </c>
      <c r="C3975" s="22">
        <f ca="1">IFERROR(__xludf.DUMMYFUNCTION("""COMPUTED_VALUE"""),500000)</f>
        <v>500000</v>
      </c>
      <c r="D3975" s="22">
        <f ca="1">IFERROR(__xludf.DUMMYFUNCTION("""COMPUTED_VALUE"""),0)</f>
        <v>0</v>
      </c>
      <c r="E3975" s="22">
        <f ca="1">IFERROR(__xludf.DUMMYFUNCTION("""COMPUTED_VALUE"""),500000)</f>
        <v>500000</v>
      </c>
      <c r="F3975" s="22">
        <f ca="1">IFERROR(__xludf.DUMMYFUNCTION("""COMPUTED_VALUE"""),500000)</f>
        <v>500000</v>
      </c>
      <c r="G3975" s="22">
        <f ca="1">IFERROR(__xludf.DUMMYFUNCTION("""COMPUTED_VALUE"""),0)</f>
        <v>0</v>
      </c>
      <c r="H3975" s="7">
        <f ca="1">IFERROR(__xludf.DUMMYFUNCTION("""COMPUTED_VALUE"""),500000)</f>
        <v>500000</v>
      </c>
    </row>
    <row r="3976" spans="1:8" ht="13" x14ac:dyDescent="0.15">
      <c r="A3976" s="5" t="str">
        <f ca="1">IFERROR(__xludf.DUMMYFUNCTION("""COMPUTED_VALUE"""),"75965")</f>
        <v>75965</v>
      </c>
      <c r="B3976" s="51">
        <f ca="1">IFERROR(__xludf.DUMMYFUNCTION("""COMPUTED_VALUE"""),44613)</f>
        <v>44613</v>
      </c>
      <c r="C3976" s="22">
        <f ca="1">IFERROR(__xludf.DUMMYFUNCTION("""COMPUTED_VALUE"""),500000)</f>
        <v>500000</v>
      </c>
      <c r="D3976" s="22">
        <f ca="1">IFERROR(__xludf.DUMMYFUNCTION("""COMPUTED_VALUE"""),0)</f>
        <v>0</v>
      </c>
      <c r="E3976" s="22">
        <f ca="1">IFERROR(__xludf.DUMMYFUNCTION("""COMPUTED_VALUE"""),500000)</f>
        <v>500000</v>
      </c>
      <c r="F3976" s="22">
        <f ca="1">IFERROR(__xludf.DUMMYFUNCTION("""COMPUTED_VALUE"""),500000)</f>
        <v>500000</v>
      </c>
      <c r="G3976" s="22">
        <f ca="1">IFERROR(__xludf.DUMMYFUNCTION("""COMPUTED_VALUE"""),0)</f>
        <v>0</v>
      </c>
      <c r="H3976" s="7">
        <f ca="1">IFERROR(__xludf.DUMMYFUNCTION("""COMPUTED_VALUE"""),500000)</f>
        <v>500000</v>
      </c>
    </row>
    <row r="3977" spans="1:8" ht="13" x14ac:dyDescent="0.15">
      <c r="A3977" s="5" t="str">
        <f ca="1">IFERROR(__xludf.DUMMYFUNCTION("""COMPUTED_VALUE"""),"75965")</f>
        <v>75965</v>
      </c>
      <c r="B3977" s="51">
        <f ca="1">IFERROR(__xludf.DUMMYFUNCTION("""COMPUTED_VALUE"""),44614)</f>
        <v>44614</v>
      </c>
      <c r="C3977" s="22">
        <f ca="1">IFERROR(__xludf.DUMMYFUNCTION("""COMPUTED_VALUE"""),500000)</f>
        <v>500000</v>
      </c>
      <c r="D3977" s="22">
        <f ca="1">IFERROR(__xludf.DUMMYFUNCTION("""COMPUTED_VALUE"""),0)</f>
        <v>0</v>
      </c>
      <c r="E3977" s="22">
        <f ca="1">IFERROR(__xludf.DUMMYFUNCTION("""COMPUTED_VALUE"""),500000)</f>
        <v>500000</v>
      </c>
      <c r="F3977" s="22">
        <f ca="1">IFERROR(__xludf.DUMMYFUNCTION("""COMPUTED_VALUE"""),500000)</f>
        <v>500000</v>
      </c>
      <c r="G3977" s="22">
        <f ca="1">IFERROR(__xludf.DUMMYFUNCTION("""COMPUTED_VALUE"""),0)</f>
        <v>0</v>
      </c>
      <c r="H3977" s="7">
        <f ca="1">IFERROR(__xludf.DUMMYFUNCTION("""COMPUTED_VALUE"""),500000)</f>
        <v>500000</v>
      </c>
    </row>
    <row r="3978" spans="1:8" ht="13" x14ac:dyDescent="0.15">
      <c r="A3978" s="5" t="str">
        <f ca="1">IFERROR(__xludf.DUMMYFUNCTION("""COMPUTED_VALUE"""),"75965")</f>
        <v>75965</v>
      </c>
      <c r="B3978" s="51">
        <f ca="1">IFERROR(__xludf.DUMMYFUNCTION("""COMPUTED_VALUE"""),44615)</f>
        <v>44615</v>
      </c>
      <c r="C3978" s="22">
        <f ca="1">IFERROR(__xludf.DUMMYFUNCTION("""COMPUTED_VALUE"""),500000)</f>
        <v>500000</v>
      </c>
      <c r="D3978" s="22">
        <f ca="1">IFERROR(__xludf.DUMMYFUNCTION("""COMPUTED_VALUE"""),0)</f>
        <v>0</v>
      </c>
      <c r="E3978" s="22">
        <f ca="1">IFERROR(__xludf.DUMMYFUNCTION("""COMPUTED_VALUE"""),500000)</f>
        <v>500000</v>
      </c>
      <c r="F3978" s="22">
        <f ca="1">IFERROR(__xludf.DUMMYFUNCTION("""COMPUTED_VALUE"""),500000)</f>
        <v>500000</v>
      </c>
      <c r="G3978" s="22">
        <f ca="1">IFERROR(__xludf.DUMMYFUNCTION("""COMPUTED_VALUE"""),0)</f>
        <v>0</v>
      </c>
      <c r="H3978" s="7">
        <f ca="1">IFERROR(__xludf.DUMMYFUNCTION("""COMPUTED_VALUE"""),500000)</f>
        <v>500000</v>
      </c>
    </row>
    <row r="3979" spans="1:8" ht="13" x14ac:dyDescent="0.15">
      <c r="A3979" s="5" t="str">
        <f ca="1">IFERROR(__xludf.DUMMYFUNCTION("""COMPUTED_VALUE"""),"75965")</f>
        <v>75965</v>
      </c>
      <c r="B3979" s="51">
        <f ca="1">IFERROR(__xludf.DUMMYFUNCTION("""COMPUTED_VALUE"""),44616)</f>
        <v>44616</v>
      </c>
      <c r="C3979" s="22">
        <f ca="1">IFERROR(__xludf.DUMMYFUNCTION("""COMPUTED_VALUE"""),500000)</f>
        <v>500000</v>
      </c>
      <c r="D3979" s="22">
        <f ca="1">IFERROR(__xludf.DUMMYFUNCTION("""COMPUTED_VALUE"""),0)</f>
        <v>0</v>
      </c>
      <c r="E3979" s="22">
        <f ca="1">IFERROR(__xludf.DUMMYFUNCTION("""COMPUTED_VALUE"""),500000)</f>
        <v>500000</v>
      </c>
      <c r="F3979" s="22">
        <f ca="1">IFERROR(__xludf.DUMMYFUNCTION("""COMPUTED_VALUE"""),500000)</f>
        <v>500000</v>
      </c>
      <c r="G3979" s="22">
        <f ca="1">IFERROR(__xludf.DUMMYFUNCTION("""COMPUTED_VALUE"""),0)</f>
        <v>0</v>
      </c>
      <c r="H3979" s="7">
        <f ca="1">IFERROR(__xludf.DUMMYFUNCTION("""COMPUTED_VALUE"""),500000)</f>
        <v>500000</v>
      </c>
    </row>
    <row r="3980" spans="1:8" ht="13" x14ac:dyDescent="0.15">
      <c r="A3980" s="5" t="str">
        <f ca="1">IFERROR(__xludf.DUMMYFUNCTION("""COMPUTED_VALUE"""),"75965")</f>
        <v>75965</v>
      </c>
      <c r="B3980" s="51">
        <f ca="1">IFERROR(__xludf.DUMMYFUNCTION("""COMPUTED_VALUE"""),44617)</f>
        <v>44617</v>
      </c>
      <c r="C3980" s="22">
        <f ca="1">IFERROR(__xludf.DUMMYFUNCTION("""COMPUTED_VALUE"""),500000)</f>
        <v>500000</v>
      </c>
      <c r="D3980" s="22">
        <f ca="1">IFERROR(__xludf.DUMMYFUNCTION("""COMPUTED_VALUE"""),0)</f>
        <v>0</v>
      </c>
      <c r="E3980" s="22">
        <f ca="1">IFERROR(__xludf.DUMMYFUNCTION("""COMPUTED_VALUE"""),500000)</f>
        <v>500000</v>
      </c>
      <c r="F3980" s="22">
        <f ca="1">IFERROR(__xludf.DUMMYFUNCTION("""COMPUTED_VALUE"""),500000)</f>
        <v>500000</v>
      </c>
      <c r="G3980" s="22">
        <f ca="1">IFERROR(__xludf.DUMMYFUNCTION("""COMPUTED_VALUE"""),0)</f>
        <v>0</v>
      </c>
      <c r="H3980" s="7">
        <f ca="1">IFERROR(__xludf.DUMMYFUNCTION("""COMPUTED_VALUE"""),500000)</f>
        <v>500000</v>
      </c>
    </row>
    <row r="3981" spans="1:8" ht="13" x14ac:dyDescent="0.15">
      <c r="A3981" s="5" t="str">
        <f ca="1">IFERROR(__xludf.DUMMYFUNCTION("""COMPUTED_VALUE"""),"75965")</f>
        <v>75965</v>
      </c>
      <c r="B3981" s="51">
        <f ca="1">IFERROR(__xludf.DUMMYFUNCTION("""COMPUTED_VALUE"""),44618)</f>
        <v>44618</v>
      </c>
      <c r="C3981" s="22">
        <f ca="1">IFERROR(__xludf.DUMMYFUNCTION("""COMPUTED_VALUE"""),500000)</f>
        <v>500000</v>
      </c>
      <c r="D3981" s="22">
        <f ca="1">IFERROR(__xludf.DUMMYFUNCTION("""COMPUTED_VALUE"""),0)</f>
        <v>0</v>
      </c>
      <c r="E3981" s="22">
        <f ca="1">IFERROR(__xludf.DUMMYFUNCTION("""COMPUTED_VALUE"""),500000)</f>
        <v>500000</v>
      </c>
      <c r="F3981" s="22">
        <f ca="1">IFERROR(__xludf.DUMMYFUNCTION("""COMPUTED_VALUE"""),500000)</f>
        <v>500000</v>
      </c>
      <c r="G3981" s="22">
        <f ca="1">IFERROR(__xludf.DUMMYFUNCTION("""COMPUTED_VALUE"""),0)</f>
        <v>0</v>
      </c>
      <c r="H3981" s="7">
        <f ca="1">IFERROR(__xludf.DUMMYFUNCTION("""COMPUTED_VALUE"""),500000)</f>
        <v>500000</v>
      </c>
    </row>
    <row r="3982" spans="1:8" ht="13" x14ac:dyDescent="0.15">
      <c r="A3982" s="5" t="str">
        <f ca="1">IFERROR(__xludf.DUMMYFUNCTION("""COMPUTED_VALUE"""),"75965")</f>
        <v>75965</v>
      </c>
      <c r="B3982" s="51">
        <f ca="1">IFERROR(__xludf.DUMMYFUNCTION("""COMPUTED_VALUE"""),44619)</f>
        <v>44619</v>
      </c>
      <c r="C3982" s="22">
        <f ca="1">IFERROR(__xludf.DUMMYFUNCTION("""COMPUTED_VALUE"""),500000)</f>
        <v>500000</v>
      </c>
      <c r="D3982" s="22">
        <f ca="1">IFERROR(__xludf.DUMMYFUNCTION("""COMPUTED_VALUE"""),0)</f>
        <v>0</v>
      </c>
      <c r="E3982" s="22">
        <f ca="1">IFERROR(__xludf.DUMMYFUNCTION("""COMPUTED_VALUE"""),500000)</f>
        <v>500000</v>
      </c>
      <c r="F3982" s="22">
        <f ca="1">IFERROR(__xludf.DUMMYFUNCTION("""COMPUTED_VALUE"""),500000)</f>
        <v>500000</v>
      </c>
      <c r="G3982" s="22">
        <f ca="1">IFERROR(__xludf.DUMMYFUNCTION("""COMPUTED_VALUE"""),0)</f>
        <v>0</v>
      </c>
      <c r="H3982" s="7">
        <f ca="1">IFERROR(__xludf.DUMMYFUNCTION("""COMPUTED_VALUE"""),500000)</f>
        <v>500000</v>
      </c>
    </row>
    <row r="3983" spans="1:8" ht="13" x14ac:dyDescent="0.15">
      <c r="A3983" s="5" t="str">
        <f ca="1">IFERROR(__xludf.DUMMYFUNCTION("""COMPUTED_VALUE"""),"75965")</f>
        <v>75965</v>
      </c>
      <c r="B3983" s="51">
        <f ca="1">IFERROR(__xludf.DUMMYFUNCTION("""COMPUTED_VALUE"""),44620)</f>
        <v>44620</v>
      </c>
      <c r="C3983" s="22">
        <f ca="1">IFERROR(__xludf.DUMMYFUNCTION("""COMPUTED_VALUE"""),500000)</f>
        <v>500000</v>
      </c>
      <c r="D3983" s="22">
        <f ca="1">IFERROR(__xludf.DUMMYFUNCTION("""COMPUTED_VALUE"""),0)</f>
        <v>0</v>
      </c>
      <c r="E3983" s="22">
        <f ca="1">IFERROR(__xludf.DUMMYFUNCTION("""COMPUTED_VALUE"""),500000)</f>
        <v>500000</v>
      </c>
      <c r="F3983" s="22">
        <f ca="1">IFERROR(__xludf.DUMMYFUNCTION("""COMPUTED_VALUE"""),500000)</f>
        <v>500000</v>
      </c>
      <c r="G3983" s="22">
        <f ca="1">IFERROR(__xludf.DUMMYFUNCTION("""COMPUTED_VALUE"""),0)</f>
        <v>0</v>
      </c>
      <c r="H3983" s="7">
        <f ca="1">IFERROR(__xludf.DUMMYFUNCTION("""COMPUTED_VALUE"""),500000)</f>
        <v>500000</v>
      </c>
    </row>
    <row r="3984" spans="1:8" ht="13" x14ac:dyDescent="0.15">
      <c r="A3984" s="5" t="str">
        <f ca="1">IFERROR(__xludf.DUMMYFUNCTION("""COMPUTED_VALUE"""),"75965")</f>
        <v>75965</v>
      </c>
      <c r="B3984" s="51">
        <f ca="1">IFERROR(__xludf.DUMMYFUNCTION("""COMPUTED_VALUE"""),44621)</f>
        <v>44621</v>
      </c>
      <c r="C3984" s="22">
        <f ca="1">IFERROR(__xludf.DUMMYFUNCTION("""COMPUTED_VALUE"""),500000)</f>
        <v>500000</v>
      </c>
      <c r="D3984" s="22">
        <f ca="1">IFERROR(__xludf.DUMMYFUNCTION("""COMPUTED_VALUE"""),0)</f>
        <v>0</v>
      </c>
      <c r="E3984" s="22">
        <f ca="1">IFERROR(__xludf.DUMMYFUNCTION("""COMPUTED_VALUE"""),500000)</f>
        <v>500000</v>
      </c>
      <c r="F3984" s="22">
        <f ca="1">IFERROR(__xludf.DUMMYFUNCTION("""COMPUTED_VALUE"""),500000)</f>
        <v>500000</v>
      </c>
      <c r="G3984" s="22">
        <f ca="1">IFERROR(__xludf.DUMMYFUNCTION("""COMPUTED_VALUE"""),0)</f>
        <v>0</v>
      </c>
      <c r="H3984" s="7">
        <f ca="1">IFERROR(__xludf.DUMMYFUNCTION("""COMPUTED_VALUE"""),500000)</f>
        <v>500000</v>
      </c>
    </row>
    <row r="3985" spans="1:8" ht="13" x14ac:dyDescent="0.15">
      <c r="A3985" s="5" t="str">
        <f ca="1">IFERROR(__xludf.DUMMYFUNCTION("""COMPUTED_VALUE"""),"75965")</f>
        <v>75965</v>
      </c>
      <c r="B3985" s="51">
        <f ca="1">IFERROR(__xludf.DUMMYFUNCTION("""COMPUTED_VALUE"""),44622)</f>
        <v>44622</v>
      </c>
      <c r="C3985" s="22">
        <f ca="1">IFERROR(__xludf.DUMMYFUNCTION("""COMPUTED_VALUE"""),500000)</f>
        <v>500000</v>
      </c>
      <c r="D3985" s="22">
        <f ca="1">IFERROR(__xludf.DUMMYFUNCTION("""COMPUTED_VALUE"""),0)</f>
        <v>0</v>
      </c>
      <c r="E3985" s="22">
        <f ca="1">IFERROR(__xludf.DUMMYFUNCTION("""COMPUTED_VALUE"""),500000)</f>
        <v>500000</v>
      </c>
      <c r="F3985" s="22">
        <f ca="1">IFERROR(__xludf.DUMMYFUNCTION("""COMPUTED_VALUE"""),500000)</f>
        <v>500000</v>
      </c>
      <c r="G3985" s="22">
        <f ca="1">IFERROR(__xludf.DUMMYFUNCTION("""COMPUTED_VALUE"""),0)</f>
        <v>0</v>
      </c>
      <c r="H3985" s="7">
        <f ca="1">IFERROR(__xludf.DUMMYFUNCTION("""COMPUTED_VALUE"""),500000)</f>
        <v>500000</v>
      </c>
    </row>
    <row r="3986" spans="1:8" ht="13" x14ac:dyDescent="0.15">
      <c r="A3986" s="5" t="str">
        <f ca="1">IFERROR(__xludf.DUMMYFUNCTION("""COMPUTED_VALUE"""),"75965")</f>
        <v>75965</v>
      </c>
      <c r="B3986" s="51">
        <f ca="1">IFERROR(__xludf.DUMMYFUNCTION("""COMPUTED_VALUE"""),44623)</f>
        <v>44623</v>
      </c>
      <c r="C3986" s="22">
        <f ca="1">IFERROR(__xludf.DUMMYFUNCTION("""COMPUTED_VALUE"""),500000)</f>
        <v>500000</v>
      </c>
      <c r="D3986" s="22">
        <f ca="1">IFERROR(__xludf.DUMMYFUNCTION("""COMPUTED_VALUE"""),0)</f>
        <v>0</v>
      </c>
      <c r="E3986" s="22">
        <f ca="1">IFERROR(__xludf.DUMMYFUNCTION("""COMPUTED_VALUE"""),500000)</f>
        <v>500000</v>
      </c>
      <c r="F3986" s="22">
        <f ca="1">IFERROR(__xludf.DUMMYFUNCTION("""COMPUTED_VALUE"""),500000)</f>
        <v>500000</v>
      </c>
      <c r="G3986" s="22">
        <f ca="1">IFERROR(__xludf.DUMMYFUNCTION("""COMPUTED_VALUE"""),0)</f>
        <v>0</v>
      </c>
      <c r="H3986" s="7">
        <f ca="1">IFERROR(__xludf.DUMMYFUNCTION("""COMPUTED_VALUE"""),500000)</f>
        <v>500000</v>
      </c>
    </row>
    <row r="3987" spans="1:8" ht="13" x14ac:dyDescent="0.15">
      <c r="A3987" s="5" t="str">
        <f ca="1">IFERROR(__xludf.DUMMYFUNCTION("""COMPUTED_VALUE"""),"75965")</f>
        <v>75965</v>
      </c>
      <c r="B3987" s="51">
        <f ca="1">IFERROR(__xludf.DUMMYFUNCTION("""COMPUTED_VALUE"""),44624)</f>
        <v>44624</v>
      </c>
      <c r="C3987" s="22">
        <f ca="1">IFERROR(__xludf.DUMMYFUNCTION("""COMPUTED_VALUE"""),500000)</f>
        <v>500000</v>
      </c>
      <c r="D3987" s="22">
        <f ca="1">IFERROR(__xludf.DUMMYFUNCTION("""COMPUTED_VALUE"""),0)</f>
        <v>0</v>
      </c>
      <c r="E3987" s="22">
        <f ca="1">IFERROR(__xludf.DUMMYFUNCTION("""COMPUTED_VALUE"""),500000)</f>
        <v>500000</v>
      </c>
      <c r="F3987" s="22">
        <f ca="1">IFERROR(__xludf.DUMMYFUNCTION("""COMPUTED_VALUE"""),500000)</f>
        <v>500000</v>
      </c>
      <c r="G3987" s="22">
        <f ca="1">IFERROR(__xludf.DUMMYFUNCTION("""COMPUTED_VALUE"""),0)</f>
        <v>0</v>
      </c>
      <c r="H3987" s="7">
        <f ca="1">IFERROR(__xludf.DUMMYFUNCTION("""COMPUTED_VALUE"""),500000)</f>
        <v>500000</v>
      </c>
    </row>
    <row r="3988" spans="1:8" ht="13" x14ac:dyDescent="0.15">
      <c r="A3988" s="5" t="str">
        <f ca="1">IFERROR(__xludf.DUMMYFUNCTION("""COMPUTED_VALUE"""),"75965")</f>
        <v>75965</v>
      </c>
      <c r="B3988" s="51">
        <f ca="1">IFERROR(__xludf.DUMMYFUNCTION("""COMPUTED_VALUE"""),44625)</f>
        <v>44625</v>
      </c>
      <c r="C3988" s="22">
        <f ca="1">IFERROR(__xludf.DUMMYFUNCTION("""COMPUTED_VALUE"""),500000)</f>
        <v>500000</v>
      </c>
      <c r="D3988" s="22">
        <f ca="1">IFERROR(__xludf.DUMMYFUNCTION("""COMPUTED_VALUE"""),0)</f>
        <v>0</v>
      </c>
      <c r="E3988" s="22">
        <f ca="1">IFERROR(__xludf.DUMMYFUNCTION("""COMPUTED_VALUE"""),500000)</f>
        <v>500000</v>
      </c>
      <c r="F3988" s="22">
        <f ca="1">IFERROR(__xludf.DUMMYFUNCTION("""COMPUTED_VALUE"""),500000)</f>
        <v>500000</v>
      </c>
      <c r="G3988" s="22">
        <f ca="1">IFERROR(__xludf.DUMMYFUNCTION("""COMPUTED_VALUE"""),0)</f>
        <v>0</v>
      </c>
      <c r="H3988" s="7">
        <f ca="1">IFERROR(__xludf.DUMMYFUNCTION("""COMPUTED_VALUE"""),500000)</f>
        <v>500000</v>
      </c>
    </row>
    <row r="3989" spans="1:8" ht="13" x14ac:dyDescent="0.15">
      <c r="A3989" s="5" t="str">
        <f ca="1">IFERROR(__xludf.DUMMYFUNCTION("""COMPUTED_VALUE"""),"75965")</f>
        <v>75965</v>
      </c>
      <c r="B3989" s="51">
        <f ca="1">IFERROR(__xludf.DUMMYFUNCTION("""COMPUTED_VALUE"""),44626)</f>
        <v>44626</v>
      </c>
      <c r="C3989" s="22">
        <f ca="1">IFERROR(__xludf.DUMMYFUNCTION("""COMPUTED_VALUE"""),500000)</f>
        <v>500000</v>
      </c>
      <c r="D3989" s="22">
        <f ca="1">IFERROR(__xludf.DUMMYFUNCTION("""COMPUTED_VALUE"""),0)</f>
        <v>0</v>
      </c>
      <c r="E3989" s="22">
        <f ca="1">IFERROR(__xludf.DUMMYFUNCTION("""COMPUTED_VALUE"""),500000)</f>
        <v>500000</v>
      </c>
      <c r="F3989" s="22">
        <f ca="1">IFERROR(__xludf.DUMMYFUNCTION("""COMPUTED_VALUE"""),500000)</f>
        <v>500000</v>
      </c>
      <c r="G3989" s="22">
        <f ca="1">IFERROR(__xludf.DUMMYFUNCTION("""COMPUTED_VALUE"""),0)</f>
        <v>0</v>
      </c>
      <c r="H3989" s="7">
        <f ca="1">IFERROR(__xludf.DUMMYFUNCTION("""COMPUTED_VALUE"""),500000)</f>
        <v>500000</v>
      </c>
    </row>
    <row r="3990" spans="1:8" ht="13" x14ac:dyDescent="0.15">
      <c r="A3990" s="5" t="str">
        <f ca="1">IFERROR(__xludf.DUMMYFUNCTION("""COMPUTED_VALUE"""),"75965")</f>
        <v>75965</v>
      </c>
      <c r="B3990" s="51">
        <f ca="1">IFERROR(__xludf.DUMMYFUNCTION("""COMPUTED_VALUE"""),44627)</f>
        <v>44627</v>
      </c>
      <c r="C3990" s="22">
        <f ca="1">IFERROR(__xludf.DUMMYFUNCTION("""COMPUTED_VALUE"""),500000)</f>
        <v>500000</v>
      </c>
      <c r="D3990" s="22">
        <f ca="1">IFERROR(__xludf.DUMMYFUNCTION("""COMPUTED_VALUE"""),0)</f>
        <v>0</v>
      </c>
      <c r="E3990" s="22">
        <f ca="1">IFERROR(__xludf.DUMMYFUNCTION("""COMPUTED_VALUE"""),500000)</f>
        <v>500000</v>
      </c>
      <c r="F3990" s="22">
        <f ca="1">IFERROR(__xludf.DUMMYFUNCTION("""COMPUTED_VALUE"""),500000)</f>
        <v>500000</v>
      </c>
      <c r="G3990" s="22">
        <f ca="1">IFERROR(__xludf.DUMMYFUNCTION("""COMPUTED_VALUE"""),0)</f>
        <v>0</v>
      </c>
      <c r="H3990" s="7">
        <f ca="1">IFERROR(__xludf.DUMMYFUNCTION("""COMPUTED_VALUE"""),500000)</f>
        <v>500000</v>
      </c>
    </row>
    <row r="3991" spans="1:8" ht="13" x14ac:dyDescent="0.15">
      <c r="A3991" s="5" t="str">
        <f ca="1">IFERROR(__xludf.DUMMYFUNCTION("""COMPUTED_VALUE"""),"75965")</f>
        <v>75965</v>
      </c>
      <c r="B3991" s="51">
        <f ca="1">IFERROR(__xludf.DUMMYFUNCTION("""COMPUTED_VALUE"""),44628)</f>
        <v>44628</v>
      </c>
      <c r="C3991" s="22">
        <f ca="1">IFERROR(__xludf.DUMMYFUNCTION("""COMPUTED_VALUE"""),500000)</f>
        <v>500000</v>
      </c>
      <c r="D3991" s="22">
        <f ca="1">IFERROR(__xludf.DUMMYFUNCTION("""COMPUTED_VALUE"""),0)</f>
        <v>0</v>
      </c>
      <c r="E3991" s="22">
        <f ca="1">IFERROR(__xludf.DUMMYFUNCTION("""COMPUTED_VALUE"""),500000)</f>
        <v>500000</v>
      </c>
      <c r="F3991" s="22">
        <f ca="1">IFERROR(__xludf.DUMMYFUNCTION("""COMPUTED_VALUE"""),500000)</f>
        <v>500000</v>
      </c>
      <c r="G3991" s="22">
        <f ca="1">IFERROR(__xludf.DUMMYFUNCTION("""COMPUTED_VALUE"""),0)</f>
        <v>0</v>
      </c>
      <c r="H3991" s="7">
        <f ca="1">IFERROR(__xludf.DUMMYFUNCTION("""COMPUTED_VALUE"""),500000)</f>
        <v>500000</v>
      </c>
    </row>
    <row r="3992" spans="1:8" ht="13" x14ac:dyDescent="0.15">
      <c r="A3992" s="5" t="str">
        <f ca="1">IFERROR(__xludf.DUMMYFUNCTION("""COMPUTED_VALUE"""),"75965")</f>
        <v>75965</v>
      </c>
      <c r="B3992" s="51">
        <f ca="1">IFERROR(__xludf.DUMMYFUNCTION("""COMPUTED_VALUE"""),44629)</f>
        <v>44629</v>
      </c>
      <c r="C3992" s="22">
        <f ca="1">IFERROR(__xludf.DUMMYFUNCTION("""COMPUTED_VALUE"""),500000)</f>
        <v>500000</v>
      </c>
      <c r="D3992" s="22">
        <f ca="1">IFERROR(__xludf.DUMMYFUNCTION("""COMPUTED_VALUE"""),0)</f>
        <v>0</v>
      </c>
      <c r="E3992" s="22">
        <f ca="1">IFERROR(__xludf.DUMMYFUNCTION("""COMPUTED_VALUE"""),500000)</f>
        <v>500000</v>
      </c>
      <c r="F3992" s="22">
        <f ca="1">IFERROR(__xludf.DUMMYFUNCTION("""COMPUTED_VALUE"""),500000)</f>
        <v>500000</v>
      </c>
      <c r="G3992" s="22">
        <f ca="1">IFERROR(__xludf.DUMMYFUNCTION("""COMPUTED_VALUE"""),0)</f>
        <v>0</v>
      </c>
      <c r="H3992" s="7">
        <f ca="1">IFERROR(__xludf.DUMMYFUNCTION("""COMPUTED_VALUE"""),500000)</f>
        <v>500000</v>
      </c>
    </row>
    <row r="3993" spans="1:8" ht="13" x14ac:dyDescent="0.15">
      <c r="A3993" s="5" t="str">
        <f ca="1">IFERROR(__xludf.DUMMYFUNCTION("""COMPUTED_VALUE"""),"75965")</f>
        <v>75965</v>
      </c>
      <c r="B3993" s="51">
        <f ca="1">IFERROR(__xludf.DUMMYFUNCTION("""COMPUTED_VALUE"""),44630)</f>
        <v>44630</v>
      </c>
      <c r="C3993" s="22">
        <f ca="1">IFERROR(__xludf.DUMMYFUNCTION("""COMPUTED_VALUE"""),500000)</f>
        <v>500000</v>
      </c>
      <c r="D3993" s="22">
        <f ca="1">IFERROR(__xludf.DUMMYFUNCTION("""COMPUTED_VALUE"""),0)</f>
        <v>0</v>
      </c>
      <c r="E3993" s="22">
        <f ca="1">IFERROR(__xludf.DUMMYFUNCTION("""COMPUTED_VALUE"""),500000)</f>
        <v>500000</v>
      </c>
      <c r="F3993" s="22">
        <f ca="1">IFERROR(__xludf.DUMMYFUNCTION("""COMPUTED_VALUE"""),500000)</f>
        <v>500000</v>
      </c>
      <c r="G3993" s="22">
        <f ca="1">IFERROR(__xludf.DUMMYFUNCTION("""COMPUTED_VALUE"""),0)</f>
        <v>0</v>
      </c>
      <c r="H3993" s="7">
        <f ca="1">IFERROR(__xludf.DUMMYFUNCTION("""COMPUTED_VALUE"""),500000)</f>
        <v>500000</v>
      </c>
    </row>
    <row r="3994" spans="1:8" ht="13" x14ac:dyDescent="0.15">
      <c r="A3994" s="5" t="str">
        <f ca="1">IFERROR(__xludf.DUMMYFUNCTION("""COMPUTED_VALUE"""),"75965")</f>
        <v>75965</v>
      </c>
      <c r="B3994" s="51">
        <f ca="1">IFERROR(__xludf.DUMMYFUNCTION("""COMPUTED_VALUE"""),44631)</f>
        <v>44631</v>
      </c>
      <c r="C3994" s="22">
        <f ca="1">IFERROR(__xludf.DUMMYFUNCTION("""COMPUTED_VALUE"""),500000)</f>
        <v>500000</v>
      </c>
      <c r="D3994" s="22">
        <f ca="1">IFERROR(__xludf.DUMMYFUNCTION("""COMPUTED_VALUE"""),0)</f>
        <v>0</v>
      </c>
      <c r="E3994" s="22">
        <f ca="1">IFERROR(__xludf.DUMMYFUNCTION("""COMPUTED_VALUE"""),500000)</f>
        <v>500000</v>
      </c>
      <c r="F3994" s="22">
        <f ca="1">IFERROR(__xludf.DUMMYFUNCTION("""COMPUTED_VALUE"""),500000)</f>
        <v>500000</v>
      </c>
      <c r="G3994" s="22">
        <f ca="1">IFERROR(__xludf.DUMMYFUNCTION("""COMPUTED_VALUE"""),0)</f>
        <v>0</v>
      </c>
      <c r="H3994" s="7">
        <f ca="1">IFERROR(__xludf.DUMMYFUNCTION("""COMPUTED_VALUE"""),500000)</f>
        <v>500000</v>
      </c>
    </row>
    <row r="3995" spans="1:8" ht="13" x14ac:dyDescent="0.15">
      <c r="A3995" s="5" t="str">
        <f ca="1">IFERROR(__xludf.DUMMYFUNCTION("""COMPUTED_VALUE"""),"75965")</f>
        <v>75965</v>
      </c>
      <c r="B3995" s="51">
        <f ca="1">IFERROR(__xludf.DUMMYFUNCTION("""COMPUTED_VALUE"""),44632)</f>
        <v>44632</v>
      </c>
      <c r="C3995" s="22">
        <f ca="1">IFERROR(__xludf.DUMMYFUNCTION("""COMPUTED_VALUE"""),500000)</f>
        <v>500000</v>
      </c>
      <c r="D3995" s="22">
        <f ca="1">IFERROR(__xludf.DUMMYFUNCTION("""COMPUTED_VALUE"""),0)</f>
        <v>0</v>
      </c>
      <c r="E3995" s="22">
        <f ca="1">IFERROR(__xludf.DUMMYFUNCTION("""COMPUTED_VALUE"""),500000)</f>
        <v>500000</v>
      </c>
      <c r="F3995" s="22">
        <f ca="1">IFERROR(__xludf.DUMMYFUNCTION("""COMPUTED_VALUE"""),500000)</f>
        <v>500000</v>
      </c>
      <c r="G3995" s="22">
        <f ca="1">IFERROR(__xludf.DUMMYFUNCTION("""COMPUTED_VALUE"""),0)</f>
        <v>0</v>
      </c>
      <c r="H3995" s="7">
        <f ca="1">IFERROR(__xludf.DUMMYFUNCTION("""COMPUTED_VALUE"""),500000)</f>
        <v>500000</v>
      </c>
    </row>
    <row r="3996" spans="1:8" ht="13" x14ac:dyDescent="0.15">
      <c r="A3996" s="5" t="str">
        <f ca="1">IFERROR(__xludf.DUMMYFUNCTION("""COMPUTED_VALUE"""),"75965")</f>
        <v>75965</v>
      </c>
      <c r="B3996" s="51">
        <f ca="1">IFERROR(__xludf.DUMMYFUNCTION("""COMPUTED_VALUE"""),44633)</f>
        <v>44633</v>
      </c>
      <c r="C3996" s="22">
        <f ca="1">IFERROR(__xludf.DUMMYFUNCTION("""COMPUTED_VALUE"""),500000)</f>
        <v>500000</v>
      </c>
      <c r="D3996" s="22">
        <f ca="1">IFERROR(__xludf.DUMMYFUNCTION("""COMPUTED_VALUE"""),0)</f>
        <v>0</v>
      </c>
      <c r="E3996" s="22">
        <f ca="1">IFERROR(__xludf.DUMMYFUNCTION("""COMPUTED_VALUE"""),500000)</f>
        <v>500000</v>
      </c>
      <c r="F3996" s="22">
        <f ca="1">IFERROR(__xludf.DUMMYFUNCTION("""COMPUTED_VALUE"""),500000)</f>
        <v>500000</v>
      </c>
      <c r="G3996" s="22">
        <f ca="1">IFERROR(__xludf.DUMMYFUNCTION("""COMPUTED_VALUE"""),0)</f>
        <v>0</v>
      </c>
      <c r="H3996" s="7">
        <f ca="1">IFERROR(__xludf.DUMMYFUNCTION("""COMPUTED_VALUE"""),500000)</f>
        <v>500000</v>
      </c>
    </row>
    <row r="3997" spans="1:8" ht="13" x14ac:dyDescent="0.15">
      <c r="A3997" s="5" t="str">
        <f ca="1">IFERROR(__xludf.DUMMYFUNCTION("""COMPUTED_VALUE"""),"75965")</f>
        <v>75965</v>
      </c>
      <c r="B3997" s="51">
        <f ca="1">IFERROR(__xludf.DUMMYFUNCTION("""COMPUTED_VALUE"""),44634)</f>
        <v>44634</v>
      </c>
      <c r="C3997" s="22">
        <f ca="1">IFERROR(__xludf.DUMMYFUNCTION("""COMPUTED_VALUE"""),500000)</f>
        <v>500000</v>
      </c>
      <c r="D3997" s="22">
        <f ca="1">IFERROR(__xludf.DUMMYFUNCTION("""COMPUTED_VALUE"""),0)</f>
        <v>0</v>
      </c>
      <c r="E3997" s="22">
        <f ca="1">IFERROR(__xludf.DUMMYFUNCTION("""COMPUTED_VALUE"""),500000)</f>
        <v>500000</v>
      </c>
      <c r="F3997" s="22">
        <f ca="1">IFERROR(__xludf.DUMMYFUNCTION("""COMPUTED_VALUE"""),500000)</f>
        <v>500000</v>
      </c>
      <c r="G3997" s="22">
        <f ca="1">IFERROR(__xludf.DUMMYFUNCTION("""COMPUTED_VALUE"""),0)</f>
        <v>0</v>
      </c>
      <c r="H3997" s="7">
        <f ca="1">IFERROR(__xludf.DUMMYFUNCTION("""COMPUTED_VALUE"""),500000)</f>
        <v>500000</v>
      </c>
    </row>
    <row r="3998" spans="1:8" ht="13" x14ac:dyDescent="0.15">
      <c r="A3998" s="5" t="str">
        <f ca="1">IFERROR(__xludf.DUMMYFUNCTION("""COMPUTED_VALUE"""),"75965")</f>
        <v>75965</v>
      </c>
      <c r="B3998" s="51">
        <f ca="1">IFERROR(__xludf.DUMMYFUNCTION("""COMPUTED_VALUE"""),44635)</f>
        <v>44635</v>
      </c>
      <c r="C3998" s="22">
        <f ca="1">IFERROR(__xludf.DUMMYFUNCTION("""COMPUTED_VALUE"""),500000)</f>
        <v>500000</v>
      </c>
      <c r="D3998" s="22">
        <f ca="1">IFERROR(__xludf.DUMMYFUNCTION("""COMPUTED_VALUE"""),0)</f>
        <v>0</v>
      </c>
      <c r="E3998" s="22">
        <f ca="1">IFERROR(__xludf.DUMMYFUNCTION("""COMPUTED_VALUE"""),500000)</f>
        <v>500000</v>
      </c>
      <c r="F3998" s="22">
        <f ca="1">IFERROR(__xludf.DUMMYFUNCTION("""COMPUTED_VALUE"""),500000)</f>
        <v>500000</v>
      </c>
      <c r="G3998" s="22">
        <f ca="1">IFERROR(__xludf.DUMMYFUNCTION("""COMPUTED_VALUE"""),0)</f>
        <v>0</v>
      </c>
      <c r="H3998" s="7">
        <f ca="1">IFERROR(__xludf.DUMMYFUNCTION("""COMPUTED_VALUE"""),500000)</f>
        <v>500000</v>
      </c>
    </row>
    <row r="3999" spans="1:8" ht="13" x14ac:dyDescent="0.15">
      <c r="A3999" s="5" t="str">
        <f ca="1">IFERROR(__xludf.DUMMYFUNCTION("""COMPUTED_VALUE"""),"75965")</f>
        <v>75965</v>
      </c>
      <c r="B3999" s="51">
        <f ca="1">IFERROR(__xludf.DUMMYFUNCTION("""COMPUTED_VALUE"""),44636)</f>
        <v>44636</v>
      </c>
      <c r="C3999" s="22">
        <f ca="1">IFERROR(__xludf.DUMMYFUNCTION("""COMPUTED_VALUE"""),46638.806225)</f>
        <v>46638.806225</v>
      </c>
      <c r="D3999" s="22">
        <f ca="1">IFERROR(__xludf.DUMMYFUNCTION("""COMPUTED_VALUE"""),453361.193775)</f>
        <v>453361.19377499999</v>
      </c>
      <c r="E3999" s="22">
        <f ca="1">IFERROR(__xludf.DUMMYFUNCTION("""COMPUTED_VALUE"""),500000)</f>
        <v>500000</v>
      </c>
      <c r="F3999" s="22">
        <f ca="1">IFERROR(__xludf.DUMMYFUNCTION("""COMPUTED_VALUE"""),46638.806225)</f>
        <v>46638.806225</v>
      </c>
      <c r="G3999" s="22">
        <f ca="1">IFERROR(__xludf.DUMMYFUNCTION("""COMPUTED_VALUE"""),0)</f>
        <v>0</v>
      </c>
      <c r="H3999" s="7">
        <f ca="1">IFERROR(__xludf.DUMMYFUNCTION("""COMPUTED_VALUE"""),500000)</f>
        <v>500000</v>
      </c>
    </row>
    <row r="4000" spans="1:8" ht="13" x14ac:dyDescent="0.15">
      <c r="A4000" s="5" t="str">
        <f ca="1">IFERROR(__xludf.DUMMYFUNCTION("""COMPUTED_VALUE"""),"75965")</f>
        <v>75965</v>
      </c>
      <c r="B4000" s="51">
        <f ca="1">IFERROR(__xludf.DUMMYFUNCTION("""COMPUTED_VALUE"""),44637)</f>
        <v>44637</v>
      </c>
      <c r="C4000" s="22">
        <f ca="1">IFERROR(__xludf.DUMMYFUNCTION("""COMPUTED_VALUE"""),46638.806225)</f>
        <v>46638.806225</v>
      </c>
      <c r="D4000" s="22">
        <f ca="1">IFERROR(__xludf.DUMMYFUNCTION("""COMPUTED_VALUE"""),466218.5319)</f>
        <v>466218.5319</v>
      </c>
      <c r="E4000" s="22">
        <f ca="1">IFERROR(__xludf.DUMMYFUNCTION("""COMPUTED_VALUE"""),512857.338125)</f>
        <v>512857.33812500001</v>
      </c>
      <c r="F4000" s="22">
        <f ca="1">IFERROR(__xludf.DUMMYFUNCTION("""COMPUTED_VALUE"""),46638.806225)</f>
        <v>46638.806225</v>
      </c>
      <c r="G4000" s="22">
        <f ca="1">IFERROR(__xludf.DUMMYFUNCTION("""COMPUTED_VALUE"""),0)</f>
        <v>0</v>
      </c>
      <c r="H4000" s="7">
        <f ca="1">IFERROR(__xludf.DUMMYFUNCTION("""COMPUTED_VALUE"""),512857.338125)</f>
        <v>512857.33812500001</v>
      </c>
    </row>
    <row r="4001" spans="1:8" ht="13" x14ac:dyDescent="0.15">
      <c r="A4001" s="5" t="str">
        <f ca="1">IFERROR(__xludf.DUMMYFUNCTION("""COMPUTED_VALUE"""),"75965")</f>
        <v>75965</v>
      </c>
      <c r="B4001" s="51">
        <f ca="1">IFERROR(__xludf.DUMMYFUNCTION("""COMPUTED_VALUE"""),44638)</f>
        <v>44638</v>
      </c>
      <c r="C4001" s="22">
        <f ca="1">IFERROR(__xludf.DUMMYFUNCTION("""COMPUTED_VALUE"""),46638.806225)</f>
        <v>46638.806225</v>
      </c>
      <c r="D4001" s="22">
        <f ca="1">IFERROR(__xludf.DUMMYFUNCTION("""COMPUTED_VALUE"""),482545.104124999)</f>
        <v>482545.10412499902</v>
      </c>
      <c r="E4001" s="22">
        <f ca="1">IFERROR(__xludf.DUMMYFUNCTION("""COMPUTED_VALUE"""),529183.91035)</f>
        <v>529183.91035000002</v>
      </c>
      <c r="F4001" s="22">
        <f ca="1">IFERROR(__xludf.DUMMYFUNCTION("""COMPUTED_VALUE"""),46638.806225)</f>
        <v>46638.806225</v>
      </c>
      <c r="G4001" s="22">
        <f ca="1">IFERROR(__xludf.DUMMYFUNCTION("""COMPUTED_VALUE"""),0)</f>
        <v>0</v>
      </c>
      <c r="H4001" s="7">
        <f ca="1">IFERROR(__xludf.DUMMYFUNCTION("""COMPUTED_VALUE"""),529183.91035)</f>
        <v>529183.91035000002</v>
      </c>
    </row>
    <row r="4002" spans="1:8" ht="13" x14ac:dyDescent="0.15">
      <c r="A4002" s="5" t="str">
        <f ca="1">IFERROR(__xludf.DUMMYFUNCTION("""COMPUTED_VALUE"""),"75965")</f>
        <v>75965</v>
      </c>
      <c r="B4002" s="51">
        <f ca="1">IFERROR(__xludf.DUMMYFUNCTION("""COMPUTED_VALUE"""),44639)</f>
        <v>44639</v>
      </c>
      <c r="C4002" s="22">
        <f ca="1">IFERROR(__xludf.DUMMYFUNCTION("""COMPUTED_VALUE"""),46638.806225)</f>
        <v>46638.806225</v>
      </c>
      <c r="D4002" s="22">
        <f ca="1">IFERROR(__xludf.DUMMYFUNCTION("""COMPUTED_VALUE"""),482545.104124999)</f>
        <v>482545.10412499902</v>
      </c>
      <c r="E4002" s="22">
        <f ca="1">IFERROR(__xludf.DUMMYFUNCTION("""COMPUTED_VALUE"""),529183.91035)</f>
        <v>529183.91035000002</v>
      </c>
      <c r="F4002" s="22">
        <f ca="1">IFERROR(__xludf.DUMMYFUNCTION("""COMPUTED_VALUE"""),46638.806225)</f>
        <v>46638.806225</v>
      </c>
      <c r="G4002" s="22">
        <f ca="1">IFERROR(__xludf.DUMMYFUNCTION("""COMPUTED_VALUE"""),0)</f>
        <v>0</v>
      </c>
      <c r="H4002" s="7">
        <f ca="1">IFERROR(__xludf.DUMMYFUNCTION("""COMPUTED_VALUE"""),529183.91035)</f>
        <v>529183.91035000002</v>
      </c>
    </row>
    <row r="4003" spans="1:8" ht="13" x14ac:dyDescent="0.15">
      <c r="A4003" s="5" t="str">
        <f ca="1">IFERROR(__xludf.DUMMYFUNCTION("""COMPUTED_VALUE"""),"75965")</f>
        <v>75965</v>
      </c>
      <c r="B4003" s="51">
        <f ca="1">IFERROR(__xludf.DUMMYFUNCTION("""COMPUTED_VALUE"""),44640)</f>
        <v>44640</v>
      </c>
      <c r="C4003" s="22">
        <f ca="1">IFERROR(__xludf.DUMMYFUNCTION("""COMPUTED_VALUE"""),46638.806225)</f>
        <v>46638.806225</v>
      </c>
      <c r="D4003" s="22">
        <f ca="1">IFERROR(__xludf.DUMMYFUNCTION("""COMPUTED_VALUE"""),482439.9610375)</f>
        <v>482439.9610375</v>
      </c>
      <c r="E4003" s="22">
        <f ca="1">IFERROR(__xludf.DUMMYFUNCTION("""COMPUTED_VALUE"""),529078.7672625)</f>
        <v>529078.76726250001</v>
      </c>
      <c r="F4003" s="22">
        <f ca="1">IFERROR(__xludf.DUMMYFUNCTION("""COMPUTED_VALUE"""),46638.806225)</f>
        <v>46638.806225</v>
      </c>
      <c r="G4003" s="22">
        <f ca="1">IFERROR(__xludf.DUMMYFUNCTION("""COMPUTED_VALUE"""),0)</f>
        <v>0</v>
      </c>
      <c r="H4003" s="7">
        <f ca="1">IFERROR(__xludf.DUMMYFUNCTION("""COMPUTED_VALUE"""),529078.7672625)</f>
        <v>529078.76726250001</v>
      </c>
    </row>
    <row r="4004" spans="1:8" ht="13" x14ac:dyDescent="0.15">
      <c r="A4004" s="5" t="str">
        <f ca="1">IFERROR(__xludf.DUMMYFUNCTION("""COMPUTED_VALUE"""),"75965")</f>
        <v>75965</v>
      </c>
      <c r="B4004" s="51">
        <f ca="1">IFERROR(__xludf.DUMMYFUNCTION("""COMPUTED_VALUE"""),44641)</f>
        <v>44641</v>
      </c>
      <c r="C4004" s="22">
        <f ca="1">IFERROR(__xludf.DUMMYFUNCTION("""COMPUTED_VALUE"""),46638.806225)</f>
        <v>46638.806225</v>
      </c>
      <c r="D4004" s="22">
        <f ca="1">IFERROR(__xludf.DUMMYFUNCTION("""COMPUTED_VALUE"""),489841.868199999)</f>
        <v>489841.86819999898</v>
      </c>
      <c r="E4004" s="22">
        <f ca="1">IFERROR(__xludf.DUMMYFUNCTION("""COMPUTED_VALUE"""),536480.674424999)</f>
        <v>536480.67442499904</v>
      </c>
      <c r="F4004" s="22">
        <f ca="1">IFERROR(__xludf.DUMMYFUNCTION("""COMPUTED_VALUE"""),46638.806225)</f>
        <v>46638.806225</v>
      </c>
      <c r="G4004" s="22">
        <f ca="1">IFERROR(__xludf.DUMMYFUNCTION("""COMPUTED_VALUE"""),0)</f>
        <v>0</v>
      </c>
      <c r="H4004" s="7">
        <f ca="1">IFERROR(__xludf.DUMMYFUNCTION("""COMPUTED_VALUE"""),536480.674424999)</f>
        <v>536480.67442499904</v>
      </c>
    </row>
    <row r="4005" spans="1:8" ht="13" x14ac:dyDescent="0.15">
      <c r="A4005" s="5" t="str">
        <f ca="1">IFERROR(__xludf.DUMMYFUNCTION("""COMPUTED_VALUE"""),"75965")</f>
        <v>75965</v>
      </c>
      <c r="B4005" s="51">
        <f ca="1">IFERROR(__xludf.DUMMYFUNCTION("""COMPUTED_VALUE"""),44642)</f>
        <v>44642</v>
      </c>
      <c r="C4005" s="22">
        <f ca="1">IFERROR(__xludf.DUMMYFUNCTION("""COMPUTED_VALUE"""),46638.806225)</f>
        <v>46638.806225</v>
      </c>
      <c r="D4005" s="22">
        <f ca="1">IFERROR(__xludf.DUMMYFUNCTION("""COMPUTED_VALUE"""),521126.15795)</f>
        <v>521126.15795000002</v>
      </c>
      <c r="E4005" s="22">
        <f ca="1">IFERROR(__xludf.DUMMYFUNCTION("""COMPUTED_VALUE"""),567764.964175)</f>
        <v>567764.96417499997</v>
      </c>
      <c r="F4005" s="22">
        <f ca="1">IFERROR(__xludf.DUMMYFUNCTION("""COMPUTED_VALUE"""),46638.806225)</f>
        <v>46638.806225</v>
      </c>
      <c r="G4005" s="22">
        <f ca="1">IFERROR(__xludf.DUMMYFUNCTION("""COMPUTED_VALUE"""),0)</f>
        <v>0</v>
      </c>
      <c r="H4005" s="7">
        <f ca="1">IFERROR(__xludf.DUMMYFUNCTION("""COMPUTED_VALUE"""),567764.964175)</f>
        <v>567764.96417499997</v>
      </c>
    </row>
    <row r="4006" spans="1:8" ht="13" x14ac:dyDescent="0.15">
      <c r="A4006" s="5" t="str">
        <f ca="1">IFERROR(__xludf.DUMMYFUNCTION("""COMPUTED_VALUE"""),"75973")</f>
        <v>75973</v>
      </c>
      <c r="B4006" s="51">
        <f ca="1">IFERROR(__xludf.DUMMYFUNCTION("""COMPUTED_VALUE"""),44597)</f>
        <v>44597</v>
      </c>
      <c r="C4006" s="22">
        <f ca="1">IFERROR(__xludf.DUMMYFUNCTION("""COMPUTED_VALUE"""),500000)</f>
        <v>500000</v>
      </c>
      <c r="D4006" s="22">
        <f ca="1">IFERROR(__xludf.DUMMYFUNCTION("""COMPUTED_VALUE"""),0)</f>
        <v>0</v>
      </c>
      <c r="E4006" s="22">
        <f ca="1">IFERROR(__xludf.DUMMYFUNCTION("""COMPUTED_VALUE"""),500000)</f>
        <v>500000</v>
      </c>
      <c r="F4006" s="22">
        <f ca="1">IFERROR(__xludf.DUMMYFUNCTION("""COMPUTED_VALUE"""),500000)</f>
        <v>500000</v>
      </c>
      <c r="G4006" s="22">
        <f ca="1">IFERROR(__xludf.DUMMYFUNCTION("""COMPUTED_VALUE"""),0)</f>
        <v>0</v>
      </c>
      <c r="H4006" s="7">
        <f ca="1">IFERROR(__xludf.DUMMYFUNCTION("""COMPUTED_VALUE"""),500000)</f>
        <v>500000</v>
      </c>
    </row>
    <row r="4007" spans="1:8" ht="13" x14ac:dyDescent="0.15">
      <c r="A4007" s="5" t="str">
        <f ca="1">IFERROR(__xludf.DUMMYFUNCTION("""COMPUTED_VALUE"""),"75973")</f>
        <v>75973</v>
      </c>
      <c r="B4007" s="51">
        <f ca="1">IFERROR(__xludf.DUMMYFUNCTION("""COMPUTED_VALUE"""),44598)</f>
        <v>44598</v>
      </c>
      <c r="C4007" s="22">
        <f ca="1">IFERROR(__xludf.DUMMYFUNCTION("""COMPUTED_VALUE"""),500000)</f>
        <v>500000</v>
      </c>
      <c r="D4007" s="22">
        <f ca="1">IFERROR(__xludf.DUMMYFUNCTION("""COMPUTED_VALUE"""),0)</f>
        <v>0</v>
      </c>
      <c r="E4007" s="22">
        <f ca="1">IFERROR(__xludf.DUMMYFUNCTION("""COMPUTED_VALUE"""),500000)</f>
        <v>500000</v>
      </c>
      <c r="F4007" s="22">
        <f ca="1">IFERROR(__xludf.DUMMYFUNCTION("""COMPUTED_VALUE"""),500000)</f>
        <v>500000</v>
      </c>
      <c r="G4007" s="22">
        <f ca="1">IFERROR(__xludf.DUMMYFUNCTION("""COMPUTED_VALUE"""),0)</f>
        <v>0</v>
      </c>
      <c r="H4007" s="7">
        <f ca="1">IFERROR(__xludf.DUMMYFUNCTION("""COMPUTED_VALUE"""),500000)</f>
        <v>500000</v>
      </c>
    </row>
    <row r="4008" spans="1:8" ht="13" x14ac:dyDescent="0.15">
      <c r="A4008" s="5" t="str">
        <f ca="1">IFERROR(__xludf.DUMMYFUNCTION("""COMPUTED_VALUE"""),"75973")</f>
        <v>75973</v>
      </c>
      <c r="B4008" s="51">
        <f ca="1">IFERROR(__xludf.DUMMYFUNCTION("""COMPUTED_VALUE"""),44599)</f>
        <v>44599</v>
      </c>
      <c r="C4008" s="22">
        <f ca="1">IFERROR(__xludf.DUMMYFUNCTION("""COMPUTED_VALUE"""),500000)</f>
        <v>500000</v>
      </c>
      <c r="D4008" s="22">
        <f ca="1">IFERROR(__xludf.DUMMYFUNCTION("""COMPUTED_VALUE"""),0)</f>
        <v>0</v>
      </c>
      <c r="E4008" s="22">
        <f ca="1">IFERROR(__xludf.DUMMYFUNCTION("""COMPUTED_VALUE"""),500000)</f>
        <v>500000</v>
      </c>
      <c r="F4008" s="22">
        <f ca="1">IFERROR(__xludf.DUMMYFUNCTION("""COMPUTED_VALUE"""),500000)</f>
        <v>500000</v>
      </c>
      <c r="G4008" s="22">
        <f ca="1">IFERROR(__xludf.DUMMYFUNCTION("""COMPUTED_VALUE"""),0)</f>
        <v>0</v>
      </c>
      <c r="H4008" s="7">
        <f ca="1">IFERROR(__xludf.DUMMYFUNCTION("""COMPUTED_VALUE"""),500000)</f>
        <v>500000</v>
      </c>
    </row>
    <row r="4009" spans="1:8" ht="13" x14ac:dyDescent="0.15">
      <c r="A4009" s="5" t="str">
        <f ca="1">IFERROR(__xludf.DUMMYFUNCTION("""COMPUTED_VALUE"""),"75973")</f>
        <v>75973</v>
      </c>
      <c r="B4009" s="51">
        <f ca="1">IFERROR(__xludf.DUMMYFUNCTION("""COMPUTED_VALUE"""),44600)</f>
        <v>44600</v>
      </c>
      <c r="C4009" s="22">
        <f ca="1">IFERROR(__xludf.DUMMYFUNCTION("""COMPUTED_VALUE"""),500000)</f>
        <v>500000</v>
      </c>
      <c r="D4009" s="22">
        <f ca="1">IFERROR(__xludf.DUMMYFUNCTION("""COMPUTED_VALUE"""),0)</f>
        <v>0</v>
      </c>
      <c r="E4009" s="22">
        <f ca="1">IFERROR(__xludf.DUMMYFUNCTION("""COMPUTED_VALUE"""),500000)</f>
        <v>500000</v>
      </c>
      <c r="F4009" s="22">
        <f ca="1">IFERROR(__xludf.DUMMYFUNCTION("""COMPUTED_VALUE"""),500000)</f>
        <v>500000</v>
      </c>
      <c r="G4009" s="22">
        <f ca="1">IFERROR(__xludf.DUMMYFUNCTION("""COMPUTED_VALUE"""),0)</f>
        <v>0</v>
      </c>
      <c r="H4009" s="7">
        <f ca="1">IFERROR(__xludf.DUMMYFUNCTION("""COMPUTED_VALUE"""),500000)</f>
        <v>500000</v>
      </c>
    </row>
    <row r="4010" spans="1:8" ht="13" x14ac:dyDescent="0.15">
      <c r="A4010" s="5" t="str">
        <f ca="1">IFERROR(__xludf.DUMMYFUNCTION("""COMPUTED_VALUE"""),"75973")</f>
        <v>75973</v>
      </c>
      <c r="B4010" s="51">
        <f ca="1">IFERROR(__xludf.DUMMYFUNCTION("""COMPUTED_VALUE"""),44601)</f>
        <v>44601</v>
      </c>
      <c r="C4010" s="22">
        <f ca="1">IFERROR(__xludf.DUMMYFUNCTION("""COMPUTED_VALUE"""),500000)</f>
        <v>500000</v>
      </c>
      <c r="D4010" s="22">
        <f ca="1">IFERROR(__xludf.DUMMYFUNCTION("""COMPUTED_VALUE"""),0)</f>
        <v>0</v>
      </c>
      <c r="E4010" s="22">
        <f ca="1">IFERROR(__xludf.DUMMYFUNCTION("""COMPUTED_VALUE"""),500000)</f>
        <v>500000</v>
      </c>
      <c r="F4010" s="22">
        <f ca="1">IFERROR(__xludf.DUMMYFUNCTION("""COMPUTED_VALUE"""),500000)</f>
        <v>500000</v>
      </c>
      <c r="G4010" s="22">
        <f ca="1">IFERROR(__xludf.DUMMYFUNCTION("""COMPUTED_VALUE"""),0)</f>
        <v>0</v>
      </c>
      <c r="H4010" s="7">
        <f ca="1">IFERROR(__xludf.DUMMYFUNCTION("""COMPUTED_VALUE"""),500000)</f>
        <v>500000</v>
      </c>
    </row>
    <row r="4011" spans="1:8" ht="13" x14ac:dyDescent="0.15">
      <c r="A4011" s="5" t="str">
        <f ca="1">IFERROR(__xludf.DUMMYFUNCTION("""COMPUTED_VALUE"""),"75973")</f>
        <v>75973</v>
      </c>
      <c r="B4011" s="51">
        <f ca="1">IFERROR(__xludf.DUMMYFUNCTION("""COMPUTED_VALUE"""),44602)</f>
        <v>44602</v>
      </c>
      <c r="C4011" s="22">
        <f ca="1">IFERROR(__xludf.DUMMYFUNCTION("""COMPUTED_VALUE"""),500000)</f>
        <v>500000</v>
      </c>
      <c r="D4011" s="22">
        <f ca="1">IFERROR(__xludf.DUMMYFUNCTION("""COMPUTED_VALUE"""),0)</f>
        <v>0</v>
      </c>
      <c r="E4011" s="22">
        <f ca="1">IFERROR(__xludf.DUMMYFUNCTION("""COMPUTED_VALUE"""),500000)</f>
        <v>500000</v>
      </c>
      <c r="F4011" s="22">
        <f ca="1">IFERROR(__xludf.DUMMYFUNCTION("""COMPUTED_VALUE"""),500000)</f>
        <v>500000</v>
      </c>
      <c r="G4011" s="22">
        <f ca="1">IFERROR(__xludf.DUMMYFUNCTION("""COMPUTED_VALUE"""),0)</f>
        <v>0</v>
      </c>
      <c r="H4011" s="7">
        <f ca="1">IFERROR(__xludf.DUMMYFUNCTION("""COMPUTED_VALUE"""),500000)</f>
        <v>500000</v>
      </c>
    </row>
    <row r="4012" spans="1:8" ht="13" x14ac:dyDescent="0.15">
      <c r="A4012" s="5" t="str">
        <f ca="1">IFERROR(__xludf.DUMMYFUNCTION("""COMPUTED_VALUE"""),"75973")</f>
        <v>75973</v>
      </c>
      <c r="B4012" s="51">
        <f ca="1">IFERROR(__xludf.DUMMYFUNCTION("""COMPUTED_VALUE"""),44603)</f>
        <v>44603</v>
      </c>
      <c r="C4012" s="22">
        <f ca="1">IFERROR(__xludf.DUMMYFUNCTION("""COMPUTED_VALUE"""),500000)</f>
        <v>500000</v>
      </c>
      <c r="D4012" s="22">
        <f ca="1">IFERROR(__xludf.DUMMYFUNCTION("""COMPUTED_VALUE"""),0)</f>
        <v>0</v>
      </c>
      <c r="E4012" s="22">
        <f ca="1">IFERROR(__xludf.DUMMYFUNCTION("""COMPUTED_VALUE"""),500000)</f>
        <v>500000</v>
      </c>
      <c r="F4012" s="22">
        <f ca="1">IFERROR(__xludf.DUMMYFUNCTION("""COMPUTED_VALUE"""),500000)</f>
        <v>500000</v>
      </c>
      <c r="G4012" s="22">
        <f ca="1">IFERROR(__xludf.DUMMYFUNCTION("""COMPUTED_VALUE"""),0)</f>
        <v>0</v>
      </c>
      <c r="H4012" s="7">
        <f ca="1">IFERROR(__xludf.DUMMYFUNCTION("""COMPUTED_VALUE"""),500000)</f>
        <v>500000</v>
      </c>
    </row>
    <row r="4013" spans="1:8" ht="13" x14ac:dyDescent="0.15">
      <c r="A4013" s="5" t="str">
        <f ca="1">IFERROR(__xludf.DUMMYFUNCTION("""COMPUTED_VALUE"""),"75973")</f>
        <v>75973</v>
      </c>
      <c r="B4013" s="51">
        <f ca="1">IFERROR(__xludf.DUMMYFUNCTION("""COMPUTED_VALUE"""),44604)</f>
        <v>44604</v>
      </c>
      <c r="C4013" s="22">
        <f ca="1">IFERROR(__xludf.DUMMYFUNCTION("""COMPUTED_VALUE"""),500000)</f>
        <v>500000</v>
      </c>
      <c r="D4013" s="22">
        <f ca="1">IFERROR(__xludf.DUMMYFUNCTION("""COMPUTED_VALUE"""),0)</f>
        <v>0</v>
      </c>
      <c r="E4013" s="22">
        <f ca="1">IFERROR(__xludf.DUMMYFUNCTION("""COMPUTED_VALUE"""),500000)</f>
        <v>500000</v>
      </c>
      <c r="F4013" s="22">
        <f ca="1">IFERROR(__xludf.DUMMYFUNCTION("""COMPUTED_VALUE"""),500000)</f>
        <v>500000</v>
      </c>
      <c r="G4013" s="22">
        <f ca="1">IFERROR(__xludf.DUMMYFUNCTION("""COMPUTED_VALUE"""),0)</f>
        <v>0</v>
      </c>
      <c r="H4013" s="7">
        <f ca="1">IFERROR(__xludf.DUMMYFUNCTION("""COMPUTED_VALUE"""),500000)</f>
        <v>500000</v>
      </c>
    </row>
    <row r="4014" spans="1:8" ht="13" x14ac:dyDescent="0.15">
      <c r="A4014" s="5" t="str">
        <f ca="1">IFERROR(__xludf.DUMMYFUNCTION("""COMPUTED_VALUE"""),"75973")</f>
        <v>75973</v>
      </c>
      <c r="B4014" s="51">
        <f ca="1">IFERROR(__xludf.DUMMYFUNCTION("""COMPUTED_VALUE"""),44605)</f>
        <v>44605</v>
      </c>
      <c r="C4014" s="22">
        <f ca="1">IFERROR(__xludf.DUMMYFUNCTION("""COMPUTED_VALUE"""),500000)</f>
        <v>500000</v>
      </c>
      <c r="D4014" s="22">
        <f ca="1">IFERROR(__xludf.DUMMYFUNCTION("""COMPUTED_VALUE"""),0)</f>
        <v>0</v>
      </c>
      <c r="E4014" s="22">
        <f ca="1">IFERROR(__xludf.DUMMYFUNCTION("""COMPUTED_VALUE"""),500000)</f>
        <v>500000</v>
      </c>
      <c r="F4014" s="22">
        <f ca="1">IFERROR(__xludf.DUMMYFUNCTION("""COMPUTED_VALUE"""),500000)</f>
        <v>500000</v>
      </c>
      <c r="G4014" s="22">
        <f ca="1">IFERROR(__xludf.DUMMYFUNCTION("""COMPUTED_VALUE"""),0)</f>
        <v>0</v>
      </c>
      <c r="H4014" s="7">
        <f ca="1">IFERROR(__xludf.DUMMYFUNCTION("""COMPUTED_VALUE"""),500000)</f>
        <v>500000</v>
      </c>
    </row>
    <row r="4015" spans="1:8" ht="13" x14ac:dyDescent="0.15">
      <c r="A4015" s="5" t="str">
        <f ca="1">IFERROR(__xludf.DUMMYFUNCTION("""COMPUTED_VALUE"""),"75973")</f>
        <v>75973</v>
      </c>
      <c r="B4015" s="51">
        <f ca="1">IFERROR(__xludf.DUMMYFUNCTION("""COMPUTED_VALUE"""),44606)</f>
        <v>44606</v>
      </c>
      <c r="C4015" s="22">
        <f ca="1">IFERROR(__xludf.DUMMYFUNCTION("""COMPUTED_VALUE"""),500000)</f>
        <v>500000</v>
      </c>
      <c r="D4015" s="22">
        <f ca="1">IFERROR(__xludf.DUMMYFUNCTION("""COMPUTED_VALUE"""),0)</f>
        <v>0</v>
      </c>
      <c r="E4015" s="22">
        <f ca="1">IFERROR(__xludf.DUMMYFUNCTION("""COMPUTED_VALUE"""),500000)</f>
        <v>500000</v>
      </c>
      <c r="F4015" s="22">
        <f ca="1">IFERROR(__xludf.DUMMYFUNCTION("""COMPUTED_VALUE"""),500000)</f>
        <v>500000</v>
      </c>
      <c r="G4015" s="22">
        <f ca="1">IFERROR(__xludf.DUMMYFUNCTION("""COMPUTED_VALUE"""),0)</f>
        <v>0</v>
      </c>
      <c r="H4015" s="7">
        <f ca="1">IFERROR(__xludf.DUMMYFUNCTION("""COMPUTED_VALUE"""),500000)</f>
        <v>500000</v>
      </c>
    </row>
    <row r="4016" spans="1:8" ht="13" x14ac:dyDescent="0.15">
      <c r="A4016" s="5" t="str">
        <f ca="1">IFERROR(__xludf.DUMMYFUNCTION("""COMPUTED_VALUE"""),"75973")</f>
        <v>75973</v>
      </c>
      <c r="B4016" s="51">
        <f ca="1">IFERROR(__xludf.DUMMYFUNCTION("""COMPUTED_VALUE"""),44607)</f>
        <v>44607</v>
      </c>
      <c r="C4016" s="22">
        <f ca="1">IFERROR(__xludf.DUMMYFUNCTION("""COMPUTED_VALUE"""),500000)</f>
        <v>500000</v>
      </c>
      <c r="D4016" s="22">
        <f ca="1">IFERROR(__xludf.DUMMYFUNCTION("""COMPUTED_VALUE"""),0)</f>
        <v>0</v>
      </c>
      <c r="E4016" s="22">
        <f ca="1">IFERROR(__xludf.DUMMYFUNCTION("""COMPUTED_VALUE"""),500000)</f>
        <v>500000</v>
      </c>
      <c r="F4016" s="22">
        <f ca="1">IFERROR(__xludf.DUMMYFUNCTION("""COMPUTED_VALUE"""),500000)</f>
        <v>500000</v>
      </c>
      <c r="G4016" s="22">
        <f ca="1">IFERROR(__xludf.DUMMYFUNCTION("""COMPUTED_VALUE"""),0)</f>
        <v>0</v>
      </c>
      <c r="H4016" s="7">
        <f ca="1">IFERROR(__xludf.DUMMYFUNCTION("""COMPUTED_VALUE"""),500000)</f>
        <v>500000</v>
      </c>
    </row>
    <row r="4017" spans="1:8" ht="13" x14ac:dyDescent="0.15">
      <c r="A4017" s="5" t="str">
        <f ca="1">IFERROR(__xludf.DUMMYFUNCTION("""COMPUTED_VALUE"""),"75973")</f>
        <v>75973</v>
      </c>
      <c r="B4017" s="51">
        <f ca="1">IFERROR(__xludf.DUMMYFUNCTION("""COMPUTED_VALUE"""),44608)</f>
        <v>44608</v>
      </c>
      <c r="C4017" s="22">
        <f ca="1">IFERROR(__xludf.DUMMYFUNCTION("""COMPUTED_VALUE"""),500000)</f>
        <v>500000</v>
      </c>
      <c r="D4017" s="22">
        <f ca="1">IFERROR(__xludf.DUMMYFUNCTION("""COMPUTED_VALUE"""),0)</f>
        <v>0</v>
      </c>
      <c r="E4017" s="22">
        <f ca="1">IFERROR(__xludf.DUMMYFUNCTION("""COMPUTED_VALUE"""),500000)</f>
        <v>500000</v>
      </c>
      <c r="F4017" s="22">
        <f ca="1">IFERROR(__xludf.DUMMYFUNCTION("""COMPUTED_VALUE"""),500000)</f>
        <v>500000</v>
      </c>
      <c r="G4017" s="22">
        <f ca="1">IFERROR(__xludf.DUMMYFUNCTION("""COMPUTED_VALUE"""),0)</f>
        <v>0</v>
      </c>
      <c r="H4017" s="7">
        <f ca="1">IFERROR(__xludf.DUMMYFUNCTION("""COMPUTED_VALUE"""),500000)</f>
        <v>500000</v>
      </c>
    </row>
    <row r="4018" spans="1:8" ht="13" x14ac:dyDescent="0.15">
      <c r="A4018" s="5" t="str">
        <f ca="1">IFERROR(__xludf.DUMMYFUNCTION("""COMPUTED_VALUE"""),"75973")</f>
        <v>75973</v>
      </c>
      <c r="B4018" s="51">
        <f ca="1">IFERROR(__xludf.DUMMYFUNCTION("""COMPUTED_VALUE"""),44609)</f>
        <v>44609</v>
      </c>
      <c r="C4018" s="22">
        <f ca="1">IFERROR(__xludf.DUMMYFUNCTION("""COMPUTED_VALUE"""),500000)</f>
        <v>500000</v>
      </c>
      <c r="D4018" s="22">
        <f ca="1">IFERROR(__xludf.DUMMYFUNCTION("""COMPUTED_VALUE"""),0)</f>
        <v>0</v>
      </c>
      <c r="E4018" s="22">
        <f ca="1">IFERROR(__xludf.DUMMYFUNCTION("""COMPUTED_VALUE"""),500000)</f>
        <v>500000</v>
      </c>
      <c r="F4018" s="22">
        <f ca="1">IFERROR(__xludf.DUMMYFUNCTION("""COMPUTED_VALUE"""),500000)</f>
        <v>500000</v>
      </c>
      <c r="G4018" s="22">
        <f ca="1">IFERROR(__xludf.DUMMYFUNCTION("""COMPUTED_VALUE"""),0)</f>
        <v>0</v>
      </c>
      <c r="H4018" s="7">
        <f ca="1">IFERROR(__xludf.DUMMYFUNCTION("""COMPUTED_VALUE"""),500000)</f>
        <v>500000</v>
      </c>
    </row>
    <row r="4019" spans="1:8" ht="13" x14ac:dyDescent="0.15">
      <c r="A4019" s="5" t="str">
        <f ca="1">IFERROR(__xludf.DUMMYFUNCTION("""COMPUTED_VALUE"""),"75973")</f>
        <v>75973</v>
      </c>
      <c r="B4019" s="51">
        <f ca="1">IFERROR(__xludf.DUMMYFUNCTION("""COMPUTED_VALUE"""),44610)</f>
        <v>44610</v>
      </c>
      <c r="C4019" s="22">
        <f ca="1">IFERROR(__xludf.DUMMYFUNCTION("""COMPUTED_VALUE"""),500000)</f>
        <v>500000</v>
      </c>
      <c r="D4019" s="22">
        <f ca="1">IFERROR(__xludf.DUMMYFUNCTION("""COMPUTED_VALUE"""),0)</f>
        <v>0</v>
      </c>
      <c r="E4019" s="22">
        <f ca="1">IFERROR(__xludf.DUMMYFUNCTION("""COMPUTED_VALUE"""),500000)</f>
        <v>500000</v>
      </c>
      <c r="F4019" s="22">
        <f ca="1">IFERROR(__xludf.DUMMYFUNCTION("""COMPUTED_VALUE"""),500000)</f>
        <v>500000</v>
      </c>
      <c r="G4019" s="22">
        <f ca="1">IFERROR(__xludf.DUMMYFUNCTION("""COMPUTED_VALUE"""),0)</f>
        <v>0</v>
      </c>
      <c r="H4019" s="7">
        <f ca="1">IFERROR(__xludf.DUMMYFUNCTION("""COMPUTED_VALUE"""),500000)</f>
        <v>500000</v>
      </c>
    </row>
    <row r="4020" spans="1:8" ht="13" x14ac:dyDescent="0.15">
      <c r="A4020" s="5" t="str">
        <f ca="1">IFERROR(__xludf.DUMMYFUNCTION("""COMPUTED_VALUE"""),"75973")</f>
        <v>75973</v>
      </c>
      <c r="B4020" s="51">
        <f ca="1">IFERROR(__xludf.DUMMYFUNCTION("""COMPUTED_VALUE"""),44611)</f>
        <v>44611</v>
      </c>
      <c r="C4020" s="22">
        <f ca="1">IFERROR(__xludf.DUMMYFUNCTION("""COMPUTED_VALUE"""),500000)</f>
        <v>500000</v>
      </c>
      <c r="D4020" s="22">
        <f ca="1">IFERROR(__xludf.DUMMYFUNCTION("""COMPUTED_VALUE"""),0)</f>
        <v>0</v>
      </c>
      <c r="E4020" s="22">
        <f ca="1">IFERROR(__xludf.DUMMYFUNCTION("""COMPUTED_VALUE"""),500000)</f>
        <v>500000</v>
      </c>
      <c r="F4020" s="22">
        <f ca="1">IFERROR(__xludf.DUMMYFUNCTION("""COMPUTED_VALUE"""),500000)</f>
        <v>500000</v>
      </c>
      <c r="G4020" s="22">
        <f ca="1">IFERROR(__xludf.DUMMYFUNCTION("""COMPUTED_VALUE"""),0)</f>
        <v>0</v>
      </c>
      <c r="H4020" s="7">
        <f ca="1">IFERROR(__xludf.DUMMYFUNCTION("""COMPUTED_VALUE"""),500000)</f>
        <v>500000</v>
      </c>
    </row>
    <row r="4021" spans="1:8" ht="13" x14ac:dyDescent="0.15">
      <c r="A4021" s="5" t="str">
        <f ca="1">IFERROR(__xludf.DUMMYFUNCTION("""COMPUTED_VALUE"""),"75973")</f>
        <v>75973</v>
      </c>
      <c r="B4021" s="51">
        <f ca="1">IFERROR(__xludf.DUMMYFUNCTION("""COMPUTED_VALUE"""),44612)</f>
        <v>44612</v>
      </c>
      <c r="C4021" s="22">
        <f ca="1">IFERROR(__xludf.DUMMYFUNCTION("""COMPUTED_VALUE"""),500000)</f>
        <v>500000</v>
      </c>
      <c r="D4021" s="22">
        <f ca="1">IFERROR(__xludf.DUMMYFUNCTION("""COMPUTED_VALUE"""),0)</f>
        <v>0</v>
      </c>
      <c r="E4021" s="22">
        <f ca="1">IFERROR(__xludf.DUMMYFUNCTION("""COMPUTED_VALUE"""),500000)</f>
        <v>500000</v>
      </c>
      <c r="F4021" s="22">
        <f ca="1">IFERROR(__xludf.DUMMYFUNCTION("""COMPUTED_VALUE"""),500000)</f>
        <v>500000</v>
      </c>
      <c r="G4021" s="22">
        <f ca="1">IFERROR(__xludf.DUMMYFUNCTION("""COMPUTED_VALUE"""),0)</f>
        <v>0</v>
      </c>
      <c r="H4021" s="7">
        <f ca="1">IFERROR(__xludf.DUMMYFUNCTION("""COMPUTED_VALUE"""),500000)</f>
        <v>500000</v>
      </c>
    </row>
    <row r="4022" spans="1:8" ht="13" x14ac:dyDescent="0.15">
      <c r="A4022" s="5" t="str">
        <f ca="1">IFERROR(__xludf.DUMMYFUNCTION("""COMPUTED_VALUE"""),"75973")</f>
        <v>75973</v>
      </c>
      <c r="B4022" s="51">
        <f ca="1">IFERROR(__xludf.DUMMYFUNCTION("""COMPUTED_VALUE"""),44613)</f>
        <v>44613</v>
      </c>
      <c r="C4022" s="22">
        <f ca="1">IFERROR(__xludf.DUMMYFUNCTION("""COMPUTED_VALUE"""),500000)</f>
        <v>500000</v>
      </c>
      <c r="D4022" s="22">
        <f ca="1">IFERROR(__xludf.DUMMYFUNCTION("""COMPUTED_VALUE"""),0)</f>
        <v>0</v>
      </c>
      <c r="E4022" s="22">
        <f ca="1">IFERROR(__xludf.DUMMYFUNCTION("""COMPUTED_VALUE"""),500000)</f>
        <v>500000</v>
      </c>
      <c r="F4022" s="22">
        <f ca="1">IFERROR(__xludf.DUMMYFUNCTION("""COMPUTED_VALUE"""),500000)</f>
        <v>500000</v>
      </c>
      <c r="G4022" s="22">
        <f ca="1">IFERROR(__xludf.DUMMYFUNCTION("""COMPUTED_VALUE"""),0)</f>
        <v>0</v>
      </c>
      <c r="H4022" s="7">
        <f ca="1">IFERROR(__xludf.DUMMYFUNCTION("""COMPUTED_VALUE"""),500000)</f>
        <v>500000</v>
      </c>
    </row>
    <row r="4023" spans="1:8" ht="13" x14ac:dyDescent="0.15">
      <c r="A4023" s="5" t="str">
        <f ca="1">IFERROR(__xludf.DUMMYFUNCTION("""COMPUTED_VALUE"""),"75973")</f>
        <v>75973</v>
      </c>
      <c r="B4023" s="51">
        <f ca="1">IFERROR(__xludf.DUMMYFUNCTION("""COMPUTED_VALUE"""),44614)</f>
        <v>44614</v>
      </c>
      <c r="C4023" s="22">
        <f ca="1">IFERROR(__xludf.DUMMYFUNCTION("""COMPUTED_VALUE"""),500000)</f>
        <v>500000</v>
      </c>
      <c r="D4023" s="22">
        <f ca="1">IFERROR(__xludf.DUMMYFUNCTION("""COMPUTED_VALUE"""),0)</f>
        <v>0</v>
      </c>
      <c r="E4023" s="22">
        <f ca="1">IFERROR(__xludf.DUMMYFUNCTION("""COMPUTED_VALUE"""),500000)</f>
        <v>500000</v>
      </c>
      <c r="F4023" s="22">
        <f ca="1">IFERROR(__xludf.DUMMYFUNCTION("""COMPUTED_VALUE"""),500000)</f>
        <v>500000</v>
      </c>
      <c r="G4023" s="22">
        <f ca="1">IFERROR(__xludf.DUMMYFUNCTION("""COMPUTED_VALUE"""),0)</f>
        <v>0</v>
      </c>
      <c r="H4023" s="7">
        <f ca="1">IFERROR(__xludf.DUMMYFUNCTION("""COMPUTED_VALUE"""),500000)</f>
        <v>500000</v>
      </c>
    </row>
    <row r="4024" spans="1:8" ht="13" x14ac:dyDescent="0.15">
      <c r="A4024" s="5" t="str">
        <f ca="1">IFERROR(__xludf.DUMMYFUNCTION("""COMPUTED_VALUE"""),"75973")</f>
        <v>75973</v>
      </c>
      <c r="B4024" s="51">
        <f ca="1">IFERROR(__xludf.DUMMYFUNCTION("""COMPUTED_VALUE"""),44615)</f>
        <v>44615</v>
      </c>
      <c r="C4024" s="22">
        <f ca="1">IFERROR(__xludf.DUMMYFUNCTION("""COMPUTED_VALUE"""),500000)</f>
        <v>500000</v>
      </c>
      <c r="D4024" s="22">
        <f ca="1">IFERROR(__xludf.DUMMYFUNCTION("""COMPUTED_VALUE"""),0)</f>
        <v>0</v>
      </c>
      <c r="E4024" s="22">
        <f ca="1">IFERROR(__xludf.DUMMYFUNCTION("""COMPUTED_VALUE"""),500000)</f>
        <v>500000</v>
      </c>
      <c r="F4024" s="22">
        <f ca="1">IFERROR(__xludf.DUMMYFUNCTION("""COMPUTED_VALUE"""),500000)</f>
        <v>500000</v>
      </c>
      <c r="G4024" s="22">
        <f ca="1">IFERROR(__xludf.DUMMYFUNCTION("""COMPUTED_VALUE"""),0)</f>
        <v>0</v>
      </c>
      <c r="H4024" s="7">
        <f ca="1">IFERROR(__xludf.DUMMYFUNCTION("""COMPUTED_VALUE"""),500000)</f>
        <v>500000</v>
      </c>
    </row>
    <row r="4025" spans="1:8" ht="13" x14ac:dyDescent="0.15">
      <c r="A4025" s="5" t="str">
        <f ca="1">IFERROR(__xludf.DUMMYFUNCTION("""COMPUTED_VALUE"""),"75973")</f>
        <v>75973</v>
      </c>
      <c r="B4025" s="51">
        <f ca="1">IFERROR(__xludf.DUMMYFUNCTION("""COMPUTED_VALUE"""),44616)</f>
        <v>44616</v>
      </c>
      <c r="C4025" s="22">
        <f ca="1">IFERROR(__xludf.DUMMYFUNCTION("""COMPUTED_VALUE"""),500000)</f>
        <v>500000</v>
      </c>
      <c r="D4025" s="22">
        <f ca="1">IFERROR(__xludf.DUMMYFUNCTION("""COMPUTED_VALUE"""),0)</f>
        <v>0</v>
      </c>
      <c r="E4025" s="22">
        <f ca="1">IFERROR(__xludf.DUMMYFUNCTION("""COMPUTED_VALUE"""),500000)</f>
        <v>500000</v>
      </c>
      <c r="F4025" s="22">
        <f ca="1">IFERROR(__xludf.DUMMYFUNCTION("""COMPUTED_VALUE"""),500000)</f>
        <v>500000</v>
      </c>
      <c r="G4025" s="22">
        <f ca="1">IFERROR(__xludf.DUMMYFUNCTION("""COMPUTED_VALUE"""),0)</f>
        <v>0</v>
      </c>
      <c r="H4025" s="7">
        <f ca="1">IFERROR(__xludf.DUMMYFUNCTION("""COMPUTED_VALUE"""),500000)</f>
        <v>500000</v>
      </c>
    </row>
    <row r="4026" spans="1:8" ht="13" x14ac:dyDescent="0.15">
      <c r="A4026" s="5" t="str">
        <f ca="1">IFERROR(__xludf.DUMMYFUNCTION("""COMPUTED_VALUE"""),"75973")</f>
        <v>75973</v>
      </c>
      <c r="B4026" s="51">
        <f ca="1">IFERROR(__xludf.DUMMYFUNCTION("""COMPUTED_VALUE"""),44617)</f>
        <v>44617</v>
      </c>
      <c r="C4026" s="22">
        <f ca="1">IFERROR(__xludf.DUMMYFUNCTION("""COMPUTED_VALUE"""),500000)</f>
        <v>500000</v>
      </c>
      <c r="D4026" s="22">
        <f ca="1">IFERROR(__xludf.DUMMYFUNCTION("""COMPUTED_VALUE"""),0)</f>
        <v>0</v>
      </c>
      <c r="E4026" s="22">
        <f ca="1">IFERROR(__xludf.DUMMYFUNCTION("""COMPUTED_VALUE"""),500000)</f>
        <v>500000</v>
      </c>
      <c r="F4026" s="22">
        <f ca="1">IFERROR(__xludf.DUMMYFUNCTION("""COMPUTED_VALUE"""),500000)</f>
        <v>500000</v>
      </c>
      <c r="G4026" s="22">
        <f ca="1">IFERROR(__xludf.DUMMYFUNCTION("""COMPUTED_VALUE"""),0)</f>
        <v>0</v>
      </c>
      <c r="H4026" s="7">
        <f ca="1">IFERROR(__xludf.DUMMYFUNCTION("""COMPUTED_VALUE"""),500000)</f>
        <v>500000</v>
      </c>
    </row>
    <row r="4027" spans="1:8" ht="13" x14ac:dyDescent="0.15">
      <c r="A4027" s="5" t="str">
        <f ca="1">IFERROR(__xludf.DUMMYFUNCTION("""COMPUTED_VALUE"""),"75973")</f>
        <v>75973</v>
      </c>
      <c r="B4027" s="51">
        <f ca="1">IFERROR(__xludf.DUMMYFUNCTION("""COMPUTED_VALUE"""),44618)</f>
        <v>44618</v>
      </c>
      <c r="C4027" s="22">
        <f ca="1">IFERROR(__xludf.DUMMYFUNCTION("""COMPUTED_VALUE"""),500000)</f>
        <v>500000</v>
      </c>
      <c r="D4027" s="22">
        <f ca="1">IFERROR(__xludf.DUMMYFUNCTION("""COMPUTED_VALUE"""),0)</f>
        <v>0</v>
      </c>
      <c r="E4027" s="22">
        <f ca="1">IFERROR(__xludf.DUMMYFUNCTION("""COMPUTED_VALUE"""),500000)</f>
        <v>500000</v>
      </c>
      <c r="F4027" s="22">
        <f ca="1">IFERROR(__xludf.DUMMYFUNCTION("""COMPUTED_VALUE"""),500000)</f>
        <v>500000</v>
      </c>
      <c r="G4027" s="22">
        <f ca="1">IFERROR(__xludf.DUMMYFUNCTION("""COMPUTED_VALUE"""),0)</f>
        <v>0</v>
      </c>
      <c r="H4027" s="7">
        <f ca="1">IFERROR(__xludf.DUMMYFUNCTION("""COMPUTED_VALUE"""),500000)</f>
        <v>500000</v>
      </c>
    </row>
    <row r="4028" spans="1:8" ht="13" x14ac:dyDescent="0.15">
      <c r="A4028" s="5" t="str">
        <f ca="1">IFERROR(__xludf.DUMMYFUNCTION("""COMPUTED_VALUE"""),"75973")</f>
        <v>75973</v>
      </c>
      <c r="B4028" s="51">
        <f ca="1">IFERROR(__xludf.DUMMYFUNCTION("""COMPUTED_VALUE"""),44619)</f>
        <v>44619</v>
      </c>
      <c r="C4028" s="22">
        <f ca="1">IFERROR(__xludf.DUMMYFUNCTION("""COMPUTED_VALUE"""),500000)</f>
        <v>500000</v>
      </c>
      <c r="D4028" s="22">
        <f ca="1">IFERROR(__xludf.DUMMYFUNCTION("""COMPUTED_VALUE"""),0)</f>
        <v>0</v>
      </c>
      <c r="E4028" s="22">
        <f ca="1">IFERROR(__xludf.DUMMYFUNCTION("""COMPUTED_VALUE"""),500000)</f>
        <v>500000</v>
      </c>
      <c r="F4028" s="22">
        <f ca="1">IFERROR(__xludf.DUMMYFUNCTION("""COMPUTED_VALUE"""),500000)</f>
        <v>500000</v>
      </c>
      <c r="G4028" s="22">
        <f ca="1">IFERROR(__xludf.DUMMYFUNCTION("""COMPUTED_VALUE"""),0)</f>
        <v>0</v>
      </c>
      <c r="H4028" s="7">
        <f ca="1">IFERROR(__xludf.DUMMYFUNCTION("""COMPUTED_VALUE"""),500000)</f>
        <v>500000</v>
      </c>
    </row>
    <row r="4029" spans="1:8" ht="13" x14ac:dyDescent="0.15">
      <c r="A4029" s="5" t="str">
        <f ca="1">IFERROR(__xludf.DUMMYFUNCTION("""COMPUTED_VALUE"""),"75973")</f>
        <v>75973</v>
      </c>
      <c r="B4029" s="51">
        <f ca="1">IFERROR(__xludf.DUMMYFUNCTION("""COMPUTED_VALUE"""),44620)</f>
        <v>44620</v>
      </c>
      <c r="C4029" s="22">
        <f ca="1">IFERROR(__xludf.DUMMYFUNCTION("""COMPUTED_VALUE"""),500000)</f>
        <v>500000</v>
      </c>
      <c r="D4029" s="22">
        <f ca="1">IFERROR(__xludf.DUMMYFUNCTION("""COMPUTED_VALUE"""),0)</f>
        <v>0</v>
      </c>
      <c r="E4029" s="22">
        <f ca="1">IFERROR(__xludf.DUMMYFUNCTION("""COMPUTED_VALUE"""),500000)</f>
        <v>500000</v>
      </c>
      <c r="F4029" s="22">
        <f ca="1">IFERROR(__xludf.DUMMYFUNCTION("""COMPUTED_VALUE"""),500000)</f>
        <v>500000</v>
      </c>
      <c r="G4029" s="22">
        <f ca="1">IFERROR(__xludf.DUMMYFUNCTION("""COMPUTED_VALUE"""),0)</f>
        <v>0</v>
      </c>
      <c r="H4029" s="7">
        <f ca="1">IFERROR(__xludf.DUMMYFUNCTION("""COMPUTED_VALUE"""),500000)</f>
        <v>500000</v>
      </c>
    </row>
    <row r="4030" spans="1:8" ht="13" x14ac:dyDescent="0.15">
      <c r="A4030" s="5" t="str">
        <f ca="1">IFERROR(__xludf.DUMMYFUNCTION("""COMPUTED_VALUE"""),"75973")</f>
        <v>75973</v>
      </c>
      <c r="B4030" s="51">
        <f ca="1">IFERROR(__xludf.DUMMYFUNCTION("""COMPUTED_VALUE"""),44621)</f>
        <v>44621</v>
      </c>
      <c r="C4030" s="22">
        <f ca="1">IFERROR(__xludf.DUMMYFUNCTION("""COMPUTED_VALUE"""),500000)</f>
        <v>500000</v>
      </c>
      <c r="D4030" s="22">
        <f ca="1">IFERROR(__xludf.DUMMYFUNCTION("""COMPUTED_VALUE"""),0)</f>
        <v>0</v>
      </c>
      <c r="E4030" s="22">
        <f ca="1">IFERROR(__xludf.DUMMYFUNCTION("""COMPUTED_VALUE"""),500000)</f>
        <v>500000</v>
      </c>
      <c r="F4030" s="22">
        <f ca="1">IFERROR(__xludf.DUMMYFUNCTION("""COMPUTED_VALUE"""),500000)</f>
        <v>500000</v>
      </c>
      <c r="G4030" s="22">
        <f ca="1">IFERROR(__xludf.DUMMYFUNCTION("""COMPUTED_VALUE"""),0)</f>
        <v>0</v>
      </c>
      <c r="H4030" s="7">
        <f ca="1">IFERROR(__xludf.DUMMYFUNCTION("""COMPUTED_VALUE"""),500000)</f>
        <v>500000</v>
      </c>
    </row>
    <row r="4031" spans="1:8" ht="13" x14ac:dyDescent="0.15">
      <c r="A4031" s="5" t="str">
        <f ca="1">IFERROR(__xludf.DUMMYFUNCTION("""COMPUTED_VALUE"""),"75973")</f>
        <v>75973</v>
      </c>
      <c r="B4031" s="51">
        <f ca="1">IFERROR(__xludf.DUMMYFUNCTION("""COMPUTED_VALUE"""),44622)</f>
        <v>44622</v>
      </c>
      <c r="C4031" s="22">
        <f ca="1">IFERROR(__xludf.DUMMYFUNCTION("""COMPUTED_VALUE"""),500000)</f>
        <v>500000</v>
      </c>
      <c r="D4031" s="22">
        <f ca="1">IFERROR(__xludf.DUMMYFUNCTION("""COMPUTED_VALUE"""),0)</f>
        <v>0</v>
      </c>
      <c r="E4031" s="22">
        <f ca="1">IFERROR(__xludf.DUMMYFUNCTION("""COMPUTED_VALUE"""),500000)</f>
        <v>500000</v>
      </c>
      <c r="F4031" s="22">
        <f ca="1">IFERROR(__xludf.DUMMYFUNCTION("""COMPUTED_VALUE"""),500000)</f>
        <v>500000</v>
      </c>
      <c r="G4031" s="22">
        <f ca="1">IFERROR(__xludf.DUMMYFUNCTION("""COMPUTED_VALUE"""),0)</f>
        <v>0</v>
      </c>
      <c r="H4031" s="7">
        <f ca="1">IFERROR(__xludf.DUMMYFUNCTION("""COMPUTED_VALUE"""),500000)</f>
        <v>500000</v>
      </c>
    </row>
    <row r="4032" spans="1:8" ht="13" x14ac:dyDescent="0.15">
      <c r="A4032" s="5" t="str">
        <f ca="1">IFERROR(__xludf.DUMMYFUNCTION("""COMPUTED_VALUE"""),"75973")</f>
        <v>75973</v>
      </c>
      <c r="B4032" s="51">
        <f ca="1">IFERROR(__xludf.DUMMYFUNCTION("""COMPUTED_VALUE"""),44623)</f>
        <v>44623</v>
      </c>
      <c r="C4032" s="22">
        <f ca="1">IFERROR(__xludf.DUMMYFUNCTION("""COMPUTED_VALUE"""),500000)</f>
        <v>500000</v>
      </c>
      <c r="D4032" s="22">
        <f ca="1">IFERROR(__xludf.DUMMYFUNCTION("""COMPUTED_VALUE"""),0)</f>
        <v>0</v>
      </c>
      <c r="E4032" s="22">
        <f ca="1">IFERROR(__xludf.DUMMYFUNCTION("""COMPUTED_VALUE"""),500000)</f>
        <v>500000</v>
      </c>
      <c r="F4032" s="22">
        <f ca="1">IFERROR(__xludf.DUMMYFUNCTION("""COMPUTED_VALUE"""),500000)</f>
        <v>500000</v>
      </c>
      <c r="G4032" s="22">
        <f ca="1">IFERROR(__xludf.DUMMYFUNCTION("""COMPUTED_VALUE"""),0)</f>
        <v>0</v>
      </c>
      <c r="H4032" s="7">
        <f ca="1">IFERROR(__xludf.DUMMYFUNCTION("""COMPUTED_VALUE"""),500000)</f>
        <v>500000</v>
      </c>
    </row>
    <row r="4033" spans="1:8" ht="13" x14ac:dyDescent="0.15">
      <c r="A4033" s="5" t="str">
        <f ca="1">IFERROR(__xludf.DUMMYFUNCTION("""COMPUTED_VALUE"""),"75973")</f>
        <v>75973</v>
      </c>
      <c r="B4033" s="51">
        <f ca="1">IFERROR(__xludf.DUMMYFUNCTION("""COMPUTED_VALUE"""),44624)</f>
        <v>44624</v>
      </c>
      <c r="C4033" s="22">
        <f ca="1">IFERROR(__xludf.DUMMYFUNCTION("""COMPUTED_VALUE"""),500000)</f>
        <v>500000</v>
      </c>
      <c r="D4033" s="22">
        <f ca="1">IFERROR(__xludf.DUMMYFUNCTION("""COMPUTED_VALUE"""),0)</f>
        <v>0</v>
      </c>
      <c r="E4033" s="22">
        <f ca="1">IFERROR(__xludf.DUMMYFUNCTION("""COMPUTED_VALUE"""),500000)</f>
        <v>500000</v>
      </c>
      <c r="F4033" s="22">
        <f ca="1">IFERROR(__xludf.DUMMYFUNCTION("""COMPUTED_VALUE"""),500000)</f>
        <v>500000</v>
      </c>
      <c r="G4033" s="22">
        <f ca="1">IFERROR(__xludf.DUMMYFUNCTION("""COMPUTED_VALUE"""),0)</f>
        <v>0</v>
      </c>
      <c r="H4033" s="7">
        <f ca="1">IFERROR(__xludf.DUMMYFUNCTION("""COMPUTED_VALUE"""),500000)</f>
        <v>500000</v>
      </c>
    </row>
    <row r="4034" spans="1:8" ht="13" x14ac:dyDescent="0.15">
      <c r="A4034" s="5" t="str">
        <f ca="1">IFERROR(__xludf.DUMMYFUNCTION("""COMPUTED_VALUE"""),"75973")</f>
        <v>75973</v>
      </c>
      <c r="B4034" s="51">
        <f ca="1">IFERROR(__xludf.DUMMYFUNCTION("""COMPUTED_VALUE"""),44625)</f>
        <v>44625</v>
      </c>
      <c r="C4034" s="22">
        <f ca="1">IFERROR(__xludf.DUMMYFUNCTION("""COMPUTED_VALUE"""),500000)</f>
        <v>500000</v>
      </c>
      <c r="D4034" s="22">
        <f ca="1">IFERROR(__xludf.DUMMYFUNCTION("""COMPUTED_VALUE"""),0)</f>
        <v>0</v>
      </c>
      <c r="E4034" s="22">
        <f ca="1">IFERROR(__xludf.DUMMYFUNCTION("""COMPUTED_VALUE"""),500000)</f>
        <v>500000</v>
      </c>
      <c r="F4034" s="22">
        <f ca="1">IFERROR(__xludf.DUMMYFUNCTION("""COMPUTED_VALUE"""),500000)</f>
        <v>500000</v>
      </c>
      <c r="G4034" s="22">
        <f ca="1">IFERROR(__xludf.DUMMYFUNCTION("""COMPUTED_VALUE"""),0)</f>
        <v>0</v>
      </c>
      <c r="H4034" s="7">
        <f ca="1">IFERROR(__xludf.DUMMYFUNCTION("""COMPUTED_VALUE"""),500000)</f>
        <v>500000</v>
      </c>
    </row>
    <row r="4035" spans="1:8" ht="13" x14ac:dyDescent="0.15">
      <c r="A4035" s="5" t="str">
        <f ca="1">IFERROR(__xludf.DUMMYFUNCTION("""COMPUTED_VALUE"""),"75973")</f>
        <v>75973</v>
      </c>
      <c r="B4035" s="51">
        <f ca="1">IFERROR(__xludf.DUMMYFUNCTION("""COMPUTED_VALUE"""),44626)</f>
        <v>44626</v>
      </c>
      <c r="C4035" s="22">
        <f ca="1">IFERROR(__xludf.DUMMYFUNCTION("""COMPUTED_VALUE"""),500000)</f>
        <v>500000</v>
      </c>
      <c r="D4035" s="22">
        <f ca="1">IFERROR(__xludf.DUMMYFUNCTION("""COMPUTED_VALUE"""),0)</f>
        <v>0</v>
      </c>
      <c r="E4035" s="22">
        <f ca="1">IFERROR(__xludf.DUMMYFUNCTION("""COMPUTED_VALUE"""),500000)</f>
        <v>500000</v>
      </c>
      <c r="F4035" s="22">
        <f ca="1">IFERROR(__xludf.DUMMYFUNCTION("""COMPUTED_VALUE"""),500000)</f>
        <v>500000</v>
      </c>
      <c r="G4035" s="22">
        <f ca="1">IFERROR(__xludf.DUMMYFUNCTION("""COMPUTED_VALUE"""),0)</f>
        <v>0</v>
      </c>
      <c r="H4035" s="7">
        <f ca="1">IFERROR(__xludf.DUMMYFUNCTION("""COMPUTED_VALUE"""),500000)</f>
        <v>500000</v>
      </c>
    </row>
    <row r="4036" spans="1:8" ht="13" x14ac:dyDescent="0.15">
      <c r="A4036" s="5" t="str">
        <f ca="1">IFERROR(__xludf.DUMMYFUNCTION("""COMPUTED_VALUE"""),"75973")</f>
        <v>75973</v>
      </c>
      <c r="B4036" s="51">
        <f ca="1">IFERROR(__xludf.DUMMYFUNCTION("""COMPUTED_VALUE"""),44627)</f>
        <v>44627</v>
      </c>
      <c r="C4036" s="22">
        <f ca="1">IFERROR(__xludf.DUMMYFUNCTION("""COMPUTED_VALUE"""),500000)</f>
        <v>500000</v>
      </c>
      <c r="D4036" s="22">
        <f ca="1">IFERROR(__xludf.DUMMYFUNCTION("""COMPUTED_VALUE"""),0)</f>
        <v>0</v>
      </c>
      <c r="E4036" s="22">
        <f ca="1">IFERROR(__xludf.DUMMYFUNCTION("""COMPUTED_VALUE"""),500000)</f>
        <v>500000</v>
      </c>
      <c r="F4036" s="22">
        <f ca="1">IFERROR(__xludf.DUMMYFUNCTION("""COMPUTED_VALUE"""),500000)</f>
        <v>500000</v>
      </c>
      <c r="G4036" s="22">
        <f ca="1">IFERROR(__xludf.DUMMYFUNCTION("""COMPUTED_VALUE"""),0)</f>
        <v>0</v>
      </c>
      <c r="H4036" s="7">
        <f ca="1">IFERROR(__xludf.DUMMYFUNCTION("""COMPUTED_VALUE"""),500000)</f>
        <v>500000</v>
      </c>
    </row>
    <row r="4037" spans="1:8" ht="13" x14ac:dyDescent="0.15">
      <c r="A4037" s="5" t="str">
        <f ca="1">IFERROR(__xludf.DUMMYFUNCTION("""COMPUTED_VALUE"""),"75973")</f>
        <v>75973</v>
      </c>
      <c r="B4037" s="51">
        <f ca="1">IFERROR(__xludf.DUMMYFUNCTION("""COMPUTED_VALUE"""),44628)</f>
        <v>44628</v>
      </c>
      <c r="C4037" s="22">
        <f ca="1">IFERROR(__xludf.DUMMYFUNCTION("""COMPUTED_VALUE"""),500000)</f>
        <v>500000</v>
      </c>
      <c r="D4037" s="22">
        <f ca="1">IFERROR(__xludf.DUMMYFUNCTION("""COMPUTED_VALUE"""),0)</f>
        <v>0</v>
      </c>
      <c r="E4037" s="22">
        <f ca="1">IFERROR(__xludf.DUMMYFUNCTION("""COMPUTED_VALUE"""),500000)</f>
        <v>500000</v>
      </c>
      <c r="F4037" s="22">
        <f ca="1">IFERROR(__xludf.DUMMYFUNCTION("""COMPUTED_VALUE"""),500000)</f>
        <v>500000</v>
      </c>
      <c r="G4037" s="22">
        <f ca="1">IFERROR(__xludf.DUMMYFUNCTION("""COMPUTED_VALUE"""),0)</f>
        <v>0</v>
      </c>
      <c r="H4037" s="7">
        <f ca="1">IFERROR(__xludf.DUMMYFUNCTION("""COMPUTED_VALUE"""),500000)</f>
        <v>500000</v>
      </c>
    </row>
    <row r="4038" spans="1:8" ht="13" x14ac:dyDescent="0.15">
      <c r="A4038" s="5" t="str">
        <f ca="1">IFERROR(__xludf.DUMMYFUNCTION("""COMPUTED_VALUE"""),"75973")</f>
        <v>75973</v>
      </c>
      <c r="B4038" s="51">
        <f ca="1">IFERROR(__xludf.DUMMYFUNCTION("""COMPUTED_VALUE"""),44629)</f>
        <v>44629</v>
      </c>
      <c r="C4038" s="22">
        <f ca="1">IFERROR(__xludf.DUMMYFUNCTION("""COMPUTED_VALUE"""),500000)</f>
        <v>500000</v>
      </c>
      <c r="D4038" s="22">
        <f ca="1">IFERROR(__xludf.DUMMYFUNCTION("""COMPUTED_VALUE"""),0)</f>
        <v>0</v>
      </c>
      <c r="E4038" s="22">
        <f ca="1">IFERROR(__xludf.DUMMYFUNCTION("""COMPUTED_VALUE"""),500000)</f>
        <v>500000</v>
      </c>
      <c r="F4038" s="22">
        <f ca="1">IFERROR(__xludf.DUMMYFUNCTION("""COMPUTED_VALUE"""),500000)</f>
        <v>500000</v>
      </c>
      <c r="G4038" s="22">
        <f ca="1">IFERROR(__xludf.DUMMYFUNCTION("""COMPUTED_VALUE"""),0)</f>
        <v>0</v>
      </c>
      <c r="H4038" s="7">
        <f ca="1">IFERROR(__xludf.DUMMYFUNCTION("""COMPUTED_VALUE"""),500000)</f>
        <v>500000</v>
      </c>
    </row>
    <row r="4039" spans="1:8" ht="13" x14ac:dyDescent="0.15">
      <c r="A4039" s="5" t="str">
        <f ca="1">IFERROR(__xludf.DUMMYFUNCTION("""COMPUTED_VALUE"""),"75973")</f>
        <v>75973</v>
      </c>
      <c r="B4039" s="51">
        <f ca="1">IFERROR(__xludf.DUMMYFUNCTION("""COMPUTED_VALUE"""),44630)</f>
        <v>44630</v>
      </c>
      <c r="C4039" s="22">
        <f ca="1">IFERROR(__xludf.DUMMYFUNCTION("""COMPUTED_VALUE"""),500000)</f>
        <v>500000</v>
      </c>
      <c r="D4039" s="22">
        <f ca="1">IFERROR(__xludf.DUMMYFUNCTION("""COMPUTED_VALUE"""),0)</f>
        <v>0</v>
      </c>
      <c r="E4039" s="22">
        <f ca="1">IFERROR(__xludf.DUMMYFUNCTION("""COMPUTED_VALUE"""),500000)</f>
        <v>500000</v>
      </c>
      <c r="F4039" s="22">
        <f ca="1">IFERROR(__xludf.DUMMYFUNCTION("""COMPUTED_VALUE"""),500000)</f>
        <v>500000</v>
      </c>
      <c r="G4039" s="22">
        <f ca="1">IFERROR(__xludf.DUMMYFUNCTION("""COMPUTED_VALUE"""),0)</f>
        <v>0</v>
      </c>
      <c r="H4039" s="7">
        <f ca="1">IFERROR(__xludf.DUMMYFUNCTION("""COMPUTED_VALUE"""),500000)</f>
        <v>500000</v>
      </c>
    </row>
    <row r="4040" spans="1:8" ht="13" x14ac:dyDescent="0.15">
      <c r="A4040" s="5" t="str">
        <f ca="1">IFERROR(__xludf.DUMMYFUNCTION("""COMPUTED_VALUE"""),"75973")</f>
        <v>75973</v>
      </c>
      <c r="B4040" s="51">
        <f ca="1">IFERROR(__xludf.DUMMYFUNCTION("""COMPUTED_VALUE"""),44631)</f>
        <v>44631</v>
      </c>
      <c r="C4040" s="22">
        <f ca="1">IFERROR(__xludf.DUMMYFUNCTION("""COMPUTED_VALUE"""),500000)</f>
        <v>500000</v>
      </c>
      <c r="D4040" s="22">
        <f ca="1">IFERROR(__xludf.DUMMYFUNCTION("""COMPUTED_VALUE"""),0)</f>
        <v>0</v>
      </c>
      <c r="E4040" s="22">
        <f ca="1">IFERROR(__xludf.DUMMYFUNCTION("""COMPUTED_VALUE"""),500000)</f>
        <v>500000</v>
      </c>
      <c r="F4040" s="22">
        <f ca="1">IFERROR(__xludf.DUMMYFUNCTION("""COMPUTED_VALUE"""),500000)</f>
        <v>500000</v>
      </c>
      <c r="G4040" s="22">
        <f ca="1">IFERROR(__xludf.DUMMYFUNCTION("""COMPUTED_VALUE"""),0)</f>
        <v>0</v>
      </c>
      <c r="H4040" s="7">
        <f ca="1">IFERROR(__xludf.DUMMYFUNCTION("""COMPUTED_VALUE"""),500000)</f>
        <v>500000</v>
      </c>
    </row>
    <row r="4041" spans="1:8" ht="13" x14ac:dyDescent="0.15">
      <c r="A4041" s="5" t="str">
        <f ca="1">IFERROR(__xludf.DUMMYFUNCTION("""COMPUTED_VALUE"""),"75973")</f>
        <v>75973</v>
      </c>
      <c r="B4041" s="51">
        <f ca="1">IFERROR(__xludf.DUMMYFUNCTION("""COMPUTED_VALUE"""),44632)</f>
        <v>44632</v>
      </c>
      <c r="C4041" s="22">
        <f ca="1">IFERROR(__xludf.DUMMYFUNCTION("""COMPUTED_VALUE"""),500000)</f>
        <v>500000</v>
      </c>
      <c r="D4041" s="22">
        <f ca="1">IFERROR(__xludf.DUMMYFUNCTION("""COMPUTED_VALUE"""),0)</f>
        <v>0</v>
      </c>
      <c r="E4041" s="22">
        <f ca="1">IFERROR(__xludf.DUMMYFUNCTION("""COMPUTED_VALUE"""),500000)</f>
        <v>500000</v>
      </c>
      <c r="F4041" s="22">
        <f ca="1">IFERROR(__xludf.DUMMYFUNCTION("""COMPUTED_VALUE"""),500000)</f>
        <v>500000</v>
      </c>
      <c r="G4041" s="22">
        <f ca="1">IFERROR(__xludf.DUMMYFUNCTION("""COMPUTED_VALUE"""),0)</f>
        <v>0</v>
      </c>
      <c r="H4041" s="7">
        <f ca="1">IFERROR(__xludf.DUMMYFUNCTION("""COMPUTED_VALUE"""),500000)</f>
        <v>500000</v>
      </c>
    </row>
    <row r="4042" spans="1:8" ht="13" x14ac:dyDescent="0.15">
      <c r="A4042" s="5" t="str">
        <f ca="1">IFERROR(__xludf.DUMMYFUNCTION("""COMPUTED_VALUE"""),"75973")</f>
        <v>75973</v>
      </c>
      <c r="B4042" s="51">
        <f ca="1">IFERROR(__xludf.DUMMYFUNCTION("""COMPUTED_VALUE"""),44633)</f>
        <v>44633</v>
      </c>
      <c r="C4042" s="22">
        <f ca="1">IFERROR(__xludf.DUMMYFUNCTION("""COMPUTED_VALUE"""),500000)</f>
        <v>500000</v>
      </c>
      <c r="D4042" s="22">
        <f ca="1">IFERROR(__xludf.DUMMYFUNCTION("""COMPUTED_VALUE"""),0)</f>
        <v>0</v>
      </c>
      <c r="E4042" s="22">
        <f ca="1">IFERROR(__xludf.DUMMYFUNCTION("""COMPUTED_VALUE"""),500000)</f>
        <v>500000</v>
      </c>
      <c r="F4042" s="22">
        <f ca="1">IFERROR(__xludf.DUMMYFUNCTION("""COMPUTED_VALUE"""),500000)</f>
        <v>500000</v>
      </c>
      <c r="G4042" s="22">
        <f ca="1">IFERROR(__xludf.DUMMYFUNCTION("""COMPUTED_VALUE"""),0)</f>
        <v>0</v>
      </c>
      <c r="H4042" s="7">
        <f ca="1">IFERROR(__xludf.DUMMYFUNCTION("""COMPUTED_VALUE"""),500000)</f>
        <v>500000</v>
      </c>
    </row>
    <row r="4043" spans="1:8" ht="13" x14ac:dyDescent="0.15">
      <c r="A4043" s="5" t="str">
        <f ca="1">IFERROR(__xludf.DUMMYFUNCTION("""COMPUTED_VALUE"""),"75973")</f>
        <v>75973</v>
      </c>
      <c r="B4043" s="51">
        <f ca="1">IFERROR(__xludf.DUMMYFUNCTION("""COMPUTED_VALUE"""),44634)</f>
        <v>44634</v>
      </c>
      <c r="C4043" s="22">
        <f ca="1">IFERROR(__xludf.DUMMYFUNCTION("""COMPUTED_VALUE"""),500000)</f>
        <v>500000</v>
      </c>
      <c r="D4043" s="22">
        <f ca="1">IFERROR(__xludf.DUMMYFUNCTION("""COMPUTED_VALUE"""),0)</f>
        <v>0</v>
      </c>
      <c r="E4043" s="22">
        <f ca="1">IFERROR(__xludf.DUMMYFUNCTION("""COMPUTED_VALUE"""),500000)</f>
        <v>500000</v>
      </c>
      <c r="F4043" s="22">
        <f ca="1">IFERROR(__xludf.DUMMYFUNCTION("""COMPUTED_VALUE"""),500000)</f>
        <v>500000</v>
      </c>
      <c r="G4043" s="22">
        <f ca="1">IFERROR(__xludf.DUMMYFUNCTION("""COMPUTED_VALUE"""),0)</f>
        <v>0</v>
      </c>
      <c r="H4043" s="7">
        <f ca="1">IFERROR(__xludf.DUMMYFUNCTION("""COMPUTED_VALUE"""),500000)</f>
        <v>500000</v>
      </c>
    </row>
    <row r="4044" spans="1:8" ht="13" x14ac:dyDescent="0.15">
      <c r="A4044" s="5" t="str">
        <f ca="1">IFERROR(__xludf.DUMMYFUNCTION("""COMPUTED_VALUE"""),"75973")</f>
        <v>75973</v>
      </c>
      <c r="B4044" s="51">
        <f ca="1">IFERROR(__xludf.DUMMYFUNCTION("""COMPUTED_VALUE"""),44635)</f>
        <v>44635</v>
      </c>
      <c r="C4044" s="22">
        <f ca="1">IFERROR(__xludf.DUMMYFUNCTION("""COMPUTED_VALUE"""),500000)</f>
        <v>500000</v>
      </c>
      <c r="D4044" s="22">
        <f ca="1">IFERROR(__xludf.DUMMYFUNCTION("""COMPUTED_VALUE"""),0)</f>
        <v>0</v>
      </c>
      <c r="E4044" s="22">
        <f ca="1">IFERROR(__xludf.DUMMYFUNCTION("""COMPUTED_VALUE"""),500000)</f>
        <v>500000</v>
      </c>
      <c r="F4044" s="22">
        <f ca="1">IFERROR(__xludf.DUMMYFUNCTION("""COMPUTED_VALUE"""),500000)</f>
        <v>500000</v>
      </c>
      <c r="G4044" s="22">
        <f ca="1">IFERROR(__xludf.DUMMYFUNCTION("""COMPUTED_VALUE"""),0)</f>
        <v>0</v>
      </c>
      <c r="H4044" s="7">
        <f ca="1">IFERROR(__xludf.DUMMYFUNCTION("""COMPUTED_VALUE"""),500000)</f>
        <v>500000</v>
      </c>
    </row>
    <row r="4045" spans="1:8" ht="13" x14ac:dyDescent="0.15">
      <c r="A4045" s="5" t="str">
        <f ca="1">IFERROR(__xludf.DUMMYFUNCTION("""COMPUTED_VALUE"""),"75973")</f>
        <v>75973</v>
      </c>
      <c r="B4045" s="51">
        <f ca="1">IFERROR(__xludf.DUMMYFUNCTION("""COMPUTED_VALUE"""),44636)</f>
        <v>44636</v>
      </c>
      <c r="C4045" s="22">
        <f ca="1">IFERROR(__xludf.DUMMYFUNCTION("""COMPUTED_VALUE"""),500000)</f>
        <v>500000</v>
      </c>
      <c r="D4045" s="22">
        <f ca="1">IFERROR(__xludf.DUMMYFUNCTION("""COMPUTED_VALUE"""),0)</f>
        <v>0</v>
      </c>
      <c r="E4045" s="22">
        <f ca="1">IFERROR(__xludf.DUMMYFUNCTION("""COMPUTED_VALUE"""),500000)</f>
        <v>500000</v>
      </c>
      <c r="F4045" s="22">
        <f ca="1">IFERROR(__xludf.DUMMYFUNCTION("""COMPUTED_VALUE"""),500000)</f>
        <v>500000</v>
      </c>
      <c r="G4045" s="22">
        <f ca="1">IFERROR(__xludf.DUMMYFUNCTION("""COMPUTED_VALUE"""),0)</f>
        <v>0</v>
      </c>
      <c r="H4045" s="7">
        <f ca="1">IFERROR(__xludf.DUMMYFUNCTION("""COMPUTED_VALUE"""),500000)</f>
        <v>500000</v>
      </c>
    </row>
    <row r="4046" spans="1:8" ht="13" x14ac:dyDescent="0.15">
      <c r="A4046" s="5" t="str">
        <f ca="1">IFERROR(__xludf.DUMMYFUNCTION("""COMPUTED_VALUE"""),"75973")</f>
        <v>75973</v>
      </c>
      <c r="B4046" s="51">
        <f ca="1">IFERROR(__xludf.DUMMYFUNCTION("""COMPUTED_VALUE"""),44637)</f>
        <v>44637</v>
      </c>
      <c r="C4046" s="22">
        <f ca="1">IFERROR(__xludf.DUMMYFUNCTION("""COMPUTED_VALUE"""),500000)</f>
        <v>500000</v>
      </c>
      <c r="D4046" s="22">
        <f ca="1">IFERROR(__xludf.DUMMYFUNCTION("""COMPUTED_VALUE"""),0)</f>
        <v>0</v>
      </c>
      <c r="E4046" s="22">
        <f ca="1">IFERROR(__xludf.DUMMYFUNCTION("""COMPUTED_VALUE"""),500000)</f>
        <v>500000</v>
      </c>
      <c r="F4046" s="22">
        <f ca="1">IFERROR(__xludf.DUMMYFUNCTION("""COMPUTED_VALUE"""),500000)</f>
        <v>500000</v>
      </c>
      <c r="G4046" s="22">
        <f ca="1">IFERROR(__xludf.DUMMYFUNCTION("""COMPUTED_VALUE"""),0)</f>
        <v>0</v>
      </c>
      <c r="H4046" s="7">
        <f ca="1">IFERROR(__xludf.DUMMYFUNCTION("""COMPUTED_VALUE"""),500000)</f>
        <v>500000</v>
      </c>
    </row>
    <row r="4047" spans="1:8" ht="13" x14ac:dyDescent="0.15">
      <c r="A4047" s="5" t="str">
        <f ca="1">IFERROR(__xludf.DUMMYFUNCTION("""COMPUTED_VALUE"""),"75973")</f>
        <v>75973</v>
      </c>
      <c r="B4047" s="51">
        <f ca="1">IFERROR(__xludf.DUMMYFUNCTION("""COMPUTED_VALUE"""),44638)</f>
        <v>44638</v>
      </c>
      <c r="C4047" s="22">
        <f ca="1">IFERROR(__xludf.DUMMYFUNCTION("""COMPUTED_VALUE"""),500000)</f>
        <v>500000</v>
      </c>
      <c r="D4047" s="22">
        <f ca="1">IFERROR(__xludf.DUMMYFUNCTION("""COMPUTED_VALUE"""),0)</f>
        <v>0</v>
      </c>
      <c r="E4047" s="22">
        <f ca="1">IFERROR(__xludf.DUMMYFUNCTION("""COMPUTED_VALUE"""),500000)</f>
        <v>500000</v>
      </c>
      <c r="F4047" s="22">
        <f ca="1">IFERROR(__xludf.DUMMYFUNCTION("""COMPUTED_VALUE"""),500000)</f>
        <v>500000</v>
      </c>
      <c r="G4047" s="22">
        <f ca="1">IFERROR(__xludf.DUMMYFUNCTION("""COMPUTED_VALUE"""),0)</f>
        <v>0</v>
      </c>
      <c r="H4047" s="7">
        <f ca="1">IFERROR(__xludf.DUMMYFUNCTION("""COMPUTED_VALUE"""),500000)</f>
        <v>500000</v>
      </c>
    </row>
    <row r="4048" spans="1:8" ht="13" x14ac:dyDescent="0.15">
      <c r="A4048" s="5" t="str">
        <f ca="1">IFERROR(__xludf.DUMMYFUNCTION("""COMPUTED_VALUE"""),"75973")</f>
        <v>75973</v>
      </c>
      <c r="B4048" s="51">
        <f ca="1">IFERROR(__xludf.DUMMYFUNCTION("""COMPUTED_VALUE"""),44639)</f>
        <v>44639</v>
      </c>
      <c r="C4048" s="22">
        <f ca="1">IFERROR(__xludf.DUMMYFUNCTION("""COMPUTED_VALUE"""),500000)</f>
        <v>500000</v>
      </c>
      <c r="D4048" s="22">
        <f ca="1">IFERROR(__xludf.DUMMYFUNCTION("""COMPUTED_VALUE"""),0)</f>
        <v>0</v>
      </c>
      <c r="E4048" s="22">
        <f ca="1">IFERROR(__xludf.DUMMYFUNCTION("""COMPUTED_VALUE"""),500000)</f>
        <v>500000</v>
      </c>
      <c r="F4048" s="22">
        <f ca="1">IFERROR(__xludf.DUMMYFUNCTION("""COMPUTED_VALUE"""),500000)</f>
        <v>500000</v>
      </c>
      <c r="G4048" s="22">
        <f ca="1">IFERROR(__xludf.DUMMYFUNCTION("""COMPUTED_VALUE"""),0)</f>
        <v>0</v>
      </c>
      <c r="H4048" s="7">
        <f ca="1">IFERROR(__xludf.DUMMYFUNCTION("""COMPUTED_VALUE"""),500000)</f>
        <v>500000</v>
      </c>
    </row>
    <row r="4049" spans="1:8" ht="13" x14ac:dyDescent="0.15">
      <c r="A4049" s="5" t="str">
        <f ca="1">IFERROR(__xludf.DUMMYFUNCTION("""COMPUTED_VALUE"""),"75973")</f>
        <v>75973</v>
      </c>
      <c r="B4049" s="51">
        <f ca="1">IFERROR(__xludf.DUMMYFUNCTION("""COMPUTED_VALUE"""),44640)</f>
        <v>44640</v>
      </c>
      <c r="C4049" s="22">
        <f ca="1">IFERROR(__xludf.DUMMYFUNCTION("""COMPUTED_VALUE"""),500000)</f>
        <v>500000</v>
      </c>
      <c r="D4049" s="22">
        <f ca="1">IFERROR(__xludf.DUMMYFUNCTION("""COMPUTED_VALUE"""),0)</f>
        <v>0</v>
      </c>
      <c r="E4049" s="22">
        <f ca="1">IFERROR(__xludf.DUMMYFUNCTION("""COMPUTED_VALUE"""),500000)</f>
        <v>500000</v>
      </c>
      <c r="F4049" s="22">
        <f ca="1">IFERROR(__xludf.DUMMYFUNCTION("""COMPUTED_VALUE"""),500000)</f>
        <v>500000</v>
      </c>
      <c r="G4049" s="22">
        <f ca="1">IFERROR(__xludf.DUMMYFUNCTION("""COMPUTED_VALUE"""),0)</f>
        <v>0</v>
      </c>
      <c r="H4049" s="7">
        <f ca="1">IFERROR(__xludf.DUMMYFUNCTION("""COMPUTED_VALUE"""),500000)</f>
        <v>500000</v>
      </c>
    </row>
    <row r="4050" spans="1:8" ht="13" x14ac:dyDescent="0.15">
      <c r="A4050" s="5" t="str">
        <f ca="1">IFERROR(__xludf.DUMMYFUNCTION("""COMPUTED_VALUE"""),"75973")</f>
        <v>75973</v>
      </c>
      <c r="B4050" s="51">
        <f ca="1">IFERROR(__xludf.DUMMYFUNCTION("""COMPUTED_VALUE"""),44641)</f>
        <v>44641</v>
      </c>
      <c r="C4050" s="22">
        <f ca="1">IFERROR(__xludf.DUMMYFUNCTION("""COMPUTED_VALUE"""),500000)</f>
        <v>500000</v>
      </c>
      <c r="D4050" s="22">
        <f ca="1">IFERROR(__xludf.DUMMYFUNCTION("""COMPUTED_VALUE"""),0)</f>
        <v>0</v>
      </c>
      <c r="E4050" s="22">
        <f ca="1">IFERROR(__xludf.DUMMYFUNCTION("""COMPUTED_VALUE"""),500000)</f>
        <v>500000</v>
      </c>
      <c r="F4050" s="22">
        <f ca="1">IFERROR(__xludf.DUMMYFUNCTION("""COMPUTED_VALUE"""),500000)</f>
        <v>500000</v>
      </c>
      <c r="G4050" s="22">
        <f ca="1">IFERROR(__xludf.DUMMYFUNCTION("""COMPUTED_VALUE"""),0)</f>
        <v>0</v>
      </c>
      <c r="H4050" s="7">
        <f ca="1">IFERROR(__xludf.DUMMYFUNCTION("""COMPUTED_VALUE"""),500000)</f>
        <v>500000</v>
      </c>
    </row>
    <row r="4051" spans="1:8" ht="13" x14ac:dyDescent="0.15">
      <c r="A4051" s="5" t="str">
        <f ca="1">IFERROR(__xludf.DUMMYFUNCTION("""COMPUTED_VALUE"""),"75973")</f>
        <v>75973</v>
      </c>
      <c r="B4051" s="51">
        <f ca="1">IFERROR(__xludf.DUMMYFUNCTION("""COMPUTED_VALUE"""),44642)</f>
        <v>44642</v>
      </c>
      <c r="C4051" s="22">
        <f ca="1">IFERROR(__xludf.DUMMYFUNCTION("""COMPUTED_VALUE"""),500000)</f>
        <v>500000</v>
      </c>
      <c r="D4051" s="22">
        <f ca="1">IFERROR(__xludf.DUMMYFUNCTION("""COMPUTED_VALUE"""),0)</f>
        <v>0</v>
      </c>
      <c r="E4051" s="22">
        <f ca="1">IFERROR(__xludf.DUMMYFUNCTION("""COMPUTED_VALUE"""),500000)</f>
        <v>500000</v>
      </c>
      <c r="F4051" s="22">
        <f ca="1">IFERROR(__xludf.DUMMYFUNCTION("""COMPUTED_VALUE"""),500000)</f>
        <v>500000</v>
      </c>
      <c r="G4051" s="22">
        <f ca="1">IFERROR(__xludf.DUMMYFUNCTION("""COMPUTED_VALUE"""),0)</f>
        <v>0</v>
      </c>
      <c r="H4051" s="7">
        <f ca="1">IFERROR(__xludf.DUMMYFUNCTION("""COMPUTED_VALUE"""),500000)</f>
        <v>500000</v>
      </c>
    </row>
    <row r="4052" spans="1:8" ht="13" x14ac:dyDescent="0.15">
      <c r="A4052" s="5" t="str">
        <f ca="1">IFERROR(__xludf.DUMMYFUNCTION("""COMPUTED_VALUE"""),"76369")</f>
        <v>76369</v>
      </c>
      <c r="B4052" s="51">
        <f ca="1">IFERROR(__xludf.DUMMYFUNCTION("""COMPUTED_VALUE"""),44597)</f>
        <v>44597</v>
      </c>
      <c r="C4052" s="22">
        <f ca="1">IFERROR(__xludf.DUMMYFUNCTION("""COMPUTED_VALUE"""),500000)</f>
        <v>500000</v>
      </c>
      <c r="D4052" s="22">
        <f ca="1">IFERROR(__xludf.DUMMYFUNCTION("""COMPUTED_VALUE"""),0)</f>
        <v>0</v>
      </c>
      <c r="E4052" s="22">
        <f ca="1">IFERROR(__xludf.DUMMYFUNCTION("""COMPUTED_VALUE"""),500000)</f>
        <v>500000</v>
      </c>
      <c r="F4052" s="22">
        <f ca="1">IFERROR(__xludf.DUMMYFUNCTION("""COMPUTED_VALUE"""),500000)</f>
        <v>500000</v>
      </c>
      <c r="G4052" s="22">
        <f ca="1">IFERROR(__xludf.DUMMYFUNCTION("""COMPUTED_VALUE"""),0)</f>
        <v>0</v>
      </c>
      <c r="H4052" s="7">
        <f ca="1">IFERROR(__xludf.DUMMYFUNCTION("""COMPUTED_VALUE"""),500000)</f>
        <v>500000</v>
      </c>
    </row>
    <row r="4053" spans="1:8" ht="13" x14ac:dyDescent="0.15">
      <c r="A4053" s="5" t="str">
        <f ca="1">IFERROR(__xludf.DUMMYFUNCTION("""COMPUTED_VALUE"""),"76369")</f>
        <v>76369</v>
      </c>
      <c r="B4053" s="51">
        <f ca="1">IFERROR(__xludf.DUMMYFUNCTION("""COMPUTED_VALUE"""),44598)</f>
        <v>44598</v>
      </c>
      <c r="C4053" s="22">
        <f ca="1">IFERROR(__xludf.DUMMYFUNCTION("""COMPUTED_VALUE"""),500000)</f>
        <v>500000</v>
      </c>
      <c r="D4053" s="22">
        <f ca="1">IFERROR(__xludf.DUMMYFUNCTION("""COMPUTED_VALUE"""),0)</f>
        <v>0</v>
      </c>
      <c r="E4053" s="22">
        <f ca="1">IFERROR(__xludf.DUMMYFUNCTION("""COMPUTED_VALUE"""),500000)</f>
        <v>500000</v>
      </c>
      <c r="F4053" s="22">
        <f ca="1">IFERROR(__xludf.DUMMYFUNCTION("""COMPUTED_VALUE"""),500000)</f>
        <v>500000</v>
      </c>
      <c r="G4053" s="22">
        <f ca="1">IFERROR(__xludf.DUMMYFUNCTION("""COMPUTED_VALUE"""),0)</f>
        <v>0</v>
      </c>
      <c r="H4053" s="7">
        <f ca="1">IFERROR(__xludf.DUMMYFUNCTION("""COMPUTED_VALUE"""),500000)</f>
        <v>500000</v>
      </c>
    </row>
    <row r="4054" spans="1:8" ht="13" x14ac:dyDescent="0.15">
      <c r="A4054" s="5" t="str">
        <f ca="1">IFERROR(__xludf.DUMMYFUNCTION("""COMPUTED_VALUE"""),"76369")</f>
        <v>76369</v>
      </c>
      <c r="B4054" s="51">
        <f ca="1">IFERROR(__xludf.DUMMYFUNCTION("""COMPUTED_VALUE"""),44599)</f>
        <v>44599</v>
      </c>
      <c r="C4054" s="22">
        <f ca="1">IFERROR(__xludf.DUMMYFUNCTION("""COMPUTED_VALUE"""),500000)</f>
        <v>500000</v>
      </c>
      <c r="D4054" s="22">
        <f ca="1">IFERROR(__xludf.DUMMYFUNCTION("""COMPUTED_VALUE"""),0)</f>
        <v>0</v>
      </c>
      <c r="E4054" s="22">
        <f ca="1">IFERROR(__xludf.DUMMYFUNCTION("""COMPUTED_VALUE"""),500000)</f>
        <v>500000</v>
      </c>
      <c r="F4054" s="22">
        <f ca="1">IFERROR(__xludf.DUMMYFUNCTION("""COMPUTED_VALUE"""),500000)</f>
        <v>500000</v>
      </c>
      <c r="G4054" s="22">
        <f ca="1">IFERROR(__xludf.DUMMYFUNCTION("""COMPUTED_VALUE"""),0)</f>
        <v>0</v>
      </c>
      <c r="H4054" s="7">
        <f ca="1">IFERROR(__xludf.DUMMYFUNCTION("""COMPUTED_VALUE"""),500000)</f>
        <v>500000</v>
      </c>
    </row>
    <row r="4055" spans="1:8" ht="13" x14ac:dyDescent="0.15">
      <c r="A4055" s="5" t="str">
        <f ca="1">IFERROR(__xludf.DUMMYFUNCTION("""COMPUTED_VALUE"""),"76369")</f>
        <v>76369</v>
      </c>
      <c r="B4055" s="51">
        <f ca="1">IFERROR(__xludf.DUMMYFUNCTION("""COMPUTED_VALUE"""),44600)</f>
        <v>44600</v>
      </c>
      <c r="C4055" s="22">
        <f ca="1">IFERROR(__xludf.DUMMYFUNCTION("""COMPUTED_VALUE"""),500000)</f>
        <v>500000</v>
      </c>
      <c r="D4055" s="22">
        <f ca="1">IFERROR(__xludf.DUMMYFUNCTION("""COMPUTED_VALUE"""),0)</f>
        <v>0</v>
      </c>
      <c r="E4055" s="22">
        <f ca="1">IFERROR(__xludf.DUMMYFUNCTION("""COMPUTED_VALUE"""),500000)</f>
        <v>500000</v>
      </c>
      <c r="F4055" s="22">
        <f ca="1">IFERROR(__xludf.DUMMYFUNCTION("""COMPUTED_VALUE"""),500000)</f>
        <v>500000</v>
      </c>
      <c r="G4055" s="22">
        <f ca="1">IFERROR(__xludf.DUMMYFUNCTION("""COMPUTED_VALUE"""),0)</f>
        <v>0</v>
      </c>
      <c r="H4055" s="7">
        <f ca="1">IFERROR(__xludf.DUMMYFUNCTION("""COMPUTED_VALUE"""),500000)</f>
        <v>500000</v>
      </c>
    </row>
    <row r="4056" spans="1:8" ht="13" x14ac:dyDescent="0.15">
      <c r="A4056" s="5" t="str">
        <f ca="1">IFERROR(__xludf.DUMMYFUNCTION("""COMPUTED_VALUE"""),"76369")</f>
        <v>76369</v>
      </c>
      <c r="B4056" s="51">
        <f ca="1">IFERROR(__xludf.DUMMYFUNCTION("""COMPUTED_VALUE"""),44601)</f>
        <v>44601</v>
      </c>
      <c r="C4056" s="22">
        <f ca="1">IFERROR(__xludf.DUMMYFUNCTION("""COMPUTED_VALUE"""),500000)</f>
        <v>500000</v>
      </c>
      <c r="D4056" s="22">
        <f ca="1">IFERROR(__xludf.DUMMYFUNCTION("""COMPUTED_VALUE"""),0)</f>
        <v>0</v>
      </c>
      <c r="E4056" s="22">
        <f ca="1">IFERROR(__xludf.DUMMYFUNCTION("""COMPUTED_VALUE"""),500000)</f>
        <v>500000</v>
      </c>
      <c r="F4056" s="22">
        <f ca="1">IFERROR(__xludf.DUMMYFUNCTION("""COMPUTED_VALUE"""),500000)</f>
        <v>500000</v>
      </c>
      <c r="G4056" s="22">
        <f ca="1">IFERROR(__xludf.DUMMYFUNCTION("""COMPUTED_VALUE"""),0)</f>
        <v>0</v>
      </c>
      <c r="H4056" s="7">
        <f ca="1">IFERROR(__xludf.DUMMYFUNCTION("""COMPUTED_VALUE"""),500000)</f>
        <v>500000</v>
      </c>
    </row>
    <row r="4057" spans="1:8" ht="13" x14ac:dyDescent="0.15">
      <c r="A4057" s="5" t="str">
        <f ca="1">IFERROR(__xludf.DUMMYFUNCTION("""COMPUTED_VALUE"""),"76369")</f>
        <v>76369</v>
      </c>
      <c r="B4057" s="51">
        <f ca="1">IFERROR(__xludf.DUMMYFUNCTION("""COMPUTED_VALUE"""),44602)</f>
        <v>44602</v>
      </c>
      <c r="C4057" s="22">
        <f ca="1">IFERROR(__xludf.DUMMYFUNCTION("""COMPUTED_VALUE"""),496647.77658875)</f>
        <v>496647.77658875001</v>
      </c>
      <c r="D4057" s="22">
        <f ca="1">IFERROR(__xludf.DUMMYFUNCTION("""COMPUTED_VALUE"""),3352.22341125)</f>
        <v>3352.22341125</v>
      </c>
      <c r="E4057" s="22">
        <f ca="1">IFERROR(__xludf.DUMMYFUNCTION("""COMPUTED_VALUE"""),500000)</f>
        <v>500000</v>
      </c>
      <c r="F4057" s="22">
        <f ca="1">IFERROR(__xludf.DUMMYFUNCTION("""COMPUTED_VALUE"""),496647.77658875)</f>
        <v>496647.77658875001</v>
      </c>
      <c r="G4057" s="22">
        <f ca="1">IFERROR(__xludf.DUMMYFUNCTION("""COMPUTED_VALUE"""),0)</f>
        <v>0</v>
      </c>
      <c r="H4057" s="7">
        <f ca="1">IFERROR(__xludf.DUMMYFUNCTION("""COMPUTED_VALUE"""),500000)</f>
        <v>500000</v>
      </c>
    </row>
    <row r="4058" spans="1:8" ht="13" x14ac:dyDescent="0.15">
      <c r="A4058" s="5" t="str">
        <f ca="1">IFERROR(__xludf.DUMMYFUNCTION("""COMPUTED_VALUE"""),"76369")</f>
        <v>76369</v>
      </c>
      <c r="B4058" s="51">
        <f ca="1">IFERROR(__xludf.DUMMYFUNCTION("""COMPUTED_VALUE"""),44603)</f>
        <v>44603</v>
      </c>
      <c r="C4058" s="22">
        <f ca="1">IFERROR(__xludf.DUMMYFUNCTION("""COMPUTED_VALUE"""),496647.77658875)</f>
        <v>496647.77658875001</v>
      </c>
      <c r="D4058" s="22">
        <f ca="1">IFERROR(__xludf.DUMMYFUNCTION("""COMPUTED_VALUE"""),3288.591376)</f>
        <v>3288.5913759999999</v>
      </c>
      <c r="E4058" s="22">
        <f ca="1">IFERROR(__xludf.DUMMYFUNCTION("""COMPUTED_VALUE"""),499936.36796475)</f>
        <v>499936.36796474998</v>
      </c>
      <c r="F4058" s="22">
        <f ca="1">IFERROR(__xludf.DUMMYFUNCTION("""COMPUTED_VALUE"""),496647.77658875)</f>
        <v>496647.77658875001</v>
      </c>
      <c r="G4058" s="22">
        <f ca="1">IFERROR(__xludf.DUMMYFUNCTION("""COMPUTED_VALUE"""),0)</f>
        <v>0</v>
      </c>
      <c r="H4058" s="7">
        <f ca="1">IFERROR(__xludf.DUMMYFUNCTION("""COMPUTED_VALUE"""),499874.447209)</f>
        <v>499874.44720900001</v>
      </c>
    </row>
    <row r="4059" spans="1:8" ht="13" x14ac:dyDescent="0.15">
      <c r="A4059" s="5" t="str">
        <f ca="1">IFERROR(__xludf.DUMMYFUNCTION("""COMPUTED_VALUE"""),"76369")</f>
        <v>76369</v>
      </c>
      <c r="B4059" s="51">
        <f ca="1">IFERROR(__xludf.DUMMYFUNCTION("""COMPUTED_VALUE"""),44604)</f>
        <v>44604</v>
      </c>
      <c r="C4059" s="22">
        <f ca="1">IFERROR(__xludf.DUMMYFUNCTION("""COMPUTED_VALUE"""),496647.77658875)</f>
        <v>496647.77658875001</v>
      </c>
      <c r="D4059" s="22">
        <f ca="1">IFERROR(__xludf.DUMMYFUNCTION("""COMPUTED_VALUE"""),3288.591376)</f>
        <v>3288.5913759999999</v>
      </c>
      <c r="E4059" s="22">
        <f ca="1">IFERROR(__xludf.DUMMYFUNCTION("""COMPUTED_VALUE"""),499936.36796475)</f>
        <v>499936.36796474998</v>
      </c>
      <c r="F4059" s="22">
        <f ca="1">IFERROR(__xludf.DUMMYFUNCTION("""COMPUTED_VALUE"""),496647.77658875)</f>
        <v>496647.77658875001</v>
      </c>
      <c r="G4059" s="22">
        <f ca="1">IFERROR(__xludf.DUMMYFUNCTION("""COMPUTED_VALUE"""),0)</f>
        <v>0</v>
      </c>
      <c r="H4059" s="7">
        <f ca="1">IFERROR(__xludf.DUMMYFUNCTION("""COMPUTED_VALUE"""),499874.447209)</f>
        <v>499874.44720900001</v>
      </c>
    </row>
    <row r="4060" spans="1:8" ht="13" x14ac:dyDescent="0.15">
      <c r="A4060" s="5" t="str">
        <f ca="1">IFERROR(__xludf.DUMMYFUNCTION("""COMPUTED_VALUE"""),"76369")</f>
        <v>76369</v>
      </c>
      <c r="B4060" s="51">
        <f ca="1">IFERROR(__xludf.DUMMYFUNCTION("""COMPUTED_VALUE"""),44605)</f>
        <v>44605</v>
      </c>
      <c r="C4060" s="22">
        <f ca="1">IFERROR(__xludf.DUMMYFUNCTION("""COMPUTED_VALUE"""),496647.77658875)</f>
        <v>496647.77658875001</v>
      </c>
      <c r="D4060" s="22">
        <f ca="1">IFERROR(__xludf.DUMMYFUNCTION("""COMPUTED_VALUE"""),3288.6715065)</f>
        <v>3288.6715064999999</v>
      </c>
      <c r="E4060" s="22">
        <f ca="1">IFERROR(__xludf.DUMMYFUNCTION("""COMPUTED_VALUE"""),499936.44809525)</f>
        <v>499936.44809525</v>
      </c>
      <c r="F4060" s="22">
        <f ca="1">IFERROR(__xludf.DUMMYFUNCTION("""COMPUTED_VALUE"""),496647.77658875)</f>
        <v>496647.77658875001</v>
      </c>
      <c r="G4060" s="22">
        <f ca="1">IFERROR(__xludf.DUMMYFUNCTION("""COMPUTED_VALUE"""),0)</f>
        <v>0</v>
      </c>
      <c r="H4060" s="7">
        <f ca="1">IFERROR(__xludf.DUMMYFUNCTION("""COMPUTED_VALUE"""),499874.6250785)</f>
        <v>499874.62507850002</v>
      </c>
    </row>
    <row r="4061" spans="1:8" ht="13" x14ac:dyDescent="0.15">
      <c r="A4061" s="5" t="str">
        <f ca="1">IFERROR(__xludf.DUMMYFUNCTION("""COMPUTED_VALUE"""),"76369")</f>
        <v>76369</v>
      </c>
      <c r="B4061" s="51">
        <f ca="1">IFERROR(__xludf.DUMMYFUNCTION("""COMPUTED_VALUE"""),44606)</f>
        <v>44606</v>
      </c>
      <c r="C4061" s="22">
        <f ca="1">IFERROR(__xludf.DUMMYFUNCTION("""COMPUTED_VALUE"""),496647.77658875)</f>
        <v>496647.77658875001</v>
      </c>
      <c r="D4061" s="22">
        <f ca="1">IFERROR(__xludf.DUMMYFUNCTION("""COMPUTED_VALUE"""),3278.9059685)</f>
        <v>3278.9059685000002</v>
      </c>
      <c r="E4061" s="22">
        <f ca="1">IFERROR(__xludf.DUMMYFUNCTION("""COMPUTED_VALUE"""),499926.68255725)</f>
        <v>499926.68255725002</v>
      </c>
      <c r="F4061" s="22">
        <f ca="1">IFERROR(__xludf.DUMMYFUNCTION("""COMPUTED_VALUE"""),496647.77658875)</f>
        <v>496647.77658875001</v>
      </c>
      <c r="G4061" s="22">
        <f ca="1">IFERROR(__xludf.DUMMYFUNCTION("""COMPUTED_VALUE"""),0)</f>
        <v>0</v>
      </c>
      <c r="H4061" s="7">
        <f ca="1">IFERROR(__xludf.DUMMYFUNCTION("""COMPUTED_VALUE"""),499833.71903225)</f>
        <v>499833.71903225</v>
      </c>
    </row>
    <row r="4062" spans="1:8" ht="13" x14ac:dyDescent="0.15">
      <c r="A4062" s="5" t="str">
        <f ca="1">IFERROR(__xludf.DUMMYFUNCTION("""COMPUTED_VALUE"""),"76369")</f>
        <v>76369</v>
      </c>
      <c r="B4062" s="51">
        <f ca="1">IFERROR(__xludf.DUMMYFUNCTION("""COMPUTED_VALUE"""),44607)</f>
        <v>44607</v>
      </c>
      <c r="C4062" s="22">
        <f ca="1">IFERROR(__xludf.DUMMYFUNCTION("""COMPUTED_VALUE"""),496647.77658875)</f>
        <v>496647.77658875001</v>
      </c>
      <c r="D4062" s="22">
        <f ca="1">IFERROR(__xludf.DUMMYFUNCTION("""COMPUTED_VALUE"""),3397.58240275)</f>
        <v>3397.5824027499998</v>
      </c>
      <c r="E4062" s="22">
        <f ca="1">IFERROR(__xludf.DUMMYFUNCTION("""COMPUTED_VALUE"""),500045.3589915)</f>
        <v>500045.35899149999</v>
      </c>
      <c r="F4062" s="22">
        <f ca="1">IFERROR(__xludf.DUMMYFUNCTION("""COMPUTED_VALUE"""),496647.77658875)</f>
        <v>496647.77658875001</v>
      </c>
      <c r="G4062" s="22">
        <f ca="1">IFERROR(__xludf.DUMMYFUNCTION("""COMPUTED_VALUE"""),0)</f>
        <v>0</v>
      </c>
      <c r="H4062" s="7">
        <f ca="1">IFERROR(__xludf.DUMMYFUNCTION("""COMPUTED_VALUE"""),499968.81341225)</f>
        <v>499968.81341225002</v>
      </c>
    </row>
    <row r="4063" spans="1:8" ht="13" x14ac:dyDescent="0.15">
      <c r="A4063" s="5" t="str">
        <f ca="1">IFERROR(__xludf.DUMMYFUNCTION("""COMPUTED_VALUE"""),"76369")</f>
        <v>76369</v>
      </c>
      <c r="B4063" s="51">
        <f ca="1">IFERROR(__xludf.DUMMYFUNCTION("""COMPUTED_VALUE"""),44608)</f>
        <v>44608</v>
      </c>
      <c r="C4063" s="22">
        <f ca="1">IFERROR(__xludf.DUMMYFUNCTION("""COMPUTED_VALUE"""),496647.77658875)</f>
        <v>496647.77658875001</v>
      </c>
      <c r="D4063" s="22">
        <f ca="1">IFERROR(__xludf.DUMMYFUNCTION("""COMPUTED_VALUE"""),3361.91887125)</f>
        <v>3361.9188712499999</v>
      </c>
      <c r="E4063" s="22">
        <f ca="1">IFERROR(__xludf.DUMMYFUNCTION("""COMPUTED_VALUE"""),500009.69546)</f>
        <v>500009.69546000002</v>
      </c>
      <c r="F4063" s="22">
        <f ca="1">IFERROR(__xludf.DUMMYFUNCTION("""COMPUTED_VALUE"""),496647.77658875)</f>
        <v>496647.77658875001</v>
      </c>
      <c r="G4063" s="22">
        <f ca="1">IFERROR(__xludf.DUMMYFUNCTION("""COMPUTED_VALUE"""),0)</f>
        <v>0</v>
      </c>
      <c r="H4063" s="7">
        <f ca="1">IFERROR(__xludf.DUMMYFUNCTION("""COMPUTED_VALUE"""),499936.46738875)</f>
        <v>499936.46738875</v>
      </c>
    </row>
    <row r="4064" spans="1:8" ht="13" x14ac:dyDescent="0.15">
      <c r="A4064" s="5" t="str">
        <f ca="1">IFERROR(__xludf.DUMMYFUNCTION("""COMPUTED_VALUE"""),"76369")</f>
        <v>76369</v>
      </c>
      <c r="B4064" s="51">
        <f ca="1">IFERROR(__xludf.DUMMYFUNCTION("""COMPUTED_VALUE"""),44609)</f>
        <v>44609</v>
      </c>
      <c r="C4064" s="22">
        <f ca="1">IFERROR(__xludf.DUMMYFUNCTION("""COMPUTED_VALUE"""),496647.77658875)</f>
        <v>496647.77658875001</v>
      </c>
      <c r="D4064" s="22">
        <f ca="1">IFERROR(__xludf.DUMMYFUNCTION("""COMPUTED_VALUE"""),3369.83682825)</f>
        <v>3369.8368282500001</v>
      </c>
      <c r="E4064" s="22">
        <f ca="1">IFERROR(__xludf.DUMMYFUNCTION("""COMPUTED_VALUE"""),500017.613417)</f>
        <v>500017.61341699999</v>
      </c>
      <c r="F4064" s="22">
        <f ca="1">IFERROR(__xludf.DUMMYFUNCTION("""COMPUTED_VALUE"""),496647.77658875)</f>
        <v>496647.77658875001</v>
      </c>
      <c r="G4064" s="22">
        <f ca="1">IFERROR(__xludf.DUMMYFUNCTION("""COMPUTED_VALUE"""),0)</f>
        <v>0</v>
      </c>
      <c r="H4064" s="7">
        <f ca="1">IFERROR(__xludf.DUMMYFUNCTION("""COMPUTED_VALUE"""),499885.96913675)</f>
        <v>499885.96913674998</v>
      </c>
    </row>
    <row r="4065" spans="1:8" ht="13" x14ac:dyDescent="0.15">
      <c r="A4065" s="5" t="str">
        <f ca="1">IFERROR(__xludf.DUMMYFUNCTION("""COMPUTED_VALUE"""),"76369")</f>
        <v>76369</v>
      </c>
      <c r="B4065" s="51">
        <f ca="1">IFERROR(__xludf.DUMMYFUNCTION("""COMPUTED_VALUE"""),44610)</f>
        <v>44610</v>
      </c>
      <c r="C4065" s="22">
        <f ca="1">IFERROR(__xludf.DUMMYFUNCTION("""COMPUTED_VALUE"""),496647.77658875)</f>
        <v>496647.77658875001</v>
      </c>
      <c r="D4065" s="22">
        <f ca="1">IFERROR(__xludf.DUMMYFUNCTION("""COMPUTED_VALUE"""),3312.77761575)</f>
        <v>3312.7776157500002</v>
      </c>
      <c r="E4065" s="22">
        <f ca="1">IFERROR(__xludf.DUMMYFUNCTION("""COMPUTED_VALUE"""),499960.5542045)</f>
        <v>499960.55420449999</v>
      </c>
      <c r="F4065" s="22">
        <f ca="1">IFERROR(__xludf.DUMMYFUNCTION("""COMPUTED_VALUE"""),496647.77658875)</f>
        <v>496647.77658875001</v>
      </c>
      <c r="G4065" s="22">
        <f ca="1">IFERROR(__xludf.DUMMYFUNCTION("""COMPUTED_VALUE"""),0)</f>
        <v>0</v>
      </c>
      <c r="H4065" s="7">
        <f ca="1">IFERROR(__xludf.DUMMYFUNCTION("""COMPUTED_VALUE"""),499824.53428625)</f>
        <v>499824.53428625001</v>
      </c>
    </row>
    <row r="4066" spans="1:8" ht="13" x14ac:dyDescent="0.15">
      <c r="A4066" s="5" t="str">
        <f ca="1">IFERROR(__xludf.DUMMYFUNCTION("""COMPUTED_VALUE"""),"76369")</f>
        <v>76369</v>
      </c>
      <c r="B4066" s="51">
        <f ca="1">IFERROR(__xludf.DUMMYFUNCTION("""COMPUTED_VALUE"""),44611)</f>
        <v>44611</v>
      </c>
      <c r="C4066" s="22">
        <f ca="1">IFERROR(__xludf.DUMMYFUNCTION("""COMPUTED_VALUE"""),496647.77658875)</f>
        <v>496647.77658875001</v>
      </c>
      <c r="D4066" s="22">
        <f ca="1">IFERROR(__xludf.DUMMYFUNCTION("""COMPUTED_VALUE"""),3312.77761575)</f>
        <v>3312.7776157500002</v>
      </c>
      <c r="E4066" s="22">
        <f ca="1">IFERROR(__xludf.DUMMYFUNCTION("""COMPUTED_VALUE"""),499960.5542045)</f>
        <v>499960.55420449999</v>
      </c>
      <c r="F4066" s="22">
        <f ca="1">IFERROR(__xludf.DUMMYFUNCTION("""COMPUTED_VALUE"""),496647.77658875)</f>
        <v>496647.77658875001</v>
      </c>
      <c r="G4066" s="22">
        <f ca="1">IFERROR(__xludf.DUMMYFUNCTION("""COMPUTED_VALUE"""),0)</f>
        <v>0</v>
      </c>
      <c r="H4066" s="7">
        <f ca="1">IFERROR(__xludf.DUMMYFUNCTION("""COMPUTED_VALUE"""),499824.53428625)</f>
        <v>499824.53428625001</v>
      </c>
    </row>
    <row r="4067" spans="1:8" ht="13" x14ac:dyDescent="0.15">
      <c r="A4067" s="5" t="str">
        <f ca="1">IFERROR(__xludf.DUMMYFUNCTION("""COMPUTED_VALUE"""),"76369")</f>
        <v>76369</v>
      </c>
      <c r="B4067" s="51">
        <f ca="1">IFERROR(__xludf.DUMMYFUNCTION("""COMPUTED_VALUE"""),44612)</f>
        <v>44612</v>
      </c>
      <c r="C4067" s="22">
        <f ca="1">IFERROR(__xludf.DUMMYFUNCTION("""COMPUTED_VALUE"""),496647.77658875)</f>
        <v>496647.77658875001</v>
      </c>
      <c r="D4067" s="22">
        <f ca="1">IFERROR(__xludf.DUMMYFUNCTION("""COMPUTED_VALUE"""),3312.7274115)</f>
        <v>3312.7274115</v>
      </c>
      <c r="E4067" s="22">
        <f ca="1">IFERROR(__xludf.DUMMYFUNCTION("""COMPUTED_VALUE"""),499960.50400025)</f>
        <v>499960.50400025002</v>
      </c>
      <c r="F4067" s="22">
        <f ca="1">IFERROR(__xludf.DUMMYFUNCTION("""COMPUTED_VALUE"""),496647.77658875)</f>
        <v>496647.77658875001</v>
      </c>
      <c r="G4067" s="22">
        <f ca="1">IFERROR(__xludf.DUMMYFUNCTION("""COMPUTED_VALUE"""),0)</f>
        <v>0</v>
      </c>
      <c r="H4067" s="7">
        <f ca="1">IFERROR(__xludf.DUMMYFUNCTION("""COMPUTED_VALUE"""),499824.426365)</f>
        <v>499824.42636500002</v>
      </c>
    </row>
    <row r="4068" spans="1:8" ht="13" x14ac:dyDescent="0.15">
      <c r="A4068" s="5" t="str">
        <f ca="1">IFERROR(__xludf.DUMMYFUNCTION("""COMPUTED_VALUE"""),"76369")</f>
        <v>76369</v>
      </c>
      <c r="B4068" s="51">
        <f ca="1">IFERROR(__xludf.DUMMYFUNCTION("""COMPUTED_VALUE"""),44613)</f>
        <v>44613</v>
      </c>
      <c r="C4068" s="22">
        <f ca="1">IFERROR(__xludf.DUMMYFUNCTION("""COMPUTED_VALUE"""),495667.77658875)</f>
        <v>495667.77658875001</v>
      </c>
      <c r="D4068" s="22">
        <f ca="1">IFERROR(__xludf.DUMMYFUNCTION("""COMPUTED_VALUE"""),4156.95928625)</f>
        <v>4156.9592862500003</v>
      </c>
      <c r="E4068" s="22">
        <f ca="1">IFERROR(__xludf.DUMMYFUNCTION("""COMPUTED_VALUE"""),499824.735875)</f>
        <v>499824.73587500001</v>
      </c>
      <c r="F4068" s="22">
        <f ca="1">IFERROR(__xludf.DUMMYFUNCTION("""COMPUTED_VALUE"""),495667.77658875)</f>
        <v>495667.77658875001</v>
      </c>
      <c r="G4068" s="22">
        <f ca="1">IFERROR(__xludf.DUMMYFUNCTION("""COMPUTED_VALUE"""),0)</f>
        <v>0</v>
      </c>
      <c r="H4068" s="7">
        <f ca="1">IFERROR(__xludf.DUMMYFUNCTION("""COMPUTED_VALUE"""),499824.735875)</f>
        <v>499824.73587500001</v>
      </c>
    </row>
    <row r="4069" spans="1:8" ht="13" x14ac:dyDescent="0.15">
      <c r="A4069" s="5" t="str">
        <f ca="1">IFERROR(__xludf.DUMMYFUNCTION("""COMPUTED_VALUE"""),"76369")</f>
        <v>76369</v>
      </c>
      <c r="B4069" s="51">
        <f ca="1">IFERROR(__xludf.DUMMYFUNCTION("""COMPUTED_VALUE"""),44614)</f>
        <v>44614</v>
      </c>
      <c r="C4069" s="22">
        <f ca="1">IFERROR(__xludf.DUMMYFUNCTION("""COMPUTED_VALUE"""),495667.77658875)</f>
        <v>495667.77658875001</v>
      </c>
      <c r="D4069" s="22">
        <f ca="1">IFERROR(__xludf.DUMMYFUNCTION("""COMPUTED_VALUE"""),4022.6825)</f>
        <v>4022.6824999999999</v>
      </c>
      <c r="E4069" s="22">
        <f ca="1">IFERROR(__xludf.DUMMYFUNCTION("""COMPUTED_VALUE"""),499690.45908875)</f>
        <v>499690.45908875001</v>
      </c>
      <c r="F4069" s="22">
        <f ca="1">IFERROR(__xludf.DUMMYFUNCTION("""COMPUTED_VALUE"""),495667.77658875)</f>
        <v>495667.77658875001</v>
      </c>
      <c r="G4069" s="22">
        <f ca="1">IFERROR(__xludf.DUMMYFUNCTION("""COMPUTED_VALUE"""),0)</f>
        <v>0</v>
      </c>
      <c r="H4069" s="7">
        <f ca="1">IFERROR(__xludf.DUMMYFUNCTION("""COMPUTED_VALUE"""),499680.45908875)</f>
        <v>499680.45908875001</v>
      </c>
    </row>
    <row r="4070" spans="1:8" ht="13" x14ac:dyDescent="0.15">
      <c r="A4070" s="5" t="str">
        <f ca="1">IFERROR(__xludf.DUMMYFUNCTION("""COMPUTED_VALUE"""),"76369")</f>
        <v>76369</v>
      </c>
      <c r="B4070" s="51">
        <f ca="1">IFERROR(__xludf.DUMMYFUNCTION("""COMPUTED_VALUE"""),44615)</f>
        <v>44615</v>
      </c>
      <c r="C4070" s="22">
        <f ca="1">IFERROR(__xludf.DUMMYFUNCTION("""COMPUTED_VALUE"""),495667.77658875)</f>
        <v>495667.77658875001</v>
      </c>
      <c r="D4070" s="22">
        <f ca="1">IFERROR(__xludf.DUMMYFUNCTION("""COMPUTED_VALUE"""),3972.9998025)</f>
        <v>3972.9998025</v>
      </c>
      <c r="E4070" s="22">
        <f ca="1">IFERROR(__xludf.DUMMYFUNCTION("""COMPUTED_VALUE"""),499640.77639125)</f>
        <v>499640.77639125002</v>
      </c>
      <c r="F4070" s="22">
        <f ca="1">IFERROR(__xludf.DUMMYFUNCTION("""COMPUTED_VALUE"""),495667.77658875)</f>
        <v>495667.77658875001</v>
      </c>
      <c r="G4070" s="22">
        <f ca="1">IFERROR(__xludf.DUMMYFUNCTION("""COMPUTED_VALUE"""),0)</f>
        <v>0</v>
      </c>
      <c r="H4070" s="7">
        <f ca="1">IFERROR(__xludf.DUMMYFUNCTION("""COMPUTED_VALUE"""),499630.77639125)</f>
        <v>499630.77639125002</v>
      </c>
    </row>
    <row r="4071" spans="1:8" ht="13" x14ac:dyDescent="0.15">
      <c r="A4071" s="5" t="str">
        <f ca="1">IFERROR(__xludf.DUMMYFUNCTION("""COMPUTED_VALUE"""),"76369")</f>
        <v>76369</v>
      </c>
      <c r="B4071" s="51">
        <f ca="1">IFERROR(__xludf.DUMMYFUNCTION("""COMPUTED_VALUE"""),44616)</f>
        <v>44616</v>
      </c>
      <c r="C4071" s="22">
        <f ca="1">IFERROR(__xludf.DUMMYFUNCTION("""COMPUTED_VALUE"""),341252.32945875)</f>
        <v>341252.32945875003</v>
      </c>
      <c r="D4071" s="22">
        <f ca="1">IFERROR(__xludf.DUMMYFUNCTION("""COMPUTED_VALUE"""),158242.8476025)</f>
        <v>158242.8476025</v>
      </c>
      <c r="E4071" s="22">
        <f ca="1">IFERROR(__xludf.DUMMYFUNCTION("""COMPUTED_VALUE"""),499495.17706125)</f>
        <v>499495.17706125003</v>
      </c>
      <c r="F4071" s="22">
        <f ca="1">IFERROR(__xludf.DUMMYFUNCTION("""COMPUTED_VALUE"""),341252.32945875)</f>
        <v>341252.32945875003</v>
      </c>
      <c r="G4071" s="22">
        <f ca="1">IFERROR(__xludf.DUMMYFUNCTION("""COMPUTED_VALUE"""),0)</f>
        <v>0</v>
      </c>
      <c r="H4071" s="7">
        <f ca="1">IFERROR(__xludf.DUMMYFUNCTION("""COMPUTED_VALUE"""),499507.51204125)</f>
        <v>499507.51204125001</v>
      </c>
    </row>
    <row r="4072" spans="1:8" ht="13" x14ac:dyDescent="0.15">
      <c r="A4072" s="5" t="str">
        <f ca="1">IFERROR(__xludf.DUMMYFUNCTION("""COMPUTED_VALUE"""),"76369")</f>
        <v>76369</v>
      </c>
      <c r="B4072" s="51">
        <f ca="1">IFERROR(__xludf.DUMMYFUNCTION("""COMPUTED_VALUE"""),44617)</f>
        <v>44617</v>
      </c>
      <c r="C4072" s="22">
        <f ca="1">IFERROR(__xludf.DUMMYFUNCTION("""COMPUTED_VALUE"""),457525.58295875)</f>
        <v>457525.58295875002</v>
      </c>
      <c r="D4072" s="22">
        <f ca="1">IFERROR(__xludf.DUMMYFUNCTION("""COMPUTED_VALUE"""),37649.95177125)</f>
        <v>37649.951771250002</v>
      </c>
      <c r="E4072" s="22">
        <f ca="1">IFERROR(__xludf.DUMMYFUNCTION("""COMPUTED_VALUE"""),495175.53473)</f>
        <v>495175.53473000001</v>
      </c>
      <c r="F4072" s="22">
        <f ca="1">IFERROR(__xludf.DUMMYFUNCTION("""COMPUTED_VALUE"""),457525.58295875)</f>
        <v>457525.58295875002</v>
      </c>
      <c r="G4072" s="22">
        <f ca="1">IFERROR(__xludf.DUMMYFUNCTION("""COMPUTED_VALUE"""),0)</f>
        <v>0</v>
      </c>
      <c r="H4072" s="7">
        <f ca="1">IFERROR(__xludf.DUMMYFUNCTION("""COMPUTED_VALUE"""),495187.89108)</f>
        <v>495187.89107999997</v>
      </c>
    </row>
    <row r="4073" spans="1:8" ht="13" x14ac:dyDescent="0.15">
      <c r="A4073" s="5" t="str">
        <f ca="1">IFERROR(__xludf.DUMMYFUNCTION("""COMPUTED_VALUE"""),"76369")</f>
        <v>76369</v>
      </c>
      <c r="B4073" s="51">
        <f ca="1">IFERROR(__xludf.DUMMYFUNCTION("""COMPUTED_VALUE"""),44618)</f>
        <v>44618</v>
      </c>
      <c r="C4073" s="22">
        <f ca="1">IFERROR(__xludf.DUMMYFUNCTION("""COMPUTED_VALUE"""),457525.58295875)</f>
        <v>457525.58295875002</v>
      </c>
      <c r="D4073" s="22">
        <f ca="1">IFERROR(__xludf.DUMMYFUNCTION("""COMPUTED_VALUE"""),38049.8495737499)</f>
        <v>38049.849573749903</v>
      </c>
      <c r="E4073" s="22">
        <f ca="1">IFERROR(__xludf.DUMMYFUNCTION("""COMPUTED_VALUE"""),495575.4325325)</f>
        <v>495575.43253250001</v>
      </c>
      <c r="F4073" s="22">
        <f ca="1">IFERROR(__xludf.DUMMYFUNCTION("""COMPUTED_VALUE"""),457525.58295875)</f>
        <v>457525.58295875002</v>
      </c>
      <c r="G4073" s="22">
        <f ca="1">IFERROR(__xludf.DUMMYFUNCTION("""COMPUTED_VALUE"""),0)</f>
        <v>0</v>
      </c>
      <c r="H4073" s="7">
        <f ca="1">IFERROR(__xludf.DUMMYFUNCTION("""COMPUTED_VALUE"""),495357.8111625)</f>
        <v>495357.8111625</v>
      </c>
    </row>
    <row r="4074" spans="1:8" ht="13" x14ac:dyDescent="0.15">
      <c r="A4074" s="5" t="str">
        <f ca="1">IFERROR(__xludf.DUMMYFUNCTION("""COMPUTED_VALUE"""),"76369")</f>
        <v>76369</v>
      </c>
      <c r="B4074" s="51">
        <f ca="1">IFERROR(__xludf.DUMMYFUNCTION("""COMPUTED_VALUE"""),44619)</f>
        <v>44619</v>
      </c>
      <c r="C4074" s="22">
        <f ca="1">IFERROR(__xludf.DUMMYFUNCTION("""COMPUTED_VALUE"""),457525.58295875)</f>
        <v>457525.58295875002</v>
      </c>
      <c r="D4074" s="22">
        <f ca="1">IFERROR(__xludf.DUMMYFUNCTION("""COMPUTED_VALUE"""),37437.0877649999)</f>
        <v>37437.087764999902</v>
      </c>
      <c r="E4074" s="22">
        <f ca="1">IFERROR(__xludf.DUMMYFUNCTION("""COMPUTED_VALUE"""),494962.67072375)</f>
        <v>494962.67072375002</v>
      </c>
      <c r="F4074" s="22">
        <f ca="1">IFERROR(__xludf.DUMMYFUNCTION("""COMPUTED_VALUE"""),457525.58295875)</f>
        <v>457525.58295875002</v>
      </c>
      <c r="G4074" s="22">
        <f ca="1">IFERROR(__xludf.DUMMYFUNCTION("""COMPUTED_VALUE"""),0)</f>
        <v>0</v>
      </c>
      <c r="H4074" s="7">
        <f ca="1">IFERROR(__xludf.DUMMYFUNCTION("""COMPUTED_VALUE"""),495097.41675375)</f>
        <v>495097.41675375</v>
      </c>
    </row>
    <row r="4075" spans="1:8" ht="13" x14ac:dyDescent="0.15">
      <c r="A4075" s="5" t="str">
        <f ca="1">IFERROR(__xludf.DUMMYFUNCTION("""COMPUTED_VALUE"""),"76369")</f>
        <v>76369</v>
      </c>
      <c r="B4075" s="51">
        <f ca="1">IFERROR(__xludf.DUMMYFUNCTION("""COMPUTED_VALUE"""),44620)</f>
        <v>44620</v>
      </c>
      <c r="C4075" s="22">
        <f ca="1">IFERROR(__xludf.DUMMYFUNCTION("""COMPUTED_VALUE"""),470345.03153875)</f>
        <v>470345.03153874999</v>
      </c>
      <c r="D4075" s="22">
        <f ca="1">IFERROR(__xludf.DUMMYFUNCTION("""COMPUTED_VALUE"""),25289.935665)</f>
        <v>25289.935665000001</v>
      </c>
      <c r="E4075" s="22">
        <f ca="1">IFERROR(__xludf.DUMMYFUNCTION("""COMPUTED_VALUE"""),495634.96720375)</f>
        <v>495634.96720374998</v>
      </c>
      <c r="F4075" s="22">
        <f ca="1">IFERROR(__xludf.DUMMYFUNCTION("""COMPUTED_VALUE"""),470345.03153875)</f>
        <v>470345.03153874999</v>
      </c>
      <c r="G4075" s="22">
        <f ca="1">IFERROR(__xludf.DUMMYFUNCTION("""COMPUTED_VALUE"""),0)</f>
        <v>0</v>
      </c>
      <c r="H4075" s="7">
        <f ca="1">IFERROR(__xludf.DUMMYFUNCTION("""COMPUTED_VALUE"""),495634.96720375)</f>
        <v>495634.96720374998</v>
      </c>
    </row>
    <row r="4076" spans="1:8" ht="13" x14ac:dyDescent="0.15">
      <c r="A4076" s="5" t="str">
        <f ca="1">IFERROR(__xludf.DUMMYFUNCTION("""COMPUTED_VALUE"""),"76369")</f>
        <v>76369</v>
      </c>
      <c r="B4076" s="51">
        <f ca="1">IFERROR(__xludf.DUMMYFUNCTION("""COMPUTED_VALUE"""),44621)</f>
        <v>44621</v>
      </c>
      <c r="C4076" s="22">
        <f ca="1">IFERROR(__xludf.DUMMYFUNCTION("""COMPUTED_VALUE"""),470345.03153875)</f>
        <v>470345.03153874999</v>
      </c>
      <c r="D4076" s="22">
        <f ca="1">IFERROR(__xludf.DUMMYFUNCTION("""COMPUTED_VALUE"""),24719.5883539999)</f>
        <v>24719.588353999901</v>
      </c>
      <c r="E4076" s="22">
        <f ca="1">IFERROR(__xludf.DUMMYFUNCTION("""COMPUTED_VALUE"""),495064.61989275)</f>
        <v>495064.61989274999</v>
      </c>
      <c r="F4076" s="22">
        <f ca="1">IFERROR(__xludf.DUMMYFUNCTION("""COMPUTED_VALUE"""),470345.03153875)</f>
        <v>470345.03153874999</v>
      </c>
      <c r="G4076" s="22">
        <f ca="1">IFERROR(__xludf.DUMMYFUNCTION("""COMPUTED_VALUE"""),0)</f>
        <v>0</v>
      </c>
      <c r="H4076" s="7">
        <f ca="1">IFERROR(__xludf.DUMMYFUNCTION("""COMPUTED_VALUE"""),494987.79583275)</f>
        <v>494987.79583274998</v>
      </c>
    </row>
    <row r="4077" spans="1:8" ht="13" x14ac:dyDescent="0.15">
      <c r="A4077" s="5" t="str">
        <f ca="1">IFERROR(__xludf.DUMMYFUNCTION("""COMPUTED_VALUE"""),"76369")</f>
        <v>76369</v>
      </c>
      <c r="B4077" s="51">
        <f ca="1">IFERROR(__xludf.DUMMYFUNCTION("""COMPUTED_VALUE"""),44622)</f>
        <v>44622</v>
      </c>
      <c r="C4077" s="22">
        <f ca="1">IFERROR(__xludf.DUMMYFUNCTION("""COMPUTED_VALUE"""),470345.03153875)</f>
        <v>470345.03153874999</v>
      </c>
      <c r="D4077" s="22">
        <f ca="1">IFERROR(__xludf.DUMMYFUNCTION("""COMPUTED_VALUE"""),25552.5218775)</f>
        <v>25552.521877499999</v>
      </c>
      <c r="E4077" s="22">
        <f ca="1">IFERROR(__xludf.DUMMYFUNCTION("""COMPUTED_VALUE"""),495897.55341625)</f>
        <v>495897.55341624998</v>
      </c>
      <c r="F4077" s="22">
        <f ca="1">IFERROR(__xludf.DUMMYFUNCTION("""COMPUTED_VALUE"""),470345.03153875)</f>
        <v>470345.03153874999</v>
      </c>
      <c r="G4077" s="22">
        <f ca="1">IFERROR(__xludf.DUMMYFUNCTION("""COMPUTED_VALUE"""),0)</f>
        <v>0</v>
      </c>
      <c r="H4077" s="7">
        <f ca="1">IFERROR(__xludf.DUMMYFUNCTION("""COMPUTED_VALUE"""),495651.46723125)</f>
        <v>495651.46723125002</v>
      </c>
    </row>
    <row r="4078" spans="1:8" ht="13" x14ac:dyDescent="0.15">
      <c r="A4078" s="5" t="str">
        <f ca="1">IFERROR(__xludf.DUMMYFUNCTION("""COMPUTED_VALUE"""),"76369")</f>
        <v>76369</v>
      </c>
      <c r="B4078" s="51">
        <f ca="1">IFERROR(__xludf.DUMMYFUNCTION("""COMPUTED_VALUE"""),44623)</f>
        <v>44623</v>
      </c>
      <c r="C4078" s="22">
        <f ca="1">IFERROR(__xludf.DUMMYFUNCTION("""COMPUTED_VALUE"""),470345.03153875)</f>
        <v>470345.03153874999</v>
      </c>
      <c r="D4078" s="22">
        <f ca="1">IFERROR(__xludf.DUMMYFUNCTION("""COMPUTED_VALUE"""),26408.7729575)</f>
        <v>26408.772957500001</v>
      </c>
      <c r="E4078" s="22">
        <f ca="1">IFERROR(__xludf.DUMMYFUNCTION("""COMPUTED_VALUE"""),496753.80449625)</f>
        <v>496753.80449625</v>
      </c>
      <c r="F4078" s="22">
        <f ca="1">IFERROR(__xludf.DUMMYFUNCTION("""COMPUTED_VALUE"""),470345.03153875)</f>
        <v>470345.03153874999</v>
      </c>
      <c r="G4078" s="22">
        <f ca="1">IFERROR(__xludf.DUMMYFUNCTION("""COMPUTED_VALUE"""),0)</f>
        <v>0</v>
      </c>
      <c r="H4078" s="7">
        <f ca="1">IFERROR(__xludf.DUMMYFUNCTION("""COMPUTED_VALUE"""),495676.71180125)</f>
        <v>495676.71180125</v>
      </c>
    </row>
    <row r="4079" spans="1:8" ht="13" x14ac:dyDescent="0.15">
      <c r="A4079" s="5" t="str">
        <f ca="1">IFERROR(__xludf.DUMMYFUNCTION("""COMPUTED_VALUE"""),"76369")</f>
        <v>76369</v>
      </c>
      <c r="B4079" s="51">
        <f ca="1">IFERROR(__xludf.DUMMYFUNCTION("""COMPUTED_VALUE"""),44624)</f>
        <v>44624</v>
      </c>
      <c r="C4079" s="22">
        <f ca="1">IFERROR(__xludf.DUMMYFUNCTION("""COMPUTED_VALUE"""),470345.03153875)</f>
        <v>470345.03153874999</v>
      </c>
      <c r="D4079" s="22">
        <f ca="1">IFERROR(__xludf.DUMMYFUNCTION("""COMPUTED_VALUE"""),25264.8124829999)</f>
        <v>25264.8124829999</v>
      </c>
      <c r="E4079" s="22">
        <f ca="1">IFERROR(__xludf.DUMMYFUNCTION("""COMPUTED_VALUE"""),495609.84402175)</f>
        <v>495609.84402174997</v>
      </c>
      <c r="F4079" s="22">
        <f ca="1">IFERROR(__xludf.DUMMYFUNCTION("""COMPUTED_VALUE"""),470345.03153875)</f>
        <v>470345.03153874999</v>
      </c>
      <c r="G4079" s="22">
        <f ca="1">IFERROR(__xludf.DUMMYFUNCTION("""COMPUTED_VALUE"""),0)</f>
        <v>0</v>
      </c>
      <c r="H4079" s="7">
        <f ca="1">IFERROR(__xludf.DUMMYFUNCTION("""COMPUTED_VALUE"""),494733.11742675)</f>
        <v>494733.11742675002</v>
      </c>
    </row>
    <row r="4080" spans="1:8" ht="13" x14ac:dyDescent="0.15">
      <c r="A4080" s="5" t="str">
        <f ca="1">IFERROR(__xludf.DUMMYFUNCTION("""COMPUTED_VALUE"""),"76369")</f>
        <v>76369</v>
      </c>
      <c r="B4080" s="51">
        <f ca="1">IFERROR(__xludf.DUMMYFUNCTION("""COMPUTED_VALUE"""),44625)</f>
        <v>44625</v>
      </c>
      <c r="C4080" s="22">
        <f ca="1">IFERROR(__xludf.DUMMYFUNCTION("""COMPUTED_VALUE"""),470345.03153875)</f>
        <v>470345.03153874999</v>
      </c>
      <c r="D4080" s="22">
        <f ca="1">IFERROR(__xludf.DUMMYFUNCTION("""COMPUTED_VALUE"""),25103.178733)</f>
        <v>25103.178733000001</v>
      </c>
      <c r="E4080" s="22">
        <f ca="1">IFERROR(__xludf.DUMMYFUNCTION("""COMPUTED_VALUE"""),495448.21027175)</f>
        <v>495448.21027174999</v>
      </c>
      <c r="F4080" s="22">
        <f ca="1">IFERROR(__xludf.DUMMYFUNCTION("""COMPUTED_VALUE"""),470345.03153875)</f>
        <v>470345.03153874999</v>
      </c>
      <c r="G4080" s="22">
        <f ca="1">IFERROR(__xludf.DUMMYFUNCTION("""COMPUTED_VALUE"""),0)</f>
        <v>0</v>
      </c>
      <c r="H4080" s="7">
        <f ca="1">IFERROR(__xludf.DUMMYFUNCTION("""COMPUTED_VALUE"""),494619.44912675)</f>
        <v>494619.44912675</v>
      </c>
    </row>
    <row r="4081" spans="1:8" ht="13" x14ac:dyDescent="0.15">
      <c r="A4081" s="5" t="str">
        <f ca="1">IFERROR(__xludf.DUMMYFUNCTION("""COMPUTED_VALUE"""),"76369")</f>
        <v>76369</v>
      </c>
      <c r="B4081" s="51">
        <f ca="1">IFERROR(__xludf.DUMMYFUNCTION("""COMPUTED_VALUE"""),44626)</f>
        <v>44626</v>
      </c>
      <c r="C4081" s="22">
        <f ca="1">IFERROR(__xludf.DUMMYFUNCTION("""COMPUTED_VALUE"""),470345.03153875)</f>
        <v>470345.03153874999</v>
      </c>
      <c r="D4081" s="22">
        <f ca="1">IFERROR(__xludf.DUMMYFUNCTION("""COMPUTED_VALUE"""),24957.8754842499)</f>
        <v>24957.8754842499</v>
      </c>
      <c r="E4081" s="22">
        <f ca="1">IFERROR(__xludf.DUMMYFUNCTION("""COMPUTED_VALUE"""),495302.907023)</f>
        <v>495302.90702300001</v>
      </c>
      <c r="F4081" s="22">
        <f ca="1">IFERROR(__xludf.DUMMYFUNCTION("""COMPUTED_VALUE"""),470345.03153875)</f>
        <v>470345.03153874999</v>
      </c>
      <c r="G4081" s="22">
        <f ca="1">IFERROR(__xludf.DUMMYFUNCTION("""COMPUTED_VALUE"""),0)</f>
        <v>0</v>
      </c>
      <c r="H4081" s="7">
        <f ca="1">IFERROR(__xludf.DUMMYFUNCTION("""COMPUTED_VALUE"""),494517.378548)</f>
        <v>494517.37854800001</v>
      </c>
    </row>
    <row r="4082" spans="1:8" ht="13" x14ac:dyDescent="0.15">
      <c r="A4082" s="5" t="str">
        <f ca="1">IFERROR(__xludf.DUMMYFUNCTION("""COMPUTED_VALUE"""),"76369")</f>
        <v>76369</v>
      </c>
      <c r="B4082" s="51">
        <f ca="1">IFERROR(__xludf.DUMMYFUNCTION("""COMPUTED_VALUE"""),44627)</f>
        <v>44627</v>
      </c>
      <c r="C4082" s="22">
        <f ca="1">IFERROR(__xludf.DUMMYFUNCTION("""COMPUTED_VALUE"""),456623.87358875)</f>
        <v>456623.87358875002</v>
      </c>
      <c r="D4082" s="22">
        <f ca="1">IFERROR(__xludf.DUMMYFUNCTION("""COMPUTED_VALUE"""),37989.6774474999)</f>
        <v>37989.677447499897</v>
      </c>
      <c r="E4082" s="22">
        <f ca="1">IFERROR(__xludf.DUMMYFUNCTION("""COMPUTED_VALUE"""),494613.55103625)</f>
        <v>494613.55103625002</v>
      </c>
      <c r="F4082" s="22">
        <f ca="1">IFERROR(__xludf.DUMMYFUNCTION("""COMPUTED_VALUE"""),456623.87358875)</f>
        <v>456623.87358875002</v>
      </c>
      <c r="G4082" s="22">
        <f ca="1">IFERROR(__xludf.DUMMYFUNCTION("""COMPUTED_VALUE"""),0)</f>
        <v>0</v>
      </c>
      <c r="H4082" s="7">
        <f ca="1">IFERROR(__xludf.DUMMYFUNCTION("""COMPUTED_VALUE"""),494613.55103625)</f>
        <v>494613.55103625002</v>
      </c>
    </row>
    <row r="4083" spans="1:8" ht="13" x14ac:dyDescent="0.15">
      <c r="A4083" s="5" t="str">
        <f ca="1">IFERROR(__xludf.DUMMYFUNCTION("""COMPUTED_VALUE"""),"76369")</f>
        <v>76369</v>
      </c>
      <c r="B4083" s="51">
        <f ca="1">IFERROR(__xludf.DUMMYFUNCTION("""COMPUTED_VALUE"""),44628)</f>
        <v>44628</v>
      </c>
      <c r="C4083" s="22">
        <f ca="1">IFERROR(__xludf.DUMMYFUNCTION("""COMPUTED_VALUE"""),468977.51698475)</f>
        <v>468977.51698474999</v>
      </c>
      <c r="D4083" s="22">
        <f ca="1">IFERROR(__xludf.DUMMYFUNCTION("""COMPUTED_VALUE"""),23718.3926427499)</f>
        <v>23718.392642749899</v>
      </c>
      <c r="E4083" s="22">
        <f ca="1">IFERROR(__xludf.DUMMYFUNCTION("""COMPUTED_VALUE"""),492695.9096275)</f>
        <v>492695.90962749999</v>
      </c>
      <c r="F4083" s="22">
        <f ca="1">IFERROR(__xludf.DUMMYFUNCTION("""COMPUTED_VALUE"""),468977.51698475)</f>
        <v>468977.51698474999</v>
      </c>
      <c r="G4083" s="22">
        <f ca="1">IFERROR(__xludf.DUMMYFUNCTION("""COMPUTED_VALUE"""),0)</f>
        <v>0</v>
      </c>
      <c r="H4083" s="7">
        <f ca="1">IFERROR(__xludf.DUMMYFUNCTION("""COMPUTED_VALUE"""),493932.3879115)</f>
        <v>493932.3879115</v>
      </c>
    </row>
    <row r="4084" spans="1:8" ht="13" x14ac:dyDescent="0.15">
      <c r="A4084" s="5" t="str">
        <f ca="1">IFERROR(__xludf.DUMMYFUNCTION("""COMPUTED_VALUE"""),"76369")</f>
        <v>76369</v>
      </c>
      <c r="B4084" s="51">
        <f ca="1">IFERROR(__xludf.DUMMYFUNCTION("""COMPUTED_VALUE"""),44629)</f>
        <v>44629</v>
      </c>
      <c r="C4084" s="22">
        <f ca="1">IFERROR(__xludf.DUMMYFUNCTION("""COMPUTED_VALUE"""),468977.51698475)</f>
        <v>468977.51698474999</v>
      </c>
      <c r="D4084" s="22">
        <f ca="1">IFERROR(__xludf.DUMMYFUNCTION("""COMPUTED_VALUE"""),24294.061134)</f>
        <v>24294.061134</v>
      </c>
      <c r="E4084" s="22">
        <f ca="1">IFERROR(__xludf.DUMMYFUNCTION("""COMPUTED_VALUE"""),493271.57811875)</f>
        <v>493271.57811875001</v>
      </c>
      <c r="F4084" s="22">
        <f ca="1">IFERROR(__xludf.DUMMYFUNCTION("""COMPUTED_VALUE"""),468977.51698475)</f>
        <v>468977.51698474999</v>
      </c>
      <c r="G4084" s="22">
        <f ca="1">IFERROR(__xludf.DUMMYFUNCTION("""COMPUTED_VALUE"""),0)</f>
        <v>0</v>
      </c>
      <c r="H4084" s="7">
        <f ca="1">IFERROR(__xludf.DUMMYFUNCTION("""COMPUTED_VALUE"""),493392.81746075)</f>
        <v>493392.81746075</v>
      </c>
    </row>
    <row r="4085" spans="1:8" ht="13" x14ac:dyDescent="0.15">
      <c r="A4085" s="5" t="str">
        <f ca="1">IFERROR(__xludf.DUMMYFUNCTION("""COMPUTED_VALUE"""),"76369")</f>
        <v>76369</v>
      </c>
      <c r="B4085" s="51">
        <f ca="1">IFERROR(__xludf.DUMMYFUNCTION("""COMPUTED_VALUE"""),44630)</f>
        <v>44630</v>
      </c>
      <c r="C4085" s="22">
        <f ca="1">IFERROR(__xludf.DUMMYFUNCTION("""COMPUTED_VALUE"""),456897.51698475)</f>
        <v>456897.51698474999</v>
      </c>
      <c r="D4085" s="22">
        <f ca="1">IFERROR(__xludf.DUMMYFUNCTION("""COMPUTED_VALUE"""),36387.9471285)</f>
        <v>36387.947128500004</v>
      </c>
      <c r="E4085" s="22">
        <f ca="1">IFERROR(__xludf.DUMMYFUNCTION("""COMPUTED_VALUE"""),493285.46411325)</f>
        <v>493285.46411325003</v>
      </c>
      <c r="F4085" s="22">
        <f ca="1">IFERROR(__xludf.DUMMYFUNCTION("""COMPUTED_VALUE"""),456897.51698475)</f>
        <v>456897.51698474999</v>
      </c>
      <c r="G4085" s="22">
        <f ca="1">IFERROR(__xludf.DUMMYFUNCTION("""COMPUTED_VALUE"""),0)</f>
        <v>0</v>
      </c>
      <c r="H4085" s="7">
        <f ca="1">IFERROR(__xludf.DUMMYFUNCTION("""COMPUTED_VALUE"""),496153.76347325)</f>
        <v>496153.76347324997</v>
      </c>
    </row>
    <row r="4086" spans="1:8" ht="13" x14ac:dyDescent="0.15">
      <c r="A4086" s="5" t="str">
        <f ca="1">IFERROR(__xludf.DUMMYFUNCTION("""COMPUTED_VALUE"""),"76369")</f>
        <v>76369</v>
      </c>
      <c r="B4086" s="51">
        <f ca="1">IFERROR(__xludf.DUMMYFUNCTION("""COMPUTED_VALUE"""),44631)</f>
        <v>44631</v>
      </c>
      <c r="C4086" s="22">
        <f ca="1">IFERROR(__xludf.DUMMYFUNCTION("""COMPUTED_VALUE"""),378903.95273475)</f>
        <v>378903.95273475</v>
      </c>
      <c r="D4086" s="22">
        <f ca="1">IFERROR(__xludf.DUMMYFUNCTION("""COMPUTED_VALUE"""),112858.084379999)</f>
        <v>112858.084379999</v>
      </c>
      <c r="E4086" s="22">
        <f ca="1">IFERROR(__xludf.DUMMYFUNCTION("""COMPUTED_VALUE"""),491762.03711475)</f>
        <v>491762.03711475001</v>
      </c>
      <c r="F4086" s="22">
        <f ca="1">IFERROR(__xludf.DUMMYFUNCTION("""COMPUTED_VALUE"""),378903.95273475)</f>
        <v>378903.95273475</v>
      </c>
      <c r="G4086" s="22">
        <f ca="1">IFERROR(__xludf.DUMMYFUNCTION("""COMPUTED_VALUE"""),0)</f>
        <v>0</v>
      </c>
      <c r="H4086" s="7">
        <f ca="1">IFERROR(__xludf.DUMMYFUNCTION("""COMPUTED_VALUE"""),494484.11631475)</f>
        <v>494484.11631474999</v>
      </c>
    </row>
    <row r="4087" spans="1:8" ht="13" x14ac:dyDescent="0.15">
      <c r="A4087" s="5" t="str">
        <f ca="1">IFERROR(__xludf.DUMMYFUNCTION("""COMPUTED_VALUE"""),"76369")</f>
        <v>76369</v>
      </c>
      <c r="B4087" s="51">
        <f ca="1">IFERROR(__xludf.DUMMYFUNCTION("""COMPUTED_VALUE"""),44632)</f>
        <v>44632</v>
      </c>
      <c r="C4087" s="22">
        <f ca="1">IFERROR(__xludf.DUMMYFUNCTION("""COMPUTED_VALUE"""),378903.95273475)</f>
        <v>378903.95273475</v>
      </c>
      <c r="D4087" s="22">
        <f ca="1">IFERROR(__xludf.DUMMYFUNCTION("""COMPUTED_VALUE"""),112858.084379999)</f>
        <v>112858.084379999</v>
      </c>
      <c r="E4087" s="22">
        <f ca="1">IFERROR(__xludf.DUMMYFUNCTION("""COMPUTED_VALUE"""),491762.03711475)</f>
        <v>491762.03711475001</v>
      </c>
      <c r="F4087" s="22">
        <f ca="1">IFERROR(__xludf.DUMMYFUNCTION("""COMPUTED_VALUE"""),378903.95273475)</f>
        <v>378903.95273475</v>
      </c>
      <c r="G4087" s="22">
        <f ca="1">IFERROR(__xludf.DUMMYFUNCTION("""COMPUTED_VALUE"""),0)</f>
        <v>0</v>
      </c>
      <c r="H4087" s="7">
        <f ca="1">IFERROR(__xludf.DUMMYFUNCTION("""COMPUTED_VALUE"""),494484.11631475)</f>
        <v>494484.11631474999</v>
      </c>
    </row>
    <row r="4088" spans="1:8" ht="13" x14ac:dyDescent="0.15">
      <c r="A4088" s="5" t="str">
        <f ca="1">IFERROR(__xludf.DUMMYFUNCTION("""COMPUTED_VALUE"""),"76369")</f>
        <v>76369</v>
      </c>
      <c r="B4088" s="51">
        <f ca="1">IFERROR(__xludf.DUMMYFUNCTION("""COMPUTED_VALUE"""),44633)</f>
        <v>44633</v>
      </c>
      <c r="C4088" s="22">
        <f ca="1">IFERROR(__xludf.DUMMYFUNCTION("""COMPUTED_VALUE"""),378903.95273475)</f>
        <v>378903.95273475</v>
      </c>
      <c r="D4088" s="22">
        <f ca="1">IFERROR(__xludf.DUMMYFUNCTION("""COMPUTED_VALUE"""),112909.908623)</f>
        <v>112909.908623</v>
      </c>
      <c r="E4088" s="22">
        <f ca="1">IFERROR(__xludf.DUMMYFUNCTION("""COMPUTED_VALUE"""),491813.86135775)</f>
        <v>491813.86135775002</v>
      </c>
      <c r="F4088" s="22">
        <f ca="1">IFERROR(__xludf.DUMMYFUNCTION("""COMPUTED_VALUE"""),378903.95273475)</f>
        <v>378903.95273475</v>
      </c>
      <c r="G4088" s="22">
        <f ca="1">IFERROR(__xludf.DUMMYFUNCTION("""COMPUTED_VALUE"""),0)</f>
        <v>0</v>
      </c>
      <c r="H4088" s="7">
        <f ca="1">IFERROR(__xludf.DUMMYFUNCTION("""COMPUTED_VALUE"""),494566.66475275)</f>
        <v>494566.66475275002</v>
      </c>
    </row>
    <row r="4089" spans="1:8" ht="13" x14ac:dyDescent="0.15">
      <c r="A4089" s="5" t="str">
        <f ca="1">IFERROR(__xludf.DUMMYFUNCTION("""COMPUTED_VALUE"""),"76369")</f>
        <v>76369</v>
      </c>
      <c r="B4089" s="51">
        <f ca="1">IFERROR(__xludf.DUMMYFUNCTION("""COMPUTED_VALUE"""),44634)</f>
        <v>44634</v>
      </c>
      <c r="C4089" s="22">
        <f ca="1">IFERROR(__xludf.DUMMYFUNCTION("""COMPUTED_VALUE"""),378903.95273475)</f>
        <v>378903.95273475</v>
      </c>
      <c r="D4089" s="22">
        <f ca="1">IFERROR(__xludf.DUMMYFUNCTION("""COMPUTED_VALUE"""),110124.3298115)</f>
        <v>110124.32981150001</v>
      </c>
      <c r="E4089" s="22">
        <f ca="1">IFERROR(__xludf.DUMMYFUNCTION("""COMPUTED_VALUE"""),489028.28254625)</f>
        <v>489028.28254624997</v>
      </c>
      <c r="F4089" s="22">
        <f ca="1">IFERROR(__xludf.DUMMYFUNCTION("""COMPUTED_VALUE"""),378903.95273475)</f>
        <v>378903.95273475</v>
      </c>
      <c r="G4089" s="22">
        <f ca="1">IFERROR(__xludf.DUMMYFUNCTION("""COMPUTED_VALUE"""),0)</f>
        <v>0</v>
      </c>
      <c r="H4089" s="7">
        <f ca="1">IFERROR(__xludf.DUMMYFUNCTION("""COMPUTED_VALUE"""),489864.18058625)</f>
        <v>489864.18058624998</v>
      </c>
    </row>
    <row r="4090" spans="1:8" ht="13" x14ac:dyDescent="0.15">
      <c r="A4090" s="5" t="str">
        <f ca="1">IFERROR(__xludf.DUMMYFUNCTION("""COMPUTED_VALUE"""),"76369")</f>
        <v>76369</v>
      </c>
      <c r="B4090" s="51">
        <f ca="1">IFERROR(__xludf.DUMMYFUNCTION("""COMPUTED_VALUE"""),44635)</f>
        <v>44635</v>
      </c>
      <c r="C4090" s="22">
        <f ca="1">IFERROR(__xludf.DUMMYFUNCTION("""COMPUTED_VALUE"""),318599.80753475)</f>
        <v>318599.80753475003</v>
      </c>
      <c r="D4090" s="22">
        <f ca="1">IFERROR(__xludf.DUMMYFUNCTION("""COMPUTED_VALUE"""),165436.283111)</f>
        <v>165436.283111</v>
      </c>
      <c r="E4090" s="22">
        <f ca="1">IFERROR(__xludf.DUMMYFUNCTION("""COMPUTED_VALUE"""),484036.09064575)</f>
        <v>484036.09064575</v>
      </c>
      <c r="F4090" s="22">
        <f ca="1">IFERROR(__xludf.DUMMYFUNCTION("""COMPUTED_VALUE"""),318599.80753475)</f>
        <v>318599.80753475003</v>
      </c>
      <c r="G4090" s="22">
        <f ca="1">IFERROR(__xludf.DUMMYFUNCTION("""COMPUTED_VALUE"""),0)</f>
        <v>0</v>
      </c>
      <c r="H4090" s="7">
        <f ca="1">IFERROR(__xludf.DUMMYFUNCTION("""COMPUTED_VALUE"""),486257.89400575)</f>
        <v>486257.89400575001</v>
      </c>
    </row>
    <row r="4091" spans="1:8" ht="13" x14ac:dyDescent="0.15">
      <c r="A4091" s="5" t="str">
        <f ca="1">IFERROR(__xludf.DUMMYFUNCTION("""COMPUTED_VALUE"""),"76369")</f>
        <v>76369</v>
      </c>
      <c r="B4091" s="51">
        <f ca="1">IFERROR(__xludf.DUMMYFUNCTION("""COMPUTED_VALUE"""),44636)</f>
        <v>44636</v>
      </c>
      <c r="C4091" s="22">
        <f ca="1">IFERROR(__xludf.DUMMYFUNCTION("""COMPUTED_VALUE"""),394009.46090975)</f>
        <v>394009.46090975002</v>
      </c>
      <c r="D4091" s="22">
        <f ca="1">IFERROR(__xludf.DUMMYFUNCTION("""COMPUTED_VALUE"""),92533.566613)</f>
        <v>92533.566613000003</v>
      </c>
      <c r="E4091" s="22">
        <f ca="1">IFERROR(__xludf.DUMMYFUNCTION("""COMPUTED_VALUE"""),486543.02752275)</f>
        <v>486543.02752275002</v>
      </c>
      <c r="F4091" s="22">
        <f ca="1">IFERROR(__xludf.DUMMYFUNCTION("""COMPUTED_VALUE"""),394009.46090975)</f>
        <v>394009.46090975002</v>
      </c>
      <c r="G4091" s="22">
        <f ca="1">IFERROR(__xludf.DUMMYFUNCTION("""COMPUTED_VALUE"""),0)</f>
        <v>0</v>
      </c>
      <c r="H4091" s="7">
        <f ca="1">IFERROR(__xludf.DUMMYFUNCTION("""COMPUTED_VALUE"""),488855.85667775)</f>
        <v>488855.85667775001</v>
      </c>
    </row>
    <row r="4092" spans="1:8" ht="13" x14ac:dyDescent="0.15">
      <c r="A4092" s="5" t="str">
        <f ca="1">IFERROR(__xludf.DUMMYFUNCTION("""COMPUTED_VALUE"""),"76369")</f>
        <v>76369</v>
      </c>
      <c r="B4092" s="51">
        <f ca="1">IFERROR(__xludf.DUMMYFUNCTION("""COMPUTED_VALUE"""),44637)</f>
        <v>44637</v>
      </c>
      <c r="C4092" s="22">
        <f ca="1">IFERROR(__xludf.DUMMYFUNCTION("""COMPUTED_VALUE"""),318314.02558475)</f>
        <v>318314.02558474999</v>
      </c>
      <c r="D4092" s="22">
        <f ca="1">IFERROR(__xludf.DUMMYFUNCTION("""COMPUTED_VALUE"""),174600.0773325)</f>
        <v>174600.07733249999</v>
      </c>
      <c r="E4092" s="22">
        <f ca="1">IFERROR(__xludf.DUMMYFUNCTION("""COMPUTED_VALUE"""),492914.10291725)</f>
        <v>492914.10291725001</v>
      </c>
      <c r="F4092" s="22">
        <f ca="1">IFERROR(__xludf.DUMMYFUNCTION("""COMPUTED_VALUE"""),318314.02558475)</f>
        <v>318314.02558474999</v>
      </c>
      <c r="G4092" s="22">
        <f ca="1">IFERROR(__xludf.DUMMYFUNCTION("""COMPUTED_VALUE"""),0)</f>
        <v>0</v>
      </c>
      <c r="H4092" s="7">
        <f ca="1">IFERROR(__xludf.DUMMYFUNCTION("""COMPUTED_VALUE"""),495378.01276725)</f>
        <v>495378.01276725001</v>
      </c>
    </row>
    <row r="4093" spans="1:8" ht="13" x14ac:dyDescent="0.15">
      <c r="A4093" s="5" t="str">
        <f ca="1">IFERROR(__xludf.DUMMYFUNCTION("""COMPUTED_VALUE"""),"76369")</f>
        <v>76369</v>
      </c>
      <c r="B4093" s="51">
        <f ca="1">IFERROR(__xludf.DUMMYFUNCTION("""COMPUTED_VALUE"""),44638)</f>
        <v>44638</v>
      </c>
      <c r="C4093" s="22">
        <f ca="1">IFERROR(__xludf.DUMMYFUNCTION("""COMPUTED_VALUE"""),288234.06036975)</f>
        <v>288234.06036975002</v>
      </c>
      <c r="D4093" s="22">
        <f ca="1">IFERROR(__xludf.DUMMYFUNCTION("""COMPUTED_VALUE"""),204917.369521)</f>
        <v>204917.36952099999</v>
      </c>
      <c r="E4093" s="22">
        <f ca="1">IFERROR(__xludf.DUMMYFUNCTION("""COMPUTED_VALUE"""),493151.42989075)</f>
        <v>493151.42989074998</v>
      </c>
      <c r="F4093" s="22">
        <f ca="1">IFERROR(__xludf.DUMMYFUNCTION("""COMPUTED_VALUE"""),288234.06036975)</f>
        <v>288234.06036975002</v>
      </c>
      <c r="G4093" s="22">
        <f ca="1">IFERROR(__xludf.DUMMYFUNCTION("""COMPUTED_VALUE"""),0)</f>
        <v>0</v>
      </c>
      <c r="H4093" s="7">
        <f ca="1">IFERROR(__xludf.DUMMYFUNCTION("""COMPUTED_VALUE"""),495702.78820075)</f>
        <v>495702.78820075002</v>
      </c>
    </row>
    <row r="4094" spans="1:8" ht="13" x14ac:dyDescent="0.15">
      <c r="A4094" s="5" t="str">
        <f ca="1">IFERROR(__xludf.DUMMYFUNCTION("""COMPUTED_VALUE"""),"76369")</f>
        <v>76369</v>
      </c>
      <c r="B4094" s="51">
        <f ca="1">IFERROR(__xludf.DUMMYFUNCTION("""COMPUTED_VALUE"""),44639)</f>
        <v>44639</v>
      </c>
      <c r="C4094" s="22">
        <f ca="1">IFERROR(__xludf.DUMMYFUNCTION("""COMPUTED_VALUE"""),288234.06036975)</f>
        <v>288234.06036975002</v>
      </c>
      <c r="D4094" s="22">
        <f ca="1">IFERROR(__xludf.DUMMYFUNCTION("""COMPUTED_VALUE"""),204917.369521)</f>
        <v>204917.36952099999</v>
      </c>
      <c r="E4094" s="22">
        <f ca="1">IFERROR(__xludf.DUMMYFUNCTION("""COMPUTED_VALUE"""),493151.42989075)</f>
        <v>493151.42989074998</v>
      </c>
      <c r="F4094" s="22">
        <f ca="1">IFERROR(__xludf.DUMMYFUNCTION("""COMPUTED_VALUE"""),288234.06036975)</f>
        <v>288234.06036975002</v>
      </c>
      <c r="G4094" s="22">
        <f ca="1">IFERROR(__xludf.DUMMYFUNCTION("""COMPUTED_VALUE"""),0)</f>
        <v>0</v>
      </c>
      <c r="H4094" s="7">
        <f ca="1">IFERROR(__xludf.DUMMYFUNCTION("""COMPUTED_VALUE"""),495702.78820075)</f>
        <v>495702.78820075002</v>
      </c>
    </row>
    <row r="4095" spans="1:8" ht="13" x14ac:dyDescent="0.15">
      <c r="A4095" s="5" t="str">
        <f ca="1">IFERROR(__xludf.DUMMYFUNCTION("""COMPUTED_VALUE"""),"76369")</f>
        <v>76369</v>
      </c>
      <c r="B4095" s="51">
        <f ca="1">IFERROR(__xludf.DUMMYFUNCTION("""COMPUTED_VALUE"""),44640)</f>
        <v>44640</v>
      </c>
      <c r="C4095" s="22">
        <f ca="1">IFERROR(__xludf.DUMMYFUNCTION("""COMPUTED_VALUE"""),288234.06036975)</f>
        <v>288234.06036975002</v>
      </c>
      <c r="D4095" s="22">
        <f ca="1">IFERROR(__xludf.DUMMYFUNCTION("""COMPUTED_VALUE"""),204656.435332)</f>
        <v>204656.43533199999</v>
      </c>
      <c r="E4095" s="22">
        <f ca="1">IFERROR(__xludf.DUMMYFUNCTION("""COMPUTED_VALUE"""),492890.49570175)</f>
        <v>492890.49570174998</v>
      </c>
      <c r="F4095" s="22">
        <f ca="1">IFERROR(__xludf.DUMMYFUNCTION("""COMPUTED_VALUE"""),288234.06036975)</f>
        <v>288234.06036975002</v>
      </c>
      <c r="G4095" s="22">
        <f ca="1">IFERROR(__xludf.DUMMYFUNCTION("""COMPUTED_VALUE"""),0)</f>
        <v>0</v>
      </c>
      <c r="H4095" s="7">
        <f ca="1">IFERROR(__xludf.DUMMYFUNCTION("""COMPUTED_VALUE"""),495385.38753175)</f>
        <v>495385.38753175002</v>
      </c>
    </row>
    <row r="4096" spans="1:8" ht="13" x14ac:dyDescent="0.15">
      <c r="A4096" s="5" t="str">
        <f ca="1">IFERROR(__xludf.DUMMYFUNCTION("""COMPUTED_VALUE"""),"76369")</f>
        <v>76369</v>
      </c>
      <c r="B4096" s="51">
        <f ca="1">IFERROR(__xludf.DUMMYFUNCTION("""COMPUTED_VALUE"""),44641)</f>
        <v>44641</v>
      </c>
      <c r="C4096" s="22">
        <f ca="1">IFERROR(__xludf.DUMMYFUNCTION("""COMPUTED_VALUE"""),363843.55826975)</f>
        <v>363843.55826974998</v>
      </c>
      <c r="D4096" s="22">
        <f ca="1">IFERROR(__xludf.DUMMYFUNCTION("""COMPUTED_VALUE"""),132239.4645975)</f>
        <v>132239.46459749999</v>
      </c>
      <c r="E4096" s="22">
        <f ca="1">IFERROR(__xludf.DUMMYFUNCTION("""COMPUTED_VALUE"""),496083.02286725)</f>
        <v>496083.02286725002</v>
      </c>
      <c r="F4096" s="22">
        <f ca="1">IFERROR(__xludf.DUMMYFUNCTION("""COMPUTED_VALUE"""),363843.55826975)</f>
        <v>363843.55826974998</v>
      </c>
      <c r="G4096" s="22">
        <f ca="1">IFERROR(__xludf.DUMMYFUNCTION("""COMPUTED_VALUE"""),0)</f>
        <v>0</v>
      </c>
      <c r="H4096" s="7">
        <f ca="1">IFERROR(__xludf.DUMMYFUNCTION("""COMPUTED_VALUE"""),498929.02041725)</f>
        <v>498929.02041724999</v>
      </c>
    </row>
    <row r="4097" spans="1:8" ht="13" x14ac:dyDescent="0.15">
      <c r="A4097" s="5" t="str">
        <f ca="1">IFERROR(__xludf.DUMMYFUNCTION("""COMPUTED_VALUE"""),"76369")</f>
        <v>76369</v>
      </c>
      <c r="B4097" s="51">
        <f ca="1">IFERROR(__xludf.DUMMYFUNCTION("""COMPUTED_VALUE"""),44642)</f>
        <v>44642</v>
      </c>
      <c r="C4097" s="22">
        <f ca="1">IFERROR(__xludf.DUMMYFUNCTION("""COMPUTED_VALUE"""),363843.55826975)</f>
        <v>363843.55826974998</v>
      </c>
      <c r="D4097" s="22">
        <f ca="1">IFERROR(__xludf.DUMMYFUNCTION("""COMPUTED_VALUE"""),126125.244927999)</f>
        <v>126125.244927999</v>
      </c>
      <c r="E4097" s="22">
        <f ca="1">IFERROR(__xludf.DUMMYFUNCTION("""COMPUTED_VALUE"""),489968.80319775)</f>
        <v>489968.80319775001</v>
      </c>
      <c r="F4097" s="22">
        <f ca="1">IFERROR(__xludf.DUMMYFUNCTION("""COMPUTED_VALUE"""),363843.55826975)</f>
        <v>363843.55826974998</v>
      </c>
      <c r="G4097" s="22">
        <f ca="1">IFERROR(__xludf.DUMMYFUNCTION("""COMPUTED_VALUE"""),0)</f>
        <v>0</v>
      </c>
      <c r="H4097" s="7">
        <f ca="1">IFERROR(__xludf.DUMMYFUNCTION("""COMPUTED_VALUE"""),493225.35255275)</f>
        <v>493225.35255274997</v>
      </c>
    </row>
    <row r="4098" spans="1:8" ht="13" x14ac:dyDescent="0.15">
      <c r="A4098" s="5" t="str">
        <f ca="1">IFERROR(__xludf.DUMMYFUNCTION("""COMPUTED_VALUE"""),"76796")</f>
        <v>76796</v>
      </c>
      <c r="B4098" s="51">
        <f ca="1">IFERROR(__xludf.DUMMYFUNCTION("""COMPUTED_VALUE"""),44597)</f>
        <v>44597</v>
      </c>
      <c r="C4098" s="22">
        <f ca="1">IFERROR(__xludf.DUMMYFUNCTION("""COMPUTED_VALUE"""),500000)</f>
        <v>500000</v>
      </c>
      <c r="D4098" s="22">
        <f ca="1">IFERROR(__xludf.DUMMYFUNCTION("""COMPUTED_VALUE"""),0)</f>
        <v>0</v>
      </c>
      <c r="E4098" s="22">
        <f ca="1">IFERROR(__xludf.DUMMYFUNCTION("""COMPUTED_VALUE"""),500000)</f>
        <v>500000</v>
      </c>
      <c r="F4098" s="22">
        <f ca="1">IFERROR(__xludf.DUMMYFUNCTION("""COMPUTED_VALUE"""),500000)</f>
        <v>500000</v>
      </c>
      <c r="G4098" s="22">
        <f ca="1">IFERROR(__xludf.DUMMYFUNCTION("""COMPUTED_VALUE"""),0)</f>
        <v>0</v>
      </c>
      <c r="H4098" s="7">
        <f ca="1">IFERROR(__xludf.DUMMYFUNCTION("""COMPUTED_VALUE"""),500000)</f>
        <v>500000</v>
      </c>
    </row>
    <row r="4099" spans="1:8" ht="13" x14ac:dyDescent="0.15">
      <c r="A4099" s="5" t="str">
        <f ca="1">IFERROR(__xludf.DUMMYFUNCTION("""COMPUTED_VALUE"""),"76796")</f>
        <v>76796</v>
      </c>
      <c r="B4099" s="51">
        <f ca="1">IFERROR(__xludf.DUMMYFUNCTION("""COMPUTED_VALUE"""),44598)</f>
        <v>44598</v>
      </c>
      <c r="C4099" s="22">
        <f ca="1">IFERROR(__xludf.DUMMYFUNCTION("""COMPUTED_VALUE"""),500000)</f>
        <v>500000</v>
      </c>
      <c r="D4099" s="22">
        <f ca="1">IFERROR(__xludf.DUMMYFUNCTION("""COMPUTED_VALUE"""),0)</f>
        <v>0</v>
      </c>
      <c r="E4099" s="22">
        <f ca="1">IFERROR(__xludf.DUMMYFUNCTION("""COMPUTED_VALUE"""),500000)</f>
        <v>500000</v>
      </c>
      <c r="F4099" s="22">
        <f ca="1">IFERROR(__xludf.DUMMYFUNCTION("""COMPUTED_VALUE"""),500000)</f>
        <v>500000</v>
      </c>
      <c r="G4099" s="22">
        <f ca="1">IFERROR(__xludf.DUMMYFUNCTION("""COMPUTED_VALUE"""),0)</f>
        <v>0</v>
      </c>
      <c r="H4099" s="7">
        <f ca="1">IFERROR(__xludf.DUMMYFUNCTION("""COMPUTED_VALUE"""),500000)</f>
        <v>500000</v>
      </c>
    </row>
    <row r="4100" spans="1:8" ht="13" x14ac:dyDescent="0.15">
      <c r="A4100" s="5" t="str">
        <f ca="1">IFERROR(__xludf.DUMMYFUNCTION("""COMPUTED_VALUE"""),"76796")</f>
        <v>76796</v>
      </c>
      <c r="B4100" s="51">
        <f ca="1">IFERROR(__xludf.DUMMYFUNCTION("""COMPUTED_VALUE"""),44599)</f>
        <v>44599</v>
      </c>
      <c r="C4100" s="22">
        <f ca="1">IFERROR(__xludf.DUMMYFUNCTION("""COMPUTED_VALUE"""),500000)</f>
        <v>500000</v>
      </c>
      <c r="D4100" s="22">
        <f ca="1">IFERROR(__xludf.DUMMYFUNCTION("""COMPUTED_VALUE"""),0)</f>
        <v>0</v>
      </c>
      <c r="E4100" s="22">
        <f ca="1">IFERROR(__xludf.DUMMYFUNCTION("""COMPUTED_VALUE"""),500000)</f>
        <v>500000</v>
      </c>
      <c r="F4100" s="22">
        <f ca="1">IFERROR(__xludf.DUMMYFUNCTION("""COMPUTED_VALUE"""),500000)</f>
        <v>500000</v>
      </c>
      <c r="G4100" s="22">
        <f ca="1">IFERROR(__xludf.DUMMYFUNCTION("""COMPUTED_VALUE"""),0)</f>
        <v>0</v>
      </c>
      <c r="H4100" s="7">
        <f ca="1">IFERROR(__xludf.DUMMYFUNCTION("""COMPUTED_VALUE"""),500000)</f>
        <v>500000</v>
      </c>
    </row>
    <row r="4101" spans="1:8" ht="13" x14ac:dyDescent="0.15">
      <c r="A4101" s="5" t="str">
        <f ca="1">IFERROR(__xludf.DUMMYFUNCTION("""COMPUTED_VALUE"""),"76796")</f>
        <v>76796</v>
      </c>
      <c r="B4101" s="51">
        <f ca="1">IFERROR(__xludf.DUMMYFUNCTION("""COMPUTED_VALUE"""),44600)</f>
        <v>44600</v>
      </c>
      <c r="C4101" s="22">
        <f ca="1">IFERROR(__xludf.DUMMYFUNCTION("""COMPUTED_VALUE"""),500000)</f>
        <v>500000</v>
      </c>
      <c r="D4101" s="22">
        <f ca="1">IFERROR(__xludf.DUMMYFUNCTION("""COMPUTED_VALUE"""),0)</f>
        <v>0</v>
      </c>
      <c r="E4101" s="22">
        <f ca="1">IFERROR(__xludf.DUMMYFUNCTION("""COMPUTED_VALUE"""),500000)</f>
        <v>500000</v>
      </c>
      <c r="F4101" s="22">
        <f ca="1">IFERROR(__xludf.DUMMYFUNCTION("""COMPUTED_VALUE"""),500000)</f>
        <v>500000</v>
      </c>
      <c r="G4101" s="22">
        <f ca="1">IFERROR(__xludf.DUMMYFUNCTION("""COMPUTED_VALUE"""),0)</f>
        <v>0</v>
      </c>
      <c r="H4101" s="7">
        <f ca="1">IFERROR(__xludf.DUMMYFUNCTION("""COMPUTED_VALUE"""),500000)</f>
        <v>500000</v>
      </c>
    </row>
    <row r="4102" spans="1:8" ht="13" x14ac:dyDescent="0.15">
      <c r="A4102" s="5" t="str">
        <f ca="1">IFERROR(__xludf.DUMMYFUNCTION("""COMPUTED_VALUE"""),"76796")</f>
        <v>76796</v>
      </c>
      <c r="B4102" s="51">
        <f ca="1">IFERROR(__xludf.DUMMYFUNCTION("""COMPUTED_VALUE"""),44601)</f>
        <v>44601</v>
      </c>
      <c r="C4102" s="22">
        <f ca="1">IFERROR(__xludf.DUMMYFUNCTION("""COMPUTED_VALUE"""),257525.396649999)</f>
        <v>257525.39664999899</v>
      </c>
      <c r="D4102" s="22">
        <f ca="1">IFERROR(__xludf.DUMMYFUNCTION("""COMPUTED_VALUE"""),242474.60335)</f>
        <v>242474.60334999999</v>
      </c>
      <c r="E4102" s="22">
        <f ca="1">IFERROR(__xludf.DUMMYFUNCTION("""COMPUTED_VALUE"""),500000)</f>
        <v>500000</v>
      </c>
      <c r="F4102" s="22">
        <f ca="1">IFERROR(__xludf.DUMMYFUNCTION("""COMPUTED_VALUE"""),257525.39665)</f>
        <v>257525.39665000001</v>
      </c>
      <c r="G4102" s="22">
        <f ca="1">IFERROR(__xludf.DUMMYFUNCTION("""COMPUTED_VALUE"""),0)</f>
        <v>0</v>
      </c>
      <c r="H4102" s="7">
        <f ca="1">IFERROR(__xludf.DUMMYFUNCTION("""COMPUTED_VALUE"""),500000)</f>
        <v>500000</v>
      </c>
    </row>
    <row r="4103" spans="1:8" ht="13" x14ac:dyDescent="0.15">
      <c r="A4103" s="5" t="str">
        <f ca="1">IFERROR(__xludf.DUMMYFUNCTION("""COMPUTED_VALUE"""),"76796")</f>
        <v>76796</v>
      </c>
      <c r="B4103" s="51">
        <f ca="1">IFERROR(__xludf.DUMMYFUNCTION("""COMPUTED_VALUE"""),44602)</f>
        <v>44602</v>
      </c>
      <c r="C4103" s="22">
        <f ca="1">IFERROR(__xludf.DUMMYFUNCTION("""COMPUTED_VALUE"""),257525.396649999)</f>
        <v>257525.39664999899</v>
      </c>
      <c r="D4103" s="22">
        <f ca="1">IFERROR(__xludf.DUMMYFUNCTION("""COMPUTED_VALUE"""),242474.60335)</f>
        <v>242474.60334999999</v>
      </c>
      <c r="E4103" s="22">
        <f ca="1">IFERROR(__xludf.DUMMYFUNCTION("""COMPUTED_VALUE"""),500000)</f>
        <v>500000</v>
      </c>
      <c r="F4103" s="22">
        <f ca="1">IFERROR(__xludf.DUMMYFUNCTION("""COMPUTED_VALUE"""),257525.39665)</f>
        <v>257525.39665000001</v>
      </c>
      <c r="G4103" s="22">
        <f ca="1">IFERROR(__xludf.DUMMYFUNCTION("""COMPUTED_VALUE"""),0)</f>
        <v>0</v>
      </c>
      <c r="H4103" s="7">
        <f ca="1">IFERROR(__xludf.DUMMYFUNCTION("""COMPUTED_VALUE"""),493284.2791)</f>
        <v>493284.27909999999</v>
      </c>
    </row>
    <row r="4104" spans="1:8" ht="13" x14ac:dyDescent="0.15">
      <c r="A4104" s="5" t="str">
        <f ca="1">IFERROR(__xludf.DUMMYFUNCTION("""COMPUTED_VALUE"""),"76796")</f>
        <v>76796</v>
      </c>
      <c r="B4104" s="51">
        <f ca="1">IFERROR(__xludf.DUMMYFUNCTION("""COMPUTED_VALUE"""),44603)</f>
        <v>44603</v>
      </c>
      <c r="C4104" s="22">
        <f ca="1">IFERROR(__xludf.DUMMYFUNCTION("""COMPUTED_VALUE"""),257525.396649999)</f>
        <v>257525.39664999899</v>
      </c>
      <c r="D4104" s="22">
        <f ca="1">IFERROR(__xludf.DUMMYFUNCTION("""COMPUTED_VALUE"""),242474.60335)</f>
        <v>242474.60334999999</v>
      </c>
      <c r="E4104" s="22">
        <f ca="1">IFERROR(__xludf.DUMMYFUNCTION("""COMPUTED_VALUE"""),500000)</f>
        <v>500000</v>
      </c>
      <c r="F4104" s="22">
        <f ca="1">IFERROR(__xludf.DUMMYFUNCTION("""COMPUTED_VALUE"""),257525.39665)</f>
        <v>257525.39665000001</v>
      </c>
      <c r="G4104" s="22">
        <f ca="1">IFERROR(__xludf.DUMMYFUNCTION("""COMPUTED_VALUE"""),0)</f>
        <v>0</v>
      </c>
      <c r="H4104" s="7">
        <f ca="1">IFERROR(__xludf.DUMMYFUNCTION("""COMPUTED_VALUE"""),487670.90609)</f>
        <v>487670.90609</v>
      </c>
    </row>
    <row r="4105" spans="1:8" ht="13" x14ac:dyDescent="0.15">
      <c r="A4105" s="5" t="str">
        <f ca="1">IFERROR(__xludf.DUMMYFUNCTION("""COMPUTED_VALUE"""),"76796")</f>
        <v>76796</v>
      </c>
      <c r="B4105" s="51">
        <f ca="1">IFERROR(__xludf.DUMMYFUNCTION("""COMPUTED_VALUE"""),44604)</f>
        <v>44604</v>
      </c>
      <c r="C4105" s="22">
        <f ca="1">IFERROR(__xludf.DUMMYFUNCTION("""COMPUTED_VALUE"""),257525.396649999)</f>
        <v>257525.39664999899</v>
      </c>
      <c r="D4105" s="22">
        <f ca="1">IFERROR(__xludf.DUMMYFUNCTION("""COMPUTED_VALUE"""),242474.60335)</f>
        <v>242474.60334999999</v>
      </c>
      <c r="E4105" s="22">
        <f ca="1">IFERROR(__xludf.DUMMYFUNCTION("""COMPUTED_VALUE"""),500000)</f>
        <v>500000</v>
      </c>
      <c r="F4105" s="22">
        <f ca="1">IFERROR(__xludf.DUMMYFUNCTION("""COMPUTED_VALUE"""),257525.39665)</f>
        <v>257525.39665000001</v>
      </c>
      <c r="G4105" s="22">
        <f ca="1">IFERROR(__xludf.DUMMYFUNCTION("""COMPUTED_VALUE"""),0)</f>
        <v>0</v>
      </c>
      <c r="H4105" s="7">
        <f ca="1">IFERROR(__xludf.DUMMYFUNCTION("""COMPUTED_VALUE"""),487670.90609)</f>
        <v>487670.90609</v>
      </c>
    </row>
    <row r="4106" spans="1:8" ht="13" x14ac:dyDescent="0.15">
      <c r="A4106" s="5" t="str">
        <f ca="1">IFERROR(__xludf.DUMMYFUNCTION("""COMPUTED_VALUE"""),"76796")</f>
        <v>76796</v>
      </c>
      <c r="B4106" s="51">
        <f ca="1">IFERROR(__xludf.DUMMYFUNCTION("""COMPUTED_VALUE"""),44605)</f>
        <v>44605</v>
      </c>
      <c r="C4106" s="22">
        <f ca="1">IFERROR(__xludf.DUMMYFUNCTION("""COMPUTED_VALUE"""),257525.396649999)</f>
        <v>257525.39664999899</v>
      </c>
      <c r="D4106" s="22">
        <f ca="1">IFERROR(__xludf.DUMMYFUNCTION("""COMPUTED_VALUE"""),242474.60335)</f>
        <v>242474.60334999999</v>
      </c>
      <c r="E4106" s="22">
        <f ca="1">IFERROR(__xludf.DUMMYFUNCTION("""COMPUTED_VALUE"""),500000)</f>
        <v>500000</v>
      </c>
      <c r="F4106" s="22">
        <f ca="1">IFERROR(__xludf.DUMMYFUNCTION("""COMPUTED_VALUE"""),257525.39665)</f>
        <v>257525.39665000001</v>
      </c>
      <c r="G4106" s="22">
        <f ca="1">IFERROR(__xludf.DUMMYFUNCTION("""COMPUTED_VALUE"""),0)</f>
        <v>0</v>
      </c>
      <c r="H4106" s="7">
        <f ca="1">IFERROR(__xludf.DUMMYFUNCTION("""COMPUTED_VALUE"""),487683.592809999)</f>
        <v>487683.59280999901</v>
      </c>
    </row>
    <row r="4107" spans="1:8" ht="13" x14ac:dyDescent="0.15">
      <c r="A4107" s="5" t="str">
        <f ca="1">IFERROR(__xludf.DUMMYFUNCTION("""COMPUTED_VALUE"""),"76796")</f>
        <v>76796</v>
      </c>
      <c r="B4107" s="51">
        <f ca="1">IFERROR(__xludf.DUMMYFUNCTION("""COMPUTED_VALUE"""),44606)</f>
        <v>44606</v>
      </c>
      <c r="C4107" s="22">
        <f ca="1">IFERROR(__xludf.DUMMYFUNCTION("""COMPUTED_VALUE"""),257525.396649999)</f>
        <v>257525.39664999899</v>
      </c>
      <c r="D4107" s="22">
        <f ca="1">IFERROR(__xludf.DUMMYFUNCTION("""COMPUTED_VALUE"""),242474.60335)</f>
        <v>242474.60334999999</v>
      </c>
      <c r="E4107" s="22">
        <f ca="1">IFERROR(__xludf.DUMMYFUNCTION("""COMPUTED_VALUE"""),500000)</f>
        <v>500000</v>
      </c>
      <c r="F4107" s="22">
        <f ca="1">IFERROR(__xludf.DUMMYFUNCTION("""COMPUTED_VALUE"""),257525.39665)</f>
        <v>257525.39665000001</v>
      </c>
      <c r="G4107" s="22">
        <f ca="1">IFERROR(__xludf.DUMMYFUNCTION("""COMPUTED_VALUE"""),0)</f>
        <v>0</v>
      </c>
      <c r="H4107" s="7">
        <f ca="1">IFERROR(__xludf.DUMMYFUNCTION("""COMPUTED_VALUE"""),487712.274149999)</f>
        <v>487712.27414999902</v>
      </c>
    </row>
    <row r="4108" spans="1:8" ht="13" x14ac:dyDescent="0.15">
      <c r="A4108" s="5" t="str">
        <f ca="1">IFERROR(__xludf.DUMMYFUNCTION("""COMPUTED_VALUE"""),"76796")</f>
        <v>76796</v>
      </c>
      <c r="B4108" s="51">
        <f ca="1">IFERROR(__xludf.DUMMYFUNCTION("""COMPUTED_VALUE"""),44607)</f>
        <v>44607</v>
      </c>
      <c r="C4108" s="22">
        <f ca="1">IFERROR(__xludf.DUMMYFUNCTION("""COMPUTED_VALUE"""),257525.396649999)</f>
        <v>257525.39664999899</v>
      </c>
      <c r="D4108" s="22">
        <f ca="1">IFERROR(__xludf.DUMMYFUNCTION("""COMPUTED_VALUE"""),234407.313685)</f>
        <v>234407.313685</v>
      </c>
      <c r="E4108" s="22">
        <f ca="1">IFERROR(__xludf.DUMMYFUNCTION("""COMPUTED_VALUE"""),491932.710334999)</f>
        <v>491932.71033499902</v>
      </c>
      <c r="F4108" s="22">
        <f ca="1">IFERROR(__xludf.DUMMYFUNCTION("""COMPUTED_VALUE"""),257525.39665)</f>
        <v>257525.39665000001</v>
      </c>
      <c r="G4108" s="22">
        <f ca="1">IFERROR(__xludf.DUMMYFUNCTION("""COMPUTED_VALUE"""),0)</f>
        <v>0</v>
      </c>
      <c r="H4108" s="7">
        <f ca="1">IFERROR(__xludf.DUMMYFUNCTION("""COMPUTED_VALUE"""),491932.710334999)</f>
        <v>491932.71033499902</v>
      </c>
    </row>
    <row r="4109" spans="1:8" ht="13" x14ac:dyDescent="0.15">
      <c r="A4109" s="5" t="str">
        <f ca="1">IFERROR(__xludf.DUMMYFUNCTION("""COMPUTED_VALUE"""),"76796")</f>
        <v>76796</v>
      </c>
      <c r="B4109" s="51">
        <f ca="1">IFERROR(__xludf.DUMMYFUNCTION("""COMPUTED_VALUE"""),44608)</f>
        <v>44608</v>
      </c>
      <c r="C4109" s="22">
        <f ca="1">IFERROR(__xludf.DUMMYFUNCTION("""COMPUTED_VALUE"""),257525.396649999)</f>
        <v>257525.39664999899</v>
      </c>
      <c r="D4109" s="22">
        <f ca="1">IFERROR(__xludf.DUMMYFUNCTION("""COMPUTED_VALUE"""),233624.975)</f>
        <v>233624.97500000001</v>
      </c>
      <c r="E4109" s="22">
        <f ca="1">IFERROR(__xludf.DUMMYFUNCTION("""COMPUTED_VALUE"""),491150.37165)</f>
        <v>491150.37164999999</v>
      </c>
      <c r="F4109" s="22">
        <f ca="1">IFERROR(__xludf.DUMMYFUNCTION("""COMPUTED_VALUE"""),257525.39665)</f>
        <v>257525.39665000001</v>
      </c>
      <c r="G4109" s="22">
        <f ca="1">IFERROR(__xludf.DUMMYFUNCTION("""COMPUTED_VALUE"""),0)</f>
        <v>0</v>
      </c>
      <c r="H4109" s="7">
        <f ca="1">IFERROR(__xludf.DUMMYFUNCTION("""COMPUTED_VALUE"""),491150.37165)</f>
        <v>491150.37164999999</v>
      </c>
    </row>
    <row r="4110" spans="1:8" ht="13" x14ac:dyDescent="0.15">
      <c r="A4110" s="5" t="str">
        <f ca="1">IFERROR(__xludf.DUMMYFUNCTION("""COMPUTED_VALUE"""),"76796")</f>
        <v>76796</v>
      </c>
      <c r="B4110" s="51">
        <f ca="1">IFERROR(__xludf.DUMMYFUNCTION("""COMPUTED_VALUE"""),44609)</f>
        <v>44609</v>
      </c>
      <c r="C4110" s="22">
        <f ca="1">IFERROR(__xludf.DUMMYFUNCTION("""COMPUTED_VALUE"""),257525.396649999)</f>
        <v>257525.39664999899</v>
      </c>
      <c r="D4110" s="22">
        <f ca="1">IFERROR(__xludf.DUMMYFUNCTION("""COMPUTED_VALUE"""),226743.670395)</f>
        <v>226743.67039499999</v>
      </c>
      <c r="E4110" s="22">
        <f ca="1">IFERROR(__xludf.DUMMYFUNCTION("""COMPUTED_VALUE"""),484269.067045)</f>
        <v>484269.06704499997</v>
      </c>
      <c r="F4110" s="22">
        <f ca="1">IFERROR(__xludf.DUMMYFUNCTION("""COMPUTED_VALUE"""),257525.39665)</f>
        <v>257525.39665000001</v>
      </c>
      <c r="G4110" s="22">
        <f ca="1">IFERROR(__xludf.DUMMYFUNCTION("""COMPUTED_VALUE"""),0)</f>
        <v>0</v>
      </c>
      <c r="H4110" s="7">
        <f ca="1">IFERROR(__xludf.DUMMYFUNCTION("""COMPUTED_VALUE"""),484269.067045)</f>
        <v>484269.06704499997</v>
      </c>
    </row>
    <row r="4111" spans="1:8" ht="13" x14ac:dyDescent="0.15">
      <c r="A4111" s="5" t="str">
        <f ca="1">IFERROR(__xludf.DUMMYFUNCTION("""COMPUTED_VALUE"""),"76796")</f>
        <v>76796</v>
      </c>
      <c r="B4111" s="51">
        <f ca="1">IFERROR(__xludf.DUMMYFUNCTION("""COMPUTED_VALUE"""),44610)</f>
        <v>44610</v>
      </c>
      <c r="C4111" s="22">
        <f ca="1">IFERROR(__xludf.DUMMYFUNCTION("""COMPUTED_VALUE"""),257525.396649999)</f>
        <v>257525.39664999899</v>
      </c>
      <c r="D4111" s="22">
        <f ca="1">IFERROR(__xludf.DUMMYFUNCTION("""COMPUTED_VALUE"""),224600.08443)</f>
        <v>224600.08442999999</v>
      </c>
      <c r="E4111" s="22">
        <f ca="1">IFERROR(__xludf.DUMMYFUNCTION("""COMPUTED_VALUE"""),482125.48108)</f>
        <v>482125.48108</v>
      </c>
      <c r="F4111" s="22">
        <f ca="1">IFERROR(__xludf.DUMMYFUNCTION("""COMPUTED_VALUE"""),257525.39665)</f>
        <v>257525.39665000001</v>
      </c>
      <c r="G4111" s="22">
        <f ca="1">IFERROR(__xludf.DUMMYFUNCTION("""COMPUTED_VALUE"""),0)</f>
        <v>0</v>
      </c>
      <c r="H4111" s="7">
        <f ca="1">IFERROR(__xludf.DUMMYFUNCTION("""COMPUTED_VALUE"""),482125.48108)</f>
        <v>482125.48108</v>
      </c>
    </row>
    <row r="4112" spans="1:8" ht="13" x14ac:dyDescent="0.15">
      <c r="A4112" s="5" t="str">
        <f ca="1">IFERROR(__xludf.DUMMYFUNCTION("""COMPUTED_VALUE"""),"76796")</f>
        <v>76796</v>
      </c>
      <c r="B4112" s="51">
        <f ca="1">IFERROR(__xludf.DUMMYFUNCTION("""COMPUTED_VALUE"""),44611)</f>
        <v>44611</v>
      </c>
      <c r="C4112" s="22">
        <f ca="1">IFERROR(__xludf.DUMMYFUNCTION("""COMPUTED_VALUE"""),257525.396649999)</f>
        <v>257525.39664999899</v>
      </c>
      <c r="D4112" s="22">
        <f ca="1">IFERROR(__xludf.DUMMYFUNCTION("""COMPUTED_VALUE"""),224600.08443)</f>
        <v>224600.08442999999</v>
      </c>
      <c r="E4112" s="22">
        <f ca="1">IFERROR(__xludf.DUMMYFUNCTION("""COMPUTED_VALUE"""),482125.48108)</f>
        <v>482125.48108</v>
      </c>
      <c r="F4112" s="22">
        <f ca="1">IFERROR(__xludf.DUMMYFUNCTION("""COMPUTED_VALUE"""),257525.39665)</f>
        <v>257525.39665000001</v>
      </c>
      <c r="G4112" s="22">
        <f ca="1">IFERROR(__xludf.DUMMYFUNCTION("""COMPUTED_VALUE"""),0)</f>
        <v>0</v>
      </c>
      <c r="H4112" s="7">
        <f ca="1">IFERROR(__xludf.DUMMYFUNCTION("""COMPUTED_VALUE"""),482125.48108)</f>
        <v>482125.48108</v>
      </c>
    </row>
    <row r="4113" spans="1:8" ht="13" x14ac:dyDescent="0.15">
      <c r="A4113" s="5" t="str">
        <f ca="1">IFERROR(__xludf.DUMMYFUNCTION("""COMPUTED_VALUE"""),"76796")</f>
        <v>76796</v>
      </c>
      <c r="B4113" s="51">
        <f ca="1">IFERROR(__xludf.DUMMYFUNCTION("""COMPUTED_VALUE"""),44612)</f>
        <v>44612</v>
      </c>
      <c r="C4113" s="22">
        <f ca="1">IFERROR(__xludf.DUMMYFUNCTION("""COMPUTED_VALUE"""),257525.396649999)</f>
        <v>257525.39664999899</v>
      </c>
      <c r="D4113" s="22">
        <f ca="1">IFERROR(__xludf.DUMMYFUNCTION("""COMPUTED_VALUE"""),224592.454285)</f>
        <v>224592.45428500001</v>
      </c>
      <c r="E4113" s="22">
        <f ca="1">IFERROR(__xludf.DUMMYFUNCTION("""COMPUTED_VALUE"""),482117.850935)</f>
        <v>482117.85093499999</v>
      </c>
      <c r="F4113" s="22">
        <f ca="1">IFERROR(__xludf.DUMMYFUNCTION("""COMPUTED_VALUE"""),257525.39665)</f>
        <v>257525.39665000001</v>
      </c>
      <c r="G4113" s="22">
        <f ca="1">IFERROR(__xludf.DUMMYFUNCTION("""COMPUTED_VALUE"""),0)</f>
        <v>0</v>
      </c>
      <c r="H4113" s="7">
        <f ca="1">IFERROR(__xludf.DUMMYFUNCTION("""COMPUTED_VALUE"""),482117.850935)</f>
        <v>482117.85093499999</v>
      </c>
    </row>
    <row r="4114" spans="1:8" ht="13" x14ac:dyDescent="0.15">
      <c r="A4114" s="5" t="str">
        <f ca="1">IFERROR(__xludf.DUMMYFUNCTION("""COMPUTED_VALUE"""),"76796")</f>
        <v>76796</v>
      </c>
      <c r="B4114" s="51">
        <f ca="1">IFERROR(__xludf.DUMMYFUNCTION("""COMPUTED_VALUE"""),44613)</f>
        <v>44613</v>
      </c>
      <c r="C4114" s="22">
        <f ca="1">IFERROR(__xludf.DUMMYFUNCTION("""COMPUTED_VALUE"""),257525.396649999)</f>
        <v>257525.39664999899</v>
      </c>
      <c r="D4114" s="22">
        <f ca="1">IFERROR(__xludf.DUMMYFUNCTION("""COMPUTED_VALUE"""),224614.336965)</f>
        <v>224614.33696499999</v>
      </c>
      <c r="E4114" s="22">
        <f ca="1">IFERROR(__xludf.DUMMYFUNCTION("""COMPUTED_VALUE"""),482139.733615)</f>
        <v>482139.73361499998</v>
      </c>
      <c r="F4114" s="22">
        <f ca="1">IFERROR(__xludf.DUMMYFUNCTION("""COMPUTED_VALUE"""),257525.39665)</f>
        <v>257525.39665000001</v>
      </c>
      <c r="G4114" s="22">
        <f ca="1">IFERROR(__xludf.DUMMYFUNCTION("""COMPUTED_VALUE"""),0)</f>
        <v>0</v>
      </c>
      <c r="H4114" s="7">
        <f ca="1">IFERROR(__xludf.DUMMYFUNCTION("""COMPUTED_VALUE"""),482139.733615)</f>
        <v>482139.73361499998</v>
      </c>
    </row>
    <row r="4115" spans="1:8" ht="13" x14ac:dyDescent="0.15">
      <c r="A4115" s="5" t="str">
        <f ca="1">IFERROR(__xludf.DUMMYFUNCTION("""COMPUTED_VALUE"""),"76796")</f>
        <v>76796</v>
      </c>
      <c r="B4115" s="51">
        <f ca="1">IFERROR(__xludf.DUMMYFUNCTION("""COMPUTED_VALUE"""),44614)</f>
        <v>44614</v>
      </c>
      <c r="C4115" s="22">
        <f ca="1">IFERROR(__xludf.DUMMYFUNCTION("""COMPUTED_VALUE"""),257525.396649999)</f>
        <v>257525.39664999899</v>
      </c>
      <c r="D4115" s="22">
        <f ca="1">IFERROR(__xludf.DUMMYFUNCTION("""COMPUTED_VALUE"""),224471.951)</f>
        <v>224471.951</v>
      </c>
      <c r="E4115" s="22">
        <f ca="1">IFERROR(__xludf.DUMMYFUNCTION("""COMPUTED_VALUE"""),481997.34765)</f>
        <v>481997.34765000001</v>
      </c>
      <c r="F4115" s="22">
        <f ca="1">IFERROR(__xludf.DUMMYFUNCTION("""COMPUTED_VALUE"""),257525.39665)</f>
        <v>257525.39665000001</v>
      </c>
      <c r="G4115" s="22">
        <f ca="1">IFERROR(__xludf.DUMMYFUNCTION("""COMPUTED_VALUE"""),0)</f>
        <v>0</v>
      </c>
      <c r="H4115" s="7">
        <f ca="1">IFERROR(__xludf.DUMMYFUNCTION("""COMPUTED_VALUE"""),481997.34765)</f>
        <v>481997.34765000001</v>
      </c>
    </row>
    <row r="4116" spans="1:8" ht="13" x14ac:dyDescent="0.15">
      <c r="A4116" s="5" t="str">
        <f ca="1">IFERROR(__xludf.DUMMYFUNCTION("""COMPUTED_VALUE"""),"76796")</f>
        <v>76796</v>
      </c>
      <c r="B4116" s="51">
        <f ca="1">IFERROR(__xludf.DUMMYFUNCTION("""COMPUTED_VALUE"""),44615)</f>
        <v>44615</v>
      </c>
      <c r="C4116" s="22">
        <f ca="1">IFERROR(__xludf.DUMMYFUNCTION("""COMPUTED_VALUE"""),257525.396649999)</f>
        <v>257525.39664999899</v>
      </c>
      <c r="D4116" s="22">
        <f ca="1">IFERROR(__xludf.DUMMYFUNCTION("""COMPUTED_VALUE"""),218763.34715)</f>
        <v>218763.34714999999</v>
      </c>
      <c r="E4116" s="22">
        <f ca="1">IFERROR(__xludf.DUMMYFUNCTION("""COMPUTED_VALUE"""),476288.743799999)</f>
        <v>476288.74379999901</v>
      </c>
      <c r="F4116" s="22">
        <f ca="1">IFERROR(__xludf.DUMMYFUNCTION("""COMPUTED_VALUE"""),257525.39665)</f>
        <v>257525.39665000001</v>
      </c>
      <c r="G4116" s="22">
        <f ca="1">IFERROR(__xludf.DUMMYFUNCTION("""COMPUTED_VALUE"""),0)</f>
        <v>0</v>
      </c>
      <c r="H4116" s="7">
        <f ca="1">IFERROR(__xludf.DUMMYFUNCTION("""COMPUTED_VALUE"""),476288.743799999)</f>
        <v>476288.74379999901</v>
      </c>
    </row>
    <row r="4117" spans="1:8" ht="13" x14ac:dyDescent="0.15">
      <c r="A4117" s="5" t="str">
        <f ca="1">IFERROR(__xludf.DUMMYFUNCTION("""COMPUTED_VALUE"""),"76796")</f>
        <v>76796</v>
      </c>
      <c r="B4117" s="51">
        <f ca="1">IFERROR(__xludf.DUMMYFUNCTION("""COMPUTED_VALUE"""),44616)</f>
        <v>44616</v>
      </c>
      <c r="C4117" s="22">
        <f ca="1">IFERROR(__xludf.DUMMYFUNCTION("""COMPUTED_VALUE"""),257525.396649999)</f>
        <v>257525.39664999899</v>
      </c>
      <c r="D4117" s="22">
        <f ca="1">IFERROR(__xludf.DUMMYFUNCTION("""COMPUTED_VALUE"""),230008.50725)</f>
        <v>230008.50725</v>
      </c>
      <c r="E4117" s="22">
        <f ca="1">IFERROR(__xludf.DUMMYFUNCTION("""COMPUTED_VALUE"""),487533.9039)</f>
        <v>487533.90389999998</v>
      </c>
      <c r="F4117" s="22">
        <f ca="1">IFERROR(__xludf.DUMMYFUNCTION("""COMPUTED_VALUE"""),257525.39665)</f>
        <v>257525.39665000001</v>
      </c>
      <c r="G4117" s="22">
        <f ca="1">IFERROR(__xludf.DUMMYFUNCTION("""COMPUTED_VALUE"""),0)</f>
        <v>0</v>
      </c>
      <c r="H4117" s="7">
        <f ca="1">IFERROR(__xludf.DUMMYFUNCTION("""COMPUTED_VALUE"""),487533.9039)</f>
        <v>487533.90389999998</v>
      </c>
    </row>
    <row r="4118" spans="1:8" ht="13" x14ac:dyDescent="0.15">
      <c r="A4118" s="5" t="str">
        <f ca="1">IFERROR(__xludf.DUMMYFUNCTION("""COMPUTED_VALUE"""),"76796")</f>
        <v>76796</v>
      </c>
      <c r="B4118" s="51">
        <f ca="1">IFERROR(__xludf.DUMMYFUNCTION("""COMPUTED_VALUE"""),44617)</f>
        <v>44617</v>
      </c>
      <c r="C4118" s="22">
        <f ca="1">IFERROR(__xludf.DUMMYFUNCTION("""COMPUTED_VALUE"""),257525.396649999)</f>
        <v>257525.39664999899</v>
      </c>
      <c r="D4118" s="22">
        <f ca="1">IFERROR(__xludf.DUMMYFUNCTION("""COMPUTED_VALUE"""),232151.391745)</f>
        <v>232151.391745</v>
      </c>
      <c r="E4118" s="22">
        <f ca="1">IFERROR(__xludf.DUMMYFUNCTION("""COMPUTED_VALUE"""),489676.788395)</f>
        <v>489676.78839499998</v>
      </c>
      <c r="F4118" s="22">
        <f ca="1">IFERROR(__xludf.DUMMYFUNCTION("""COMPUTED_VALUE"""),257525.39665)</f>
        <v>257525.39665000001</v>
      </c>
      <c r="G4118" s="22">
        <f ca="1">IFERROR(__xludf.DUMMYFUNCTION("""COMPUTED_VALUE"""),0)</f>
        <v>0</v>
      </c>
      <c r="H4118" s="7">
        <f ca="1">IFERROR(__xludf.DUMMYFUNCTION("""COMPUTED_VALUE"""),489676.788395)</f>
        <v>489676.78839499998</v>
      </c>
    </row>
    <row r="4119" spans="1:8" ht="13" x14ac:dyDescent="0.15">
      <c r="A4119" s="5" t="str">
        <f ca="1">IFERROR(__xludf.DUMMYFUNCTION("""COMPUTED_VALUE"""),"76796")</f>
        <v>76796</v>
      </c>
      <c r="B4119" s="51">
        <f ca="1">IFERROR(__xludf.DUMMYFUNCTION("""COMPUTED_VALUE"""),44618)</f>
        <v>44618</v>
      </c>
      <c r="C4119" s="22">
        <f ca="1">IFERROR(__xludf.DUMMYFUNCTION("""COMPUTED_VALUE"""),257525.396649999)</f>
        <v>257525.39664999899</v>
      </c>
      <c r="D4119" s="22">
        <f ca="1">IFERROR(__xludf.DUMMYFUNCTION("""COMPUTED_VALUE"""),232155.851395)</f>
        <v>232155.85139500001</v>
      </c>
      <c r="E4119" s="22">
        <f ca="1">IFERROR(__xludf.DUMMYFUNCTION("""COMPUTED_VALUE"""),489681.248045)</f>
        <v>489681.24804500001</v>
      </c>
      <c r="F4119" s="22">
        <f ca="1">IFERROR(__xludf.DUMMYFUNCTION("""COMPUTED_VALUE"""),257525.39665)</f>
        <v>257525.39665000001</v>
      </c>
      <c r="G4119" s="22">
        <f ca="1">IFERROR(__xludf.DUMMYFUNCTION("""COMPUTED_VALUE"""),0)</f>
        <v>0</v>
      </c>
      <c r="H4119" s="7">
        <f ca="1">IFERROR(__xludf.DUMMYFUNCTION("""COMPUTED_VALUE"""),489681.248045)</f>
        <v>489681.24804500001</v>
      </c>
    </row>
    <row r="4120" spans="1:8" ht="13" x14ac:dyDescent="0.15">
      <c r="A4120" s="5" t="str">
        <f ca="1">IFERROR(__xludf.DUMMYFUNCTION("""COMPUTED_VALUE"""),"76796")</f>
        <v>76796</v>
      </c>
      <c r="B4120" s="51">
        <f ca="1">IFERROR(__xludf.DUMMYFUNCTION("""COMPUTED_VALUE"""),44619)</f>
        <v>44619</v>
      </c>
      <c r="C4120" s="22">
        <f ca="1">IFERROR(__xludf.DUMMYFUNCTION("""COMPUTED_VALUE"""),257525.396649999)</f>
        <v>257525.39664999899</v>
      </c>
      <c r="D4120" s="22">
        <f ca="1">IFERROR(__xludf.DUMMYFUNCTION("""COMPUTED_VALUE"""),232145.5942)</f>
        <v>232145.59419999999</v>
      </c>
      <c r="E4120" s="22">
        <f ca="1">IFERROR(__xludf.DUMMYFUNCTION("""COMPUTED_VALUE"""),489670.990849999)</f>
        <v>489670.99084999901</v>
      </c>
      <c r="F4120" s="22">
        <f ca="1">IFERROR(__xludf.DUMMYFUNCTION("""COMPUTED_VALUE"""),257525.39665)</f>
        <v>257525.39665000001</v>
      </c>
      <c r="G4120" s="22">
        <f ca="1">IFERROR(__xludf.DUMMYFUNCTION("""COMPUTED_VALUE"""),0)</f>
        <v>0</v>
      </c>
      <c r="H4120" s="7">
        <f ca="1">IFERROR(__xludf.DUMMYFUNCTION("""COMPUTED_VALUE"""),489670.990849999)</f>
        <v>489670.99084999901</v>
      </c>
    </row>
    <row r="4121" spans="1:8" ht="13" x14ac:dyDescent="0.15">
      <c r="A4121" s="5" t="str">
        <f ca="1">IFERROR(__xludf.DUMMYFUNCTION("""COMPUTED_VALUE"""),"76796")</f>
        <v>76796</v>
      </c>
      <c r="B4121" s="51">
        <f ca="1">IFERROR(__xludf.DUMMYFUNCTION("""COMPUTED_VALUE"""),44620)</f>
        <v>44620</v>
      </c>
      <c r="C4121" s="22">
        <f ca="1">IFERROR(__xludf.DUMMYFUNCTION("""COMPUTED_VALUE"""),257525.396649999)</f>
        <v>257525.39664999899</v>
      </c>
      <c r="D4121" s="22">
        <f ca="1">IFERROR(__xludf.DUMMYFUNCTION("""COMPUTED_VALUE"""),233458.072549999)</f>
        <v>233458.07254999899</v>
      </c>
      <c r="E4121" s="22">
        <f ca="1">IFERROR(__xludf.DUMMYFUNCTION("""COMPUTED_VALUE"""),490983.469199999)</f>
        <v>490983.469199999</v>
      </c>
      <c r="F4121" s="22">
        <f ca="1">IFERROR(__xludf.DUMMYFUNCTION("""COMPUTED_VALUE"""),257525.39665)</f>
        <v>257525.39665000001</v>
      </c>
      <c r="G4121" s="22">
        <f ca="1">IFERROR(__xludf.DUMMYFUNCTION("""COMPUTED_VALUE"""),0)</f>
        <v>0</v>
      </c>
      <c r="H4121" s="7">
        <f ca="1">IFERROR(__xludf.DUMMYFUNCTION("""COMPUTED_VALUE"""),490983.469199999)</f>
        <v>490983.469199999</v>
      </c>
    </row>
    <row r="4122" spans="1:8" ht="13" x14ac:dyDescent="0.15">
      <c r="A4122" s="5" t="str">
        <f ca="1">IFERROR(__xludf.DUMMYFUNCTION("""COMPUTED_VALUE"""),"76796")</f>
        <v>76796</v>
      </c>
      <c r="B4122" s="51">
        <f ca="1">IFERROR(__xludf.DUMMYFUNCTION("""COMPUTED_VALUE"""),44621)</f>
        <v>44621</v>
      </c>
      <c r="C4122" s="22">
        <f ca="1">IFERROR(__xludf.DUMMYFUNCTION("""COMPUTED_VALUE"""),257525.396649999)</f>
        <v>257525.39664999899</v>
      </c>
      <c r="D4122" s="22">
        <f ca="1">IFERROR(__xludf.DUMMYFUNCTION("""COMPUTED_VALUE"""),230527.168475)</f>
        <v>230527.16847500001</v>
      </c>
      <c r="E4122" s="22">
        <f ca="1">IFERROR(__xludf.DUMMYFUNCTION("""COMPUTED_VALUE"""),488052.565124999)</f>
        <v>488052.56512499898</v>
      </c>
      <c r="F4122" s="22">
        <f ca="1">IFERROR(__xludf.DUMMYFUNCTION("""COMPUTED_VALUE"""),257525.39665)</f>
        <v>257525.39665000001</v>
      </c>
      <c r="G4122" s="22">
        <f ca="1">IFERROR(__xludf.DUMMYFUNCTION("""COMPUTED_VALUE"""),0)</f>
        <v>0</v>
      </c>
      <c r="H4122" s="7">
        <f ca="1">IFERROR(__xludf.DUMMYFUNCTION("""COMPUTED_VALUE"""),488052.565124999)</f>
        <v>488052.56512499898</v>
      </c>
    </row>
    <row r="4123" spans="1:8" ht="13" x14ac:dyDescent="0.15">
      <c r="A4123" s="5" t="str">
        <f ca="1">IFERROR(__xludf.DUMMYFUNCTION("""COMPUTED_VALUE"""),"76796")</f>
        <v>76796</v>
      </c>
      <c r="B4123" s="51">
        <f ca="1">IFERROR(__xludf.DUMMYFUNCTION("""COMPUTED_VALUE"""),44622)</f>
        <v>44622</v>
      </c>
      <c r="C4123" s="22">
        <f ca="1">IFERROR(__xludf.DUMMYFUNCTION("""COMPUTED_VALUE"""),257525.396649999)</f>
        <v>257525.39664999899</v>
      </c>
      <c r="D4123" s="22">
        <f ca="1">IFERROR(__xludf.DUMMYFUNCTION("""COMPUTED_VALUE"""),234566.96505)</f>
        <v>234566.96505</v>
      </c>
      <c r="E4123" s="22">
        <f ca="1">IFERROR(__xludf.DUMMYFUNCTION("""COMPUTED_VALUE"""),492092.3617)</f>
        <v>492092.36170000001</v>
      </c>
      <c r="F4123" s="22">
        <f ca="1">IFERROR(__xludf.DUMMYFUNCTION("""COMPUTED_VALUE"""),257525.39665)</f>
        <v>257525.39665000001</v>
      </c>
      <c r="G4123" s="22">
        <f ca="1">IFERROR(__xludf.DUMMYFUNCTION("""COMPUTED_VALUE"""),0)</f>
        <v>0</v>
      </c>
      <c r="H4123" s="7">
        <f ca="1">IFERROR(__xludf.DUMMYFUNCTION("""COMPUTED_VALUE"""),492092.3617)</f>
        <v>492092.36170000001</v>
      </c>
    </row>
    <row r="4124" spans="1:8" ht="13" x14ac:dyDescent="0.15">
      <c r="A4124" s="5" t="str">
        <f ca="1">IFERROR(__xludf.DUMMYFUNCTION("""COMPUTED_VALUE"""),"76796")</f>
        <v>76796</v>
      </c>
      <c r="B4124" s="51">
        <f ca="1">IFERROR(__xludf.DUMMYFUNCTION("""COMPUTED_VALUE"""),44623)</f>
        <v>44623</v>
      </c>
      <c r="C4124" s="22">
        <f ca="1">IFERROR(__xludf.DUMMYFUNCTION("""COMPUTED_VALUE"""),257525.396649999)</f>
        <v>257525.39664999899</v>
      </c>
      <c r="D4124" s="22">
        <f ca="1">IFERROR(__xludf.DUMMYFUNCTION("""COMPUTED_VALUE"""),231286.6332)</f>
        <v>231286.63320000001</v>
      </c>
      <c r="E4124" s="22">
        <f ca="1">IFERROR(__xludf.DUMMYFUNCTION("""COMPUTED_VALUE"""),488812.02985)</f>
        <v>488812.02984999999</v>
      </c>
      <c r="F4124" s="22">
        <f ca="1">IFERROR(__xludf.DUMMYFUNCTION("""COMPUTED_VALUE"""),257525.39665)</f>
        <v>257525.39665000001</v>
      </c>
      <c r="G4124" s="22">
        <f ca="1">IFERROR(__xludf.DUMMYFUNCTION("""COMPUTED_VALUE"""),0)</f>
        <v>0</v>
      </c>
      <c r="H4124" s="7">
        <f ca="1">IFERROR(__xludf.DUMMYFUNCTION("""COMPUTED_VALUE"""),488812.02985)</f>
        <v>488812.02984999999</v>
      </c>
    </row>
    <row r="4125" spans="1:8" ht="13" x14ac:dyDescent="0.15">
      <c r="A4125" s="5" t="str">
        <f ca="1">IFERROR(__xludf.DUMMYFUNCTION("""COMPUTED_VALUE"""),"76796")</f>
        <v>76796</v>
      </c>
      <c r="B4125" s="51">
        <f ca="1">IFERROR(__xludf.DUMMYFUNCTION("""COMPUTED_VALUE"""),44624)</f>
        <v>44624</v>
      </c>
      <c r="C4125" s="22">
        <f ca="1">IFERROR(__xludf.DUMMYFUNCTION("""COMPUTED_VALUE"""),257525.396649999)</f>
        <v>257525.39664999899</v>
      </c>
      <c r="D4125" s="22">
        <f ca="1">IFERROR(__xludf.DUMMYFUNCTION("""COMPUTED_VALUE"""),226504.72008)</f>
        <v>226504.72008</v>
      </c>
      <c r="E4125" s="22">
        <f ca="1">IFERROR(__xludf.DUMMYFUNCTION("""COMPUTED_VALUE"""),484030.11673)</f>
        <v>484030.11673000001</v>
      </c>
      <c r="F4125" s="22">
        <f ca="1">IFERROR(__xludf.DUMMYFUNCTION("""COMPUTED_VALUE"""),257525.39665)</f>
        <v>257525.39665000001</v>
      </c>
      <c r="G4125" s="22">
        <f ca="1">IFERROR(__xludf.DUMMYFUNCTION("""COMPUTED_VALUE"""),0)</f>
        <v>0</v>
      </c>
      <c r="H4125" s="7">
        <f ca="1">IFERROR(__xludf.DUMMYFUNCTION("""COMPUTED_VALUE"""),484030.11673)</f>
        <v>484030.11673000001</v>
      </c>
    </row>
    <row r="4126" spans="1:8" ht="13" x14ac:dyDescent="0.15">
      <c r="A4126" s="5" t="str">
        <f ca="1">IFERROR(__xludf.DUMMYFUNCTION("""COMPUTED_VALUE"""),"76796")</f>
        <v>76796</v>
      </c>
      <c r="B4126" s="51">
        <f ca="1">IFERROR(__xludf.DUMMYFUNCTION("""COMPUTED_VALUE"""),44625)</f>
        <v>44625</v>
      </c>
      <c r="C4126" s="22">
        <f ca="1">IFERROR(__xludf.DUMMYFUNCTION("""COMPUTED_VALUE"""),257525.396649999)</f>
        <v>257525.39664999899</v>
      </c>
      <c r="D4126" s="22">
        <f ca="1">IFERROR(__xludf.DUMMYFUNCTION("""COMPUTED_VALUE"""),226504.72008)</f>
        <v>226504.72008</v>
      </c>
      <c r="E4126" s="22">
        <f ca="1">IFERROR(__xludf.DUMMYFUNCTION("""COMPUTED_VALUE"""),484030.11673)</f>
        <v>484030.11673000001</v>
      </c>
      <c r="F4126" s="22">
        <f ca="1">IFERROR(__xludf.DUMMYFUNCTION("""COMPUTED_VALUE"""),257525.39665)</f>
        <v>257525.39665000001</v>
      </c>
      <c r="G4126" s="22">
        <f ca="1">IFERROR(__xludf.DUMMYFUNCTION("""COMPUTED_VALUE"""),0)</f>
        <v>0</v>
      </c>
      <c r="H4126" s="7">
        <f ca="1">IFERROR(__xludf.DUMMYFUNCTION("""COMPUTED_VALUE"""),484030.11673)</f>
        <v>484030.11673000001</v>
      </c>
    </row>
    <row r="4127" spans="1:8" ht="13" x14ac:dyDescent="0.15">
      <c r="A4127" s="5" t="str">
        <f ca="1">IFERROR(__xludf.DUMMYFUNCTION("""COMPUTED_VALUE"""),"76796")</f>
        <v>76796</v>
      </c>
      <c r="B4127" s="51">
        <f ca="1">IFERROR(__xludf.DUMMYFUNCTION("""COMPUTED_VALUE"""),44626)</f>
        <v>44626</v>
      </c>
      <c r="C4127" s="22">
        <f ca="1">IFERROR(__xludf.DUMMYFUNCTION("""COMPUTED_VALUE"""),257525.396649999)</f>
        <v>257525.39664999899</v>
      </c>
      <c r="D4127" s="22">
        <f ca="1">IFERROR(__xludf.DUMMYFUNCTION("""COMPUTED_VALUE"""),226535.88003)</f>
        <v>226535.88003</v>
      </c>
      <c r="E4127" s="22">
        <f ca="1">IFERROR(__xludf.DUMMYFUNCTION("""COMPUTED_VALUE"""),484061.27668)</f>
        <v>484061.27668000001</v>
      </c>
      <c r="F4127" s="22">
        <f ca="1">IFERROR(__xludf.DUMMYFUNCTION("""COMPUTED_VALUE"""),257525.39665)</f>
        <v>257525.39665000001</v>
      </c>
      <c r="G4127" s="22">
        <f ca="1">IFERROR(__xludf.DUMMYFUNCTION("""COMPUTED_VALUE"""),0)</f>
        <v>0</v>
      </c>
      <c r="H4127" s="7">
        <f ca="1">IFERROR(__xludf.DUMMYFUNCTION("""COMPUTED_VALUE"""),484061.27668)</f>
        <v>484061.27668000001</v>
      </c>
    </row>
    <row r="4128" spans="1:8" ht="13" x14ac:dyDescent="0.15">
      <c r="A4128" s="5" t="str">
        <f ca="1">IFERROR(__xludf.DUMMYFUNCTION("""COMPUTED_VALUE"""),"76796")</f>
        <v>76796</v>
      </c>
      <c r="B4128" s="51">
        <f ca="1">IFERROR(__xludf.DUMMYFUNCTION("""COMPUTED_VALUE"""),44627)</f>
        <v>44627</v>
      </c>
      <c r="C4128" s="22">
        <f ca="1">IFERROR(__xludf.DUMMYFUNCTION("""COMPUTED_VALUE"""),257525.396649999)</f>
        <v>257525.39664999899</v>
      </c>
      <c r="D4128" s="22">
        <f ca="1">IFERROR(__xludf.DUMMYFUNCTION("""COMPUTED_VALUE"""),218067.17805)</f>
        <v>218067.17804999999</v>
      </c>
      <c r="E4128" s="22">
        <f ca="1">IFERROR(__xludf.DUMMYFUNCTION("""COMPUTED_VALUE"""),475592.5747)</f>
        <v>475592.5747</v>
      </c>
      <c r="F4128" s="22">
        <f ca="1">IFERROR(__xludf.DUMMYFUNCTION("""COMPUTED_VALUE"""),257525.39665)</f>
        <v>257525.39665000001</v>
      </c>
      <c r="G4128" s="22">
        <f ca="1">IFERROR(__xludf.DUMMYFUNCTION("""COMPUTED_VALUE"""),0)</f>
        <v>0</v>
      </c>
      <c r="H4128" s="7">
        <f ca="1">IFERROR(__xludf.DUMMYFUNCTION("""COMPUTED_VALUE"""),475592.5747)</f>
        <v>475592.5747</v>
      </c>
    </row>
    <row r="4129" spans="1:8" ht="13" x14ac:dyDescent="0.15">
      <c r="A4129" s="5" t="str">
        <f ca="1">IFERROR(__xludf.DUMMYFUNCTION("""COMPUTED_VALUE"""),"76796")</f>
        <v>76796</v>
      </c>
      <c r="B4129" s="51">
        <f ca="1">IFERROR(__xludf.DUMMYFUNCTION("""COMPUTED_VALUE"""),44628)</f>
        <v>44628</v>
      </c>
      <c r="C4129" s="22">
        <f ca="1">IFERROR(__xludf.DUMMYFUNCTION("""COMPUTED_VALUE"""),257525.396649999)</f>
        <v>257525.39664999899</v>
      </c>
      <c r="D4129" s="22">
        <f ca="1">IFERROR(__xludf.DUMMYFUNCTION("""COMPUTED_VALUE"""),215686.425375)</f>
        <v>215686.42537499999</v>
      </c>
      <c r="E4129" s="22">
        <f ca="1">IFERROR(__xludf.DUMMYFUNCTION("""COMPUTED_VALUE"""),473211.822025)</f>
        <v>473211.822025</v>
      </c>
      <c r="F4129" s="22">
        <f ca="1">IFERROR(__xludf.DUMMYFUNCTION("""COMPUTED_VALUE"""),257525.39665)</f>
        <v>257525.39665000001</v>
      </c>
      <c r="G4129" s="22">
        <f ca="1">IFERROR(__xludf.DUMMYFUNCTION("""COMPUTED_VALUE"""),0)</f>
        <v>0</v>
      </c>
      <c r="H4129" s="7">
        <f ca="1">IFERROR(__xludf.DUMMYFUNCTION("""COMPUTED_VALUE"""),473211.822025)</f>
        <v>473211.822025</v>
      </c>
    </row>
    <row r="4130" spans="1:8" ht="13" x14ac:dyDescent="0.15">
      <c r="A4130" s="5" t="str">
        <f ca="1">IFERROR(__xludf.DUMMYFUNCTION("""COMPUTED_VALUE"""),"76796")</f>
        <v>76796</v>
      </c>
      <c r="B4130" s="51">
        <f ca="1">IFERROR(__xludf.DUMMYFUNCTION("""COMPUTED_VALUE"""),44629)</f>
        <v>44629</v>
      </c>
      <c r="C4130" s="22">
        <f ca="1">IFERROR(__xludf.DUMMYFUNCTION("""COMPUTED_VALUE"""),257525.396649999)</f>
        <v>257525.39664999899</v>
      </c>
      <c r="D4130" s="22">
        <f ca="1">IFERROR(__xludf.DUMMYFUNCTION("""COMPUTED_VALUE"""),225588.2475)</f>
        <v>225588.2475</v>
      </c>
      <c r="E4130" s="22">
        <f ca="1">IFERROR(__xludf.DUMMYFUNCTION("""COMPUTED_VALUE"""),483113.644149999)</f>
        <v>483113.64414999902</v>
      </c>
      <c r="F4130" s="22">
        <f ca="1">IFERROR(__xludf.DUMMYFUNCTION("""COMPUTED_VALUE"""),257525.39665)</f>
        <v>257525.39665000001</v>
      </c>
      <c r="G4130" s="22">
        <f ca="1">IFERROR(__xludf.DUMMYFUNCTION("""COMPUTED_VALUE"""),0)</f>
        <v>0</v>
      </c>
      <c r="H4130" s="7">
        <f ca="1">IFERROR(__xludf.DUMMYFUNCTION("""COMPUTED_VALUE"""),483113.644149999)</f>
        <v>483113.64414999902</v>
      </c>
    </row>
    <row r="4131" spans="1:8" ht="13" x14ac:dyDescent="0.15">
      <c r="A4131" s="5" t="str">
        <f ca="1">IFERROR(__xludf.DUMMYFUNCTION("""COMPUTED_VALUE"""),"76796")</f>
        <v>76796</v>
      </c>
      <c r="B4131" s="51">
        <f ca="1">IFERROR(__xludf.DUMMYFUNCTION("""COMPUTED_VALUE"""),44630)</f>
        <v>44630</v>
      </c>
      <c r="C4131" s="22">
        <f ca="1">IFERROR(__xludf.DUMMYFUNCTION("""COMPUTED_VALUE"""),257525.396649999)</f>
        <v>257525.39664999899</v>
      </c>
      <c r="D4131" s="22">
        <f ca="1">IFERROR(__xludf.DUMMYFUNCTION("""COMPUTED_VALUE"""),225689.2225)</f>
        <v>225689.2225</v>
      </c>
      <c r="E4131" s="22">
        <f ca="1">IFERROR(__xludf.DUMMYFUNCTION("""COMPUTED_VALUE"""),483214.61915)</f>
        <v>483214.61914999998</v>
      </c>
      <c r="F4131" s="22">
        <f ca="1">IFERROR(__xludf.DUMMYFUNCTION("""COMPUTED_VALUE"""),257525.39665)</f>
        <v>257525.39665000001</v>
      </c>
      <c r="G4131" s="22">
        <f ca="1">IFERROR(__xludf.DUMMYFUNCTION("""COMPUTED_VALUE"""),0)</f>
        <v>0</v>
      </c>
      <c r="H4131" s="7">
        <f ca="1">IFERROR(__xludf.DUMMYFUNCTION("""COMPUTED_VALUE"""),483214.61915)</f>
        <v>483214.61914999998</v>
      </c>
    </row>
    <row r="4132" spans="1:8" ht="13" x14ac:dyDescent="0.15">
      <c r="A4132" s="5" t="str">
        <f ca="1">IFERROR(__xludf.DUMMYFUNCTION("""COMPUTED_VALUE"""),"76796")</f>
        <v>76796</v>
      </c>
      <c r="B4132" s="51">
        <f ca="1">IFERROR(__xludf.DUMMYFUNCTION("""COMPUTED_VALUE"""),44631)</f>
        <v>44631</v>
      </c>
      <c r="C4132" s="22">
        <f ca="1">IFERROR(__xludf.DUMMYFUNCTION("""COMPUTED_VALUE"""),257525.396649999)</f>
        <v>257525.39664999899</v>
      </c>
      <c r="D4132" s="22">
        <f ca="1">IFERROR(__xludf.DUMMYFUNCTION("""COMPUTED_VALUE"""),219280.8065)</f>
        <v>219280.80650000001</v>
      </c>
      <c r="E4132" s="22">
        <f ca="1">IFERROR(__xludf.DUMMYFUNCTION("""COMPUTED_VALUE"""),476806.203149999)</f>
        <v>476806.20314999903</v>
      </c>
      <c r="F4132" s="22">
        <f ca="1">IFERROR(__xludf.DUMMYFUNCTION("""COMPUTED_VALUE"""),257525.39665)</f>
        <v>257525.39665000001</v>
      </c>
      <c r="G4132" s="22">
        <f ca="1">IFERROR(__xludf.DUMMYFUNCTION("""COMPUTED_VALUE"""),0)</f>
        <v>0</v>
      </c>
      <c r="H4132" s="7">
        <f ca="1">IFERROR(__xludf.DUMMYFUNCTION("""COMPUTED_VALUE"""),476806.203149999)</f>
        <v>476806.20314999903</v>
      </c>
    </row>
    <row r="4133" spans="1:8" ht="13" x14ac:dyDescent="0.15">
      <c r="A4133" s="5" t="str">
        <f ca="1">IFERROR(__xludf.DUMMYFUNCTION("""COMPUTED_VALUE"""),"76796")</f>
        <v>76796</v>
      </c>
      <c r="B4133" s="51">
        <f ca="1">IFERROR(__xludf.DUMMYFUNCTION("""COMPUTED_VALUE"""),44632)</f>
        <v>44632</v>
      </c>
      <c r="C4133" s="22">
        <f ca="1">IFERROR(__xludf.DUMMYFUNCTION("""COMPUTED_VALUE"""),257525.396649999)</f>
        <v>257525.39664999899</v>
      </c>
      <c r="D4133" s="22">
        <f ca="1">IFERROR(__xludf.DUMMYFUNCTION("""COMPUTED_VALUE"""),219280.8065)</f>
        <v>219280.80650000001</v>
      </c>
      <c r="E4133" s="22">
        <f ca="1">IFERROR(__xludf.DUMMYFUNCTION("""COMPUTED_VALUE"""),476806.203149999)</f>
        <v>476806.20314999903</v>
      </c>
      <c r="F4133" s="22">
        <f ca="1">IFERROR(__xludf.DUMMYFUNCTION("""COMPUTED_VALUE"""),257525.39665)</f>
        <v>257525.39665000001</v>
      </c>
      <c r="G4133" s="22">
        <f ca="1">IFERROR(__xludf.DUMMYFUNCTION("""COMPUTED_VALUE"""),0)</f>
        <v>0</v>
      </c>
      <c r="H4133" s="7">
        <f ca="1">IFERROR(__xludf.DUMMYFUNCTION("""COMPUTED_VALUE"""),476806.203149999)</f>
        <v>476806.20314999903</v>
      </c>
    </row>
    <row r="4134" spans="1:8" ht="13" x14ac:dyDescent="0.15">
      <c r="A4134" s="5" t="str">
        <f ca="1">IFERROR(__xludf.DUMMYFUNCTION("""COMPUTED_VALUE"""),"76796")</f>
        <v>76796</v>
      </c>
      <c r="B4134" s="51">
        <f ca="1">IFERROR(__xludf.DUMMYFUNCTION("""COMPUTED_VALUE"""),44633)</f>
        <v>44633</v>
      </c>
      <c r="C4134" s="22">
        <f ca="1">IFERROR(__xludf.DUMMYFUNCTION("""COMPUTED_VALUE"""),257525.396649999)</f>
        <v>257525.39664999899</v>
      </c>
      <c r="D4134" s="22">
        <f ca="1">IFERROR(__xludf.DUMMYFUNCTION("""COMPUTED_VALUE"""),219262.04181)</f>
        <v>219262.04181</v>
      </c>
      <c r="E4134" s="22">
        <f ca="1">IFERROR(__xludf.DUMMYFUNCTION("""COMPUTED_VALUE"""),476787.43846)</f>
        <v>476787.43845999998</v>
      </c>
      <c r="F4134" s="22">
        <f ca="1">IFERROR(__xludf.DUMMYFUNCTION("""COMPUTED_VALUE"""),257525.39665)</f>
        <v>257525.39665000001</v>
      </c>
      <c r="G4134" s="22">
        <f ca="1">IFERROR(__xludf.DUMMYFUNCTION("""COMPUTED_VALUE"""),0)</f>
        <v>0</v>
      </c>
      <c r="H4134" s="7">
        <f ca="1">IFERROR(__xludf.DUMMYFUNCTION("""COMPUTED_VALUE"""),476787.43846)</f>
        <v>476787.43845999998</v>
      </c>
    </row>
    <row r="4135" spans="1:8" ht="13" x14ac:dyDescent="0.15">
      <c r="A4135" s="5" t="str">
        <f ca="1">IFERROR(__xludf.DUMMYFUNCTION("""COMPUTED_VALUE"""),"76796")</f>
        <v>76796</v>
      </c>
      <c r="B4135" s="51">
        <f ca="1">IFERROR(__xludf.DUMMYFUNCTION("""COMPUTED_VALUE"""),44634)</f>
        <v>44634</v>
      </c>
      <c r="C4135" s="22">
        <f ca="1">IFERROR(__xludf.DUMMYFUNCTION("""COMPUTED_VALUE"""),257525.396649999)</f>
        <v>257525.39664999899</v>
      </c>
      <c r="D4135" s="22">
        <f ca="1">IFERROR(__xludf.DUMMYFUNCTION("""COMPUTED_VALUE"""),216431.786999999)</f>
        <v>216431.78699999899</v>
      </c>
      <c r="E4135" s="22">
        <f ca="1">IFERROR(__xludf.DUMMYFUNCTION("""COMPUTED_VALUE"""),473957.183649999)</f>
        <v>473957.18364999897</v>
      </c>
      <c r="F4135" s="22">
        <f ca="1">IFERROR(__xludf.DUMMYFUNCTION("""COMPUTED_VALUE"""),257525.39665)</f>
        <v>257525.39665000001</v>
      </c>
      <c r="G4135" s="22">
        <f ca="1">IFERROR(__xludf.DUMMYFUNCTION("""COMPUTED_VALUE"""),0)</f>
        <v>0</v>
      </c>
      <c r="H4135" s="7">
        <f ca="1">IFERROR(__xludf.DUMMYFUNCTION("""COMPUTED_VALUE"""),473957.183649999)</f>
        <v>473957.18364999897</v>
      </c>
    </row>
    <row r="4136" spans="1:8" ht="13" x14ac:dyDescent="0.15">
      <c r="A4136" s="5" t="str">
        <f ca="1">IFERROR(__xludf.DUMMYFUNCTION("""COMPUTED_VALUE"""),"76796")</f>
        <v>76796</v>
      </c>
      <c r="B4136" s="51">
        <f ca="1">IFERROR(__xludf.DUMMYFUNCTION("""COMPUTED_VALUE"""),44635)</f>
        <v>44635</v>
      </c>
      <c r="C4136" s="22">
        <f ca="1">IFERROR(__xludf.DUMMYFUNCTION("""COMPUTED_VALUE"""),257525.396649999)</f>
        <v>257525.39664999899</v>
      </c>
      <c r="D4136" s="22">
        <f ca="1">IFERROR(__xludf.DUMMYFUNCTION("""COMPUTED_VALUE"""),224750.86925)</f>
        <v>224750.86924999999</v>
      </c>
      <c r="E4136" s="22">
        <f ca="1">IFERROR(__xludf.DUMMYFUNCTION("""COMPUTED_VALUE"""),482276.2659)</f>
        <v>482276.2659</v>
      </c>
      <c r="F4136" s="22">
        <f ca="1">IFERROR(__xludf.DUMMYFUNCTION("""COMPUTED_VALUE"""),257525.39665)</f>
        <v>257525.39665000001</v>
      </c>
      <c r="G4136" s="22">
        <f ca="1">IFERROR(__xludf.DUMMYFUNCTION("""COMPUTED_VALUE"""),0)</f>
        <v>0</v>
      </c>
      <c r="H4136" s="7">
        <f ca="1">IFERROR(__xludf.DUMMYFUNCTION("""COMPUTED_VALUE"""),482276.2659)</f>
        <v>482276.2659</v>
      </c>
    </row>
    <row r="4137" spans="1:8" ht="13" x14ac:dyDescent="0.15">
      <c r="A4137" s="5" t="str">
        <f ca="1">IFERROR(__xludf.DUMMYFUNCTION("""COMPUTED_VALUE"""),"76796")</f>
        <v>76796</v>
      </c>
      <c r="B4137" s="51">
        <f ca="1">IFERROR(__xludf.DUMMYFUNCTION("""COMPUTED_VALUE"""),44636)</f>
        <v>44636</v>
      </c>
      <c r="C4137" s="22">
        <f ca="1">IFERROR(__xludf.DUMMYFUNCTION("""COMPUTED_VALUE"""),257525.396649999)</f>
        <v>257525.39664999899</v>
      </c>
      <c r="D4137" s="22">
        <f ca="1">IFERROR(__xludf.DUMMYFUNCTION("""COMPUTED_VALUE"""),230229.171449999)</f>
        <v>230229.171449999</v>
      </c>
      <c r="E4137" s="22">
        <f ca="1">IFERROR(__xludf.DUMMYFUNCTION("""COMPUTED_VALUE"""),487754.568099999)</f>
        <v>487754.56809999899</v>
      </c>
      <c r="F4137" s="22">
        <f ca="1">IFERROR(__xludf.DUMMYFUNCTION("""COMPUTED_VALUE"""),257525.39665)</f>
        <v>257525.39665000001</v>
      </c>
      <c r="G4137" s="22">
        <f ca="1">IFERROR(__xludf.DUMMYFUNCTION("""COMPUTED_VALUE"""),0)</f>
        <v>0</v>
      </c>
      <c r="H4137" s="7">
        <f ca="1">IFERROR(__xludf.DUMMYFUNCTION("""COMPUTED_VALUE"""),487754.568099999)</f>
        <v>487754.56809999899</v>
      </c>
    </row>
    <row r="4138" spans="1:8" ht="13" x14ac:dyDescent="0.15">
      <c r="A4138" s="5" t="str">
        <f ca="1">IFERROR(__xludf.DUMMYFUNCTION("""COMPUTED_VALUE"""),"76796")</f>
        <v>76796</v>
      </c>
      <c r="B4138" s="51">
        <f ca="1">IFERROR(__xludf.DUMMYFUNCTION("""COMPUTED_VALUE"""),44637)</f>
        <v>44637</v>
      </c>
      <c r="C4138" s="22">
        <f ca="1">IFERROR(__xludf.DUMMYFUNCTION("""COMPUTED_VALUE"""),257525.396649999)</f>
        <v>257525.39664999899</v>
      </c>
      <c r="D4138" s="22">
        <f ca="1">IFERROR(__xludf.DUMMYFUNCTION("""COMPUTED_VALUE"""),230771.9979)</f>
        <v>230771.99789999999</v>
      </c>
      <c r="E4138" s="22">
        <f ca="1">IFERROR(__xludf.DUMMYFUNCTION("""COMPUTED_VALUE"""),488297.39455)</f>
        <v>488297.39455000003</v>
      </c>
      <c r="F4138" s="22">
        <f ca="1">IFERROR(__xludf.DUMMYFUNCTION("""COMPUTED_VALUE"""),257525.39665)</f>
        <v>257525.39665000001</v>
      </c>
      <c r="G4138" s="22">
        <f ca="1">IFERROR(__xludf.DUMMYFUNCTION("""COMPUTED_VALUE"""),0)</f>
        <v>0</v>
      </c>
      <c r="H4138" s="7">
        <f ca="1">IFERROR(__xludf.DUMMYFUNCTION("""COMPUTED_VALUE"""),488297.39455)</f>
        <v>488297.39455000003</v>
      </c>
    </row>
    <row r="4139" spans="1:8" ht="13" x14ac:dyDescent="0.15">
      <c r="A4139" s="5" t="str">
        <f ca="1">IFERROR(__xludf.DUMMYFUNCTION("""COMPUTED_VALUE"""),"76796")</f>
        <v>76796</v>
      </c>
      <c r="B4139" s="51">
        <f ca="1">IFERROR(__xludf.DUMMYFUNCTION("""COMPUTED_VALUE"""),44638)</f>
        <v>44638</v>
      </c>
      <c r="C4139" s="22">
        <f ca="1">IFERROR(__xludf.DUMMYFUNCTION("""COMPUTED_VALUE"""),257525.396649999)</f>
        <v>257525.39664999899</v>
      </c>
      <c r="D4139" s="22">
        <f ca="1">IFERROR(__xludf.DUMMYFUNCTION("""COMPUTED_VALUE"""),235084.97285)</f>
        <v>235084.97284999999</v>
      </c>
      <c r="E4139" s="22">
        <f ca="1">IFERROR(__xludf.DUMMYFUNCTION("""COMPUTED_VALUE"""),492610.3695)</f>
        <v>492610.36949999997</v>
      </c>
      <c r="F4139" s="22">
        <f ca="1">IFERROR(__xludf.DUMMYFUNCTION("""COMPUTED_VALUE"""),257525.39665)</f>
        <v>257525.39665000001</v>
      </c>
      <c r="G4139" s="22">
        <f ca="1">IFERROR(__xludf.DUMMYFUNCTION("""COMPUTED_VALUE"""),0)</f>
        <v>0</v>
      </c>
      <c r="H4139" s="7">
        <f ca="1">IFERROR(__xludf.DUMMYFUNCTION("""COMPUTED_VALUE"""),492610.3695)</f>
        <v>492610.36949999997</v>
      </c>
    </row>
    <row r="4140" spans="1:8" ht="13" x14ac:dyDescent="0.15">
      <c r="A4140" s="5" t="str">
        <f ca="1">IFERROR(__xludf.DUMMYFUNCTION("""COMPUTED_VALUE"""),"76796")</f>
        <v>76796</v>
      </c>
      <c r="B4140" s="51">
        <f ca="1">IFERROR(__xludf.DUMMYFUNCTION("""COMPUTED_VALUE"""),44639)</f>
        <v>44639</v>
      </c>
      <c r="C4140" s="22">
        <f ca="1">IFERROR(__xludf.DUMMYFUNCTION("""COMPUTED_VALUE"""),257525.396649999)</f>
        <v>257525.39664999899</v>
      </c>
      <c r="D4140" s="22">
        <f ca="1">IFERROR(__xludf.DUMMYFUNCTION("""COMPUTED_VALUE"""),235084.97285)</f>
        <v>235084.97284999999</v>
      </c>
      <c r="E4140" s="22">
        <f ca="1">IFERROR(__xludf.DUMMYFUNCTION("""COMPUTED_VALUE"""),492610.3695)</f>
        <v>492610.36949999997</v>
      </c>
      <c r="F4140" s="22">
        <f ca="1">IFERROR(__xludf.DUMMYFUNCTION("""COMPUTED_VALUE"""),257525.39665)</f>
        <v>257525.39665000001</v>
      </c>
      <c r="G4140" s="22">
        <f ca="1">IFERROR(__xludf.DUMMYFUNCTION("""COMPUTED_VALUE"""),0)</f>
        <v>0</v>
      </c>
      <c r="H4140" s="7">
        <f ca="1">IFERROR(__xludf.DUMMYFUNCTION("""COMPUTED_VALUE"""),492610.3695)</f>
        <v>492610.36949999997</v>
      </c>
    </row>
    <row r="4141" spans="1:8" ht="13" x14ac:dyDescent="0.15">
      <c r="A4141" s="5" t="str">
        <f ca="1">IFERROR(__xludf.DUMMYFUNCTION("""COMPUTED_VALUE"""),"76796")</f>
        <v>76796</v>
      </c>
      <c r="B4141" s="51">
        <f ca="1">IFERROR(__xludf.DUMMYFUNCTION("""COMPUTED_VALUE"""),44640)</f>
        <v>44640</v>
      </c>
      <c r="C4141" s="22">
        <f ca="1">IFERROR(__xludf.DUMMYFUNCTION("""COMPUTED_VALUE"""),257525.396649999)</f>
        <v>257525.39664999899</v>
      </c>
      <c r="D4141" s="22">
        <f ca="1">IFERROR(__xludf.DUMMYFUNCTION("""COMPUTED_VALUE"""),235033.749535)</f>
        <v>235033.74953500001</v>
      </c>
      <c r="E4141" s="22">
        <f ca="1">IFERROR(__xludf.DUMMYFUNCTION("""COMPUTED_VALUE"""),492559.146184999)</f>
        <v>492559.14618499897</v>
      </c>
      <c r="F4141" s="22">
        <f ca="1">IFERROR(__xludf.DUMMYFUNCTION("""COMPUTED_VALUE"""),257525.39665)</f>
        <v>257525.39665000001</v>
      </c>
      <c r="G4141" s="22">
        <f ca="1">IFERROR(__xludf.DUMMYFUNCTION("""COMPUTED_VALUE"""),0)</f>
        <v>0</v>
      </c>
      <c r="H4141" s="7">
        <f ca="1">IFERROR(__xludf.DUMMYFUNCTION("""COMPUTED_VALUE"""),492559.146184999)</f>
        <v>492559.14618499897</v>
      </c>
    </row>
    <row r="4142" spans="1:8" ht="13" x14ac:dyDescent="0.15">
      <c r="A4142" s="5" t="str">
        <f ca="1">IFERROR(__xludf.DUMMYFUNCTION("""COMPUTED_VALUE"""),"76796")</f>
        <v>76796</v>
      </c>
      <c r="B4142" s="51">
        <f ca="1">IFERROR(__xludf.DUMMYFUNCTION("""COMPUTED_VALUE"""),44641)</f>
        <v>44641</v>
      </c>
      <c r="C4142" s="22">
        <f ca="1">IFERROR(__xludf.DUMMYFUNCTION("""COMPUTED_VALUE"""),257525.396649999)</f>
        <v>257525.39664999899</v>
      </c>
      <c r="D4142" s="22">
        <f ca="1">IFERROR(__xludf.DUMMYFUNCTION("""COMPUTED_VALUE"""),234106.1622)</f>
        <v>234106.16219999999</v>
      </c>
      <c r="E4142" s="22">
        <f ca="1">IFERROR(__xludf.DUMMYFUNCTION("""COMPUTED_VALUE"""),491631.55885)</f>
        <v>491631.55884999997</v>
      </c>
      <c r="F4142" s="22">
        <f ca="1">IFERROR(__xludf.DUMMYFUNCTION("""COMPUTED_VALUE"""),257525.39665)</f>
        <v>257525.39665000001</v>
      </c>
      <c r="G4142" s="22">
        <f ca="1">IFERROR(__xludf.DUMMYFUNCTION("""COMPUTED_VALUE"""),0)</f>
        <v>0</v>
      </c>
      <c r="H4142" s="7">
        <f ca="1">IFERROR(__xludf.DUMMYFUNCTION("""COMPUTED_VALUE"""),491631.55885)</f>
        <v>491631.55884999997</v>
      </c>
    </row>
    <row r="4143" spans="1:8" ht="13" x14ac:dyDescent="0.15">
      <c r="A4143" s="5" t="str">
        <f ca="1">IFERROR(__xludf.DUMMYFUNCTION("""COMPUTED_VALUE"""),"76796")</f>
        <v>76796</v>
      </c>
      <c r="B4143" s="51">
        <f ca="1">IFERROR(__xludf.DUMMYFUNCTION("""COMPUTED_VALUE"""),44642)</f>
        <v>44642</v>
      </c>
      <c r="C4143" s="22">
        <f ca="1">IFERROR(__xludf.DUMMYFUNCTION("""COMPUTED_VALUE"""),257525.396649999)</f>
        <v>257525.39664999899</v>
      </c>
      <c r="D4143" s="22">
        <f ca="1">IFERROR(__xludf.DUMMYFUNCTION("""COMPUTED_VALUE"""),237986.241699999)</f>
        <v>237986.24169999899</v>
      </c>
      <c r="E4143" s="22">
        <f ca="1">IFERROR(__xludf.DUMMYFUNCTION("""COMPUTED_VALUE"""),495511.638349999)</f>
        <v>495511.63834999898</v>
      </c>
      <c r="F4143" s="22">
        <f ca="1">IFERROR(__xludf.DUMMYFUNCTION("""COMPUTED_VALUE"""),257525.39665)</f>
        <v>257525.39665000001</v>
      </c>
      <c r="G4143" s="22">
        <f ca="1">IFERROR(__xludf.DUMMYFUNCTION("""COMPUTED_VALUE"""),0)</f>
        <v>0</v>
      </c>
      <c r="H4143" s="7">
        <f ca="1">IFERROR(__xludf.DUMMYFUNCTION("""COMPUTED_VALUE"""),495511.638349999)</f>
        <v>495511.63834999898</v>
      </c>
    </row>
    <row r="4144" spans="1:8" ht="13" x14ac:dyDescent="0.15">
      <c r="A4144" s="5" t="str">
        <f ca="1">IFERROR(__xludf.DUMMYFUNCTION("""COMPUTED_VALUE"""),"76848")</f>
        <v>76848</v>
      </c>
      <c r="B4144" s="51">
        <f ca="1">IFERROR(__xludf.DUMMYFUNCTION("""COMPUTED_VALUE"""),44597)</f>
        <v>44597</v>
      </c>
      <c r="C4144" s="22">
        <f ca="1">IFERROR(__xludf.DUMMYFUNCTION("""COMPUTED_VALUE"""),500000)</f>
        <v>500000</v>
      </c>
      <c r="D4144" s="22">
        <f ca="1">IFERROR(__xludf.DUMMYFUNCTION("""COMPUTED_VALUE"""),0)</f>
        <v>0</v>
      </c>
      <c r="E4144" s="22">
        <f ca="1">IFERROR(__xludf.DUMMYFUNCTION("""COMPUTED_VALUE"""),500000)</f>
        <v>500000</v>
      </c>
      <c r="F4144" s="22">
        <f ca="1">IFERROR(__xludf.DUMMYFUNCTION("""COMPUTED_VALUE"""),500000)</f>
        <v>500000</v>
      </c>
      <c r="G4144" s="22">
        <f ca="1">IFERROR(__xludf.DUMMYFUNCTION("""COMPUTED_VALUE"""),0)</f>
        <v>0</v>
      </c>
      <c r="H4144" s="7">
        <f ca="1">IFERROR(__xludf.DUMMYFUNCTION("""COMPUTED_VALUE"""),500000)</f>
        <v>500000</v>
      </c>
    </row>
    <row r="4145" spans="1:8" ht="13" x14ac:dyDescent="0.15">
      <c r="A4145" s="5" t="str">
        <f ca="1">IFERROR(__xludf.DUMMYFUNCTION("""COMPUTED_VALUE"""),"76848")</f>
        <v>76848</v>
      </c>
      <c r="B4145" s="51">
        <f ca="1">IFERROR(__xludf.DUMMYFUNCTION("""COMPUTED_VALUE"""),44598)</f>
        <v>44598</v>
      </c>
      <c r="C4145" s="22">
        <f ca="1">IFERROR(__xludf.DUMMYFUNCTION("""COMPUTED_VALUE"""),500000)</f>
        <v>500000</v>
      </c>
      <c r="D4145" s="22">
        <f ca="1">IFERROR(__xludf.DUMMYFUNCTION("""COMPUTED_VALUE"""),0)</f>
        <v>0</v>
      </c>
      <c r="E4145" s="22">
        <f ca="1">IFERROR(__xludf.DUMMYFUNCTION("""COMPUTED_VALUE"""),500000)</f>
        <v>500000</v>
      </c>
      <c r="F4145" s="22">
        <f ca="1">IFERROR(__xludf.DUMMYFUNCTION("""COMPUTED_VALUE"""),500000)</f>
        <v>500000</v>
      </c>
      <c r="G4145" s="22">
        <f ca="1">IFERROR(__xludf.DUMMYFUNCTION("""COMPUTED_VALUE"""),0)</f>
        <v>0</v>
      </c>
      <c r="H4145" s="7">
        <f ca="1">IFERROR(__xludf.DUMMYFUNCTION("""COMPUTED_VALUE"""),500000)</f>
        <v>500000</v>
      </c>
    </row>
    <row r="4146" spans="1:8" ht="13" x14ac:dyDescent="0.15">
      <c r="A4146" s="5" t="str">
        <f ca="1">IFERROR(__xludf.DUMMYFUNCTION("""COMPUTED_VALUE"""),"76848")</f>
        <v>76848</v>
      </c>
      <c r="B4146" s="51">
        <f ca="1">IFERROR(__xludf.DUMMYFUNCTION("""COMPUTED_VALUE"""),44599)</f>
        <v>44599</v>
      </c>
      <c r="C4146" s="22">
        <f ca="1">IFERROR(__xludf.DUMMYFUNCTION("""COMPUTED_VALUE"""),500000)</f>
        <v>500000</v>
      </c>
      <c r="D4146" s="22">
        <f ca="1">IFERROR(__xludf.DUMMYFUNCTION("""COMPUTED_VALUE"""),0)</f>
        <v>0</v>
      </c>
      <c r="E4146" s="22">
        <f ca="1">IFERROR(__xludf.DUMMYFUNCTION("""COMPUTED_VALUE"""),500000)</f>
        <v>500000</v>
      </c>
      <c r="F4146" s="22">
        <f ca="1">IFERROR(__xludf.DUMMYFUNCTION("""COMPUTED_VALUE"""),500000)</f>
        <v>500000</v>
      </c>
      <c r="G4146" s="22">
        <f ca="1">IFERROR(__xludf.DUMMYFUNCTION("""COMPUTED_VALUE"""),0)</f>
        <v>0</v>
      </c>
      <c r="H4146" s="7">
        <f ca="1">IFERROR(__xludf.DUMMYFUNCTION("""COMPUTED_VALUE"""),500000)</f>
        <v>500000</v>
      </c>
    </row>
    <row r="4147" spans="1:8" ht="13" x14ac:dyDescent="0.15">
      <c r="A4147" s="5" t="str">
        <f ca="1">IFERROR(__xludf.DUMMYFUNCTION("""COMPUTED_VALUE"""),"76848")</f>
        <v>76848</v>
      </c>
      <c r="B4147" s="51">
        <f ca="1">IFERROR(__xludf.DUMMYFUNCTION("""COMPUTED_VALUE"""),44600)</f>
        <v>44600</v>
      </c>
      <c r="C4147" s="22">
        <f ca="1">IFERROR(__xludf.DUMMYFUNCTION("""COMPUTED_VALUE"""),500000)</f>
        <v>500000</v>
      </c>
      <c r="D4147" s="22">
        <f ca="1">IFERROR(__xludf.DUMMYFUNCTION("""COMPUTED_VALUE"""),0)</f>
        <v>0</v>
      </c>
      <c r="E4147" s="22">
        <f ca="1">IFERROR(__xludf.DUMMYFUNCTION("""COMPUTED_VALUE"""),500000)</f>
        <v>500000</v>
      </c>
      <c r="F4147" s="22">
        <f ca="1">IFERROR(__xludf.DUMMYFUNCTION("""COMPUTED_VALUE"""),500000)</f>
        <v>500000</v>
      </c>
      <c r="G4147" s="22">
        <f ca="1">IFERROR(__xludf.DUMMYFUNCTION("""COMPUTED_VALUE"""),0)</f>
        <v>0</v>
      </c>
      <c r="H4147" s="7">
        <f ca="1">IFERROR(__xludf.DUMMYFUNCTION("""COMPUTED_VALUE"""),500000)</f>
        <v>500000</v>
      </c>
    </row>
    <row r="4148" spans="1:8" ht="13" x14ac:dyDescent="0.15">
      <c r="A4148" s="5" t="str">
        <f ca="1">IFERROR(__xludf.DUMMYFUNCTION("""COMPUTED_VALUE"""),"76848")</f>
        <v>76848</v>
      </c>
      <c r="B4148" s="51">
        <f ca="1">IFERROR(__xludf.DUMMYFUNCTION("""COMPUTED_VALUE"""),44601)</f>
        <v>44601</v>
      </c>
      <c r="C4148" s="22">
        <f ca="1">IFERROR(__xludf.DUMMYFUNCTION("""COMPUTED_VALUE"""),500000)</f>
        <v>500000</v>
      </c>
      <c r="D4148" s="22">
        <f ca="1">IFERROR(__xludf.DUMMYFUNCTION("""COMPUTED_VALUE"""),0)</f>
        <v>0</v>
      </c>
      <c r="E4148" s="22">
        <f ca="1">IFERROR(__xludf.DUMMYFUNCTION("""COMPUTED_VALUE"""),500000)</f>
        <v>500000</v>
      </c>
      <c r="F4148" s="22">
        <f ca="1">IFERROR(__xludf.DUMMYFUNCTION("""COMPUTED_VALUE"""),500000)</f>
        <v>500000</v>
      </c>
      <c r="G4148" s="22">
        <f ca="1">IFERROR(__xludf.DUMMYFUNCTION("""COMPUTED_VALUE"""),0)</f>
        <v>0</v>
      </c>
      <c r="H4148" s="7">
        <f ca="1">IFERROR(__xludf.DUMMYFUNCTION("""COMPUTED_VALUE"""),500000)</f>
        <v>500000</v>
      </c>
    </row>
    <row r="4149" spans="1:8" ht="13" x14ac:dyDescent="0.15">
      <c r="A4149" s="5" t="str">
        <f ca="1">IFERROR(__xludf.DUMMYFUNCTION("""COMPUTED_VALUE"""),"76848")</f>
        <v>76848</v>
      </c>
      <c r="B4149" s="51">
        <f ca="1">IFERROR(__xludf.DUMMYFUNCTION("""COMPUTED_VALUE"""),44602)</f>
        <v>44602</v>
      </c>
      <c r="C4149" s="22">
        <f ca="1">IFERROR(__xludf.DUMMYFUNCTION("""COMPUTED_VALUE"""),500000)</f>
        <v>500000</v>
      </c>
      <c r="D4149" s="22">
        <f ca="1">IFERROR(__xludf.DUMMYFUNCTION("""COMPUTED_VALUE"""),0)</f>
        <v>0</v>
      </c>
      <c r="E4149" s="22">
        <f ca="1">IFERROR(__xludf.DUMMYFUNCTION("""COMPUTED_VALUE"""),500000)</f>
        <v>500000</v>
      </c>
      <c r="F4149" s="22">
        <f ca="1">IFERROR(__xludf.DUMMYFUNCTION("""COMPUTED_VALUE"""),500000)</f>
        <v>500000</v>
      </c>
      <c r="G4149" s="22">
        <f ca="1">IFERROR(__xludf.DUMMYFUNCTION("""COMPUTED_VALUE"""),0)</f>
        <v>0</v>
      </c>
      <c r="H4149" s="7">
        <f ca="1">IFERROR(__xludf.DUMMYFUNCTION("""COMPUTED_VALUE"""),500000)</f>
        <v>500000</v>
      </c>
    </row>
    <row r="4150" spans="1:8" ht="13" x14ac:dyDescent="0.15">
      <c r="A4150" s="5" t="str">
        <f ca="1">IFERROR(__xludf.DUMMYFUNCTION("""COMPUTED_VALUE"""),"76848")</f>
        <v>76848</v>
      </c>
      <c r="B4150" s="51">
        <f ca="1">IFERROR(__xludf.DUMMYFUNCTION("""COMPUTED_VALUE"""),44603)</f>
        <v>44603</v>
      </c>
      <c r="C4150" s="22">
        <f ca="1">IFERROR(__xludf.DUMMYFUNCTION("""COMPUTED_VALUE"""),489350.731138)</f>
        <v>489350.73113799997</v>
      </c>
      <c r="D4150" s="22">
        <f ca="1">IFERROR(__xludf.DUMMYFUNCTION("""COMPUTED_VALUE"""),10649.268862)</f>
        <v>10649.268862000001</v>
      </c>
      <c r="E4150" s="22">
        <f ca="1">IFERROR(__xludf.DUMMYFUNCTION("""COMPUTED_VALUE"""),500000)</f>
        <v>500000</v>
      </c>
      <c r="F4150" s="22">
        <f ca="1">IFERROR(__xludf.DUMMYFUNCTION("""COMPUTED_VALUE"""),489350.731138)</f>
        <v>489350.73113799997</v>
      </c>
      <c r="G4150" s="22">
        <f ca="1">IFERROR(__xludf.DUMMYFUNCTION("""COMPUTED_VALUE"""),0)</f>
        <v>0</v>
      </c>
      <c r="H4150" s="7">
        <f ca="1">IFERROR(__xludf.DUMMYFUNCTION("""COMPUTED_VALUE"""),500000)</f>
        <v>500000</v>
      </c>
    </row>
    <row r="4151" spans="1:8" ht="13" x14ac:dyDescent="0.15">
      <c r="A4151" s="5" t="str">
        <f ca="1">IFERROR(__xludf.DUMMYFUNCTION("""COMPUTED_VALUE"""),"76848")</f>
        <v>76848</v>
      </c>
      <c r="B4151" s="51">
        <f ca="1">IFERROR(__xludf.DUMMYFUNCTION("""COMPUTED_VALUE"""),44604)</f>
        <v>44604</v>
      </c>
      <c r="C4151" s="22">
        <f ca="1">IFERROR(__xludf.DUMMYFUNCTION("""COMPUTED_VALUE"""),489350.731138)</f>
        <v>489350.73113799997</v>
      </c>
      <c r="D4151" s="22">
        <f ca="1">IFERROR(__xludf.DUMMYFUNCTION("""COMPUTED_VALUE"""),10649.268862)</f>
        <v>10649.268862000001</v>
      </c>
      <c r="E4151" s="22">
        <f ca="1">IFERROR(__xludf.DUMMYFUNCTION("""COMPUTED_VALUE"""),500000)</f>
        <v>500000</v>
      </c>
      <c r="F4151" s="22">
        <f ca="1">IFERROR(__xludf.DUMMYFUNCTION("""COMPUTED_VALUE"""),489350.731138)</f>
        <v>489350.73113799997</v>
      </c>
      <c r="G4151" s="22">
        <f ca="1">IFERROR(__xludf.DUMMYFUNCTION("""COMPUTED_VALUE"""),0)</f>
        <v>0</v>
      </c>
      <c r="H4151" s="7">
        <f ca="1">IFERROR(__xludf.DUMMYFUNCTION("""COMPUTED_VALUE"""),500000)</f>
        <v>500000</v>
      </c>
    </row>
    <row r="4152" spans="1:8" ht="13" x14ac:dyDescent="0.15">
      <c r="A4152" s="5" t="str">
        <f ca="1">IFERROR(__xludf.DUMMYFUNCTION("""COMPUTED_VALUE"""),"76848")</f>
        <v>76848</v>
      </c>
      <c r="B4152" s="51">
        <f ca="1">IFERROR(__xludf.DUMMYFUNCTION("""COMPUTED_VALUE"""),44605)</f>
        <v>44605</v>
      </c>
      <c r="C4152" s="22">
        <f ca="1">IFERROR(__xludf.DUMMYFUNCTION("""COMPUTED_VALUE"""),489350.731138)</f>
        <v>489350.73113799997</v>
      </c>
      <c r="D4152" s="22">
        <f ca="1">IFERROR(__xludf.DUMMYFUNCTION("""COMPUTED_VALUE"""),10649.720018)</f>
        <v>10649.720018</v>
      </c>
      <c r="E4152" s="22">
        <f ca="1">IFERROR(__xludf.DUMMYFUNCTION("""COMPUTED_VALUE"""),500000.451155999)</f>
        <v>500000.45115599898</v>
      </c>
      <c r="F4152" s="22">
        <f ca="1">IFERROR(__xludf.DUMMYFUNCTION("""COMPUTED_VALUE"""),489350.731138)</f>
        <v>489350.73113799997</v>
      </c>
      <c r="G4152" s="22">
        <f ca="1">IFERROR(__xludf.DUMMYFUNCTION("""COMPUTED_VALUE"""),0)</f>
        <v>0</v>
      </c>
      <c r="H4152" s="7">
        <f ca="1">IFERROR(__xludf.DUMMYFUNCTION("""COMPUTED_VALUE"""),500000.451155999)</f>
        <v>500000.45115599898</v>
      </c>
    </row>
    <row r="4153" spans="1:8" ht="13" x14ac:dyDescent="0.15">
      <c r="A4153" s="5" t="str">
        <f ca="1">IFERROR(__xludf.DUMMYFUNCTION("""COMPUTED_VALUE"""),"76848")</f>
        <v>76848</v>
      </c>
      <c r="B4153" s="51">
        <f ca="1">IFERROR(__xludf.DUMMYFUNCTION("""COMPUTED_VALUE"""),44606)</f>
        <v>44606</v>
      </c>
      <c r="C4153" s="22">
        <f ca="1">IFERROR(__xludf.DUMMYFUNCTION("""COMPUTED_VALUE"""),489350.731138)</f>
        <v>489350.73113799997</v>
      </c>
      <c r="D4153" s="22">
        <f ca="1">IFERROR(__xludf.DUMMYFUNCTION("""COMPUTED_VALUE"""),10701.788742)</f>
        <v>10701.788742000001</v>
      </c>
      <c r="E4153" s="22">
        <f ca="1">IFERROR(__xludf.DUMMYFUNCTION("""COMPUTED_VALUE"""),500052.51988)</f>
        <v>500052.51987999998</v>
      </c>
      <c r="F4153" s="22">
        <f ca="1">IFERROR(__xludf.DUMMYFUNCTION("""COMPUTED_VALUE"""),489350.731138)</f>
        <v>489350.73113799997</v>
      </c>
      <c r="G4153" s="22">
        <f ca="1">IFERROR(__xludf.DUMMYFUNCTION("""COMPUTED_VALUE"""),0)</f>
        <v>0</v>
      </c>
      <c r="H4153" s="7">
        <f ca="1">IFERROR(__xludf.DUMMYFUNCTION("""COMPUTED_VALUE"""),500027.51988)</f>
        <v>500027.51987999998</v>
      </c>
    </row>
    <row r="4154" spans="1:8" ht="13" x14ac:dyDescent="0.15">
      <c r="A4154" s="5" t="str">
        <f ca="1">IFERROR(__xludf.DUMMYFUNCTION("""COMPUTED_VALUE"""),"76848")</f>
        <v>76848</v>
      </c>
      <c r="B4154" s="51">
        <f ca="1">IFERROR(__xludf.DUMMYFUNCTION("""COMPUTED_VALUE"""),44607)</f>
        <v>44607</v>
      </c>
      <c r="C4154" s="22">
        <f ca="1">IFERROR(__xludf.DUMMYFUNCTION("""COMPUTED_VALUE"""),489350.731138)</f>
        <v>489350.73113799997</v>
      </c>
      <c r="D4154" s="22">
        <f ca="1">IFERROR(__xludf.DUMMYFUNCTION("""COMPUTED_VALUE"""),11463.8629925)</f>
        <v>11463.8629925</v>
      </c>
      <c r="E4154" s="22">
        <f ca="1">IFERROR(__xludf.DUMMYFUNCTION("""COMPUTED_VALUE"""),500814.5941305)</f>
        <v>500814.59413049999</v>
      </c>
      <c r="F4154" s="22">
        <f ca="1">IFERROR(__xludf.DUMMYFUNCTION("""COMPUTED_VALUE"""),489350.731138)</f>
        <v>489350.73113799997</v>
      </c>
      <c r="G4154" s="22">
        <f ca="1">IFERROR(__xludf.DUMMYFUNCTION("""COMPUTED_VALUE"""),0)</f>
        <v>0</v>
      </c>
      <c r="H4154" s="7">
        <f ca="1">IFERROR(__xludf.DUMMYFUNCTION("""COMPUTED_VALUE"""),500724.5941305)</f>
        <v>500724.59413049999</v>
      </c>
    </row>
    <row r="4155" spans="1:8" ht="13" x14ac:dyDescent="0.15">
      <c r="A4155" s="5" t="str">
        <f ca="1">IFERROR(__xludf.DUMMYFUNCTION("""COMPUTED_VALUE"""),"76848")</f>
        <v>76848</v>
      </c>
      <c r="B4155" s="51">
        <f ca="1">IFERROR(__xludf.DUMMYFUNCTION("""COMPUTED_VALUE"""),44608)</f>
        <v>44608</v>
      </c>
      <c r="C4155" s="22">
        <f ca="1">IFERROR(__xludf.DUMMYFUNCTION("""COMPUTED_VALUE"""),489350.731138)</f>
        <v>489350.73113799997</v>
      </c>
      <c r="D4155" s="22">
        <f ca="1">IFERROR(__xludf.DUMMYFUNCTION("""COMPUTED_VALUE"""),11200.77995)</f>
        <v>11200.77995</v>
      </c>
      <c r="E4155" s="22">
        <f ca="1">IFERROR(__xludf.DUMMYFUNCTION("""COMPUTED_VALUE"""),500551.511087999)</f>
        <v>500551.51108799898</v>
      </c>
      <c r="F4155" s="22">
        <f ca="1">IFERROR(__xludf.DUMMYFUNCTION("""COMPUTED_VALUE"""),489350.731138)</f>
        <v>489350.73113799997</v>
      </c>
      <c r="G4155" s="22">
        <f ca="1">IFERROR(__xludf.DUMMYFUNCTION("""COMPUTED_VALUE"""),0)</f>
        <v>0</v>
      </c>
      <c r="H4155" s="7">
        <f ca="1">IFERROR(__xludf.DUMMYFUNCTION("""COMPUTED_VALUE"""),500466.511087999)</f>
        <v>500466.51108799898</v>
      </c>
    </row>
    <row r="4156" spans="1:8" ht="13" x14ac:dyDescent="0.15">
      <c r="A4156" s="5" t="str">
        <f ca="1">IFERROR(__xludf.DUMMYFUNCTION("""COMPUTED_VALUE"""),"76848")</f>
        <v>76848</v>
      </c>
      <c r="B4156" s="51">
        <f ca="1">IFERROR(__xludf.DUMMYFUNCTION("""COMPUTED_VALUE"""),44609)</f>
        <v>44609</v>
      </c>
      <c r="C4156" s="22">
        <f ca="1">IFERROR(__xludf.DUMMYFUNCTION("""COMPUTED_VALUE"""),436133.4699355)</f>
        <v>436133.4699355</v>
      </c>
      <c r="D4156" s="22">
        <f ca="1">IFERROR(__xludf.DUMMYFUNCTION("""COMPUTED_VALUE"""),63708.5224839999)</f>
        <v>63708.522483999899</v>
      </c>
      <c r="E4156" s="22">
        <f ca="1">IFERROR(__xludf.DUMMYFUNCTION("""COMPUTED_VALUE"""),499841.9924195)</f>
        <v>499841.99241950002</v>
      </c>
      <c r="F4156" s="22">
        <f ca="1">IFERROR(__xludf.DUMMYFUNCTION("""COMPUTED_VALUE"""),436133.469935499)</f>
        <v>436133.46993549902</v>
      </c>
      <c r="G4156" s="22">
        <f ca="1">IFERROR(__xludf.DUMMYFUNCTION("""COMPUTED_VALUE"""),0)</f>
        <v>0</v>
      </c>
      <c r="H4156" s="7">
        <f ca="1">IFERROR(__xludf.DUMMYFUNCTION("""COMPUTED_VALUE"""),499841.9924195)</f>
        <v>499841.99241950002</v>
      </c>
    </row>
    <row r="4157" spans="1:8" ht="13" x14ac:dyDescent="0.15">
      <c r="A4157" s="5" t="str">
        <f ca="1">IFERROR(__xludf.DUMMYFUNCTION("""COMPUTED_VALUE"""),"76848")</f>
        <v>76848</v>
      </c>
      <c r="B4157" s="51">
        <f ca="1">IFERROR(__xludf.DUMMYFUNCTION("""COMPUTED_VALUE"""),44610)</f>
        <v>44610</v>
      </c>
      <c r="C4157" s="22">
        <f ca="1">IFERROR(__xludf.DUMMYFUNCTION("""COMPUTED_VALUE"""),436133.4699355)</f>
        <v>436133.4699355</v>
      </c>
      <c r="D4157" s="22">
        <f ca="1">IFERROR(__xludf.DUMMYFUNCTION("""COMPUTED_VALUE"""),63090.6101394999)</f>
        <v>63090.610139499899</v>
      </c>
      <c r="E4157" s="22">
        <f ca="1">IFERROR(__xludf.DUMMYFUNCTION("""COMPUTED_VALUE"""),499224.080075)</f>
        <v>499224.08007500001</v>
      </c>
      <c r="F4157" s="22">
        <f ca="1">IFERROR(__xludf.DUMMYFUNCTION("""COMPUTED_VALUE"""),436133.469935499)</f>
        <v>436133.46993549902</v>
      </c>
      <c r="G4157" s="22">
        <f ca="1">IFERROR(__xludf.DUMMYFUNCTION("""COMPUTED_VALUE"""),0)</f>
        <v>0</v>
      </c>
      <c r="H4157" s="7">
        <f ca="1">IFERROR(__xludf.DUMMYFUNCTION("""COMPUTED_VALUE"""),498016.7192975)</f>
        <v>498016.71929749998</v>
      </c>
    </row>
    <row r="4158" spans="1:8" ht="13" x14ac:dyDescent="0.15">
      <c r="A4158" s="5" t="str">
        <f ca="1">IFERROR(__xludf.DUMMYFUNCTION("""COMPUTED_VALUE"""),"76848")</f>
        <v>76848</v>
      </c>
      <c r="B4158" s="51">
        <f ca="1">IFERROR(__xludf.DUMMYFUNCTION("""COMPUTED_VALUE"""),44611)</f>
        <v>44611</v>
      </c>
      <c r="C4158" s="22">
        <f ca="1">IFERROR(__xludf.DUMMYFUNCTION("""COMPUTED_VALUE"""),436133.4699355)</f>
        <v>436133.4699355</v>
      </c>
      <c r="D4158" s="22">
        <f ca="1">IFERROR(__xludf.DUMMYFUNCTION("""COMPUTED_VALUE"""),63090.6101394999)</f>
        <v>63090.610139499899</v>
      </c>
      <c r="E4158" s="22">
        <f ca="1">IFERROR(__xludf.DUMMYFUNCTION("""COMPUTED_VALUE"""),499224.080075)</f>
        <v>499224.08007500001</v>
      </c>
      <c r="F4158" s="22">
        <f ca="1">IFERROR(__xludf.DUMMYFUNCTION("""COMPUTED_VALUE"""),436133.469935499)</f>
        <v>436133.46993549902</v>
      </c>
      <c r="G4158" s="22">
        <f ca="1">IFERROR(__xludf.DUMMYFUNCTION("""COMPUTED_VALUE"""),0)</f>
        <v>0</v>
      </c>
      <c r="H4158" s="7">
        <f ca="1">IFERROR(__xludf.DUMMYFUNCTION("""COMPUTED_VALUE"""),498016.7192975)</f>
        <v>498016.71929749998</v>
      </c>
    </row>
    <row r="4159" spans="1:8" ht="13" x14ac:dyDescent="0.15">
      <c r="A4159" s="5" t="str">
        <f ca="1">IFERROR(__xludf.DUMMYFUNCTION("""COMPUTED_VALUE"""),"76848")</f>
        <v>76848</v>
      </c>
      <c r="B4159" s="51">
        <f ca="1">IFERROR(__xludf.DUMMYFUNCTION("""COMPUTED_VALUE"""),44612)</f>
        <v>44612</v>
      </c>
      <c r="C4159" s="22">
        <f ca="1">IFERROR(__xludf.DUMMYFUNCTION("""COMPUTED_VALUE"""),436133.4699355)</f>
        <v>436133.4699355</v>
      </c>
      <c r="D4159" s="22">
        <f ca="1">IFERROR(__xludf.DUMMYFUNCTION("""COMPUTED_VALUE"""),63090.3560839999)</f>
        <v>63090.356083999897</v>
      </c>
      <c r="E4159" s="22">
        <f ca="1">IFERROR(__xludf.DUMMYFUNCTION("""COMPUTED_VALUE"""),499223.8260195)</f>
        <v>499223.82601949997</v>
      </c>
      <c r="F4159" s="22">
        <f ca="1">IFERROR(__xludf.DUMMYFUNCTION("""COMPUTED_VALUE"""),436133.469935499)</f>
        <v>436133.46993549902</v>
      </c>
      <c r="G4159" s="22">
        <f ca="1">IFERROR(__xludf.DUMMYFUNCTION("""COMPUTED_VALUE"""),0)</f>
        <v>0</v>
      </c>
      <c r="H4159" s="7">
        <f ca="1">IFERROR(__xludf.DUMMYFUNCTION("""COMPUTED_VALUE"""),498014.6983545)</f>
        <v>498014.6983545</v>
      </c>
    </row>
    <row r="4160" spans="1:8" ht="13" x14ac:dyDescent="0.15">
      <c r="A4160" s="5" t="str">
        <f ca="1">IFERROR(__xludf.DUMMYFUNCTION("""COMPUTED_VALUE"""),"76848")</f>
        <v>76848</v>
      </c>
      <c r="B4160" s="51">
        <f ca="1">IFERROR(__xludf.DUMMYFUNCTION("""COMPUTED_VALUE"""),44613)</f>
        <v>44613</v>
      </c>
      <c r="C4160" s="22">
        <f ca="1">IFERROR(__xludf.DUMMYFUNCTION("""COMPUTED_VALUE"""),436133.4699355)</f>
        <v>436133.4699355</v>
      </c>
      <c r="D4160" s="22">
        <f ca="1">IFERROR(__xludf.DUMMYFUNCTION("""COMPUTED_VALUE"""),63111.0846959999)</f>
        <v>63111.084695999903</v>
      </c>
      <c r="E4160" s="22">
        <f ca="1">IFERROR(__xludf.DUMMYFUNCTION("""COMPUTED_VALUE"""),499244.5546315)</f>
        <v>499244.55463149998</v>
      </c>
      <c r="F4160" s="22">
        <f ca="1">IFERROR(__xludf.DUMMYFUNCTION("""COMPUTED_VALUE"""),436133.469935499)</f>
        <v>436133.46993549902</v>
      </c>
      <c r="G4160" s="22">
        <f ca="1">IFERROR(__xludf.DUMMYFUNCTION("""COMPUTED_VALUE"""),0)</f>
        <v>0</v>
      </c>
      <c r="H4160" s="7">
        <f ca="1">IFERROR(__xludf.DUMMYFUNCTION("""COMPUTED_VALUE"""),498040.4942665)</f>
        <v>498040.4942665</v>
      </c>
    </row>
    <row r="4161" spans="1:8" ht="13" x14ac:dyDescent="0.15">
      <c r="A4161" s="5" t="str">
        <f ca="1">IFERROR(__xludf.DUMMYFUNCTION("""COMPUTED_VALUE"""),"76848")</f>
        <v>76848</v>
      </c>
      <c r="B4161" s="51">
        <f ca="1">IFERROR(__xludf.DUMMYFUNCTION("""COMPUTED_VALUE"""),44614)</f>
        <v>44614</v>
      </c>
      <c r="C4161" s="22">
        <f ca="1">IFERROR(__xludf.DUMMYFUNCTION("""COMPUTED_VALUE"""),436133.4699355)</f>
        <v>436133.4699355</v>
      </c>
      <c r="D4161" s="22">
        <f ca="1">IFERROR(__xludf.DUMMYFUNCTION("""COMPUTED_VALUE"""),62987.8589774999)</f>
        <v>62987.858977499898</v>
      </c>
      <c r="E4161" s="22">
        <f ca="1">IFERROR(__xludf.DUMMYFUNCTION("""COMPUTED_VALUE"""),499121.328913)</f>
        <v>499121.328913</v>
      </c>
      <c r="F4161" s="22">
        <f ca="1">IFERROR(__xludf.DUMMYFUNCTION("""COMPUTED_VALUE"""),436133.469935499)</f>
        <v>436133.46993549902</v>
      </c>
      <c r="G4161" s="22">
        <f ca="1">IFERROR(__xludf.DUMMYFUNCTION("""COMPUTED_VALUE"""),0)</f>
        <v>0</v>
      </c>
      <c r="H4161" s="7">
        <f ca="1">IFERROR(__xludf.DUMMYFUNCTION("""COMPUTED_VALUE"""),496716.8654605)</f>
        <v>496716.8654605</v>
      </c>
    </row>
    <row r="4162" spans="1:8" ht="13" x14ac:dyDescent="0.15">
      <c r="A4162" s="5" t="str">
        <f ca="1">IFERROR(__xludf.DUMMYFUNCTION("""COMPUTED_VALUE"""),"76848")</f>
        <v>76848</v>
      </c>
      <c r="B4162" s="51">
        <f ca="1">IFERROR(__xludf.DUMMYFUNCTION("""COMPUTED_VALUE"""),44615)</f>
        <v>44615</v>
      </c>
      <c r="C4162" s="22">
        <f ca="1">IFERROR(__xludf.DUMMYFUNCTION("""COMPUTED_VALUE"""),436133.4699355)</f>
        <v>436133.4699355</v>
      </c>
      <c r="D4162" s="22">
        <f ca="1">IFERROR(__xludf.DUMMYFUNCTION("""COMPUTED_VALUE"""),62716.7592324999)</f>
        <v>62716.759232499899</v>
      </c>
      <c r="E4162" s="22">
        <f ca="1">IFERROR(__xludf.DUMMYFUNCTION("""COMPUTED_VALUE"""),498850.229168)</f>
        <v>498850.22916799999</v>
      </c>
      <c r="F4162" s="22">
        <f ca="1">IFERROR(__xludf.DUMMYFUNCTION("""COMPUTED_VALUE"""),436133.469935499)</f>
        <v>436133.46993549902</v>
      </c>
      <c r="G4162" s="22">
        <f ca="1">IFERROR(__xludf.DUMMYFUNCTION("""COMPUTED_VALUE"""),0)</f>
        <v>0</v>
      </c>
      <c r="H4162" s="7">
        <f ca="1">IFERROR(__xludf.DUMMYFUNCTION("""COMPUTED_VALUE"""),495533.2098155)</f>
        <v>495533.20981550001</v>
      </c>
    </row>
    <row r="4163" spans="1:8" ht="13" x14ac:dyDescent="0.15">
      <c r="A4163" s="5" t="str">
        <f ca="1">IFERROR(__xludf.DUMMYFUNCTION("""COMPUTED_VALUE"""),"76848")</f>
        <v>76848</v>
      </c>
      <c r="B4163" s="51">
        <f ca="1">IFERROR(__xludf.DUMMYFUNCTION("""COMPUTED_VALUE"""),44616)</f>
        <v>44616</v>
      </c>
      <c r="C4163" s="22">
        <f ca="1">IFERROR(__xludf.DUMMYFUNCTION("""COMPUTED_VALUE"""),444595.5093855)</f>
        <v>444595.50938549999</v>
      </c>
      <c r="D4163" s="22">
        <f ca="1">IFERROR(__xludf.DUMMYFUNCTION("""COMPUTED_VALUE"""),54410.50025)</f>
        <v>54410.500249999997</v>
      </c>
      <c r="E4163" s="22">
        <f ca="1">IFERROR(__xludf.DUMMYFUNCTION("""COMPUTED_VALUE"""),499006.009635499)</f>
        <v>499006.00963549898</v>
      </c>
      <c r="F4163" s="22">
        <f ca="1">IFERROR(__xludf.DUMMYFUNCTION("""COMPUTED_VALUE"""),444595.509385499)</f>
        <v>444595.509385499</v>
      </c>
      <c r="G4163" s="22">
        <f ca="1">IFERROR(__xludf.DUMMYFUNCTION("""COMPUTED_VALUE"""),0)</f>
        <v>0</v>
      </c>
      <c r="H4163" s="7">
        <f ca="1">IFERROR(__xludf.DUMMYFUNCTION("""COMPUTED_VALUE"""),499006.009635499)</f>
        <v>499006.00963549898</v>
      </c>
    </row>
    <row r="4164" spans="1:8" ht="13" x14ac:dyDescent="0.15">
      <c r="A4164" s="5" t="str">
        <f ca="1">IFERROR(__xludf.DUMMYFUNCTION("""COMPUTED_VALUE"""),"76848")</f>
        <v>76848</v>
      </c>
      <c r="B4164" s="51">
        <f ca="1">IFERROR(__xludf.DUMMYFUNCTION("""COMPUTED_VALUE"""),44617)</f>
        <v>44617</v>
      </c>
      <c r="C4164" s="22">
        <f ca="1">IFERROR(__xludf.DUMMYFUNCTION("""COMPUTED_VALUE"""),367551.781635499)</f>
        <v>367551.78163549898</v>
      </c>
      <c r="D4164" s="22">
        <f ca="1">IFERROR(__xludf.DUMMYFUNCTION("""COMPUTED_VALUE"""),131648.1521)</f>
        <v>131648.15210000001</v>
      </c>
      <c r="E4164" s="22">
        <f ca="1">IFERROR(__xludf.DUMMYFUNCTION("""COMPUTED_VALUE"""),499199.9337355)</f>
        <v>499199.93373549997</v>
      </c>
      <c r="F4164" s="22">
        <f ca="1">IFERROR(__xludf.DUMMYFUNCTION("""COMPUTED_VALUE"""),367551.781635499)</f>
        <v>367551.78163549898</v>
      </c>
      <c r="G4164" s="22">
        <f ca="1">IFERROR(__xludf.DUMMYFUNCTION("""COMPUTED_VALUE"""),0)</f>
        <v>0</v>
      </c>
      <c r="H4164" s="7">
        <f ca="1">IFERROR(__xludf.DUMMYFUNCTION("""COMPUTED_VALUE"""),499199.9337355)</f>
        <v>499199.93373549997</v>
      </c>
    </row>
    <row r="4165" spans="1:8" ht="13" x14ac:dyDescent="0.15">
      <c r="A4165" s="5" t="str">
        <f ca="1">IFERROR(__xludf.DUMMYFUNCTION("""COMPUTED_VALUE"""),"76848")</f>
        <v>76848</v>
      </c>
      <c r="B4165" s="51">
        <f ca="1">IFERROR(__xludf.DUMMYFUNCTION("""COMPUTED_VALUE"""),44618)</f>
        <v>44618</v>
      </c>
      <c r="C4165" s="22">
        <f ca="1">IFERROR(__xludf.DUMMYFUNCTION("""COMPUTED_VALUE"""),367551.781635499)</f>
        <v>367551.78163549898</v>
      </c>
      <c r="D4165" s="22">
        <f ca="1">IFERROR(__xludf.DUMMYFUNCTION("""COMPUTED_VALUE"""),131650.5491)</f>
        <v>131650.5491</v>
      </c>
      <c r="E4165" s="22">
        <f ca="1">IFERROR(__xludf.DUMMYFUNCTION("""COMPUTED_VALUE"""),499202.330735499)</f>
        <v>499202.33073549898</v>
      </c>
      <c r="F4165" s="22">
        <f ca="1">IFERROR(__xludf.DUMMYFUNCTION("""COMPUTED_VALUE"""),367551.781635499)</f>
        <v>367551.78163549898</v>
      </c>
      <c r="G4165" s="22">
        <f ca="1">IFERROR(__xludf.DUMMYFUNCTION("""COMPUTED_VALUE"""),0)</f>
        <v>0</v>
      </c>
      <c r="H4165" s="7">
        <f ca="1">IFERROR(__xludf.DUMMYFUNCTION("""COMPUTED_VALUE"""),499202.330735499)</f>
        <v>499202.33073549898</v>
      </c>
    </row>
    <row r="4166" spans="1:8" ht="13" x14ac:dyDescent="0.15">
      <c r="A4166" s="5" t="str">
        <f ca="1">IFERROR(__xludf.DUMMYFUNCTION("""COMPUTED_VALUE"""),"76848")</f>
        <v>76848</v>
      </c>
      <c r="B4166" s="51">
        <f ca="1">IFERROR(__xludf.DUMMYFUNCTION("""COMPUTED_VALUE"""),44619)</f>
        <v>44619</v>
      </c>
      <c r="C4166" s="22">
        <f ca="1">IFERROR(__xludf.DUMMYFUNCTION("""COMPUTED_VALUE"""),367551.781635499)</f>
        <v>367551.78163549898</v>
      </c>
      <c r="D4166" s="22">
        <f ca="1">IFERROR(__xludf.DUMMYFUNCTION("""COMPUTED_VALUE"""),131645.036)</f>
        <v>131645.03599999999</v>
      </c>
      <c r="E4166" s="22">
        <f ca="1">IFERROR(__xludf.DUMMYFUNCTION("""COMPUTED_VALUE"""),499196.8176355)</f>
        <v>499196.81763549999</v>
      </c>
      <c r="F4166" s="22">
        <f ca="1">IFERROR(__xludf.DUMMYFUNCTION("""COMPUTED_VALUE"""),367551.781635499)</f>
        <v>367551.78163549898</v>
      </c>
      <c r="G4166" s="22">
        <f ca="1">IFERROR(__xludf.DUMMYFUNCTION("""COMPUTED_VALUE"""),0)</f>
        <v>0</v>
      </c>
      <c r="H4166" s="7">
        <f ca="1">IFERROR(__xludf.DUMMYFUNCTION("""COMPUTED_VALUE"""),499196.8176355)</f>
        <v>499196.81763549999</v>
      </c>
    </row>
    <row r="4167" spans="1:8" ht="13" x14ac:dyDescent="0.15">
      <c r="A4167" s="5" t="str">
        <f ca="1">IFERROR(__xludf.DUMMYFUNCTION("""COMPUTED_VALUE"""),"76848")</f>
        <v>76848</v>
      </c>
      <c r="B4167" s="51">
        <f ca="1">IFERROR(__xludf.DUMMYFUNCTION("""COMPUTED_VALUE"""),44620)</f>
        <v>44620</v>
      </c>
      <c r="C4167" s="22">
        <f ca="1">IFERROR(__xludf.DUMMYFUNCTION("""COMPUTED_VALUE"""),367551.781635499)</f>
        <v>367551.78163549898</v>
      </c>
      <c r="D4167" s="22">
        <f ca="1">IFERROR(__xludf.DUMMYFUNCTION("""COMPUTED_VALUE"""),134317.3543)</f>
        <v>134317.35430000001</v>
      </c>
      <c r="E4167" s="22">
        <f ca="1">IFERROR(__xludf.DUMMYFUNCTION("""COMPUTED_VALUE"""),501869.1359355)</f>
        <v>501869.13593549997</v>
      </c>
      <c r="F4167" s="22">
        <f ca="1">IFERROR(__xludf.DUMMYFUNCTION("""COMPUTED_VALUE"""),367551.781635499)</f>
        <v>367551.78163549898</v>
      </c>
      <c r="G4167" s="22">
        <f ca="1">IFERROR(__xludf.DUMMYFUNCTION("""COMPUTED_VALUE"""),0)</f>
        <v>0</v>
      </c>
      <c r="H4167" s="7">
        <f ca="1">IFERROR(__xludf.DUMMYFUNCTION("""COMPUTED_VALUE"""),501869.1359355)</f>
        <v>501869.13593549997</v>
      </c>
    </row>
    <row r="4168" spans="1:8" ht="13" x14ac:dyDescent="0.15">
      <c r="A4168" s="5" t="str">
        <f ca="1">IFERROR(__xludf.DUMMYFUNCTION("""COMPUTED_VALUE"""),"76848")</f>
        <v>76848</v>
      </c>
      <c r="B4168" s="51">
        <f ca="1">IFERROR(__xludf.DUMMYFUNCTION("""COMPUTED_VALUE"""),44621)</f>
        <v>44621</v>
      </c>
      <c r="C4168" s="22">
        <f ca="1">IFERROR(__xludf.DUMMYFUNCTION("""COMPUTED_VALUE"""),367551.781635499)</f>
        <v>367551.78163549898</v>
      </c>
      <c r="D4168" s="22">
        <f ca="1">IFERROR(__xludf.DUMMYFUNCTION("""COMPUTED_VALUE"""),140393.4360325)</f>
        <v>140393.4360325</v>
      </c>
      <c r="E4168" s="22">
        <f ca="1">IFERROR(__xludf.DUMMYFUNCTION("""COMPUTED_VALUE"""),507945.217667999)</f>
        <v>507945.21766799898</v>
      </c>
      <c r="F4168" s="22">
        <f ca="1">IFERROR(__xludf.DUMMYFUNCTION("""COMPUTED_VALUE"""),367551.781635499)</f>
        <v>367551.78163549898</v>
      </c>
      <c r="G4168" s="22">
        <f ca="1">IFERROR(__xludf.DUMMYFUNCTION("""COMPUTED_VALUE"""),0)</f>
        <v>0</v>
      </c>
      <c r="H4168" s="7">
        <f ca="1">IFERROR(__xludf.DUMMYFUNCTION("""COMPUTED_VALUE"""),507945.217667999)</f>
        <v>507945.21766799898</v>
      </c>
    </row>
    <row r="4169" spans="1:8" ht="13" x14ac:dyDescent="0.15">
      <c r="A4169" s="5" t="str">
        <f ca="1">IFERROR(__xludf.DUMMYFUNCTION("""COMPUTED_VALUE"""),"76848")</f>
        <v>76848</v>
      </c>
      <c r="B4169" s="51">
        <f ca="1">IFERROR(__xludf.DUMMYFUNCTION("""COMPUTED_VALUE"""),44622)</f>
        <v>44622</v>
      </c>
      <c r="C4169" s="22">
        <f ca="1">IFERROR(__xludf.DUMMYFUNCTION("""COMPUTED_VALUE"""),367551.781635499)</f>
        <v>367551.78163549898</v>
      </c>
      <c r="D4169" s="22">
        <f ca="1">IFERROR(__xludf.DUMMYFUNCTION("""COMPUTED_VALUE"""),146676.5655)</f>
        <v>146676.5655</v>
      </c>
      <c r="E4169" s="22">
        <f ca="1">IFERROR(__xludf.DUMMYFUNCTION("""COMPUTED_VALUE"""),514228.347135499)</f>
        <v>514228.347135499</v>
      </c>
      <c r="F4169" s="22">
        <f ca="1">IFERROR(__xludf.DUMMYFUNCTION("""COMPUTED_VALUE"""),367551.781635499)</f>
        <v>367551.78163549898</v>
      </c>
      <c r="G4169" s="22">
        <f ca="1">IFERROR(__xludf.DUMMYFUNCTION("""COMPUTED_VALUE"""),0)</f>
        <v>0</v>
      </c>
      <c r="H4169" s="7">
        <f ca="1">IFERROR(__xludf.DUMMYFUNCTION("""COMPUTED_VALUE"""),514228.347135499)</f>
        <v>514228.347135499</v>
      </c>
    </row>
    <row r="4170" spans="1:8" ht="13" x14ac:dyDescent="0.15">
      <c r="A4170" s="5" t="str">
        <f ca="1">IFERROR(__xludf.DUMMYFUNCTION("""COMPUTED_VALUE"""),"76848")</f>
        <v>76848</v>
      </c>
      <c r="B4170" s="51">
        <f ca="1">IFERROR(__xludf.DUMMYFUNCTION("""COMPUTED_VALUE"""),44623)</f>
        <v>44623</v>
      </c>
      <c r="C4170" s="22">
        <f ca="1">IFERROR(__xludf.DUMMYFUNCTION("""COMPUTED_VALUE"""),367551.781635499)</f>
        <v>367551.78163549898</v>
      </c>
      <c r="D4170" s="22">
        <f ca="1">IFERROR(__xludf.DUMMYFUNCTION("""COMPUTED_VALUE"""),143791.45425)</f>
        <v>143791.45425000001</v>
      </c>
      <c r="E4170" s="22">
        <f ca="1">IFERROR(__xludf.DUMMYFUNCTION("""COMPUTED_VALUE"""),511343.2358855)</f>
        <v>511343.23588549998</v>
      </c>
      <c r="F4170" s="22">
        <f ca="1">IFERROR(__xludf.DUMMYFUNCTION("""COMPUTED_VALUE"""),367551.781635499)</f>
        <v>367551.78163549898</v>
      </c>
      <c r="G4170" s="22">
        <f ca="1">IFERROR(__xludf.DUMMYFUNCTION("""COMPUTED_VALUE"""),0)</f>
        <v>0</v>
      </c>
      <c r="H4170" s="7">
        <f ca="1">IFERROR(__xludf.DUMMYFUNCTION("""COMPUTED_VALUE"""),511343.2358855)</f>
        <v>511343.23588549998</v>
      </c>
    </row>
    <row r="4171" spans="1:8" ht="13" x14ac:dyDescent="0.15">
      <c r="A4171" s="5" t="str">
        <f ca="1">IFERROR(__xludf.DUMMYFUNCTION("""COMPUTED_VALUE"""),"76848")</f>
        <v>76848</v>
      </c>
      <c r="B4171" s="51">
        <f ca="1">IFERROR(__xludf.DUMMYFUNCTION("""COMPUTED_VALUE"""),44624)</f>
        <v>44624</v>
      </c>
      <c r="C4171" s="22">
        <f ca="1">IFERROR(__xludf.DUMMYFUNCTION("""COMPUTED_VALUE"""),469243.695843499)</f>
        <v>469243.69584349898</v>
      </c>
      <c r="D4171" s="22">
        <f ca="1">IFERROR(__xludf.DUMMYFUNCTION("""COMPUTED_VALUE"""),44230.684152)</f>
        <v>44230.684152000002</v>
      </c>
      <c r="E4171" s="22">
        <f ca="1">IFERROR(__xludf.DUMMYFUNCTION("""COMPUTED_VALUE"""),513474.379995499)</f>
        <v>513474.37999549898</v>
      </c>
      <c r="F4171" s="22">
        <f ca="1">IFERROR(__xludf.DUMMYFUNCTION("""COMPUTED_VALUE"""),265859.867427499)</f>
        <v>265859.86742749898</v>
      </c>
      <c r="G4171" s="22">
        <f ca="1">IFERROR(__xludf.DUMMYFUNCTION("""COMPUTED_VALUE"""),0)</f>
        <v>0</v>
      </c>
      <c r="H4171" s="7">
        <f ca="1">IFERROR(__xludf.DUMMYFUNCTION("""COMPUTED_VALUE"""),513474.379995499)</f>
        <v>513474.37999549898</v>
      </c>
    </row>
    <row r="4172" spans="1:8" ht="13" x14ac:dyDescent="0.15">
      <c r="A4172" s="5" t="str">
        <f ca="1">IFERROR(__xludf.DUMMYFUNCTION("""COMPUTED_VALUE"""),"76848")</f>
        <v>76848</v>
      </c>
      <c r="B4172" s="51">
        <f ca="1">IFERROR(__xludf.DUMMYFUNCTION("""COMPUTED_VALUE"""),44625)</f>
        <v>44625</v>
      </c>
      <c r="C4172" s="22">
        <f ca="1">IFERROR(__xludf.DUMMYFUNCTION("""COMPUTED_VALUE"""),469243.695843499)</f>
        <v>469243.69584349898</v>
      </c>
      <c r="D4172" s="22">
        <f ca="1">IFERROR(__xludf.DUMMYFUNCTION("""COMPUTED_VALUE"""),44230.684152)</f>
        <v>44230.684152000002</v>
      </c>
      <c r="E4172" s="22">
        <f ca="1">IFERROR(__xludf.DUMMYFUNCTION("""COMPUTED_VALUE"""),513474.379995499)</f>
        <v>513474.37999549898</v>
      </c>
      <c r="F4172" s="22">
        <f ca="1">IFERROR(__xludf.DUMMYFUNCTION("""COMPUTED_VALUE"""),265859.867427499)</f>
        <v>265859.86742749898</v>
      </c>
      <c r="G4172" s="22">
        <f ca="1">IFERROR(__xludf.DUMMYFUNCTION("""COMPUTED_VALUE"""),0)</f>
        <v>0</v>
      </c>
      <c r="H4172" s="7">
        <f ca="1">IFERROR(__xludf.DUMMYFUNCTION("""COMPUTED_VALUE"""),513474.379995499)</f>
        <v>513474.37999549898</v>
      </c>
    </row>
    <row r="4173" spans="1:8" ht="13" x14ac:dyDescent="0.15">
      <c r="A4173" s="5" t="str">
        <f ca="1">IFERROR(__xludf.DUMMYFUNCTION("""COMPUTED_VALUE"""),"76848")</f>
        <v>76848</v>
      </c>
      <c r="B4173" s="51">
        <f ca="1">IFERROR(__xludf.DUMMYFUNCTION("""COMPUTED_VALUE"""),44626)</f>
        <v>44626</v>
      </c>
      <c r="C4173" s="22">
        <f ca="1">IFERROR(__xludf.DUMMYFUNCTION("""COMPUTED_VALUE"""),469243.695843499)</f>
        <v>469243.69584349898</v>
      </c>
      <c r="D4173" s="22">
        <f ca="1">IFERROR(__xludf.DUMMYFUNCTION("""COMPUTED_VALUE"""),44249.805177)</f>
        <v>44249.805177000002</v>
      </c>
      <c r="E4173" s="22">
        <f ca="1">IFERROR(__xludf.DUMMYFUNCTION("""COMPUTED_VALUE"""),513493.501020499)</f>
        <v>513493.50102049898</v>
      </c>
      <c r="F4173" s="22">
        <f ca="1">IFERROR(__xludf.DUMMYFUNCTION("""COMPUTED_VALUE"""),265859.867427499)</f>
        <v>265859.86742749898</v>
      </c>
      <c r="G4173" s="22">
        <f ca="1">IFERROR(__xludf.DUMMYFUNCTION("""COMPUTED_VALUE"""),0)</f>
        <v>0</v>
      </c>
      <c r="H4173" s="7">
        <f ca="1">IFERROR(__xludf.DUMMYFUNCTION("""COMPUTED_VALUE"""),513479.511400499)</f>
        <v>513479.51140049897</v>
      </c>
    </row>
    <row r="4174" spans="1:8" ht="13" x14ac:dyDescent="0.15">
      <c r="A4174" s="5" t="str">
        <f ca="1">IFERROR(__xludf.DUMMYFUNCTION("""COMPUTED_VALUE"""),"76848")</f>
        <v>76848</v>
      </c>
      <c r="B4174" s="51">
        <f ca="1">IFERROR(__xludf.DUMMYFUNCTION("""COMPUTED_VALUE"""),44627)</f>
        <v>44627</v>
      </c>
      <c r="C4174" s="22">
        <f ca="1">IFERROR(__xludf.DUMMYFUNCTION("""COMPUTED_VALUE"""),469243.695843499)</f>
        <v>469243.69584349898</v>
      </c>
      <c r="D4174" s="22">
        <f ca="1">IFERROR(__xludf.DUMMYFUNCTION("""COMPUTED_VALUE"""),45766.6188419999)</f>
        <v>45766.618841999902</v>
      </c>
      <c r="E4174" s="22">
        <f ca="1">IFERROR(__xludf.DUMMYFUNCTION("""COMPUTED_VALUE"""),515010.3146855)</f>
        <v>515010.31468549999</v>
      </c>
      <c r="F4174" s="22">
        <f ca="1">IFERROR(__xludf.DUMMYFUNCTION("""COMPUTED_VALUE"""),265859.867427499)</f>
        <v>265859.86742749898</v>
      </c>
      <c r="G4174" s="22">
        <f ca="1">IFERROR(__xludf.DUMMYFUNCTION("""COMPUTED_VALUE"""),0)</f>
        <v>0</v>
      </c>
      <c r="H4174" s="7">
        <f ca="1">IFERROR(__xludf.DUMMYFUNCTION("""COMPUTED_VALUE"""),515774.1306535)</f>
        <v>515774.13065349997</v>
      </c>
    </row>
    <row r="4175" spans="1:8" ht="13" x14ac:dyDescent="0.15">
      <c r="A4175" s="5" t="str">
        <f ca="1">IFERROR(__xludf.DUMMYFUNCTION("""COMPUTED_VALUE"""),"76848")</f>
        <v>76848</v>
      </c>
      <c r="B4175" s="51">
        <f ca="1">IFERROR(__xludf.DUMMYFUNCTION("""COMPUTED_VALUE"""),44628)</f>
        <v>44628</v>
      </c>
      <c r="C4175" s="22">
        <f ca="1">IFERROR(__xludf.DUMMYFUNCTION("""COMPUTED_VALUE"""),469243.695843499)</f>
        <v>469243.69584349898</v>
      </c>
      <c r="D4175" s="22">
        <f ca="1">IFERROR(__xludf.DUMMYFUNCTION("""COMPUTED_VALUE"""),51267.7329045)</f>
        <v>51267.732904500001</v>
      </c>
      <c r="E4175" s="22">
        <f ca="1">IFERROR(__xludf.DUMMYFUNCTION("""COMPUTED_VALUE"""),520511.428747999)</f>
        <v>520511.42874799902</v>
      </c>
      <c r="F4175" s="22">
        <f ca="1">IFERROR(__xludf.DUMMYFUNCTION("""COMPUTED_VALUE"""),265859.867427499)</f>
        <v>265859.86742749898</v>
      </c>
      <c r="G4175" s="22">
        <f ca="1">IFERROR(__xludf.DUMMYFUNCTION("""COMPUTED_VALUE"""),0)</f>
        <v>0</v>
      </c>
      <c r="H4175" s="7">
        <f ca="1">IFERROR(__xludf.DUMMYFUNCTION("""COMPUTED_VALUE"""),522583.346275999)</f>
        <v>522583.34627599898</v>
      </c>
    </row>
    <row r="4176" spans="1:8" ht="13" x14ac:dyDescent="0.15">
      <c r="A4176" s="5" t="str">
        <f ca="1">IFERROR(__xludf.DUMMYFUNCTION("""COMPUTED_VALUE"""),"76848")</f>
        <v>76848</v>
      </c>
      <c r="B4176" s="51">
        <f ca="1">IFERROR(__xludf.DUMMYFUNCTION("""COMPUTED_VALUE"""),44629)</f>
        <v>44629</v>
      </c>
      <c r="C4176" s="22">
        <f ca="1">IFERROR(__xludf.DUMMYFUNCTION("""COMPUTED_VALUE"""),469243.695843499)</f>
        <v>469243.69584349898</v>
      </c>
      <c r="D4176" s="22">
        <f ca="1">IFERROR(__xludf.DUMMYFUNCTION("""COMPUTED_VALUE"""),41356.536942)</f>
        <v>41356.536941999999</v>
      </c>
      <c r="E4176" s="22">
        <f ca="1">IFERROR(__xludf.DUMMYFUNCTION("""COMPUTED_VALUE"""),510600.2327855)</f>
        <v>510600.2327855</v>
      </c>
      <c r="F4176" s="22">
        <f ca="1">IFERROR(__xludf.DUMMYFUNCTION("""COMPUTED_VALUE"""),265859.867427499)</f>
        <v>265859.86742749898</v>
      </c>
      <c r="G4176" s="22">
        <f ca="1">IFERROR(__xludf.DUMMYFUNCTION("""COMPUTED_VALUE"""),0)</f>
        <v>0</v>
      </c>
      <c r="H4176" s="7">
        <f ca="1">IFERROR(__xludf.DUMMYFUNCTION("""COMPUTED_VALUE"""),510531.126093499)</f>
        <v>510531.12609349901</v>
      </c>
    </row>
    <row r="4177" spans="1:8" ht="13" x14ac:dyDescent="0.15">
      <c r="A4177" s="5" t="str">
        <f ca="1">IFERROR(__xludf.DUMMYFUNCTION("""COMPUTED_VALUE"""),"76848")</f>
        <v>76848</v>
      </c>
      <c r="B4177" s="51">
        <f ca="1">IFERROR(__xludf.DUMMYFUNCTION("""COMPUTED_VALUE"""),44630)</f>
        <v>44630</v>
      </c>
      <c r="C4177" s="22">
        <f ca="1">IFERROR(__xludf.DUMMYFUNCTION("""COMPUTED_VALUE"""),258973.310693499)</f>
        <v>258973.31069349899</v>
      </c>
      <c r="D4177" s="22">
        <f ca="1">IFERROR(__xludf.DUMMYFUNCTION("""COMPUTED_VALUE"""),248283.796699999)</f>
        <v>248283.79669999899</v>
      </c>
      <c r="E4177" s="22">
        <f ca="1">IFERROR(__xludf.DUMMYFUNCTION("""COMPUTED_VALUE"""),507257.107393499)</f>
        <v>507257.107393499</v>
      </c>
      <c r="F4177" s="22">
        <f ca="1">IFERROR(__xludf.DUMMYFUNCTION("""COMPUTED_VALUE"""),259233.913477499)</f>
        <v>259233.91347749901</v>
      </c>
      <c r="G4177" s="22">
        <f ca="1">IFERROR(__xludf.DUMMYFUNCTION("""COMPUTED_VALUE"""),0)</f>
        <v>0</v>
      </c>
      <c r="H4177" s="7">
        <f ca="1">IFERROR(__xludf.DUMMYFUNCTION("""COMPUTED_VALUE"""),507257.1073935)</f>
        <v>507257.10739349999</v>
      </c>
    </row>
    <row r="4178" spans="1:8" ht="13" x14ac:dyDescent="0.15">
      <c r="A4178" s="5" t="str">
        <f ca="1">IFERROR(__xludf.DUMMYFUNCTION("""COMPUTED_VALUE"""),"76848")</f>
        <v>76848</v>
      </c>
      <c r="B4178" s="51">
        <f ca="1">IFERROR(__xludf.DUMMYFUNCTION("""COMPUTED_VALUE"""),44631)</f>
        <v>44631</v>
      </c>
      <c r="C4178" s="22">
        <f ca="1">IFERROR(__xludf.DUMMYFUNCTION("""COMPUTED_VALUE"""),258970.622793499)</f>
        <v>258970.622793499</v>
      </c>
      <c r="D4178" s="22">
        <f ca="1">IFERROR(__xludf.DUMMYFUNCTION("""COMPUTED_VALUE"""),251590.994049999)</f>
        <v>251590.99404999899</v>
      </c>
      <c r="E4178" s="22">
        <f ca="1">IFERROR(__xludf.DUMMYFUNCTION("""COMPUTED_VALUE"""),510561.616843499)</f>
        <v>510561.61684349901</v>
      </c>
      <c r="F4178" s="22">
        <f ca="1">IFERROR(__xludf.DUMMYFUNCTION("""COMPUTED_VALUE"""),259233.828777499)</f>
        <v>259233.828777499</v>
      </c>
      <c r="G4178" s="22">
        <f ca="1">IFERROR(__xludf.DUMMYFUNCTION("""COMPUTED_VALUE"""),0)</f>
        <v>0</v>
      </c>
      <c r="H4178" s="7">
        <f ca="1">IFERROR(__xludf.DUMMYFUNCTION("""COMPUTED_VALUE"""),509295.7934935)</f>
        <v>509295.79349349998</v>
      </c>
    </row>
    <row r="4179" spans="1:8" ht="13" x14ac:dyDescent="0.15">
      <c r="A4179" s="5" t="str">
        <f ca="1">IFERROR(__xludf.DUMMYFUNCTION("""COMPUTED_VALUE"""),"76848")</f>
        <v>76848</v>
      </c>
      <c r="B4179" s="51">
        <f ca="1">IFERROR(__xludf.DUMMYFUNCTION("""COMPUTED_VALUE"""),44632)</f>
        <v>44632</v>
      </c>
      <c r="C4179" s="22">
        <f ca="1">IFERROR(__xludf.DUMMYFUNCTION("""COMPUTED_VALUE"""),258970.622793499)</f>
        <v>258970.622793499</v>
      </c>
      <c r="D4179" s="22">
        <f ca="1">IFERROR(__xludf.DUMMYFUNCTION("""COMPUTED_VALUE"""),251590.994049999)</f>
        <v>251590.99404999899</v>
      </c>
      <c r="E4179" s="22">
        <f ca="1">IFERROR(__xludf.DUMMYFUNCTION("""COMPUTED_VALUE"""),510561.616843499)</f>
        <v>510561.61684349901</v>
      </c>
      <c r="F4179" s="22">
        <f ca="1">IFERROR(__xludf.DUMMYFUNCTION("""COMPUTED_VALUE"""),259233.828777499)</f>
        <v>259233.828777499</v>
      </c>
      <c r="G4179" s="22">
        <f ca="1">IFERROR(__xludf.DUMMYFUNCTION("""COMPUTED_VALUE"""),0)</f>
        <v>0</v>
      </c>
      <c r="H4179" s="7">
        <f ca="1">IFERROR(__xludf.DUMMYFUNCTION("""COMPUTED_VALUE"""),509295.7934935)</f>
        <v>509295.79349349998</v>
      </c>
    </row>
    <row r="4180" spans="1:8" ht="13" x14ac:dyDescent="0.15">
      <c r="A4180" s="5" t="str">
        <f ca="1">IFERROR(__xludf.DUMMYFUNCTION("""COMPUTED_VALUE"""),"76848")</f>
        <v>76848</v>
      </c>
      <c r="B4180" s="51">
        <f ca="1">IFERROR(__xludf.DUMMYFUNCTION("""COMPUTED_VALUE"""),44633)</f>
        <v>44633</v>
      </c>
      <c r="C4180" s="22">
        <f ca="1">IFERROR(__xludf.DUMMYFUNCTION("""COMPUTED_VALUE"""),258970.622793499)</f>
        <v>258970.622793499</v>
      </c>
      <c r="D4180" s="22">
        <f ca="1">IFERROR(__xludf.DUMMYFUNCTION("""COMPUTED_VALUE"""),251572.23405)</f>
        <v>251572.23405</v>
      </c>
      <c r="E4180" s="22">
        <f ca="1">IFERROR(__xludf.DUMMYFUNCTION("""COMPUTED_VALUE"""),510542.8568435)</f>
        <v>510542.85684349999</v>
      </c>
      <c r="F4180" s="22">
        <f ca="1">IFERROR(__xludf.DUMMYFUNCTION("""COMPUTED_VALUE"""),259233.828777499)</f>
        <v>259233.828777499</v>
      </c>
      <c r="G4180" s="22">
        <f ca="1">IFERROR(__xludf.DUMMYFUNCTION("""COMPUTED_VALUE"""),0)</f>
        <v>0</v>
      </c>
      <c r="H4180" s="7">
        <f ca="1">IFERROR(__xludf.DUMMYFUNCTION("""COMPUTED_VALUE"""),509274.960111499)</f>
        <v>509274.96011149901</v>
      </c>
    </row>
    <row r="4181" spans="1:8" ht="13" x14ac:dyDescent="0.15">
      <c r="A4181" s="5" t="str">
        <f ca="1">IFERROR(__xludf.DUMMYFUNCTION("""COMPUTED_VALUE"""),"76848")</f>
        <v>76848</v>
      </c>
      <c r="B4181" s="51">
        <f ca="1">IFERROR(__xludf.DUMMYFUNCTION("""COMPUTED_VALUE"""),44634)</f>
        <v>44634</v>
      </c>
      <c r="C4181" s="22">
        <f ca="1">IFERROR(__xludf.DUMMYFUNCTION("""COMPUTED_VALUE"""),258970.622793499)</f>
        <v>258970.622793499</v>
      </c>
      <c r="D4181" s="22">
        <f ca="1">IFERROR(__xludf.DUMMYFUNCTION("""COMPUTED_VALUE"""),237133.796174999)</f>
        <v>237133.79617499901</v>
      </c>
      <c r="E4181" s="22">
        <f ca="1">IFERROR(__xludf.DUMMYFUNCTION("""COMPUTED_VALUE"""),496104.418968499)</f>
        <v>496104.418968499</v>
      </c>
      <c r="F4181" s="22">
        <f ca="1">IFERROR(__xludf.DUMMYFUNCTION("""COMPUTED_VALUE"""),259233.828777499)</f>
        <v>259233.828777499</v>
      </c>
      <c r="G4181" s="22">
        <f ca="1">IFERROR(__xludf.DUMMYFUNCTION("""COMPUTED_VALUE"""),0)</f>
        <v>0</v>
      </c>
      <c r="H4181" s="7">
        <f ca="1">IFERROR(__xludf.DUMMYFUNCTION("""COMPUTED_VALUE"""),494194.257618499)</f>
        <v>494194.25761849899</v>
      </c>
    </row>
    <row r="4182" spans="1:8" ht="13" x14ac:dyDescent="0.15">
      <c r="A4182" s="5" t="str">
        <f ca="1">IFERROR(__xludf.DUMMYFUNCTION("""COMPUTED_VALUE"""),"76848")</f>
        <v>76848</v>
      </c>
      <c r="B4182" s="51">
        <f ca="1">IFERROR(__xludf.DUMMYFUNCTION("""COMPUTED_VALUE"""),44635)</f>
        <v>44635</v>
      </c>
      <c r="C4182" s="22">
        <f ca="1">IFERROR(__xludf.DUMMYFUNCTION("""COMPUTED_VALUE"""),409451.5634935)</f>
        <v>409451.5634935</v>
      </c>
      <c r="D4182" s="22">
        <f ca="1">IFERROR(__xludf.DUMMYFUNCTION("""COMPUTED_VALUE"""),79610.175985)</f>
        <v>79610.175984999994</v>
      </c>
      <c r="E4182" s="22">
        <f ca="1">IFERROR(__xludf.DUMMYFUNCTION("""COMPUTED_VALUE"""),489061.7394785)</f>
        <v>489061.73947849998</v>
      </c>
      <c r="F4182" s="22">
        <f ca="1">IFERROR(__xludf.DUMMYFUNCTION("""COMPUTED_VALUE"""),409714.769477499)</f>
        <v>409714.76947749901</v>
      </c>
      <c r="G4182" s="22">
        <f ca="1">IFERROR(__xludf.DUMMYFUNCTION("""COMPUTED_VALUE"""),0)</f>
        <v>0</v>
      </c>
      <c r="H4182" s="7">
        <f ca="1">IFERROR(__xludf.DUMMYFUNCTION("""COMPUTED_VALUE"""),489061.7394785)</f>
        <v>489061.73947849998</v>
      </c>
    </row>
    <row r="4183" spans="1:8" ht="13" x14ac:dyDescent="0.15">
      <c r="A4183" s="5" t="str">
        <f ca="1">IFERROR(__xludf.DUMMYFUNCTION("""COMPUTED_VALUE"""),"76848")</f>
        <v>76848</v>
      </c>
      <c r="B4183" s="51">
        <f ca="1">IFERROR(__xludf.DUMMYFUNCTION("""COMPUTED_VALUE"""),44636)</f>
        <v>44636</v>
      </c>
      <c r="C4183" s="22">
        <f ca="1">IFERROR(__xludf.DUMMYFUNCTION("""COMPUTED_VALUE"""),409451.5634935)</f>
        <v>409451.5634935</v>
      </c>
      <c r="D4183" s="22">
        <f ca="1">IFERROR(__xludf.DUMMYFUNCTION("""COMPUTED_VALUE"""),82582.8996899999)</f>
        <v>82582.899689999904</v>
      </c>
      <c r="E4183" s="22">
        <f ca="1">IFERROR(__xludf.DUMMYFUNCTION("""COMPUTED_VALUE"""),492034.4631835)</f>
        <v>492034.46318349999</v>
      </c>
      <c r="F4183" s="22">
        <f ca="1">IFERROR(__xludf.DUMMYFUNCTION("""COMPUTED_VALUE"""),409714.769477499)</f>
        <v>409714.76947749901</v>
      </c>
      <c r="G4183" s="22">
        <f ca="1">IFERROR(__xludf.DUMMYFUNCTION("""COMPUTED_VALUE"""),0)</f>
        <v>0</v>
      </c>
      <c r="H4183" s="7">
        <f ca="1">IFERROR(__xludf.DUMMYFUNCTION("""COMPUTED_VALUE"""),492034.4631835)</f>
        <v>492034.46318349999</v>
      </c>
    </row>
    <row r="4184" spans="1:8" ht="13" x14ac:dyDescent="0.15">
      <c r="A4184" s="5" t="str">
        <f ca="1">IFERROR(__xludf.DUMMYFUNCTION("""COMPUTED_VALUE"""),"76848")</f>
        <v>76848</v>
      </c>
      <c r="B4184" s="51">
        <f ca="1">IFERROR(__xludf.DUMMYFUNCTION("""COMPUTED_VALUE"""),44637)</f>
        <v>44637</v>
      </c>
      <c r="C4184" s="22">
        <f ca="1">IFERROR(__xludf.DUMMYFUNCTION("""COMPUTED_VALUE"""),409451.5634935)</f>
        <v>409451.5634935</v>
      </c>
      <c r="D4184" s="22">
        <f ca="1">IFERROR(__xludf.DUMMYFUNCTION("""COMPUTED_VALUE"""),83569.131705)</f>
        <v>83569.131705000007</v>
      </c>
      <c r="E4184" s="22">
        <f ca="1">IFERROR(__xludf.DUMMYFUNCTION("""COMPUTED_VALUE"""),493020.6951985)</f>
        <v>493020.69519850001</v>
      </c>
      <c r="F4184" s="22">
        <f ca="1">IFERROR(__xludf.DUMMYFUNCTION("""COMPUTED_VALUE"""),409714.769477499)</f>
        <v>409714.76947749901</v>
      </c>
      <c r="G4184" s="22">
        <f ca="1">IFERROR(__xludf.DUMMYFUNCTION("""COMPUTED_VALUE"""),0)</f>
        <v>0</v>
      </c>
      <c r="H4184" s="7">
        <f ca="1">IFERROR(__xludf.DUMMYFUNCTION("""COMPUTED_VALUE"""),493020.6951985)</f>
        <v>493020.69519850001</v>
      </c>
    </row>
    <row r="4185" spans="1:8" ht="13" x14ac:dyDescent="0.15">
      <c r="A4185" s="5" t="str">
        <f ca="1">IFERROR(__xludf.DUMMYFUNCTION("""COMPUTED_VALUE"""),"76848")</f>
        <v>76848</v>
      </c>
      <c r="B4185" s="51">
        <f ca="1">IFERROR(__xludf.DUMMYFUNCTION("""COMPUTED_VALUE"""),44638)</f>
        <v>44638</v>
      </c>
      <c r="C4185" s="22">
        <f ca="1">IFERROR(__xludf.DUMMYFUNCTION("""COMPUTED_VALUE"""),409451.5634935)</f>
        <v>409451.5634935</v>
      </c>
      <c r="D4185" s="22">
        <f ca="1">IFERROR(__xludf.DUMMYFUNCTION("""COMPUTED_VALUE"""),85480.89317)</f>
        <v>85480.893169999996</v>
      </c>
      <c r="E4185" s="22">
        <f ca="1">IFERROR(__xludf.DUMMYFUNCTION("""COMPUTED_VALUE"""),494932.4566635)</f>
        <v>494932.45666349999</v>
      </c>
      <c r="F4185" s="22">
        <f ca="1">IFERROR(__xludf.DUMMYFUNCTION("""COMPUTED_VALUE"""),409714.769477499)</f>
        <v>409714.76947749901</v>
      </c>
      <c r="G4185" s="22">
        <f ca="1">IFERROR(__xludf.DUMMYFUNCTION("""COMPUTED_VALUE"""),0)</f>
        <v>0</v>
      </c>
      <c r="H4185" s="7">
        <f ca="1">IFERROR(__xludf.DUMMYFUNCTION("""COMPUTED_VALUE"""),494932.4566635)</f>
        <v>494932.45666349999</v>
      </c>
    </row>
    <row r="4186" spans="1:8" ht="13" x14ac:dyDescent="0.15">
      <c r="A4186" s="5" t="str">
        <f ca="1">IFERROR(__xludf.DUMMYFUNCTION("""COMPUTED_VALUE"""),"76848")</f>
        <v>76848</v>
      </c>
      <c r="B4186" s="51">
        <f ca="1">IFERROR(__xludf.DUMMYFUNCTION("""COMPUTED_VALUE"""),44639)</f>
        <v>44639</v>
      </c>
      <c r="C4186" s="22">
        <f ca="1">IFERROR(__xludf.DUMMYFUNCTION("""COMPUTED_VALUE"""),409451.5634935)</f>
        <v>409451.5634935</v>
      </c>
      <c r="D4186" s="22">
        <f ca="1">IFERROR(__xludf.DUMMYFUNCTION("""COMPUTED_VALUE"""),85480.89317)</f>
        <v>85480.893169999996</v>
      </c>
      <c r="E4186" s="22">
        <f ca="1">IFERROR(__xludf.DUMMYFUNCTION("""COMPUTED_VALUE"""),494932.4566635)</f>
        <v>494932.45666349999</v>
      </c>
      <c r="F4186" s="22">
        <f ca="1">IFERROR(__xludf.DUMMYFUNCTION("""COMPUTED_VALUE"""),409714.769477499)</f>
        <v>409714.76947749901</v>
      </c>
      <c r="G4186" s="22">
        <f ca="1">IFERROR(__xludf.DUMMYFUNCTION("""COMPUTED_VALUE"""),0)</f>
        <v>0</v>
      </c>
      <c r="H4186" s="7">
        <f ca="1">IFERROR(__xludf.DUMMYFUNCTION("""COMPUTED_VALUE"""),494932.4566635)</f>
        <v>494932.45666349999</v>
      </c>
    </row>
    <row r="4187" spans="1:8" ht="13" x14ac:dyDescent="0.15">
      <c r="A4187" s="5" t="str">
        <f ca="1">IFERROR(__xludf.DUMMYFUNCTION("""COMPUTED_VALUE"""),"76848")</f>
        <v>76848</v>
      </c>
      <c r="B4187" s="51">
        <f ca="1">IFERROR(__xludf.DUMMYFUNCTION("""COMPUTED_VALUE"""),44640)</f>
        <v>44640</v>
      </c>
      <c r="C4187" s="22">
        <f ca="1">IFERROR(__xludf.DUMMYFUNCTION("""COMPUTED_VALUE"""),409451.5634935)</f>
        <v>409451.5634935</v>
      </c>
      <c r="D4187" s="22">
        <f ca="1">IFERROR(__xludf.DUMMYFUNCTION("""COMPUTED_VALUE"""),85463.7807669999)</f>
        <v>85463.780766999902</v>
      </c>
      <c r="E4187" s="22">
        <f ca="1">IFERROR(__xludf.DUMMYFUNCTION("""COMPUTED_VALUE"""),494915.3442605)</f>
        <v>494915.34426049999</v>
      </c>
      <c r="F4187" s="22">
        <f ca="1">IFERROR(__xludf.DUMMYFUNCTION("""COMPUTED_VALUE"""),409714.769477499)</f>
        <v>409714.76947749901</v>
      </c>
      <c r="G4187" s="22">
        <f ca="1">IFERROR(__xludf.DUMMYFUNCTION("""COMPUTED_VALUE"""),0)</f>
        <v>0</v>
      </c>
      <c r="H4187" s="7">
        <f ca="1">IFERROR(__xludf.DUMMYFUNCTION("""COMPUTED_VALUE"""),494915.3442605)</f>
        <v>494915.34426049999</v>
      </c>
    </row>
    <row r="4188" spans="1:8" ht="13" x14ac:dyDescent="0.15">
      <c r="A4188" s="5" t="str">
        <f ca="1">IFERROR(__xludf.DUMMYFUNCTION("""COMPUTED_VALUE"""),"76848")</f>
        <v>76848</v>
      </c>
      <c r="B4188" s="51">
        <f ca="1">IFERROR(__xludf.DUMMYFUNCTION("""COMPUTED_VALUE"""),44641)</f>
        <v>44641</v>
      </c>
      <c r="C4188" s="22">
        <f ca="1">IFERROR(__xludf.DUMMYFUNCTION("""COMPUTED_VALUE"""),409451.5634935)</f>
        <v>409451.5634935</v>
      </c>
      <c r="D4188" s="22">
        <f ca="1">IFERROR(__xludf.DUMMYFUNCTION("""COMPUTED_VALUE"""),85277.2279199999)</f>
        <v>85277.227919999903</v>
      </c>
      <c r="E4188" s="22">
        <f ca="1">IFERROR(__xludf.DUMMYFUNCTION("""COMPUTED_VALUE"""),494728.7914135)</f>
        <v>494728.79141349997</v>
      </c>
      <c r="F4188" s="22">
        <f ca="1">IFERROR(__xludf.DUMMYFUNCTION("""COMPUTED_VALUE"""),409714.769477499)</f>
        <v>409714.76947749901</v>
      </c>
      <c r="G4188" s="22">
        <f ca="1">IFERROR(__xludf.DUMMYFUNCTION("""COMPUTED_VALUE"""),0)</f>
        <v>0</v>
      </c>
      <c r="H4188" s="7">
        <f ca="1">IFERROR(__xludf.DUMMYFUNCTION("""COMPUTED_VALUE"""),494728.7914135)</f>
        <v>494728.79141349997</v>
      </c>
    </row>
    <row r="4189" spans="1:8" ht="13" x14ac:dyDescent="0.15">
      <c r="A4189" s="5" t="str">
        <f ca="1">IFERROR(__xludf.DUMMYFUNCTION("""COMPUTED_VALUE"""),"76848")</f>
        <v>76848</v>
      </c>
      <c r="B4189" s="51">
        <f ca="1">IFERROR(__xludf.DUMMYFUNCTION("""COMPUTED_VALUE"""),44642)</f>
        <v>44642</v>
      </c>
      <c r="C4189" s="22">
        <f ca="1">IFERROR(__xludf.DUMMYFUNCTION("""COMPUTED_VALUE"""),409451.5634935)</f>
        <v>409451.5634935</v>
      </c>
      <c r="D4189" s="22">
        <f ca="1">IFERROR(__xludf.DUMMYFUNCTION("""COMPUTED_VALUE"""),86391.6732799999)</f>
        <v>86391.673279999901</v>
      </c>
      <c r="E4189" s="22">
        <f ca="1">IFERROR(__xludf.DUMMYFUNCTION("""COMPUTED_VALUE"""),495843.2367735)</f>
        <v>495843.23677349999</v>
      </c>
      <c r="F4189" s="22">
        <f ca="1">IFERROR(__xludf.DUMMYFUNCTION("""COMPUTED_VALUE"""),409714.769477499)</f>
        <v>409714.76947749901</v>
      </c>
      <c r="G4189" s="22">
        <f ca="1">IFERROR(__xludf.DUMMYFUNCTION("""COMPUTED_VALUE"""),0)</f>
        <v>0</v>
      </c>
      <c r="H4189" s="7">
        <f ca="1">IFERROR(__xludf.DUMMYFUNCTION("""COMPUTED_VALUE"""),495843.2367735)</f>
        <v>495843.23677349999</v>
      </c>
    </row>
    <row r="4190" spans="1:8" ht="13" x14ac:dyDescent="0.15">
      <c r="A4190" s="5" t="str">
        <f ca="1">IFERROR(__xludf.DUMMYFUNCTION("""COMPUTED_VALUE"""),"76937")</f>
        <v>76937</v>
      </c>
      <c r="B4190" s="51">
        <f ca="1">IFERROR(__xludf.DUMMYFUNCTION("""COMPUTED_VALUE"""),44597)</f>
        <v>44597</v>
      </c>
      <c r="C4190" s="22">
        <f ca="1">IFERROR(__xludf.DUMMYFUNCTION("""COMPUTED_VALUE"""),500000)</f>
        <v>500000</v>
      </c>
      <c r="D4190" s="22">
        <f ca="1">IFERROR(__xludf.DUMMYFUNCTION("""COMPUTED_VALUE"""),0)</f>
        <v>0</v>
      </c>
      <c r="E4190" s="22">
        <f ca="1">IFERROR(__xludf.DUMMYFUNCTION("""COMPUTED_VALUE"""),500000)</f>
        <v>500000</v>
      </c>
      <c r="F4190" s="22">
        <f ca="1">IFERROR(__xludf.DUMMYFUNCTION("""COMPUTED_VALUE"""),500000)</f>
        <v>500000</v>
      </c>
      <c r="G4190" s="22">
        <f ca="1">IFERROR(__xludf.DUMMYFUNCTION("""COMPUTED_VALUE"""),0)</f>
        <v>0</v>
      </c>
      <c r="H4190" s="7">
        <f ca="1">IFERROR(__xludf.DUMMYFUNCTION("""COMPUTED_VALUE"""),500000)</f>
        <v>500000</v>
      </c>
    </row>
    <row r="4191" spans="1:8" ht="13" x14ac:dyDescent="0.15">
      <c r="A4191" s="5" t="str">
        <f ca="1">IFERROR(__xludf.DUMMYFUNCTION("""COMPUTED_VALUE"""),"76937")</f>
        <v>76937</v>
      </c>
      <c r="B4191" s="51">
        <f ca="1">IFERROR(__xludf.DUMMYFUNCTION("""COMPUTED_VALUE"""),44598)</f>
        <v>44598</v>
      </c>
      <c r="C4191" s="22">
        <f ca="1">IFERROR(__xludf.DUMMYFUNCTION("""COMPUTED_VALUE"""),500000)</f>
        <v>500000</v>
      </c>
      <c r="D4191" s="22">
        <f ca="1">IFERROR(__xludf.DUMMYFUNCTION("""COMPUTED_VALUE"""),0)</f>
        <v>0</v>
      </c>
      <c r="E4191" s="22">
        <f ca="1">IFERROR(__xludf.DUMMYFUNCTION("""COMPUTED_VALUE"""),500000)</f>
        <v>500000</v>
      </c>
      <c r="F4191" s="22">
        <f ca="1">IFERROR(__xludf.DUMMYFUNCTION("""COMPUTED_VALUE"""),500000)</f>
        <v>500000</v>
      </c>
      <c r="G4191" s="22">
        <f ca="1">IFERROR(__xludf.DUMMYFUNCTION("""COMPUTED_VALUE"""),0)</f>
        <v>0</v>
      </c>
      <c r="H4191" s="7">
        <f ca="1">IFERROR(__xludf.DUMMYFUNCTION("""COMPUTED_VALUE"""),500000)</f>
        <v>500000</v>
      </c>
    </row>
    <row r="4192" spans="1:8" ht="13" x14ac:dyDescent="0.15">
      <c r="A4192" s="5" t="str">
        <f ca="1">IFERROR(__xludf.DUMMYFUNCTION("""COMPUTED_VALUE"""),"76937")</f>
        <v>76937</v>
      </c>
      <c r="B4192" s="51">
        <f ca="1">IFERROR(__xludf.DUMMYFUNCTION("""COMPUTED_VALUE"""),44599)</f>
        <v>44599</v>
      </c>
      <c r="C4192" s="22">
        <f ca="1">IFERROR(__xludf.DUMMYFUNCTION("""COMPUTED_VALUE"""),500000)</f>
        <v>500000</v>
      </c>
      <c r="D4192" s="22">
        <f ca="1">IFERROR(__xludf.DUMMYFUNCTION("""COMPUTED_VALUE"""),0)</f>
        <v>0</v>
      </c>
      <c r="E4192" s="22">
        <f ca="1">IFERROR(__xludf.DUMMYFUNCTION("""COMPUTED_VALUE"""),500000)</f>
        <v>500000</v>
      </c>
      <c r="F4192" s="22">
        <f ca="1">IFERROR(__xludf.DUMMYFUNCTION("""COMPUTED_VALUE"""),500000)</f>
        <v>500000</v>
      </c>
      <c r="G4192" s="22">
        <f ca="1">IFERROR(__xludf.DUMMYFUNCTION("""COMPUTED_VALUE"""),0)</f>
        <v>0</v>
      </c>
      <c r="H4192" s="7">
        <f ca="1">IFERROR(__xludf.DUMMYFUNCTION("""COMPUTED_VALUE"""),500000)</f>
        <v>500000</v>
      </c>
    </row>
    <row r="4193" spans="1:8" ht="13" x14ac:dyDescent="0.15">
      <c r="A4193" s="5" t="str">
        <f ca="1">IFERROR(__xludf.DUMMYFUNCTION("""COMPUTED_VALUE"""),"76937")</f>
        <v>76937</v>
      </c>
      <c r="B4193" s="51">
        <f ca="1">IFERROR(__xludf.DUMMYFUNCTION("""COMPUTED_VALUE"""),44600)</f>
        <v>44600</v>
      </c>
      <c r="C4193" s="22">
        <f ca="1">IFERROR(__xludf.DUMMYFUNCTION("""COMPUTED_VALUE"""),500000)</f>
        <v>500000</v>
      </c>
      <c r="D4193" s="22">
        <f ca="1">IFERROR(__xludf.DUMMYFUNCTION("""COMPUTED_VALUE"""),0)</f>
        <v>0</v>
      </c>
      <c r="E4193" s="22">
        <f ca="1">IFERROR(__xludf.DUMMYFUNCTION("""COMPUTED_VALUE"""),500000)</f>
        <v>500000</v>
      </c>
      <c r="F4193" s="22">
        <f ca="1">IFERROR(__xludf.DUMMYFUNCTION("""COMPUTED_VALUE"""),500000)</f>
        <v>500000</v>
      </c>
      <c r="G4193" s="22">
        <f ca="1">IFERROR(__xludf.DUMMYFUNCTION("""COMPUTED_VALUE"""),0)</f>
        <v>0</v>
      </c>
      <c r="H4193" s="7">
        <f ca="1">IFERROR(__xludf.DUMMYFUNCTION("""COMPUTED_VALUE"""),500000)</f>
        <v>500000</v>
      </c>
    </row>
    <row r="4194" spans="1:8" ht="13" x14ac:dyDescent="0.15">
      <c r="A4194" s="5" t="str">
        <f ca="1">IFERROR(__xludf.DUMMYFUNCTION("""COMPUTED_VALUE"""),"76937")</f>
        <v>76937</v>
      </c>
      <c r="B4194" s="51">
        <f ca="1">IFERROR(__xludf.DUMMYFUNCTION("""COMPUTED_VALUE"""),44601)</f>
        <v>44601</v>
      </c>
      <c r="C4194" s="22">
        <f ca="1">IFERROR(__xludf.DUMMYFUNCTION("""COMPUTED_VALUE"""),500000)</f>
        <v>500000</v>
      </c>
      <c r="D4194" s="22">
        <f ca="1">IFERROR(__xludf.DUMMYFUNCTION("""COMPUTED_VALUE"""),0)</f>
        <v>0</v>
      </c>
      <c r="E4194" s="22">
        <f ca="1">IFERROR(__xludf.DUMMYFUNCTION("""COMPUTED_VALUE"""),500000)</f>
        <v>500000</v>
      </c>
      <c r="F4194" s="22">
        <f ca="1">IFERROR(__xludf.DUMMYFUNCTION("""COMPUTED_VALUE"""),500000)</f>
        <v>500000</v>
      </c>
      <c r="G4194" s="22">
        <f ca="1">IFERROR(__xludf.DUMMYFUNCTION("""COMPUTED_VALUE"""),0)</f>
        <v>0</v>
      </c>
      <c r="H4194" s="7">
        <f ca="1">IFERROR(__xludf.DUMMYFUNCTION("""COMPUTED_VALUE"""),500000)</f>
        <v>500000</v>
      </c>
    </row>
    <row r="4195" spans="1:8" ht="13" x14ac:dyDescent="0.15">
      <c r="A4195" s="5" t="str">
        <f ca="1">IFERROR(__xludf.DUMMYFUNCTION("""COMPUTED_VALUE"""),"76937")</f>
        <v>76937</v>
      </c>
      <c r="B4195" s="51">
        <f ca="1">IFERROR(__xludf.DUMMYFUNCTION("""COMPUTED_VALUE"""),44602)</f>
        <v>44602</v>
      </c>
      <c r="C4195" s="22">
        <f ca="1">IFERROR(__xludf.DUMMYFUNCTION("""COMPUTED_VALUE"""),500000)</f>
        <v>500000</v>
      </c>
      <c r="D4195" s="22">
        <f ca="1">IFERROR(__xludf.DUMMYFUNCTION("""COMPUTED_VALUE"""),0)</f>
        <v>0</v>
      </c>
      <c r="E4195" s="22">
        <f ca="1">IFERROR(__xludf.DUMMYFUNCTION("""COMPUTED_VALUE"""),500000)</f>
        <v>500000</v>
      </c>
      <c r="F4195" s="22">
        <f ca="1">IFERROR(__xludf.DUMMYFUNCTION("""COMPUTED_VALUE"""),500000)</f>
        <v>500000</v>
      </c>
      <c r="G4195" s="22">
        <f ca="1">IFERROR(__xludf.DUMMYFUNCTION("""COMPUTED_VALUE"""),0)</f>
        <v>0</v>
      </c>
      <c r="H4195" s="7">
        <f ca="1">IFERROR(__xludf.DUMMYFUNCTION("""COMPUTED_VALUE"""),500000)</f>
        <v>500000</v>
      </c>
    </row>
    <row r="4196" spans="1:8" ht="13" x14ac:dyDescent="0.15">
      <c r="A4196" s="5" t="str">
        <f ca="1">IFERROR(__xludf.DUMMYFUNCTION("""COMPUTED_VALUE"""),"76937")</f>
        <v>76937</v>
      </c>
      <c r="B4196" s="51">
        <f ca="1">IFERROR(__xludf.DUMMYFUNCTION("""COMPUTED_VALUE"""),44603)</f>
        <v>44603</v>
      </c>
      <c r="C4196" s="22">
        <f ca="1">IFERROR(__xludf.DUMMYFUNCTION("""COMPUTED_VALUE"""),500000)</f>
        <v>500000</v>
      </c>
      <c r="D4196" s="22">
        <f ca="1">IFERROR(__xludf.DUMMYFUNCTION("""COMPUTED_VALUE"""),0)</f>
        <v>0</v>
      </c>
      <c r="E4196" s="22">
        <f ca="1">IFERROR(__xludf.DUMMYFUNCTION("""COMPUTED_VALUE"""),500000)</f>
        <v>500000</v>
      </c>
      <c r="F4196" s="22">
        <f ca="1">IFERROR(__xludf.DUMMYFUNCTION("""COMPUTED_VALUE"""),500000)</f>
        <v>500000</v>
      </c>
      <c r="G4196" s="22">
        <f ca="1">IFERROR(__xludf.DUMMYFUNCTION("""COMPUTED_VALUE"""),0)</f>
        <v>0</v>
      </c>
      <c r="H4196" s="7">
        <f ca="1">IFERROR(__xludf.DUMMYFUNCTION("""COMPUTED_VALUE"""),500000)</f>
        <v>500000</v>
      </c>
    </row>
    <row r="4197" spans="1:8" ht="13" x14ac:dyDescent="0.15">
      <c r="A4197" s="5" t="str">
        <f ca="1">IFERROR(__xludf.DUMMYFUNCTION("""COMPUTED_VALUE"""),"76937")</f>
        <v>76937</v>
      </c>
      <c r="B4197" s="51">
        <f ca="1">IFERROR(__xludf.DUMMYFUNCTION("""COMPUTED_VALUE"""),44604)</f>
        <v>44604</v>
      </c>
      <c r="C4197" s="22">
        <f ca="1">IFERROR(__xludf.DUMMYFUNCTION("""COMPUTED_VALUE"""),500000)</f>
        <v>500000</v>
      </c>
      <c r="D4197" s="22">
        <f ca="1">IFERROR(__xludf.DUMMYFUNCTION("""COMPUTED_VALUE"""),0)</f>
        <v>0</v>
      </c>
      <c r="E4197" s="22">
        <f ca="1">IFERROR(__xludf.DUMMYFUNCTION("""COMPUTED_VALUE"""),500000)</f>
        <v>500000</v>
      </c>
      <c r="F4197" s="22">
        <f ca="1">IFERROR(__xludf.DUMMYFUNCTION("""COMPUTED_VALUE"""),500000)</f>
        <v>500000</v>
      </c>
      <c r="G4197" s="22">
        <f ca="1">IFERROR(__xludf.DUMMYFUNCTION("""COMPUTED_VALUE"""),0)</f>
        <v>0</v>
      </c>
      <c r="H4197" s="7">
        <f ca="1">IFERROR(__xludf.DUMMYFUNCTION("""COMPUTED_VALUE"""),500000)</f>
        <v>500000</v>
      </c>
    </row>
    <row r="4198" spans="1:8" ht="13" x14ac:dyDescent="0.15">
      <c r="A4198" s="5" t="str">
        <f ca="1">IFERROR(__xludf.DUMMYFUNCTION("""COMPUTED_VALUE"""),"76937")</f>
        <v>76937</v>
      </c>
      <c r="B4198" s="51">
        <f ca="1">IFERROR(__xludf.DUMMYFUNCTION("""COMPUTED_VALUE"""),44605)</f>
        <v>44605</v>
      </c>
      <c r="C4198" s="22">
        <f ca="1">IFERROR(__xludf.DUMMYFUNCTION("""COMPUTED_VALUE"""),500000)</f>
        <v>500000</v>
      </c>
      <c r="D4198" s="22">
        <f ca="1">IFERROR(__xludf.DUMMYFUNCTION("""COMPUTED_VALUE"""),0)</f>
        <v>0</v>
      </c>
      <c r="E4198" s="22">
        <f ca="1">IFERROR(__xludf.DUMMYFUNCTION("""COMPUTED_VALUE"""),500000)</f>
        <v>500000</v>
      </c>
      <c r="F4198" s="22">
        <f ca="1">IFERROR(__xludf.DUMMYFUNCTION("""COMPUTED_VALUE"""),500000)</f>
        <v>500000</v>
      </c>
      <c r="G4198" s="22">
        <f ca="1">IFERROR(__xludf.DUMMYFUNCTION("""COMPUTED_VALUE"""),0)</f>
        <v>0</v>
      </c>
      <c r="H4198" s="7">
        <f ca="1">IFERROR(__xludf.DUMMYFUNCTION("""COMPUTED_VALUE"""),500000)</f>
        <v>500000</v>
      </c>
    </row>
    <row r="4199" spans="1:8" ht="13" x14ac:dyDescent="0.15">
      <c r="A4199" s="5" t="str">
        <f ca="1">IFERROR(__xludf.DUMMYFUNCTION("""COMPUTED_VALUE"""),"76937")</f>
        <v>76937</v>
      </c>
      <c r="B4199" s="51">
        <f ca="1">IFERROR(__xludf.DUMMYFUNCTION("""COMPUTED_VALUE"""),44606)</f>
        <v>44606</v>
      </c>
      <c r="C4199" s="22">
        <f ca="1">IFERROR(__xludf.DUMMYFUNCTION("""COMPUTED_VALUE"""),500000)</f>
        <v>500000</v>
      </c>
      <c r="D4199" s="22">
        <f ca="1">IFERROR(__xludf.DUMMYFUNCTION("""COMPUTED_VALUE"""),0)</f>
        <v>0</v>
      </c>
      <c r="E4199" s="22">
        <f ca="1">IFERROR(__xludf.DUMMYFUNCTION("""COMPUTED_VALUE"""),500000)</f>
        <v>500000</v>
      </c>
      <c r="F4199" s="22">
        <f ca="1">IFERROR(__xludf.DUMMYFUNCTION("""COMPUTED_VALUE"""),500000)</f>
        <v>500000</v>
      </c>
      <c r="G4199" s="22">
        <f ca="1">IFERROR(__xludf.DUMMYFUNCTION("""COMPUTED_VALUE"""),0)</f>
        <v>0</v>
      </c>
      <c r="H4199" s="7">
        <f ca="1">IFERROR(__xludf.DUMMYFUNCTION("""COMPUTED_VALUE"""),500000)</f>
        <v>500000</v>
      </c>
    </row>
    <row r="4200" spans="1:8" ht="13" x14ac:dyDescent="0.15">
      <c r="A4200" s="5" t="str">
        <f ca="1">IFERROR(__xludf.DUMMYFUNCTION("""COMPUTED_VALUE"""),"76937")</f>
        <v>76937</v>
      </c>
      <c r="B4200" s="51">
        <f ca="1">IFERROR(__xludf.DUMMYFUNCTION("""COMPUTED_VALUE"""),44607)</f>
        <v>44607</v>
      </c>
      <c r="C4200" s="22">
        <f ca="1">IFERROR(__xludf.DUMMYFUNCTION("""COMPUTED_VALUE"""),500000)</f>
        <v>500000</v>
      </c>
      <c r="D4200" s="22">
        <f ca="1">IFERROR(__xludf.DUMMYFUNCTION("""COMPUTED_VALUE"""),0)</f>
        <v>0</v>
      </c>
      <c r="E4200" s="22">
        <f ca="1">IFERROR(__xludf.DUMMYFUNCTION("""COMPUTED_VALUE"""),500000)</f>
        <v>500000</v>
      </c>
      <c r="F4200" s="22">
        <f ca="1">IFERROR(__xludf.DUMMYFUNCTION("""COMPUTED_VALUE"""),500000)</f>
        <v>500000</v>
      </c>
      <c r="G4200" s="22">
        <f ca="1">IFERROR(__xludf.DUMMYFUNCTION("""COMPUTED_VALUE"""),0)</f>
        <v>0</v>
      </c>
      <c r="H4200" s="7">
        <f ca="1">IFERROR(__xludf.DUMMYFUNCTION("""COMPUTED_VALUE"""),500000)</f>
        <v>500000</v>
      </c>
    </row>
    <row r="4201" spans="1:8" ht="13" x14ac:dyDescent="0.15">
      <c r="A4201" s="5" t="str">
        <f ca="1">IFERROR(__xludf.DUMMYFUNCTION("""COMPUTED_VALUE"""),"76937")</f>
        <v>76937</v>
      </c>
      <c r="B4201" s="51">
        <f ca="1">IFERROR(__xludf.DUMMYFUNCTION("""COMPUTED_VALUE"""),44608)</f>
        <v>44608</v>
      </c>
      <c r="C4201" s="22">
        <f ca="1">IFERROR(__xludf.DUMMYFUNCTION("""COMPUTED_VALUE"""),500000)</f>
        <v>500000</v>
      </c>
      <c r="D4201" s="22">
        <f ca="1">IFERROR(__xludf.DUMMYFUNCTION("""COMPUTED_VALUE"""),0)</f>
        <v>0</v>
      </c>
      <c r="E4201" s="22">
        <f ca="1">IFERROR(__xludf.DUMMYFUNCTION("""COMPUTED_VALUE"""),500000)</f>
        <v>500000</v>
      </c>
      <c r="F4201" s="22">
        <f ca="1">IFERROR(__xludf.DUMMYFUNCTION("""COMPUTED_VALUE"""),500000)</f>
        <v>500000</v>
      </c>
      <c r="G4201" s="22">
        <f ca="1">IFERROR(__xludf.DUMMYFUNCTION("""COMPUTED_VALUE"""),0)</f>
        <v>0</v>
      </c>
      <c r="H4201" s="7">
        <f ca="1">IFERROR(__xludf.DUMMYFUNCTION("""COMPUTED_VALUE"""),500000)</f>
        <v>500000</v>
      </c>
    </row>
    <row r="4202" spans="1:8" ht="13" x14ac:dyDescent="0.15">
      <c r="A4202" s="5" t="str">
        <f ca="1">IFERROR(__xludf.DUMMYFUNCTION("""COMPUTED_VALUE"""),"76937")</f>
        <v>76937</v>
      </c>
      <c r="B4202" s="51">
        <f ca="1">IFERROR(__xludf.DUMMYFUNCTION("""COMPUTED_VALUE"""),44609)</f>
        <v>44609</v>
      </c>
      <c r="C4202" s="22">
        <f ca="1">IFERROR(__xludf.DUMMYFUNCTION("""COMPUTED_VALUE"""),500000)</f>
        <v>500000</v>
      </c>
      <c r="D4202" s="22">
        <f ca="1">IFERROR(__xludf.DUMMYFUNCTION("""COMPUTED_VALUE"""),0)</f>
        <v>0</v>
      </c>
      <c r="E4202" s="22">
        <f ca="1">IFERROR(__xludf.DUMMYFUNCTION("""COMPUTED_VALUE"""),500000)</f>
        <v>500000</v>
      </c>
      <c r="F4202" s="22">
        <f ca="1">IFERROR(__xludf.DUMMYFUNCTION("""COMPUTED_VALUE"""),500000)</f>
        <v>500000</v>
      </c>
      <c r="G4202" s="22">
        <f ca="1">IFERROR(__xludf.DUMMYFUNCTION("""COMPUTED_VALUE"""),0)</f>
        <v>0</v>
      </c>
      <c r="H4202" s="7">
        <f ca="1">IFERROR(__xludf.DUMMYFUNCTION("""COMPUTED_VALUE"""),500000)</f>
        <v>500000</v>
      </c>
    </row>
    <row r="4203" spans="1:8" ht="13" x14ac:dyDescent="0.15">
      <c r="A4203" s="5" t="str">
        <f ca="1">IFERROR(__xludf.DUMMYFUNCTION("""COMPUTED_VALUE"""),"76937")</f>
        <v>76937</v>
      </c>
      <c r="B4203" s="51">
        <f ca="1">IFERROR(__xludf.DUMMYFUNCTION("""COMPUTED_VALUE"""),44610)</f>
        <v>44610</v>
      </c>
      <c r="C4203" s="22">
        <f ca="1">IFERROR(__xludf.DUMMYFUNCTION("""COMPUTED_VALUE"""),500000)</f>
        <v>500000</v>
      </c>
      <c r="D4203" s="22">
        <f ca="1">IFERROR(__xludf.DUMMYFUNCTION("""COMPUTED_VALUE"""),0)</f>
        <v>0</v>
      </c>
      <c r="E4203" s="22">
        <f ca="1">IFERROR(__xludf.DUMMYFUNCTION("""COMPUTED_VALUE"""),500000)</f>
        <v>500000</v>
      </c>
      <c r="F4203" s="22">
        <f ca="1">IFERROR(__xludf.DUMMYFUNCTION("""COMPUTED_VALUE"""),500000)</f>
        <v>500000</v>
      </c>
      <c r="G4203" s="22">
        <f ca="1">IFERROR(__xludf.DUMMYFUNCTION("""COMPUTED_VALUE"""),0)</f>
        <v>0</v>
      </c>
      <c r="H4203" s="7">
        <f ca="1">IFERROR(__xludf.DUMMYFUNCTION("""COMPUTED_VALUE"""),500000)</f>
        <v>500000</v>
      </c>
    </row>
    <row r="4204" spans="1:8" ht="13" x14ac:dyDescent="0.15">
      <c r="A4204" s="5" t="str">
        <f ca="1">IFERROR(__xludf.DUMMYFUNCTION("""COMPUTED_VALUE"""),"76937")</f>
        <v>76937</v>
      </c>
      <c r="B4204" s="51">
        <f ca="1">IFERROR(__xludf.DUMMYFUNCTION("""COMPUTED_VALUE"""),44611)</f>
        <v>44611</v>
      </c>
      <c r="C4204" s="22">
        <f ca="1">IFERROR(__xludf.DUMMYFUNCTION("""COMPUTED_VALUE"""),500000)</f>
        <v>500000</v>
      </c>
      <c r="D4204" s="22">
        <f ca="1">IFERROR(__xludf.DUMMYFUNCTION("""COMPUTED_VALUE"""),0)</f>
        <v>0</v>
      </c>
      <c r="E4204" s="22">
        <f ca="1">IFERROR(__xludf.DUMMYFUNCTION("""COMPUTED_VALUE"""),500000)</f>
        <v>500000</v>
      </c>
      <c r="F4204" s="22">
        <f ca="1">IFERROR(__xludf.DUMMYFUNCTION("""COMPUTED_VALUE"""),500000)</f>
        <v>500000</v>
      </c>
      <c r="G4204" s="22">
        <f ca="1">IFERROR(__xludf.DUMMYFUNCTION("""COMPUTED_VALUE"""),0)</f>
        <v>0</v>
      </c>
      <c r="H4204" s="7">
        <f ca="1">IFERROR(__xludf.DUMMYFUNCTION("""COMPUTED_VALUE"""),500000)</f>
        <v>500000</v>
      </c>
    </row>
    <row r="4205" spans="1:8" ht="13" x14ac:dyDescent="0.15">
      <c r="A4205" s="5" t="str">
        <f ca="1">IFERROR(__xludf.DUMMYFUNCTION("""COMPUTED_VALUE"""),"76937")</f>
        <v>76937</v>
      </c>
      <c r="B4205" s="51">
        <f ca="1">IFERROR(__xludf.DUMMYFUNCTION("""COMPUTED_VALUE"""),44612)</f>
        <v>44612</v>
      </c>
      <c r="C4205" s="22">
        <f ca="1">IFERROR(__xludf.DUMMYFUNCTION("""COMPUTED_VALUE"""),500000)</f>
        <v>500000</v>
      </c>
      <c r="D4205" s="22">
        <f ca="1">IFERROR(__xludf.DUMMYFUNCTION("""COMPUTED_VALUE"""),0)</f>
        <v>0</v>
      </c>
      <c r="E4205" s="22">
        <f ca="1">IFERROR(__xludf.DUMMYFUNCTION("""COMPUTED_VALUE"""),500000)</f>
        <v>500000</v>
      </c>
      <c r="F4205" s="22">
        <f ca="1">IFERROR(__xludf.DUMMYFUNCTION("""COMPUTED_VALUE"""),500000)</f>
        <v>500000</v>
      </c>
      <c r="G4205" s="22">
        <f ca="1">IFERROR(__xludf.DUMMYFUNCTION("""COMPUTED_VALUE"""),0)</f>
        <v>0</v>
      </c>
      <c r="H4205" s="7">
        <f ca="1">IFERROR(__xludf.DUMMYFUNCTION("""COMPUTED_VALUE"""),500000)</f>
        <v>500000</v>
      </c>
    </row>
    <row r="4206" spans="1:8" ht="13" x14ac:dyDescent="0.15">
      <c r="A4206" s="5" t="str">
        <f ca="1">IFERROR(__xludf.DUMMYFUNCTION("""COMPUTED_VALUE"""),"76937")</f>
        <v>76937</v>
      </c>
      <c r="B4206" s="51">
        <f ca="1">IFERROR(__xludf.DUMMYFUNCTION("""COMPUTED_VALUE"""),44613)</f>
        <v>44613</v>
      </c>
      <c r="C4206" s="22">
        <f ca="1">IFERROR(__xludf.DUMMYFUNCTION("""COMPUTED_VALUE"""),500000)</f>
        <v>500000</v>
      </c>
      <c r="D4206" s="22">
        <f ca="1">IFERROR(__xludf.DUMMYFUNCTION("""COMPUTED_VALUE"""),0)</f>
        <v>0</v>
      </c>
      <c r="E4206" s="22">
        <f ca="1">IFERROR(__xludf.DUMMYFUNCTION("""COMPUTED_VALUE"""),500000)</f>
        <v>500000</v>
      </c>
      <c r="F4206" s="22">
        <f ca="1">IFERROR(__xludf.DUMMYFUNCTION("""COMPUTED_VALUE"""),500000)</f>
        <v>500000</v>
      </c>
      <c r="G4206" s="22">
        <f ca="1">IFERROR(__xludf.DUMMYFUNCTION("""COMPUTED_VALUE"""),0)</f>
        <v>0</v>
      </c>
      <c r="H4206" s="7">
        <f ca="1">IFERROR(__xludf.DUMMYFUNCTION("""COMPUTED_VALUE"""),500000)</f>
        <v>500000</v>
      </c>
    </row>
    <row r="4207" spans="1:8" ht="13" x14ac:dyDescent="0.15">
      <c r="A4207" s="5" t="str">
        <f ca="1">IFERROR(__xludf.DUMMYFUNCTION("""COMPUTED_VALUE"""),"76937")</f>
        <v>76937</v>
      </c>
      <c r="B4207" s="51">
        <f ca="1">IFERROR(__xludf.DUMMYFUNCTION("""COMPUTED_VALUE"""),44614)</f>
        <v>44614</v>
      </c>
      <c r="C4207" s="22">
        <f ca="1">IFERROR(__xludf.DUMMYFUNCTION("""COMPUTED_VALUE"""),500000)</f>
        <v>500000</v>
      </c>
      <c r="D4207" s="22">
        <f ca="1">IFERROR(__xludf.DUMMYFUNCTION("""COMPUTED_VALUE"""),0)</f>
        <v>0</v>
      </c>
      <c r="E4207" s="22">
        <f ca="1">IFERROR(__xludf.DUMMYFUNCTION("""COMPUTED_VALUE"""),500000)</f>
        <v>500000</v>
      </c>
      <c r="F4207" s="22">
        <f ca="1">IFERROR(__xludf.DUMMYFUNCTION("""COMPUTED_VALUE"""),500000)</f>
        <v>500000</v>
      </c>
      <c r="G4207" s="22">
        <f ca="1">IFERROR(__xludf.DUMMYFUNCTION("""COMPUTED_VALUE"""),0)</f>
        <v>0</v>
      </c>
      <c r="H4207" s="7">
        <f ca="1">IFERROR(__xludf.DUMMYFUNCTION("""COMPUTED_VALUE"""),500000)</f>
        <v>500000</v>
      </c>
    </row>
    <row r="4208" spans="1:8" ht="13" x14ac:dyDescent="0.15">
      <c r="A4208" s="5" t="str">
        <f ca="1">IFERROR(__xludf.DUMMYFUNCTION("""COMPUTED_VALUE"""),"76937")</f>
        <v>76937</v>
      </c>
      <c r="B4208" s="51">
        <f ca="1">IFERROR(__xludf.DUMMYFUNCTION("""COMPUTED_VALUE"""),44615)</f>
        <v>44615</v>
      </c>
      <c r="C4208" s="22">
        <f ca="1">IFERROR(__xludf.DUMMYFUNCTION("""COMPUTED_VALUE"""),500000)</f>
        <v>500000</v>
      </c>
      <c r="D4208" s="22">
        <f ca="1">IFERROR(__xludf.DUMMYFUNCTION("""COMPUTED_VALUE"""),0)</f>
        <v>0</v>
      </c>
      <c r="E4208" s="22">
        <f ca="1">IFERROR(__xludf.DUMMYFUNCTION("""COMPUTED_VALUE"""),500000)</f>
        <v>500000</v>
      </c>
      <c r="F4208" s="22">
        <f ca="1">IFERROR(__xludf.DUMMYFUNCTION("""COMPUTED_VALUE"""),500000)</f>
        <v>500000</v>
      </c>
      <c r="G4208" s="22">
        <f ca="1">IFERROR(__xludf.DUMMYFUNCTION("""COMPUTED_VALUE"""),0)</f>
        <v>0</v>
      </c>
      <c r="H4208" s="7">
        <f ca="1">IFERROR(__xludf.DUMMYFUNCTION("""COMPUTED_VALUE"""),500000)</f>
        <v>500000</v>
      </c>
    </row>
    <row r="4209" spans="1:8" ht="13" x14ac:dyDescent="0.15">
      <c r="A4209" s="5" t="str">
        <f ca="1">IFERROR(__xludf.DUMMYFUNCTION("""COMPUTED_VALUE"""),"76937")</f>
        <v>76937</v>
      </c>
      <c r="B4209" s="51">
        <f ca="1">IFERROR(__xludf.DUMMYFUNCTION("""COMPUTED_VALUE"""),44616)</f>
        <v>44616</v>
      </c>
      <c r="C4209" s="22">
        <f ca="1">IFERROR(__xludf.DUMMYFUNCTION("""COMPUTED_VALUE"""),500000)</f>
        <v>500000</v>
      </c>
      <c r="D4209" s="22">
        <f ca="1">IFERROR(__xludf.DUMMYFUNCTION("""COMPUTED_VALUE"""),0)</f>
        <v>0</v>
      </c>
      <c r="E4209" s="22">
        <f ca="1">IFERROR(__xludf.DUMMYFUNCTION("""COMPUTED_VALUE"""),500000)</f>
        <v>500000</v>
      </c>
      <c r="F4209" s="22">
        <f ca="1">IFERROR(__xludf.DUMMYFUNCTION("""COMPUTED_VALUE"""),500000)</f>
        <v>500000</v>
      </c>
      <c r="G4209" s="22">
        <f ca="1">IFERROR(__xludf.DUMMYFUNCTION("""COMPUTED_VALUE"""),0)</f>
        <v>0</v>
      </c>
      <c r="H4209" s="7">
        <f ca="1">IFERROR(__xludf.DUMMYFUNCTION("""COMPUTED_VALUE"""),500000)</f>
        <v>500000</v>
      </c>
    </row>
    <row r="4210" spans="1:8" ht="13" x14ac:dyDescent="0.15">
      <c r="A4210" s="5" t="str">
        <f ca="1">IFERROR(__xludf.DUMMYFUNCTION("""COMPUTED_VALUE"""),"76937")</f>
        <v>76937</v>
      </c>
      <c r="B4210" s="51">
        <f ca="1">IFERROR(__xludf.DUMMYFUNCTION("""COMPUTED_VALUE"""),44617)</f>
        <v>44617</v>
      </c>
      <c r="C4210" s="22">
        <f ca="1">IFERROR(__xludf.DUMMYFUNCTION("""COMPUTED_VALUE"""),500000)</f>
        <v>500000</v>
      </c>
      <c r="D4210" s="22">
        <f ca="1">IFERROR(__xludf.DUMMYFUNCTION("""COMPUTED_VALUE"""),0)</f>
        <v>0</v>
      </c>
      <c r="E4210" s="22">
        <f ca="1">IFERROR(__xludf.DUMMYFUNCTION("""COMPUTED_VALUE"""),500000)</f>
        <v>500000</v>
      </c>
      <c r="F4210" s="22">
        <f ca="1">IFERROR(__xludf.DUMMYFUNCTION("""COMPUTED_VALUE"""),500000)</f>
        <v>500000</v>
      </c>
      <c r="G4210" s="22">
        <f ca="1">IFERROR(__xludf.DUMMYFUNCTION("""COMPUTED_VALUE"""),0)</f>
        <v>0</v>
      </c>
      <c r="H4210" s="7">
        <f ca="1">IFERROR(__xludf.DUMMYFUNCTION("""COMPUTED_VALUE"""),500000)</f>
        <v>500000</v>
      </c>
    </row>
    <row r="4211" spans="1:8" ht="13" x14ac:dyDescent="0.15">
      <c r="A4211" s="5" t="str">
        <f ca="1">IFERROR(__xludf.DUMMYFUNCTION("""COMPUTED_VALUE"""),"76937")</f>
        <v>76937</v>
      </c>
      <c r="B4211" s="51">
        <f ca="1">IFERROR(__xludf.DUMMYFUNCTION("""COMPUTED_VALUE"""),44618)</f>
        <v>44618</v>
      </c>
      <c r="C4211" s="22">
        <f ca="1">IFERROR(__xludf.DUMMYFUNCTION("""COMPUTED_VALUE"""),500000)</f>
        <v>500000</v>
      </c>
      <c r="D4211" s="22">
        <f ca="1">IFERROR(__xludf.DUMMYFUNCTION("""COMPUTED_VALUE"""),0)</f>
        <v>0</v>
      </c>
      <c r="E4211" s="22">
        <f ca="1">IFERROR(__xludf.DUMMYFUNCTION("""COMPUTED_VALUE"""),500000)</f>
        <v>500000</v>
      </c>
      <c r="F4211" s="22">
        <f ca="1">IFERROR(__xludf.DUMMYFUNCTION("""COMPUTED_VALUE"""),500000)</f>
        <v>500000</v>
      </c>
      <c r="G4211" s="22">
        <f ca="1">IFERROR(__xludf.DUMMYFUNCTION("""COMPUTED_VALUE"""),0)</f>
        <v>0</v>
      </c>
      <c r="H4211" s="7">
        <f ca="1">IFERROR(__xludf.DUMMYFUNCTION("""COMPUTED_VALUE"""),500000)</f>
        <v>500000</v>
      </c>
    </row>
    <row r="4212" spans="1:8" ht="13" x14ac:dyDescent="0.15">
      <c r="A4212" s="5" t="str">
        <f ca="1">IFERROR(__xludf.DUMMYFUNCTION("""COMPUTED_VALUE"""),"76937")</f>
        <v>76937</v>
      </c>
      <c r="B4212" s="51">
        <f ca="1">IFERROR(__xludf.DUMMYFUNCTION("""COMPUTED_VALUE"""),44619)</f>
        <v>44619</v>
      </c>
      <c r="C4212" s="22">
        <f ca="1">IFERROR(__xludf.DUMMYFUNCTION("""COMPUTED_VALUE"""),500000)</f>
        <v>500000</v>
      </c>
      <c r="D4212" s="22">
        <f ca="1">IFERROR(__xludf.DUMMYFUNCTION("""COMPUTED_VALUE"""),0)</f>
        <v>0</v>
      </c>
      <c r="E4212" s="22">
        <f ca="1">IFERROR(__xludf.DUMMYFUNCTION("""COMPUTED_VALUE"""),500000)</f>
        <v>500000</v>
      </c>
      <c r="F4212" s="22">
        <f ca="1">IFERROR(__xludf.DUMMYFUNCTION("""COMPUTED_VALUE"""),500000)</f>
        <v>500000</v>
      </c>
      <c r="G4212" s="22">
        <f ca="1">IFERROR(__xludf.DUMMYFUNCTION("""COMPUTED_VALUE"""),0)</f>
        <v>0</v>
      </c>
      <c r="H4212" s="7">
        <f ca="1">IFERROR(__xludf.DUMMYFUNCTION("""COMPUTED_VALUE"""),500000)</f>
        <v>500000</v>
      </c>
    </row>
    <row r="4213" spans="1:8" ht="13" x14ac:dyDescent="0.15">
      <c r="A4213" s="5" t="str">
        <f ca="1">IFERROR(__xludf.DUMMYFUNCTION("""COMPUTED_VALUE"""),"76937")</f>
        <v>76937</v>
      </c>
      <c r="B4213" s="51">
        <f ca="1">IFERROR(__xludf.DUMMYFUNCTION("""COMPUTED_VALUE"""),44620)</f>
        <v>44620</v>
      </c>
      <c r="C4213" s="22">
        <f ca="1">IFERROR(__xludf.DUMMYFUNCTION("""COMPUTED_VALUE"""),500000)</f>
        <v>500000</v>
      </c>
      <c r="D4213" s="22">
        <f ca="1">IFERROR(__xludf.DUMMYFUNCTION("""COMPUTED_VALUE"""),0)</f>
        <v>0</v>
      </c>
      <c r="E4213" s="22">
        <f ca="1">IFERROR(__xludf.DUMMYFUNCTION("""COMPUTED_VALUE"""),500000)</f>
        <v>500000</v>
      </c>
      <c r="F4213" s="22">
        <f ca="1">IFERROR(__xludf.DUMMYFUNCTION("""COMPUTED_VALUE"""),500000)</f>
        <v>500000</v>
      </c>
      <c r="G4213" s="22">
        <f ca="1">IFERROR(__xludf.DUMMYFUNCTION("""COMPUTED_VALUE"""),0)</f>
        <v>0</v>
      </c>
      <c r="H4213" s="7">
        <f ca="1">IFERROR(__xludf.DUMMYFUNCTION("""COMPUTED_VALUE"""),500000)</f>
        <v>500000</v>
      </c>
    </row>
    <row r="4214" spans="1:8" ht="13" x14ac:dyDescent="0.15">
      <c r="A4214" s="5" t="str">
        <f ca="1">IFERROR(__xludf.DUMMYFUNCTION("""COMPUTED_VALUE"""),"76937")</f>
        <v>76937</v>
      </c>
      <c r="B4214" s="51">
        <f ca="1">IFERROR(__xludf.DUMMYFUNCTION("""COMPUTED_VALUE"""),44621)</f>
        <v>44621</v>
      </c>
      <c r="C4214" s="22">
        <f ca="1">IFERROR(__xludf.DUMMYFUNCTION("""COMPUTED_VALUE"""),500000)</f>
        <v>500000</v>
      </c>
      <c r="D4214" s="22">
        <f ca="1">IFERROR(__xludf.DUMMYFUNCTION("""COMPUTED_VALUE"""),0)</f>
        <v>0</v>
      </c>
      <c r="E4214" s="22">
        <f ca="1">IFERROR(__xludf.DUMMYFUNCTION("""COMPUTED_VALUE"""),500000)</f>
        <v>500000</v>
      </c>
      <c r="F4214" s="22">
        <f ca="1">IFERROR(__xludf.DUMMYFUNCTION("""COMPUTED_VALUE"""),500000)</f>
        <v>500000</v>
      </c>
      <c r="G4214" s="22">
        <f ca="1">IFERROR(__xludf.DUMMYFUNCTION("""COMPUTED_VALUE"""),0)</f>
        <v>0</v>
      </c>
      <c r="H4214" s="7">
        <f ca="1">IFERROR(__xludf.DUMMYFUNCTION("""COMPUTED_VALUE"""),500000)</f>
        <v>500000</v>
      </c>
    </row>
    <row r="4215" spans="1:8" ht="13" x14ac:dyDescent="0.15">
      <c r="A4215" s="5" t="str">
        <f ca="1">IFERROR(__xludf.DUMMYFUNCTION("""COMPUTED_VALUE"""),"76937")</f>
        <v>76937</v>
      </c>
      <c r="B4215" s="51">
        <f ca="1">IFERROR(__xludf.DUMMYFUNCTION("""COMPUTED_VALUE"""),44622)</f>
        <v>44622</v>
      </c>
      <c r="C4215" s="22">
        <f ca="1">IFERROR(__xludf.DUMMYFUNCTION("""COMPUTED_VALUE"""),500000)</f>
        <v>500000</v>
      </c>
      <c r="D4215" s="22">
        <f ca="1">IFERROR(__xludf.DUMMYFUNCTION("""COMPUTED_VALUE"""),0)</f>
        <v>0</v>
      </c>
      <c r="E4215" s="22">
        <f ca="1">IFERROR(__xludf.DUMMYFUNCTION("""COMPUTED_VALUE"""),500000)</f>
        <v>500000</v>
      </c>
      <c r="F4215" s="22">
        <f ca="1">IFERROR(__xludf.DUMMYFUNCTION("""COMPUTED_VALUE"""),500000)</f>
        <v>500000</v>
      </c>
      <c r="G4215" s="22">
        <f ca="1">IFERROR(__xludf.DUMMYFUNCTION("""COMPUTED_VALUE"""),0)</f>
        <v>0</v>
      </c>
      <c r="H4215" s="7">
        <f ca="1">IFERROR(__xludf.DUMMYFUNCTION("""COMPUTED_VALUE"""),500000)</f>
        <v>500000</v>
      </c>
    </row>
    <row r="4216" spans="1:8" ht="13" x14ac:dyDescent="0.15">
      <c r="A4216" s="5" t="str">
        <f ca="1">IFERROR(__xludf.DUMMYFUNCTION("""COMPUTED_VALUE"""),"76937")</f>
        <v>76937</v>
      </c>
      <c r="B4216" s="51">
        <f ca="1">IFERROR(__xludf.DUMMYFUNCTION("""COMPUTED_VALUE"""),44623)</f>
        <v>44623</v>
      </c>
      <c r="C4216" s="22">
        <f ca="1">IFERROR(__xludf.DUMMYFUNCTION("""COMPUTED_VALUE"""),500000)</f>
        <v>500000</v>
      </c>
      <c r="D4216" s="22">
        <f ca="1">IFERROR(__xludf.DUMMYFUNCTION("""COMPUTED_VALUE"""),0)</f>
        <v>0</v>
      </c>
      <c r="E4216" s="22">
        <f ca="1">IFERROR(__xludf.DUMMYFUNCTION("""COMPUTED_VALUE"""),500000)</f>
        <v>500000</v>
      </c>
      <c r="F4216" s="22">
        <f ca="1">IFERROR(__xludf.DUMMYFUNCTION("""COMPUTED_VALUE"""),500000)</f>
        <v>500000</v>
      </c>
      <c r="G4216" s="22">
        <f ca="1">IFERROR(__xludf.DUMMYFUNCTION("""COMPUTED_VALUE"""),0)</f>
        <v>0</v>
      </c>
      <c r="H4216" s="7">
        <f ca="1">IFERROR(__xludf.DUMMYFUNCTION("""COMPUTED_VALUE"""),500000)</f>
        <v>500000</v>
      </c>
    </row>
    <row r="4217" spans="1:8" ht="13" x14ac:dyDescent="0.15">
      <c r="A4217" s="5" t="str">
        <f ca="1">IFERROR(__xludf.DUMMYFUNCTION("""COMPUTED_VALUE"""),"76937")</f>
        <v>76937</v>
      </c>
      <c r="B4217" s="51">
        <f ca="1">IFERROR(__xludf.DUMMYFUNCTION("""COMPUTED_VALUE"""),44624)</f>
        <v>44624</v>
      </c>
      <c r="C4217" s="22">
        <f ca="1">IFERROR(__xludf.DUMMYFUNCTION("""COMPUTED_VALUE"""),500000)</f>
        <v>500000</v>
      </c>
      <c r="D4217" s="22">
        <f ca="1">IFERROR(__xludf.DUMMYFUNCTION("""COMPUTED_VALUE"""),0)</f>
        <v>0</v>
      </c>
      <c r="E4217" s="22">
        <f ca="1">IFERROR(__xludf.DUMMYFUNCTION("""COMPUTED_VALUE"""),500000)</f>
        <v>500000</v>
      </c>
      <c r="F4217" s="22">
        <f ca="1">IFERROR(__xludf.DUMMYFUNCTION("""COMPUTED_VALUE"""),500000)</f>
        <v>500000</v>
      </c>
      <c r="G4217" s="22">
        <f ca="1">IFERROR(__xludf.DUMMYFUNCTION("""COMPUTED_VALUE"""),0)</f>
        <v>0</v>
      </c>
      <c r="H4217" s="7">
        <f ca="1">IFERROR(__xludf.DUMMYFUNCTION("""COMPUTED_VALUE"""),500000)</f>
        <v>500000</v>
      </c>
    </row>
    <row r="4218" spans="1:8" ht="13" x14ac:dyDescent="0.15">
      <c r="A4218" s="5" t="str">
        <f ca="1">IFERROR(__xludf.DUMMYFUNCTION("""COMPUTED_VALUE"""),"76937")</f>
        <v>76937</v>
      </c>
      <c r="B4218" s="51">
        <f ca="1">IFERROR(__xludf.DUMMYFUNCTION("""COMPUTED_VALUE"""),44625)</f>
        <v>44625</v>
      </c>
      <c r="C4218" s="22">
        <f ca="1">IFERROR(__xludf.DUMMYFUNCTION("""COMPUTED_VALUE"""),500000)</f>
        <v>500000</v>
      </c>
      <c r="D4218" s="22">
        <f ca="1">IFERROR(__xludf.DUMMYFUNCTION("""COMPUTED_VALUE"""),0)</f>
        <v>0</v>
      </c>
      <c r="E4218" s="22">
        <f ca="1">IFERROR(__xludf.DUMMYFUNCTION("""COMPUTED_VALUE"""),500000)</f>
        <v>500000</v>
      </c>
      <c r="F4218" s="22">
        <f ca="1">IFERROR(__xludf.DUMMYFUNCTION("""COMPUTED_VALUE"""),500000)</f>
        <v>500000</v>
      </c>
      <c r="G4218" s="22">
        <f ca="1">IFERROR(__xludf.DUMMYFUNCTION("""COMPUTED_VALUE"""),0)</f>
        <v>0</v>
      </c>
      <c r="H4218" s="7">
        <f ca="1">IFERROR(__xludf.DUMMYFUNCTION("""COMPUTED_VALUE"""),500000)</f>
        <v>500000</v>
      </c>
    </row>
    <row r="4219" spans="1:8" ht="13" x14ac:dyDescent="0.15">
      <c r="A4219" s="5" t="str">
        <f ca="1">IFERROR(__xludf.DUMMYFUNCTION("""COMPUTED_VALUE"""),"76937")</f>
        <v>76937</v>
      </c>
      <c r="B4219" s="51">
        <f ca="1">IFERROR(__xludf.DUMMYFUNCTION("""COMPUTED_VALUE"""),44626)</f>
        <v>44626</v>
      </c>
      <c r="C4219" s="22">
        <f ca="1">IFERROR(__xludf.DUMMYFUNCTION("""COMPUTED_VALUE"""),500000)</f>
        <v>500000</v>
      </c>
      <c r="D4219" s="22">
        <f ca="1">IFERROR(__xludf.DUMMYFUNCTION("""COMPUTED_VALUE"""),0)</f>
        <v>0</v>
      </c>
      <c r="E4219" s="22">
        <f ca="1">IFERROR(__xludf.DUMMYFUNCTION("""COMPUTED_VALUE"""),500000)</f>
        <v>500000</v>
      </c>
      <c r="F4219" s="22">
        <f ca="1">IFERROR(__xludf.DUMMYFUNCTION("""COMPUTED_VALUE"""),500000)</f>
        <v>500000</v>
      </c>
      <c r="G4219" s="22">
        <f ca="1">IFERROR(__xludf.DUMMYFUNCTION("""COMPUTED_VALUE"""),0)</f>
        <v>0</v>
      </c>
      <c r="H4219" s="7">
        <f ca="1">IFERROR(__xludf.DUMMYFUNCTION("""COMPUTED_VALUE"""),500000)</f>
        <v>500000</v>
      </c>
    </row>
    <row r="4220" spans="1:8" ht="13" x14ac:dyDescent="0.15">
      <c r="A4220" s="5" t="str">
        <f ca="1">IFERROR(__xludf.DUMMYFUNCTION("""COMPUTED_VALUE"""),"76937")</f>
        <v>76937</v>
      </c>
      <c r="B4220" s="51">
        <f ca="1">IFERROR(__xludf.DUMMYFUNCTION("""COMPUTED_VALUE"""),44627)</f>
        <v>44627</v>
      </c>
      <c r="C4220" s="22">
        <f ca="1">IFERROR(__xludf.DUMMYFUNCTION("""COMPUTED_VALUE"""),500000)</f>
        <v>500000</v>
      </c>
      <c r="D4220" s="22">
        <f ca="1">IFERROR(__xludf.DUMMYFUNCTION("""COMPUTED_VALUE"""),0)</f>
        <v>0</v>
      </c>
      <c r="E4220" s="22">
        <f ca="1">IFERROR(__xludf.DUMMYFUNCTION("""COMPUTED_VALUE"""),500000)</f>
        <v>500000</v>
      </c>
      <c r="F4220" s="22">
        <f ca="1">IFERROR(__xludf.DUMMYFUNCTION("""COMPUTED_VALUE"""),500000)</f>
        <v>500000</v>
      </c>
      <c r="G4220" s="22">
        <f ca="1">IFERROR(__xludf.DUMMYFUNCTION("""COMPUTED_VALUE"""),0)</f>
        <v>0</v>
      </c>
      <c r="H4220" s="7">
        <f ca="1">IFERROR(__xludf.DUMMYFUNCTION("""COMPUTED_VALUE"""),500000)</f>
        <v>500000</v>
      </c>
    </row>
    <row r="4221" spans="1:8" ht="13" x14ac:dyDescent="0.15">
      <c r="A4221" s="5" t="str">
        <f ca="1">IFERROR(__xludf.DUMMYFUNCTION("""COMPUTED_VALUE"""),"76937")</f>
        <v>76937</v>
      </c>
      <c r="B4221" s="51">
        <f ca="1">IFERROR(__xludf.DUMMYFUNCTION("""COMPUTED_VALUE"""),44628)</f>
        <v>44628</v>
      </c>
      <c r="C4221" s="22">
        <f ca="1">IFERROR(__xludf.DUMMYFUNCTION("""COMPUTED_VALUE"""),500000)</f>
        <v>500000</v>
      </c>
      <c r="D4221" s="22">
        <f ca="1">IFERROR(__xludf.DUMMYFUNCTION("""COMPUTED_VALUE"""),0)</f>
        <v>0</v>
      </c>
      <c r="E4221" s="22">
        <f ca="1">IFERROR(__xludf.DUMMYFUNCTION("""COMPUTED_VALUE"""),500000)</f>
        <v>500000</v>
      </c>
      <c r="F4221" s="22">
        <f ca="1">IFERROR(__xludf.DUMMYFUNCTION("""COMPUTED_VALUE"""),500000)</f>
        <v>500000</v>
      </c>
      <c r="G4221" s="22">
        <f ca="1">IFERROR(__xludf.DUMMYFUNCTION("""COMPUTED_VALUE"""),0)</f>
        <v>0</v>
      </c>
      <c r="H4221" s="7">
        <f ca="1">IFERROR(__xludf.DUMMYFUNCTION("""COMPUTED_VALUE"""),500000)</f>
        <v>500000</v>
      </c>
    </row>
    <row r="4222" spans="1:8" ht="13" x14ac:dyDescent="0.15">
      <c r="A4222" s="5" t="str">
        <f ca="1">IFERROR(__xludf.DUMMYFUNCTION("""COMPUTED_VALUE"""),"76937")</f>
        <v>76937</v>
      </c>
      <c r="B4222" s="51">
        <f ca="1">IFERROR(__xludf.DUMMYFUNCTION("""COMPUTED_VALUE"""),44629)</f>
        <v>44629</v>
      </c>
      <c r="C4222" s="22">
        <f ca="1">IFERROR(__xludf.DUMMYFUNCTION("""COMPUTED_VALUE"""),500000)</f>
        <v>500000</v>
      </c>
      <c r="D4222" s="22">
        <f ca="1">IFERROR(__xludf.DUMMYFUNCTION("""COMPUTED_VALUE"""),0)</f>
        <v>0</v>
      </c>
      <c r="E4222" s="22">
        <f ca="1">IFERROR(__xludf.DUMMYFUNCTION("""COMPUTED_VALUE"""),500000)</f>
        <v>500000</v>
      </c>
      <c r="F4222" s="22">
        <f ca="1">IFERROR(__xludf.DUMMYFUNCTION("""COMPUTED_VALUE"""),500000)</f>
        <v>500000</v>
      </c>
      <c r="G4222" s="22">
        <f ca="1">IFERROR(__xludf.DUMMYFUNCTION("""COMPUTED_VALUE"""),0)</f>
        <v>0</v>
      </c>
      <c r="H4222" s="7">
        <f ca="1">IFERROR(__xludf.DUMMYFUNCTION("""COMPUTED_VALUE"""),500000)</f>
        <v>500000</v>
      </c>
    </row>
    <row r="4223" spans="1:8" ht="13" x14ac:dyDescent="0.15">
      <c r="A4223" s="5" t="str">
        <f ca="1">IFERROR(__xludf.DUMMYFUNCTION("""COMPUTED_VALUE"""),"76937")</f>
        <v>76937</v>
      </c>
      <c r="B4223" s="51">
        <f ca="1">IFERROR(__xludf.DUMMYFUNCTION("""COMPUTED_VALUE"""),44630)</f>
        <v>44630</v>
      </c>
      <c r="C4223" s="22">
        <f ca="1">IFERROR(__xludf.DUMMYFUNCTION("""COMPUTED_VALUE"""),500000)</f>
        <v>500000</v>
      </c>
      <c r="D4223" s="22">
        <f ca="1">IFERROR(__xludf.DUMMYFUNCTION("""COMPUTED_VALUE"""),0)</f>
        <v>0</v>
      </c>
      <c r="E4223" s="22">
        <f ca="1">IFERROR(__xludf.DUMMYFUNCTION("""COMPUTED_VALUE"""),500000)</f>
        <v>500000</v>
      </c>
      <c r="F4223" s="22">
        <f ca="1">IFERROR(__xludf.DUMMYFUNCTION("""COMPUTED_VALUE"""),500000)</f>
        <v>500000</v>
      </c>
      <c r="G4223" s="22">
        <f ca="1">IFERROR(__xludf.DUMMYFUNCTION("""COMPUTED_VALUE"""),0)</f>
        <v>0</v>
      </c>
      <c r="H4223" s="7">
        <f ca="1">IFERROR(__xludf.DUMMYFUNCTION("""COMPUTED_VALUE"""),500000)</f>
        <v>500000</v>
      </c>
    </row>
    <row r="4224" spans="1:8" ht="13" x14ac:dyDescent="0.15">
      <c r="A4224" s="5" t="str">
        <f ca="1">IFERROR(__xludf.DUMMYFUNCTION("""COMPUTED_VALUE"""),"76937")</f>
        <v>76937</v>
      </c>
      <c r="B4224" s="51">
        <f ca="1">IFERROR(__xludf.DUMMYFUNCTION("""COMPUTED_VALUE"""),44631)</f>
        <v>44631</v>
      </c>
      <c r="C4224" s="22">
        <f ca="1">IFERROR(__xludf.DUMMYFUNCTION("""COMPUTED_VALUE"""),500000)</f>
        <v>500000</v>
      </c>
      <c r="D4224" s="22">
        <f ca="1">IFERROR(__xludf.DUMMYFUNCTION("""COMPUTED_VALUE"""),0)</f>
        <v>0</v>
      </c>
      <c r="E4224" s="22">
        <f ca="1">IFERROR(__xludf.DUMMYFUNCTION("""COMPUTED_VALUE"""),500000)</f>
        <v>500000</v>
      </c>
      <c r="F4224" s="22">
        <f ca="1">IFERROR(__xludf.DUMMYFUNCTION("""COMPUTED_VALUE"""),500000)</f>
        <v>500000</v>
      </c>
      <c r="G4224" s="22">
        <f ca="1">IFERROR(__xludf.DUMMYFUNCTION("""COMPUTED_VALUE"""),0)</f>
        <v>0</v>
      </c>
      <c r="H4224" s="7">
        <f ca="1">IFERROR(__xludf.DUMMYFUNCTION("""COMPUTED_VALUE"""),500000)</f>
        <v>500000</v>
      </c>
    </row>
    <row r="4225" spans="1:8" ht="13" x14ac:dyDescent="0.15">
      <c r="A4225" s="5" t="str">
        <f ca="1">IFERROR(__xludf.DUMMYFUNCTION("""COMPUTED_VALUE"""),"76937")</f>
        <v>76937</v>
      </c>
      <c r="B4225" s="51">
        <f ca="1">IFERROR(__xludf.DUMMYFUNCTION("""COMPUTED_VALUE"""),44632)</f>
        <v>44632</v>
      </c>
      <c r="C4225" s="22">
        <f ca="1">IFERROR(__xludf.DUMMYFUNCTION("""COMPUTED_VALUE"""),500000)</f>
        <v>500000</v>
      </c>
      <c r="D4225" s="22">
        <f ca="1">IFERROR(__xludf.DUMMYFUNCTION("""COMPUTED_VALUE"""),0)</f>
        <v>0</v>
      </c>
      <c r="E4225" s="22">
        <f ca="1">IFERROR(__xludf.DUMMYFUNCTION("""COMPUTED_VALUE"""),500000)</f>
        <v>500000</v>
      </c>
      <c r="F4225" s="22">
        <f ca="1">IFERROR(__xludf.DUMMYFUNCTION("""COMPUTED_VALUE"""),500000)</f>
        <v>500000</v>
      </c>
      <c r="G4225" s="22">
        <f ca="1">IFERROR(__xludf.DUMMYFUNCTION("""COMPUTED_VALUE"""),0)</f>
        <v>0</v>
      </c>
      <c r="H4225" s="7">
        <f ca="1">IFERROR(__xludf.DUMMYFUNCTION("""COMPUTED_VALUE"""),500000)</f>
        <v>500000</v>
      </c>
    </row>
    <row r="4226" spans="1:8" ht="13" x14ac:dyDescent="0.15">
      <c r="A4226" s="5" t="str">
        <f ca="1">IFERROR(__xludf.DUMMYFUNCTION("""COMPUTED_VALUE"""),"76937")</f>
        <v>76937</v>
      </c>
      <c r="B4226" s="51">
        <f ca="1">IFERROR(__xludf.DUMMYFUNCTION("""COMPUTED_VALUE"""),44633)</f>
        <v>44633</v>
      </c>
      <c r="C4226" s="22">
        <f ca="1">IFERROR(__xludf.DUMMYFUNCTION("""COMPUTED_VALUE"""),500000)</f>
        <v>500000</v>
      </c>
      <c r="D4226" s="22">
        <f ca="1">IFERROR(__xludf.DUMMYFUNCTION("""COMPUTED_VALUE"""),0)</f>
        <v>0</v>
      </c>
      <c r="E4226" s="22">
        <f ca="1">IFERROR(__xludf.DUMMYFUNCTION("""COMPUTED_VALUE"""),500000)</f>
        <v>500000</v>
      </c>
      <c r="F4226" s="22">
        <f ca="1">IFERROR(__xludf.DUMMYFUNCTION("""COMPUTED_VALUE"""),500000)</f>
        <v>500000</v>
      </c>
      <c r="G4226" s="22">
        <f ca="1">IFERROR(__xludf.DUMMYFUNCTION("""COMPUTED_VALUE"""),0)</f>
        <v>0</v>
      </c>
      <c r="H4226" s="7">
        <f ca="1">IFERROR(__xludf.DUMMYFUNCTION("""COMPUTED_VALUE"""),500000)</f>
        <v>500000</v>
      </c>
    </row>
    <row r="4227" spans="1:8" ht="13" x14ac:dyDescent="0.15">
      <c r="A4227" s="5" t="str">
        <f ca="1">IFERROR(__xludf.DUMMYFUNCTION("""COMPUTED_VALUE"""),"76937")</f>
        <v>76937</v>
      </c>
      <c r="B4227" s="51">
        <f ca="1">IFERROR(__xludf.DUMMYFUNCTION("""COMPUTED_VALUE"""),44634)</f>
        <v>44634</v>
      </c>
      <c r="C4227" s="22">
        <f ca="1">IFERROR(__xludf.DUMMYFUNCTION("""COMPUTED_VALUE"""),500000)</f>
        <v>500000</v>
      </c>
      <c r="D4227" s="22">
        <f ca="1">IFERROR(__xludf.DUMMYFUNCTION("""COMPUTED_VALUE"""),0)</f>
        <v>0</v>
      </c>
      <c r="E4227" s="22">
        <f ca="1">IFERROR(__xludf.DUMMYFUNCTION("""COMPUTED_VALUE"""),500000)</f>
        <v>500000</v>
      </c>
      <c r="F4227" s="22">
        <f ca="1">IFERROR(__xludf.DUMMYFUNCTION("""COMPUTED_VALUE"""),500000)</f>
        <v>500000</v>
      </c>
      <c r="G4227" s="22">
        <f ca="1">IFERROR(__xludf.DUMMYFUNCTION("""COMPUTED_VALUE"""),0)</f>
        <v>0</v>
      </c>
      <c r="H4227" s="7">
        <f ca="1">IFERROR(__xludf.DUMMYFUNCTION("""COMPUTED_VALUE"""),500000)</f>
        <v>500000</v>
      </c>
    </row>
    <row r="4228" spans="1:8" ht="13" x14ac:dyDescent="0.15">
      <c r="A4228" s="5" t="str">
        <f ca="1">IFERROR(__xludf.DUMMYFUNCTION("""COMPUTED_VALUE"""),"76937")</f>
        <v>76937</v>
      </c>
      <c r="B4228" s="51">
        <f ca="1">IFERROR(__xludf.DUMMYFUNCTION("""COMPUTED_VALUE"""),44635)</f>
        <v>44635</v>
      </c>
      <c r="C4228" s="22">
        <f ca="1">IFERROR(__xludf.DUMMYFUNCTION("""COMPUTED_VALUE"""),500000)</f>
        <v>500000</v>
      </c>
      <c r="D4228" s="22">
        <f ca="1">IFERROR(__xludf.DUMMYFUNCTION("""COMPUTED_VALUE"""),0)</f>
        <v>0</v>
      </c>
      <c r="E4228" s="22">
        <f ca="1">IFERROR(__xludf.DUMMYFUNCTION("""COMPUTED_VALUE"""),500000)</f>
        <v>500000</v>
      </c>
      <c r="F4228" s="22">
        <f ca="1">IFERROR(__xludf.DUMMYFUNCTION("""COMPUTED_VALUE"""),500000)</f>
        <v>500000</v>
      </c>
      <c r="G4228" s="22">
        <f ca="1">IFERROR(__xludf.DUMMYFUNCTION("""COMPUTED_VALUE"""),0)</f>
        <v>0</v>
      </c>
      <c r="H4228" s="7">
        <f ca="1">IFERROR(__xludf.DUMMYFUNCTION("""COMPUTED_VALUE"""),500000)</f>
        <v>500000</v>
      </c>
    </row>
    <row r="4229" spans="1:8" ht="13" x14ac:dyDescent="0.15">
      <c r="A4229" s="5" t="str">
        <f ca="1">IFERROR(__xludf.DUMMYFUNCTION("""COMPUTED_VALUE"""),"76937")</f>
        <v>76937</v>
      </c>
      <c r="B4229" s="51">
        <f ca="1">IFERROR(__xludf.DUMMYFUNCTION("""COMPUTED_VALUE"""),44636)</f>
        <v>44636</v>
      </c>
      <c r="C4229" s="22">
        <f ca="1">IFERROR(__xludf.DUMMYFUNCTION("""COMPUTED_VALUE"""),500000)</f>
        <v>500000</v>
      </c>
      <c r="D4229" s="22">
        <f ca="1">IFERROR(__xludf.DUMMYFUNCTION("""COMPUTED_VALUE"""),0)</f>
        <v>0</v>
      </c>
      <c r="E4229" s="22">
        <f ca="1">IFERROR(__xludf.DUMMYFUNCTION("""COMPUTED_VALUE"""),500000)</f>
        <v>500000</v>
      </c>
      <c r="F4229" s="22">
        <f ca="1">IFERROR(__xludf.DUMMYFUNCTION("""COMPUTED_VALUE"""),500000)</f>
        <v>500000</v>
      </c>
      <c r="G4229" s="22">
        <f ca="1">IFERROR(__xludf.DUMMYFUNCTION("""COMPUTED_VALUE"""),0)</f>
        <v>0</v>
      </c>
      <c r="H4229" s="7">
        <f ca="1">IFERROR(__xludf.DUMMYFUNCTION("""COMPUTED_VALUE"""),500000)</f>
        <v>500000</v>
      </c>
    </row>
    <row r="4230" spans="1:8" ht="13" x14ac:dyDescent="0.15">
      <c r="A4230" s="5" t="str">
        <f ca="1">IFERROR(__xludf.DUMMYFUNCTION("""COMPUTED_VALUE"""),"76937")</f>
        <v>76937</v>
      </c>
      <c r="B4230" s="51">
        <f ca="1">IFERROR(__xludf.DUMMYFUNCTION("""COMPUTED_VALUE"""),44637)</f>
        <v>44637</v>
      </c>
      <c r="C4230" s="22">
        <f ca="1">IFERROR(__xludf.DUMMYFUNCTION("""COMPUTED_VALUE"""),500000)</f>
        <v>500000</v>
      </c>
      <c r="D4230" s="22">
        <f ca="1">IFERROR(__xludf.DUMMYFUNCTION("""COMPUTED_VALUE"""),0)</f>
        <v>0</v>
      </c>
      <c r="E4230" s="22">
        <f ca="1">IFERROR(__xludf.DUMMYFUNCTION("""COMPUTED_VALUE"""),500000)</f>
        <v>500000</v>
      </c>
      <c r="F4230" s="22">
        <f ca="1">IFERROR(__xludf.DUMMYFUNCTION("""COMPUTED_VALUE"""),500000)</f>
        <v>500000</v>
      </c>
      <c r="G4230" s="22">
        <f ca="1">IFERROR(__xludf.DUMMYFUNCTION("""COMPUTED_VALUE"""),0)</f>
        <v>0</v>
      </c>
      <c r="H4230" s="7">
        <f ca="1">IFERROR(__xludf.DUMMYFUNCTION("""COMPUTED_VALUE"""),500000)</f>
        <v>500000</v>
      </c>
    </row>
    <row r="4231" spans="1:8" ht="13" x14ac:dyDescent="0.15">
      <c r="A4231" s="5" t="str">
        <f ca="1">IFERROR(__xludf.DUMMYFUNCTION("""COMPUTED_VALUE"""),"76937")</f>
        <v>76937</v>
      </c>
      <c r="B4231" s="51">
        <f ca="1">IFERROR(__xludf.DUMMYFUNCTION("""COMPUTED_VALUE"""),44638)</f>
        <v>44638</v>
      </c>
      <c r="C4231" s="22">
        <f ca="1">IFERROR(__xludf.DUMMYFUNCTION("""COMPUTED_VALUE"""),500000)</f>
        <v>500000</v>
      </c>
      <c r="D4231" s="22">
        <f ca="1">IFERROR(__xludf.DUMMYFUNCTION("""COMPUTED_VALUE"""),0)</f>
        <v>0</v>
      </c>
      <c r="E4231" s="22">
        <f ca="1">IFERROR(__xludf.DUMMYFUNCTION("""COMPUTED_VALUE"""),500000)</f>
        <v>500000</v>
      </c>
      <c r="F4231" s="22">
        <f ca="1">IFERROR(__xludf.DUMMYFUNCTION("""COMPUTED_VALUE"""),500000)</f>
        <v>500000</v>
      </c>
      <c r="G4231" s="22">
        <f ca="1">IFERROR(__xludf.DUMMYFUNCTION("""COMPUTED_VALUE"""),0)</f>
        <v>0</v>
      </c>
      <c r="H4231" s="7">
        <f ca="1">IFERROR(__xludf.DUMMYFUNCTION("""COMPUTED_VALUE"""),500000)</f>
        <v>500000</v>
      </c>
    </row>
    <row r="4232" spans="1:8" ht="13" x14ac:dyDescent="0.15">
      <c r="A4232" s="5" t="str">
        <f ca="1">IFERROR(__xludf.DUMMYFUNCTION("""COMPUTED_VALUE"""),"76937")</f>
        <v>76937</v>
      </c>
      <c r="B4232" s="51">
        <f ca="1">IFERROR(__xludf.DUMMYFUNCTION("""COMPUTED_VALUE"""),44639)</f>
        <v>44639</v>
      </c>
      <c r="C4232" s="22">
        <f ca="1">IFERROR(__xludf.DUMMYFUNCTION("""COMPUTED_VALUE"""),500000)</f>
        <v>500000</v>
      </c>
      <c r="D4232" s="22">
        <f ca="1">IFERROR(__xludf.DUMMYFUNCTION("""COMPUTED_VALUE"""),0)</f>
        <v>0</v>
      </c>
      <c r="E4232" s="22">
        <f ca="1">IFERROR(__xludf.DUMMYFUNCTION("""COMPUTED_VALUE"""),500000)</f>
        <v>500000</v>
      </c>
      <c r="F4232" s="22">
        <f ca="1">IFERROR(__xludf.DUMMYFUNCTION("""COMPUTED_VALUE"""),500000)</f>
        <v>500000</v>
      </c>
      <c r="G4232" s="22">
        <f ca="1">IFERROR(__xludf.DUMMYFUNCTION("""COMPUTED_VALUE"""),0)</f>
        <v>0</v>
      </c>
      <c r="H4232" s="7">
        <f ca="1">IFERROR(__xludf.DUMMYFUNCTION("""COMPUTED_VALUE"""),500000)</f>
        <v>500000</v>
      </c>
    </row>
    <row r="4233" spans="1:8" ht="13" x14ac:dyDescent="0.15">
      <c r="A4233" s="5" t="str">
        <f ca="1">IFERROR(__xludf.DUMMYFUNCTION("""COMPUTED_VALUE"""),"76937")</f>
        <v>76937</v>
      </c>
      <c r="B4233" s="51">
        <f ca="1">IFERROR(__xludf.DUMMYFUNCTION("""COMPUTED_VALUE"""),44640)</f>
        <v>44640</v>
      </c>
      <c r="C4233" s="22">
        <f ca="1">IFERROR(__xludf.DUMMYFUNCTION("""COMPUTED_VALUE"""),500000)</f>
        <v>500000</v>
      </c>
      <c r="D4233" s="22">
        <f ca="1">IFERROR(__xludf.DUMMYFUNCTION("""COMPUTED_VALUE"""),0)</f>
        <v>0</v>
      </c>
      <c r="E4233" s="22">
        <f ca="1">IFERROR(__xludf.DUMMYFUNCTION("""COMPUTED_VALUE"""),500000)</f>
        <v>500000</v>
      </c>
      <c r="F4233" s="22">
        <f ca="1">IFERROR(__xludf.DUMMYFUNCTION("""COMPUTED_VALUE"""),500000)</f>
        <v>500000</v>
      </c>
      <c r="G4233" s="22">
        <f ca="1">IFERROR(__xludf.DUMMYFUNCTION("""COMPUTED_VALUE"""),0)</f>
        <v>0</v>
      </c>
      <c r="H4233" s="7">
        <f ca="1">IFERROR(__xludf.DUMMYFUNCTION("""COMPUTED_VALUE"""),500000)</f>
        <v>500000</v>
      </c>
    </row>
    <row r="4234" spans="1:8" ht="13" x14ac:dyDescent="0.15">
      <c r="A4234" s="5" t="str">
        <f ca="1">IFERROR(__xludf.DUMMYFUNCTION("""COMPUTED_VALUE"""),"76937")</f>
        <v>76937</v>
      </c>
      <c r="B4234" s="51">
        <f ca="1">IFERROR(__xludf.DUMMYFUNCTION("""COMPUTED_VALUE"""),44641)</f>
        <v>44641</v>
      </c>
      <c r="C4234" s="22">
        <f ca="1">IFERROR(__xludf.DUMMYFUNCTION("""COMPUTED_VALUE"""),500000)</f>
        <v>500000</v>
      </c>
      <c r="D4234" s="22">
        <f ca="1">IFERROR(__xludf.DUMMYFUNCTION("""COMPUTED_VALUE"""),0)</f>
        <v>0</v>
      </c>
      <c r="E4234" s="22">
        <f ca="1">IFERROR(__xludf.DUMMYFUNCTION("""COMPUTED_VALUE"""),500000)</f>
        <v>500000</v>
      </c>
      <c r="F4234" s="22">
        <f ca="1">IFERROR(__xludf.DUMMYFUNCTION("""COMPUTED_VALUE"""),500000)</f>
        <v>500000</v>
      </c>
      <c r="G4234" s="22">
        <f ca="1">IFERROR(__xludf.DUMMYFUNCTION("""COMPUTED_VALUE"""),0)</f>
        <v>0</v>
      </c>
      <c r="H4234" s="7">
        <f ca="1">IFERROR(__xludf.DUMMYFUNCTION("""COMPUTED_VALUE"""),500000)</f>
        <v>500000</v>
      </c>
    </row>
    <row r="4235" spans="1:8" ht="13" x14ac:dyDescent="0.15">
      <c r="A4235" s="5" t="str">
        <f ca="1">IFERROR(__xludf.DUMMYFUNCTION("""COMPUTED_VALUE"""),"76937")</f>
        <v>76937</v>
      </c>
      <c r="B4235" s="51">
        <f ca="1">IFERROR(__xludf.DUMMYFUNCTION("""COMPUTED_VALUE"""),44642)</f>
        <v>44642</v>
      </c>
      <c r="C4235" s="22">
        <f ca="1">IFERROR(__xludf.DUMMYFUNCTION("""COMPUTED_VALUE"""),500000)</f>
        <v>500000</v>
      </c>
      <c r="D4235" s="22">
        <f ca="1">IFERROR(__xludf.DUMMYFUNCTION("""COMPUTED_VALUE"""),0)</f>
        <v>0</v>
      </c>
      <c r="E4235" s="22">
        <f ca="1">IFERROR(__xludf.DUMMYFUNCTION("""COMPUTED_VALUE"""),500000)</f>
        <v>500000</v>
      </c>
      <c r="F4235" s="22">
        <f ca="1">IFERROR(__xludf.DUMMYFUNCTION("""COMPUTED_VALUE"""),500000)</f>
        <v>500000</v>
      </c>
      <c r="G4235" s="22">
        <f ca="1">IFERROR(__xludf.DUMMYFUNCTION("""COMPUTED_VALUE"""),0)</f>
        <v>0</v>
      </c>
      <c r="H4235" s="7">
        <f ca="1">IFERROR(__xludf.DUMMYFUNCTION("""COMPUTED_VALUE"""),500000)</f>
        <v>500000</v>
      </c>
    </row>
    <row r="4236" spans="1:8" ht="13" x14ac:dyDescent="0.15">
      <c r="A4236" s="5" t="str">
        <f ca="1">IFERROR(__xludf.DUMMYFUNCTION("""COMPUTED_VALUE"""),"76938")</f>
        <v>76938</v>
      </c>
      <c r="B4236" s="51">
        <f ca="1">IFERROR(__xludf.DUMMYFUNCTION("""COMPUTED_VALUE"""),44597)</f>
        <v>44597</v>
      </c>
      <c r="C4236" s="22">
        <f ca="1">IFERROR(__xludf.DUMMYFUNCTION("""COMPUTED_VALUE"""),500000)</f>
        <v>500000</v>
      </c>
      <c r="D4236" s="22">
        <f ca="1">IFERROR(__xludf.DUMMYFUNCTION("""COMPUTED_VALUE"""),0)</f>
        <v>0</v>
      </c>
      <c r="E4236" s="22">
        <f ca="1">IFERROR(__xludf.DUMMYFUNCTION("""COMPUTED_VALUE"""),500000)</f>
        <v>500000</v>
      </c>
      <c r="F4236" s="22">
        <f ca="1">IFERROR(__xludf.DUMMYFUNCTION("""COMPUTED_VALUE"""),500000)</f>
        <v>500000</v>
      </c>
      <c r="G4236" s="22">
        <f ca="1">IFERROR(__xludf.DUMMYFUNCTION("""COMPUTED_VALUE"""),0)</f>
        <v>0</v>
      </c>
      <c r="H4236" s="7">
        <f ca="1">IFERROR(__xludf.DUMMYFUNCTION("""COMPUTED_VALUE"""),500000)</f>
        <v>500000</v>
      </c>
    </row>
    <row r="4237" spans="1:8" ht="13" x14ac:dyDescent="0.15">
      <c r="A4237" s="5" t="str">
        <f ca="1">IFERROR(__xludf.DUMMYFUNCTION("""COMPUTED_VALUE"""),"76938")</f>
        <v>76938</v>
      </c>
      <c r="B4237" s="51">
        <f ca="1">IFERROR(__xludf.DUMMYFUNCTION("""COMPUTED_VALUE"""),44598)</f>
        <v>44598</v>
      </c>
      <c r="C4237" s="22">
        <f ca="1">IFERROR(__xludf.DUMMYFUNCTION("""COMPUTED_VALUE"""),500000)</f>
        <v>500000</v>
      </c>
      <c r="D4237" s="22">
        <f ca="1">IFERROR(__xludf.DUMMYFUNCTION("""COMPUTED_VALUE"""),0)</f>
        <v>0</v>
      </c>
      <c r="E4237" s="22">
        <f ca="1">IFERROR(__xludf.DUMMYFUNCTION("""COMPUTED_VALUE"""),500000)</f>
        <v>500000</v>
      </c>
      <c r="F4237" s="22">
        <f ca="1">IFERROR(__xludf.DUMMYFUNCTION("""COMPUTED_VALUE"""),500000)</f>
        <v>500000</v>
      </c>
      <c r="G4237" s="22">
        <f ca="1">IFERROR(__xludf.DUMMYFUNCTION("""COMPUTED_VALUE"""),0)</f>
        <v>0</v>
      </c>
      <c r="H4237" s="7">
        <f ca="1">IFERROR(__xludf.DUMMYFUNCTION("""COMPUTED_VALUE"""),500000)</f>
        <v>500000</v>
      </c>
    </row>
    <row r="4238" spans="1:8" ht="13" x14ac:dyDescent="0.15">
      <c r="A4238" s="5" t="str">
        <f ca="1">IFERROR(__xludf.DUMMYFUNCTION("""COMPUTED_VALUE"""),"76938")</f>
        <v>76938</v>
      </c>
      <c r="B4238" s="51">
        <f ca="1">IFERROR(__xludf.DUMMYFUNCTION("""COMPUTED_VALUE"""),44599)</f>
        <v>44599</v>
      </c>
      <c r="C4238" s="22">
        <f ca="1">IFERROR(__xludf.DUMMYFUNCTION("""COMPUTED_VALUE"""),500000)</f>
        <v>500000</v>
      </c>
      <c r="D4238" s="22">
        <f ca="1">IFERROR(__xludf.DUMMYFUNCTION("""COMPUTED_VALUE"""),0)</f>
        <v>0</v>
      </c>
      <c r="E4238" s="22">
        <f ca="1">IFERROR(__xludf.DUMMYFUNCTION("""COMPUTED_VALUE"""),500000)</f>
        <v>500000</v>
      </c>
      <c r="F4238" s="22">
        <f ca="1">IFERROR(__xludf.DUMMYFUNCTION("""COMPUTED_VALUE"""),500000)</f>
        <v>500000</v>
      </c>
      <c r="G4238" s="22">
        <f ca="1">IFERROR(__xludf.DUMMYFUNCTION("""COMPUTED_VALUE"""),0)</f>
        <v>0</v>
      </c>
      <c r="H4238" s="7">
        <f ca="1">IFERROR(__xludf.DUMMYFUNCTION("""COMPUTED_VALUE"""),500000)</f>
        <v>500000</v>
      </c>
    </row>
    <row r="4239" spans="1:8" ht="13" x14ac:dyDescent="0.15">
      <c r="A4239" s="5" t="str">
        <f ca="1">IFERROR(__xludf.DUMMYFUNCTION("""COMPUTED_VALUE"""),"76938")</f>
        <v>76938</v>
      </c>
      <c r="B4239" s="51">
        <f ca="1">IFERROR(__xludf.DUMMYFUNCTION("""COMPUTED_VALUE"""),44600)</f>
        <v>44600</v>
      </c>
      <c r="C4239" s="22">
        <f ca="1">IFERROR(__xludf.DUMMYFUNCTION("""COMPUTED_VALUE"""),500000)</f>
        <v>500000</v>
      </c>
      <c r="D4239" s="22">
        <f ca="1">IFERROR(__xludf.DUMMYFUNCTION("""COMPUTED_VALUE"""),0)</f>
        <v>0</v>
      </c>
      <c r="E4239" s="22">
        <f ca="1">IFERROR(__xludf.DUMMYFUNCTION("""COMPUTED_VALUE"""),500000)</f>
        <v>500000</v>
      </c>
      <c r="F4239" s="22">
        <f ca="1">IFERROR(__xludf.DUMMYFUNCTION("""COMPUTED_VALUE"""),500000)</f>
        <v>500000</v>
      </c>
      <c r="G4239" s="22">
        <f ca="1">IFERROR(__xludf.DUMMYFUNCTION("""COMPUTED_VALUE"""),0)</f>
        <v>0</v>
      </c>
      <c r="H4239" s="7">
        <f ca="1">IFERROR(__xludf.DUMMYFUNCTION("""COMPUTED_VALUE"""),500000)</f>
        <v>500000</v>
      </c>
    </row>
    <row r="4240" spans="1:8" ht="13" x14ac:dyDescent="0.15">
      <c r="A4240" s="5" t="str">
        <f ca="1">IFERROR(__xludf.DUMMYFUNCTION("""COMPUTED_VALUE"""),"76938")</f>
        <v>76938</v>
      </c>
      <c r="B4240" s="51">
        <f ca="1">IFERROR(__xludf.DUMMYFUNCTION("""COMPUTED_VALUE"""),44601)</f>
        <v>44601</v>
      </c>
      <c r="C4240" s="22">
        <f ca="1">IFERROR(__xludf.DUMMYFUNCTION("""COMPUTED_VALUE"""),500000)</f>
        <v>500000</v>
      </c>
      <c r="D4240" s="22">
        <f ca="1">IFERROR(__xludf.DUMMYFUNCTION("""COMPUTED_VALUE"""),0)</f>
        <v>0</v>
      </c>
      <c r="E4240" s="22">
        <f ca="1">IFERROR(__xludf.DUMMYFUNCTION("""COMPUTED_VALUE"""),500000)</f>
        <v>500000</v>
      </c>
      <c r="F4240" s="22">
        <f ca="1">IFERROR(__xludf.DUMMYFUNCTION("""COMPUTED_VALUE"""),500000)</f>
        <v>500000</v>
      </c>
      <c r="G4240" s="22">
        <f ca="1">IFERROR(__xludf.DUMMYFUNCTION("""COMPUTED_VALUE"""),0)</f>
        <v>0</v>
      </c>
      <c r="H4240" s="7">
        <f ca="1">IFERROR(__xludf.DUMMYFUNCTION("""COMPUTED_VALUE"""),500000)</f>
        <v>500000</v>
      </c>
    </row>
    <row r="4241" spans="1:8" ht="13" x14ac:dyDescent="0.15">
      <c r="A4241" s="5" t="str">
        <f ca="1">IFERROR(__xludf.DUMMYFUNCTION("""COMPUTED_VALUE"""),"76938")</f>
        <v>76938</v>
      </c>
      <c r="B4241" s="51">
        <f ca="1">IFERROR(__xludf.DUMMYFUNCTION("""COMPUTED_VALUE"""),44602)</f>
        <v>44602</v>
      </c>
      <c r="C4241" s="22">
        <f ca="1">IFERROR(__xludf.DUMMYFUNCTION("""COMPUTED_VALUE"""),500000)</f>
        <v>500000</v>
      </c>
      <c r="D4241" s="22">
        <f ca="1">IFERROR(__xludf.DUMMYFUNCTION("""COMPUTED_VALUE"""),0)</f>
        <v>0</v>
      </c>
      <c r="E4241" s="22">
        <f ca="1">IFERROR(__xludf.DUMMYFUNCTION("""COMPUTED_VALUE"""),500000)</f>
        <v>500000</v>
      </c>
      <c r="F4241" s="22">
        <f ca="1">IFERROR(__xludf.DUMMYFUNCTION("""COMPUTED_VALUE"""),500000)</f>
        <v>500000</v>
      </c>
      <c r="G4241" s="22">
        <f ca="1">IFERROR(__xludf.DUMMYFUNCTION("""COMPUTED_VALUE"""),0)</f>
        <v>0</v>
      </c>
      <c r="H4241" s="7">
        <f ca="1">IFERROR(__xludf.DUMMYFUNCTION("""COMPUTED_VALUE"""),500000)</f>
        <v>500000</v>
      </c>
    </row>
    <row r="4242" spans="1:8" ht="13" x14ac:dyDescent="0.15">
      <c r="A4242" s="5" t="str">
        <f ca="1">IFERROR(__xludf.DUMMYFUNCTION("""COMPUTED_VALUE"""),"76938")</f>
        <v>76938</v>
      </c>
      <c r="B4242" s="51">
        <f ca="1">IFERROR(__xludf.DUMMYFUNCTION("""COMPUTED_VALUE"""),44603)</f>
        <v>44603</v>
      </c>
      <c r="C4242" s="22">
        <f ca="1">IFERROR(__xludf.DUMMYFUNCTION("""COMPUTED_VALUE"""),500000)</f>
        <v>500000</v>
      </c>
      <c r="D4242" s="22">
        <f ca="1">IFERROR(__xludf.DUMMYFUNCTION("""COMPUTED_VALUE"""),0)</f>
        <v>0</v>
      </c>
      <c r="E4242" s="22">
        <f ca="1">IFERROR(__xludf.DUMMYFUNCTION("""COMPUTED_VALUE"""),500000)</f>
        <v>500000</v>
      </c>
      <c r="F4242" s="22">
        <f ca="1">IFERROR(__xludf.DUMMYFUNCTION("""COMPUTED_VALUE"""),500000)</f>
        <v>500000</v>
      </c>
      <c r="G4242" s="22">
        <f ca="1">IFERROR(__xludf.DUMMYFUNCTION("""COMPUTED_VALUE"""),0)</f>
        <v>0</v>
      </c>
      <c r="H4242" s="7">
        <f ca="1">IFERROR(__xludf.DUMMYFUNCTION("""COMPUTED_VALUE"""),500000)</f>
        <v>500000</v>
      </c>
    </row>
    <row r="4243" spans="1:8" ht="13" x14ac:dyDescent="0.15">
      <c r="A4243" s="5" t="str">
        <f ca="1">IFERROR(__xludf.DUMMYFUNCTION("""COMPUTED_VALUE"""),"76938")</f>
        <v>76938</v>
      </c>
      <c r="B4243" s="51">
        <f ca="1">IFERROR(__xludf.DUMMYFUNCTION("""COMPUTED_VALUE"""),44604)</f>
        <v>44604</v>
      </c>
      <c r="C4243" s="22">
        <f ca="1">IFERROR(__xludf.DUMMYFUNCTION("""COMPUTED_VALUE"""),500000)</f>
        <v>500000</v>
      </c>
      <c r="D4243" s="22">
        <f ca="1">IFERROR(__xludf.DUMMYFUNCTION("""COMPUTED_VALUE"""),0)</f>
        <v>0</v>
      </c>
      <c r="E4243" s="22">
        <f ca="1">IFERROR(__xludf.DUMMYFUNCTION("""COMPUTED_VALUE"""),500000)</f>
        <v>500000</v>
      </c>
      <c r="F4243" s="22">
        <f ca="1">IFERROR(__xludf.DUMMYFUNCTION("""COMPUTED_VALUE"""),500000)</f>
        <v>500000</v>
      </c>
      <c r="G4243" s="22">
        <f ca="1">IFERROR(__xludf.DUMMYFUNCTION("""COMPUTED_VALUE"""),0)</f>
        <v>0</v>
      </c>
      <c r="H4243" s="7">
        <f ca="1">IFERROR(__xludf.DUMMYFUNCTION("""COMPUTED_VALUE"""),500000)</f>
        <v>500000</v>
      </c>
    </row>
    <row r="4244" spans="1:8" ht="13" x14ac:dyDescent="0.15">
      <c r="A4244" s="5" t="str">
        <f ca="1">IFERROR(__xludf.DUMMYFUNCTION("""COMPUTED_VALUE"""),"76938")</f>
        <v>76938</v>
      </c>
      <c r="B4244" s="51">
        <f ca="1">IFERROR(__xludf.DUMMYFUNCTION("""COMPUTED_VALUE"""),44605)</f>
        <v>44605</v>
      </c>
      <c r="C4244" s="22">
        <f ca="1">IFERROR(__xludf.DUMMYFUNCTION("""COMPUTED_VALUE"""),500000)</f>
        <v>500000</v>
      </c>
      <c r="D4244" s="22">
        <f ca="1">IFERROR(__xludf.DUMMYFUNCTION("""COMPUTED_VALUE"""),0)</f>
        <v>0</v>
      </c>
      <c r="E4244" s="22">
        <f ca="1">IFERROR(__xludf.DUMMYFUNCTION("""COMPUTED_VALUE"""),500000)</f>
        <v>500000</v>
      </c>
      <c r="F4244" s="22">
        <f ca="1">IFERROR(__xludf.DUMMYFUNCTION("""COMPUTED_VALUE"""),500000)</f>
        <v>500000</v>
      </c>
      <c r="G4244" s="22">
        <f ca="1">IFERROR(__xludf.DUMMYFUNCTION("""COMPUTED_VALUE"""),0)</f>
        <v>0</v>
      </c>
      <c r="H4244" s="7">
        <f ca="1">IFERROR(__xludf.DUMMYFUNCTION("""COMPUTED_VALUE"""),500000)</f>
        <v>500000</v>
      </c>
    </row>
    <row r="4245" spans="1:8" ht="13" x14ac:dyDescent="0.15">
      <c r="A4245" s="5" t="str">
        <f ca="1">IFERROR(__xludf.DUMMYFUNCTION("""COMPUTED_VALUE"""),"76938")</f>
        <v>76938</v>
      </c>
      <c r="B4245" s="51">
        <f ca="1">IFERROR(__xludf.DUMMYFUNCTION("""COMPUTED_VALUE"""),44606)</f>
        <v>44606</v>
      </c>
      <c r="C4245" s="22">
        <f ca="1">IFERROR(__xludf.DUMMYFUNCTION("""COMPUTED_VALUE"""),500000)</f>
        <v>500000</v>
      </c>
      <c r="D4245" s="22">
        <f ca="1">IFERROR(__xludf.DUMMYFUNCTION("""COMPUTED_VALUE"""),0)</f>
        <v>0</v>
      </c>
      <c r="E4245" s="22">
        <f ca="1">IFERROR(__xludf.DUMMYFUNCTION("""COMPUTED_VALUE"""),500000)</f>
        <v>500000</v>
      </c>
      <c r="F4245" s="22">
        <f ca="1">IFERROR(__xludf.DUMMYFUNCTION("""COMPUTED_VALUE"""),500000)</f>
        <v>500000</v>
      </c>
      <c r="G4245" s="22">
        <f ca="1">IFERROR(__xludf.DUMMYFUNCTION("""COMPUTED_VALUE"""),0)</f>
        <v>0</v>
      </c>
      <c r="H4245" s="7">
        <f ca="1">IFERROR(__xludf.DUMMYFUNCTION("""COMPUTED_VALUE"""),500000)</f>
        <v>500000</v>
      </c>
    </row>
    <row r="4246" spans="1:8" ht="13" x14ac:dyDescent="0.15">
      <c r="A4246" s="5" t="str">
        <f ca="1">IFERROR(__xludf.DUMMYFUNCTION("""COMPUTED_VALUE"""),"76938")</f>
        <v>76938</v>
      </c>
      <c r="B4246" s="51">
        <f ca="1">IFERROR(__xludf.DUMMYFUNCTION("""COMPUTED_VALUE"""),44607)</f>
        <v>44607</v>
      </c>
      <c r="C4246" s="22">
        <f ca="1">IFERROR(__xludf.DUMMYFUNCTION("""COMPUTED_VALUE"""),500000)</f>
        <v>500000</v>
      </c>
      <c r="D4246" s="22">
        <f ca="1">IFERROR(__xludf.DUMMYFUNCTION("""COMPUTED_VALUE"""),0)</f>
        <v>0</v>
      </c>
      <c r="E4246" s="22">
        <f ca="1">IFERROR(__xludf.DUMMYFUNCTION("""COMPUTED_VALUE"""),500000)</f>
        <v>500000</v>
      </c>
      <c r="F4246" s="22">
        <f ca="1">IFERROR(__xludf.DUMMYFUNCTION("""COMPUTED_VALUE"""),500000)</f>
        <v>500000</v>
      </c>
      <c r="G4246" s="22">
        <f ca="1">IFERROR(__xludf.DUMMYFUNCTION("""COMPUTED_VALUE"""),0)</f>
        <v>0</v>
      </c>
      <c r="H4246" s="7">
        <f ca="1">IFERROR(__xludf.DUMMYFUNCTION("""COMPUTED_VALUE"""),500000)</f>
        <v>500000</v>
      </c>
    </row>
    <row r="4247" spans="1:8" ht="13" x14ac:dyDescent="0.15">
      <c r="A4247" s="5" t="str">
        <f ca="1">IFERROR(__xludf.DUMMYFUNCTION("""COMPUTED_VALUE"""),"76938")</f>
        <v>76938</v>
      </c>
      <c r="B4247" s="51">
        <f ca="1">IFERROR(__xludf.DUMMYFUNCTION("""COMPUTED_VALUE"""),44608)</f>
        <v>44608</v>
      </c>
      <c r="C4247" s="22">
        <f ca="1">IFERROR(__xludf.DUMMYFUNCTION("""COMPUTED_VALUE"""),500000)</f>
        <v>500000</v>
      </c>
      <c r="D4247" s="22">
        <f ca="1">IFERROR(__xludf.DUMMYFUNCTION("""COMPUTED_VALUE"""),0)</f>
        <v>0</v>
      </c>
      <c r="E4247" s="22">
        <f ca="1">IFERROR(__xludf.DUMMYFUNCTION("""COMPUTED_VALUE"""),500000)</f>
        <v>500000</v>
      </c>
      <c r="F4247" s="22">
        <f ca="1">IFERROR(__xludf.DUMMYFUNCTION("""COMPUTED_VALUE"""),500000)</f>
        <v>500000</v>
      </c>
      <c r="G4247" s="22">
        <f ca="1">IFERROR(__xludf.DUMMYFUNCTION("""COMPUTED_VALUE"""),0)</f>
        <v>0</v>
      </c>
      <c r="H4247" s="7">
        <f ca="1">IFERROR(__xludf.DUMMYFUNCTION("""COMPUTED_VALUE"""),500000)</f>
        <v>500000</v>
      </c>
    </row>
    <row r="4248" spans="1:8" ht="13" x14ac:dyDescent="0.15">
      <c r="A4248" s="5" t="str">
        <f ca="1">IFERROR(__xludf.DUMMYFUNCTION("""COMPUTED_VALUE"""),"76938")</f>
        <v>76938</v>
      </c>
      <c r="B4248" s="51">
        <f ca="1">IFERROR(__xludf.DUMMYFUNCTION("""COMPUTED_VALUE"""),44609)</f>
        <v>44609</v>
      </c>
      <c r="C4248" s="22">
        <f ca="1">IFERROR(__xludf.DUMMYFUNCTION("""COMPUTED_VALUE"""),500000)</f>
        <v>500000</v>
      </c>
      <c r="D4248" s="22">
        <f ca="1">IFERROR(__xludf.DUMMYFUNCTION("""COMPUTED_VALUE"""),0)</f>
        <v>0</v>
      </c>
      <c r="E4248" s="22">
        <f ca="1">IFERROR(__xludf.DUMMYFUNCTION("""COMPUTED_VALUE"""),500000)</f>
        <v>500000</v>
      </c>
      <c r="F4248" s="22">
        <f ca="1">IFERROR(__xludf.DUMMYFUNCTION("""COMPUTED_VALUE"""),500000)</f>
        <v>500000</v>
      </c>
      <c r="G4248" s="22">
        <f ca="1">IFERROR(__xludf.DUMMYFUNCTION("""COMPUTED_VALUE"""),0)</f>
        <v>0</v>
      </c>
      <c r="H4248" s="7">
        <f ca="1">IFERROR(__xludf.DUMMYFUNCTION("""COMPUTED_VALUE"""),500000)</f>
        <v>500000</v>
      </c>
    </row>
    <row r="4249" spans="1:8" ht="13" x14ac:dyDescent="0.15">
      <c r="A4249" s="5" t="str">
        <f ca="1">IFERROR(__xludf.DUMMYFUNCTION("""COMPUTED_VALUE"""),"76938")</f>
        <v>76938</v>
      </c>
      <c r="B4249" s="51">
        <f ca="1">IFERROR(__xludf.DUMMYFUNCTION("""COMPUTED_VALUE"""),44610)</f>
        <v>44610</v>
      </c>
      <c r="C4249" s="22">
        <f ca="1">IFERROR(__xludf.DUMMYFUNCTION("""COMPUTED_VALUE"""),500000)</f>
        <v>500000</v>
      </c>
      <c r="D4249" s="22">
        <f ca="1">IFERROR(__xludf.DUMMYFUNCTION("""COMPUTED_VALUE"""),0)</f>
        <v>0</v>
      </c>
      <c r="E4249" s="22">
        <f ca="1">IFERROR(__xludf.DUMMYFUNCTION("""COMPUTED_VALUE"""),500000)</f>
        <v>500000</v>
      </c>
      <c r="F4249" s="22">
        <f ca="1">IFERROR(__xludf.DUMMYFUNCTION("""COMPUTED_VALUE"""),500000)</f>
        <v>500000</v>
      </c>
      <c r="G4249" s="22">
        <f ca="1">IFERROR(__xludf.DUMMYFUNCTION("""COMPUTED_VALUE"""),0)</f>
        <v>0</v>
      </c>
      <c r="H4249" s="7">
        <f ca="1">IFERROR(__xludf.DUMMYFUNCTION("""COMPUTED_VALUE"""),500000)</f>
        <v>500000</v>
      </c>
    </row>
    <row r="4250" spans="1:8" ht="13" x14ac:dyDescent="0.15">
      <c r="A4250" s="5" t="str">
        <f ca="1">IFERROR(__xludf.DUMMYFUNCTION("""COMPUTED_VALUE"""),"76938")</f>
        <v>76938</v>
      </c>
      <c r="B4250" s="51">
        <f ca="1">IFERROR(__xludf.DUMMYFUNCTION("""COMPUTED_VALUE"""),44611)</f>
        <v>44611</v>
      </c>
      <c r="C4250" s="22">
        <f ca="1">IFERROR(__xludf.DUMMYFUNCTION("""COMPUTED_VALUE"""),500000)</f>
        <v>500000</v>
      </c>
      <c r="D4250" s="22">
        <f ca="1">IFERROR(__xludf.DUMMYFUNCTION("""COMPUTED_VALUE"""),0)</f>
        <v>0</v>
      </c>
      <c r="E4250" s="22">
        <f ca="1">IFERROR(__xludf.DUMMYFUNCTION("""COMPUTED_VALUE"""),500000)</f>
        <v>500000</v>
      </c>
      <c r="F4250" s="22">
        <f ca="1">IFERROR(__xludf.DUMMYFUNCTION("""COMPUTED_VALUE"""),500000)</f>
        <v>500000</v>
      </c>
      <c r="G4250" s="22">
        <f ca="1">IFERROR(__xludf.DUMMYFUNCTION("""COMPUTED_VALUE"""),0)</f>
        <v>0</v>
      </c>
      <c r="H4250" s="7">
        <f ca="1">IFERROR(__xludf.DUMMYFUNCTION("""COMPUTED_VALUE"""),500000)</f>
        <v>500000</v>
      </c>
    </row>
    <row r="4251" spans="1:8" ht="13" x14ac:dyDescent="0.15">
      <c r="A4251" s="5" t="str">
        <f ca="1">IFERROR(__xludf.DUMMYFUNCTION("""COMPUTED_VALUE"""),"76938")</f>
        <v>76938</v>
      </c>
      <c r="B4251" s="51">
        <f ca="1">IFERROR(__xludf.DUMMYFUNCTION("""COMPUTED_VALUE"""),44612)</f>
        <v>44612</v>
      </c>
      <c r="C4251" s="22">
        <f ca="1">IFERROR(__xludf.DUMMYFUNCTION("""COMPUTED_VALUE"""),500000)</f>
        <v>500000</v>
      </c>
      <c r="D4251" s="22">
        <f ca="1">IFERROR(__xludf.DUMMYFUNCTION("""COMPUTED_VALUE"""),0)</f>
        <v>0</v>
      </c>
      <c r="E4251" s="22">
        <f ca="1">IFERROR(__xludf.DUMMYFUNCTION("""COMPUTED_VALUE"""),500000)</f>
        <v>500000</v>
      </c>
      <c r="F4251" s="22">
        <f ca="1">IFERROR(__xludf.DUMMYFUNCTION("""COMPUTED_VALUE"""),500000)</f>
        <v>500000</v>
      </c>
      <c r="G4251" s="22">
        <f ca="1">IFERROR(__xludf.DUMMYFUNCTION("""COMPUTED_VALUE"""),0)</f>
        <v>0</v>
      </c>
      <c r="H4251" s="7">
        <f ca="1">IFERROR(__xludf.DUMMYFUNCTION("""COMPUTED_VALUE"""),500000)</f>
        <v>500000</v>
      </c>
    </row>
    <row r="4252" spans="1:8" ht="13" x14ac:dyDescent="0.15">
      <c r="A4252" s="5" t="str">
        <f ca="1">IFERROR(__xludf.DUMMYFUNCTION("""COMPUTED_VALUE"""),"76938")</f>
        <v>76938</v>
      </c>
      <c r="B4252" s="51">
        <f ca="1">IFERROR(__xludf.DUMMYFUNCTION("""COMPUTED_VALUE"""),44613)</f>
        <v>44613</v>
      </c>
      <c r="C4252" s="22">
        <f ca="1">IFERROR(__xludf.DUMMYFUNCTION("""COMPUTED_VALUE"""),500000)</f>
        <v>500000</v>
      </c>
      <c r="D4252" s="22">
        <f ca="1">IFERROR(__xludf.DUMMYFUNCTION("""COMPUTED_VALUE"""),0)</f>
        <v>0</v>
      </c>
      <c r="E4252" s="22">
        <f ca="1">IFERROR(__xludf.DUMMYFUNCTION("""COMPUTED_VALUE"""),500000)</f>
        <v>500000</v>
      </c>
      <c r="F4252" s="22">
        <f ca="1">IFERROR(__xludf.DUMMYFUNCTION("""COMPUTED_VALUE"""),500000)</f>
        <v>500000</v>
      </c>
      <c r="G4252" s="22">
        <f ca="1">IFERROR(__xludf.DUMMYFUNCTION("""COMPUTED_VALUE"""),0)</f>
        <v>0</v>
      </c>
      <c r="H4252" s="7">
        <f ca="1">IFERROR(__xludf.DUMMYFUNCTION("""COMPUTED_VALUE"""),500000)</f>
        <v>500000</v>
      </c>
    </row>
    <row r="4253" spans="1:8" ht="13" x14ac:dyDescent="0.15">
      <c r="A4253" s="5" t="str">
        <f ca="1">IFERROR(__xludf.DUMMYFUNCTION("""COMPUTED_VALUE"""),"76938")</f>
        <v>76938</v>
      </c>
      <c r="B4253" s="51">
        <f ca="1">IFERROR(__xludf.DUMMYFUNCTION("""COMPUTED_VALUE"""),44614)</f>
        <v>44614</v>
      </c>
      <c r="C4253" s="22">
        <f ca="1">IFERROR(__xludf.DUMMYFUNCTION("""COMPUTED_VALUE"""),500000)</f>
        <v>500000</v>
      </c>
      <c r="D4253" s="22">
        <f ca="1">IFERROR(__xludf.DUMMYFUNCTION("""COMPUTED_VALUE"""),0)</f>
        <v>0</v>
      </c>
      <c r="E4253" s="22">
        <f ca="1">IFERROR(__xludf.DUMMYFUNCTION("""COMPUTED_VALUE"""),500000)</f>
        <v>500000</v>
      </c>
      <c r="F4253" s="22">
        <f ca="1">IFERROR(__xludf.DUMMYFUNCTION("""COMPUTED_VALUE"""),500000)</f>
        <v>500000</v>
      </c>
      <c r="G4253" s="22">
        <f ca="1">IFERROR(__xludf.DUMMYFUNCTION("""COMPUTED_VALUE"""),0)</f>
        <v>0</v>
      </c>
      <c r="H4253" s="7">
        <f ca="1">IFERROR(__xludf.DUMMYFUNCTION("""COMPUTED_VALUE"""),500000)</f>
        <v>500000</v>
      </c>
    </row>
    <row r="4254" spans="1:8" ht="13" x14ac:dyDescent="0.15">
      <c r="A4254" s="5" t="str">
        <f ca="1">IFERROR(__xludf.DUMMYFUNCTION("""COMPUTED_VALUE"""),"76938")</f>
        <v>76938</v>
      </c>
      <c r="B4254" s="51">
        <f ca="1">IFERROR(__xludf.DUMMYFUNCTION("""COMPUTED_VALUE"""),44615)</f>
        <v>44615</v>
      </c>
      <c r="C4254" s="22">
        <f ca="1">IFERROR(__xludf.DUMMYFUNCTION("""COMPUTED_VALUE"""),500000)</f>
        <v>500000</v>
      </c>
      <c r="D4254" s="22">
        <f ca="1">IFERROR(__xludf.DUMMYFUNCTION("""COMPUTED_VALUE"""),0)</f>
        <v>0</v>
      </c>
      <c r="E4254" s="22">
        <f ca="1">IFERROR(__xludf.DUMMYFUNCTION("""COMPUTED_VALUE"""),500000)</f>
        <v>500000</v>
      </c>
      <c r="F4254" s="22">
        <f ca="1">IFERROR(__xludf.DUMMYFUNCTION("""COMPUTED_VALUE"""),500000)</f>
        <v>500000</v>
      </c>
      <c r="G4254" s="22">
        <f ca="1">IFERROR(__xludf.DUMMYFUNCTION("""COMPUTED_VALUE"""),0)</f>
        <v>0</v>
      </c>
      <c r="H4254" s="7">
        <f ca="1">IFERROR(__xludf.DUMMYFUNCTION("""COMPUTED_VALUE"""),500000)</f>
        <v>500000</v>
      </c>
    </row>
    <row r="4255" spans="1:8" ht="13" x14ac:dyDescent="0.15">
      <c r="A4255" s="5" t="str">
        <f ca="1">IFERROR(__xludf.DUMMYFUNCTION("""COMPUTED_VALUE"""),"76938")</f>
        <v>76938</v>
      </c>
      <c r="B4255" s="51">
        <f ca="1">IFERROR(__xludf.DUMMYFUNCTION("""COMPUTED_VALUE"""),44616)</f>
        <v>44616</v>
      </c>
      <c r="C4255" s="22">
        <f ca="1">IFERROR(__xludf.DUMMYFUNCTION("""COMPUTED_VALUE"""),500000)</f>
        <v>500000</v>
      </c>
      <c r="D4255" s="22">
        <f ca="1">IFERROR(__xludf.DUMMYFUNCTION("""COMPUTED_VALUE"""),0)</f>
        <v>0</v>
      </c>
      <c r="E4255" s="22">
        <f ca="1">IFERROR(__xludf.DUMMYFUNCTION("""COMPUTED_VALUE"""),500000)</f>
        <v>500000</v>
      </c>
      <c r="F4255" s="22">
        <f ca="1">IFERROR(__xludf.DUMMYFUNCTION("""COMPUTED_VALUE"""),500000)</f>
        <v>500000</v>
      </c>
      <c r="G4255" s="22">
        <f ca="1">IFERROR(__xludf.DUMMYFUNCTION("""COMPUTED_VALUE"""),0)</f>
        <v>0</v>
      </c>
      <c r="H4255" s="7">
        <f ca="1">IFERROR(__xludf.DUMMYFUNCTION("""COMPUTED_VALUE"""),500000)</f>
        <v>500000</v>
      </c>
    </row>
    <row r="4256" spans="1:8" ht="13" x14ac:dyDescent="0.15">
      <c r="A4256" s="5" t="str">
        <f ca="1">IFERROR(__xludf.DUMMYFUNCTION("""COMPUTED_VALUE"""),"76938")</f>
        <v>76938</v>
      </c>
      <c r="B4256" s="51">
        <f ca="1">IFERROR(__xludf.DUMMYFUNCTION("""COMPUTED_VALUE"""),44617)</f>
        <v>44617</v>
      </c>
      <c r="C4256" s="22">
        <f ca="1">IFERROR(__xludf.DUMMYFUNCTION("""COMPUTED_VALUE"""),500000)</f>
        <v>500000</v>
      </c>
      <c r="D4256" s="22">
        <f ca="1">IFERROR(__xludf.DUMMYFUNCTION("""COMPUTED_VALUE"""),0)</f>
        <v>0</v>
      </c>
      <c r="E4256" s="22">
        <f ca="1">IFERROR(__xludf.DUMMYFUNCTION("""COMPUTED_VALUE"""),500000)</f>
        <v>500000</v>
      </c>
      <c r="F4256" s="22">
        <f ca="1">IFERROR(__xludf.DUMMYFUNCTION("""COMPUTED_VALUE"""),500000)</f>
        <v>500000</v>
      </c>
      <c r="G4256" s="22">
        <f ca="1">IFERROR(__xludf.DUMMYFUNCTION("""COMPUTED_VALUE"""),0)</f>
        <v>0</v>
      </c>
      <c r="H4256" s="7">
        <f ca="1">IFERROR(__xludf.DUMMYFUNCTION("""COMPUTED_VALUE"""),500000)</f>
        <v>500000</v>
      </c>
    </row>
    <row r="4257" spans="1:8" ht="13" x14ac:dyDescent="0.15">
      <c r="A4257" s="5" t="str">
        <f ca="1">IFERROR(__xludf.DUMMYFUNCTION("""COMPUTED_VALUE"""),"76938")</f>
        <v>76938</v>
      </c>
      <c r="B4257" s="51">
        <f ca="1">IFERROR(__xludf.DUMMYFUNCTION("""COMPUTED_VALUE"""),44618)</f>
        <v>44618</v>
      </c>
      <c r="C4257" s="22">
        <f ca="1">IFERROR(__xludf.DUMMYFUNCTION("""COMPUTED_VALUE"""),500000)</f>
        <v>500000</v>
      </c>
      <c r="D4257" s="22">
        <f ca="1">IFERROR(__xludf.DUMMYFUNCTION("""COMPUTED_VALUE"""),0)</f>
        <v>0</v>
      </c>
      <c r="E4257" s="22">
        <f ca="1">IFERROR(__xludf.DUMMYFUNCTION("""COMPUTED_VALUE"""),500000)</f>
        <v>500000</v>
      </c>
      <c r="F4257" s="22">
        <f ca="1">IFERROR(__xludf.DUMMYFUNCTION("""COMPUTED_VALUE"""),500000)</f>
        <v>500000</v>
      </c>
      <c r="G4257" s="22">
        <f ca="1">IFERROR(__xludf.DUMMYFUNCTION("""COMPUTED_VALUE"""),0)</f>
        <v>0</v>
      </c>
      <c r="H4257" s="7">
        <f ca="1">IFERROR(__xludf.DUMMYFUNCTION("""COMPUTED_VALUE"""),500000)</f>
        <v>500000</v>
      </c>
    </row>
    <row r="4258" spans="1:8" ht="13" x14ac:dyDescent="0.15">
      <c r="A4258" s="5" t="str">
        <f ca="1">IFERROR(__xludf.DUMMYFUNCTION("""COMPUTED_VALUE"""),"76938")</f>
        <v>76938</v>
      </c>
      <c r="B4258" s="51">
        <f ca="1">IFERROR(__xludf.DUMMYFUNCTION("""COMPUTED_VALUE"""),44619)</f>
        <v>44619</v>
      </c>
      <c r="C4258" s="22">
        <f ca="1">IFERROR(__xludf.DUMMYFUNCTION("""COMPUTED_VALUE"""),500000)</f>
        <v>500000</v>
      </c>
      <c r="D4258" s="22">
        <f ca="1">IFERROR(__xludf.DUMMYFUNCTION("""COMPUTED_VALUE"""),0)</f>
        <v>0</v>
      </c>
      <c r="E4258" s="22">
        <f ca="1">IFERROR(__xludf.DUMMYFUNCTION("""COMPUTED_VALUE"""),500000)</f>
        <v>500000</v>
      </c>
      <c r="F4258" s="22">
        <f ca="1">IFERROR(__xludf.DUMMYFUNCTION("""COMPUTED_VALUE"""),500000)</f>
        <v>500000</v>
      </c>
      <c r="G4258" s="22">
        <f ca="1">IFERROR(__xludf.DUMMYFUNCTION("""COMPUTED_VALUE"""),0)</f>
        <v>0</v>
      </c>
      <c r="H4258" s="7">
        <f ca="1">IFERROR(__xludf.DUMMYFUNCTION("""COMPUTED_VALUE"""),500000)</f>
        <v>500000</v>
      </c>
    </row>
    <row r="4259" spans="1:8" ht="13" x14ac:dyDescent="0.15">
      <c r="A4259" s="5" t="str">
        <f ca="1">IFERROR(__xludf.DUMMYFUNCTION("""COMPUTED_VALUE"""),"76938")</f>
        <v>76938</v>
      </c>
      <c r="B4259" s="51">
        <f ca="1">IFERROR(__xludf.DUMMYFUNCTION("""COMPUTED_VALUE"""),44620)</f>
        <v>44620</v>
      </c>
      <c r="C4259" s="22">
        <f ca="1">IFERROR(__xludf.DUMMYFUNCTION("""COMPUTED_VALUE"""),500000)</f>
        <v>500000</v>
      </c>
      <c r="D4259" s="22">
        <f ca="1">IFERROR(__xludf.DUMMYFUNCTION("""COMPUTED_VALUE"""),0)</f>
        <v>0</v>
      </c>
      <c r="E4259" s="22">
        <f ca="1">IFERROR(__xludf.DUMMYFUNCTION("""COMPUTED_VALUE"""),500000)</f>
        <v>500000</v>
      </c>
      <c r="F4259" s="22">
        <f ca="1">IFERROR(__xludf.DUMMYFUNCTION("""COMPUTED_VALUE"""),500000)</f>
        <v>500000</v>
      </c>
      <c r="G4259" s="22">
        <f ca="1">IFERROR(__xludf.DUMMYFUNCTION("""COMPUTED_VALUE"""),0)</f>
        <v>0</v>
      </c>
      <c r="H4259" s="7">
        <f ca="1">IFERROR(__xludf.DUMMYFUNCTION("""COMPUTED_VALUE"""),500000)</f>
        <v>500000</v>
      </c>
    </row>
    <row r="4260" spans="1:8" ht="13" x14ac:dyDescent="0.15">
      <c r="A4260" s="5" t="str">
        <f ca="1">IFERROR(__xludf.DUMMYFUNCTION("""COMPUTED_VALUE"""),"76938")</f>
        <v>76938</v>
      </c>
      <c r="B4260" s="51">
        <f ca="1">IFERROR(__xludf.DUMMYFUNCTION("""COMPUTED_VALUE"""),44621)</f>
        <v>44621</v>
      </c>
      <c r="C4260" s="22">
        <f ca="1">IFERROR(__xludf.DUMMYFUNCTION("""COMPUTED_VALUE"""),500000)</f>
        <v>500000</v>
      </c>
      <c r="D4260" s="22">
        <f ca="1">IFERROR(__xludf.DUMMYFUNCTION("""COMPUTED_VALUE"""),0)</f>
        <v>0</v>
      </c>
      <c r="E4260" s="22">
        <f ca="1">IFERROR(__xludf.DUMMYFUNCTION("""COMPUTED_VALUE"""),500000)</f>
        <v>500000</v>
      </c>
      <c r="F4260" s="22">
        <f ca="1">IFERROR(__xludf.DUMMYFUNCTION("""COMPUTED_VALUE"""),500000)</f>
        <v>500000</v>
      </c>
      <c r="G4260" s="22">
        <f ca="1">IFERROR(__xludf.DUMMYFUNCTION("""COMPUTED_VALUE"""),0)</f>
        <v>0</v>
      </c>
      <c r="H4260" s="7">
        <f ca="1">IFERROR(__xludf.DUMMYFUNCTION("""COMPUTED_VALUE"""),500000)</f>
        <v>500000</v>
      </c>
    </row>
    <row r="4261" spans="1:8" ht="13" x14ac:dyDescent="0.15">
      <c r="A4261" s="5" t="str">
        <f ca="1">IFERROR(__xludf.DUMMYFUNCTION("""COMPUTED_VALUE"""),"76938")</f>
        <v>76938</v>
      </c>
      <c r="B4261" s="51">
        <f ca="1">IFERROR(__xludf.DUMMYFUNCTION("""COMPUTED_VALUE"""),44622)</f>
        <v>44622</v>
      </c>
      <c r="C4261" s="22">
        <f ca="1">IFERROR(__xludf.DUMMYFUNCTION("""COMPUTED_VALUE"""),500000)</f>
        <v>500000</v>
      </c>
      <c r="D4261" s="22">
        <f ca="1">IFERROR(__xludf.DUMMYFUNCTION("""COMPUTED_VALUE"""),0)</f>
        <v>0</v>
      </c>
      <c r="E4261" s="22">
        <f ca="1">IFERROR(__xludf.DUMMYFUNCTION("""COMPUTED_VALUE"""),500000)</f>
        <v>500000</v>
      </c>
      <c r="F4261" s="22">
        <f ca="1">IFERROR(__xludf.DUMMYFUNCTION("""COMPUTED_VALUE"""),500000)</f>
        <v>500000</v>
      </c>
      <c r="G4261" s="22">
        <f ca="1">IFERROR(__xludf.DUMMYFUNCTION("""COMPUTED_VALUE"""),0)</f>
        <v>0</v>
      </c>
      <c r="H4261" s="7">
        <f ca="1">IFERROR(__xludf.DUMMYFUNCTION("""COMPUTED_VALUE"""),500000)</f>
        <v>500000</v>
      </c>
    </row>
    <row r="4262" spans="1:8" ht="13" x14ac:dyDescent="0.15">
      <c r="A4262" s="5" t="str">
        <f ca="1">IFERROR(__xludf.DUMMYFUNCTION("""COMPUTED_VALUE"""),"76938")</f>
        <v>76938</v>
      </c>
      <c r="B4262" s="51">
        <f ca="1">IFERROR(__xludf.DUMMYFUNCTION("""COMPUTED_VALUE"""),44623)</f>
        <v>44623</v>
      </c>
      <c r="C4262" s="22">
        <f ca="1">IFERROR(__xludf.DUMMYFUNCTION("""COMPUTED_VALUE"""),500000)</f>
        <v>500000</v>
      </c>
      <c r="D4262" s="22">
        <f ca="1">IFERROR(__xludf.DUMMYFUNCTION("""COMPUTED_VALUE"""),0)</f>
        <v>0</v>
      </c>
      <c r="E4262" s="22">
        <f ca="1">IFERROR(__xludf.DUMMYFUNCTION("""COMPUTED_VALUE"""),500000)</f>
        <v>500000</v>
      </c>
      <c r="F4262" s="22">
        <f ca="1">IFERROR(__xludf.DUMMYFUNCTION("""COMPUTED_VALUE"""),500000)</f>
        <v>500000</v>
      </c>
      <c r="G4262" s="22">
        <f ca="1">IFERROR(__xludf.DUMMYFUNCTION("""COMPUTED_VALUE"""),0)</f>
        <v>0</v>
      </c>
      <c r="H4262" s="7">
        <f ca="1">IFERROR(__xludf.DUMMYFUNCTION("""COMPUTED_VALUE"""),500000)</f>
        <v>500000</v>
      </c>
    </row>
    <row r="4263" spans="1:8" ht="13" x14ac:dyDescent="0.15">
      <c r="A4263" s="5" t="str">
        <f ca="1">IFERROR(__xludf.DUMMYFUNCTION("""COMPUTED_VALUE"""),"76938")</f>
        <v>76938</v>
      </c>
      <c r="B4263" s="51">
        <f ca="1">IFERROR(__xludf.DUMMYFUNCTION("""COMPUTED_VALUE"""),44624)</f>
        <v>44624</v>
      </c>
      <c r="C4263" s="22">
        <f ca="1">IFERROR(__xludf.DUMMYFUNCTION("""COMPUTED_VALUE"""),500000)</f>
        <v>500000</v>
      </c>
      <c r="D4263" s="22">
        <f ca="1">IFERROR(__xludf.DUMMYFUNCTION("""COMPUTED_VALUE"""),0)</f>
        <v>0</v>
      </c>
      <c r="E4263" s="22">
        <f ca="1">IFERROR(__xludf.DUMMYFUNCTION("""COMPUTED_VALUE"""),500000)</f>
        <v>500000</v>
      </c>
      <c r="F4263" s="22">
        <f ca="1">IFERROR(__xludf.DUMMYFUNCTION("""COMPUTED_VALUE"""),500000)</f>
        <v>500000</v>
      </c>
      <c r="G4263" s="22">
        <f ca="1">IFERROR(__xludf.DUMMYFUNCTION("""COMPUTED_VALUE"""),0)</f>
        <v>0</v>
      </c>
      <c r="H4263" s="7">
        <f ca="1">IFERROR(__xludf.DUMMYFUNCTION("""COMPUTED_VALUE"""),500000)</f>
        <v>500000</v>
      </c>
    </row>
    <row r="4264" spans="1:8" ht="13" x14ac:dyDescent="0.15">
      <c r="A4264" s="5" t="str">
        <f ca="1">IFERROR(__xludf.DUMMYFUNCTION("""COMPUTED_VALUE"""),"76938")</f>
        <v>76938</v>
      </c>
      <c r="B4264" s="51">
        <f ca="1">IFERROR(__xludf.DUMMYFUNCTION("""COMPUTED_VALUE"""),44625)</f>
        <v>44625</v>
      </c>
      <c r="C4264" s="22">
        <f ca="1">IFERROR(__xludf.DUMMYFUNCTION("""COMPUTED_VALUE"""),500000)</f>
        <v>500000</v>
      </c>
      <c r="D4264" s="22">
        <f ca="1">IFERROR(__xludf.DUMMYFUNCTION("""COMPUTED_VALUE"""),0)</f>
        <v>0</v>
      </c>
      <c r="E4264" s="22">
        <f ca="1">IFERROR(__xludf.DUMMYFUNCTION("""COMPUTED_VALUE"""),500000)</f>
        <v>500000</v>
      </c>
      <c r="F4264" s="22">
        <f ca="1">IFERROR(__xludf.DUMMYFUNCTION("""COMPUTED_VALUE"""),500000)</f>
        <v>500000</v>
      </c>
      <c r="G4264" s="22">
        <f ca="1">IFERROR(__xludf.DUMMYFUNCTION("""COMPUTED_VALUE"""),0)</f>
        <v>0</v>
      </c>
      <c r="H4264" s="7">
        <f ca="1">IFERROR(__xludf.DUMMYFUNCTION("""COMPUTED_VALUE"""),500000)</f>
        <v>500000</v>
      </c>
    </row>
    <row r="4265" spans="1:8" ht="13" x14ac:dyDescent="0.15">
      <c r="A4265" s="5" t="str">
        <f ca="1">IFERROR(__xludf.DUMMYFUNCTION("""COMPUTED_VALUE"""),"76938")</f>
        <v>76938</v>
      </c>
      <c r="B4265" s="51">
        <f ca="1">IFERROR(__xludf.DUMMYFUNCTION("""COMPUTED_VALUE"""),44626)</f>
        <v>44626</v>
      </c>
      <c r="C4265" s="22">
        <f ca="1">IFERROR(__xludf.DUMMYFUNCTION("""COMPUTED_VALUE"""),500000)</f>
        <v>500000</v>
      </c>
      <c r="D4265" s="22">
        <f ca="1">IFERROR(__xludf.DUMMYFUNCTION("""COMPUTED_VALUE"""),0)</f>
        <v>0</v>
      </c>
      <c r="E4265" s="22">
        <f ca="1">IFERROR(__xludf.DUMMYFUNCTION("""COMPUTED_VALUE"""),500000)</f>
        <v>500000</v>
      </c>
      <c r="F4265" s="22">
        <f ca="1">IFERROR(__xludf.DUMMYFUNCTION("""COMPUTED_VALUE"""),500000)</f>
        <v>500000</v>
      </c>
      <c r="G4265" s="22">
        <f ca="1">IFERROR(__xludf.DUMMYFUNCTION("""COMPUTED_VALUE"""),0)</f>
        <v>0</v>
      </c>
      <c r="H4265" s="7">
        <f ca="1">IFERROR(__xludf.DUMMYFUNCTION("""COMPUTED_VALUE"""),500000)</f>
        <v>500000</v>
      </c>
    </row>
    <row r="4266" spans="1:8" ht="13" x14ac:dyDescent="0.15">
      <c r="A4266" s="5" t="str">
        <f ca="1">IFERROR(__xludf.DUMMYFUNCTION("""COMPUTED_VALUE"""),"76938")</f>
        <v>76938</v>
      </c>
      <c r="B4266" s="51">
        <f ca="1">IFERROR(__xludf.DUMMYFUNCTION("""COMPUTED_VALUE"""),44627)</f>
        <v>44627</v>
      </c>
      <c r="C4266" s="22">
        <f ca="1">IFERROR(__xludf.DUMMYFUNCTION("""COMPUTED_VALUE"""),500000)</f>
        <v>500000</v>
      </c>
      <c r="D4266" s="22">
        <f ca="1">IFERROR(__xludf.DUMMYFUNCTION("""COMPUTED_VALUE"""),0)</f>
        <v>0</v>
      </c>
      <c r="E4266" s="22">
        <f ca="1">IFERROR(__xludf.DUMMYFUNCTION("""COMPUTED_VALUE"""),500000)</f>
        <v>500000</v>
      </c>
      <c r="F4266" s="22">
        <f ca="1">IFERROR(__xludf.DUMMYFUNCTION("""COMPUTED_VALUE"""),500000)</f>
        <v>500000</v>
      </c>
      <c r="G4266" s="22">
        <f ca="1">IFERROR(__xludf.DUMMYFUNCTION("""COMPUTED_VALUE"""),0)</f>
        <v>0</v>
      </c>
      <c r="H4266" s="7">
        <f ca="1">IFERROR(__xludf.DUMMYFUNCTION("""COMPUTED_VALUE"""),500000)</f>
        <v>500000</v>
      </c>
    </row>
    <row r="4267" spans="1:8" ht="13" x14ac:dyDescent="0.15">
      <c r="A4267" s="5" t="str">
        <f ca="1">IFERROR(__xludf.DUMMYFUNCTION("""COMPUTED_VALUE"""),"76938")</f>
        <v>76938</v>
      </c>
      <c r="B4267" s="51">
        <f ca="1">IFERROR(__xludf.DUMMYFUNCTION("""COMPUTED_VALUE"""),44628)</f>
        <v>44628</v>
      </c>
      <c r="C4267" s="22">
        <f ca="1">IFERROR(__xludf.DUMMYFUNCTION("""COMPUTED_VALUE"""),500000)</f>
        <v>500000</v>
      </c>
      <c r="D4267" s="22">
        <f ca="1">IFERROR(__xludf.DUMMYFUNCTION("""COMPUTED_VALUE"""),0)</f>
        <v>0</v>
      </c>
      <c r="E4267" s="22">
        <f ca="1">IFERROR(__xludf.DUMMYFUNCTION("""COMPUTED_VALUE"""),500000)</f>
        <v>500000</v>
      </c>
      <c r="F4267" s="22">
        <f ca="1">IFERROR(__xludf.DUMMYFUNCTION("""COMPUTED_VALUE"""),500000)</f>
        <v>500000</v>
      </c>
      <c r="G4267" s="22">
        <f ca="1">IFERROR(__xludf.DUMMYFUNCTION("""COMPUTED_VALUE"""),0)</f>
        <v>0</v>
      </c>
      <c r="H4267" s="7">
        <f ca="1">IFERROR(__xludf.DUMMYFUNCTION("""COMPUTED_VALUE"""),500000)</f>
        <v>500000</v>
      </c>
    </row>
    <row r="4268" spans="1:8" ht="13" x14ac:dyDescent="0.15">
      <c r="A4268" s="5" t="str">
        <f ca="1">IFERROR(__xludf.DUMMYFUNCTION("""COMPUTED_VALUE"""),"76938")</f>
        <v>76938</v>
      </c>
      <c r="B4268" s="51">
        <f ca="1">IFERROR(__xludf.DUMMYFUNCTION("""COMPUTED_VALUE"""),44629)</f>
        <v>44629</v>
      </c>
      <c r="C4268" s="22">
        <f ca="1">IFERROR(__xludf.DUMMYFUNCTION("""COMPUTED_VALUE"""),500000)</f>
        <v>500000</v>
      </c>
      <c r="D4268" s="22">
        <f ca="1">IFERROR(__xludf.DUMMYFUNCTION("""COMPUTED_VALUE"""),0)</f>
        <v>0</v>
      </c>
      <c r="E4268" s="22">
        <f ca="1">IFERROR(__xludf.DUMMYFUNCTION("""COMPUTED_VALUE"""),500000)</f>
        <v>500000</v>
      </c>
      <c r="F4268" s="22">
        <f ca="1">IFERROR(__xludf.DUMMYFUNCTION("""COMPUTED_VALUE"""),500000)</f>
        <v>500000</v>
      </c>
      <c r="G4268" s="22">
        <f ca="1">IFERROR(__xludf.DUMMYFUNCTION("""COMPUTED_VALUE"""),0)</f>
        <v>0</v>
      </c>
      <c r="H4268" s="7">
        <f ca="1">IFERROR(__xludf.DUMMYFUNCTION("""COMPUTED_VALUE"""),500000)</f>
        <v>500000</v>
      </c>
    </row>
    <row r="4269" spans="1:8" ht="13" x14ac:dyDescent="0.15">
      <c r="A4269" s="5" t="str">
        <f ca="1">IFERROR(__xludf.DUMMYFUNCTION("""COMPUTED_VALUE"""),"76938")</f>
        <v>76938</v>
      </c>
      <c r="B4269" s="51">
        <f ca="1">IFERROR(__xludf.DUMMYFUNCTION("""COMPUTED_VALUE"""),44630)</f>
        <v>44630</v>
      </c>
      <c r="C4269" s="22">
        <f ca="1">IFERROR(__xludf.DUMMYFUNCTION("""COMPUTED_VALUE"""),500000)</f>
        <v>500000</v>
      </c>
      <c r="D4269" s="22">
        <f ca="1">IFERROR(__xludf.DUMMYFUNCTION("""COMPUTED_VALUE"""),0)</f>
        <v>0</v>
      </c>
      <c r="E4269" s="22">
        <f ca="1">IFERROR(__xludf.DUMMYFUNCTION("""COMPUTED_VALUE"""),500000)</f>
        <v>500000</v>
      </c>
      <c r="F4269" s="22">
        <f ca="1">IFERROR(__xludf.DUMMYFUNCTION("""COMPUTED_VALUE"""),500000)</f>
        <v>500000</v>
      </c>
      <c r="G4269" s="22">
        <f ca="1">IFERROR(__xludf.DUMMYFUNCTION("""COMPUTED_VALUE"""),0)</f>
        <v>0</v>
      </c>
      <c r="H4269" s="7">
        <f ca="1">IFERROR(__xludf.DUMMYFUNCTION("""COMPUTED_VALUE"""),500000)</f>
        <v>500000</v>
      </c>
    </row>
    <row r="4270" spans="1:8" ht="13" x14ac:dyDescent="0.15">
      <c r="A4270" s="5" t="str">
        <f ca="1">IFERROR(__xludf.DUMMYFUNCTION("""COMPUTED_VALUE"""),"76938")</f>
        <v>76938</v>
      </c>
      <c r="B4270" s="51">
        <f ca="1">IFERROR(__xludf.DUMMYFUNCTION("""COMPUTED_VALUE"""),44631)</f>
        <v>44631</v>
      </c>
      <c r="C4270" s="22">
        <f ca="1">IFERROR(__xludf.DUMMYFUNCTION("""COMPUTED_VALUE"""),500000)</f>
        <v>500000</v>
      </c>
      <c r="D4270" s="22">
        <f ca="1">IFERROR(__xludf.DUMMYFUNCTION("""COMPUTED_VALUE"""),0)</f>
        <v>0</v>
      </c>
      <c r="E4270" s="22">
        <f ca="1">IFERROR(__xludf.DUMMYFUNCTION("""COMPUTED_VALUE"""),500000)</f>
        <v>500000</v>
      </c>
      <c r="F4270" s="22">
        <f ca="1">IFERROR(__xludf.DUMMYFUNCTION("""COMPUTED_VALUE"""),500000)</f>
        <v>500000</v>
      </c>
      <c r="G4270" s="22">
        <f ca="1">IFERROR(__xludf.DUMMYFUNCTION("""COMPUTED_VALUE"""),0)</f>
        <v>0</v>
      </c>
      <c r="H4270" s="7">
        <f ca="1">IFERROR(__xludf.DUMMYFUNCTION("""COMPUTED_VALUE"""),500000)</f>
        <v>500000</v>
      </c>
    </row>
    <row r="4271" spans="1:8" ht="13" x14ac:dyDescent="0.15">
      <c r="A4271" s="5" t="str">
        <f ca="1">IFERROR(__xludf.DUMMYFUNCTION("""COMPUTED_VALUE"""),"76938")</f>
        <v>76938</v>
      </c>
      <c r="B4271" s="51">
        <f ca="1">IFERROR(__xludf.DUMMYFUNCTION("""COMPUTED_VALUE"""),44632)</f>
        <v>44632</v>
      </c>
      <c r="C4271" s="22">
        <f ca="1">IFERROR(__xludf.DUMMYFUNCTION("""COMPUTED_VALUE"""),500000)</f>
        <v>500000</v>
      </c>
      <c r="D4271" s="22">
        <f ca="1">IFERROR(__xludf.DUMMYFUNCTION("""COMPUTED_VALUE"""),0)</f>
        <v>0</v>
      </c>
      <c r="E4271" s="22">
        <f ca="1">IFERROR(__xludf.DUMMYFUNCTION("""COMPUTED_VALUE"""),500000)</f>
        <v>500000</v>
      </c>
      <c r="F4271" s="22">
        <f ca="1">IFERROR(__xludf.DUMMYFUNCTION("""COMPUTED_VALUE"""),500000)</f>
        <v>500000</v>
      </c>
      <c r="G4271" s="22">
        <f ca="1">IFERROR(__xludf.DUMMYFUNCTION("""COMPUTED_VALUE"""),0)</f>
        <v>0</v>
      </c>
      <c r="H4271" s="7">
        <f ca="1">IFERROR(__xludf.DUMMYFUNCTION("""COMPUTED_VALUE"""),500000)</f>
        <v>500000</v>
      </c>
    </row>
    <row r="4272" spans="1:8" ht="13" x14ac:dyDescent="0.15">
      <c r="A4272" s="5" t="str">
        <f ca="1">IFERROR(__xludf.DUMMYFUNCTION("""COMPUTED_VALUE"""),"76938")</f>
        <v>76938</v>
      </c>
      <c r="B4272" s="51">
        <f ca="1">IFERROR(__xludf.DUMMYFUNCTION("""COMPUTED_VALUE"""),44633)</f>
        <v>44633</v>
      </c>
      <c r="C4272" s="22">
        <f ca="1">IFERROR(__xludf.DUMMYFUNCTION("""COMPUTED_VALUE"""),500000)</f>
        <v>500000</v>
      </c>
      <c r="D4272" s="22">
        <f ca="1">IFERROR(__xludf.DUMMYFUNCTION("""COMPUTED_VALUE"""),0)</f>
        <v>0</v>
      </c>
      <c r="E4272" s="22">
        <f ca="1">IFERROR(__xludf.DUMMYFUNCTION("""COMPUTED_VALUE"""),500000)</f>
        <v>500000</v>
      </c>
      <c r="F4272" s="22">
        <f ca="1">IFERROR(__xludf.DUMMYFUNCTION("""COMPUTED_VALUE"""),500000)</f>
        <v>500000</v>
      </c>
      <c r="G4272" s="22">
        <f ca="1">IFERROR(__xludf.DUMMYFUNCTION("""COMPUTED_VALUE"""),0)</f>
        <v>0</v>
      </c>
      <c r="H4272" s="7">
        <f ca="1">IFERROR(__xludf.DUMMYFUNCTION("""COMPUTED_VALUE"""),500000)</f>
        <v>500000</v>
      </c>
    </row>
    <row r="4273" spans="1:8" ht="13" x14ac:dyDescent="0.15">
      <c r="A4273" s="5" t="str">
        <f ca="1">IFERROR(__xludf.DUMMYFUNCTION("""COMPUTED_VALUE"""),"76938")</f>
        <v>76938</v>
      </c>
      <c r="B4273" s="51">
        <f ca="1">IFERROR(__xludf.DUMMYFUNCTION("""COMPUTED_VALUE"""),44634)</f>
        <v>44634</v>
      </c>
      <c r="C4273" s="22">
        <f ca="1">IFERROR(__xludf.DUMMYFUNCTION("""COMPUTED_VALUE"""),500000)</f>
        <v>500000</v>
      </c>
      <c r="D4273" s="22">
        <f ca="1">IFERROR(__xludf.DUMMYFUNCTION("""COMPUTED_VALUE"""),0)</f>
        <v>0</v>
      </c>
      <c r="E4273" s="22">
        <f ca="1">IFERROR(__xludf.DUMMYFUNCTION("""COMPUTED_VALUE"""),500000)</f>
        <v>500000</v>
      </c>
      <c r="F4273" s="22">
        <f ca="1">IFERROR(__xludf.DUMMYFUNCTION("""COMPUTED_VALUE"""),500000)</f>
        <v>500000</v>
      </c>
      <c r="G4273" s="22">
        <f ca="1">IFERROR(__xludf.DUMMYFUNCTION("""COMPUTED_VALUE"""),0)</f>
        <v>0</v>
      </c>
      <c r="H4273" s="7">
        <f ca="1">IFERROR(__xludf.DUMMYFUNCTION("""COMPUTED_VALUE"""),500000)</f>
        <v>500000</v>
      </c>
    </row>
    <row r="4274" spans="1:8" ht="13" x14ac:dyDescent="0.15">
      <c r="A4274" s="5" t="str">
        <f ca="1">IFERROR(__xludf.DUMMYFUNCTION("""COMPUTED_VALUE"""),"76938")</f>
        <v>76938</v>
      </c>
      <c r="B4274" s="51">
        <f ca="1">IFERROR(__xludf.DUMMYFUNCTION("""COMPUTED_VALUE"""),44635)</f>
        <v>44635</v>
      </c>
      <c r="C4274" s="22">
        <f ca="1">IFERROR(__xludf.DUMMYFUNCTION("""COMPUTED_VALUE"""),500000)</f>
        <v>500000</v>
      </c>
      <c r="D4274" s="22">
        <f ca="1">IFERROR(__xludf.DUMMYFUNCTION("""COMPUTED_VALUE"""),0)</f>
        <v>0</v>
      </c>
      <c r="E4274" s="22">
        <f ca="1">IFERROR(__xludf.DUMMYFUNCTION("""COMPUTED_VALUE"""),500000)</f>
        <v>500000</v>
      </c>
      <c r="F4274" s="22">
        <f ca="1">IFERROR(__xludf.DUMMYFUNCTION("""COMPUTED_VALUE"""),500000)</f>
        <v>500000</v>
      </c>
      <c r="G4274" s="22">
        <f ca="1">IFERROR(__xludf.DUMMYFUNCTION("""COMPUTED_VALUE"""),0)</f>
        <v>0</v>
      </c>
      <c r="H4274" s="7">
        <f ca="1">IFERROR(__xludf.DUMMYFUNCTION("""COMPUTED_VALUE"""),500000)</f>
        <v>500000</v>
      </c>
    </row>
    <row r="4275" spans="1:8" ht="13" x14ac:dyDescent="0.15">
      <c r="A4275" s="5" t="str">
        <f ca="1">IFERROR(__xludf.DUMMYFUNCTION("""COMPUTED_VALUE"""),"76938")</f>
        <v>76938</v>
      </c>
      <c r="B4275" s="51">
        <f ca="1">IFERROR(__xludf.DUMMYFUNCTION("""COMPUTED_VALUE"""),44636)</f>
        <v>44636</v>
      </c>
      <c r="C4275" s="22">
        <f ca="1">IFERROR(__xludf.DUMMYFUNCTION("""COMPUTED_VALUE"""),500000)</f>
        <v>500000</v>
      </c>
      <c r="D4275" s="22">
        <f ca="1">IFERROR(__xludf.DUMMYFUNCTION("""COMPUTED_VALUE"""),0)</f>
        <v>0</v>
      </c>
      <c r="E4275" s="22">
        <f ca="1">IFERROR(__xludf.DUMMYFUNCTION("""COMPUTED_VALUE"""),500000)</f>
        <v>500000</v>
      </c>
      <c r="F4275" s="22">
        <f ca="1">IFERROR(__xludf.DUMMYFUNCTION("""COMPUTED_VALUE"""),500000)</f>
        <v>500000</v>
      </c>
      <c r="G4275" s="22">
        <f ca="1">IFERROR(__xludf.DUMMYFUNCTION("""COMPUTED_VALUE"""),0)</f>
        <v>0</v>
      </c>
      <c r="H4275" s="7">
        <f ca="1">IFERROR(__xludf.DUMMYFUNCTION("""COMPUTED_VALUE"""),500000)</f>
        <v>500000</v>
      </c>
    </row>
    <row r="4276" spans="1:8" ht="13" x14ac:dyDescent="0.15">
      <c r="A4276" s="5" t="str">
        <f ca="1">IFERROR(__xludf.DUMMYFUNCTION("""COMPUTED_VALUE"""),"76938")</f>
        <v>76938</v>
      </c>
      <c r="B4276" s="51">
        <f ca="1">IFERROR(__xludf.DUMMYFUNCTION("""COMPUTED_VALUE"""),44637)</f>
        <v>44637</v>
      </c>
      <c r="C4276" s="22">
        <f ca="1">IFERROR(__xludf.DUMMYFUNCTION("""COMPUTED_VALUE"""),500000)</f>
        <v>500000</v>
      </c>
      <c r="D4276" s="22">
        <f ca="1">IFERROR(__xludf.DUMMYFUNCTION("""COMPUTED_VALUE"""),0)</f>
        <v>0</v>
      </c>
      <c r="E4276" s="22">
        <f ca="1">IFERROR(__xludf.DUMMYFUNCTION("""COMPUTED_VALUE"""),500000)</f>
        <v>500000</v>
      </c>
      <c r="F4276" s="22">
        <f ca="1">IFERROR(__xludf.DUMMYFUNCTION("""COMPUTED_VALUE"""),500000)</f>
        <v>500000</v>
      </c>
      <c r="G4276" s="22">
        <f ca="1">IFERROR(__xludf.DUMMYFUNCTION("""COMPUTED_VALUE"""),0)</f>
        <v>0</v>
      </c>
      <c r="H4276" s="7">
        <f ca="1">IFERROR(__xludf.DUMMYFUNCTION("""COMPUTED_VALUE"""),500000)</f>
        <v>500000</v>
      </c>
    </row>
    <row r="4277" spans="1:8" ht="13" x14ac:dyDescent="0.15">
      <c r="A4277" s="5" t="str">
        <f ca="1">IFERROR(__xludf.DUMMYFUNCTION("""COMPUTED_VALUE"""),"76938")</f>
        <v>76938</v>
      </c>
      <c r="B4277" s="51">
        <f ca="1">IFERROR(__xludf.DUMMYFUNCTION("""COMPUTED_VALUE"""),44638)</f>
        <v>44638</v>
      </c>
      <c r="C4277" s="22">
        <f ca="1">IFERROR(__xludf.DUMMYFUNCTION("""COMPUTED_VALUE"""),500000)</f>
        <v>500000</v>
      </c>
      <c r="D4277" s="22">
        <f ca="1">IFERROR(__xludf.DUMMYFUNCTION("""COMPUTED_VALUE"""),0)</f>
        <v>0</v>
      </c>
      <c r="E4277" s="22">
        <f ca="1">IFERROR(__xludf.DUMMYFUNCTION("""COMPUTED_VALUE"""),500000)</f>
        <v>500000</v>
      </c>
      <c r="F4277" s="22">
        <f ca="1">IFERROR(__xludf.DUMMYFUNCTION("""COMPUTED_VALUE"""),500000)</f>
        <v>500000</v>
      </c>
      <c r="G4277" s="22">
        <f ca="1">IFERROR(__xludf.DUMMYFUNCTION("""COMPUTED_VALUE"""),0)</f>
        <v>0</v>
      </c>
      <c r="H4277" s="7">
        <f ca="1">IFERROR(__xludf.DUMMYFUNCTION("""COMPUTED_VALUE"""),500000)</f>
        <v>500000</v>
      </c>
    </row>
    <row r="4278" spans="1:8" ht="13" x14ac:dyDescent="0.15">
      <c r="A4278" s="5" t="str">
        <f ca="1">IFERROR(__xludf.DUMMYFUNCTION("""COMPUTED_VALUE"""),"76938")</f>
        <v>76938</v>
      </c>
      <c r="B4278" s="51">
        <f ca="1">IFERROR(__xludf.DUMMYFUNCTION("""COMPUTED_VALUE"""),44639)</f>
        <v>44639</v>
      </c>
      <c r="C4278" s="22">
        <f ca="1">IFERROR(__xludf.DUMMYFUNCTION("""COMPUTED_VALUE"""),500000)</f>
        <v>500000</v>
      </c>
      <c r="D4278" s="22">
        <f ca="1">IFERROR(__xludf.DUMMYFUNCTION("""COMPUTED_VALUE"""),0)</f>
        <v>0</v>
      </c>
      <c r="E4278" s="22">
        <f ca="1">IFERROR(__xludf.DUMMYFUNCTION("""COMPUTED_VALUE"""),500000)</f>
        <v>500000</v>
      </c>
      <c r="F4278" s="22">
        <f ca="1">IFERROR(__xludf.DUMMYFUNCTION("""COMPUTED_VALUE"""),500000)</f>
        <v>500000</v>
      </c>
      <c r="G4278" s="22">
        <f ca="1">IFERROR(__xludf.DUMMYFUNCTION("""COMPUTED_VALUE"""),0)</f>
        <v>0</v>
      </c>
      <c r="H4278" s="7">
        <f ca="1">IFERROR(__xludf.DUMMYFUNCTION("""COMPUTED_VALUE"""),500000)</f>
        <v>500000</v>
      </c>
    </row>
    <row r="4279" spans="1:8" ht="13" x14ac:dyDescent="0.15">
      <c r="A4279" s="5" t="str">
        <f ca="1">IFERROR(__xludf.DUMMYFUNCTION("""COMPUTED_VALUE"""),"76938")</f>
        <v>76938</v>
      </c>
      <c r="B4279" s="51">
        <f ca="1">IFERROR(__xludf.DUMMYFUNCTION("""COMPUTED_VALUE"""),44640)</f>
        <v>44640</v>
      </c>
      <c r="C4279" s="22">
        <f ca="1">IFERROR(__xludf.DUMMYFUNCTION("""COMPUTED_VALUE"""),500000)</f>
        <v>500000</v>
      </c>
      <c r="D4279" s="22">
        <f ca="1">IFERROR(__xludf.DUMMYFUNCTION("""COMPUTED_VALUE"""),0)</f>
        <v>0</v>
      </c>
      <c r="E4279" s="22">
        <f ca="1">IFERROR(__xludf.DUMMYFUNCTION("""COMPUTED_VALUE"""),500000)</f>
        <v>500000</v>
      </c>
      <c r="F4279" s="22">
        <f ca="1">IFERROR(__xludf.DUMMYFUNCTION("""COMPUTED_VALUE"""),500000)</f>
        <v>500000</v>
      </c>
      <c r="G4279" s="22">
        <f ca="1">IFERROR(__xludf.DUMMYFUNCTION("""COMPUTED_VALUE"""),0)</f>
        <v>0</v>
      </c>
      <c r="H4279" s="7">
        <f ca="1">IFERROR(__xludf.DUMMYFUNCTION("""COMPUTED_VALUE"""),500000)</f>
        <v>500000</v>
      </c>
    </row>
    <row r="4280" spans="1:8" ht="13" x14ac:dyDescent="0.15">
      <c r="A4280" s="5" t="str">
        <f ca="1">IFERROR(__xludf.DUMMYFUNCTION("""COMPUTED_VALUE"""),"76938")</f>
        <v>76938</v>
      </c>
      <c r="B4280" s="51">
        <f ca="1">IFERROR(__xludf.DUMMYFUNCTION("""COMPUTED_VALUE"""),44641)</f>
        <v>44641</v>
      </c>
      <c r="C4280" s="22">
        <f ca="1">IFERROR(__xludf.DUMMYFUNCTION("""COMPUTED_VALUE"""),500000)</f>
        <v>500000</v>
      </c>
      <c r="D4280" s="22">
        <f ca="1">IFERROR(__xludf.DUMMYFUNCTION("""COMPUTED_VALUE"""),0)</f>
        <v>0</v>
      </c>
      <c r="E4280" s="22">
        <f ca="1">IFERROR(__xludf.DUMMYFUNCTION("""COMPUTED_VALUE"""),500000)</f>
        <v>500000</v>
      </c>
      <c r="F4280" s="22">
        <f ca="1">IFERROR(__xludf.DUMMYFUNCTION("""COMPUTED_VALUE"""),500000)</f>
        <v>500000</v>
      </c>
      <c r="G4280" s="22">
        <f ca="1">IFERROR(__xludf.DUMMYFUNCTION("""COMPUTED_VALUE"""),0)</f>
        <v>0</v>
      </c>
      <c r="H4280" s="7">
        <f ca="1">IFERROR(__xludf.DUMMYFUNCTION("""COMPUTED_VALUE"""),500000)</f>
        <v>500000</v>
      </c>
    </row>
    <row r="4281" spans="1:8" ht="13" x14ac:dyDescent="0.15">
      <c r="A4281" s="5" t="str">
        <f ca="1">IFERROR(__xludf.DUMMYFUNCTION("""COMPUTED_VALUE"""),"76938")</f>
        <v>76938</v>
      </c>
      <c r="B4281" s="51">
        <f ca="1">IFERROR(__xludf.DUMMYFUNCTION("""COMPUTED_VALUE"""),44642)</f>
        <v>44642</v>
      </c>
      <c r="C4281" s="22">
        <f ca="1">IFERROR(__xludf.DUMMYFUNCTION("""COMPUTED_VALUE"""),500000)</f>
        <v>500000</v>
      </c>
      <c r="D4281" s="22">
        <f ca="1">IFERROR(__xludf.DUMMYFUNCTION("""COMPUTED_VALUE"""),0)</f>
        <v>0</v>
      </c>
      <c r="E4281" s="22">
        <f ca="1">IFERROR(__xludf.DUMMYFUNCTION("""COMPUTED_VALUE"""),500000)</f>
        <v>500000</v>
      </c>
      <c r="F4281" s="22">
        <f ca="1">IFERROR(__xludf.DUMMYFUNCTION("""COMPUTED_VALUE"""),500000)</f>
        <v>500000</v>
      </c>
      <c r="G4281" s="22">
        <f ca="1">IFERROR(__xludf.DUMMYFUNCTION("""COMPUTED_VALUE"""),0)</f>
        <v>0</v>
      </c>
      <c r="H4281" s="7">
        <f ca="1">IFERROR(__xludf.DUMMYFUNCTION("""COMPUTED_VALUE"""),500000)</f>
        <v>500000</v>
      </c>
    </row>
    <row r="4282" spans="1:8" ht="13" x14ac:dyDescent="0.15">
      <c r="A4282" s="5" t="str">
        <f ca="1">IFERROR(__xludf.DUMMYFUNCTION("""COMPUTED_VALUE"""),"76975")</f>
        <v>76975</v>
      </c>
      <c r="B4282" s="51">
        <f ca="1">IFERROR(__xludf.DUMMYFUNCTION("""COMPUTED_VALUE"""),44597)</f>
        <v>44597</v>
      </c>
      <c r="C4282" s="22">
        <f ca="1">IFERROR(__xludf.DUMMYFUNCTION("""COMPUTED_VALUE"""),500000)</f>
        <v>500000</v>
      </c>
      <c r="D4282" s="22">
        <f ca="1">IFERROR(__xludf.DUMMYFUNCTION("""COMPUTED_VALUE"""),0)</f>
        <v>0</v>
      </c>
      <c r="E4282" s="22">
        <f ca="1">IFERROR(__xludf.DUMMYFUNCTION("""COMPUTED_VALUE"""),500000)</f>
        <v>500000</v>
      </c>
      <c r="F4282" s="22">
        <f ca="1">IFERROR(__xludf.DUMMYFUNCTION("""COMPUTED_VALUE"""),500000)</f>
        <v>500000</v>
      </c>
      <c r="G4282" s="22">
        <f ca="1">IFERROR(__xludf.DUMMYFUNCTION("""COMPUTED_VALUE"""),0)</f>
        <v>0</v>
      </c>
      <c r="H4282" s="7">
        <f ca="1">IFERROR(__xludf.DUMMYFUNCTION("""COMPUTED_VALUE"""),500000)</f>
        <v>500000</v>
      </c>
    </row>
    <row r="4283" spans="1:8" ht="13" x14ac:dyDescent="0.15">
      <c r="A4283" s="5" t="str">
        <f ca="1">IFERROR(__xludf.DUMMYFUNCTION("""COMPUTED_VALUE"""),"76975")</f>
        <v>76975</v>
      </c>
      <c r="B4283" s="51">
        <f ca="1">IFERROR(__xludf.DUMMYFUNCTION("""COMPUTED_VALUE"""),44598)</f>
        <v>44598</v>
      </c>
      <c r="C4283" s="22">
        <f ca="1">IFERROR(__xludf.DUMMYFUNCTION("""COMPUTED_VALUE"""),500000)</f>
        <v>500000</v>
      </c>
      <c r="D4283" s="22">
        <f ca="1">IFERROR(__xludf.DUMMYFUNCTION("""COMPUTED_VALUE"""),0)</f>
        <v>0</v>
      </c>
      <c r="E4283" s="22">
        <f ca="1">IFERROR(__xludf.DUMMYFUNCTION("""COMPUTED_VALUE"""),500000)</f>
        <v>500000</v>
      </c>
      <c r="F4283" s="22">
        <f ca="1">IFERROR(__xludf.DUMMYFUNCTION("""COMPUTED_VALUE"""),500000)</f>
        <v>500000</v>
      </c>
      <c r="G4283" s="22">
        <f ca="1">IFERROR(__xludf.DUMMYFUNCTION("""COMPUTED_VALUE"""),0)</f>
        <v>0</v>
      </c>
      <c r="H4283" s="7">
        <f ca="1">IFERROR(__xludf.DUMMYFUNCTION("""COMPUTED_VALUE"""),500000)</f>
        <v>500000</v>
      </c>
    </row>
    <row r="4284" spans="1:8" ht="13" x14ac:dyDescent="0.15">
      <c r="A4284" s="5" t="str">
        <f ca="1">IFERROR(__xludf.DUMMYFUNCTION("""COMPUTED_VALUE"""),"76975")</f>
        <v>76975</v>
      </c>
      <c r="B4284" s="51">
        <f ca="1">IFERROR(__xludf.DUMMYFUNCTION("""COMPUTED_VALUE"""),44599)</f>
        <v>44599</v>
      </c>
      <c r="C4284" s="22">
        <f ca="1">IFERROR(__xludf.DUMMYFUNCTION("""COMPUTED_VALUE"""),500000)</f>
        <v>500000</v>
      </c>
      <c r="D4284" s="22">
        <f ca="1">IFERROR(__xludf.DUMMYFUNCTION("""COMPUTED_VALUE"""),0)</f>
        <v>0</v>
      </c>
      <c r="E4284" s="22">
        <f ca="1">IFERROR(__xludf.DUMMYFUNCTION("""COMPUTED_VALUE"""),500000)</f>
        <v>500000</v>
      </c>
      <c r="F4284" s="22">
        <f ca="1">IFERROR(__xludf.DUMMYFUNCTION("""COMPUTED_VALUE"""),500000)</f>
        <v>500000</v>
      </c>
      <c r="G4284" s="22">
        <f ca="1">IFERROR(__xludf.DUMMYFUNCTION("""COMPUTED_VALUE"""),0)</f>
        <v>0</v>
      </c>
      <c r="H4284" s="7">
        <f ca="1">IFERROR(__xludf.DUMMYFUNCTION("""COMPUTED_VALUE"""),500000)</f>
        <v>500000</v>
      </c>
    </row>
    <row r="4285" spans="1:8" ht="13" x14ac:dyDescent="0.15">
      <c r="A4285" s="5" t="str">
        <f ca="1">IFERROR(__xludf.DUMMYFUNCTION("""COMPUTED_VALUE"""),"76975")</f>
        <v>76975</v>
      </c>
      <c r="B4285" s="51">
        <f ca="1">IFERROR(__xludf.DUMMYFUNCTION("""COMPUTED_VALUE"""),44600)</f>
        <v>44600</v>
      </c>
      <c r="C4285" s="22">
        <f ca="1">IFERROR(__xludf.DUMMYFUNCTION("""COMPUTED_VALUE"""),500000)</f>
        <v>500000</v>
      </c>
      <c r="D4285" s="22">
        <f ca="1">IFERROR(__xludf.DUMMYFUNCTION("""COMPUTED_VALUE"""),0)</f>
        <v>0</v>
      </c>
      <c r="E4285" s="22">
        <f ca="1">IFERROR(__xludf.DUMMYFUNCTION("""COMPUTED_VALUE"""),500000)</f>
        <v>500000</v>
      </c>
      <c r="F4285" s="22">
        <f ca="1">IFERROR(__xludf.DUMMYFUNCTION("""COMPUTED_VALUE"""),500000)</f>
        <v>500000</v>
      </c>
      <c r="G4285" s="22">
        <f ca="1">IFERROR(__xludf.DUMMYFUNCTION("""COMPUTED_VALUE"""),0)</f>
        <v>0</v>
      </c>
      <c r="H4285" s="7">
        <f ca="1">IFERROR(__xludf.DUMMYFUNCTION("""COMPUTED_VALUE"""),500000)</f>
        <v>500000</v>
      </c>
    </row>
    <row r="4286" spans="1:8" ht="13" x14ac:dyDescent="0.15">
      <c r="A4286" s="5" t="str">
        <f ca="1">IFERROR(__xludf.DUMMYFUNCTION("""COMPUTED_VALUE"""),"76975")</f>
        <v>76975</v>
      </c>
      <c r="B4286" s="51">
        <f ca="1">IFERROR(__xludf.DUMMYFUNCTION("""COMPUTED_VALUE"""),44601)</f>
        <v>44601</v>
      </c>
      <c r="C4286" s="22">
        <f ca="1">IFERROR(__xludf.DUMMYFUNCTION("""COMPUTED_VALUE"""),500000)</f>
        <v>500000</v>
      </c>
      <c r="D4286" s="22">
        <f ca="1">IFERROR(__xludf.DUMMYFUNCTION("""COMPUTED_VALUE"""),0)</f>
        <v>0</v>
      </c>
      <c r="E4286" s="22">
        <f ca="1">IFERROR(__xludf.DUMMYFUNCTION("""COMPUTED_VALUE"""),500000)</f>
        <v>500000</v>
      </c>
      <c r="F4286" s="22">
        <f ca="1">IFERROR(__xludf.DUMMYFUNCTION("""COMPUTED_VALUE"""),500000)</f>
        <v>500000</v>
      </c>
      <c r="G4286" s="22">
        <f ca="1">IFERROR(__xludf.DUMMYFUNCTION("""COMPUTED_VALUE"""),0)</f>
        <v>0</v>
      </c>
      <c r="H4286" s="7">
        <f ca="1">IFERROR(__xludf.DUMMYFUNCTION("""COMPUTED_VALUE"""),500000)</f>
        <v>500000</v>
      </c>
    </row>
    <row r="4287" spans="1:8" ht="13" x14ac:dyDescent="0.15">
      <c r="A4287" s="5" t="str">
        <f ca="1">IFERROR(__xludf.DUMMYFUNCTION("""COMPUTED_VALUE"""),"76975")</f>
        <v>76975</v>
      </c>
      <c r="B4287" s="51">
        <f ca="1">IFERROR(__xludf.DUMMYFUNCTION("""COMPUTED_VALUE"""),44602)</f>
        <v>44602</v>
      </c>
      <c r="C4287" s="22">
        <f ca="1">IFERROR(__xludf.DUMMYFUNCTION("""COMPUTED_VALUE"""),500000)</f>
        <v>500000</v>
      </c>
      <c r="D4287" s="22">
        <f ca="1">IFERROR(__xludf.DUMMYFUNCTION("""COMPUTED_VALUE"""),0)</f>
        <v>0</v>
      </c>
      <c r="E4287" s="22">
        <f ca="1">IFERROR(__xludf.DUMMYFUNCTION("""COMPUTED_VALUE"""),500000)</f>
        <v>500000</v>
      </c>
      <c r="F4287" s="22">
        <f ca="1">IFERROR(__xludf.DUMMYFUNCTION("""COMPUTED_VALUE"""),500000)</f>
        <v>500000</v>
      </c>
      <c r="G4287" s="22">
        <f ca="1">IFERROR(__xludf.DUMMYFUNCTION("""COMPUTED_VALUE"""),0)</f>
        <v>0</v>
      </c>
      <c r="H4287" s="7">
        <f ca="1">IFERROR(__xludf.DUMMYFUNCTION("""COMPUTED_VALUE"""),500000)</f>
        <v>500000</v>
      </c>
    </row>
    <row r="4288" spans="1:8" ht="13" x14ac:dyDescent="0.15">
      <c r="A4288" s="5" t="str">
        <f ca="1">IFERROR(__xludf.DUMMYFUNCTION("""COMPUTED_VALUE"""),"76975")</f>
        <v>76975</v>
      </c>
      <c r="B4288" s="51">
        <f ca="1">IFERROR(__xludf.DUMMYFUNCTION("""COMPUTED_VALUE"""),44603)</f>
        <v>44603</v>
      </c>
      <c r="C4288" s="22">
        <f ca="1">IFERROR(__xludf.DUMMYFUNCTION("""COMPUTED_VALUE"""),500000)</f>
        <v>500000</v>
      </c>
      <c r="D4288" s="22">
        <f ca="1">IFERROR(__xludf.DUMMYFUNCTION("""COMPUTED_VALUE"""),0)</f>
        <v>0</v>
      </c>
      <c r="E4288" s="22">
        <f ca="1">IFERROR(__xludf.DUMMYFUNCTION("""COMPUTED_VALUE"""),500000)</f>
        <v>500000</v>
      </c>
      <c r="F4288" s="22">
        <f ca="1">IFERROR(__xludf.DUMMYFUNCTION("""COMPUTED_VALUE"""),500000)</f>
        <v>500000</v>
      </c>
      <c r="G4288" s="22">
        <f ca="1">IFERROR(__xludf.DUMMYFUNCTION("""COMPUTED_VALUE"""),0)</f>
        <v>0</v>
      </c>
      <c r="H4288" s="7">
        <f ca="1">IFERROR(__xludf.DUMMYFUNCTION("""COMPUTED_VALUE"""),500000)</f>
        <v>500000</v>
      </c>
    </row>
    <row r="4289" spans="1:8" ht="13" x14ac:dyDescent="0.15">
      <c r="A4289" s="5" t="str">
        <f ca="1">IFERROR(__xludf.DUMMYFUNCTION("""COMPUTED_VALUE"""),"76975")</f>
        <v>76975</v>
      </c>
      <c r="B4289" s="51">
        <f ca="1">IFERROR(__xludf.DUMMYFUNCTION("""COMPUTED_VALUE"""),44604)</f>
        <v>44604</v>
      </c>
      <c r="C4289" s="22">
        <f ca="1">IFERROR(__xludf.DUMMYFUNCTION("""COMPUTED_VALUE"""),500000)</f>
        <v>500000</v>
      </c>
      <c r="D4289" s="22">
        <f ca="1">IFERROR(__xludf.DUMMYFUNCTION("""COMPUTED_VALUE"""),0)</f>
        <v>0</v>
      </c>
      <c r="E4289" s="22">
        <f ca="1">IFERROR(__xludf.DUMMYFUNCTION("""COMPUTED_VALUE"""),500000)</f>
        <v>500000</v>
      </c>
      <c r="F4289" s="22">
        <f ca="1">IFERROR(__xludf.DUMMYFUNCTION("""COMPUTED_VALUE"""),500000)</f>
        <v>500000</v>
      </c>
      <c r="G4289" s="22">
        <f ca="1">IFERROR(__xludf.DUMMYFUNCTION("""COMPUTED_VALUE"""),0)</f>
        <v>0</v>
      </c>
      <c r="H4289" s="7">
        <f ca="1">IFERROR(__xludf.DUMMYFUNCTION("""COMPUTED_VALUE"""),500000)</f>
        <v>500000</v>
      </c>
    </row>
    <row r="4290" spans="1:8" ht="13" x14ac:dyDescent="0.15">
      <c r="A4290" s="5" t="str">
        <f ca="1">IFERROR(__xludf.DUMMYFUNCTION("""COMPUTED_VALUE"""),"76975")</f>
        <v>76975</v>
      </c>
      <c r="B4290" s="51">
        <f ca="1">IFERROR(__xludf.DUMMYFUNCTION("""COMPUTED_VALUE"""),44605)</f>
        <v>44605</v>
      </c>
      <c r="C4290" s="22">
        <f ca="1">IFERROR(__xludf.DUMMYFUNCTION("""COMPUTED_VALUE"""),500000)</f>
        <v>500000</v>
      </c>
      <c r="D4290" s="22">
        <f ca="1">IFERROR(__xludf.DUMMYFUNCTION("""COMPUTED_VALUE"""),0)</f>
        <v>0</v>
      </c>
      <c r="E4290" s="22">
        <f ca="1">IFERROR(__xludf.DUMMYFUNCTION("""COMPUTED_VALUE"""),500000)</f>
        <v>500000</v>
      </c>
      <c r="F4290" s="22">
        <f ca="1">IFERROR(__xludf.DUMMYFUNCTION("""COMPUTED_VALUE"""),500000)</f>
        <v>500000</v>
      </c>
      <c r="G4290" s="22">
        <f ca="1">IFERROR(__xludf.DUMMYFUNCTION("""COMPUTED_VALUE"""),0)</f>
        <v>0</v>
      </c>
      <c r="H4290" s="7">
        <f ca="1">IFERROR(__xludf.DUMMYFUNCTION("""COMPUTED_VALUE"""),500000)</f>
        <v>500000</v>
      </c>
    </row>
    <row r="4291" spans="1:8" ht="13" x14ac:dyDescent="0.15">
      <c r="A4291" s="5" t="str">
        <f ca="1">IFERROR(__xludf.DUMMYFUNCTION("""COMPUTED_VALUE"""),"76975")</f>
        <v>76975</v>
      </c>
      <c r="B4291" s="51">
        <f ca="1">IFERROR(__xludf.DUMMYFUNCTION("""COMPUTED_VALUE"""),44606)</f>
        <v>44606</v>
      </c>
      <c r="C4291" s="22">
        <f ca="1">IFERROR(__xludf.DUMMYFUNCTION("""COMPUTED_VALUE"""),500000)</f>
        <v>500000</v>
      </c>
      <c r="D4291" s="22">
        <f ca="1">IFERROR(__xludf.DUMMYFUNCTION("""COMPUTED_VALUE"""),0)</f>
        <v>0</v>
      </c>
      <c r="E4291" s="22">
        <f ca="1">IFERROR(__xludf.DUMMYFUNCTION("""COMPUTED_VALUE"""),500000)</f>
        <v>500000</v>
      </c>
      <c r="F4291" s="22">
        <f ca="1">IFERROR(__xludf.DUMMYFUNCTION("""COMPUTED_VALUE"""),500000)</f>
        <v>500000</v>
      </c>
      <c r="G4291" s="22">
        <f ca="1">IFERROR(__xludf.DUMMYFUNCTION("""COMPUTED_VALUE"""),0)</f>
        <v>0</v>
      </c>
      <c r="H4291" s="7">
        <f ca="1">IFERROR(__xludf.DUMMYFUNCTION("""COMPUTED_VALUE"""),500000)</f>
        <v>500000</v>
      </c>
    </row>
    <row r="4292" spans="1:8" ht="13" x14ac:dyDescent="0.15">
      <c r="A4292" s="5" t="str">
        <f ca="1">IFERROR(__xludf.DUMMYFUNCTION("""COMPUTED_VALUE"""),"76975")</f>
        <v>76975</v>
      </c>
      <c r="B4292" s="51">
        <f ca="1">IFERROR(__xludf.DUMMYFUNCTION("""COMPUTED_VALUE"""),44607)</f>
        <v>44607</v>
      </c>
      <c r="C4292" s="22">
        <f ca="1">IFERROR(__xludf.DUMMYFUNCTION("""COMPUTED_VALUE"""),500000)</f>
        <v>500000</v>
      </c>
      <c r="D4292" s="22">
        <f ca="1">IFERROR(__xludf.DUMMYFUNCTION("""COMPUTED_VALUE"""),0)</f>
        <v>0</v>
      </c>
      <c r="E4292" s="22">
        <f ca="1">IFERROR(__xludf.DUMMYFUNCTION("""COMPUTED_VALUE"""),500000)</f>
        <v>500000</v>
      </c>
      <c r="F4292" s="22">
        <f ca="1">IFERROR(__xludf.DUMMYFUNCTION("""COMPUTED_VALUE"""),500000)</f>
        <v>500000</v>
      </c>
      <c r="G4292" s="22">
        <f ca="1">IFERROR(__xludf.DUMMYFUNCTION("""COMPUTED_VALUE"""),0)</f>
        <v>0</v>
      </c>
      <c r="H4292" s="7">
        <f ca="1">IFERROR(__xludf.DUMMYFUNCTION("""COMPUTED_VALUE"""),500000)</f>
        <v>500000</v>
      </c>
    </row>
    <row r="4293" spans="1:8" ht="13" x14ac:dyDescent="0.15">
      <c r="A4293" s="5" t="str">
        <f ca="1">IFERROR(__xludf.DUMMYFUNCTION("""COMPUTED_VALUE"""),"76975")</f>
        <v>76975</v>
      </c>
      <c r="B4293" s="51">
        <f ca="1">IFERROR(__xludf.DUMMYFUNCTION("""COMPUTED_VALUE"""),44608)</f>
        <v>44608</v>
      </c>
      <c r="C4293" s="22">
        <f ca="1">IFERROR(__xludf.DUMMYFUNCTION("""COMPUTED_VALUE"""),500000)</f>
        <v>500000</v>
      </c>
      <c r="D4293" s="22">
        <f ca="1">IFERROR(__xludf.DUMMYFUNCTION("""COMPUTED_VALUE"""),0)</f>
        <v>0</v>
      </c>
      <c r="E4293" s="22">
        <f ca="1">IFERROR(__xludf.DUMMYFUNCTION("""COMPUTED_VALUE"""),500000)</f>
        <v>500000</v>
      </c>
      <c r="F4293" s="22">
        <f ca="1">IFERROR(__xludf.DUMMYFUNCTION("""COMPUTED_VALUE"""),500000)</f>
        <v>500000</v>
      </c>
      <c r="G4293" s="22">
        <f ca="1">IFERROR(__xludf.DUMMYFUNCTION("""COMPUTED_VALUE"""),0)</f>
        <v>0</v>
      </c>
      <c r="H4293" s="7">
        <f ca="1">IFERROR(__xludf.DUMMYFUNCTION("""COMPUTED_VALUE"""),500000)</f>
        <v>500000</v>
      </c>
    </row>
    <row r="4294" spans="1:8" ht="13" x14ac:dyDescent="0.15">
      <c r="A4294" s="5" t="str">
        <f ca="1">IFERROR(__xludf.DUMMYFUNCTION("""COMPUTED_VALUE"""),"76975")</f>
        <v>76975</v>
      </c>
      <c r="B4294" s="51">
        <f ca="1">IFERROR(__xludf.DUMMYFUNCTION("""COMPUTED_VALUE"""),44609)</f>
        <v>44609</v>
      </c>
      <c r="C4294" s="22">
        <f ca="1">IFERROR(__xludf.DUMMYFUNCTION("""COMPUTED_VALUE"""),399410)</f>
        <v>399410</v>
      </c>
      <c r="D4294" s="22">
        <f ca="1">IFERROR(__xludf.DUMMYFUNCTION("""COMPUTED_VALUE"""),100590)</f>
        <v>100590</v>
      </c>
      <c r="E4294" s="22">
        <f ca="1">IFERROR(__xludf.DUMMYFUNCTION("""COMPUTED_VALUE"""),500000)</f>
        <v>500000</v>
      </c>
      <c r="F4294" s="22">
        <f ca="1">IFERROR(__xludf.DUMMYFUNCTION("""COMPUTED_VALUE"""),399410)</f>
        <v>399410</v>
      </c>
      <c r="G4294" s="22">
        <f ca="1">IFERROR(__xludf.DUMMYFUNCTION("""COMPUTED_VALUE"""),0)</f>
        <v>0</v>
      </c>
      <c r="H4294" s="7">
        <f ca="1">IFERROR(__xludf.DUMMYFUNCTION("""COMPUTED_VALUE"""),500000)</f>
        <v>500000</v>
      </c>
    </row>
    <row r="4295" spans="1:8" ht="13" x14ac:dyDescent="0.15">
      <c r="A4295" s="5" t="str">
        <f ca="1">IFERROR(__xludf.DUMMYFUNCTION("""COMPUTED_VALUE"""),"76975")</f>
        <v>76975</v>
      </c>
      <c r="B4295" s="51">
        <f ca="1">IFERROR(__xludf.DUMMYFUNCTION("""COMPUTED_VALUE"""),44610)</f>
        <v>44610</v>
      </c>
      <c r="C4295" s="22">
        <f ca="1">IFERROR(__xludf.DUMMYFUNCTION("""COMPUTED_VALUE"""),399410)</f>
        <v>399410</v>
      </c>
      <c r="D4295" s="22">
        <f ca="1">IFERROR(__xludf.DUMMYFUNCTION("""COMPUTED_VALUE"""),100590)</f>
        <v>100590</v>
      </c>
      <c r="E4295" s="22">
        <f ca="1">IFERROR(__xludf.DUMMYFUNCTION("""COMPUTED_VALUE"""),500000)</f>
        <v>500000</v>
      </c>
      <c r="F4295" s="22">
        <f ca="1">IFERROR(__xludf.DUMMYFUNCTION("""COMPUTED_VALUE"""),399410)</f>
        <v>399410</v>
      </c>
      <c r="G4295" s="22">
        <f ca="1">IFERROR(__xludf.DUMMYFUNCTION("""COMPUTED_VALUE"""),0)</f>
        <v>0</v>
      </c>
      <c r="H4295" s="7">
        <f ca="1">IFERROR(__xludf.DUMMYFUNCTION("""COMPUTED_VALUE"""),498110)</f>
        <v>498110</v>
      </c>
    </row>
    <row r="4296" spans="1:8" ht="13" x14ac:dyDescent="0.15">
      <c r="A4296" s="5" t="str">
        <f ca="1">IFERROR(__xludf.DUMMYFUNCTION("""COMPUTED_VALUE"""),"76975")</f>
        <v>76975</v>
      </c>
      <c r="B4296" s="51">
        <f ca="1">IFERROR(__xludf.DUMMYFUNCTION("""COMPUTED_VALUE"""),44611)</f>
        <v>44611</v>
      </c>
      <c r="C4296" s="22">
        <f ca="1">IFERROR(__xludf.DUMMYFUNCTION("""COMPUTED_VALUE"""),399410)</f>
        <v>399410</v>
      </c>
      <c r="D4296" s="22">
        <f ca="1">IFERROR(__xludf.DUMMYFUNCTION("""COMPUTED_VALUE"""),100590)</f>
        <v>100590</v>
      </c>
      <c r="E4296" s="22">
        <f ca="1">IFERROR(__xludf.DUMMYFUNCTION("""COMPUTED_VALUE"""),500000)</f>
        <v>500000</v>
      </c>
      <c r="F4296" s="22">
        <f ca="1">IFERROR(__xludf.DUMMYFUNCTION("""COMPUTED_VALUE"""),399410)</f>
        <v>399410</v>
      </c>
      <c r="G4296" s="22">
        <f ca="1">IFERROR(__xludf.DUMMYFUNCTION("""COMPUTED_VALUE"""),0)</f>
        <v>0</v>
      </c>
      <c r="H4296" s="7">
        <f ca="1">IFERROR(__xludf.DUMMYFUNCTION("""COMPUTED_VALUE"""),498110)</f>
        <v>498110</v>
      </c>
    </row>
    <row r="4297" spans="1:8" ht="13" x14ac:dyDescent="0.15">
      <c r="A4297" s="5" t="str">
        <f ca="1">IFERROR(__xludf.DUMMYFUNCTION("""COMPUTED_VALUE"""),"76975")</f>
        <v>76975</v>
      </c>
      <c r="B4297" s="51">
        <f ca="1">IFERROR(__xludf.DUMMYFUNCTION("""COMPUTED_VALUE"""),44612)</f>
        <v>44612</v>
      </c>
      <c r="C4297" s="22">
        <f ca="1">IFERROR(__xludf.DUMMYFUNCTION("""COMPUTED_VALUE"""),399410)</f>
        <v>399410</v>
      </c>
      <c r="D4297" s="22">
        <f ca="1">IFERROR(__xludf.DUMMYFUNCTION("""COMPUTED_VALUE"""),100590)</f>
        <v>100590</v>
      </c>
      <c r="E4297" s="22">
        <f ca="1">IFERROR(__xludf.DUMMYFUNCTION("""COMPUTED_VALUE"""),500000)</f>
        <v>500000</v>
      </c>
      <c r="F4297" s="22">
        <f ca="1">IFERROR(__xludf.DUMMYFUNCTION("""COMPUTED_VALUE"""),399410)</f>
        <v>399410</v>
      </c>
      <c r="G4297" s="22">
        <f ca="1">IFERROR(__xludf.DUMMYFUNCTION("""COMPUTED_VALUE"""),0)</f>
        <v>0</v>
      </c>
      <c r="H4297" s="7">
        <f ca="1">IFERROR(__xludf.DUMMYFUNCTION("""COMPUTED_VALUE"""),498110)</f>
        <v>498110</v>
      </c>
    </row>
    <row r="4298" spans="1:8" ht="13" x14ac:dyDescent="0.15">
      <c r="A4298" s="5" t="str">
        <f ca="1">IFERROR(__xludf.DUMMYFUNCTION("""COMPUTED_VALUE"""),"76975")</f>
        <v>76975</v>
      </c>
      <c r="B4298" s="51">
        <f ca="1">IFERROR(__xludf.DUMMYFUNCTION("""COMPUTED_VALUE"""),44613)</f>
        <v>44613</v>
      </c>
      <c r="C4298" s="22">
        <f ca="1">IFERROR(__xludf.DUMMYFUNCTION("""COMPUTED_VALUE"""),350675)</f>
        <v>350675</v>
      </c>
      <c r="D4298" s="22">
        <f ca="1">IFERROR(__xludf.DUMMYFUNCTION("""COMPUTED_VALUE"""),142269)</f>
        <v>142269</v>
      </c>
      <c r="E4298" s="22">
        <f ca="1">IFERROR(__xludf.DUMMYFUNCTION("""COMPUTED_VALUE"""),492944)</f>
        <v>492944</v>
      </c>
      <c r="F4298" s="22">
        <f ca="1">IFERROR(__xludf.DUMMYFUNCTION("""COMPUTED_VALUE"""),350675)</f>
        <v>350675</v>
      </c>
      <c r="G4298" s="22">
        <f ca="1">IFERROR(__xludf.DUMMYFUNCTION("""COMPUTED_VALUE"""),0)</f>
        <v>0</v>
      </c>
      <c r="H4298" s="7">
        <f ca="1">IFERROR(__xludf.DUMMYFUNCTION("""COMPUTED_VALUE"""),492944)</f>
        <v>492944</v>
      </c>
    </row>
    <row r="4299" spans="1:8" ht="13" x14ac:dyDescent="0.15">
      <c r="A4299" s="5" t="str">
        <f ca="1">IFERROR(__xludf.DUMMYFUNCTION("""COMPUTED_VALUE"""),"76975")</f>
        <v>76975</v>
      </c>
      <c r="B4299" s="51">
        <f ca="1">IFERROR(__xludf.DUMMYFUNCTION("""COMPUTED_VALUE"""),44614)</f>
        <v>44614</v>
      </c>
      <c r="C4299" s="22">
        <f ca="1">IFERROR(__xludf.DUMMYFUNCTION("""COMPUTED_VALUE"""),350675)</f>
        <v>350675</v>
      </c>
      <c r="D4299" s="22">
        <f ca="1">IFERROR(__xludf.DUMMYFUNCTION("""COMPUTED_VALUE"""),142143)</f>
        <v>142143</v>
      </c>
      <c r="E4299" s="22">
        <f ca="1">IFERROR(__xludf.DUMMYFUNCTION("""COMPUTED_VALUE"""),492818)</f>
        <v>492818</v>
      </c>
      <c r="F4299" s="22">
        <f ca="1">IFERROR(__xludf.DUMMYFUNCTION("""COMPUTED_VALUE"""),350675)</f>
        <v>350675</v>
      </c>
      <c r="G4299" s="22">
        <f ca="1">IFERROR(__xludf.DUMMYFUNCTION("""COMPUTED_VALUE"""),0)</f>
        <v>0</v>
      </c>
      <c r="H4299" s="7">
        <f ca="1">IFERROR(__xludf.DUMMYFUNCTION("""COMPUTED_VALUE"""),490334)</f>
        <v>490334</v>
      </c>
    </row>
    <row r="4300" spans="1:8" ht="13" x14ac:dyDescent="0.15">
      <c r="A4300" s="5" t="str">
        <f ca="1">IFERROR(__xludf.DUMMYFUNCTION("""COMPUTED_VALUE"""),"76975")</f>
        <v>76975</v>
      </c>
      <c r="B4300" s="51">
        <f ca="1">IFERROR(__xludf.DUMMYFUNCTION("""COMPUTED_VALUE"""),44615)</f>
        <v>44615</v>
      </c>
      <c r="C4300" s="22">
        <f ca="1">IFERROR(__xludf.DUMMYFUNCTION("""COMPUTED_VALUE"""),350675)</f>
        <v>350675</v>
      </c>
      <c r="D4300" s="22">
        <f ca="1">IFERROR(__xludf.DUMMYFUNCTION("""COMPUTED_VALUE"""),142185)</f>
        <v>142185</v>
      </c>
      <c r="E4300" s="22">
        <f ca="1">IFERROR(__xludf.DUMMYFUNCTION("""COMPUTED_VALUE"""),492860)</f>
        <v>492860</v>
      </c>
      <c r="F4300" s="22">
        <f ca="1">IFERROR(__xludf.DUMMYFUNCTION("""COMPUTED_VALUE"""),350675)</f>
        <v>350675</v>
      </c>
      <c r="G4300" s="22">
        <f ca="1">IFERROR(__xludf.DUMMYFUNCTION("""COMPUTED_VALUE"""),0)</f>
        <v>0</v>
      </c>
      <c r="H4300" s="7">
        <f ca="1">IFERROR(__xludf.DUMMYFUNCTION("""COMPUTED_VALUE"""),491807)</f>
        <v>491807</v>
      </c>
    </row>
    <row r="4301" spans="1:8" ht="13" x14ac:dyDescent="0.15">
      <c r="A4301" s="5" t="str">
        <f ca="1">IFERROR(__xludf.DUMMYFUNCTION("""COMPUTED_VALUE"""),"76975")</f>
        <v>76975</v>
      </c>
      <c r="B4301" s="51">
        <f ca="1">IFERROR(__xludf.DUMMYFUNCTION("""COMPUTED_VALUE"""),44616)</f>
        <v>44616</v>
      </c>
      <c r="C4301" s="22">
        <f ca="1">IFERROR(__xludf.DUMMYFUNCTION("""COMPUTED_VALUE"""),350675)</f>
        <v>350675</v>
      </c>
      <c r="D4301" s="22">
        <f ca="1">IFERROR(__xludf.DUMMYFUNCTION("""COMPUTED_VALUE"""),138573)</f>
        <v>138573</v>
      </c>
      <c r="E4301" s="22">
        <f ca="1">IFERROR(__xludf.DUMMYFUNCTION("""COMPUTED_VALUE"""),489248)</f>
        <v>489248</v>
      </c>
      <c r="F4301" s="22">
        <f ca="1">IFERROR(__xludf.DUMMYFUNCTION("""COMPUTED_VALUE"""),350675)</f>
        <v>350675</v>
      </c>
      <c r="G4301" s="22">
        <f ca="1">IFERROR(__xludf.DUMMYFUNCTION("""COMPUTED_VALUE"""),0)</f>
        <v>0</v>
      </c>
      <c r="H4301" s="7">
        <f ca="1">IFERROR(__xludf.DUMMYFUNCTION("""COMPUTED_VALUE"""),486467)</f>
        <v>486467</v>
      </c>
    </row>
    <row r="4302" spans="1:8" ht="13" x14ac:dyDescent="0.15">
      <c r="A4302" s="5" t="str">
        <f ca="1">IFERROR(__xludf.DUMMYFUNCTION("""COMPUTED_VALUE"""),"76975")</f>
        <v>76975</v>
      </c>
      <c r="B4302" s="51">
        <f ca="1">IFERROR(__xludf.DUMMYFUNCTION("""COMPUTED_VALUE"""),44617)</f>
        <v>44617</v>
      </c>
      <c r="C4302" s="22">
        <f ca="1">IFERROR(__xludf.DUMMYFUNCTION("""COMPUTED_VALUE"""),350675)</f>
        <v>350675</v>
      </c>
      <c r="D4302" s="22">
        <f ca="1">IFERROR(__xludf.DUMMYFUNCTION("""COMPUTED_VALUE"""),137775)</f>
        <v>137775</v>
      </c>
      <c r="E4302" s="22">
        <f ca="1">IFERROR(__xludf.DUMMYFUNCTION("""COMPUTED_VALUE"""),488450)</f>
        <v>488450</v>
      </c>
      <c r="F4302" s="22">
        <f ca="1">IFERROR(__xludf.DUMMYFUNCTION("""COMPUTED_VALUE"""),350675)</f>
        <v>350675</v>
      </c>
      <c r="G4302" s="22">
        <f ca="1">IFERROR(__xludf.DUMMYFUNCTION("""COMPUTED_VALUE"""),0)</f>
        <v>0</v>
      </c>
      <c r="H4302" s="7">
        <f ca="1">IFERROR(__xludf.DUMMYFUNCTION("""COMPUTED_VALUE"""),485669)</f>
        <v>485669</v>
      </c>
    </row>
    <row r="4303" spans="1:8" ht="13" x14ac:dyDescent="0.15">
      <c r="A4303" s="5" t="str">
        <f ca="1">IFERROR(__xludf.DUMMYFUNCTION("""COMPUTED_VALUE"""),"76975")</f>
        <v>76975</v>
      </c>
      <c r="B4303" s="51">
        <f ca="1">IFERROR(__xludf.DUMMYFUNCTION("""COMPUTED_VALUE"""),44618)</f>
        <v>44618</v>
      </c>
      <c r="C4303" s="22">
        <f ca="1">IFERROR(__xludf.DUMMYFUNCTION("""COMPUTED_VALUE"""),350675)</f>
        <v>350675</v>
      </c>
      <c r="D4303" s="22">
        <f ca="1">IFERROR(__xludf.DUMMYFUNCTION("""COMPUTED_VALUE"""),137775)</f>
        <v>137775</v>
      </c>
      <c r="E4303" s="22">
        <f ca="1">IFERROR(__xludf.DUMMYFUNCTION("""COMPUTED_VALUE"""),488450)</f>
        <v>488450</v>
      </c>
      <c r="F4303" s="22">
        <f ca="1">IFERROR(__xludf.DUMMYFUNCTION("""COMPUTED_VALUE"""),350675)</f>
        <v>350675</v>
      </c>
      <c r="G4303" s="22">
        <f ca="1">IFERROR(__xludf.DUMMYFUNCTION("""COMPUTED_VALUE"""),0)</f>
        <v>0</v>
      </c>
      <c r="H4303" s="7">
        <f ca="1">IFERROR(__xludf.DUMMYFUNCTION("""COMPUTED_VALUE"""),485669)</f>
        <v>485669</v>
      </c>
    </row>
    <row r="4304" spans="1:8" ht="13" x14ac:dyDescent="0.15">
      <c r="A4304" s="5" t="str">
        <f ca="1">IFERROR(__xludf.DUMMYFUNCTION("""COMPUTED_VALUE"""),"76975")</f>
        <v>76975</v>
      </c>
      <c r="B4304" s="51">
        <f ca="1">IFERROR(__xludf.DUMMYFUNCTION("""COMPUTED_VALUE"""),44619)</f>
        <v>44619</v>
      </c>
      <c r="C4304" s="22">
        <f ca="1">IFERROR(__xludf.DUMMYFUNCTION("""COMPUTED_VALUE"""),350675)</f>
        <v>350675</v>
      </c>
      <c r="D4304" s="22">
        <f ca="1">IFERROR(__xludf.DUMMYFUNCTION("""COMPUTED_VALUE"""),137775)</f>
        <v>137775</v>
      </c>
      <c r="E4304" s="22">
        <f ca="1">IFERROR(__xludf.DUMMYFUNCTION("""COMPUTED_VALUE"""),488450)</f>
        <v>488450</v>
      </c>
      <c r="F4304" s="22">
        <f ca="1">IFERROR(__xludf.DUMMYFUNCTION("""COMPUTED_VALUE"""),350675)</f>
        <v>350675</v>
      </c>
      <c r="G4304" s="22">
        <f ca="1">IFERROR(__xludf.DUMMYFUNCTION("""COMPUTED_VALUE"""),0)</f>
        <v>0</v>
      </c>
      <c r="H4304" s="7">
        <f ca="1">IFERROR(__xludf.DUMMYFUNCTION("""COMPUTED_VALUE"""),485669)</f>
        <v>485669</v>
      </c>
    </row>
    <row r="4305" spans="1:8" ht="13" x14ac:dyDescent="0.15">
      <c r="A4305" s="5" t="str">
        <f ca="1">IFERROR(__xludf.DUMMYFUNCTION("""COMPUTED_VALUE"""),"76975")</f>
        <v>76975</v>
      </c>
      <c r="B4305" s="51">
        <f ca="1">IFERROR(__xludf.DUMMYFUNCTION("""COMPUTED_VALUE"""),44620)</f>
        <v>44620</v>
      </c>
      <c r="C4305" s="22">
        <f ca="1">IFERROR(__xludf.DUMMYFUNCTION("""COMPUTED_VALUE"""),350675)</f>
        <v>350675</v>
      </c>
      <c r="D4305" s="22">
        <f ca="1">IFERROR(__xludf.DUMMYFUNCTION("""COMPUTED_VALUE"""),137187)</f>
        <v>137187</v>
      </c>
      <c r="E4305" s="22">
        <f ca="1">IFERROR(__xludf.DUMMYFUNCTION("""COMPUTED_VALUE"""),487862)</f>
        <v>487862</v>
      </c>
      <c r="F4305" s="22">
        <f ca="1">IFERROR(__xludf.DUMMYFUNCTION("""COMPUTED_VALUE"""),350675)</f>
        <v>350675</v>
      </c>
      <c r="G4305" s="22">
        <f ca="1">IFERROR(__xludf.DUMMYFUNCTION("""COMPUTED_VALUE"""),0)</f>
        <v>0</v>
      </c>
      <c r="H4305" s="7">
        <f ca="1">IFERROR(__xludf.DUMMYFUNCTION("""COMPUTED_VALUE"""),485621)</f>
        <v>485621</v>
      </c>
    </row>
    <row r="4306" spans="1:8" ht="13" x14ac:dyDescent="0.15">
      <c r="A4306" s="5" t="str">
        <f ca="1">IFERROR(__xludf.DUMMYFUNCTION("""COMPUTED_VALUE"""),"76975")</f>
        <v>76975</v>
      </c>
      <c r="B4306" s="51">
        <f ca="1">IFERROR(__xludf.DUMMYFUNCTION("""COMPUTED_VALUE"""),44621)</f>
        <v>44621</v>
      </c>
      <c r="C4306" s="22">
        <f ca="1">IFERROR(__xludf.DUMMYFUNCTION("""COMPUTED_VALUE"""),281927.17922)</f>
        <v>281927.17921999999</v>
      </c>
      <c r="D4306" s="22">
        <f ca="1">IFERROR(__xludf.DUMMYFUNCTION("""COMPUTED_VALUE"""),206075.82078)</f>
        <v>206075.82078000001</v>
      </c>
      <c r="E4306" s="22">
        <f ca="1">IFERROR(__xludf.DUMMYFUNCTION("""COMPUTED_VALUE"""),488003)</f>
        <v>488003</v>
      </c>
      <c r="F4306" s="22">
        <f ca="1">IFERROR(__xludf.DUMMYFUNCTION("""COMPUTED_VALUE"""),281927.17922)</f>
        <v>281927.17921999999</v>
      </c>
      <c r="G4306" s="22">
        <f ca="1">IFERROR(__xludf.DUMMYFUNCTION("""COMPUTED_VALUE"""),0)</f>
        <v>0</v>
      </c>
      <c r="H4306" s="7">
        <f ca="1">IFERROR(__xludf.DUMMYFUNCTION("""COMPUTED_VALUE"""),488003)</f>
        <v>488003</v>
      </c>
    </row>
    <row r="4307" spans="1:8" ht="13" x14ac:dyDescent="0.15">
      <c r="A4307" s="5" t="str">
        <f ca="1">IFERROR(__xludf.DUMMYFUNCTION("""COMPUTED_VALUE"""),"76975")</f>
        <v>76975</v>
      </c>
      <c r="B4307" s="51">
        <f ca="1">IFERROR(__xludf.DUMMYFUNCTION("""COMPUTED_VALUE"""),44622)</f>
        <v>44622</v>
      </c>
      <c r="C4307" s="22">
        <f ca="1">IFERROR(__xludf.DUMMYFUNCTION("""COMPUTED_VALUE"""),281927.17922)</f>
        <v>281927.17921999999</v>
      </c>
      <c r="D4307" s="22">
        <f ca="1">IFERROR(__xludf.DUMMYFUNCTION("""COMPUTED_VALUE"""),205289.82078)</f>
        <v>205289.82078000001</v>
      </c>
      <c r="E4307" s="22">
        <f ca="1">IFERROR(__xludf.DUMMYFUNCTION("""COMPUTED_VALUE"""),487217)</f>
        <v>487217</v>
      </c>
      <c r="F4307" s="22">
        <f ca="1">IFERROR(__xludf.DUMMYFUNCTION("""COMPUTED_VALUE"""),281927.17922)</f>
        <v>281927.17921999999</v>
      </c>
      <c r="G4307" s="22">
        <f ca="1">IFERROR(__xludf.DUMMYFUNCTION("""COMPUTED_VALUE"""),0)</f>
        <v>0</v>
      </c>
      <c r="H4307" s="7">
        <f ca="1">IFERROR(__xludf.DUMMYFUNCTION("""COMPUTED_VALUE"""),485784.79568)</f>
        <v>485784.79567999998</v>
      </c>
    </row>
    <row r="4308" spans="1:8" ht="13" x14ac:dyDescent="0.15">
      <c r="A4308" s="5" t="str">
        <f ca="1">IFERROR(__xludf.DUMMYFUNCTION("""COMPUTED_VALUE"""),"76975")</f>
        <v>76975</v>
      </c>
      <c r="B4308" s="51">
        <f ca="1">IFERROR(__xludf.DUMMYFUNCTION("""COMPUTED_VALUE"""),44623)</f>
        <v>44623</v>
      </c>
      <c r="C4308" s="22">
        <f ca="1">IFERROR(__xludf.DUMMYFUNCTION("""COMPUTED_VALUE"""),231119.17922)</f>
        <v>231119.17921999999</v>
      </c>
      <c r="D4308" s="22">
        <f ca="1">IFERROR(__xludf.DUMMYFUNCTION("""COMPUTED_VALUE"""),249407.89266)</f>
        <v>249407.89266000001</v>
      </c>
      <c r="E4308" s="22">
        <f ca="1">IFERROR(__xludf.DUMMYFUNCTION("""COMPUTED_VALUE"""),480527.07188)</f>
        <v>480527.07188</v>
      </c>
      <c r="F4308" s="22">
        <f ca="1">IFERROR(__xludf.DUMMYFUNCTION("""COMPUTED_VALUE"""),231119.17922)</f>
        <v>231119.17921999999</v>
      </c>
      <c r="G4308" s="22">
        <f ca="1">IFERROR(__xludf.DUMMYFUNCTION("""COMPUTED_VALUE"""),0)</f>
        <v>0</v>
      </c>
      <c r="H4308" s="7">
        <f ca="1">IFERROR(__xludf.DUMMYFUNCTION("""COMPUTED_VALUE"""),479975.07188)</f>
        <v>479975.07188</v>
      </c>
    </row>
    <row r="4309" spans="1:8" ht="13" x14ac:dyDescent="0.15">
      <c r="A4309" s="5" t="str">
        <f ca="1">IFERROR(__xludf.DUMMYFUNCTION("""COMPUTED_VALUE"""),"76975")</f>
        <v>76975</v>
      </c>
      <c r="B4309" s="51">
        <f ca="1">IFERROR(__xludf.DUMMYFUNCTION("""COMPUTED_VALUE"""),44624)</f>
        <v>44624</v>
      </c>
      <c r="C4309" s="22">
        <f ca="1">IFERROR(__xludf.DUMMYFUNCTION("""COMPUTED_VALUE"""),231119.17922)</f>
        <v>231119.17921999999</v>
      </c>
      <c r="D4309" s="22">
        <f ca="1">IFERROR(__xludf.DUMMYFUNCTION("""COMPUTED_VALUE"""),239605.207824)</f>
        <v>239605.20782400001</v>
      </c>
      <c r="E4309" s="22">
        <f ca="1">IFERROR(__xludf.DUMMYFUNCTION("""COMPUTED_VALUE"""),470724.387044)</f>
        <v>470724.38704399997</v>
      </c>
      <c r="F4309" s="22">
        <f ca="1">IFERROR(__xludf.DUMMYFUNCTION("""COMPUTED_VALUE"""),231119.17922)</f>
        <v>231119.17921999999</v>
      </c>
      <c r="G4309" s="22">
        <f ca="1">IFERROR(__xludf.DUMMYFUNCTION("""COMPUTED_VALUE"""),0)</f>
        <v>0</v>
      </c>
      <c r="H4309" s="7">
        <f ca="1">IFERROR(__xludf.DUMMYFUNCTION("""COMPUTED_VALUE"""),468300.387044)</f>
        <v>468300.38704399997</v>
      </c>
    </row>
    <row r="4310" spans="1:8" ht="13" x14ac:dyDescent="0.15">
      <c r="A4310" s="5" t="str">
        <f ca="1">IFERROR(__xludf.DUMMYFUNCTION("""COMPUTED_VALUE"""),"76975")</f>
        <v>76975</v>
      </c>
      <c r="B4310" s="51">
        <f ca="1">IFERROR(__xludf.DUMMYFUNCTION("""COMPUTED_VALUE"""),44625)</f>
        <v>44625</v>
      </c>
      <c r="C4310" s="22">
        <f ca="1">IFERROR(__xludf.DUMMYFUNCTION("""COMPUTED_VALUE"""),231119.17922)</f>
        <v>231119.17921999999</v>
      </c>
      <c r="D4310" s="22">
        <f ca="1">IFERROR(__xludf.DUMMYFUNCTION("""COMPUTED_VALUE"""),239605.207824)</f>
        <v>239605.20782400001</v>
      </c>
      <c r="E4310" s="22">
        <f ca="1">IFERROR(__xludf.DUMMYFUNCTION("""COMPUTED_VALUE"""),470724.387044)</f>
        <v>470724.38704399997</v>
      </c>
      <c r="F4310" s="22">
        <f ca="1">IFERROR(__xludf.DUMMYFUNCTION("""COMPUTED_VALUE"""),231119.17922)</f>
        <v>231119.17921999999</v>
      </c>
      <c r="G4310" s="22">
        <f ca="1">IFERROR(__xludf.DUMMYFUNCTION("""COMPUTED_VALUE"""),0)</f>
        <v>0</v>
      </c>
      <c r="H4310" s="7">
        <f ca="1">IFERROR(__xludf.DUMMYFUNCTION("""COMPUTED_VALUE"""),468300.387044)</f>
        <v>468300.38704399997</v>
      </c>
    </row>
    <row r="4311" spans="1:8" ht="13" x14ac:dyDescent="0.15">
      <c r="A4311" s="5" t="str">
        <f ca="1">IFERROR(__xludf.DUMMYFUNCTION("""COMPUTED_VALUE"""),"76975")</f>
        <v>76975</v>
      </c>
      <c r="B4311" s="51">
        <f ca="1">IFERROR(__xludf.DUMMYFUNCTION("""COMPUTED_VALUE"""),44626)</f>
        <v>44626</v>
      </c>
      <c r="C4311" s="22">
        <f ca="1">IFERROR(__xludf.DUMMYFUNCTION("""COMPUTED_VALUE"""),231119.17922)</f>
        <v>231119.17921999999</v>
      </c>
      <c r="D4311" s="22">
        <f ca="1">IFERROR(__xludf.DUMMYFUNCTION("""COMPUTED_VALUE"""),239613.410934)</f>
        <v>239613.41093400001</v>
      </c>
      <c r="E4311" s="22">
        <f ca="1">IFERROR(__xludf.DUMMYFUNCTION("""COMPUTED_VALUE"""),470732.590154)</f>
        <v>470732.59015399998</v>
      </c>
      <c r="F4311" s="22">
        <f ca="1">IFERROR(__xludf.DUMMYFUNCTION("""COMPUTED_VALUE"""),231119.17922)</f>
        <v>231119.17921999999</v>
      </c>
      <c r="G4311" s="22">
        <f ca="1">IFERROR(__xludf.DUMMYFUNCTION("""COMPUTED_VALUE"""),0)</f>
        <v>0</v>
      </c>
      <c r="H4311" s="7">
        <f ca="1">IFERROR(__xludf.DUMMYFUNCTION("""COMPUTED_VALUE"""),468308.590154)</f>
        <v>468308.59015399998</v>
      </c>
    </row>
    <row r="4312" spans="1:8" ht="13" x14ac:dyDescent="0.15">
      <c r="A4312" s="5" t="str">
        <f ca="1">IFERROR(__xludf.DUMMYFUNCTION("""COMPUTED_VALUE"""),"76975")</f>
        <v>76975</v>
      </c>
      <c r="B4312" s="51">
        <f ca="1">IFERROR(__xludf.DUMMYFUNCTION("""COMPUTED_VALUE"""),44627)</f>
        <v>44627</v>
      </c>
      <c r="C4312" s="22">
        <f ca="1">IFERROR(__xludf.DUMMYFUNCTION("""COMPUTED_VALUE"""),231119.17922)</f>
        <v>231119.17921999999</v>
      </c>
      <c r="D4312" s="22">
        <f ca="1">IFERROR(__xludf.DUMMYFUNCTION("""COMPUTED_VALUE"""),228543.43752)</f>
        <v>228543.43752000001</v>
      </c>
      <c r="E4312" s="22">
        <f ca="1">IFERROR(__xludf.DUMMYFUNCTION("""COMPUTED_VALUE"""),459662.616739999)</f>
        <v>459662.61673999898</v>
      </c>
      <c r="F4312" s="22">
        <f ca="1">IFERROR(__xludf.DUMMYFUNCTION("""COMPUTED_VALUE"""),231119.17922)</f>
        <v>231119.17921999999</v>
      </c>
      <c r="G4312" s="22">
        <f ca="1">IFERROR(__xludf.DUMMYFUNCTION("""COMPUTED_VALUE"""),0)</f>
        <v>0</v>
      </c>
      <c r="H4312" s="7">
        <f ca="1">IFERROR(__xludf.DUMMYFUNCTION("""COMPUTED_VALUE"""),455414.616739999)</f>
        <v>455414.61673999898</v>
      </c>
    </row>
    <row r="4313" spans="1:8" ht="13" x14ac:dyDescent="0.15">
      <c r="A4313" s="5" t="str">
        <f ca="1">IFERROR(__xludf.DUMMYFUNCTION("""COMPUTED_VALUE"""),"76975")</f>
        <v>76975</v>
      </c>
      <c r="B4313" s="51">
        <f ca="1">IFERROR(__xludf.DUMMYFUNCTION("""COMPUTED_VALUE"""),44628)</f>
        <v>44628</v>
      </c>
      <c r="C4313" s="22">
        <f ca="1">IFERROR(__xludf.DUMMYFUNCTION("""COMPUTED_VALUE"""),131487.17922)</f>
        <v>131487.17921999999</v>
      </c>
      <c r="D4313" s="22">
        <f ca="1">IFERROR(__xludf.DUMMYFUNCTION("""COMPUTED_VALUE"""),320440.47713)</f>
        <v>320440.47713000001</v>
      </c>
      <c r="E4313" s="22">
        <f ca="1">IFERROR(__xludf.DUMMYFUNCTION("""COMPUTED_VALUE"""),451927.65635)</f>
        <v>451927.65635</v>
      </c>
      <c r="F4313" s="22">
        <f ca="1">IFERROR(__xludf.DUMMYFUNCTION("""COMPUTED_VALUE"""),131487.17922)</f>
        <v>131487.17921999999</v>
      </c>
      <c r="G4313" s="22">
        <f ca="1">IFERROR(__xludf.DUMMYFUNCTION("""COMPUTED_VALUE"""),0)</f>
        <v>0</v>
      </c>
      <c r="H4313" s="7">
        <f ca="1">IFERROR(__xludf.DUMMYFUNCTION("""COMPUTED_VALUE"""),451927.65635)</f>
        <v>451927.65635</v>
      </c>
    </row>
    <row r="4314" spans="1:8" ht="13" x14ac:dyDescent="0.15">
      <c r="A4314" s="5" t="str">
        <f ca="1">IFERROR(__xludf.DUMMYFUNCTION("""COMPUTED_VALUE"""),"76975")</f>
        <v>76975</v>
      </c>
      <c r="B4314" s="51">
        <f ca="1">IFERROR(__xludf.DUMMYFUNCTION("""COMPUTED_VALUE"""),44629)</f>
        <v>44629</v>
      </c>
      <c r="C4314" s="22">
        <f ca="1">IFERROR(__xludf.DUMMYFUNCTION("""COMPUTED_VALUE"""),131487.17922)</f>
        <v>131487.17921999999</v>
      </c>
      <c r="D4314" s="22">
        <f ca="1">IFERROR(__xludf.DUMMYFUNCTION("""COMPUTED_VALUE"""),325262.2928)</f>
        <v>325262.2928</v>
      </c>
      <c r="E4314" s="22">
        <f ca="1">IFERROR(__xludf.DUMMYFUNCTION("""COMPUTED_VALUE"""),456749.47202)</f>
        <v>456749.47201999999</v>
      </c>
      <c r="F4314" s="22">
        <f ca="1">IFERROR(__xludf.DUMMYFUNCTION("""COMPUTED_VALUE"""),131487.17922)</f>
        <v>131487.17921999999</v>
      </c>
      <c r="G4314" s="22">
        <f ca="1">IFERROR(__xludf.DUMMYFUNCTION("""COMPUTED_VALUE"""),0)</f>
        <v>0</v>
      </c>
      <c r="H4314" s="7">
        <f ca="1">IFERROR(__xludf.DUMMYFUNCTION("""COMPUTED_VALUE"""),457165.47202)</f>
        <v>457165.47201999999</v>
      </c>
    </row>
    <row r="4315" spans="1:8" ht="13" x14ac:dyDescent="0.15">
      <c r="A4315" s="5" t="str">
        <f ca="1">IFERROR(__xludf.DUMMYFUNCTION("""COMPUTED_VALUE"""),"76975")</f>
        <v>76975</v>
      </c>
      <c r="B4315" s="51">
        <f ca="1">IFERROR(__xludf.DUMMYFUNCTION("""COMPUTED_VALUE"""),44630)</f>
        <v>44630</v>
      </c>
      <c r="C4315" s="22">
        <f ca="1">IFERROR(__xludf.DUMMYFUNCTION("""COMPUTED_VALUE"""),131487.17922)</f>
        <v>131487.17921999999</v>
      </c>
      <c r="D4315" s="22">
        <f ca="1">IFERROR(__xludf.DUMMYFUNCTION("""COMPUTED_VALUE"""),324193.5008)</f>
        <v>324193.50079999998</v>
      </c>
      <c r="E4315" s="22">
        <f ca="1">IFERROR(__xludf.DUMMYFUNCTION("""COMPUTED_VALUE"""),455680.680019999)</f>
        <v>455680.68001999898</v>
      </c>
      <c r="F4315" s="22">
        <f ca="1">IFERROR(__xludf.DUMMYFUNCTION("""COMPUTED_VALUE"""),131487.17922)</f>
        <v>131487.17921999999</v>
      </c>
      <c r="G4315" s="22">
        <f ca="1">IFERROR(__xludf.DUMMYFUNCTION("""COMPUTED_VALUE"""),0)</f>
        <v>0</v>
      </c>
      <c r="H4315" s="7">
        <f ca="1">IFERROR(__xludf.DUMMYFUNCTION("""COMPUTED_VALUE"""),456148.680019999)</f>
        <v>456148.68001999898</v>
      </c>
    </row>
    <row r="4316" spans="1:8" ht="13" x14ac:dyDescent="0.15">
      <c r="A4316" s="5" t="str">
        <f ca="1">IFERROR(__xludf.DUMMYFUNCTION("""COMPUTED_VALUE"""),"76975")</f>
        <v>76975</v>
      </c>
      <c r="B4316" s="51">
        <f ca="1">IFERROR(__xludf.DUMMYFUNCTION("""COMPUTED_VALUE"""),44631)</f>
        <v>44631</v>
      </c>
      <c r="C4316" s="22">
        <f ca="1">IFERROR(__xludf.DUMMYFUNCTION("""COMPUTED_VALUE"""),131487.17922)</f>
        <v>131487.17921999999</v>
      </c>
      <c r="D4316" s="22">
        <f ca="1">IFERROR(__xludf.DUMMYFUNCTION("""COMPUTED_VALUE"""),302652.5246)</f>
        <v>302652.5246</v>
      </c>
      <c r="E4316" s="22">
        <f ca="1">IFERROR(__xludf.DUMMYFUNCTION("""COMPUTED_VALUE"""),434139.70382)</f>
        <v>434139.70382</v>
      </c>
      <c r="F4316" s="22">
        <f ca="1">IFERROR(__xludf.DUMMYFUNCTION("""COMPUTED_VALUE"""),131487.17922)</f>
        <v>131487.17921999999</v>
      </c>
      <c r="G4316" s="22">
        <f ca="1">IFERROR(__xludf.DUMMYFUNCTION("""COMPUTED_VALUE"""),0)</f>
        <v>0</v>
      </c>
      <c r="H4316" s="7">
        <f ca="1">IFERROR(__xludf.DUMMYFUNCTION("""COMPUTED_VALUE"""),430135.70382)</f>
        <v>430135.70382</v>
      </c>
    </row>
    <row r="4317" spans="1:8" ht="13" x14ac:dyDescent="0.15">
      <c r="A4317" s="5" t="str">
        <f ca="1">IFERROR(__xludf.DUMMYFUNCTION("""COMPUTED_VALUE"""),"76975")</f>
        <v>76975</v>
      </c>
      <c r="B4317" s="51">
        <f ca="1">IFERROR(__xludf.DUMMYFUNCTION("""COMPUTED_VALUE"""),44632)</f>
        <v>44632</v>
      </c>
      <c r="C4317" s="22">
        <f ca="1">IFERROR(__xludf.DUMMYFUNCTION("""COMPUTED_VALUE"""),131487.17922)</f>
        <v>131487.17921999999</v>
      </c>
      <c r="D4317" s="22">
        <f ca="1">IFERROR(__xludf.DUMMYFUNCTION("""COMPUTED_VALUE"""),302652.5246)</f>
        <v>302652.5246</v>
      </c>
      <c r="E4317" s="22">
        <f ca="1">IFERROR(__xludf.DUMMYFUNCTION("""COMPUTED_VALUE"""),434139.70382)</f>
        <v>434139.70382</v>
      </c>
      <c r="F4317" s="22">
        <f ca="1">IFERROR(__xludf.DUMMYFUNCTION("""COMPUTED_VALUE"""),131487.17922)</f>
        <v>131487.17921999999</v>
      </c>
      <c r="G4317" s="22">
        <f ca="1">IFERROR(__xludf.DUMMYFUNCTION("""COMPUTED_VALUE"""),0)</f>
        <v>0</v>
      </c>
      <c r="H4317" s="7">
        <f ca="1">IFERROR(__xludf.DUMMYFUNCTION("""COMPUTED_VALUE"""),430135.70382)</f>
        <v>430135.70382</v>
      </c>
    </row>
    <row r="4318" spans="1:8" ht="13" x14ac:dyDescent="0.15">
      <c r="A4318" s="5" t="str">
        <f ca="1">IFERROR(__xludf.DUMMYFUNCTION("""COMPUTED_VALUE"""),"76975")</f>
        <v>76975</v>
      </c>
      <c r="B4318" s="51">
        <f ca="1">IFERROR(__xludf.DUMMYFUNCTION("""COMPUTED_VALUE"""),44633)</f>
        <v>44633</v>
      </c>
      <c r="C4318" s="22">
        <f ca="1">IFERROR(__xludf.DUMMYFUNCTION("""COMPUTED_VALUE"""),131487.17922)</f>
        <v>131487.17921999999</v>
      </c>
      <c r="D4318" s="22">
        <f ca="1">IFERROR(__xludf.DUMMYFUNCTION("""COMPUTED_VALUE"""),302648.666204)</f>
        <v>302648.66620400001</v>
      </c>
      <c r="E4318" s="22">
        <f ca="1">IFERROR(__xludf.DUMMYFUNCTION("""COMPUTED_VALUE"""),434135.845424)</f>
        <v>434135.845424</v>
      </c>
      <c r="F4318" s="22">
        <f ca="1">IFERROR(__xludf.DUMMYFUNCTION("""COMPUTED_VALUE"""),131487.17922)</f>
        <v>131487.17921999999</v>
      </c>
      <c r="G4318" s="22">
        <f ca="1">IFERROR(__xludf.DUMMYFUNCTION("""COMPUTED_VALUE"""),0)</f>
        <v>0</v>
      </c>
      <c r="H4318" s="7">
        <f ca="1">IFERROR(__xludf.DUMMYFUNCTION("""COMPUTED_VALUE"""),430131.845424)</f>
        <v>430131.845424</v>
      </c>
    </row>
    <row r="4319" spans="1:8" ht="13" x14ac:dyDescent="0.15">
      <c r="A4319" s="5" t="str">
        <f ca="1">IFERROR(__xludf.DUMMYFUNCTION("""COMPUTED_VALUE"""),"76975")</f>
        <v>76975</v>
      </c>
      <c r="B4319" s="51">
        <f ca="1">IFERROR(__xludf.DUMMYFUNCTION("""COMPUTED_VALUE"""),44634)</f>
        <v>44634</v>
      </c>
      <c r="C4319" s="22">
        <f ca="1">IFERROR(__xludf.DUMMYFUNCTION("""COMPUTED_VALUE"""),131487.17922)</f>
        <v>131487.17921999999</v>
      </c>
      <c r="D4319" s="22">
        <f ca="1">IFERROR(__xludf.DUMMYFUNCTION("""COMPUTED_VALUE"""),279870.5594)</f>
        <v>279870.55940000003</v>
      </c>
      <c r="E4319" s="22">
        <f ca="1">IFERROR(__xludf.DUMMYFUNCTION("""COMPUTED_VALUE"""),411357.73862)</f>
        <v>411357.73862000002</v>
      </c>
      <c r="F4319" s="22">
        <f ca="1">IFERROR(__xludf.DUMMYFUNCTION("""COMPUTED_VALUE"""),131487.17922)</f>
        <v>131487.17921999999</v>
      </c>
      <c r="G4319" s="22">
        <f ca="1">IFERROR(__xludf.DUMMYFUNCTION("""COMPUTED_VALUE"""),0)</f>
        <v>0</v>
      </c>
      <c r="H4319" s="7">
        <f ca="1">IFERROR(__xludf.DUMMYFUNCTION("""COMPUTED_VALUE"""),397993.73862)</f>
        <v>397993.73862000002</v>
      </c>
    </row>
    <row r="4320" spans="1:8" ht="13" x14ac:dyDescent="0.15">
      <c r="A4320" s="5" t="str">
        <f ca="1">IFERROR(__xludf.DUMMYFUNCTION("""COMPUTED_VALUE"""),"76975")</f>
        <v>76975</v>
      </c>
      <c r="B4320" s="51">
        <f ca="1">IFERROR(__xludf.DUMMYFUNCTION("""COMPUTED_VALUE"""),44635)</f>
        <v>44635</v>
      </c>
      <c r="C4320" s="22">
        <f ca="1">IFERROR(__xludf.DUMMYFUNCTION("""COMPUTED_VALUE"""),131487.17922)</f>
        <v>131487.17921999999</v>
      </c>
      <c r="D4320" s="22">
        <f ca="1">IFERROR(__xludf.DUMMYFUNCTION("""COMPUTED_VALUE"""),269777.97932)</f>
        <v>269777.97931999998</v>
      </c>
      <c r="E4320" s="22">
        <f ca="1">IFERROR(__xludf.DUMMYFUNCTION("""COMPUTED_VALUE"""),401265.15854)</f>
        <v>401265.15853999997</v>
      </c>
      <c r="F4320" s="22">
        <f ca="1">IFERROR(__xludf.DUMMYFUNCTION("""COMPUTED_VALUE"""),131487.17922)</f>
        <v>131487.17921999999</v>
      </c>
      <c r="G4320" s="22">
        <f ca="1">IFERROR(__xludf.DUMMYFUNCTION("""COMPUTED_VALUE"""),0)</f>
        <v>0</v>
      </c>
      <c r="H4320" s="7">
        <f ca="1">IFERROR(__xludf.DUMMYFUNCTION("""COMPUTED_VALUE"""),379113.15854)</f>
        <v>379113.15853999997</v>
      </c>
    </row>
    <row r="4321" spans="1:8" ht="13" x14ac:dyDescent="0.15">
      <c r="A4321" s="5" t="str">
        <f ca="1">IFERROR(__xludf.DUMMYFUNCTION("""COMPUTED_VALUE"""),"76975")</f>
        <v>76975</v>
      </c>
      <c r="B4321" s="51">
        <f ca="1">IFERROR(__xludf.DUMMYFUNCTION("""COMPUTED_VALUE"""),44636)</f>
        <v>44636</v>
      </c>
      <c r="C4321" s="22">
        <f ca="1">IFERROR(__xludf.DUMMYFUNCTION("""COMPUTED_VALUE"""),131487.17922)</f>
        <v>131487.17921999999</v>
      </c>
      <c r="D4321" s="22">
        <f ca="1">IFERROR(__xludf.DUMMYFUNCTION("""COMPUTED_VALUE"""),318678.90128)</f>
        <v>318678.90127999999</v>
      </c>
      <c r="E4321" s="22">
        <f ca="1">IFERROR(__xludf.DUMMYFUNCTION("""COMPUTED_VALUE"""),450166.0805)</f>
        <v>450166.08049999998</v>
      </c>
      <c r="F4321" s="22">
        <f ca="1">IFERROR(__xludf.DUMMYFUNCTION("""COMPUTED_VALUE"""),131487.17922)</f>
        <v>131487.17921999999</v>
      </c>
      <c r="G4321" s="22">
        <f ca="1">IFERROR(__xludf.DUMMYFUNCTION("""COMPUTED_VALUE"""),0)</f>
        <v>0</v>
      </c>
      <c r="H4321" s="7">
        <f ca="1">IFERROR(__xludf.DUMMYFUNCTION("""COMPUTED_VALUE"""),445954.0805)</f>
        <v>445954.08049999998</v>
      </c>
    </row>
    <row r="4322" spans="1:8" ht="13" x14ac:dyDescent="0.15">
      <c r="A4322" s="5" t="str">
        <f ca="1">IFERROR(__xludf.DUMMYFUNCTION("""COMPUTED_VALUE"""),"76975")</f>
        <v>76975</v>
      </c>
      <c r="B4322" s="51">
        <f ca="1">IFERROR(__xludf.DUMMYFUNCTION("""COMPUTED_VALUE"""),44637)</f>
        <v>44637</v>
      </c>
      <c r="C4322" s="22">
        <f ca="1">IFERROR(__xludf.DUMMYFUNCTION("""COMPUTED_VALUE"""),131487.17922)</f>
        <v>131487.17921999999</v>
      </c>
      <c r="D4322" s="22">
        <f ca="1">IFERROR(__xludf.DUMMYFUNCTION("""COMPUTED_VALUE"""),328877.82596)</f>
        <v>328877.82595999999</v>
      </c>
      <c r="E4322" s="22">
        <f ca="1">IFERROR(__xludf.DUMMYFUNCTION("""COMPUTED_VALUE"""),460365.00518)</f>
        <v>460365.00517999998</v>
      </c>
      <c r="F4322" s="22">
        <f ca="1">IFERROR(__xludf.DUMMYFUNCTION("""COMPUTED_VALUE"""),131487.17922)</f>
        <v>131487.17921999999</v>
      </c>
      <c r="G4322" s="22">
        <f ca="1">IFERROR(__xludf.DUMMYFUNCTION("""COMPUTED_VALUE"""),0)</f>
        <v>0</v>
      </c>
      <c r="H4322" s="7">
        <f ca="1">IFERROR(__xludf.DUMMYFUNCTION("""COMPUTED_VALUE"""),462133.00518)</f>
        <v>462133.00517999998</v>
      </c>
    </row>
    <row r="4323" spans="1:8" ht="13" x14ac:dyDescent="0.15">
      <c r="A4323" s="5" t="str">
        <f ca="1">IFERROR(__xludf.DUMMYFUNCTION("""COMPUTED_VALUE"""),"76975")</f>
        <v>76975</v>
      </c>
      <c r="B4323" s="51">
        <f ca="1">IFERROR(__xludf.DUMMYFUNCTION("""COMPUTED_VALUE"""),44638)</f>
        <v>44638</v>
      </c>
      <c r="C4323" s="22">
        <f ca="1">IFERROR(__xludf.DUMMYFUNCTION("""COMPUTED_VALUE"""),131487.17922)</f>
        <v>131487.17921999999</v>
      </c>
      <c r="D4323" s="22">
        <f ca="1">IFERROR(__xludf.DUMMYFUNCTION("""COMPUTED_VALUE"""),327909.67922)</f>
        <v>327909.67921999999</v>
      </c>
      <c r="E4323" s="22">
        <f ca="1">IFERROR(__xludf.DUMMYFUNCTION("""COMPUTED_VALUE"""),459396.85844)</f>
        <v>459396.85843999998</v>
      </c>
      <c r="F4323" s="22">
        <f ca="1">IFERROR(__xludf.DUMMYFUNCTION("""COMPUTED_VALUE"""),131487.17922)</f>
        <v>131487.17921999999</v>
      </c>
      <c r="G4323" s="22">
        <f ca="1">IFERROR(__xludf.DUMMYFUNCTION("""COMPUTED_VALUE"""),0)</f>
        <v>0</v>
      </c>
      <c r="H4323" s="7">
        <f ca="1">IFERROR(__xludf.DUMMYFUNCTION("""COMPUTED_VALUE"""),458824.85844)</f>
        <v>458824.85843999998</v>
      </c>
    </row>
    <row r="4324" spans="1:8" ht="13" x14ac:dyDescent="0.15">
      <c r="A4324" s="5" t="str">
        <f ca="1">IFERROR(__xludf.DUMMYFUNCTION("""COMPUTED_VALUE"""),"76975")</f>
        <v>76975</v>
      </c>
      <c r="B4324" s="51">
        <f ca="1">IFERROR(__xludf.DUMMYFUNCTION("""COMPUTED_VALUE"""),44639)</f>
        <v>44639</v>
      </c>
      <c r="C4324" s="22">
        <f ca="1">IFERROR(__xludf.DUMMYFUNCTION("""COMPUTED_VALUE"""),131487.17922)</f>
        <v>131487.17921999999</v>
      </c>
      <c r="D4324" s="22">
        <f ca="1">IFERROR(__xludf.DUMMYFUNCTION("""COMPUTED_VALUE"""),327909.67922)</f>
        <v>327909.67921999999</v>
      </c>
      <c r="E4324" s="22">
        <f ca="1">IFERROR(__xludf.DUMMYFUNCTION("""COMPUTED_VALUE"""),459396.85844)</f>
        <v>459396.85843999998</v>
      </c>
      <c r="F4324" s="22">
        <f ca="1">IFERROR(__xludf.DUMMYFUNCTION("""COMPUTED_VALUE"""),131487.17922)</f>
        <v>131487.17921999999</v>
      </c>
      <c r="G4324" s="22">
        <f ca="1">IFERROR(__xludf.DUMMYFUNCTION("""COMPUTED_VALUE"""),0)</f>
        <v>0</v>
      </c>
      <c r="H4324" s="7">
        <f ca="1">IFERROR(__xludf.DUMMYFUNCTION("""COMPUTED_VALUE"""),458824.85844)</f>
        <v>458824.85843999998</v>
      </c>
    </row>
    <row r="4325" spans="1:8" ht="13" x14ac:dyDescent="0.15">
      <c r="A4325" s="5" t="str">
        <f ca="1">IFERROR(__xludf.DUMMYFUNCTION("""COMPUTED_VALUE"""),"76975")</f>
        <v>76975</v>
      </c>
      <c r="B4325" s="51">
        <f ca="1">IFERROR(__xludf.DUMMYFUNCTION("""COMPUTED_VALUE"""),44640)</f>
        <v>44640</v>
      </c>
      <c r="C4325" s="22">
        <f ca="1">IFERROR(__xludf.DUMMYFUNCTION("""COMPUTED_VALUE"""),131487.17922)</f>
        <v>131487.17921999999</v>
      </c>
      <c r="D4325" s="22">
        <f ca="1">IFERROR(__xludf.DUMMYFUNCTION("""COMPUTED_VALUE"""),327896.353621999)</f>
        <v>327896.35362199898</v>
      </c>
      <c r="E4325" s="22">
        <f ca="1">IFERROR(__xludf.DUMMYFUNCTION("""COMPUTED_VALUE"""),459383.532841999)</f>
        <v>459383.53284199903</v>
      </c>
      <c r="F4325" s="22">
        <f ca="1">IFERROR(__xludf.DUMMYFUNCTION("""COMPUTED_VALUE"""),131487.17922)</f>
        <v>131487.17921999999</v>
      </c>
      <c r="G4325" s="22">
        <f ca="1">IFERROR(__xludf.DUMMYFUNCTION("""COMPUTED_VALUE"""),0)</f>
        <v>0</v>
      </c>
      <c r="H4325" s="7">
        <f ca="1">IFERROR(__xludf.DUMMYFUNCTION("""COMPUTED_VALUE"""),458811.532841999)</f>
        <v>458811.53284199903</v>
      </c>
    </row>
    <row r="4326" spans="1:8" ht="13" x14ac:dyDescent="0.15">
      <c r="A4326" s="5" t="str">
        <f ca="1">IFERROR(__xludf.DUMMYFUNCTION("""COMPUTED_VALUE"""),"76975")</f>
        <v>76975</v>
      </c>
      <c r="B4326" s="51">
        <f ca="1">IFERROR(__xludf.DUMMYFUNCTION("""COMPUTED_VALUE"""),44641)</f>
        <v>44641</v>
      </c>
      <c r="C4326" s="22">
        <f ca="1">IFERROR(__xludf.DUMMYFUNCTION("""COMPUTED_VALUE"""),131487.17922)</f>
        <v>131487.17921999999</v>
      </c>
      <c r="D4326" s="22">
        <f ca="1">IFERROR(__xludf.DUMMYFUNCTION("""COMPUTED_VALUE"""),319072.47776)</f>
        <v>319072.47775999998</v>
      </c>
      <c r="E4326" s="22">
        <f ca="1">IFERROR(__xludf.DUMMYFUNCTION("""COMPUTED_VALUE"""),450559.656979999)</f>
        <v>450559.65697999898</v>
      </c>
      <c r="F4326" s="22">
        <f ca="1">IFERROR(__xludf.DUMMYFUNCTION("""COMPUTED_VALUE"""),131487.17922)</f>
        <v>131487.17921999999</v>
      </c>
      <c r="G4326" s="22">
        <f ca="1">IFERROR(__xludf.DUMMYFUNCTION("""COMPUTED_VALUE"""),0)</f>
        <v>0</v>
      </c>
      <c r="H4326" s="7">
        <f ca="1">IFERROR(__xludf.DUMMYFUNCTION("""COMPUTED_VALUE"""),447751.656979999)</f>
        <v>447751.65697999898</v>
      </c>
    </row>
    <row r="4327" spans="1:8" ht="13" x14ac:dyDescent="0.15">
      <c r="A4327" s="5" t="str">
        <f ca="1">IFERROR(__xludf.DUMMYFUNCTION("""COMPUTED_VALUE"""),"76975")</f>
        <v>76975</v>
      </c>
      <c r="B4327" s="51">
        <f ca="1">IFERROR(__xludf.DUMMYFUNCTION("""COMPUTED_VALUE"""),44642)</f>
        <v>44642</v>
      </c>
      <c r="C4327" s="22">
        <f ca="1">IFERROR(__xludf.DUMMYFUNCTION("""COMPUTED_VALUE"""),131487.17922)</f>
        <v>131487.17921999999</v>
      </c>
      <c r="D4327" s="22">
        <f ca="1">IFERROR(__xludf.DUMMYFUNCTION("""COMPUTED_VALUE"""),329778.61682)</f>
        <v>329778.61682</v>
      </c>
      <c r="E4327" s="22">
        <f ca="1">IFERROR(__xludf.DUMMYFUNCTION("""COMPUTED_VALUE"""),461265.79604)</f>
        <v>461265.79603999999</v>
      </c>
      <c r="F4327" s="22">
        <f ca="1">IFERROR(__xludf.DUMMYFUNCTION("""COMPUTED_VALUE"""),131487.17922)</f>
        <v>131487.17921999999</v>
      </c>
      <c r="G4327" s="22">
        <f ca="1">IFERROR(__xludf.DUMMYFUNCTION("""COMPUTED_VALUE"""),0)</f>
        <v>0</v>
      </c>
      <c r="H4327" s="7">
        <f ca="1">IFERROR(__xludf.DUMMYFUNCTION("""COMPUTED_VALUE"""),462513.79604)</f>
        <v>462513.79603999999</v>
      </c>
    </row>
    <row r="4328" spans="1:8" ht="13" x14ac:dyDescent="0.15">
      <c r="A4328" s="5" t="str">
        <f ca="1">IFERROR(__xludf.DUMMYFUNCTION("""COMPUTED_VALUE"""),"77134")</f>
        <v>77134</v>
      </c>
      <c r="B4328" s="51">
        <f ca="1">IFERROR(__xludf.DUMMYFUNCTION("""COMPUTED_VALUE"""),44597)</f>
        <v>44597</v>
      </c>
      <c r="C4328" s="22">
        <f ca="1">IFERROR(__xludf.DUMMYFUNCTION("""COMPUTED_VALUE"""),500000)</f>
        <v>500000</v>
      </c>
      <c r="D4328" s="22">
        <f ca="1">IFERROR(__xludf.DUMMYFUNCTION("""COMPUTED_VALUE"""),0)</f>
        <v>0</v>
      </c>
      <c r="E4328" s="22">
        <f ca="1">IFERROR(__xludf.DUMMYFUNCTION("""COMPUTED_VALUE"""),500000)</f>
        <v>500000</v>
      </c>
      <c r="F4328" s="22">
        <f ca="1">IFERROR(__xludf.DUMMYFUNCTION("""COMPUTED_VALUE"""),500000)</f>
        <v>500000</v>
      </c>
      <c r="G4328" s="22">
        <f ca="1">IFERROR(__xludf.DUMMYFUNCTION("""COMPUTED_VALUE"""),0)</f>
        <v>0</v>
      </c>
      <c r="H4328" s="7">
        <f ca="1">IFERROR(__xludf.DUMMYFUNCTION("""COMPUTED_VALUE"""),500000)</f>
        <v>500000</v>
      </c>
    </row>
    <row r="4329" spans="1:8" ht="13" x14ac:dyDescent="0.15">
      <c r="A4329" s="5" t="str">
        <f ca="1">IFERROR(__xludf.DUMMYFUNCTION("""COMPUTED_VALUE"""),"77134")</f>
        <v>77134</v>
      </c>
      <c r="B4329" s="51">
        <f ca="1">IFERROR(__xludf.DUMMYFUNCTION("""COMPUTED_VALUE"""),44598)</f>
        <v>44598</v>
      </c>
      <c r="C4329" s="22">
        <f ca="1">IFERROR(__xludf.DUMMYFUNCTION("""COMPUTED_VALUE"""),500000)</f>
        <v>500000</v>
      </c>
      <c r="D4329" s="22">
        <f ca="1">IFERROR(__xludf.DUMMYFUNCTION("""COMPUTED_VALUE"""),0)</f>
        <v>0</v>
      </c>
      <c r="E4329" s="22">
        <f ca="1">IFERROR(__xludf.DUMMYFUNCTION("""COMPUTED_VALUE"""),500000)</f>
        <v>500000</v>
      </c>
      <c r="F4329" s="22">
        <f ca="1">IFERROR(__xludf.DUMMYFUNCTION("""COMPUTED_VALUE"""),500000)</f>
        <v>500000</v>
      </c>
      <c r="G4329" s="22">
        <f ca="1">IFERROR(__xludf.DUMMYFUNCTION("""COMPUTED_VALUE"""),0)</f>
        <v>0</v>
      </c>
      <c r="H4329" s="7">
        <f ca="1">IFERROR(__xludf.DUMMYFUNCTION("""COMPUTED_VALUE"""),500000)</f>
        <v>500000</v>
      </c>
    </row>
    <row r="4330" spans="1:8" ht="13" x14ac:dyDescent="0.15">
      <c r="A4330" s="5" t="str">
        <f ca="1">IFERROR(__xludf.DUMMYFUNCTION("""COMPUTED_VALUE"""),"77134")</f>
        <v>77134</v>
      </c>
      <c r="B4330" s="51">
        <f ca="1">IFERROR(__xludf.DUMMYFUNCTION("""COMPUTED_VALUE"""),44599)</f>
        <v>44599</v>
      </c>
      <c r="C4330" s="22">
        <f ca="1">IFERROR(__xludf.DUMMYFUNCTION("""COMPUTED_VALUE"""),500000)</f>
        <v>500000</v>
      </c>
      <c r="D4330" s="22">
        <f ca="1">IFERROR(__xludf.DUMMYFUNCTION("""COMPUTED_VALUE"""),0)</f>
        <v>0</v>
      </c>
      <c r="E4330" s="22">
        <f ca="1">IFERROR(__xludf.DUMMYFUNCTION("""COMPUTED_VALUE"""),500000)</f>
        <v>500000</v>
      </c>
      <c r="F4330" s="22">
        <f ca="1">IFERROR(__xludf.DUMMYFUNCTION("""COMPUTED_VALUE"""),500000)</f>
        <v>500000</v>
      </c>
      <c r="G4330" s="22">
        <f ca="1">IFERROR(__xludf.DUMMYFUNCTION("""COMPUTED_VALUE"""),0)</f>
        <v>0</v>
      </c>
      <c r="H4330" s="7">
        <f ca="1">IFERROR(__xludf.DUMMYFUNCTION("""COMPUTED_VALUE"""),500000)</f>
        <v>500000</v>
      </c>
    </row>
    <row r="4331" spans="1:8" ht="13" x14ac:dyDescent="0.15">
      <c r="A4331" s="5" t="str">
        <f ca="1">IFERROR(__xludf.DUMMYFUNCTION("""COMPUTED_VALUE"""),"77134")</f>
        <v>77134</v>
      </c>
      <c r="B4331" s="51">
        <f ca="1">IFERROR(__xludf.DUMMYFUNCTION("""COMPUTED_VALUE"""),44600)</f>
        <v>44600</v>
      </c>
      <c r="C4331" s="22">
        <f ca="1">IFERROR(__xludf.DUMMYFUNCTION("""COMPUTED_VALUE"""),500000)</f>
        <v>500000</v>
      </c>
      <c r="D4331" s="22">
        <f ca="1">IFERROR(__xludf.DUMMYFUNCTION("""COMPUTED_VALUE"""),0)</f>
        <v>0</v>
      </c>
      <c r="E4331" s="22">
        <f ca="1">IFERROR(__xludf.DUMMYFUNCTION("""COMPUTED_VALUE"""),500000)</f>
        <v>500000</v>
      </c>
      <c r="F4331" s="22">
        <f ca="1">IFERROR(__xludf.DUMMYFUNCTION("""COMPUTED_VALUE"""),500000)</f>
        <v>500000</v>
      </c>
      <c r="G4331" s="22">
        <f ca="1">IFERROR(__xludf.DUMMYFUNCTION("""COMPUTED_VALUE"""),0)</f>
        <v>0</v>
      </c>
      <c r="H4331" s="7">
        <f ca="1">IFERROR(__xludf.DUMMYFUNCTION("""COMPUTED_VALUE"""),500000)</f>
        <v>500000</v>
      </c>
    </row>
    <row r="4332" spans="1:8" ht="13" x14ac:dyDescent="0.15">
      <c r="A4332" s="5" t="str">
        <f ca="1">IFERROR(__xludf.DUMMYFUNCTION("""COMPUTED_VALUE"""),"77134")</f>
        <v>77134</v>
      </c>
      <c r="B4332" s="51">
        <f ca="1">IFERROR(__xludf.DUMMYFUNCTION("""COMPUTED_VALUE"""),44601)</f>
        <v>44601</v>
      </c>
      <c r="C4332" s="22">
        <f ca="1">IFERROR(__xludf.DUMMYFUNCTION("""COMPUTED_VALUE"""),500000)</f>
        <v>500000</v>
      </c>
      <c r="D4332" s="22">
        <f ca="1">IFERROR(__xludf.DUMMYFUNCTION("""COMPUTED_VALUE"""),0)</f>
        <v>0</v>
      </c>
      <c r="E4332" s="22">
        <f ca="1">IFERROR(__xludf.DUMMYFUNCTION("""COMPUTED_VALUE"""),500000)</f>
        <v>500000</v>
      </c>
      <c r="F4332" s="22">
        <f ca="1">IFERROR(__xludf.DUMMYFUNCTION("""COMPUTED_VALUE"""),500000)</f>
        <v>500000</v>
      </c>
      <c r="G4332" s="22">
        <f ca="1">IFERROR(__xludf.DUMMYFUNCTION("""COMPUTED_VALUE"""),0)</f>
        <v>0</v>
      </c>
      <c r="H4332" s="7">
        <f ca="1">IFERROR(__xludf.DUMMYFUNCTION("""COMPUTED_VALUE"""),500000)</f>
        <v>500000</v>
      </c>
    </row>
    <row r="4333" spans="1:8" ht="13" x14ac:dyDescent="0.15">
      <c r="A4333" s="5" t="str">
        <f ca="1">IFERROR(__xludf.DUMMYFUNCTION("""COMPUTED_VALUE"""),"77134")</f>
        <v>77134</v>
      </c>
      <c r="B4333" s="51">
        <f ca="1">IFERROR(__xludf.DUMMYFUNCTION("""COMPUTED_VALUE"""),44602)</f>
        <v>44602</v>
      </c>
      <c r="C4333" s="22">
        <f ca="1">IFERROR(__xludf.DUMMYFUNCTION("""COMPUTED_VALUE"""),500000)</f>
        <v>500000</v>
      </c>
      <c r="D4333" s="22">
        <f ca="1">IFERROR(__xludf.DUMMYFUNCTION("""COMPUTED_VALUE"""),0)</f>
        <v>0</v>
      </c>
      <c r="E4333" s="22">
        <f ca="1">IFERROR(__xludf.DUMMYFUNCTION("""COMPUTED_VALUE"""),500000)</f>
        <v>500000</v>
      </c>
      <c r="F4333" s="22">
        <f ca="1">IFERROR(__xludf.DUMMYFUNCTION("""COMPUTED_VALUE"""),500000)</f>
        <v>500000</v>
      </c>
      <c r="G4333" s="22">
        <f ca="1">IFERROR(__xludf.DUMMYFUNCTION("""COMPUTED_VALUE"""),0)</f>
        <v>0</v>
      </c>
      <c r="H4333" s="7">
        <f ca="1">IFERROR(__xludf.DUMMYFUNCTION("""COMPUTED_VALUE"""),500000)</f>
        <v>500000</v>
      </c>
    </row>
    <row r="4334" spans="1:8" ht="13" x14ac:dyDescent="0.15">
      <c r="A4334" s="5" t="str">
        <f ca="1">IFERROR(__xludf.DUMMYFUNCTION("""COMPUTED_VALUE"""),"77134")</f>
        <v>77134</v>
      </c>
      <c r="B4334" s="51">
        <f ca="1">IFERROR(__xludf.DUMMYFUNCTION("""COMPUTED_VALUE"""),44603)</f>
        <v>44603</v>
      </c>
      <c r="C4334" s="22">
        <f ca="1">IFERROR(__xludf.DUMMYFUNCTION("""COMPUTED_VALUE"""),500000)</f>
        <v>500000</v>
      </c>
      <c r="D4334" s="22">
        <f ca="1">IFERROR(__xludf.DUMMYFUNCTION("""COMPUTED_VALUE"""),0)</f>
        <v>0</v>
      </c>
      <c r="E4334" s="22">
        <f ca="1">IFERROR(__xludf.DUMMYFUNCTION("""COMPUTED_VALUE"""),500000)</f>
        <v>500000</v>
      </c>
      <c r="F4334" s="22">
        <f ca="1">IFERROR(__xludf.DUMMYFUNCTION("""COMPUTED_VALUE"""),500000)</f>
        <v>500000</v>
      </c>
      <c r="G4334" s="22">
        <f ca="1">IFERROR(__xludf.DUMMYFUNCTION("""COMPUTED_VALUE"""),0)</f>
        <v>0</v>
      </c>
      <c r="H4334" s="7">
        <f ca="1">IFERROR(__xludf.DUMMYFUNCTION("""COMPUTED_VALUE"""),500000)</f>
        <v>500000</v>
      </c>
    </row>
    <row r="4335" spans="1:8" ht="13" x14ac:dyDescent="0.15">
      <c r="A4335" s="5" t="str">
        <f ca="1">IFERROR(__xludf.DUMMYFUNCTION("""COMPUTED_VALUE"""),"77134")</f>
        <v>77134</v>
      </c>
      <c r="B4335" s="51">
        <f ca="1">IFERROR(__xludf.DUMMYFUNCTION("""COMPUTED_VALUE"""),44604)</f>
        <v>44604</v>
      </c>
      <c r="C4335" s="22">
        <f ca="1">IFERROR(__xludf.DUMMYFUNCTION("""COMPUTED_VALUE"""),500000)</f>
        <v>500000</v>
      </c>
      <c r="D4335" s="22">
        <f ca="1">IFERROR(__xludf.DUMMYFUNCTION("""COMPUTED_VALUE"""),0)</f>
        <v>0</v>
      </c>
      <c r="E4335" s="22">
        <f ca="1">IFERROR(__xludf.DUMMYFUNCTION("""COMPUTED_VALUE"""),500000)</f>
        <v>500000</v>
      </c>
      <c r="F4335" s="22">
        <f ca="1">IFERROR(__xludf.DUMMYFUNCTION("""COMPUTED_VALUE"""),500000)</f>
        <v>500000</v>
      </c>
      <c r="G4335" s="22">
        <f ca="1">IFERROR(__xludf.DUMMYFUNCTION("""COMPUTED_VALUE"""),0)</f>
        <v>0</v>
      </c>
      <c r="H4335" s="7">
        <f ca="1">IFERROR(__xludf.DUMMYFUNCTION("""COMPUTED_VALUE"""),500000)</f>
        <v>500000</v>
      </c>
    </row>
    <row r="4336" spans="1:8" ht="13" x14ac:dyDescent="0.15">
      <c r="A4336" s="5" t="str">
        <f ca="1">IFERROR(__xludf.DUMMYFUNCTION("""COMPUTED_VALUE"""),"77134")</f>
        <v>77134</v>
      </c>
      <c r="B4336" s="51">
        <f ca="1">IFERROR(__xludf.DUMMYFUNCTION("""COMPUTED_VALUE"""),44605)</f>
        <v>44605</v>
      </c>
      <c r="C4336" s="22">
        <f ca="1">IFERROR(__xludf.DUMMYFUNCTION("""COMPUTED_VALUE"""),500000)</f>
        <v>500000</v>
      </c>
      <c r="D4336" s="22">
        <f ca="1">IFERROR(__xludf.DUMMYFUNCTION("""COMPUTED_VALUE"""),0)</f>
        <v>0</v>
      </c>
      <c r="E4336" s="22">
        <f ca="1">IFERROR(__xludf.DUMMYFUNCTION("""COMPUTED_VALUE"""),500000)</f>
        <v>500000</v>
      </c>
      <c r="F4336" s="22">
        <f ca="1">IFERROR(__xludf.DUMMYFUNCTION("""COMPUTED_VALUE"""),500000)</f>
        <v>500000</v>
      </c>
      <c r="G4336" s="22">
        <f ca="1">IFERROR(__xludf.DUMMYFUNCTION("""COMPUTED_VALUE"""),0)</f>
        <v>0</v>
      </c>
      <c r="H4336" s="7">
        <f ca="1">IFERROR(__xludf.DUMMYFUNCTION("""COMPUTED_VALUE"""),500000)</f>
        <v>500000</v>
      </c>
    </row>
    <row r="4337" spans="1:8" ht="13" x14ac:dyDescent="0.15">
      <c r="A4337" s="5" t="str">
        <f ca="1">IFERROR(__xludf.DUMMYFUNCTION("""COMPUTED_VALUE"""),"77134")</f>
        <v>77134</v>
      </c>
      <c r="B4337" s="51">
        <f ca="1">IFERROR(__xludf.DUMMYFUNCTION("""COMPUTED_VALUE"""),44606)</f>
        <v>44606</v>
      </c>
      <c r="C4337" s="22">
        <f ca="1">IFERROR(__xludf.DUMMYFUNCTION("""COMPUTED_VALUE"""),500000)</f>
        <v>500000</v>
      </c>
      <c r="D4337" s="22">
        <f ca="1">IFERROR(__xludf.DUMMYFUNCTION("""COMPUTED_VALUE"""),0)</f>
        <v>0</v>
      </c>
      <c r="E4337" s="22">
        <f ca="1">IFERROR(__xludf.DUMMYFUNCTION("""COMPUTED_VALUE"""),500000)</f>
        <v>500000</v>
      </c>
      <c r="F4337" s="22">
        <f ca="1">IFERROR(__xludf.DUMMYFUNCTION("""COMPUTED_VALUE"""),500000)</f>
        <v>500000</v>
      </c>
      <c r="G4337" s="22">
        <f ca="1">IFERROR(__xludf.DUMMYFUNCTION("""COMPUTED_VALUE"""),0)</f>
        <v>0</v>
      </c>
      <c r="H4337" s="7">
        <f ca="1">IFERROR(__xludf.DUMMYFUNCTION("""COMPUTED_VALUE"""),500000)</f>
        <v>500000</v>
      </c>
    </row>
    <row r="4338" spans="1:8" ht="13" x14ac:dyDescent="0.15">
      <c r="A4338" s="5" t="str">
        <f ca="1">IFERROR(__xludf.DUMMYFUNCTION("""COMPUTED_VALUE"""),"77134")</f>
        <v>77134</v>
      </c>
      <c r="B4338" s="51">
        <f ca="1">IFERROR(__xludf.DUMMYFUNCTION("""COMPUTED_VALUE"""),44607)</f>
        <v>44607</v>
      </c>
      <c r="C4338" s="22">
        <f ca="1">IFERROR(__xludf.DUMMYFUNCTION("""COMPUTED_VALUE"""),500000)</f>
        <v>500000</v>
      </c>
      <c r="D4338" s="22">
        <f ca="1">IFERROR(__xludf.DUMMYFUNCTION("""COMPUTED_VALUE"""),0)</f>
        <v>0</v>
      </c>
      <c r="E4338" s="22">
        <f ca="1">IFERROR(__xludf.DUMMYFUNCTION("""COMPUTED_VALUE"""),500000)</f>
        <v>500000</v>
      </c>
      <c r="F4338" s="22">
        <f ca="1">IFERROR(__xludf.DUMMYFUNCTION("""COMPUTED_VALUE"""),500000)</f>
        <v>500000</v>
      </c>
      <c r="G4338" s="22">
        <f ca="1">IFERROR(__xludf.DUMMYFUNCTION("""COMPUTED_VALUE"""),0)</f>
        <v>0</v>
      </c>
      <c r="H4338" s="7">
        <f ca="1">IFERROR(__xludf.DUMMYFUNCTION("""COMPUTED_VALUE"""),500000)</f>
        <v>500000</v>
      </c>
    </row>
    <row r="4339" spans="1:8" ht="13" x14ac:dyDescent="0.15">
      <c r="A4339" s="5" t="str">
        <f ca="1">IFERROR(__xludf.DUMMYFUNCTION("""COMPUTED_VALUE"""),"77134")</f>
        <v>77134</v>
      </c>
      <c r="B4339" s="51">
        <f ca="1">IFERROR(__xludf.DUMMYFUNCTION("""COMPUTED_VALUE"""),44608)</f>
        <v>44608</v>
      </c>
      <c r="C4339" s="22">
        <f ca="1">IFERROR(__xludf.DUMMYFUNCTION("""COMPUTED_VALUE"""),500000)</f>
        <v>500000</v>
      </c>
      <c r="D4339" s="22">
        <f ca="1">IFERROR(__xludf.DUMMYFUNCTION("""COMPUTED_VALUE"""),0)</f>
        <v>0</v>
      </c>
      <c r="E4339" s="22">
        <f ca="1">IFERROR(__xludf.DUMMYFUNCTION("""COMPUTED_VALUE"""),500000)</f>
        <v>500000</v>
      </c>
      <c r="F4339" s="22">
        <f ca="1">IFERROR(__xludf.DUMMYFUNCTION("""COMPUTED_VALUE"""),500000)</f>
        <v>500000</v>
      </c>
      <c r="G4339" s="22">
        <f ca="1">IFERROR(__xludf.DUMMYFUNCTION("""COMPUTED_VALUE"""),0)</f>
        <v>0</v>
      </c>
      <c r="H4339" s="7">
        <f ca="1">IFERROR(__xludf.DUMMYFUNCTION("""COMPUTED_VALUE"""),500000)</f>
        <v>500000</v>
      </c>
    </row>
    <row r="4340" spans="1:8" ht="13" x14ac:dyDescent="0.15">
      <c r="A4340" s="5" t="str">
        <f ca="1">IFERROR(__xludf.DUMMYFUNCTION("""COMPUTED_VALUE"""),"77134")</f>
        <v>77134</v>
      </c>
      <c r="B4340" s="51">
        <f ca="1">IFERROR(__xludf.DUMMYFUNCTION("""COMPUTED_VALUE"""),44609)</f>
        <v>44609</v>
      </c>
      <c r="C4340" s="22">
        <f ca="1">IFERROR(__xludf.DUMMYFUNCTION("""COMPUTED_VALUE"""),500000)</f>
        <v>500000</v>
      </c>
      <c r="D4340" s="22">
        <f ca="1">IFERROR(__xludf.DUMMYFUNCTION("""COMPUTED_VALUE"""),0)</f>
        <v>0</v>
      </c>
      <c r="E4340" s="22">
        <f ca="1">IFERROR(__xludf.DUMMYFUNCTION("""COMPUTED_VALUE"""),500000)</f>
        <v>500000</v>
      </c>
      <c r="F4340" s="22">
        <f ca="1">IFERROR(__xludf.DUMMYFUNCTION("""COMPUTED_VALUE"""),500000)</f>
        <v>500000</v>
      </c>
      <c r="G4340" s="22">
        <f ca="1">IFERROR(__xludf.DUMMYFUNCTION("""COMPUTED_VALUE"""),0)</f>
        <v>0</v>
      </c>
      <c r="H4340" s="7">
        <f ca="1">IFERROR(__xludf.DUMMYFUNCTION("""COMPUTED_VALUE"""),500000)</f>
        <v>500000</v>
      </c>
    </row>
    <row r="4341" spans="1:8" ht="13" x14ac:dyDescent="0.15">
      <c r="A4341" s="5" t="str">
        <f ca="1">IFERROR(__xludf.DUMMYFUNCTION("""COMPUTED_VALUE"""),"77134")</f>
        <v>77134</v>
      </c>
      <c r="B4341" s="51">
        <f ca="1">IFERROR(__xludf.DUMMYFUNCTION("""COMPUTED_VALUE"""),44610)</f>
        <v>44610</v>
      </c>
      <c r="C4341" s="22">
        <f ca="1">IFERROR(__xludf.DUMMYFUNCTION("""COMPUTED_VALUE"""),500000)</f>
        <v>500000</v>
      </c>
      <c r="D4341" s="22">
        <f ca="1">IFERROR(__xludf.DUMMYFUNCTION("""COMPUTED_VALUE"""),0)</f>
        <v>0</v>
      </c>
      <c r="E4341" s="22">
        <f ca="1">IFERROR(__xludf.DUMMYFUNCTION("""COMPUTED_VALUE"""),500000)</f>
        <v>500000</v>
      </c>
      <c r="F4341" s="22">
        <f ca="1">IFERROR(__xludf.DUMMYFUNCTION("""COMPUTED_VALUE"""),500000)</f>
        <v>500000</v>
      </c>
      <c r="G4341" s="22">
        <f ca="1">IFERROR(__xludf.DUMMYFUNCTION("""COMPUTED_VALUE"""),0)</f>
        <v>0</v>
      </c>
      <c r="H4341" s="7">
        <f ca="1">IFERROR(__xludf.DUMMYFUNCTION("""COMPUTED_VALUE"""),500000)</f>
        <v>500000</v>
      </c>
    </row>
    <row r="4342" spans="1:8" ht="13" x14ac:dyDescent="0.15">
      <c r="A4342" s="5" t="str">
        <f ca="1">IFERROR(__xludf.DUMMYFUNCTION("""COMPUTED_VALUE"""),"77134")</f>
        <v>77134</v>
      </c>
      <c r="B4342" s="51">
        <f ca="1">IFERROR(__xludf.DUMMYFUNCTION("""COMPUTED_VALUE"""),44611)</f>
        <v>44611</v>
      </c>
      <c r="C4342" s="22">
        <f ca="1">IFERROR(__xludf.DUMMYFUNCTION("""COMPUTED_VALUE"""),500000)</f>
        <v>500000</v>
      </c>
      <c r="D4342" s="22">
        <f ca="1">IFERROR(__xludf.DUMMYFUNCTION("""COMPUTED_VALUE"""),0)</f>
        <v>0</v>
      </c>
      <c r="E4342" s="22">
        <f ca="1">IFERROR(__xludf.DUMMYFUNCTION("""COMPUTED_VALUE"""),500000)</f>
        <v>500000</v>
      </c>
      <c r="F4342" s="22">
        <f ca="1">IFERROR(__xludf.DUMMYFUNCTION("""COMPUTED_VALUE"""),500000)</f>
        <v>500000</v>
      </c>
      <c r="G4342" s="22">
        <f ca="1">IFERROR(__xludf.DUMMYFUNCTION("""COMPUTED_VALUE"""),0)</f>
        <v>0</v>
      </c>
      <c r="H4342" s="7">
        <f ca="1">IFERROR(__xludf.DUMMYFUNCTION("""COMPUTED_VALUE"""),500000)</f>
        <v>500000</v>
      </c>
    </row>
    <row r="4343" spans="1:8" ht="13" x14ac:dyDescent="0.15">
      <c r="A4343" s="5" t="str">
        <f ca="1">IFERROR(__xludf.DUMMYFUNCTION("""COMPUTED_VALUE"""),"77134")</f>
        <v>77134</v>
      </c>
      <c r="B4343" s="51">
        <f ca="1">IFERROR(__xludf.DUMMYFUNCTION("""COMPUTED_VALUE"""),44612)</f>
        <v>44612</v>
      </c>
      <c r="C4343" s="22">
        <f ca="1">IFERROR(__xludf.DUMMYFUNCTION("""COMPUTED_VALUE"""),500000)</f>
        <v>500000</v>
      </c>
      <c r="D4343" s="22">
        <f ca="1">IFERROR(__xludf.DUMMYFUNCTION("""COMPUTED_VALUE"""),0)</f>
        <v>0</v>
      </c>
      <c r="E4343" s="22">
        <f ca="1">IFERROR(__xludf.DUMMYFUNCTION("""COMPUTED_VALUE"""),500000)</f>
        <v>500000</v>
      </c>
      <c r="F4343" s="22">
        <f ca="1">IFERROR(__xludf.DUMMYFUNCTION("""COMPUTED_VALUE"""),500000)</f>
        <v>500000</v>
      </c>
      <c r="G4343" s="22">
        <f ca="1">IFERROR(__xludf.DUMMYFUNCTION("""COMPUTED_VALUE"""),0)</f>
        <v>0</v>
      </c>
      <c r="H4343" s="7">
        <f ca="1">IFERROR(__xludf.DUMMYFUNCTION("""COMPUTED_VALUE"""),500000)</f>
        <v>500000</v>
      </c>
    </row>
    <row r="4344" spans="1:8" ht="13" x14ac:dyDescent="0.15">
      <c r="A4344" s="5" t="str">
        <f ca="1">IFERROR(__xludf.DUMMYFUNCTION("""COMPUTED_VALUE"""),"77134")</f>
        <v>77134</v>
      </c>
      <c r="B4344" s="51">
        <f ca="1">IFERROR(__xludf.DUMMYFUNCTION("""COMPUTED_VALUE"""),44613)</f>
        <v>44613</v>
      </c>
      <c r="C4344" s="22">
        <f ca="1">IFERROR(__xludf.DUMMYFUNCTION("""COMPUTED_VALUE"""),500000)</f>
        <v>500000</v>
      </c>
      <c r="D4344" s="22">
        <f ca="1">IFERROR(__xludf.DUMMYFUNCTION("""COMPUTED_VALUE"""),0)</f>
        <v>0</v>
      </c>
      <c r="E4344" s="22">
        <f ca="1">IFERROR(__xludf.DUMMYFUNCTION("""COMPUTED_VALUE"""),500000)</f>
        <v>500000</v>
      </c>
      <c r="F4344" s="22">
        <f ca="1">IFERROR(__xludf.DUMMYFUNCTION("""COMPUTED_VALUE"""),500000)</f>
        <v>500000</v>
      </c>
      <c r="G4344" s="22">
        <f ca="1">IFERROR(__xludf.DUMMYFUNCTION("""COMPUTED_VALUE"""),0)</f>
        <v>0</v>
      </c>
      <c r="H4344" s="7">
        <f ca="1">IFERROR(__xludf.DUMMYFUNCTION("""COMPUTED_VALUE"""),500000)</f>
        <v>500000</v>
      </c>
    </row>
    <row r="4345" spans="1:8" ht="13" x14ac:dyDescent="0.15">
      <c r="A4345" s="5" t="str">
        <f ca="1">IFERROR(__xludf.DUMMYFUNCTION("""COMPUTED_VALUE"""),"77134")</f>
        <v>77134</v>
      </c>
      <c r="B4345" s="51">
        <f ca="1">IFERROR(__xludf.DUMMYFUNCTION("""COMPUTED_VALUE"""),44614)</f>
        <v>44614</v>
      </c>
      <c r="C4345" s="22">
        <f ca="1">IFERROR(__xludf.DUMMYFUNCTION("""COMPUTED_VALUE"""),500000)</f>
        <v>500000</v>
      </c>
      <c r="D4345" s="22">
        <f ca="1">IFERROR(__xludf.DUMMYFUNCTION("""COMPUTED_VALUE"""),0)</f>
        <v>0</v>
      </c>
      <c r="E4345" s="22">
        <f ca="1">IFERROR(__xludf.DUMMYFUNCTION("""COMPUTED_VALUE"""),500000)</f>
        <v>500000</v>
      </c>
      <c r="F4345" s="22">
        <f ca="1">IFERROR(__xludf.DUMMYFUNCTION("""COMPUTED_VALUE"""),500000)</f>
        <v>500000</v>
      </c>
      <c r="G4345" s="22">
        <f ca="1">IFERROR(__xludf.DUMMYFUNCTION("""COMPUTED_VALUE"""),0)</f>
        <v>0</v>
      </c>
      <c r="H4345" s="7">
        <f ca="1">IFERROR(__xludf.DUMMYFUNCTION("""COMPUTED_VALUE"""),500000)</f>
        <v>500000</v>
      </c>
    </row>
    <row r="4346" spans="1:8" ht="13" x14ac:dyDescent="0.15">
      <c r="A4346" s="5" t="str">
        <f ca="1">IFERROR(__xludf.DUMMYFUNCTION("""COMPUTED_VALUE"""),"77134")</f>
        <v>77134</v>
      </c>
      <c r="B4346" s="51">
        <f ca="1">IFERROR(__xludf.DUMMYFUNCTION("""COMPUTED_VALUE"""),44615)</f>
        <v>44615</v>
      </c>
      <c r="C4346" s="22">
        <f ca="1">IFERROR(__xludf.DUMMYFUNCTION("""COMPUTED_VALUE"""),500000)</f>
        <v>500000</v>
      </c>
      <c r="D4346" s="22">
        <f ca="1">IFERROR(__xludf.DUMMYFUNCTION("""COMPUTED_VALUE"""),0)</f>
        <v>0</v>
      </c>
      <c r="E4346" s="22">
        <f ca="1">IFERROR(__xludf.DUMMYFUNCTION("""COMPUTED_VALUE"""),500000)</f>
        <v>500000</v>
      </c>
      <c r="F4346" s="22">
        <f ca="1">IFERROR(__xludf.DUMMYFUNCTION("""COMPUTED_VALUE"""),500000)</f>
        <v>500000</v>
      </c>
      <c r="G4346" s="22">
        <f ca="1">IFERROR(__xludf.DUMMYFUNCTION("""COMPUTED_VALUE"""),0)</f>
        <v>0</v>
      </c>
      <c r="H4346" s="7">
        <f ca="1">IFERROR(__xludf.DUMMYFUNCTION("""COMPUTED_VALUE"""),500000)</f>
        <v>500000</v>
      </c>
    </row>
    <row r="4347" spans="1:8" ht="13" x14ac:dyDescent="0.15">
      <c r="A4347" s="5" t="str">
        <f ca="1">IFERROR(__xludf.DUMMYFUNCTION("""COMPUTED_VALUE"""),"77134")</f>
        <v>77134</v>
      </c>
      <c r="B4347" s="51">
        <f ca="1">IFERROR(__xludf.DUMMYFUNCTION("""COMPUTED_VALUE"""),44616)</f>
        <v>44616</v>
      </c>
      <c r="C4347" s="22">
        <f ca="1">IFERROR(__xludf.DUMMYFUNCTION("""COMPUTED_VALUE"""),500000)</f>
        <v>500000</v>
      </c>
      <c r="D4347" s="22">
        <f ca="1">IFERROR(__xludf.DUMMYFUNCTION("""COMPUTED_VALUE"""),0)</f>
        <v>0</v>
      </c>
      <c r="E4347" s="22">
        <f ca="1">IFERROR(__xludf.DUMMYFUNCTION("""COMPUTED_VALUE"""),500000)</f>
        <v>500000</v>
      </c>
      <c r="F4347" s="22">
        <f ca="1">IFERROR(__xludf.DUMMYFUNCTION("""COMPUTED_VALUE"""),500000)</f>
        <v>500000</v>
      </c>
      <c r="G4347" s="22">
        <f ca="1">IFERROR(__xludf.DUMMYFUNCTION("""COMPUTED_VALUE"""),0)</f>
        <v>0</v>
      </c>
      <c r="H4347" s="7">
        <f ca="1">IFERROR(__xludf.DUMMYFUNCTION("""COMPUTED_VALUE"""),500000)</f>
        <v>500000</v>
      </c>
    </row>
    <row r="4348" spans="1:8" ht="13" x14ac:dyDescent="0.15">
      <c r="A4348" s="5" t="str">
        <f ca="1">IFERROR(__xludf.DUMMYFUNCTION("""COMPUTED_VALUE"""),"77134")</f>
        <v>77134</v>
      </c>
      <c r="B4348" s="51">
        <f ca="1">IFERROR(__xludf.DUMMYFUNCTION("""COMPUTED_VALUE"""),44617)</f>
        <v>44617</v>
      </c>
      <c r="C4348" s="22">
        <f ca="1">IFERROR(__xludf.DUMMYFUNCTION("""COMPUTED_VALUE"""),500000)</f>
        <v>500000</v>
      </c>
      <c r="D4348" s="22">
        <f ca="1">IFERROR(__xludf.DUMMYFUNCTION("""COMPUTED_VALUE"""),0)</f>
        <v>0</v>
      </c>
      <c r="E4348" s="22">
        <f ca="1">IFERROR(__xludf.DUMMYFUNCTION("""COMPUTED_VALUE"""),500000)</f>
        <v>500000</v>
      </c>
      <c r="F4348" s="22">
        <f ca="1">IFERROR(__xludf.DUMMYFUNCTION("""COMPUTED_VALUE"""),500000)</f>
        <v>500000</v>
      </c>
      <c r="G4348" s="22">
        <f ca="1">IFERROR(__xludf.DUMMYFUNCTION("""COMPUTED_VALUE"""),0)</f>
        <v>0</v>
      </c>
      <c r="H4348" s="7">
        <f ca="1">IFERROR(__xludf.DUMMYFUNCTION("""COMPUTED_VALUE"""),500000)</f>
        <v>500000</v>
      </c>
    </row>
    <row r="4349" spans="1:8" ht="13" x14ac:dyDescent="0.15">
      <c r="A4349" s="5" t="str">
        <f ca="1">IFERROR(__xludf.DUMMYFUNCTION("""COMPUTED_VALUE"""),"77134")</f>
        <v>77134</v>
      </c>
      <c r="B4349" s="51">
        <f ca="1">IFERROR(__xludf.DUMMYFUNCTION("""COMPUTED_VALUE"""),44618)</f>
        <v>44618</v>
      </c>
      <c r="C4349" s="22">
        <f ca="1">IFERROR(__xludf.DUMMYFUNCTION("""COMPUTED_VALUE"""),500000)</f>
        <v>500000</v>
      </c>
      <c r="D4349" s="22">
        <f ca="1">IFERROR(__xludf.DUMMYFUNCTION("""COMPUTED_VALUE"""),0)</f>
        <v>0</v>
      </c>
      <c r="E4349" s="22">
        <f ca="1">IFERROR(__xludf.DUMMYFUNCTION("""COMPUTED_VALUE"""),500000)</f>
        <v>500000</v>
      </c>
      <c r="F4349" s="22">
        <f ca="1">IFERROR(__xludf.DUMMYFUNCTION("""COMPUTED_VALUE"""),500000)</f>
        <v>500000</v>
      </c>
      <c r="G4349" s="22">
        <f ca="1">IFERROR(__xludf.DUMMYFUNCTION("""COMPUTED_VALUE"""),0)</f>
        <v>0</v>
      </c>
      <c r="H4349" s="7">
        <f ca="1">IFERROR(__xludf.DUMMYFUNCTION("""COMPUTED_VALUE"""),500000)</f>
        <v>500000</v>
      </c>
    </row>
    <row r="4350" spans="1:8" ht="13" x14ac:dyDescent="0.15">
      <c r="A4350" s="5" t="str">
        <f ca="1">IFERROR(__xludf.DUMMYFUNCTION("""COMPUTED_VALUE"""),"77134")</f>
        <v>77134</v>
      </c>
      <c r="B4350" s="51">
        <f ca="1">IFERROR(__xludf.DUMMYFUNCTION("""COMPUTED_VALUE"""),44619)</f>
        <v>44619</v>
      </c>
      <c r="C4350" s="22">
        <f ca="1">IFERROR(__xludf.DUMMYFUNCTION("""COMPUTED_VALUE"""),500000)</f>
        <v>500000</v>
      </c>
      <c r="D4350" s="22">
        <f ca="1">IFERROR(__xludf.DUMMYFUNCTION("""COMPUTED_VALUE"""),0)</f>
        <v>0</v>
      </c>
      <c r="E4350" s="22">
        <f ca="1">IFERROR(__xludf.DUMMYFUNCTION("""COMPUTED_VALUE"""),500000)</f>
        <v>500000</v>
      </c>
      <c r="F4350" s="22">
        <f ca="1">IFERROR(__xludf.DUMMYFUNCTION("""COMPUTED_VALUE"""),500000)</f>
        <v>500000</v>
      </c>
      <c r="G4350" s="22">
        <f ca="1">IFERROR(__xludf.DUMMYFUNCTION("""COMPUTED_VALUE"""),0)</f>
        <v>0</v>
      </c>
      <c r="H4350" s="7">
        <f ca="1">IFERROR(__xludf.DUMMYFUNCTION("""COMPUTED_VALUE"""),500000)</f>
        <v>500000</v>
      </c>
    </row>
    <row r="4351" spans="1:8" ht="13" x14ac:dyDescent="0.15">
      <c r="A4351" s="5" t="str">
        <f ca="1">IFERROR(__xludf.DUMMYFUNCTION("""COMPUTED_VALUE"""),"77134")</f>
        <v>77134</v>
      </c>
      <c r="B4351" s="51">
        <f ca="1">IFERROR(__xludf.DUMMYFUNCTION("""COMPUTED_VALUE"""),44620)</f>
        <v>44620</v>
      </c>
      <c r="C4351" s="22">
        <f ca="1">IFERROR(__xludf.DUMMYFUNCTION("""COMPUTED_VALUE"""),500000)</f>
        <v>500000</v>
      </c>
      <c r="D4351" s="22">
        <f ca="1">IFERROR(__xludf.DUMMYFUNCTION("""COMPUTED_VALUE"""),0)</f>
        <v>0</v>
      </c>
      <c r="E4351" s="22">
        <f ca="1">IFERROR(__xludf.DUMMYFUNCTION("""COMPUTED_VALUE"""),500000)</f>
        <v>500000</v>
      </c>
      <c r="F4351" s="22">
        <f ca="1">IFERROR(__xludf.DUMMYFUNCTION("""COMPUTED_VALUE"""),500000)</f>
        <v>500000</v>
      </c>
      <c r="G4351" s="22">
        <f ca="1">IFERROR(__xludf.DUMMYFUNCTION("""COMPUTED_VALUE"""),0)</f>
        <v>0</v>
      </c>
      <c r="H4351" s="7">
        <f ca="1">IFERROR(__xludf.DUMMYFUNCTION("""COMPUTED_VALUE"""),500000)</f>
        <v>500000</v>
      </c>
    </row>
    <row r="4352" spans="1:8" ht="13" x14ac:dyDescent="0.15">
      <c r="A4352" s="5" t="str">
        <f ca="1">IFERROR(__xludf.DUMMYFUNCTION("""COMPUTED_VALUE"""),"77134")</f>
        <v>77134</v>
      </c>
      <c r="B4352" s="51">
        <f ca="1">IFERROR(__xludf.DUMMYFUNCTION("""COMPUTED_VALUE"""),44621)</f>
        <v>44621</v>
      </c>
      <c r="C4352" s="22">
        <f ca="1">IFERROR(__xludf.DUMMYFUNCTION("""COMPUTED_VALUE"""),500000)</f>
        <v>500000</v>
      </c>
      <c r="D4352" s="22">
        <f ca="1">IFERROR(__xludf.DUMMYFUNCTION("""COMPUTED_VALUE"""),0)</f>
        <v>0</v>
      </c>
      <c r="E4352" s="22">
        <f ca="1">IFERROR(__xludf.DUMMYFUNCTION("""COMPUTED_VALUE"""),500000)</f>
        <v>500000</v>
      </c>
      <c r="F4352" s="22">
        <f ca="1">IFERROR(__xludf.DUMMYFUNCTION("""COMPUTED_VALUE"""),500000)</f>
        <v>500000</v>
      </c>
      <c r="G4352" s="22">
        <f ca="1">IFERROR(__xludf.DUMMYFUNCTION("""COMPUTED_VALUE"""),0)</f>
        <v>0</v>
      </c>
      <c r="H4352" s="7">
        <f ca="1">IFERROR(__xludf.DUMMYFUNCTION("""COMPUTED_VALUE"""),500000)</f>
        <v>500000</v>
      </c>
    </row>
    <row r="4353" spans="1:8" ht="13" x14ac:dyDescent="0.15">
      <c r="A4353" s="5" t="str">
        <f ca="1">IFERROR(__xludf.DUMMYFUNCTION("""COMPUTED_VALUE"""),"77134")</f>
        <v>77134</v>
      </c>
      <c r="B4353" s="51">
        <f ca="1">IFERROR(__xludf.DUMMYFUNCTION("""COMPUTED_VALUE"""),44622)</f>
        <v>44622</v>
      </c>
      <c r="C4353" s="22">
        <f ca="1">IFERROR(__xludf.DUMMYFUNCTION("""COMPUTED_VALUE"""),500000)</f>
        <v>500000</v>
      </c>
      <c r="D4353" s="22">
        <f ca="1">IFERROR(__xludf.DUMMYFUNCTION("""COMPUTED_VALUE"""),0)</f>
        <v>0</v>
      </c>
      <c r="E4353" s="22">
        <f ca="1">IFERROR(__xludf.DUMMYFUNCTION("""COMPUTED_VALUE"""),500000)</f>
        <v>500000</v>
      </c>
      <c r="F4353" s="22">
        <f ca="1">IFERROR(__xludf.DUMMYFUNCTION("""COMPUTED_VALUE"""),500000)</f>
        <v>500000</v>
      </c>
      <c r="G4353" s="22">
        <f ca="1">IFERROR(__xludf.DUMMYFUNCTION("""COMPUTED_VALUE"""),0)</f>
        <v>0</v>
      </c>
      <c r="H4353" s="7">
        <f ca="1">IFERROR(__xludf.DUMMYFUNCTION("""COMPUTED_VALUE"""),500000)</f>
        <v>500000</v>
      </c>
    </row>
    <row r="4354" spans="1:8" ht="13" x14ac:dyDescent="0.15">
      <c r="A4354" s="5" t="str">
        <f ca="1">IFERROR(__xludf.DUMMYFUNCTION("""COMPUTED_VALUE"""),"77134")</f>
        <v>77134</v>
      </c>
      <c r="B4354" s="51">
        <f ca="1">IFERROR(__xludf.DUMMYFUNCTION("""COMPUTED_VALUE"""),44623)</f>
        <v>44623</v>
      </c>
      <c r="C4354" s="22">
        <f ca="1">IFERROR(__xludf.DUMMYFUNCTION("""COMPUTED_VALUE"""),500000)</f>
        <v>500000</v>
      </c>
      <c r="D4354" s="22">
        <f ca="1">IFERROR(__xludf.DUMMYFUNCTION("""COMPUTED_VALUE"""),0)</f>
        <v>0</v>
      </c>
      <c r="E4354" s="22">
        <f ca="1">IFERROR(__xludf.DUMMYFUNCTION("""COMPUTED_VALUE"""),500000)</f>
        <v>500000</v>
      </c>
      <c r="F4354" s="22">
        <f ca="1">IFERROR(__xludf.DUMMYFUNCTION("""COMPUTED_VALUE"""),500000)</f>
        <v>500000</v>
      </c>
      <c r="G4354" s="22">
        <f ca="1">IFERROR(__xludf.DUMMYFUNCTION("""COMPUTED_VALUE"""),0)</f>
        <v>0</v>
      </c>
      <c r="H4354" s="7">
        <f ca="1">IFERROR(__xludf.DUMMYFUNCTION("""COMPUTED_VALUE"""),500000)</f>
        <v>500000</v>
      </c>
    </row>
    <row r="4355" spans="1:8" ht="13" x14ac:dyDescent="0.15">
      <c r="A4355" s="5" t="str">
        <f ca="1">IFERROR(__xludf.DUMMYFUNCTION("""COMPUTED_VALUE"""),"77134")</f>
        <v>77134</v>
      </c>
      <c r="B4355" s="51">
        <f ca="1">IFERROR(__xludf.DUMMYFUNCTION("""COMPUTED_VALUE"""),44624)</f>
        <v>44624</v>
      </c>
      <c r="C4355" s="22">
        <f ca="1">IFERROR(__xludf.DUMMYFUNCTION("""COMPUTED_VALUE"""),500000)</f>
        <v>500000</v>
      </c>
      <c r="D4355" s="22">
        <f ca="1">IFERROR(__xludf.DUMMYFUNCTION("""COMPUTED_VALUE"""),0)</f>
        <v>0</v>
      </c>
      <c r="E4355" s="22">
        <f ca="1">IFERROR(__xludf.DUMMYFUNCTION("""COMPUTED_VALUE"""),500000)</f>
        <v>500000</v>
      </c>
      <c r="F4355" s="22">
        <f ca="1">IFERROR(__xludf.DUMMYFUNCTION("""COMPUTED_VALUE"""),500000)</f>
        <v>500000</v>
      </c>
      <c r="G4355" s="22">
        <f ca="1">IFERROR(__xludf.DUMMYFUNCTION("""COMPUTED_VALUE"""),0)</f>
        <v>0</v>
      </c>
      <c r="H4355" s="7">
        <f ca="1">IFERROR(__xludf.DUMMYFUNCTION("""COMPUTED_VALUE"""),500000)</f>
        <v>500000</v>
      </c>
    </row>
    <row r="4356" spans="1:8" ht="13" x14ac:dyDescent="0.15">
      <c r="A4356" s="5" t="str">
        <f ca="1">IFERROR(__xludf.DUMMYFUNCTION("""COMPUTED_VALUE"""),"77134")</f>
        <v>77134</v>
      </c>
      <c r="B4356" s="51">
        <f ca="1">IFERROR(__xludf.DUMMYFUNCTION("""COMPUTED_VALUE"""),44625)</f>
        <v>44625</v>
      </c>
      <c r="C4356" s="22">
        <f ca="1">IFERROR(__xludf.DUMMYFUNCTION("""COMPUTED_VALUE"""),500000)</f>
        <v>500000</v>
      </c>
      <c r="D4356" s="22">
        <f ca="1">IFERROR(__xludf.DUMMYFUNCTION("""COMPUTED_VALUE"""),0)</f>
        <v>0</v>
      </c>
      <c r="E4356" s="22">
        <f ca="1">IFERROR(__xludf.DUMMYFUNCTION("""COMPUTED_VALUE"""),500000)</f>
        <v>500000</v>
      </c>
      <c r="F4356" s="22">
        <f ca="1">IFERROR(__xludf.DUMMYFUNCTION("""COMPUTED_VALUE"""),500000)</f>
        <v>500000</v>
      </c>
      <c r="G4356" s="22">
        <f ca="1">IFERROR(__xludf.DUMMYFUNCTION("""COMPUTED_VALUE"""),0)</f>
        <v>0</v>
      </c>
      <c r="H4356" s="7">
        <f ca="1">IFERROR(__xludf.DUMMYFUNCTION("""COMPUTED_VALUE"""),500000)</f>
        <v>500000</v>
      </c>
    </row>
    <row r="4357" spans="1:8" ht="13" x14ac:dyDescent="0.15">
      <c r="A4357" s="5" t="str">
        <f ca="1">IFERROR(__xludf.DUMMYFUNCTION("""COMPUTED_VALUE"""),"77134")</f>
        <v>77134</v>
      </c>
      <c r="B4357" s="51">
        <f ca="1">IFERROR(__xludf.DUMMYFUNCTION("""COMPUTED_VALUE"""),44626)</f>
        <v>44626</v>
      </c>
      <c r="C4357" s="22">
        <f ca="1">IFERROR(__xludf.DUMMYFUNCTION("""COMPUTED_VALUE"""),500000)</f>
        <v>500000</v>
      </c>
      <c r="D4357" s="22">
        <f ca="1">IFERROR(__xludf.DUMMYFUNCTION("""COMPUTED_VALUE"""),0)</f>
        <v>0</v>
      </c>
      <c r="E4357" s="22">
        <f ca="1">IFERROR(__xludf.DUMMYFUNCTION("""COMPUTED_VALUE"""),500000)</f>
        <v>500000</v>
      </c>
      <c r="F4357" s="22">
        <f ca="1">IFERROR(__xludf.DUMMYFUNCTION("""COMPUTED_VALUE"""),500000)</f>
        <v>500000</v>
      </c>
      <c r="G4357" s="22">
        <f ca="1">IFERROR(__xludf.DUMMYFUNCTION("""COMPUTED_VALUE"""),0)</f>
        <v>0</v>
      </c>
      <c r="H4357" s="7">
        <f ca="1">IFERROR(__xludf.DUMMYFUNCTION("""COMPUTED_VALUE"""),500000)</f>
        <v>500000</v>
      </c>
    </row>
    <row r="4358" spans="1:8" ht="13" x14ac:dyDescent="0.15">
      <c r="A4358" s="5" t="str">
        <f ca="1">IFERROR(__xludf.DUMMYFUNCTION("""COMPUTED_VALUE"""),"77134")</f>
        <v>77134</v>
      </c>
      <c r="B4358" s="51">
        <f ca="1">IFERROR(__xludf.DUMMYFUNCTION("""COMPUTED_VALUE"""),44627)</f>
        <v>44627</v>
      </c>
      <c r="C4358" s="22">
        <f ca="1">IFERROR(__xludf.DUMMYFUNCTION("""COMPUTED_VALUE"""),500000)</f>
        <v>500000</v>
      </c>
      <c r="D4358" s="22">
        <f ca="1">IFERROR(__xludf.DUMMYFUNCTION("""COMPUTED_VALUE"""),0)</f>
        <v>0</v>
      </c>
      <c r="E4358" s="22">
        <f ca="1">IFERROR(__xludf.DUMMYFUNCTION("""COMPUTED_VALUE"""),500000)</f>
        <v>500000</v>
      </c>
      <c r="F4358" s="22">
        <f ca="1">IFERROR(__xludf.DUMMYFUNCTION("""COMPUTED_VALUE"""),500000)</f>
        <v>500000</v>
      </c>
      <c r="G4358" s="22">
        <f ca="1">IFERROR(__xludf.DUMMYFUNCTION("""COMPUTED_VALUE"""),0)</f>
        <v>0</v>
      </c>
      <c r="H4358" s="7">
        <f ca="1">IFERROR(__xludf.DUMMYFUNCTION("""COMPUTED_VALUE"""),500000)</f>
        <v>500000</v>
      </c>
    </row>
    <row r="4359" spans="1:8" ht="13" x14ac:dyDescent="0.15">
      <c r="A4359" s="5" t="str">
        <f ca="1">IFERROR(__xludf.DUMMYFUNCTION("""COMPUTED_VALUE"""),"77134")</f>
        <v>77134</v>
      </c>
      <c r="B4359" s="51">
        <f ca="1">IFERROR(__xludf.DUMMYFUNCTION("""COMPUTED_VALUE"""),44628)</f>
        <v>44628</v>
      </c>
      <c r="C4359" s="22">
        <f ca="1">IFERROR(__xludf.DUMMYFUNCTION("""COMPUTED_VALUE"""),500000)</f>
        <v>500000</v>
      </c>
      <c r="D4359" s="22">
        <f ca="1">IFERROR(__xludf.DUMMYFUNCTION("""COMPUTED_VALUE"""),0)</f>
        <v>0</v>
      </c>
      <c r="E4359" s="22">
        <f ca="1">IFERROR(__xludf.DUMMYFUNCTION("""COMPUTED_VALUE"""),500000)</f>
        <v>500000</v>
      </c>
      <c r="F4359" s="22">
        <f ca="1">IFERROR(__xludf.DUMMYFUNCTION("""COMPUTED_VALUE"""),500000)</f>
        <v>500000</v>
      </c>
      <c r="G4359" s="22">
        <f ca="1">IFERROR(__xludf.DUMMYFUNCTION("""COMPUTED_VALUE"""),0)</f>
        <v>0</v>
      </c>
      <c r="H4359" s="7">
        <f ca="1">IFERROR(__xludf.DUMMYFUNCTION("""COMPUTED_VALUE"""),500000)</f>
        <v>500000</v>
      </c>
    </row>
    <row r="4360" spans="1:8" ht="13" x14ac:dyDescent="0.15">
      <c r="A4360" s="5" t="str">
        <f ca="1">IFERROR(__xludf.DUMMYFUNCTION("""COMPUTED_VALUE"""),"77134")</f>
        <v>77134</v>
      </c>
      <c r="B4360" s="51">
        <f ca="1">IFERROR(__xludf.DUMMYFUNCTION("""COMPUTED_VALUE"""),44629)</f>
        <v>44629</v>
      </c>
      <c r="C4360" s="22">
        <f ca="1">IFERROR(__xludf.DUMMYFUNCTION("""COMPUTED_VALUE"""),500000)</f>
        <v>500000</v>
      </c>
      <c r="D4360" s="22">
        <f ca="1">IFERROR(__xludf.DUMMYFUNCTION("""COMPUTED_VALUE"""),0)</f>
        <v>0</v>
      </c>
      <c r="E4360" s="22">
        <f ca="1">IFERROR(__xludf.DUMMYFUNCTION("""COMPUTED_VALUE"""),500000)</f>
        <v>500000</v>
      </c>
      <c r="F4360" s="22">
        <f ca="1">IFERROR(__xludf.DUMMYFUNCTION("""COMPUTED_VALUE"""),500000)</f>
        <v>500000</v>
      </c>
      <c r="G4360" s="22">
        <f ca="1">IFERROR(__xludf.DUMMYFUNCTION("""COMPUTED_VALUE"""),0)</f>
        <v>0</v>
      </c>
      <c r="H4360" s="7">
        <f ca="1">IFERROR(__xludf.DUMMYFUNCTION("""COMPUTED_VALUE"""),500000)</f>
        <v>500000</v>
      </c>
    </row>
    <row r="4361" spans="1:8" ht="13" x14ac:dyDescent="0.15">
      <c r="A4361" s="5" t="str">
        <f ca="1">IFERROR(__xludf.DUMMYFUNCTION("""COMPUTED_VALUE"""),"77134")</f>
        <v>77134</v>
      </c>
      <c r="B4361" s="51">
        <f ca="1">IFERROR(__xludf.DUMMYFUNCTION("""COMPUTED_VALUE"""),44630)</f>
        <v>44630</v>
      </c>
      <c r="C4361" s="22">
        <f ca="1">IFERROR(__xludf.DUMMYFUNCTION("""COMPUTED_VALUE"""),500000)</f>
        <v>500000</v>
      </c>
      <c r="D4361" s="22">
        <f ca="1">IFERROR(__xludf.DUMMYFUNCTION("""COMPUTED_VALUE"""),0)</f>
        <v>0</v>
      </c>
      <c r="E4361" s="22">
        <f ca="1">IFERROR(__xludf.DUMMYFUNCTION("""COMPUTED_VALUE"""),500000)</f>
        <v>500000</v>
      </c>
      <c r="F4361" s="22">
        <f ca="1">IFERROR(__xludf.DUMMYFUNCTION("""COMPUTED_VALUE"""),500000)</f>
        <v>500000</v>
      </c>
      <c r="G4361" s="22">
        <f ca="1">IFERROR(__xludf.DUMMYFUNCTION("""COMPUTED_VALUE"""),0)</f>
        <v>0</v>
      </c>
      <c r="H4361" s="7">
        <f ca="1">IFERROR(__xludf.DUMMYFUNCTION("""COMPUTED_VALUE"""),500000)</f>
        <v>500000</v>
      </c>
    </row>
    <row r="4362" spans="1:8" ht="13" x14ac:dyDescent="0.15">
      <c r="A4362" s="5" t="str">
        <f ca="1">IFERROR(__xludf.DUMMYFUNCTION("""COMPUTED_VALUE"""),"77134")</f>
        <v>77134</v>
      </c>
      <c r="B4362" s="51">
        <f ca="1">IFERROR(__xludf.DUMMYFUNCTION("""COMPUTED_VALUE"""),44631)</f>
        <v>44631</v>
      </c>
      <c r="C4362" s="22">
        <f ca="1">IFERROR(__xludf.DUMMYFUNCTION("""COMPUTED_VALUE"""),500000)</f>
        <v>500000</v>
      </c>
      <c r="D4362" s="22">
        <f ca="1">IFERROR(__xludf.DUMMYFUNCTION("""COMPUTED_VALUE"""),0)</f>
        <v>0</v>
      </c>
      <c r="E4362" s="22">
        <f ca="1">IFERROR(__xludf.DUMMYFUNCTION("""COMPUTED_VALUE"""),500000)</f>
        <v>500000</v>
      </c>
      <c r="F4362" s="22">
        <f ca="1">IFERROR(__xludf.DUMMYFUNCTION("""COMPUTED_VALUE"""),500000)</f>
        <v>500000</v>
      </c>
      <c r="G4362" s="22">
        <f ca="1">IFERROR(__xludf.DUMMYFUNCTION("""COMPUTED_VALUE"""),0)</f>
        <v>0</v>
      </c>
      <c r="H4362" s="7">
        <f ca="1">IFERROR(__xludf.DUMMYFUNCTION("""COMPUTED_VALUE"""),500000)</f>
        <v>500000</v>
      </c>
    </row>
    <row r="4363" spans="1:8" ht="13" x14ac:dyDescent="0.15">
      <c r="A4363" s="5" t="str">
        <f ca="1">IFERROR(__xludf.DUMMYFUNCTION("""COMPUTED_VALUE"""),"77134")</f>
        <v>77134</v>
      </c>
      <c r="B4363" s="51">
        <f ca="1">IFERROR(__xludf.DUMMYFUNCTION("""COMPUTED_VALUE"""),44632)</f>
        <v>44632</v>
      </c>
      <c r="C4363" s="22">
        <f ca="1">IFERROR(__xludf.DUMMYFUNCTION("""COMPUTED_VALUE"""),500000)</f>
        <v>500000</v>
      </c>
      <c r="D4363" s="22">
        <f ca="1">IFERROR(__xludf.DUMMYFUNCTION("""COMPUTED_VALUE"""),0)</f>
        <v>0</v>
      </c>
      <c r="E4363" s="22">
        <f ca="1">IFERROR(__xludf.DUMMYFUNCTION("""COMPUTED_VALUE"""),500000)</f>
        <v>500000</v>
      </c>
      <c r="F4363" s="22">
        <f ca="1">IFERROR(__xludf.DUMMYFUNCTION("""COMPUTED_VALUE"""),500000)</f>
        <v>500000</v>
      </c>
      <c r="G4363" s="22">
        <f ca="1">IFERROR(__xludf.DUMMYFUNCTION("""COMPUTED_VALUE"""),0)</f>
        <v>0</v>
      </c>
      <c r="H4363" s="7">
        <f ca="1">IFERROR(__xludf.DUMMYFUNCTION("""COMPUTED_VALUE"""),500000)</f>
        <v>500000</v>
      </c>
    </row>
    <row r="4364" spans="1:8" ht="13" x14ac:dyDescent="0.15">
      <c r="A4364" s="5" t="str">
        <f ca="1">IFERROR(__xludf.DUMMYFUNCTION("""COMPUTED_VALUE"""),"77134")</f>
        <v>77134</v>
      </c>
      <c r="B4364" s="51">
        <f ca="1">IFERROR(__xludf.DUMMYFUNCTION("""COMPUTED_VALUE"""),44633)</f>
        <v>44633</v>
      </c>
      <c r="C4364" s="22">
        <f ca="1">IFERROR(__xludf.DUMMYFUNCTION("""COMPUTED_VALUE"""),500000)</f>
        <v>500000</v>
      </c>
      <c r="D4364" s="22">
        <f ca="1">IFERROR(__xludf.DUMMYFUNCTION("""COMPUTED_VALUE"""),0)</f>
        <v>0</v>
      </c>
      <c r="E4364" s="22">
        <f ca="1">IFERROR(__xludf.DUMMYFUNCTION("""COMPUTED_VALUE"""),500000)</f>
        <v>500000</v>
      </c>
      <c r="F4364" s="22">
        <f ca="1">IFERROR(__xludf.DUMMYFUNCTION("""COMPUTED_VALUE"""),500000)</f>
        <v>500000</v>
      </c>
      <c r="G4364" s="22">
        <f ca="1">IFERROR(__xludf.DUMMYFUNCTION("""COMPUTED_VALUE"""),0)</f>
        <v>0</v>
      </c>
      <c r="H4364" s="7">
        <f ca="1">IFERROR(__xludf.DUMMYFUNCTION("""COMPUTED_VALUE"""),500000)</f>
        <v>500000</v>
      </c>
    </row>
    <row r="4365" spans="1:8" ht="13" x14ac:dyDescent="0.15">
      <c r="A4365" s="5" t="str">
        <f ca="1">IFERROR(__xludf.DUMMYFUNCTION("""COMPUTED_VALUE"""),"77134")</f>
        <v>77134</v>
      </c>
      <c r="B4365" s="51">
        <f ca="1">IFERROR(__xludf.DUMMYFUNCTION("""COMPUTED_VALUE"""),44634)</f>
        <v>44634</v>
      </c>
      <c r="C4365" s="22">
        <f ca="1">IFERROR(__xludf.DUMMYFUNCTION("""COMPUTED_VALUE"""),500000)</f>
        <v>500000</v>
      </c>
      <c r="D4365" s="22">
        <f ca="1">IFERROR(__xludf.DUMMYFUNCTION("""COMPUTED_VALUE"""),0)</f>
        <v>0</v>
      </c>
      <c r="E4365" s="22">
        <f ca="1">IFERROR(__xludf.DUMMYFUNCTION("""COMPUTED_VALUE"""),500000)</f>
        <v>500000</v>
      </c>
      <c r="F4365" s="22">
        <f ca="1">IFERROR(__xludf.DUMMYFUNCTION("""COMPUTED_VALUE"""),500000)</f>
        <v>500000</v>
      </c>
      <c r="G4365" s="22">
        <f ca="1">IFERROR(__xludf.DUMMYFUNCTION("""COMPUTED_VALUE"""),0)</f>
        <v>0</v>
      </c>
      <c r="H4365" s="7">
        <f ca="1">IFERROR(__xludf.DUMMYFUNCTION("""COMPUTED_VALUE"""),500000)</f>
        <v>500000</v>
      </c>
    </row>
    <row r="4366" spans="1:8" ht="13" x14ac:dyDescent="0.15">
      <c r="A4366" s="5" t="str">
        <f ca="1">IFERROR(__xludf.DUMMYFUNCTION("""COMPUTED_VALUE"""),"77134")</f>
        <v>77134</v>
      </c>
      <c r="B4366" s="51">
        <f ca="1">IFERROR(__xludf.DUMMYFUNCTION("""COMPUTED_VALUE"""),44635)</f>
        <v>44635</v>
      </c>
      <c r="C4366" s="22">
        <f ca="1">IFERROR(__xludf.DUMMYFUNCTION("""COMPUTED_VALUE"""),500000)</f>
        <v>500000</v>
      </c>
      <c r="D4366" s="22">
        <f ca="1">IFERROR(__xludf.DUMMYFUNCTION("""COMPUTED_VALUE"""),0)</f>
        <v>0</v>
      </c>
      <c r="E4366" s="22">
        <f ca="1">IFERROR(__xludf.DUMMYFUNCTION("""COMPUTED_VALUE"""),500000)</f>
        <v>500000</v>
      </c>
      <c r="F4366" s="22">
        <f ca="1">IFERROR(__xludf.DUMMYFUNCTION("""COMPUTED_VALUE"""),500000)</f>
        <v>500000</v>
      </c>
      <c r="G4366" s="22">
        <f ca="1">IFERROR(__xludf.DUMMYFUNCTION("""COMPUTED_VALUE"""),0)</f>
        <v>0</v>
      </c>
      <c r="H4366" s="7">
        <f ca="1">IFERROR(__xludf.DUMMYFUNCTION("""COMPUTED_VALUE"""),500000)</f>
        <v>500000</v>
      </c>
    </row>
    <row r="4367" spans="1:8" ht="13" x14ac:dyDescent="0.15">
      <c r="A4367" s="5" t="str">
        <f ca="1">IFERROR(__xludf.DUMMYFUNCTION("""COMPUTED_VALUE"""),"77134")</f>
        <v>77134</v>
      </c>
      <c r="B4367" s="51">
        <f ca="1">IFERROR(__xludf.DUMMYFUNCTION("""COMPUTED_VALUE"""),44636)</f>
        <v>44636</v>
      </c>
      <c r="C4367" s="22">
        <f ca="1">IFERROR(__xludf.DUMMYFUNCTION("""COMPUTED_VALUE"""),500000)</f>
        <v>500000</v>
      </c>
      <c r="D4367" s="22">
        <f ca="1">IFERROR(__xludf.DUMMYFUNCTION("""COMPUTED_VALUE"""),0)</f>
        <v>0</v>
      </c>
      <c r="E4367" s="22">
        <f ca="1">IFERROR(__xludf.DUMMYFUNCTION("""COMPUTED_VALUE"""),500000)</f>
        <v>500000</v>
      </c>
      <c r="F4367" s="22">
        <f ca="1">IFERROR(__xludf.DUMMYFUNCTION("""COMPUTED_VALUE"""),500000)</f>
        <v>500000</v>
      </c>
      <c r="G4367" s="22">
        <f ca="1">IFERROR(__xludf.DUMMYFUNCTION("""COMPUTED_VALUE"""),0)</f>
        <v>0</v>
      </c>
      <c r="H4367" s="7">
        <f ca="1">IFERROR(__xludf.DUMMYFUNCTION("""COMPUTED_VALUE"""),500000)</f>
        <v>500000</v>
      </c>
    </row>
    <row r="4368" spans="1:8" ht="13" x14ac:dyDescent="0.15">
      <c r="A4368" s="5" t="str">
        <f ca="1">IFERROR(__xludf.DUMMYFUNCTION("""COMPUTED_VALUE"""),"77134")</f>
        <v>77134</v>
      </c>
      <c r="B4368" s="51">
        <f ca="1">IFERROR(__xludf.DUMMYFUNCTION("""COMPUTED_VALUE"""),44637)</f>
        <v>44637</v>
      </c>
      <c r="C4368" s="22">
        <f ca="1">IFERROR(__xludf.DUMMYFUNCTION("""COMPUTED_VALUE"""),500000)</f>
        <v>500000</v>
      </c>
      <c r="D4368" s="22">
        <f ca="1">IFERROR(__xludf.DUMMYFUNCTION("""COMPUTED_VALUE"""),0)</f>
        <v>0</v>
      </c>
      <c r="E4368" s="22">
        <f ca="1">IFERROR(__xludf.DUMMYFUNCTION("""COMPUTED_VALUE"""),500000)</f>
        <v>500000</v>
      </c>
      <c r="F4368" s="22">
        <f ca="1">IFERROR(__xludf.DUMMYFUNCTION("""COMPUTED_VALUE"""),500000)</f>
        <v>500000</v>
      </c>
      <c r="G4368" s="22">
        <f ca="1">IFERROR(__xludf.DUMMYFUNCTION("""COMPUTED_VALUE"""),0)</f>
        <v>0</v>
      </c>
      <c r="H4368" s="7">
        <f ca="1">IFERROR(__xludf.DUMMYFUNCTION("""COMPUTED_VALUE"""),500000)</f>
        <v>500000</v>
      </c>
    </row>
    <row r="4369" spans="1:8" ht="13" x14ac:dyDescent="0.15">
      <c r="A4369" s="5" t="str">
        <f ca="1">IFERROR(__xludf.DUMMYFUNCTION("""COMPUTED_VALUE"""),"77134")</f>
        <v>77134</v>
      </c>
      <c r="B4369" s="51">
        <f ca="1">IFERROR(__xludf.DUMMYFUNCTION("""COMPUTED_VALUE"""),44638)</f>
        <v>44638</v>
      </c>
      <c r="C4369" s="22">
        <f ca="1">IFERROR(__xludf.DUMMYFUNCTION("""COMPUTED_VALUE"""),500000)</f>
        <v>500000</v>
      </c>
      <c r="D4369" s="22">
        <f ca="1">IFERROR(__xludf.DUMMYFUNCTION("""COMPUTED_VALUE"""),0)</f>
        <v>0</v>
      </c>
      <c r="E4369" s="22">
        <f ca="1">IFERROR(__xludf.DUMMYFUNCTION("""COMPUTED_VALUE"""),500000)</f>
        <v>500000</v>
      </c>
      <c r="F4369" s="22">
        <f ca="1">IFERROR(__xludf.DUMMYFUNCTION("""COMPUTED_VALUE"""),500000)</f>
        <v>500000</v>
      </c>
      <c r="G4369" s="22">
        <f ca="1">IFERROR(__xludf.DUMMYFUNCTION("""COMPUTED_VALUE"""),0)</f>
        <v>0</v>
      </c>
      <c r="H4369" s="7">
        <f ca="1">IFERROR(__xludf.DUMMYFUNCTION("""COMPUTED_VALUE"""),500000)</f>
        <v>500000</v>
      </c>
    </row>
    <row r="4370" spans="1:8" ht="13" x14ac:dyDescent="0.15">
      <c r="A4370" s="5" t="str">
        <f ca="1">IFERROR(__xludf.DUMMYFUNCTION("""COMPUTED_VALUE"""),"77134")</f>
        <v>77134</v>
      </c>
      <c r="B4370" s="51">
        <f ca="1">IFERROR(__xludf.DUMMYFUNCTION("""COMPUTED_VALUE"""),44639)</f>
        <v>44639</v>
      </c>
      <c r="C4370" s="22">
        <f ca="1">IFERROR(__xludf.DUMMYFUNCTION("""COMPUTED_VALUE"""),500000)</f>
        <v>500000</v>
      </c>
      <c r="D4370" s="22">
        <f ca="1">IFERROR(__xludf.DUMMYFUNCTION("""COMPUTED_VALUE"""),0)</f>
        <v>0</v>
      </c>
      <c r="E4370" s="22">
        <f ca="1">IFERROR(__xludf.DUMMYFUNCTION("""COMPUTED_VALUE"""),500000)</f>
        <v>500000</v>
      </c>
      <c r="F4370" s="22">
        <f ca="1">IFERROR(__xludf.DUMMYFUNCTION("""COMPUTED_VALUE"""),500000)</f>
        <v>500000</v>
      </c>
      <c r="G4370" s="22">
        <f ca="1">IFERROR(__xludf.DUMMYFUNCTION("""COMPUTED_VALUE"""),0)</f>
        <v>0</v>
      </c>
      <c r="H4370" s="7">
        <f ca="1">IFERROR(__xludf.DUMMYFUNCTION("""COMPUTED_VALUE"""),500000)</f>
        <v>500000</v>
      </c>
    </row>
    <row r="4371" spans="1:8" ht="13" x14ac:dyDescent="0.15">
      <c r="A4371" s="5" t="str">
        <f ca="1">IFERROR(__xludf.DUMMYFUNCTION("""COMPUTED_VALUE"""),"77134")</f>
        <v>77134</v>
      </c>
      <c r="B4371" s="51">
        <f ca="1">IFERROR(__xludf.DUMMYFUNCTION("""COMPUTED_VALUE"""),44640)</f>
        <v>44640</v>
      </c>
      <c r="C4371" s="22">
        <f ca="1">IFERROR(__xludf.DUMMYFUNCTION("""COMPUTED_VALUE"""),500000)</f>
        <v>500000</v>
      </c>
      <c r="D4371" s="22">
        <f ca="1">IFERROR(__xludf.DUMMYFUNCTION("""COMPUTED_VALUE"""),0)</f>
        <v>0</v>
      </c>
      <c r="E4371" s="22">
        <f ca="1">IFERROR(__xludf.DUMMYFUNCTION("""COMPUTED_VALUE"""),500000)</f>
        <v>500000</v>
      </c>
      <c r="F4371" s="22">
        <f ca="1">IFERROR(__xludf.DUMMYFUNCTION("""COMPUTED_VALUE"""),500000)</f>
        <v>500000</v>
      </c>
      <c r="G4371" s="22">
        <f ca="1">IFERROR(__xludf.DUMMYFUNCTION("""COMPUTED_VALUE"""),0)</f>
        <v>0</v>
      </c>
      <c r="H4371" s="7">
        <f ca="1">IFERROR(__xludf.DUMMYFUNCTION("""COMPUTED_VALUE"""),500000)</f>
        <v>500000</v>
      </c>
    </row>
    <row r="4372" spans="1:8" ht="13" x14ac:dyDescent="0.15">
      <c r="A4372" s="5" t="str">
        <f ca="1">IFERROR(__xludf.DUMMYFUNCTION("""COMPUTED_VALUE"""),"77134")</f>
        <v>77134</v>
      </c>
      <c r="B4372" s="51">
        <f ca="1">IFERROR(__xludf.DUMMYFUNCTION("""COMPUTED_VALUE"""),44641)</f>
        <v>44641</v>
      </c>
      <c r="C4372" s="22">
        <f ca="1">IFERROR(__xludf.DUMMYFUNCTION("""COMPUTED_VALUE"""),500000)</f>
        <v>500000</v>
      </c>
      <c r="D4372" s="22">
        <f ca="1">IFERROR(__xludf.DUMMYFUNCTION("""COMPUTED_VALUE"""),0)</f>
        <v>0</v>
      </c>
      <c r="E4372" s="22">
        <f ca="1">IFERROR(__xludf.DUMMYFUNCTION("""COMPUTED_VALUE"""),500000)</f>
        <v>500000</v>
      </c>
      <c r="F4372" s="22">
        <f ca="1">IFERROR(__xludf.DUMMYFUNCTION("""COMPUTED_VALUE"""),500000)</f>
        <v>500000</v>
      </c>
      <c r="G4372" s="22">
        <f ca="1">IFERROR(__xludf.DUMMYFUNCTION("""COMPUTED_VALUE"""),0)</f>
        <v>0</v>
      </c>
      <c r="H4372" s="7">
        <f ca="1">IFERROR(__xludf.DUMMYFUNCTION("""COMPUTED_VALUE"""),500000)</f>
        <v>500000</v>
      </c>
    </row>
    <row r="4373" spans="1:8" ht="13" x14ac:dyDescent="0.15">
      <c r="A4373" s="5" t="str">
        <f ca="1">IFERROR(__xludf.DUMMYFUNCTION("""COMPUTED_VALUE"""),"77134")</f>
        <v>77134</v>
      </c>
      <c r="B4373" s="51">
        <f ca="1">IFERROR(__xludf.DUMMYFUNCTION("""COMPUTED_VALUE"""),44642)</f>
        <v>44642</v>
      </c>
      <c r="C4373" s="22">
        <f ca="1">IFERROR(__xludf.DUMMYFUNCTION("""COMPUTED_VALUE"""),500000)</f>
        <v>500000</v>
      </c>
      <c r="D4373" s="22">
        <f ca="1">IFERROR(__xludf.DUMMYFUNCTION("""COMPUTED_VALUE"""),0)</f>
        <v>0</v>
      </c>
      <c r="E4373" s="22">
        <f ca="1">IFERROR(__xludf.DUMMYFUNCTION("""COMPUTED_VALUE"""),500000)</f>
        <v>500000</v>
      </c>
      <c r="F4373" s="22">
        <f ca="1">IFERROR(__xludf.DUMMYFUNCTION("""COMPUTED_VALUE"""),500000)</f>
        <v>500000</v>
      </c>
      <c r="G4373" s="22">
        <f ca="1">IFERROR(__xludf.DUMMYFUNCTION("""COMPUTED_VALUE"""),0)</f>
        <v>0</v>
      </c>
      <c r="H4373" s="7">
        <f ca="1">IFERROR(__xludf.DUMMYFUNCTION("""COMPUTED_VALUE"""),500000)</f>
        <v>500000</v>
      </c>
    </row>
    <row r="4374" spans="1:8" ht="13" x14ac:dyDescent="0.15">
      <c r="A4374" s="5" t="str">
        <f ca="1">IFERROR(__xludf.DUMMYFUNCTION("""COMPUTED_VALUE"""),"77216")</f>
        <v>77216</v>
      </c>
      <c r="B4374" s="51">
        <f ca="1">IFERROR(__xludf.DUMMYFUNCTION("""COMPUTED_VALUE"""),44597)</f>
        <v>44597</v>
      </c>
      <c r="C4374" s="22">
        <f ca="1">IFERROR(__xludf.DUMMYFUNCTION("""COMPUTED_VALUE"""),500000)</f>
        <v>500000</v>
      </c>
      <c r="D4374" s="22">
        <f ca="1">IFERROR(__xludf.DUMMYFUNCTION("""COMPUTED_VALUE"""),0)</f>
        <v>0</v>
      </c>
      <c r="E4374" s="22">
        <f ca="1">IFERROR(__xludf.DUMMYFUNCTION("""COMPUTED_VALUE"""),500000)</f>
        <v>500000</v>
      </c>
      <c r="F4374" s="22">
        <f ca="1">IFERROR(__xludf.DUMMYFUNCTION("""COMPUTED_VALUE"""),500000)</f>
        <v>500000</v>
      </c>
      <c r="G4374" s="22">
        <f ca="1">IFERROR(__xludf.DUMMYFUNCTION("""COMPUTED_VALUE"""),0)</f>
        <v>0</v>
      </c>
      <c r="H4374" s="7">
        <f ca="1">IFERROR(__xludf.DUMMYFUNCTION("""COMPUTED_VALUE"""),500000)</f>
        <v>500000</v>
      </c>
    </row>
    <row r="4375" spans="1:8" ht="13" x14ac:dyDescent="0.15">
      <c r="A4375" s="5" t="str">
        <f ca="1">IFERROR(__xludf.DUMMYFUNCTION("""COMPUTED_VALUE"""),"77216")</f>
        <v>77216</v>
      </c>
      <c r="B4375" s="51">
        <f ca="1">IFERROR(__xludf.DUMMYFUNCTION("""COMPUTED_VALUE"""),44598)</f>
        <v>44598</v>
      </c>
      <c r="C4375" s="22">
        <f ca="1">IFERROR(__xludf.DUMMYFUNCTION("""COMPUTED_VALUE"""),500000)</f>
        <v>500000</v>
      </c>
      <c r="D4375" s="22">
        <f ca="1">IFERROR(__xludf.DUMMYFUNCTION("""COMPUTED_VALUE"""),0)</f>
        <v>0</v>
      </c>
      <c r="E4375" s="22">
        <f ca="1">IFERROR(__xludf.DUMMYFUNCTION("""COMPUTED_VALUE"""),500000)</f>
        <v>500000</v>
      </c>
      <c r="F4375" s="22">
        <f ca="1">IFERROR(__xludf.DUMMYFUNCTION("""COMPUTED_VALUE"""),500000)</f>
        <v>500000</v>
      </c>
      <c r="G4375" s="22">
        <f ca="1">IFERROR(__xludf.DUMMYFUNCTION("""COMPUTED_VALUE"""),0)</f>
        <v>0</v>
      </c>
      <c r="H4375" s="7">
        <f ca="1">IFERROR(__xludf.DUMMYFUNCTION("""COMPUTED_VALUE"""),500000)</f>
        <v>500000</v>
      </c>
    </row>
    <row r="4376" spans="1:8" ht="13" x14ac:dyDescent="0.15">
      <c r="A4376" s="5" t="str">
        <f ca="1">IFERROR(__xludf.DUMMYFUNCTION("""COMPUTED_VALUE"""),"77216")</f>
        <v>77216</v>
      </c>
      <c r="B4376" s="51">
        <f ca="1">IFERROR(__xludf.DUMMYFUNCTION("""COMPUTED_VALUE"""),44599)</f>
        <v>44599</v>
      </c>
      <c r="C4376" s="22">
        <f ca="1">IFERROR(__xludf.DUMMYFUNCTION("""COMPUTED_VALUE"""),500000)</f>
        <v>500000</v>
      </c>
      <c r="D4376" s="22">
        <f ca="1">IFERROR(__xludf.DUMMYFUNCTION("""COMPUTED_VALUE"""),0)</f>
        <v>0</v>
      </c>
      <c r="E4376" s="22">
        <f ca="1">IFERROR(__xludf.DUMMYFUNCTION("""COMPUTED_VALUE"""),500000)</f>
        <v>500000</v>
      </c>
      <c r="F4376" s="22">
        <f ca="1">IFERROR(__xludf.DUMMYFUNCTION("""COMPUTED_VALUE"""),500000)</f>
        <v>500000</v>
      </c>
      <c r="G4376" s="22">
        <f ca="1">IFERROR(__xludf.DUMMYFUNCTION("""COMPUTED_VALUE"""),0)</f>
        <v>0</v>
      </c>
      <c r="H4376" s="7">
        <f ca="1">IFERROR(__xludf.DUMMYFUNCTION("""COMPUTED_VALUE"""),500000)</f>
        <v>500000</v>
      </c>
    </row>
    <row r="4377" spans="1:8" ht="13" x14ac:dyDescent="0.15">
      <c r="A4377" s="5" t="str">
        <f ca="1">IFERROR(__xludf.DUMMYFUNCTION("""COMPUTED_VALUE"""),"77216")</f>
        <v>77216</v>
      </c>
      <c r="B4377" s="51">
        <f ca="1">IFERROR(__xludf.DUMMYFUNCTION("""COMPUTED_VALUE"""),44600)</f>
        <v>44600</v>
      </c>
      <c r="C4377" s="22">
        <f ca="1">IFERROR(__xludf.DUMMYFUNCTION("""COMPUTED_VALUE"""),500000)</f>
        <v>500000</v>
      </c>
      <c r="D4377" s="22">
        <f ca="1">IFERROR(__xludf.DUMMYFUNCTION("""COMPUTED_VALUE"""),0)</f>
        <v>0</v>
      </c>
      <c r="E4377" s="22">
        <f ca="1">IFERROR(__xludf.DUMMYFUNCTION("""COMPUTED_VALUE"""),500000)</f>
        <v>500000</v>
      </c>
      <c r="F4377" s="22">
        <f ca="1">IFERROR(__xludf.DUMMYFUNCTION("""COMPUTED_VALUE"""),500000)</f>
        <v>500000</v>
      </c>
      <c r="G4377" s="22">
        <f ca="1">IFERROR(__xludf.DUMMYFUNCTION("""COMPUTED_VALUE"""),0)</f>
        <v>0</v>
      </c>
      <c r="H4377" s="7">
        <f ca="1">IFERROR(__xludf.DUMMYFUNCTION("""COMPUTED_VALUE"""),500000)</f>
        <v>500000</v>
      </c>
    </row>
    <row r="4378" spans="1:8" ht="13" x14ac:dyDescent="0.15">
      <c r="A4378" s="5" t="str">
        <f ca="1">IFERROR(__xludf.DUMMYFUNCTION("""COMPUTED_VALUE"""),"77216")</f>
        <v>77216</v>
      </c>
      <c r="B4378" s="51">
        <f ca="1">IFERROR(__xludf.DUMMYFUNCTION("""COMPUTED_VALUE"""),44601)</f>
        <v>44601</v>
      </c>
      <c r="C4378" s="22">
        <f ca="1">IFERROR(__xludf.DUMMYFUNCTION("""COMPUTED_VALUE"""),500000)</f>
        <v>500000</v>
      </c>
      <c r="D4378" s="22">
        <f ca="1">IFERROR(__xludf.DUMMYFUNCTION("""COMPUTED_VALUE"""),0)</f>
        <v>0</v>
      </c>
      <c r="E4378" s="22">
        <f ca="1">IFERROR(__xludf.DUMMYFUNCTION("""COMPUTED_VALUE"""),500000)</f>
        <v>500000</v>
      </c>
      <c r="F4378" s="22">
        <f ca="1">IFERROR(__xludf.DUMMYFUNCTION("""COMPUTED_VALUE"""),500000)</f>
        <v>500000</v>
      </c>
      <c r="G4378" s="22">
        <f ca="1">IFERROR(__xludf.DUMMYFUNCTION("""COMPUTED_VALUE"""),0)</f>
        <v>0</v>
      </c>
      <c r="H4378" s="7">
        <f ca="1">IFERROR(__xludf.DUMMYFUNCTION("""COMPUTED_VALUE"""),500000)</f>
        <v>500000</v>
      </c>
    </row>
    <row r="4379" spans="1:8" ht="13" x14ac:dyDescent="0.15">
      <c r="A4379" s="5" t="str">
        <f ca="1">IFERROR(__xludf.DUMMYFUNCTION("""COMPUTED_VALUE"""),"77216")</f>
        <v>77216</v>
      </c>
      <c r="B4379" s="51">
        <f ca="1">IFERROR(__xludf.DUMMYFUNCTION("""COMPUTED_VALUE"""),44602)</f>
        <v>44602</v>
      </c>
      <c r="C4379" s="22">
        <f ca="1">IFERROR(__xludf.DUMMYFUNCTION("""COMPUTED_VALUE"""),500000)</f>
        <v>500000</v>
      </c>
      <c r="D4379" s="22">
        <f ca="1">IFERROR(__xludf.DUMMYFUNCTION("""COMPUTED_VALUE"""),0)</f>
        <v>0</v>
      </c>
      <c r="E4379" s="22">
        <f ca="1">IFERROR(__xludf.DUMMYFUNCTION("""COMPUTED_VALUE"""),500000)</f>
        <v>500000</v>
      </c>
      <c r="F4379" s="22">
        <f ca="1">IFERROR(__xludf.DUMMYFUNCTION("""COMPUTED_VALUE"""),500000)</f>
        <v>500000</v>
      </c>
      <c r="G4379" s="22">
        <f ca="1">IFERROR(__xludf.DUMMYFUNCTION("""COMPUTED_VALUE"""),0)</f>
        <v>0</v>
      </c>
      <c r="H4379" s="7">
        <f ca="1">IFERROR(__xludf.DUMMYFUNCTION("""COMPUTED_VALUE"""),500000)</f>
        <v>500000</v>
      </c>
    </row>
    <row r="4380" spans="1:8" ht="13" x14ac:dyDescent="0.15">
      <c r="A4380" s="5" t="str">
        <f ca="1">IFERROR(__xludf.DUMMYFUNCTION("""COMPUTED_VALUE"""),"77216")</f>
        <v>77216</v>
      </c>
      <c r="B4380" s="51">
        <f ca="1">IFERROR(__xludf.DUMMYFUNCTION("""COMPUTED_VALUE"""),44603)</f>
        <v>44603</v>
      </c>
      <c r="C4380" s="22">
        <f ca="1">IFERROR(__xludf.DUMMYFUNCTION("""COMPUTED_VALUE"""),500000)</f>
        <v>500000</v>
      </c>
      <c r="D4380" s="22">
        <f ca="1">IFERROR(__xludf.DUMMYFUNCTION("""COMPUTED_VALUE"""),0)</f>
        <v>0</v>
      </c>
      <c r="E4380" s="22">
        <f ca="1">IFERROR(__xludf.DUMMYFUNCTION("""COMPUTED_VALUE"""),500000)</f>
        <v>500000</v>
      </c>
      <c r="F4380" s="22">
        <f ca="1">IFERROR(__xludf.DUMMYFUNCTION("""COMPUTED_VALUE"""),500000)</f>
        <v>500000</v>
      </c>
      <c r="G4380" s="22">
        <f ca="1">IFERROR(__xludf.DUMMYFUNCTION("""COMPUTED_VALUE"""),0)</f>
        <v>0</v>
      </c>
      <c r="H4380" s="7">
        <f ca="1">IFERROR(__xludf.DUMMYFUNCTION("""COMPUTED_VALUE"""),500000)</f>
        <v>500000</v>
      </c>
    </row>
    <row r="4381" spans="1:8" ht="13" x14ac:dyDescent="0.15">
      <c r="A4381" s="5" t="str">
        <f ca="1">IFERROR(__xludf.DUMMYFUNCTION("""COMPUTED_VALUE"""),"77216")</f>
        <v>77216</v>
      </c>
      <c r="B4381" s="51">
        <f ca="1">IFERROR(__xludf.DUMMYFUNCTION("""COMPUTED_VALUE"""),44604)</f>
        <v>44604</v>
      </c>
      <c r="C4381" s="22">
        <f ca="1">IFERROR(__xludf.DUMMYFUNCTION("""COMPUTED_VALUE"""),500000)</f>
        <v>500000</v>
      </c>
      <c r="D4381" s="22">
        <f ca="1">IFERROR(__xludf.DUMMYFUNCTION("""COMPUTED_VALUE"""),0)</f>
        <v>0</v>
      </c>
      <c r="E4381" s="22">
        <f ca="1">IFERROR(__xludf.DUMMYFUNCTION("""COMPUTED_VALUE"""),500000)</f>
        <v>500000</v>
      </c>
      <c r="F4381" s="22">
        <f ca="1">IFERROR(__xludf.DUMMYFUNCTION("""COMPUTED_VALUE"""),500000)</f>
        <v>500000</v>
      </c>
      <c r="G4381" s="22">
        <f ca="1">IFERROR(__xludf.DUMMYFUNCTION("""COMPUTED_VALUE"""),0)</f>
        <v>0</v>
      </c>
      <c r="H4381" s="7">
        <f ca="1">IFERROR(__xludf.DUMMYFUNCTION("""COMPUTED_VALUE"""),500000)</f>
        <v>500000</v>
      </c>
    </row>
    <row r="4382" spans="1:8" ht="13" x14ac:dyDescent="0.15">
      <c r="A4382" s="5" t="str">
        <f ca="1">IFERROR(__xludf.DUMMYFUNCTION("""COMPUTED_VALUE"""),"77216")</f>
        <v>77216</v>
      </c>
      <c r="B4382" s="51">
        <f ca="1">IFERROR(__xludf.DUMMYFUNCTION("""COMPUTED_VALUE"""),44605)</f>
        <v>44605</v>
      </c>
      <c r="C4382" s="22">
        <f ca="1">IFERROR(__xludf.DUMMYFUNCTION("""COMPUTED_VALUE"""),500000)</f>
        <v>500000</v>
      </c>
      <c r="D4382" s="22">
        <f ca="1">IFERROR(__xludf.DUMMYFUNCTION("""COMPUTED_VALUE"""),0)</f>
        <v>0</v>
      </c>
      <c r="E4382" s="22">
        <f ca="1">IFERROR(__xludf.DUMMYFUNCTION("""COMPUTED_VALUE"""),500000)</f>
        <v>500000</v>
      </c>
      <c r="F4382" s="22">
        <f ca="1">IFERROR(__xludf.DUMMYFUNCTION("""COMPUTED_VALUE"""),500000)</f>
        <v>500000</v>
      </c>
      <c r="G4382" s="22">
        <f ca="1">IFERROR(__xludf.DUMMYFUNCTION("""COMPUTED_VALUE"""),0)</f>
        <v>0</v>
      </c>
      <c r="H4382" s="7">
        <f ca="1">IFERROR(__xludf.DUMMYFUNCTION("""COMPUTED_VALUE"""),500000)</f>
        <v>500000</v>
      </c>
    </row>
    <row r="4383" spans="1:8" ht="13" x14ac:dyDescent="0.15">
      <c r="A4383" s="5" t="str">
        <f ca="1">IFERROR(__xludf.DUMMYFUNCTION("""COMPUTED_VALUE"""),"77216")</f>
        <v>77216</v>
      </c>
      <c r="B4383" s="51">
        <f ca="1">IFERROR(__xludf.DUMMYFUNCTION("""COMPUTED_VALUE"""),44606)</f>
        <v>44606</v>
      </c>
      <c r="C4383" s="22">
        <f ca="1">IFERROR(__xludf.DUMMYFUNCTION("""COMPUTED_VALUE"""),500000)</f>
        <v>500000</v>
      </c>
      <c r="D4383" s="22">
        <f ca="1">IFERROR(__xludf.DUMMYFUNCTION("""COMPUTED_VALUE"""),0)</f>
        <v>0</v>
      </c>
      <c r="E4383" s="22">
        <f ca="1">IFERROR(__xludf.DUMMYFUNCTION("""COMPUTED_VALUE"""),500000)</f>
        <v>500000</v>
      </c>
      <c r="F4383" s="22">
        <f ca="1">IFERROR(__xludf.DUMMYFUNCTION("""COMPUTED_VALUE"""),500000)</f>
        <v>500000</v>
      </c>
      <c r="G4383" s="22">
        <f ca="1">IFERROR(__xludf.DUMMYFUNCTION("""COMPUTED_VALUE"""),0)</f>
        <v>0</v>
      </c>
      <c r="H4383" s="7">
        <f ca="1">IFERROR(__xludf.DUMMYFUNCTION("""COMPUTED_VALUE"""),500000)</f>
        <v>500000</v>
      </c>
    </row>
    <row r="4384" spans="1:8" ht="13" x14ac:dyDescent="0.15">
      <c r="A4384" s="5" t="str">
        <f ca="1">IFERROR(__xludf.DUMMYFUNCTION("""COMPUTED_VALUE"""),"77216")</f>
        <v>77216</v>
      </c>
      <c r="B4384" s="51">
        <f ca="1">IFERROR(__xludf.DUMMYFUNCTION("""COMPUTED_VALUE"""),44607)</f>
        <v>44607</v>
      </c>
      <c r="C4384" s="22">
        <f ca="1">IFERROR(__xludf.DUMMYFUNCTION("""COMPUTED_VALUE"""),500000)</f>
        <v>500000</v>
      </c>
      <c r="D4384" s="22">
        <f ca="1">IFERROR(__xludf.DUMMYFUNCTION("""COMPUTED_VALUE"""),0)</f>
        <v>0</v>
      </c>
      <c r="E4384" s="22">
        <f ca="1">IFERROR(__xludf.DUMMYFUNCTION("""COMPUTED_VALUE"""),500000)</f>
        <v>500000</v>
      </c>
      <c r="F4384" s="22">
        <f ca="1">IFERROR(__xludf.DUMMYFUNCTION("""COMPUTED_VALUE"""),500000)</f>
        <v>500000</v>
      </c>
      <c r="G4384" s="22">
        <f ca="1">IFERROR(__xludf.DUMMYFUNCTION("""COMPUTED_VALUE"""),0)</f>
        <v>0</v>
      </c>
      <c r="H4384" s="7">
        <f ca="1">IFERROR(__xludf.DUMMYFUNCTION("""COMPUTED_VALUE"""),500000)</f>
        <v>500000</v>
      </c>
    </row>
    <row r="4385" spans="1:8" ht="13" x14ac:dyDescent="0.15">
      <c r="A4385" s="5" t="str">
        <f ca="1">IFERROR(__xludf.DUMMYFUNCTION("""COMPUTED_VALUE"""),"77216")</f>
        <v>77216</v>
      </c>
      <c r="B4385" s="51">
        <f ca="1">IFERROR(__xludf.DUMMYFUNCTION("""COMPUTED_VALUE"""),44608)</f>
        <v>44608</v>
      </c>
      <c r="C4385" s="22">
        <f ca="1">IFERROR(__xludf.DUMMYFUNCTION("""COMPUTED_VALUE"""),500000)</f>
        <v>500000</v>
      </c>
      <c r="D4385" s="22">
        <f ca="1">IFERROR(__xludf.DUMMYFUNCTION("""COMPUTED_VALUE"""),0)</f>
        <v>0</v>
      </c>
      <c r="E4385" s="22">
        <f ca="1">IFERROR(__xludf.DUMMYFUNCTION("""COMPUTED_VALUE"""),500000)</f>
        <v>500000</v>
      </c>
      <c r="F4385" s="22">
        <f ca="1">IFERROR(__xludf.DUMMYFUNCTION("""COMPUTED_VALUE"""),500000)</f>
        <v>500000</v>
      </c>
      <c r="G4385" s="22">
        <f ca="1">IFERROR(__xludf.DUMMYFUNCTION("""COMPUTED_VALUE"""),0)</f>
        <v>0</v>
      </c>
      <c r="H4385" s="7">
        <f ca="1">IFERROR(__xludf.DUMMYFUNCTION("""COMPUTED_VALUE"""),500000)</f>
        <v>500000</v>
      </c>
    </row>
    <row r="4386" spans="1:8" ht="13" x14ac:dyDescent="0.15">
      <c r="A4386" s="5" t="str">
        <f ca="1">IFERROR(__xludf.DUMMYFUNCTION("""COMPUTED_VALUE"""),"77216")</f>
        <v>77216</v>
      </c>
      <c r="B4386" s="51">
        <f ca="1">IFERROR(__xludf.DUMMYFUNCTION("""COMPUTED_VALUE"""),44609)</f>
        <v>44609</v>
      </c>
      <c r="C4386" s="22">
        <f ca="1">IFERROR(__xludf.DUMMYFUNCTION("""COMPUTED_VALUE"""),500000)</f>
        <v>500000</v>
      </c>
      <c r="D4386" s="22">
        <f ca="1">IFERROR(__xludf.DUMMYFUNCTION("""COMPUTED_VALUE"""),0)</f>
        <v>0</v>
      </c>
      <c r="E4386" s="22">
        <f ca="1">IFERROR(__xludf.DUMMYFUNCTION("""COMPUTED_VALUE"""),500000)</f>
        <v>500000</v>
      </c>
      <c r="F4386" s="22">
        <f ca="1">IFERROR(__xludf.DUMMYFUNCTION("""COMPUTED_VALUE"""),500000)</f>
        <v>500000</v>
      </c>
      <c r="G4386" s="22">
        <f ca="1">IFERROR(__xludf.DUMMYFUNCTION("""COMPUTED_VALUE"""),0)</f>
        <v>0</v>
      </c>
      <c r="H4386" s="7">
        <f ca="1">IFERROR(__xludf.DUMMYFUNCTION("""COMPUTED_VALUE"""),500000)</f>
        <v>500000</v>
      </c>
    </row>
    <row r="4387" spans="1:8" ht="13" x14ac:dyDescent="0.15">
      <c r="A4387" s="5" t="str">
        <f ca="1">IFERROR(__xludf.DUMMYFUNCTION("""COMPUTED_VALUE"""),"77216")</f>
        <v>77216</v>
      </c>
      <c r="B4387" s="51">
        <f ca="1">IFERROR(__xludf.DUMMYFUNCTION("""COMPUTED_VALUE"""),44610)</f>
        <v>44610</v>
      </c>
      <c r="C4387" s="22">
        <f ca="1">IFERROR(__xludf.DUMMYFUNCTION("""COMPUTED_VALUE"""),500000)</f>
        <v>500000</v>
      </c>
      <c r="D4387" s="22">
        <f ca="1">IFERROR(__xludf.DUMMYFUNCTION("""COMPUTED_VALUE"""),0)</f>
        <v>0</v>
      </c>
      <c r="E4387" s="22">
        <f ca="1">IFERROR(__xludf.DUMMYFUNCTION("""COMPUTED_VALUE"""),500000)</f>
        <v>500000</v>
      </c>
      <c r="F4387" s="22">
        <f ca="1">IFERROR(__xludf.DUMMYFUNCTION("""COMPUTED_VALUE"""),500000)</f>
        <v>500000</v>
      </c>
      <c r="G4387" s="22">
        <f ca="1">IFERROR(__xludf.DUMMYFUNCTION("""COMPUTED_VALUE"""),0)</f>
        <v>0</v>
      </c>
      <c r="H4387" s="7">
        <f ca="1">IFERROR(__xludf.DUMMYFUNCTION("""COMPUTED_VALUE"""),500000)</f>
        <v>500000</v>
      </c>
    </row>
    <row r="4388" spans="1:8" ht="13" x14ac:dyDescent="0.15">
      <c r="A4388" s="5" t="str">
        <f ca="1">IFERROR(__xludf.DUMMYFUNCTION("""COMPUTED_VALUE"""),"77216")</f>
        <v>77216</v>
      </c>
      <c r="B4388" s="51">
        <f ca="1">IFERROR(__xludf.DUMMYFUNCTION("""COMPUTED_VALUE"""),44611)</f>
        <v>44611</v>
      </c>
      <c r="C4388" s="22">
        <f ca="1">IFERROR(__xludf.DUMMYFUNCTION("""COMPUTED_VALUE"""),500000)</f>
        <v>500000</v>
      </c>
      <c r="D4388" s="22">
        <f ca="1">IFERROR(__xludf.DUMMYFUNCTION("""COMPUTED_VALUE"""),0)</f>
        <v>0</v>
      </c>
      <c r="E4388" s="22">
        <f ca="1">IFERROR(__xludf.DUMMYFUNCTION("""COMPUTED_VALUE"""),500000)</f>
        <v>500000</v>
      </c>
      <c r="F4388" s="22">
        <f ca="1">IFERROR(__xludf.DUMMYFUNCTION("""COMPUTED_VALUE"""),500000)</f>
        <v>500000</v>
      </c>
      <c r="G4388" s="22">
        <f ca="1">IFERROR(__xludf.DUMMYFUNCTION("""COMPUTED_VALUE"""),0)</f>
        <v>0</v>
      </c>
      <c r="H4388" s="7">
        <f ca="1">IFERROR(__xludf.DUMMYFUNCTION("""COMPUTED_VALUE"""),500000)</f>
        <v>500000</v>
      </c>
    </row>
    <row r="4389" spans="1:8" ht="13" x14ac:dyDescent="0.15">
      <c r="A4389" s="5" t="str">
        <f ca="1">IFERROR(__xludf.DUMMYFUNCTION("""COMPUTED_VALUE"""),"77216")</f>
        <v>77216</v>
      </c>
      <c r="B4389" s="51">
        <f ca="1">IFERROR(__xludf.DUMMYFUNCTION("""COMPUTED_VALUE"""),44612)</f>
        <v>44612</v>
      </c>
      <c r="C4389" s="22">
        <f ca="1">IFERROR(__xludf.DUMMYFUNCTION("""COMPUTED_VALUE"""),500000)</f>
        <v>500000</v>
      </c>
      <c r="D4389" s="22">
        <f ca="1">IFERROR(__xludf.DUMMYFUNCTION("""COMPUTED_VALUE"""),0)</f>
        <v>0</v>
      </c>
      <c r="E4389" s="22">
        <f ca="1">IFERROR(__xludf.DUMMYFUNCTION("""COMPUTED_VALUE"""),500000)</f>
        <v>500000</v>
      </c>
      <c r="F4389" s="22">
        <f ca="1">IFERROR(__xludf.DUMMYFUNCTION("""COMPUTED_VALUE"""),500000)</f>
        <v>500000</v>
      </c>
      <c r="G4389" s="22">
        <f ca="1">IFERROR(__xludf.DUMMYFUNCTION("""COMPUTED_VALUE"""),0)</f>
        <v>0</v>
      </c>
      <c r="H4389" s="7">
        <f ca="1">IFERROR(__xludf.DUMMYFUNCTION("""COMPUTED_VALUE"""),500000)</f>
        <v>500000</v>
      </c>
    </row>
    <row r="4390" spans="1:8" ht="13" x14ac:dyDescent="0.15">
      <c r="A4390" s="5" t="str">
        <f ca="1">IFERROR(__xludf.DUMMYFUNCTION("""COMPUTED_VALUE"""),"77216")</f>
        <v>77216</v>
      </c>
      <c r="B4390" s="51">
        <f ca="1">IFERROR(__xludf.DUMMYFUNCTION("""COMPUTED_VALUE"""),44613)</f>
        <v>44613</v>
      </c>
      <c r="C4390" s="22">
        <f ca="1">IFERROR(__xludf.DUMMYFUNCTION("""COMPUTED_VALUE"""),500000)</f>
        <v>500000</v>
      </c>
      <c r="D4390" s="22">
        <f ca="1">IFERROR(__xludf.DUMMYFUNCTION("""COMPUTED_VALUE"""),0)</f>
        <v>0</v>
      </c>
      <c r="E4390" s="22">
        <f ca="1">IFERROR(__xludf.DUMMYFUNCTION("""COMPUTED_VALUE"""),500000)</f>
        <v>500000</v>
      </c>
      <c r="F4390" s="22">
        <f ca="1">IFERROR(__xludf.DUMMYFUNCTION("""COMPUTED_VALUE"""),500000)</f>
        <v>500000</v>
      </c>
      <c r="G4390" s="22">
        <f ca="1">IFERROR(__xludf.DUMMYFUNCTION("""COMPUTED_VALUE"""),0)</f>
        <v>0</v>
      </c>
      <c r="H4390" s="7">
        <f ca="1">IFERROR(__xludf.DUMMYFUNCTION("""COMPUTED_VALUE"""),500000)</f>
        <v>500000</v>
      </c>
    </row>
    <row r="4391" spans="1:8" ht="13" x14ac:dyDescent="0.15">
      <c r="A4391" s="5" t="str">
        <f ca="1">IFERROR(__xludf.DUMMYFUNCTION("""COMPUTED_VALUE"""),"77216")</f>
        <v>77216</v>
      </c>
      <c r="B4391" s="51">
        <f ca="1">IFERROR(__xludf.DUMMYFUNCTION("""COMPUTED_VALUE"""),44614)</f>
        <v>44614</v>
      </c>
      <c r="C4391" s="22">
        <f ca="1">IFERROR(__xludf.DUMMYFUNCTION("""COMPUTED_VALUE"""),500000)</f>
        <v>500000</v>
      </c>
      <c r="D4391" s="22">
        <f ca="1">IFERROR(__xludf.DUMMYFUNCTION("""COMPUTED_VALUE"""),0)</f>
        <v>0</v>
      </c>
      <c r="E4391" s="22">
        <f ca="1">IFERROR(__xludf.DUMMYFUNCTION("""COMPUTED_VALUE"""),500000)</f>
        <v>500000</v>
      </c>
      <c r="F4391" s="22">
        <f ca="1">IFERROR(__xludf.DUMMYFUNCTION("""COMPUTED_VALUE"""),500000)</f>
        <v>500000</v>
      </c>
      <c r="G4391" s="22">
        <f ca="1">IFERROR(__xludf.DUMMYFUNCTION("""COMPUTED_VALUE"""),0)</f>
        <v>0</v>
      </c>
      <c r="H4391" s="7">
        <f ca="1">IFERROR(__xludf.DUMMYFUNCTION("""COMPUTED_VALUE"""),500000)</f>
        <v>500000</v>
      </c>
    </row>
    <row r="4392" spans="1:8" ht="13" x14ac:dyDescent="0.15">
      <c r="A4392" s="5" t="str">
        <f ca="1">IFERROR(__xludf.DUMMYFUNCTION("""COMPUTED_VALUE"""),"77216")</f>
        <v>77216</v>
      </c>
      <c r="B4392" s="51">
        <f ca="1">IFERROR(__xludf.DUMMYFUNCTION("""COMPUTED_VALUE"""),44615)</f>
        <v>44615</v>
      </c>
      <c r="C4392" s="22">
        <f ca="1">IFERROR(__xludf.DUMMYFUNCTION("""COMPUTED_VALUE"""),500000)</f>
        <v>500000</v>
      </c>
      <c r="D4392" s="22">
        <f ca="1">IFERROR(__xludf.DUMMYFUNCTION("""COMPUTED_VALUE"""),0)</f>
        <v>0</v>
      </c>
      <c r="E4392" s="22">
        <f ca="1">IFERROR(__xludf.DUMMYFUNCTION("""COMPUTED_VALUE"""),500000)</f>
        <v>500000</v>
      </c>
      <c r="F4392" s="22">
        <f ca="1">IFERROR(__xludf.DUMMYFUNCTION("""COMPUTED_VALUE"""),500000)</f>
        <v>500000</v>
      </c>
      <c r="G4392" s="22">
        <f ca="1">IFERROR(__xludf.DUMMYFUNCTION("""COMPUTED_VALUE"""),0)</f>
        <v>0</v>
      </c>
      <c r="H4392" s="7">
        <f ca="1">IFERROR(__xludf.DUMMYFUNCTION("""COMPUTED_VALUE"""),500000)</f>
        <v>500000</v>
      </c>
    </row>
    <row r="4393" spans="1:8" ht="13" x14ac:dyDescent="0.15">
      <c r="A4393" s="5" t="str">
        <f ca="1">IFERROR(__xludf.DUMMYFUNCTION("""COMPUTED_VALUE"""),"77216")</f>
        <v>77216</v>
      </c>
      <c r="B4393" s="51">
        <f ca="1">IFERROR(__xludf.DUMMYFUNCTION("""COMPUTED_VALUE"""),44616)</f>
        <v>44616</v>
      </c>
      <c r="C4393" s="22">
        <f ca="1">IFERROR(__xludf.DUMMYFUNCTION("""COMPUTED_VALUE"""),500000)</f>
        <v>500000</v>
      </c>
      <c r="D4393" s="22">
        <f ca="1">IFERROR(__xludf.DUMMYFUNCTION("""COMPUTED_VALUE"""),0)</f>
        <v>0</v>
      </c>
      <c r="E4393" s="22">
        <f ca="1">IFERROR(__xludf.DUMMYFUNCTION("""COMPUTED_VALUE"""),500000)</f>
        <v>500000</v>
      </c>
      <c r="F4393" s="22">
        <f ca="1">IFERROR(__xludf.DUMMYFUNCTION("""COMPUTED_VALUE"""),500000)</f>
        <v>500000</v>
      </c>
      <c r="G4393" s="22">
        <f ca="1">IFERROR(__xludf.DUMMYFUNCTION("""COMPUTED_VALUE"""),0)</f>
        <v>0</v>
      </c>
      <c r="H4393" s="7">
        <f ca="1">IFERROR(__xludf.DUMMYFUNCTION("""COMPUTED_VALUE"""),500000)</f>
        <v>500000</v>
      </c>
    </row>
    <row r="4394" spans="1:8" ht="13" x14ac:dyDescent="0.15">
      <c r="A4394" s="5" t="str">
        <f ca="1">IFERROR(__xludf.DUMMYFUNCTION("""COMPUTED_VALUE"""),"77216")</f>
        <v>77216</v>
      </c>
      <c r="B4394" s="51">
        <f ca="1">IFERROR(__xludf.DUMMYFUNCTION("""COMPUTED_VALUE"""),44617)</f>
        <v>44617</v>
      </c>
      <c r="C4394" s="22">
        <f ca="1">IFERROR(__xludf.DUMMYFUNCTION("""COMPUTED_VALUE"""),500000)</f>
        <v>500000</v>
      </c>
      <c r="D4394" s="22">
        <f ca="1">IFERROR(__xludf.DUMMYFUNCTION("""COMPUTED_VALUE"""),0)</f>
        <v>0</v>
      </c>
      <c r="E4394" s="22">
        <f ca="1">IFERROR(__xludf.DUMMYFUNCTION("""COMPUTED_VALUE"""),500000)</f>
        <v>500000</v>
      </c>
      <c r="F4394" s="22">
        <f ca="1">IFERROR(__xludf.DUMMYFUNCTION("""COMPUTED_VALUE"""),500000)</f>
        <v>500000</v>
      </c>
      <c r="G4394" s="22">
        <f ca="1">IFERROR(__xludf.DUMMYFUNCTION("""COMPUTED_VALUE"""),0)</f>
        <v>0</v>
      </c>
      <c r="H4394" s="7">
        <f ca="1">IFERROR(__xludf.DUMMYFUNCTION("""COMPUTED_VALUE"""),500000)</f>
        <v>500000</v>
      </c>
    </row>
    <row r="4395" spans="1:8" ht="13" x14ac:dyDescent="0.15">
      <c r="A4395" s="5" t="str">
        <f ca="1">IFERROR(__xludf.DUMMYFUNCTION("""COMPUTED_VALUE"""),"77216")</f>
        <v>77216</v>
      </c>
      <c r="B4395" s="51">
        <f ca="1">IFERROR(__xludf.DUMMYFUNCTION("""COMPUTED_VALUE"""),44618)</f>
        <v>44618</v>
      </c>
      <c r="C4395" s="22">
        <f ca="1">IFERROR(__xludf.DUMMYFUNCTION("""COMPUTED_VALUE"""),500000)</f>
        <v>500000</v>
      </c>
      <c r="D4395" s="22">
        <f ca="1">IFERROR(__xludf.DUMMYFUNCTION("""COMPUTED_VALUE"""),0)</f>
        <v>0</v>
      </c>
      <c r="E4395" s="22">
        <f ca="1">IFERROR(__xludf.DUMMYFUNCTION("""COMPUTED_VALUE"""),500000)</f>
        <v>500000</v>
      </c>
      <c r="F4395" s="22">
        <f ca="1">IFERROR(__xludf.DUMMYFUNCTION("""COMPUTED_VALUE"""),500000)</f>
        <v>500000</v>
      </c>
      <c r="G4395" s="22">
        <f ca="1">IFERROR(__xludf.DUMMYFUNCTION("""COMPUTED_VALUE"""),0)</f>
        <v>0</v>
      </c>
      <c r="H4395" s="7">
        <f ca="1">IFERROR(__xludf.DUMMYFUNCTION("""COMPUTED_VALUE"""),500000)</f>
        <v>500000</v>
      </c>
    </row>
    <row r="4396" spans="1:8" ht="13" x14ac:dyDescent="0.15">
      <c r="A4396" s="5" t="str">
        <f ca="1">IFERROR(__xludf.DUMMYFUNCTION("""COMPUTED_VALUE"""),"77216")</f>
        <v>77216</v>
      </c>
      <c r="B4396" s="51">
        <f ca="1">IFERROR(__xludf.DUMMYFUNCTION("""COMPUTED_VALUE"""),44619)</f>
        <v>44619</v>
      </c>
      <c r="C4396" s="22">
        <f ca="1">IFERROR(__xludf.DUMMYFUNCTION("""COMPUTED_VALUE"""),500000)</f>
        <v>500000</v>
      </c>
      <c r="D4396" s="22">
        <f ca="1">IFERROR(__xludf.DUMMYFUNCTION("""COMPUTED_VALUE"""),0)</f>
        <v>0</v>
      </c>
      <c r="E4396" s="22">
        <f ca="1">IFERROR(__xludf.DUMMYFUNCTION("""COMPUTED_VALUE"""),500000)</f>
        <v>500000</v>
      </c>
      <c r="F4396" s="22">
        <f ca="1">IFERROR(__xludf.DUMMYFUNCTION("""COMPUTED_VALUE"""),500000)</f>
        <v>500000</v>
      </c>
      <c r="G4396" s="22">
        <f ca="1">IFERROR(__xludf.DUMMYFUNCTION("""COMPUTED_VALUE"""),0)</f>
        <v>0</v>
      </c>
      <c r="H4396" s="7">
        <f ca="1">IFERROR(__xludf.DUMMYFUNCTION("""COMPUTED_VALUE"""),500000)</f>
        <v>500000</v>
      </c>
    </row>
    <row r="4397" spans="1:8" ht="13" x14ac:dyDescent="0.15">
      <c r="A4397" s="5" t="str">
        <f ca="1">IFERROR(__xludf.DUMMYFUNCTION("""COMPUTED_VALUE"""),"77216")</f>
        <v>77216</v>
      </c>
      <c r="B4397" s="51">
        <f ca="1">IFERROR(__xludf.DUMMYFUNCTION("""COMPUTED_VALUE"""),44620)</f>
        <v>44620</v>
      </c>
      <c r="C4397" s="22">
        <f ca="1">IFERROR(__xludf.DUMMYFUNCTION("""COMPUTED_VALUE"""),500000)</f>
        <v>500000</v>
      </c>
      <c r="D4397" s="22">
        <f ca="1">IFERROR(__xludf.DUMMYFUNCTION("""COMPUTED_VALUE"""),0)</f>
        <v>0</v>
      </c>
      <c r="E4397" s="22">
        <f ca="1">IFERROR(__xludf.DUMMYFUNCTION("""COMPUTED_VALUE"""),500000)</f>
        <v>500000</v>
      </c>
      <c r="F4397" s="22">
        <f ca="1">IFERROR(__xludf.DUMMYFUNCTION("""COMPUTED_VALUE"""),500000)</f>
        <v>500000</v>
      </c>
      <c r="G4397" s="22">
        <f ca="1">IFERROR(__xludf.DUMMYFUNCTION("""COMPUTED_VALUE"""),0)</f>
        <v>0</v>
      </c>
      <c r="H4397" s="7">
        <f ca="1">IFERROR(__xludf.DUMMYFUNCTION("""COMPUTED_VALUE"""),500000)</f>
        <v>500000</v>
      </c>
    </row>
    <row r="4398" spans="1:8" ht="13" x14ac:dyDescent="0.15">
      <c r="A4398" s="5" t="str">
        <f ca="1">IFERROR(__xludf.DUMMYFUNCTION("""COMPUTED_VALUE"""),"77216")</f>
        <v>77216</v>
      </c>
      <c r="B4398" s="51">
        <f ca="1">IFERROR(__xludf.DUMMYFUNCTION("""COMPUTED_VALUE"""),44621)</f>
        <v>44621</v>
      </c>
      <c r="C4398" s="22">
        <f ca="1">IFERROR(__xludf.DUMMYFUNCTION("""COMPUTED_VALUE"""),500000)</f>
        <v>500000</v>
      </c>
      <c r="D4398" s="22">
        <f ca="1">IFERROR(__xludf.DUMMYFUNCTION("""COMPUTED_VALUE"""),0)</f>
        <v>0</v>
      </c>
      <c r="E4398" s="22">
        <f ca="1">IFERROR(__xludf.DUMMYFUNCTION("""COMPUTED_VALUE"""),500000)</f>
        <v>500000</v>
      </c>
      <c r="F4398" s="22">
        <f ca="1">IFERROR(__xludf.DUMMYFUNCTION("""COMPUTED_VALUE"""),500000)</f>
        <v>500000</v>
      </c>
      <c r="G4398" s="22">
        <f ca="1">IFERROR(__xludf.DUMMYFUNCTION("""COMPUTED_VALUE"""),0)</f>
        <v>0</v>
      </c>
      <c r="H4398" s="7">
        <f ca="1">IFERROR(__xludf.DUMMYFUNCTION("""COMPUTED_VALUE"""),500000)</f>
        <v>500000</v>
      </c>
    </row>
    <row r="4399" spans="1:8" ht="13" x14ac:dyDescent="0.15">
      <c r="A4399" s="5" t="str">
        <f ca="1">IFERROR(__xludf.DUMMYFUNCTION("""COMPUTED_VALUE"""),"77216")</f>
        <v>77216</v>
      </c>
      <c r="B4399" s="51">
        <f ca="1">IFERROR(__xludf.DUMMYFUNCTION("""COMPUTED_VALUE"""),44622)</f>
        <v>44622</v>
      </c>
      <c r="C4399" s="22">
        <f ca="1">IFERROR(__xludf.DUMMYFUNCTION("""COMPUTED_VALUE"""),500000)</f>
        <v>500000</v>
      </c>
      <c r="D4399" s="22">
        <f ca="1">IFERROR(__xludf.DUMMYFUNCTION("""COMPUTED_VALUE"""),0)</f>
        <v>0</v>
      </c>
      <c r="E4399" s="22">
        <f ca="1">IFERROR(__xludf.DUMMYFUNCTION("""COMPUTED_VALUE"""),500000)</f>
        <v>500000</v>
      </c>
      <c r="F4399" s="22">
        <f ca="1">IFERROR(__xludf.DUMMYFUNCTION("""COMPUTED_VALUE"""),500000)</f>
        <v>500000</v>
      </c>
      <c r="G4399" s="22">
        <f ca="1">IFERROR(__xludf.DUMMYFUNCTION("""COMPUTED_VALUE"""),0)</f>
        <v>0</v>
      </c>
      <c r="H4399" s="7">
        <f ca="1">IFERROR(__xludf.DUMMYFUNCTION("""COMPUTED_VALUE"""),500000)</f>
        <v>500000</v>
      </c>
    </row>
    <row r="4400" spans="1:8" ht="13" x14ac:dyDescent="0.15">
      <c r="A4400" s="5" t="str">
        <f ca="1">IFERROR(__xludf.DUMMYFUNCTION("""COMPUTED_VALUE"""),"77216")</f>
        <v>77216</v>
      </c>
      <c r="B4400" s="51">
        <f ca="1">IFERROR(__xludf.DUMMYFUNCTION("""COMPUTED_VALUE"""),44623)</f>
        <v>44623</v>
      </c>
      <c r="C4400" s="22">
        <f ca="1">IFERROR(__xludf.DUMMYFUNCTION("""COMPUTED_VALUE"""),500000)</f>
        <v>500000</v>
      </c>
      <c r="D4400" s="22">
        <f ca="1">IFERROR(__xludf.DUMMYFUNCTION("""COMPUTED_VALUE"""),0)</f>
        <v>0</v>
      </c>
      <c r="E4400" s="22">
        <f ca="1">IFERROR(__xludf.DUMMYFUNCTION("""COMPUTED_VALUE"""),500000)</f>
        <v>500000</v>
      </c>
      <c r="F4400" s="22">
        <f ca="1">IFERROR(__xludf.DUMMYFUNCTION("""COMPUTED_VALUE"""),500000)</f>
        <v>500000</v>
      </c>
      <c r="G4400" s="22">
        <f ca="1">IFERROR(__xludf.DUMMYFUNCTION("""COMPUTED_VALUE"""),0)</f>
        <v>0</v>
      </c>
      <c r="H4400" s="7">
        <f ca="1">IFERROR(__xludf.DUMMYFUNCTION("""COMPUTED_VALUE"""),500000)</f>
        <v>500000</v>
      </c>
    </row>
    <row r="4401" spans="1:8" ht="13" x14ac:dyDescent="0.15">
      <c r="A4401" s="5" t="str">
        <f ca="1">IFERROR(__xludf.DUMMYFUNCTION("""COMPUTED_VALUE"""),"77216")</f>
        <v>77216</v>
      </c>
      <c r="B4401" s="51">
        <f ca="1">IFERROR(__xludf.DUMMYFUNCTION("""COMPUTED_VALUE"""),44624)</f>
        <v>44624</v>
      </c>
      <c r="C4401" s="22">
        <f ca="1">IFERROR(__xludf.DUMMYFUNCTION("""COMPUTED_VALUE"""),500000)</f>
        <v>500000</v>
      </c>
      <c r="D4401" s="22">
        <f ca="1">IFERROR(__xludf.DUMMYFUNCTION("""COMPUTED_VALUE"""),0)</f>
        <v>0</v>
      </c>
      <c r="E4401" s="22">
        <f ca="1">IFERROR(__xludf.DUMMYFUNCTION("""COMPUTED_VALUE"""),500000)</f>
        <v>500000</v>
      </c>
      <c r="F4401" s="22">
        <f ca="1">IFERROR(__xludf.DUMMYFUNCTION("""COMPUTED_VALUE"""),500000)</f>
        <v>500000</v>
      </c>
      <c r="G4401" s="22">
        <f ca="1">IFERROR(__xludf.DUMMYFUNCTION("""COMPUTED_VALUE"""),0)</f>
        <v>0</v>
      </c>
      <c r="H4401" s="7">
        <f ca="1">IFERROR(__xludf.DUMMYFUNCTION("""COMPUTED_VALUE"""),500000)</f>
        <v>500000</v>
      </c>
    </row>
    <row r="4402" spans="1:8" ht="13" x14ac:dyDescent="0.15">
      <c r="A4402" s="5" t="str">
        <f ca="1">IFERROR(__xludf.DUMMYFUNCTION("""COMPUTED_VALUE"""),"77216")</f>
        <v>77216</v>
      </c>
      <c r="B4402" s="51">
        <f ca="1">IFERROR(__xludf.DUMMYFUNCTION("""COMPUTED_VALUE"""),44625)</f>
        <v>44625</v>
      </c>
      <c r="C4402" s="22">
        <f ca="1">IFERROR(__xludf.DUMMYFUNCTION("""COMPUTED_VALUE"""),500000)</f>
        <v>500000</v>
      </c>
      <c r="D4402" s="22">
        <f ca="1">IFERROR(__xludf.DUMMYFUNCTION("""COMPUTED_VALUE"""),0)</f>
        <v>0</v>
      </c>
      <c r="E4402" s="22">
        <f ca="1">IFERROR(__xludf.DUMMYFUNCTION("""COMPUTED_VALUE"""),500000)</f>
        <v>500000</v>
      </c>
      <c r="F4402" s="22">
        <f ca="1">IFERROR(__xludf.DUMMYFUNCTION("""COMPUTED_VALUE"""),500000)</f>
        <v>500000</v>
      </c>
      <c r="G4402" s="22">
        <f ca="1">IFERROR(__xludf.DUMMYFUNCTION("""COMPUTED_VALUE"""),0)</f>
        <v>0</v>
      </c>
      <c r="H4402" s="7">
        <f ca="1">IFERROR(__xludf.DUMMYFUNCTION("""COMPUTED_VALUE"""),500000)</f>
        <v>500000</v>
      </c>
    </row>
    <row r="4403" spans="1:8" ht="13" x14ac:dyDescent="0.15">
      <c r="A4403" s="5" t="str">
        <f ca="1">IFERROR(__xludf.DUMMYFUNCTION("""COMPUTED_VALUE"""),"77216")</f>
        <v>77216</v>
      </c>
      <c r="B4403" s="51">
        <f ca="1">IFERROR(__xludf.DUMMYFUNCTION("""COMPUTED_VALUE"""),44626)</f>
        <v>44626</v>
      </c>
      <c r="C4403" s="22">
        <f ca="1">IFERROR(__xludf.DUMMYFUNCTION("""COMPUTED_VALUE"""),500000)</f>
        <v>500000</v>
      </c>
      <c r="D4403" s="22">
        <f ca="1">IFERROR(__xludf.DUMMYFUNCTION("""COMPUTED_VALUE"""),0)</f>
        <v>0</v>
      </c>
      <c r="E4403" s="22">
        <f ca="1">IFERROR(__xludf.DUMMYFUNCTION("""COMPUTED_VALUE"""),500000)</f>
        <v>500000</v>
      </c>
      <c r="F4403" s="22">
        <f ca="1">IFERROR(__xludf.DUMMYFUNCTION("""COMPUTED_VALUE"""),500000)</f>
        <v>500000</v>
      </c>
      <c r="G4403" s="22">
        <f ca="1">IFERROR(__xludf.DUMMYFUNCTION("""COMPUTED_VALUE"""),0)</f>
        <v>0</v>
      </c>
      <c r="H4403" s="7">
        <f ca="1">IFERROR(__xludf.DUMMYFUNCTION("""COMPUTED_VALUE"""),500000)</f>
        <v>500000</v>
      </c>
    </row>
    <row r="4404" spans="1:8" ht="13" x14ac:dyDescent="0.15">
      <c r="A4404" s="5" t="str">
        <f ca="1">IFERROR(__xludf.DUMMYFUNCTION("""COMPUTED_VALUE"""),"77216")</f>
        <v>77216</v>
      </c>
      <c r="B4404" s="51">
        <f ca="1">IFERROR(__xludf.DUMMYFUNCTION("""COMPUTED_VALUE"""),44627)</f>
        <v>44627</v>
      </c>
      <c r="C4404" s="22">
        <f ca="1">IFERROR(__xludf.DUMMYFUNCTION("""COMPUTED_VALUE"""),500000)</f>
        <v>500000</v>
      </c>
      <c r="D4404" s="22">
        <f ca="1">IFERROR(__xludf.DUMMYFUNCTION("""COMPUTED_VALUE"""),0)</f>
        <v>0</v>
      </c>
      <c r="E4404" s="22">
        <f ca="1">IFERROR(__xludf.DUMMYFUNCTION("""COMPUTED_VALUE"""),500000)</f>
        <v>500000</v>
      </c>
      <c r="F4404" s="22">
        <f ca="1">IFERROR(__xludf.DUMMYFUNCTION("""COMPUTED_VALUE"""),500000)</f>
        <v>500000</v>
      </c>
      <c r="G4404" s="22">
        <f ca="1">IFERROR(__xludf.DUMMYFUNCTION("""COMPUTED_VALUE"""),0)</f>
        <v>0</v>
      </c>
      <c r="H4404" s="7">
        <f ca="1">IFERROR(__xludf.DUMMYFUNCTION("""COMPUTED_VALUE"""),500000)</f>
        <v>500000</v>
      </c>
    </row>
    <row r="4405" spans="1:8" ht="13" x14ac:dyDescent="0.15">
      <c r="A4405" s="5" t="str">
        <f ca="1">IFERROR(__xludf.DUMMYFUNCTION("""COMPUTED_VALUE"""),"77216")</f>
        <v>77216</v>
      </c>
      <c r="B4405" s="51">
        <f ca="1">IFERROR(__xludf.DUMMYFUNCTION("""COMPUTED_VALUE"""),44628)</f>
        <v>44628</v>
      </c>
      <c r="C4405" s="22">
        <f ca="1">IFERROR(__xludf.DUMMYFUNCTION("""COMPUTED_VALUE"""),500000)</f>
        <v>500000</v>
      </c>
      <c r="D4405" s="22">
        <f ca="1">IFERROR(__xludf.DUMMYFUNCTION("""COMPUTED_VALUE"""),0)</f>
        <v>0</v>
      </c>
      <c r="E4405" s="22">
        <f ca="1">IFERROR(__xludf.DUMMYFUNCTION("""COMPUTED_VALUE"""),500000)</f>
        <v>500000</v>
      </c>
      <c r="F4405" s="22">
        <f ca="1">IFERROR(__xludf.DUMMYFUNCTION("""COMPUTED_VALUE"""),500000)</f>
        <v>500000</v>
      </c>
      <c r="G4405" s="22">
        <f ca="1">IFERROR(__xludf.DUMMYFUNCTION("""COMPUTED_VALUE"""),0)</f>
        <v>0</v>
      </c>
      <c r="H4405" s="7">
        <f ca="1">IFERROR(__xludf.DUMMYFUNCTION("""COMPUTED_VALUE"""),500000)</f>
        <v>500000</v>
      </c>
    </row>
    <row r="4406" spans="1:8" ht="13" x14ac:dyDescent="0.15">
      <c r="A4406" s="5" t="str">
        <f ca="1">IFERROR(__xludf.DUMMYFUNCTION("""COMPUTED_VALUE"""),"77216")</f>
        <v>77216</v>
      </c>
      <c r="B4406" s="51">
        <f ca="1">IFERROR(__xludf.DUMMYFUNCTION("""COMPUTED_VALUE"""),44629)</f>
        <v>44629</v>
      </c>
      <c r="C4406" s="22">
        <f ca="1">IFERROR(__xludf.DUMMYFUNCTION("""COMPUTED_VALUE"""),500000)</f>
        <v>500000</v>
      </c>
      <c r="D4406" s="22">
        <f ca="1">IFERROR(__xludf.DUMMYFUNCTION("""COMPUTED_VALUE"""),0)</f>
        <v>0</v>
      </c>
      <c r="E4406" s="22">
        <f ca="1">IFERROR(__xludf.DUMMYFUNCTION("""COMPUTED_VALUE"""),500000)</f>
        <v>500000</v>
      </c>
      <c r="F4406" s="22">
        <f ca="1">IFERROR(__xludf.DUMMYFUNCTION("""COMPUTED_VALUE"""),500000)</f>
        <v>500000</v>
      </c>
      <c r="G4406" s="22">
        <f ca="1">IFERROR(__xludf.DUMMYFUNCTION("""COMPUTED_VALUE"""),0)</f>
        <v>0</v>
      </c>
      <c r="H4406" s="7">
        <f ca="1">IFERROR(__xludf.DUMMYFUNCTION("""COMPUTED_VALUE"""),500000)</f>
        <v>500000</v>
      </c>
    </row>
    <row r="4407" spans="1:8" ht="13" x14ac:dyDescent="0.15">
      <c r="A4407" s="5" t="str">
        <f ca="1">IFERROR(__xludf.DUMMYFUNCTION("""COMPUTED_VALUE"""),"77216")</f>
        <v>77216</v>
      </c>
      <c r="B4407" s="51">
        <f ca="1">IFERROR(__xludf.DUMMYFUNCTION("""COMPUTED_VALUE"""),44630)</f>
        <v>44630</v>
      </c>
      <c r="C4407" s="22">
        <f ca="1">IFERROR(__xludf.DUMMYFUNCTION("""COMPUTED_VALUE"""),500000)</f>
        <v>500000</v>
      </c>
      <c r="D4407" s="22">
        <f ca="1">IFERROR(__xludf.DUMMYFUNCTION("""COMPUTED_VALUE"""),0)</f>
        <v>0</v>
      </c>
      <c r="E4407" s="22">
        <f ca="1">IFERROR(__xludf.DUMMYFUNCTION("""COMPUTED_VALUE"""),500000)</f>
        <v>500000</v>
      </c>
      <c r="F4407" s="22">
        <f ca="1">IFERROR(__xludf.DUMMYFUNCTION("""COMPUTED_VALUE"""),500000)</f>
        <v>500000</v>
      </c>
      <c r="G4407" s="22">
        <f ca="1">IFERROR(__xludf.DUMMYFUNCTION("""COMPUTED_VALUE"""),0)</f>
        <v>0</v>
      </c>
      <c r="H4407" s="7">
        <f ca="1">IFERROR(__xludf.DUMMYFUNCTION("""COMPUTED_VALUE"""),500000)</f>
        <v>500000</v>
      </c>
    </row>
    <row r="4408" spans="1:8" ht="13" x14ac:dyDescent="0.15">
      <c r="A4408" s="5" t="str">
        <f ca="1">IFERROR(__xludf.DUMMYFUNCTION("""COMPUTED_VALUE"""),"77216")</f>
        <v>77216</v>
      </c>
      <c r="B4408" s="51">
        <f ca="1">IFERROR(__xludf.DUMMYFUNCTION("""COMPUTED_VALUE"""),44631)</f>
        <v>44631</v>
      </c>
      <c r="C4408" s="22">
        <f ca="1">IFERROR(__xludf.DUMMYFUNCTION("""COMPUTED_VALUE"""),500000)</f>
        <v>500000</v>
      </c>
      <c r="D4408" s="22">
        <f ca="1">IFERROR(__xludf.DUMMYFUNCTION("""COMPUTED_VALUE"""),0)</f>
        <v>0</v>
      </c>
      <c r="E4408" s="22">
        <f ca="1">IFERROR(__xludf.DUMMYFUNCTION("""COMPUTED_VALUE"""),500000)</f>
        <v>500000</v>
      </c>
      <c r="F4408" s="22">
        <f ca="1">IFERROR(__xludf.DUMMYFUNCTION("""COMPUTED_VALUE"""),500000)</f>
        <v>500000</v>
      </c>
      <c r="G4408" s="22">
        <f ca="1">IFERROR(__xludf.DUMMYFUNCTION("""COMPUTED_VALUE"""),0)</f>
        <v>0</v>
      </c>
      <c r="H4408" s="7">
        <f ca="1">IFERROR(__xludf.DUMMYFUNCTION("""COMPUTED_VALUE"""),500000)</f>
        <v>500000</v>
      </c>
    </row>
    <row r="4409" spans="1:8" ht="13" x14ac:dyDescent="0.15">
      <c r="A4409" s="5" t="str">
        <f ca="1">IFERROR(__xludf.DUMMYFUNCTION("""COMPUTED_VALUE"""),"77216")</f>
        <v>77216</v>
      </c>
      <c r="B4409" s="51">
        <f ca="1">IFERROR(__xludf.DUMMYFUNCTION("""COMPUTED_VALUE"""),44632)</f>
        <v>44632</v>
      </c>
      <c r="C4409" s="22">
        <f ca="1">IFERROR(__xludf.DUMMYFUNCTION("""COMPUTED_VALUE"""),500000)</f>
        <v>500000</v>
      </c>
      <c r="D4409" s="22">
        <f ca="1">IFERROR(__xludf.DUMMYFUNCTION("""COMPUTED_VALUE"""),0)</f>
        <v>0</v>
      </c>
      <c r="E4409" s="22">
        <f ca="1">IFERROR(__xludf.DUMMYFUNCTION("""COMPUTED_VALUE"""),500000)</f>
        <v>500000</v>
      </c>
      <c r="F4409" s="22">
        <f ca="1">IFERROR(__xludf.DUMMYFUNCTION("""COMPUTED_VALUE"""),500000)</f>
        <v>500000</v>
      </c>
      <c r="G4409" s="22">
        <f ca="1">IFERROR(__xludf.DUMMYFUNCTION("""COMPUTED_VALUE"""),0)</f>
        <v>0</v>
      </c>
      <c r="H4409" s="7">
        <f ca="1">IFERROR(__xludf.DUMMYFUNCTION("""COMPUTED_VALUE"""),500000)</f>
        <v>500000</v>
      </c>
    </row>
    <row r="4410" spans="1:8" ht="13" x14ac:dyDescent="0.15">
      <c r="A4410" s="5" t="str">
        <f ca="1">IFERROR(__xludf.DUMMYFUNCTION("""COMPUTED_VALUE"""),"77216")</f>
        <v>77216</v>
      </c>
      <c r="B4410" s="51">
        <f ca="1">IFERROR(__xludf.DUMMYFUNCTION("""COMPUTED_VALUE"""),44633)</f>
        <v>44633</v>
      </c>
      <c r="C4410" s="22">
        <f ca="1">IFERROR(__xludf.DUMMYFUNCTION("""COMPUTED_VALUE"""),500000)</f>
        <v>500000</v>
      </c>
      <c r="D4410" s="22">
        <f ca="1">IFERROR(__xludf.DUMMYFUNCTION("""COMPUTED_VALUE"""),0)</f>
        <v>0</v>
      </c>
      <c r="E4410" s="22">
        <f ca="1">IFERROR(__xludf.DUMMYFUNCTION("""COMPUTED_VALUE"""),500000)</f>
        <v>500000</v>
      </c>
      <c r="F4410" s="22">
        <f ca="1">IFERROR(__xludf.DUMMYFUNCTION("""COMPUTED_VALUE"""),500000)</f>
        <v>500000</v>
      </c>
      <c r="G4410" s="22">
        <f ca="1">IFERROR(__xludf.DUMMYFUNCTION("""COMPUTED_VALUE"""),0)</f>
        <v>0</v>
      </c>
      <c r="H4410" s="7">
        <f ca="1">IFERROR(__xludf.DUMMYFUNCTION("""COMPUTED_VALUE"""),500000)</f>
        <v>500000</v>
      </c>
    </row>
    <row r="4411" spans="1:8" ht="13" x14ac:dyDescent="0.15">
      <c r="A4411" s="5" t="str">
        <f ca="1">IFERROR(__xludf.DUMMYFUNCTION("""COMPUTED_VALUE"""),"77216")</f>
        <v>77216</v>
      </c>
      <c r="B4411" s="51">
        <f ca="1">IFERROR(__xludf.DUMMYFUNCTION("""COMPUTED_VALUE"""),44634)</f>
        <v>44634</v>
      </c>
      <c r="C4411" s="22">
        <f ca="1">IFERROR(__xludf.DUMMYFUNCTION("""COMPUTED_VALUE"""),500000)</f>
        <v>500000</v>
      </c>
      <c r="D4411" s="22">
        <f ca="1">IFERROR(__xludf.DUMMYFUNCTION("""COMPUTED_VALUE"""),0)</f>
        <v>0</v>
      </c>
      <c r="E4411" s="22">
        <f ca="1">IFERROR(__xludf.DUMMYFUNCTION("""COMPUTED_VALUE"""),500000)</f>
        <v>500000</v>
      </c>
      <c r="F4411" s="22">
        <f ca="1">IFERROR(__xludf.DUMMYFUNCTION("""COMPUTED_VALUE"""),500000)</f>
        <v>500000</v>
      </c>
      <c r="G4411" s="22">
        <f ca="1">IFERROR(__xludf.DUMMYFUNCTION("""COMPUTED_VALUE"""),0)</f>
        <v>0</v>
      </c>
      <c r="H4411" s="7">
        <f ca="1">IFERROR(__xludf.DUMMYFUNCTION("""COMPUTED_VALUE"""),500000)</f>
        <v>500000</v>
      </c>
    </row>
    <row r="4412" spans="1:8" ht="13" x14ac:dyDescent="0.15">
      <c r="A4412" s="5" t="str">
        <f ca="1">IFERROR(__xludf.DUMMYFUNCTION("""COMPUTED_VALUE"""),"77216")</f>
        <v>77216</v>
      </c>
      <c r="B4412" s="51">
        <f ca="1">IFERROR(__xludf.DUMMYFUNCTION("""COMPUTED_VALUE"""),44635)</f>
        <v>44635</v>
      </c>
      <c r="C4412" s="22">
        <f ca="1">IFERROR(__xludf.DUMMYFUNCTION("""COMPUTED_VALUE"""),500000)</f>
        <v>500000</v>
      </c>
      <c r="D4412" s="22">
        <f ca="1">IFERROR(__xludf.DUMMYFUNCTION("""COMPUTED_VALUE"""),0)</f>
        <v>0</v>
      </c>
      <c r="E4412" s="22">
        <f ca="1">IFERROR(__xludf.DUMMYFUNCTION("""COMPUTED_VALUE"""),500000)</f>
        <v>500000</v>
      </c>
      <c r="F4412" s="22">
        <f ca="1">IFERROR(__xludf.DUMMYFUNCTION("""COMPUTED_VALUE"""),500000)</f>
        <v>500000</v>
      </c>
      <c r="G4412" s="22">
        <f ca="1">IFERROR(__xludf.DUMMYFUNCTION("""COMPUTED_VALUE"""),0)</f>
        <v>0</v>
      </c>
      <c r="H4412" s="7">
        <f ca="1">IFERROR(__xludf.DUMMYFUNCTION("""COMPUTED_VALUE"""),500000)</f>
        <v>500000</v>
      </c>
    </row>
    <row r="4413" spans="1:8" ht="13" x14ac:dyDescent="0.15">
      <c r="A4413" s="5" t="str">
        <f ca="1">IFERROR(__xludf.DUMMYFUNCTION("""COMPUTED_VALUE"""),"77216")</f>
        <v>77216</v>
      </c>
      <c r="B4413" s="51">
        <f ca="1">IFERROR(__xludf.DUMMYFUNCTION("""COMPUTED_VALUE"""),44636)</f>
        <v>44636</v>
      </c>
      <c r="C4413" s="22">
        <f ca="1">IFERROR(__xludf.DUMMYFUNCTION("""COMPUTED_VALUE"""),500000)</f>
        <v>500000</v>
      </c>
      <c r="D4413" s="22">
        <f ca="1">IFERROR(__xludf.DUMMYFUNCTION("""COMPUTED_VALUE"""),0)</f>
        <v>0</v>
      </c>
      <c r="E4413" s="22">
        <f ca="1">IFERROR(__xludf.DUMMYFUNCTION("""COMPUTED_VALUE"""),500000)</f>
        <v>500000</v>
      </c>
      <c r="F4413" s="22">
        <f ca="1">IFERROR(__xludf.DUMMYFUNCTION("""COMPUTED_VALUE"""),500000)</f>
        <v>500000</v>
      </c>
      <c r="G4413" s="22">
        <f ca="1">IFERROR(__xludf.DUMMYFUNCTION("""COMPUTED_VALUE"""),0)</f>
        <v>0</v>
      </c>
      <c r="H4413" s="7">
        <f ca="1">IFERROR(__xludf.DUMMYFUNCTION("""COMPUTED_VALUE"""),500000)</f>
        <v>500000</v>
      </c>
    </row>
    <row r="4414" spans="1:8" ht="13" x14ac:dyDescent="0.15">
      <c r="A4414" s="5" t="str">
        <f ca="1">IFERROR(__xludf.DUMMYFUNCTION("""COMPUTED_VALUE"""),"77216")</f>
        <v>77216</v>
      </c>
      <c r="B4414" s="51">
        <f ca="1">IFERROR(__xludf.DUMMYFUNCTION("""COMPUTED_VALUE"""),44637)</f>
        <v>44637</v>
      </c>
      <c r="C4414" s="22">
        <f ca="1">IFERROR(__xludf.DUMMYFUNCTION("""COMPUTED_VALUE"""),500000)</f>
        <v>500000</v>
      </c>
      <c r="D4414" s="22">
        <f ca="1">IFERROR(__xludf.DUMMYFUNCTION("""COMPUTED_VALUE"""),0)</f>
        <v>0</v>
      </c>
      <c r="E4414" s="22">
        <f ca="1">IFERROR(__xludf.DUMMYFUNCTION("""COMPUTED_VALUE"""),500000)</f>
        <v>500000</v>
      </c>
      <c r="F4414" s="22">
        <f ca="1">IFERROR(__xludf.DUMMYFUNCTION("""COMPUTED_VALUE"""),500000)</f>
        <v>500000</v>
      </c>
      <c r="G4414" s="22">
        <f ca="1">IFERROR(__xludf.DUMMYFUNCTION("""COMPUTED_VALUE"""),0)</f>
        <v>0</v>
      </c>
      <c r="H4414" s="7">
        <f ca="1">IFERROR(__xludf.DUMMYFUNCTION("""COMPUTED_VALUE"""),500000)</f>
        <v>500000</v>
      </c>
    </row>
    <row r="4415" spans="1:8" ht="13" x14ac:dyDescent="0.15">
      <c r="A4415" s="5" t="str">
        <f ca="1">IFERROR(__xludf.DUMMYFUNCTION("""COMPUTED_VALUE"""),"77216")</f>
        <v>77216</v>
      </c>
      <c r="B4415" s="51">
        <f ca="1">IFERROR(__xludf.DUMMYFUNCTION("""COMPUTED_VALUE"""),44638)</f>
        <v>44638</v>
      </c>
      <c r="C4415" s="22">
        <f ca="1">IFERROR(__xludf.DUMMYFUNCTION("""COMPUTED_VALUE"""),500000)</f>
        <v>500000</v>
      </c>
      <c r="D4415" s="22">
        <f ca="1">IFERROR(__xludf.DUMMYFUNCTION("""COMPUTED_VALUE"""),0)</f>
        <v>0</v>
      </c>
      <c r="E4415" s="22">
        <f ca="1">IFERROR(__xludf.DUMMYFUNCTION("""COMPUTED_VALUE"""),500000)</f>
        <v>500000</v>
      </c>
      <c r="F4415" s="22">
        <f ca="1">IFERROR(__xludf.DUMMYFUNCTION("""COMPUTED_VALUE"""),500000)</f>
        <v>500000</v>
      </c>
      <c r="G4415" s="22">
        <f ca="1">IFERROR(__xludf.DUMMYFUNCTION("""COMPUTED_VALUE"""),0)</f>
        <v>0</v>
      </c>
      <c r="H4415" s="7">
        <f ca="1">IFERROR(__xludf.DUMMYFUNCTION("""COMPUTED_VALUE"""),500000)</f>
        <v>500000</v>
      </c>
    </row>
    <row r="4416" spans="1:8" ht="13" x14ac:dyDescent="0.15">
      <c r="A4416" s="5" t="str">
        <f ca="1">IFERROR(__xludf.DUMMYFUNCTION("""COMPUTED_VALUE"""),"77216")</f>
        <v>77216</v>
      </c>
      <c r="B4416" s="51">
        <f ca="1">IFERROR(__xludf.DUMMYFUNCTION("""COMPUTED_VALUE"""),44639)</f>
        <v>44639</v>
      </c>
      <c r="C4416" s="22">
        <f ca="1">IFERROR(__xludf.DUMMYFUNCTION("""COMPUTED_VALUE"""),500000)</f>
        <v>500000</v>
      </c>
      <c r="D4416" s="22">
        <f ca="1">IFERROR(__xludf.DUMMYFUNCTION("""COMPUTED_VALUE"""),0)</f>
        <v>0</v>
      </c>
      <c r="E4416" s="22">
        <f ca="1">IFERROR(__xludf.DUMMYFUNCTION("""COMPUTED_VALUE"""),500000)</f>
        <v>500000</v>
      </c>
      <c r="F4416" s="22">
        <f ca="1">IFERROR(__xludf.DUMMYFUNCTION("""COMPUTED_VALUE"""),500000)</f>
        <v>500000</v>
      </c>
      <c r="G4416" s="22">
        <f ca="1">IFERROR(__xludf.DUMMYFUNCTION("""COMPUTED_VALUE"""),0)</f>
        <v>0</v>
      </c>
      <c r="H4416" s="7">
        <f ca="1">IFERROR(__xludf.DUMMYFUNCTION("""COMPUTED_VALUE"""),500000)</f>
        <v>500000</v>
      </c>
    </row>
    <row r="4417" spans="1:8" ht="13" x14ac:dyDescent="0.15">
      <c r="A4417" s="5" t="str">
        <f ca="1">IFERROR(__xludf.DUMMYFUNCTION("""COMPUTED_VALUE"""),"77216")</f>
        <v>77216</v>
      </c>
      <c r="B4417" s="51">
        <f ca="1">IFERROR(__xludf.DUMMYFUNCTION("""COMPUTED_VALUE"""),44640)</f>
        <v>44640</v>
      </c>
      <c r="C4417" s="22">
        <f ca="1">IFERROR(__xludf.DUMMYFUNCTION("""COMPUTED_VALUE"""),500000)</f>
        <v>500000</v>
      </c>
      <c r="D4417" s="22">
        <f ca="1">IFERROR(__xludf.DUMMYFUNCTION("""COMPUTED_VALUE"""),0)</f>
        <v>0</v>
      </c>
      <c r="E4417" s="22">
        <f ca="1">IFERROR(__xludf.DUMMYFUNCTION("""COMPUTED_VALUE"""),500000)</f>
        <v>500000</v>
      </c>
      <c r="F4417" s="22">
        <f ca="1">IFERROR(__xludf.DUMMYFUNCTION("""COMPUTED_VALUE"""),500000)</f>
        <v>500000</v>
      </c>
      <c r="G4417" s="22">
        <f ca="1">IFERROR(__xludf.DUMMYFUNCTION("""COMPUTED_VALUE"""),0)</f>
        <v>0</v>
      </c>
      <c r="H4417" s="7">
        <f ca="1">IFERROR(__xludf.DUMMYFUNCTION("""COMPUTED_VALUE"""),500000)</f>
        <v>500000</v>
      </c>
    </row>
    <row r="4418" spans="1:8" ht="13" x14ac:dyDescent="0.15">
      <c r="A4418" s="5" t="str">
        <f ca="1">IFERROR(__xludf.DUMMYFUNCTION("""COMPUTED_VALUE"""),"77216")</f>
        <v>77216</v>
      </c>
      <c r="B4418" s="51">
        <f ca="1">IFERROR(__xludf.DUMMYFUNCTION("""COMPUTED_VALUE"""),44641)</f>
        <v>44641</v>
      </c>
      <c r="C4418" s="22">
        <f ca="1">IFERROR(__xludf.DUMMYFUNCTION("""COMPUTED_VALUE"""),500000)</f>
        <v>500000</v>
      </c>
      <c r="D4418" s="22">
        <f ca="1">IFERROR(__xludf.DUMMYFUNCTION("""COMPUTED_VALUE"""),0)</f>
        <v>0</v>
      </c>
      <c r="E4418" s="22">
        <f ca="1">IFERROR(__xludf.DUMMYFUNCTION("""COMPUTED_VALUE"""),500000)</f>
        <v>500000</v>
      </c>
      <c r="F4418" s="22">
        <f ca="1">IFERROR(__xludf.DUMMYFUNCTION("""COMPUTED_VALUE"""),500000)</f>
        <v>500000</v>
      </c>
      <c r="G4418" s="22">
        <f ca="1">IFERROR(__xludf.DUMMYFUNCTION("""COMPUTED_VALUE"""),0)</f>
        <v>0</v>
      </c>
      <c r="H4418" s="7">
        <f ca="1">IFERROR(__xludf.DUMMYFUNCTION("""COMPUTED_VALUE"""),500000)</f>
        <v>500000</v>
      </c>
    </row>
    <row r="4419" spans="1:8" ht="13" x14ac:dyDescent="0.15">
      <c r="A4419" s="5" t="str">
        <f ca="1">IFERROR(__xludf.DUMMYFUNCTION("""COMPUTED_VALUE"""),"77216")</f>
        <v>77216</v>
      </c>
      <c r="B4419" s="51">
        <f ca="1">IFERROR(__xludf.DUMMYFUNCTION("""COMPUTED_VALUE"""),44642)</f>
        <v>44642</v>
      </c>
      <c r="C4419" s="22">
        <f ca="1">IFERROR(__xludf.DUMMYFUNCTION("""COMPUTED_VALUE"""),500000)</f>
        <v>500000</v>
      </c>
      <c r="D4419" s="22">
        <f ca="1">IFERROR(__xludf.DUMMYFUNCTION("""COMPUTED_VALUE"""),0)</f>
        <v>0</v>
      </c>
      <c r="E4419" s="22">
        <f ca="1">IFERROR(__xludf.DUMMYFUNCTION("""COMPUTED_VALUE"""),500000)</f>
        <v>500000</v>
      </c>
      <c r="F4419" s="22">
        <f ca="1">IFERROR(__xludf.DUMMYFUNCTION("""COMPUTED_VALUE"""),500000)</f>
        <v>500000</v>
      </c>
      <c r="G4419" s="22">
        <f ca="1">IFERROR(__xludf.DUMMYFUNCTION("""COMPUTED_VALUE"""),0)</f>
        <v>0</v>
      </c>
      <c r="H4419" s="7">
        <f ca="1">IFERROR(__xludf.DUMMYFUNCTION("""COMPUTED_VALUE"""),500000)</f>
        <v>500000</v>
      </c>
    </row>
    <row r="4420" spans="1:8" ht="13" x14ac:dyDescent="0.15">
      <c r="A4420" s="5" t="str">
        <f ca="1">IFERROR(__xludf.DUMMYFUNCTION("""COMPUTED_VALUE"""),"77393")</f>
        <v>77393</v>
      </c>
      <c r="B4420" s="51">
        <f ca="1">IFERROR(__xludf.DUMMYFUNCTION("""COMPUTED_VALUE"""),44597)</f>
        <v>44597</v>
      </c>
      <c r="C4420" s="22">
        <f ca="1">IFERROR(__xludf.DUMMYFUNCTION("""COMPUTED_VALUE"""),500000)</f>
        <v>500000</v>
      </c>
      <c r="D4420" s="22">
        <f ca="1">IFERROR(__xludf.DUMMYFUNCTION("""COMPUTED_VALUE"""),0)</f>
        <v>0</v>
      </c>
      <c r="E4420" s="22">
        <f ca="1">IFERROR(__xludf.DUMMYFUNCTION("""COMPUTED_VALUE"""),500000)</f>
        <v>500000</v>
      </c>
      <c r="F4420" s="22">
        <f ca="1">IFERROR(__xludf.DUMMYFUNCTION("""COMPUTED_VALUE"""),500000)</f>
        <v>500000</v>
      </c>
      <c r="G4420" s="22">
        <f ca="1">IFERROR(__xludf.DUMMYFUNCTION("""COMPUTED_VALUE"""),0)</f>
        <v>0</v>
      </c>
      <c r="H4420" s="7">
        <f ca="1">IFERROR(__xludf.DUMMYFUNCTION("""COMPUTED_VALUE"""),500000)</f>
        <v>500000</v>
      </c>
    </row>
    <row r="4421" spans="1:8" ht="13" x14ac:dyDescent="0.15">
      <c r="A4421" s="5" t="str">
        <f ca="1">IFERROR(__xludf.DUMMYFUNCTION("""COMPUTED_VALUE"""),"77393")</f>
        <v>77393</v>
      </c>
      <c r="B4421" s="51">
        <f ca="1">IFERROR(__xludf.DUMMYFUNCTION("""COMPUTED_VALUE"""),44598)</f>
        <v>44598</v>
      </c>
      <c r="C4421" s="22">
        <f ca="1">IFERROR(__xludf.DUMMYFUNCTION("""COMPUTED_VALUE"""),500000)</f>
        <v>500000</v>
      </c>
      <c r="D4421" s="22">
        <f ca="1">IFERROR(__xludf.DUMMYFUNCTION("""COMPUTED_VALUE"""),0)</f>
        <v>0</v>
      </c>
      <c r="E4421" s="22">
        <f ca="1">IFERROR(__xludf.DUMMYFUNCTION("""COMPUTED_VALUE"""),500000)</f>
        <v>500000</v>
      </c>
      <c r="F4421" s="22">
        <f ca="1">IFERROR(__xludf.DUMMYFUNCTION("""COMPUTED_VALUE"""),500000)</f>
        <v>500000</v>
      </c>
      <c r="G4421" s="22">
        <f ca="1">IFERROR(__xludf.DUMMYFUNCTION("""COMPUTED_VALUE"""),0)</f>
        <v>0</v>
      </c>
      <c r="H4421" s="7">
        <f ca="1">IFERROR(__xludf.DUMMYFUNCTION("""COMPUTED_VALUE"""),500000)</f>
        <v>500000</v>
      </c>
    </row>
    <row r="4422" spans="1:8" ht="13" x14ac:dyDescent="0.15">
      <c r="A4422" s="5" t="str">
        <f ca="1">IFERROR(__xludf.DUMMYFUNCTION("""COMPUTED_VALUE"""),"77393")</f>
        <v>77393</v>
      </c>
      <c r="B4422" s="51">
        <f ca="1">IFERROR(__xludf.DUMMYFUNCTION("""COMPUTED_VALUE"""),44599)</f>
        <v>44599</v>
      </c>
      <c r="C4422" s="22">
        <f ca="1">IFERROR(__xludf.DUMMYFUNCTION("""COMPUTED_VALUE"""),500000)</f>
        <v>500000</v>
      </c>
      <c r="D4422" s="22">
        <f ca="1">IFERROR(__xludf.DUMMYFUNCTION("""COMPUTED_VALUE"""),0)</f>
        <v>0</v>
      </c>
      <c r="E4422" s="22">
        <f ca="1">IFERROR(__xludf.DUMMYFUNCTION("""COMPUTED_VALUE"""),500000)</f>
        <v>500000</v>
      </c>
      <c r="F4422" s="22">
        <f ca="1">IFERROR(__xludf.DUMMYFUNCTION("""COMPUTED_VALUE"""),500000)</f>
        <v>500000</v>
      </c>
      <c r="G4422" s="22">
        <f ca="1">IFERROR(__xludf.DUMMYFUNCTION("""COMPUTED_VALUE"""),0)</f>
        <v>0</v>
      </c>
      <c r="H4422" s="7">
        <f ca="1">IFERROR(__xludf.DUMMYFUNCTION("""COMPUTED_VALUE"""),500000)</f>
        <v>500000</v>
      </c>
    </row>
    <row r="4423" spans="1:8" ht="13" x14ac:dyDescent="0.15">
      <c r="A4423" s="5" t="str">
        <f ca="1">IFERROR(__xludf.DUMMYFUNCTION("""COMPUTED_VALUE"""),"77393")</f>
        <v>77393</v>
      </c>
      <c r="B4423" s="51">
        <f ca="1">IFERROR(__xludf.DUMMYFUNCTION("""COMPUTED_VALUE"""),44600)</f>
        <v>44600</v>
      </c>
      <c r="C4423" s="22">
        <f ca="1">IFERROR(__xludf.DUMMYFUNCTION("""COMPUTED_VALUE"""),500000)</f>
        <v>500000</v>
      </c>
      <c r="D4423" s="22">
        <f ca="1">IFERROR(__xludf.DUMMYFUNCTION("""COMPUTED_VALUE"""),0)</f>
        <v>0</v>
      </c>
      <c r="E4423" s="22">
        <f ca="1">IFERROR(__xludf.DUMMYFUNCTION("""COMPUTED_VALUE"""),500000)</f>
        <v>500000</v>
      </c>
      <c r="F4423" s="22">
        <f ca="1">IFERROR(__xludf.DUMMYFUNCTION("""COMPUTED_VALUE"""),500000)</f>
        <v>500000</v>
      </c>
      <c r="G4423" s="22">
        <f ca="1">IFERROR(__xludf.DUMMYFUNCTION("""COMPUTED_VALUE"""),0)</f>
        <v>0</v>
      </c>
      <c r="H4423" s="7">
        <f ca="1">IFERROR(__xludf.DUMMYFUNCTION("""COMPUTED_VALUE"""),500000)</f>
        <v>500000</v>
      </c>
    </row>
    <row r="4424" spans="1:8" ht="13" x14ac:dyDescent="0.15">
      <c r="A4424" s="5" t="str">
        <f ca="1">IFERROR(__xludf.DUMMYFUNCTION("""COMPUTED_VALUE"""),"77393")</f>
        <v>77393</v>
      </c>
      <c r="B4424" s="51">
        <f ca="1">IFERROR(__xludf.DUMMYFUNCTION("""COMPUTED_VALUE"""),44601)</f>
        <v>44601</v>
      </c>
      <c r="C4424" s="22">
        <f ca="1">IFERROR(__xludf.DUMMYFUNCTION("""COMPUTED_VALUE"""),500000)</f>
        <v>500000</v>
      </c>
      <c r="D4424" s="22">
        <f ca="1">IFERROR(__xludf.DUMMYFUNCTION("""COMPUTED_VALUE"""),0)</f>
        <v>0</v>
      </c>
      <c r="E4424" s="22">
        <f ca="1">IFERROR(__xludf.DUMMYFUNCTION("""COMPUTED_VALUE"""),500000)</f>
        <v>500000</v>
      </c>
      <c r="F4424" s="22">
        <f ca="1">IFERROR(__xludf.DUMMYFUNCTION("""COMPUTED_VALUE"""),500000)</f>
        <v>500000</v>
      </c>
      <c r="G4424" s="22">
        <f ca="1">IFERROR(__xludf.DUMMYFUNCTION("""COMPUTED_VALUE"""),0)</f>
        <v>0</v>
      </c>
      <c r="H4424" s="7">
        <f ca="1">IFERROR(__xludf.DUMMYFUNCTION("""COMPUTED_VALUE"""),500000)</f>
        <v>500000</v>
      </c>
    </row>
    <row r="4425" spans="1:8" ht="13" x14ac:dyDescent="0.15">
      <c r="A4425" s="5" t="str">
        <f ca="1">IFERROR(__xludf.DUMMYFUNCTION("""COMPUTED_VALUE"""),"77393")</f>
        <v>77393</v>
      </c>
      <c r="B4425" s="51">
        <f ca="1">IFERROR(__xludf.DUMMYFUNCTION("""COMPUTED_VALUE"""),44602)</f>
        <v>44602</v>
      </c>
      <c r="C4425" s="22">
        <f ca="1">IFERROR(__xludf.DUMMYFUNCTION("""COMPUTED_VALUE"""),500000)</f>
        <v>500000</v>
      </c>
      <c r="D4425" s="22">
        <f ca="1">IFERROR(__xludf.DUMMYFUNCTION("""COMPUTED_VALUE"""),0)</f>
        <v>0</v>
      </c>
      <c r="E4425" s="22">
        <f ca="1">IFERROR(__xludf.DUMMYFUNCTION("""COMPUTED_VALUE"""),500000)</f>
        <v>500000</v>
      </c>
      <c r="F4425" s="22">
        <f ca="1">IFERROR(__xludf.DUMMYFUNCTION("""COMPUTED_VALUE"""),500000)</f>
        <v>500000</v>
      </c>
      <c r="G4425" s="22">
        <f ca="1">IFERROR(__xludf.DUMMYFUNCTION("""COMPUTED_VALUE"""),0)</f>
        <v>0</v>
      </c>
      <c r="H4425" s="7">
        <f ca="1">IFERROR(__xludf.DUMMYFUNCTION("""COMPUTED_VALUE"""),500000)</f>
        <v>500000</v>
      </c>
    </row>
    <row r="4426" spans="1:8" ht="13" x14ac:dyDescent="0.15">
      <c r="A4426" s="5" t="str">
        <f ca="1">IFERROR(__xludf.DUMMYFUNCTION("""COMPUTED_VALUE"""),"77393")</f>
        <v>77393</v>
      </c>
      <c r="B4426" s="51">
        <f ca="1">IFERROR(__xludf.DUMMYFUNCTION("""COMPUTED_VALUE"""),44603)</f>
        <v>44603</v>
      </c>
      <c r="C4426" s="22">
        <f ca="1">IFERROR(__xludf.DUMMYFUNCTION("""COMPUTED_VALUE"""),500000)</f>
        <v>500000</v>
      </c>
      <c r="D4426" s="22">
        <f ca="1">IFERROR(__xludf.DUMMYFUNCTION("""COMPUTED_VALUE"""),0)</f>
        <v>0</v>
      </c>
      <c r="E4426" s="22">
        <f ca="1">IFERROR(__xludf.DUMMYFUNCTION("""COMPUTED_VALUE"""),500000)</f>
        <v>500000</v>
      </c>
      <c r="F4426" s="22">
        <f ca="1">IFERROR(__xludf.DUMMYFUNCTION("""COMPUTED_VALUE"""),500000)</f>
        <v>500000</v>
      </c>
      <c r="G4426" s="22">
        <f ca="1">IFERROR(__xludf.DUMMYFUNCTION("""COMPUTED_VALUE"""),0)</f>
        <v>0</v>
      </c>
      <c r="H4426" s="7">
        <f ca="1">IFERROR(__xludf.DUMMYFUNCTION("""COMPUTED_VALUE"""),500000)</f>
        <v>500000</v>
      </c>
    </row>
    <row r="4427" spans="1:8" ht="13" x14ac:dyDescent="0.15">
      <c r="A4427" s="5" t="str">
        <f ca="1">IFERROR(__xludf.DUMMYFUNCTION("""COMPUTED_VALUE"""),"77393")</f>
        <v>77393</v>
      </c>
      <c r="B4427" s="51">
        <f ca="1">IFERROR(__xludf.DUMMYFUNCTION("""COMPUTED_VALUE"""),44604)</f>
        <v>44604</v>
      </c>
      <c r="C4427" s="22">
        <f ca="1">IFERROR(__xludf.DUMMYFUNCTION("""COMPUTED_VALUE"""),500000)</f>
        <v>500000</v>
      </c>
      <c r="D4427" s="22">
        <f ca="1">IFERROR(__xludf.DUMMYFUNCTION("""COMPUTED_VALUE"""),0)</f>
        <v>0</v>
      </c>
      <c r="E4427" s="22">
        <f ca="1">IFERROR(__xludf.DUMMYFUNCTION("""COMPUTED_VALUE"""),500000)</f>
        <v>500000</v>
      </c>
      <c r="F4427" s="22">
        <f ca="1">IFERROR(__xludf.DUMMYFUNCTION("""COMPUTED_VALUE"""),500000)</f>
        <v>500000</v>
      </c>
      <c r="G4427" s="22">
        <f ca="1">IFERROR(__xludf.DUMMYFUNCTION("""COMPUTED_VALUE"""),0)</f>
        <v>0</v>
      </c>
      <c r="H4427" s="7">
        <f ca="1">IFERROR(__xludf.DUMMYFUNCTION("""COMPUTED_VALUE"""),500000)</f>
        <v>500000</v>
      </c>
    </row>
    <row r="4428" spans="1:8" ht="13" x14ac:dyDescent="0.15">
      <c r="A4428" s="5" t="str">
        <f ca="1">IFERROR(__xludf.DUMMYFUNCTION("""COMPUTED_VALUE"""),"77393")</f>
        <v>77393</v>
      </c>
      <c r="B4428" s="51">
        <f ca="1">IFERROR(__xludf.DUMMYFUNCTION("""COMPUTED_VALUE"""),44605)</f>
        <v>44605</v>
      </c>
      <c r="C4428" s="22">
        <f ca="1">IFERROR(__xludf.DUMMYFUNCTION("""COMPUTED_VALUE"""),500000)</f>
        <v>500000</v>
      </c>
      <c r="D4428" s="22">
        <f ca="1">IFERROR(__xludf.DUMMYFUNCTION("""COMPUTED_VALUE"""),0)</f>
        <v>0</v>
      </c>
      <c r="E4428" s="22">
        <f ca="1">IFERROR(__xludf.DUMMYFUNCTION("""COMPUTED_VALUE"""),500000)</f>
        <v>500000</v>
      </c>
      <c r="F4428" s="22">
        <f ca="1">IFERROR(__xludf.DUMMYFUNCTION("""COMPUTED_VALUE"""),500000)</f>
        <v>500000</v>
      </c>
      <c r="G4428" s="22">
        <f ca="1">IFERROR(__xludf.DUMMYFUNCTION("""COMPUTED_VALUE"""),0)</f>
        <v>0</v>
      </c>
      <c r="H4428" s="7">
        <f ca="1">IFERROR(__xludf.DUMMYFUNCTION("""COMPUTED_VALUE"""),500000)</f>
        <v>500000</v>
      </c>
    </row>
    <row r="4429" spans="1:8" ht="13" x14ac:dyDescent="0.15">
      <c r="A4429" s="5" t="str">
        <f ca="1">IFERROR(__xludf.DUMMYFUNCTION("""COMPUTED_VALUE"""),"77393")</f>
        <v>77393</v>
      </c>
      <c r="B4429" s="51">
        <f ca="1">IFERROR(__xludf.DUMMYFUNCTION("""COMPUTED_VALUE"""),44606)</f>
        <v>44606</v>
      </c>
      <c r="C4429" s="22">
        <f ca="1">IFERROR(__xludf.DUMMYFUNCTION("""COMPUTED_VALUE"""),500000)</f>
        <v>500000</v>
      </c>
      <c r="D4429" s="22">
        <f ca="1">IFERROR(__xludf.DUMMYFUNCTION("""COMPUTED_VALUE"""),0)</f>
        <v>0</v>
      </c>
      <c r="E4429" s="22">
        <f ca="1">IFERROR(__xludf.DUMMYFUNCTION("""COMPUTED_VALUE"""),500000)</f>
        <v>500000</v>
      </c>
      <c r="F4429" s="22">
        <f ca="1">IFERROR(__xludf.DUMMYFUNCTION("""COMPUTED_VALUE"""),500000)</f>
        <v>500000</v>
      </c>
      <c r="G4429" s="22">
        <f ca="1">IFERROR(__xludf.DUMMYFUNCTION("""COMPUTED_VALUE"""),0)</f>
        <v>0</v>
      </c>
      <c r="H4429" s="7">
        <f ca="1">IFERROR(__xludf.DUMMYFUNCTION("""COMPUTED_VALUE"""),500000)</f>
        <v>500000</v>
      </c>
    </row>
    <row r="4430" spans="1:8" ht="13" x14ac:dyDescent="0.15">
      <c r="A4430" s="5" t="str">
        <f ca="1">IFERROR(__xludf.DUMMYFUNCTION("""COMPUTED_VALUE"""),"77393")</f>
        <v>77393</v>
      </c>
      <c r="B4430" s="51">
        <f ca="1">IFERROR(__xludf.DUMMYFUNCTION("""COMPUTED_VALUE"""),44607)</f>
        <v>44607</v>
      </c>
      <c r="C4430" s="22">
        <f ca="1">IFERROR(__xludf.DUMMYFUNCTION("""COMPUTED_VALUE"""),500000)</f>
        <v>500000</v>
      </c>
      <c r="D4430" s="22">
        <f ca="1">IFERROR(__xludf.DUMMYFUNCTION("""COMPUTED_VALUE"""),0)</f>
        <v>0</v>
      </c>
      <c r="E4430" s="22">
        <f ca="1">IFERROR(__xludf.DUMMYFUNCTION("""COMPUTED_VALUE"""),500000)</f>
        <v>500000</v>
      </c>
      <c r="F4430" s="22">
        <f ca="1">IFERROR(__xludf.DUMMYFUNCTION("""COMPUTED_VALUE"""),500000)</f>
        <v>500000</v>
      </c>
      <c r="G4430" s="22">
        <f ca="1">IFERROR(__xludf.DUMMYFUNCTION("""COMPUTED_VALUE"""),0)</f>
        <v>0</v>
      </c>
      <c r="H4430" s="7">
        <f ca="1">IFERROR(__xludf.DUMMYFUNCTION("""COMPUTED_VALUE"""),500000)</f>
        <v>500000</v>
      </c>
    </row>
    <row r="4431" spans="1:8" ht="13" x14ac:dyDescent="0.15">
      <c r="A4431" s="5" t="str">
        <f ca="1">IFERROR(__xludf.DUMMYFUNCTION("""COMPUTED_VALUE"""),"77393")</f>
        <v>77393</v>
      </c>
      <c r="B4431" s="51">
        <f ca="1">IFERROR(__xludf.DUMMYFUNCTION("""COMPUTED_VALUE"""),44608)</f>
        <v>44608</v>
      </c>
      <c r="C4431" s="22">
        <f ca="1">IFERROR(__xludf.DUMMYFUNCTION("""COMPUTED_VALUE"""),500000)</f>
        <v>500000</v>
      </c>
      <c r="D4431" s="22">
        <f ca="1">IFERROR(__xludf.DUMMYFUNCTION("""COMPUTED_VALUE"""),0)</f>
        <v>0</v>
      </c>
      <c r="E4431" s="22">
        <f ca="1">IFERROR(__xludf.DUMMYFUNCTION("""COMPUTED_VALUE"""),500000)</f>
        <v>500000</v>
      </c>
      <c r="F4431" s="22">
        <f ca="1">IFERROR(__xludf.DUMMYFUNCTION("""COMPUTED_VALUE"""),500000)</f>
        <v>500000</v>
      </c>
      <c r="G4431" s="22">
        <f ca="1">IFERROR(__xludf.DUMMYFUNCTION("""COMPUTED_VALUE"""),0)</f>
        <v>0</v>
      </c>
      <c r="H4431" s="7">
        <f ca="1">IFERROR(__xludf.DUMMYFUNCTION("""COMPUTED_VALUE"""),500000)</f>
        <v>500000</v>
      </c>
    </row>
    <row r="4432" spans="1:8" ht="13" x14ac:dyDescent="0.15">
      <c r="A4432" s="5" t="str">
        <f ca="1">IFERROR(__xludf.DUMMYFUNCTION("""COMPUTED_VALUE"""),"77393")</f>
        <v>77393</v>
      </c>
      <c r="B4432" s="51">
        <f ca="1">IFERROR(__xludf.DUMMYFUNCTION("""COMPUTED_VALUE"""),44609)</f>
        <v>44609</v>
      </c>
      <c r="C4432" s="22">
        <f ca="1">IFERROR(__xludf.DUMMYFUNCTION("""COMPUTED_VALUE"""),500000)</f>
        <v>500000</v>
      </c>
      <c r="D4432" s="22">
        <f ca="1">IFERROR(__xludf.DUMMYFUNCTION("""COMPUTED_VALUE"""),0)</f>
        <v>0</v>
      </c>
      <c r="E4432" s="22">
        <f ca="1">IFERROR(__xludf.DUMMYFUNCTION("""COMPUTED_VALUE"""),500000)</f>
        <v>500000</v>
      </c>
      <c r="F4432" s="22">
        <f ca="1">IFERROR(__xludf.DUMMYFUNCTION("""COMPUTED_VALUE"""),500000)</f>
        <v>500000</v>
      </c>
      <c r="G4432" s="22">
        <f ca="1">IFERROR(__xludf.DUMMYFUNCTION("""COMPUTED_VALUE"""),0)</f>
        <v>0</v>
      </c>
      <c r="H4432" s="7">
        <f ca="1">IFERROR(__xludf.DUMMYFUNCTION("""COMPUTED_VALUE"""),500000)</f>
        <v>500000</v>
      </c>
    </row>
    <row r="4433" spans="1:8" ht="13" x14ac:dyDescent="0.15">
      <c r="A4433" s="5" t="str">
        <f ca="1">IFERROR(__xludf.DUMMYFUNCTION("""COMPUTED_VALUE"""),"77393")</f>
        <v>77393</v>
      </c>
      <c r="B4433" s="51">
        <f ca="1">IFERROR(__xludf.DUMMYFUNCTION("""COMPUTED_VALUE"""),44610)</f>
        <v>44610</v>
      </c>
      <c r="C4433" s="22">
        <f ca="1">IFERROR(__xludf.DUMMYFUNCTION("""COMPUTED_VALUE"""),500000)</f>
        <v>500000</v>
      </c>
      <c r="D4433" s="22">
        <f ca="1">IFERROR(__xludf.DUMMYFUNCTION("""COMPUTED_VALUE"""),0)</f>
        <v>0</v>
      </c>
      <c r="E4433" s="22">
        <f ca="1">IFERROR(__xludf.DUMMYFUNCTION("""COMPUTED_VALUE"""),500000)</f>
        <v>500000</v>
      </c>
      <c r="F4433" s="22">
        <f ca="1">IFERROR(__xludf.DUMMYFUNCTION("""COMPUTED_VALUE"""),500000)</f>
        <v>500000</v>
      </c>
      <c r="G4433" s="22">
        <f ca="1">IFERROR(__xludf.DUMMYFUNCTION("""COMPUTED_VALUE"""),0)</f>
        <v>0</v>
      </c>
      <c r="H4433" s="7">
        <f ca="1">IFERROR(__xludf.DUMMYFUNCTION("""COMPUTED_VALUE"""),500000)</f>
        <v>500000</v>
      </c>
    </row>
    <row r="4434" spans="1:8" ht="13" x14ac:dyDescent="0.15">
      <c r="A4434" s="5" t="str">
        <f ca="1">IFERROR(__xludf.DUMMYFUNCTION("""COMPUTED_VALUE"""),"77393")</f>
        <v>77393</v>
      </c>
      <c r="B4434" s="51">
        <f ca="1">IFERROR(__xludf.DUMMYFUNCTION("""COMPUTED_VALUE"""),44611)</f>
        <v>44611</v>
      </c>
      <c r="C4434" s="22">
        <f ca="1">IFERROR(__xludf.DUMMYFUNCTION("""COMPUTED_VALUE"""),500000)</f>
        <v>500000</v>
      </c>
      <c r="D4434" s="22">
        <f ca="1">IFERROR(__xludf.DUMMYFUNCTION("""COMPUTED_VALUE"""),0)</f>
        <v>0</v>
      </c>
      <c r="E4434" s="22">
        <f ca="1">IFERROR(__xludf.DUMMYFUNCTION("""COMPUTED_VALUE"""),500000)</f>
        <v>500000</v>
      </c>
      <c r="F4434" s="22">
        <f ca="1">IFERROR(__xludf.DUMMYFUNCTION("""COMPUTED_VALUE"""),500000)</f>
        <v>500000</v>
      </c>
      <c r="G4434" s="22">
        <f ca="1">IFERROR(__xludf.DUMMYFUNCTION("""COMPUTED_VALUE"""),0)</f>
        <v>0</v>
      </c>
      <c r="H4434" s="7">
        <f ca="1">IFERROR(__xludf.DUMMYFUNCTION("""COMPUTED_VALUE"""),500000)</f>
        <v>500000</v>
      </c>
    </row>
    <row r="4435" spans="1:8" ht="13" x14ac:dyDescent="0.15">
      <c r="A4435" s="5" t="str">
        <f ca="1">IFERROR(__xludf.DUMMYFUNCTION("""COMPUTED_VALUE"""),"77393")</f>
        <v>77393</v>
      </c>
      <c r="B4435" s="51">
        <f ca="1">IFERROR(__xludf.DUMMYFUNCTION("""COMPUTED_VALUE"""),44612)</f>
        <v>44612</v>
      </c>
      <c r="C4435" s="22">
        <f ca="1">IFERROR(__xludf.DUMMYFUNCTION("""COMPUTED_VALUE"""),500000)</f>
        <v>500000</v>
      </c>
      <c r="D4435" s="22">
        <f ca="1">IFERROR(__xludf.DUMMYFUNCTION("""COMPUTED_VALUE"""),0)</f>
        <v>0</v>
      </c>
      <c r="E4435" s="22">
        <f ca="1">IFERROR(__xludf.DUMMYFUNCTION("""COMPUTED_VALUE"""),500000)</f>
        <v>500000</v>
      </c>
      <c r="F4435" s="22">
        <f ca="1">IFERROR(__xludf.DUMMYFUNCTION("""COMPUTED_VALUE"""),500000)</f>
        <v>500000</v>
      </c>
      <c r="G4435" s="22">
        <f ca="1">IFERROR(__xludf.DUMMYFUNCTION("""COMPUTED_VALUE"""),0)</f>
        <v>0</v>
      </c>
      <c r="H4435" s="7">
        <f ca="1">IFERROR(__xludf.DUMMYFUNCTION("""COMPUTED_VALUE"""),500000)</f>
        <v>500000</v>
      </c>
    </row>
    <row r="4436" spans="1:8" ht="13" x14ac:dyDescent="0.15">
      <c r="A4436" s="5" t="str">
        <f ca="1">IFERROR(__xludf.DUMMYFUNCTION("""COMPUTED_VALUE"""),"77393")</f>
        <v>77393</v>
      </c>
      <c r="B4436" s="51">
        <f ca="1">IFERROR(__xludf.DUMMYFUNCTION("""COMPUTED_VALUE"""),44613)</f>
        <v>44613</v>
      </c>
      <c r="C4436" s="22">
        <f ca="1">IFERROR(__xludf.DUMMYFUNCTION("""COMPUTED_VALUE"""),500000)</f>
        <v>500000</v>
      </c>
      <c r="D4436" s="22">
        <f ca="1">IFERROR(__xludf.DUMMYFUNCTION("""COMPUTED_VALUE"""),0)</f>
        <v>0</v>
      </c>
      <c r="E4436" s="22">
        <f ca="1">IFERROR(__xludf.DUMMYFUNCTION("""COMPUTED_VALUE"""),500000)</f>
        <v>500000</v>
      </c>
      <c r="F4436" s="22">
        <f ca="1">IFERROR(__xludf.DUMMYFUNCTION("""COMPUTED_VALUE"""),500000)</f>
        <v>500000</v>
      </c>
      <c r="G4436" s="22">
        <f ca="1">IFERROR(__xludf.DUMMYFUNCTION("""COMPUTED_VALUE"""),0)</f>
        <v>0</v>
      </c>
      <c r="H4436" s="7">
        <f ca="1">IFERROR(__xludf.DUMMYFUNCTION("""COMPUTED_VALUE"""),500000)</f>
        <v>500000</v>
      </c>
    </row>
    <row r="4437" spans="1:8" ht="13" x14ac:dyDescent="0.15">
      <c r="A4437" s="5" t="str">
        <f ca="1">IFERROR(__xludf.DUMMYFUNCTION("""COMPUTED_VALUE"""),"77393")</f>
        <v>77393</v>
      </c>
      <c r="B4437" s="51">
        <f ca="1">IFERROR(__xludf.DUMMYFUNCTION("""COMPUTED_VALUE"""),44614)</f>
        <v>44614</v>
      </c>
      <c r="C4437" s="22">
        <f ca="1">IFERROR(__xludf.DUMMYFUNCTION("""COMPUTED_VALUE"""),500000)</f>
        <v>500000</v>
      </c>
      <c r="D4437" s="22">
        <f ca="1">IFERROR(__xludf.DUMMYFUNCTION("""COMPUTED_VALUE"""),0)</f>
        <v>0</v>
      </c>
      <c r="E4437" s="22">
        <f ca="1">IFERROR(__xludf.DUMMYFUNCTION("""COMPUTED_VALUE"""),500000)</f>
        <v>500000</v>
      </c>
      <c r="F4437" s="22">
        <f ca="1">IFERROR(__xludf.DUMMYFUNCTION("""COMPUTED_VALUE"""),500000)</f>
        <v>500000</v>
      </c>
      <c r="G4437" s="22">
        <f ca="1">IFERROR(__xludf.DUMMYFUNCTION("""COMPUTED_VALUE"""),0)</f>
        <v>0</v>
      </c>
      <c r="H4437" s="7">
        <f ca="1">IFERROR(__xludf.DUMMYFUNCTION("""COMPUTED_VALUE"""),500000)</f>
        <v>500000</v>
      </c>
    </row>
    <row r="4438" spans="1:8" ht="13" x14ac:dyDescent="0.15">
      <c r="A4438" s="5" t="str">
        <f ca="1">IFERROR(__xludf.DUMMYFUNCTION("""COMPUTED_VALUE"""),"77393")</f>
        <v>77393</v>
      </c>
      <c r="B4438" s="51">
        <f ca="1">IFERROR(__xludf.DUMMYFUNCTION("""COMPUTED_VALUE"""),44615)</f>
        <v>44615</v>
      </c>
      <c r="C4438" s="22">
        <f ca="1">IFERROR(__xludf.DUMMYFUNCTION("""COMPUTED_VALUE"""),500000)</f>
        <v>500000</v>
      </c>
      <c r="D4438" s="22">
        <f ca="1">IFERROR(__xludf.DUMMYFUNCTION("""COMPUTED_VALUE"""),0)</f>
        <v>0</v>
      </c>
      <c r="E4438" s="22">
        <f ca="1">IFERROR(__xludf.DUMMYFUNCTION("""COMPUTED_VALUE"""),500000)</f>
        <v>500000</v>
      </c>
      <c r="F4438" s="22">
        <f ca="1">IFERROR(__xludf.DUMMYFUNCTION("""COMPUTED_VALUE"""),500000)</f>
        <v>500000</v>
      </c>
      <c r="G4438" s="22">
        <f ca="1">IFERROR(__xludf.DUMMYFUNCTION("""COMPUTED_VALUE"""),0)</f>
        <v>0</v>
      </c>
      <c r="H4438" s="7">
        <f ca="1">IFERROR(__xludf.DUMMYFUNCTION("""COMPUTED_VALUE"""),500000)</f>
        <v>500000</v>
      </c>
    </row>
    <row r="4439" spans="1:8" ht="13" x14ac:dyDescent="0.15">
      <c r="A4439" s="5" t="str">
        <f ca="1">IFERROR(__xludf.DUMMYFUNCTION("""COMPUTED_VALUE"""),"77393")</f>
        <v>77393</v>
      </c>
      <c r="B4439" s="51">
        <f ca="1">IFERROR(__xludf.DUMMYFUNCTION("""COMPUTED_VALUE"""),44616)</f>
        <v>44616</v>
      </c>
      <c r="C4439" s="22">
        <f ca="1">IFERROR(__xludf.DUMMYFUNCTION("""COMPUTED_VALUE"""),500000)</f>
        <v>500000</v>
      </c>
      <c r="D4439" s="22">
        <f ca="1">IFERROR(__xludf.DUMMYFUNCTION("""COMPUTED_VALUE"""),0)</f>
        <v>0</v>
      </c>
      <c r="E4439" s="22">
        <f ca="1">IFERROR(__xludf.DUMMYFUNCTION("""COMPUTED_VALUE"""),500000)</f>
        <v>500000</v>
      </c>
      <c r="F4439" s="22">
        <f ca="1">IFERROR(__xludf.DUMMYFUNCTION("""COMPUTED_VALUE"""),500000)</f>
        <v>500000</v>
      </c>
      <c r="G4439" s="22">
        <f ca="1">IFERROR(__xludf.DUMMYFUNCTION("""COMPUTED_VALUE"""),0)</f>
        <v>0</v>
      </c>
      <c r="H4439" s="7">
        <f ca="1">IFERROR(__xludf.DUMMYFUNCTION("""COMPUTED_VALUE"""),500000)</f>
        <v>500000</v>
      </c>
    </row>
    <row r="4440" spans="1:8" ht="13" x14ac:dyDescent="0.15">
      <c r="A4440" s="5" t="str">
        <f ca="1">IFERROR(__xludf.DUMMYFUNCTION("""COMPUTED_VALUE"""),"77393")</f>
        <v>77393</v>
      </c>
      <c r="B4440" s="51">
        <f ca="1">IFERROR(__xludf.DUMMYFUNCTION("""COMPUTED_VALUE"""),44617)</f>
        <v>44617</v>
      </c>
      <c r="C4440" s="22">
        <f ca="1">IFERROR(__xludf.DUMMYFUNCTION("""COMPUTED_VALUE"""),500000)</f>
        <v>500000</v>
      </c>
      <c r="D4440" s="22">
        <f ca="1">IFERROR(__xludf.DUMMYFUNCTION("""COMPUTED_VALUE"""),0)</f>
        <v>0</v>
      </c>
      <c r="E4440" s="22">
        <f ca="1">IFERROR(__xludf.DUMMYFUNCTION("""COMPUTED_VALUE"""),500000)</f>
        <v>500000</v>
      </c>
      <c r="F4440" s="22">
        <f ca="1">IFERROR(__xludf.DUMMYFUNCTION("""COMPUTED_VALUE"""),500000)</f>
        <v>500000</v>
      </c>
      <c r="G4440" s="22">
        <f ca="1">IFERROR(__xludf.DUMMYFUNCTION("""COMPUTED_VALUE"""),0)</f>
        <v>0</v>
      </c>
      <c r="H4440" s="7">
        <f ca="1">IFERROR(__xludf.DUMMYFUNCTION("""COMPUTED_VALUE"""),500000)</f>
        <v>500000</v>
      </c>
    </row>
    <row r="4441" spans="1:8" ht="13" x14ac:dyDescent="0.15">
      <c r="A4441" s="5" t="str">
        <f ca="1">IFERROR(__xludf.DUMMYFUNCTION("""COMPUTED_VALUE"""),"77393")</f>
        <v>77393</v>
      </c>
      <c r="B4441" s="51">
        <f ca="1">IFERROR(__xludf.DUMMYFUNCTION("""COMPUTED_VALUE"""),44618)</f>
        <v>44618</v>
      </c>
      <c r="C4441" s="22">
        <f ca="1">IFERROR(__xludf.DUMMYFUNCTION("""COMPUTED_VALUE"""),500000)</f>
        <v>500000</v>
      </c>
      <c r="D4441" s="22">
        <f ca="1">IFERROR(__xludf.DUMMYFUNCTION("""COMPUTED_VALUE"""),0)</f>
        <v>0</v>
      </c>
      <c r="E4441" s="22">
        <f ca="1">IFERROR(__xludf.DUMMYFUNCTION("""COMPUTED_VALUE"""),500000)</f>
        <v>500000</v>
      </c>
      <c r="F4441" s="22">
        <f ca="1">IFERROR(__xludf.DUMMYFUNCTION("""COMPUTED_VALUE"""),500000)</f>
        <v>500000</v>
      </c>
      <c r="G4441" s="22">
        <f ca="1">IFERROR(__xludf.DUMMYFUNCTION("""COMPUTED_VALUE"""),0)</f>
        <v>0</v>
      </c>
      <c r="H4441" s="7">
        <f ca="1">IFERROR(__xludf.DUMMYFUNCTION("""COMPUTED_VALUE"""),500000)</f>
        <v>500000</v>
      </c>
    </row>
    <row r="4442" spans="1:8" ht="13" x14ac:dyDescent="0.15">
      <c r="A4442" s="5" t="str">
        <f ca="1">IFERROR(__xludf.DUMMYFUNCTION("""COMPUTED_VALUE"""),"77393")</f>
        <v>77393</v>
      </c>
      <c r="B4442" s="51">
        <f ca="1">IFERROR(__xludf.DUMMYFUNCTION("""COMPUTED_VALUE"""),44619)</f>
        <v>44619</v>
      </c>
      <c r="C4442" s="22">
        <f ca="1">IFERROR(__xludf.DUMMYFUNCTION("""COMPUTED_VALUE"""),500000)</f>
        <v>500000</v>
      </c>
      <c r="D4442" s="22">
        <f ca="1">IFERROR(__xludf.DUMMYFUNCTION("""COMPUTED_VALUE"""),0)</f>
        <v>0</v>
      </c>
      <c r="E4442" s="22">
        <f ca="1">IFERROR(__xludf.DUMMYFUNCTION("""COMPUTED_VALUE"""),500000)</f>
        <v>500000</v>
      </c>
      <c r="F4442" s="22">
        <f ca="1">IFERROR(__xludf.DUMMYFUNCTION("""COMPUTED_VALUE"""),500000)</f>
        <v>500000</v>
      </c>
      <c r="G4442" s="22">
        <f ca="1">IFERROR(__xludf.DUMMYFUNCTION("""COMPUTED_VALUE"""),0)</f>
        <v>0</v>
      </c>
      <c r="H4442" s="7">
        <f ca="1">IFERROR(__xludf.DUMMYFUNCTION("""COMPUTED_VALUE"""),500000)</f>
        <v>500000</v>
      </c>
    </row>
    <row r="4443" spans="1:8" ht="13" x14ac:dyDescent="0.15">
      <c r="A4443" s="5" t="str">
        <f ca="1">IFERROR(__xludf.DUMMYFUNCTION("""COMPUTED_VALUE"""),"77393")</f>
        <v>77393</v>
      </c>
      <c r="B4443" s="51">
        <f ca="1">IFERROR(__xludf.DUMMYFUNCTION("""COMPUTED_VALUE"""),44620)</f>
        <v>44620</v>
      </c>
      <c r="C4443" s="22">
        <f ca="1">IFERROR(__xludf.DUMMYFUNCTION("""COMPUTED_VALUE"""),500000)</f>
        <v>500000</v>
      </c>
      <c r="D4443" s="22">
        <f ca="1">IFERROR(__xludf.DUMMYFUNCTION("""COMPUTED_VALUE"""),0)</f>
        <v>0</v>
      </c>
      <c r="E4443" s="22">
        <f ca="1">IFERROR(__xludf.DUMMYFUNCTION("""COMPUTED_VALUE"""),500000)</f>
        <v>500000</v>
      </c>
      <c r="F4443" s="22">
        <f ca="1">IFERROR(__xludf.DUMMYFUNCTION("""COMPUTED_VALUE"""),500000)</f>
        <v>500000</v>
      </c>
      <c r="G4443" s="22">
        <f ca="1">IFERROR(__xludf.DUMMYFUNCTION("""COMPUTED_VALUE"""),0)</f>
        <v>0</v>
      </c>
      <c r="H4443" s="7">
        <f ca="1">IFERROR(__xludf.DUMMYFUNCTION("""COMPUTED_VALUE"""),500000)</f>
        <v>500000</v>
      </c>
    </row>
    <row r="4444" spans="1:8" ht="13" x14ac:dyDescent="0.15">
      <c r="A4444" s="5" t="str">
        <f ca="1">IFERROR(__xludf.DUMMYFUNCTION("""COMPUTED_VALUE"""),"77393")</f>
        <v>77393</v>
      </c>
      <c r="B4444" s="51">
        <f ca="1">IFERROR(__xludf.DUMMYFUNCTION("""COMPUTED_VALUE"""),44621)</f>
        <v>44621</v>
      </c>
      <c r="C4444" s="22">
        <f ca="1">IFERROR(__xludf.DUMMYFUNCTION("""COMPUTED_VALUE"""),500000)</f>
        <v>500000</v>
      </c>
      <c r="D4444" s="22">
        <f ca="1">IFERROR(__xludf.DUMMYFUNCTION("""COMPUTED_VALUE"""),0)</f>
        <v>0</v>
      </c>
      <c r="E4444" s="22">
        <f ca="1">IFERROR(__xludf.DUMMYFUNCTION("""COMPUTED_VALUE"""),500000)</f>
        <v>500000</v>
      </c>
      <c r="F4444" s="22">
        <f ca="1">IFERROR(__xludf.DUMMYFUNCTION("""COMPUTED_VALUE"""),500000)</f>
        <v>500000</v>
      </c>
      <c r="G4444" s="22">
        <f ca="1">IFERROR(__xludf.DUMMYFUNCTION("""COMPUTED_VALUE"""),0)</f>
        <v>0</v>
      </c>
      <c r="H4444" s="7">
        <f ca="1">IFERROR(__xludf.DUMMYFUNCTION("""COMPUTED_VALUE"""),500000)</f>
        <v>500000</v>
      </c>
    </row>
    <row r="4445" spans="1:8" ht="13" x14ac:dyDescent="0.15">
      <c r="A4445" s="5" t="str">
        <f ca="1">IFERROR(__xludf.DUMMYFUNCTION("""COMPUTED_VALUE"""),"77393")</f>
        <v>77393</v>
      </c>
      <c r="B4445" s="51">
        <f ca="1">IFERROR(__xludf.DUMMYFUNCTION("""COMPUTED_VALUE"""),44622)</f>
        <v>44622</v>
      </c>
      <c r="C4445" s="22">
        <f ca="1">IFERROR(__xludf.DUMMYFUNCTION("""COMPUTED_VALUE"""),500000)</f>
        <v>500000</v>
      </c>
      <c r="D4445" s="22">
        <f ca="1">IFERROR(__xludf.DUMMYFUNCTION("""COMPUTED_VALUE"""),0)</f>
        <v>0</v>
      </c>
      <c r="E4445" s="22">
        <f ca="1">IFERROR(__xludf.DUMMYFUNCTION("""COMPUTED_VALUE"""),500000)</f>
        <v>500000</v>
      </c>
      <c r="F4445" s="22">
        <f ca="1">IFERROR(__xludf.DUMMYFUNCTION("""COMPUTED_VALUE"""),500000)</f>
        <v>500000</v>
      </c>
      <c r="G4445" s="22">
        <f ca="1">IFERROR(__xludf.DUMMYFUNCTION("""COMPUTED_VALUE"""),0)</f>
        <v>0</v>
      </c>
      <c r="H4445" s="7">
        <f ca="1">IFERROR(__xludf.DUMMYFUNCTION("""COMPUTED_VALUE"""),500000)</f>
        <v>500000</v>
      </c>
    </row>
    <row r="4446" spans="1:8" ht="13" x14ac:dyDescent="0.15">
      <c r="A4446" s="5" t="str">
        <f ca="1">IFERROR(__xludf.DUMMYFUNCTION("""COMPUTED_VALUE"""),"77393")</f>
        <v>77393</v>
      </c>
      <c r="B4446" s="51">
        <f ca="1">IFERROR(__xludf.DUMMYFUNCTION("""COMPUTED_VALUE"""),44623)</f>
        <v>44623</v>
      </c>
      <c r="C4446" s="22">
        <f ca="1">IFERROR(__xludf.DUMMYFUNCTION("""COMPUTED_VALUE"""),500000)</f>
        <v>500000</v>
      </c>
      <c r="D4446" s="22">
        <f ca="1">IFERROR(__xludf.DUMMYFUNCTION("""COMPUTED_VALUE"""),0)</f>
        <v>0</v>
      </c>
      <c r="E4446" s="22">
        <f ca="1">IFERROR(__xludf.DUMMYFUNCTION("""COMPUTED_VALUE"""),500000)</f>
        <v>500000</v>
      </c>
      <c r="F4446" s="22">
        <f ca="1">IFERROR(__xludf.DUMMYFUNCTION("""COMPUTED_VALUE"""),500000)</f>
        <v>500000</v>
      </c>
      <c r="G4446" s="22">
        <f ca="1">IFERROR(__xludf.DUMMYFUNCTION("""COMPUTED_VALUE"""),0)</f>
        <v>0</v>
      </c>
      <c r="H4446" s="7">
        <f ca="1">IFERROR(__xludf.DUMMYFUNCTION("""COMPUTED_VALUE"""),500000)</f>
        <v>500000</v>
      </c>
    </row>
    <row r="4447" spans="1:8" ht="13" x14ac:dyDescent="0.15">
      <c r="A4447" s="5" t="str">
        <f ca="1">IFERROR(__xludf.DUMMYFUNCTION("""COMPUTED_VALUE"""),"77393")</f>
        <v>77393</v>
      </c>
      <c r="B4447" s="51">
        <f ca="1">IFERROR(__xludf.DUMMYFUNCTION("""COMPUTED_VALUE"""),44624)</f>
        <v>44624</v>
      </c>
      <c r="C4447" s="22">
        <f ca="1">IFERROR(__xludf.DUMMYFUNCTION("""COMPUTED_VALUE"""),500000)</f>
        <v>500000</v>
      </c>
      <c r="D4447" s="22">
        <f ca="1">IFERROR(__xludf.DUMMYFUNCTION("""COMPUTED_VALUE"""),0)</f>
        <v>0</v>
      </c>
      <c r="E4447" s="22">
        <f ca="1">IFERROR(__xludf.DUMMYFUNCTION("""COMPUTED_VALUE"""),500000)</f>
        <v>500000</v>
      </c>
      <c r="F4447" s="22">
        <f ca="1">IFERROR(__xludf.DUMMYFUNCTION("""COMPUTED_VALUE"""),500000)</f>
        <v>500000</v>
      </c>
      <c r="G4447" s="22">
        <f ca="1">IFERROR(__xludf.DUMMYFUNCTION("""COMPUTED_VALUE"""),0)</f>
        <v>0</v>
      </c>
      <c r="H4447" s="7">
        <f ca="1">IFERROR(__xludf.DUMMYFUNCTION("""COMPUTED_VALUE"""),500000)</f>
        <v>500000</v>
      </c>
    </row>
    <row r="4448" spans="1:8" ht="13" x14ac:dyDescent="0.15">
      <c r="A4448" s="5" t="str">
        <f ca="1">IFERROR(__xludf.DUMMYFUNCTION("""COMPUTED_VALUE"""),"77393")</f>
        <v>77393</v>
      </c>
      <c r="B4448" s="51">
        <f ca="1">IFERROR(__xludf.DUMMYFUNCTION("""COMPUTED_VALUE"""),44625)</f>
        <v>44625</v>
      </c>
      <c r="C4448" s="22">
        <f ca="1">IFERROR(__xludf.DUMMYFUNCTION("""COMPUTED_VALUE"""),500000)</f>
        <v>500000</v>
      </c>
      <c r="D4448" s="22">
        <f ca="1">IFERROR(__xludf.DUMMYFUNCTION("""COMPUTED_VALUE"""),0)</f>
        <v>0</v>
      </c>
      <c r="E4448" s="22">
        <f ca="1">IFERROR(__xludf.DUMMYFUNCTION("""COMPUTED_VALUE"""),500000)</f>
        <v>500000</v>
      </c>
      <c r="F4448" s="22">
        <f ca="1">IFERROR(__xludf.DUMMYFUNCTION("""COMPUTED_VALUE"""),500000)</f>
        <v>500000</v>
      </c>
      <c r="G4448" s="22">
        <f ca="1">IFERROR(__xludf.DUMMYFUNCTION("""COMPUTED_VALUE"""),0)</f>
        <v>0</v>
      </c>
      <c r="H4448" s="7">
        <f ca="1">IFERROR(__xludf.DUMMYFUNCTION("""COMPUTED_VALUE"""),500000)</f>
        <v>500000</v>
      </c>
    </row>
    <row r="4449" spans="1:8" ht="13" x14ac:dyDescent="0.15">
      <c r="A4449" s="5" t="str">
        <f ca="1">IFERROR(__xludf.DUMMYFUNCTION("""COMPUTED_VALUE"""),"77393")</f>
        <v>77393</v>
      </c>
      <c r="B4449" s="51">
        <f ca="1">IFERROR(__xludf.DUMMYFUNCTION("""COMPUTED_VALUE"""),44626)</f>
        <v>44626</v>
      </c>
      <c r="C4449" s="22">
        <f ca="1">IFERROR(__xludf.DUMMYFUNCTION("""COMPUTED_VALUE"""),500000)</f>
        <v>500000</v>
      </c>
      <c r="D4449" s="22">
        <f ca="1">IFERROR(__xludf.DUMMYFUNCTION("""COMPUTED_VALUE"""),0)</f>
        <v>0</v>
      </c>
      <c r="E4449" s="22">
        <f ca="1">IFERROR(__xludf.DUMMYFUNCTION("""COMPUTED_VALUE"""),500000)</f>
        <v>500000</v>
      </c>
      <c r="F4449" s="22">
        <f ca="1">IFERROR(__xludf.DUMMYFUNCTION("""COMPUTED_VALUE"""),500000)</f>
        <v>500000</v>
      </c>
      <c r="G4449" s="22">
        <f ca="1">IFERROR(__xludf.DUMMYFUNCTION("""COMPUTED_VALUE"""),0)</f>
        <v>0</v>
      </c>
      <c r="H4449" s="7">
        <f ca="1">IFERROR(__xludf.DUMMYFUNCTION("""COMPUTED_VALUE"""),500000)</f>
        <v>500000</v>
      </c>
    </row>
    <row r="4450" spans="1:8" ht="13" x14ac:dyDescent="0.15">
      <c r="A4450" s="5" t="str">
        <f ca="1">IFERROR(__xludf.DUMMYFUNCTION("""COMPUTED_VALUE"""),"77393")</f>
        <v>77393</v>
      </c>
      <c r="B4450" s="51">
        <f ca="1">IFERROR(__xludf.DUMMYFUNCTION("""COMPUTED_VALUE"""),44627)</f>
        <v>44627</v>
      </c>
      <c r="C4450" s="22">
        <f ca="1">IFERROR(__xludf.DUMMYFUNCTION("""COMPUTED_VALUE"""),500000)</f>
        <v>500000</v>
      </c>
      <c r="D4450" s="22">
        <f ca="1">IFERROR(__xludf.DUMMYFUNCTION("""COMPUTED_VALUE"""),0)</f>
        <v>0</v>
      </c>
      <c r="E4450" s="22">
        <f ca="1">IFERROR(__xludf.DUMMYFUNCTION("""COMPUTED_VALUE"""),500000)</f>
        <v>500000</v>
      </c>
      <c r="F4450" s="22">
        <f ca="1">IFERROR(__xludf.DUMMYFUNCTION("""COMPUTED_VALUE"""),500000)</f>
        <v>500000</v>
      </c>
      <c r="G4450" s="22">
        <f ca="1">IFERROR(__xludf.DUMMYFUNCTION("""COMPUTED_VALUE"""),0)</f>
        <v>0</v>
      </c>
      <c r="H4450" s="7">
        <f ca="1">IFERROR(__xludf.DUMMYFUNCTION("""COMPUTED_VALUE"""),500000)</f>
        <v>500000</v>
      </c>
    </row>
    <row r="4451" spans="1:8" ht="13" x14ac:dyDescent="0.15">
      <c r="A4451" s="5" t="str">
        <f ca="1">IFERROR(__xludf.DUMMYFUNCTION("""COMPUTED_VALUE"""),"77393")</f>
        <v>77393</v>
      </c>
      <c r="B4451" s="51">
        <f ca="1">IFERROR(__xludf.DUMMYFUNCTION("""COMPUTED_VALUE"""),44628)</f>
        <v>44628</v>
      </c>
      <c r="C4451" s="22">
        <f ca="1">IFERROR(__xludf.DUMMYFUNCTION("""COMPUTED_VALUE"""),500000)</f>
        <v>500000</v>
      </c>
      <c r="D4451" s="22">
        <f ca="1">IFERROR(__xludf.DUMMYFUNCTION("""COMPUTED_VALUE"""),0)</f>
        <v>0</v>
      </c>
      <c r="E4451" s="22">
        <f ca="1">IFERROR(__xludf.DUMMYFUNCTION("""COMPUTED_VALUE"""),500000)</f>
        <v>500000</v>
      </c>
      <c r="F4451" s="22">
        <f ca="1">IFERROR(__xludf.DUMMYFUNCTION("""COMPUTED_VALUE"""),500000)</f>
        <v>500000</v>
      </c>
      <c r="G4451" s="22">
        <f ca="1">IFERROR(__xludf.DUMMYFUNCTION("""COMPUTED_VALUE"""),0)</f>
        <v>0</v>
      </c>
      <c r="H4451" s="7">
        <f ca="1">IFERROR(__xludf.DUMMYFUNCTION("""COMPUTED_VALUE"""),500000)</f>
        <v>500000</v>
      </c>
    </row>
    <row r="4452" spans="1:8" ht="13" x14ac:dyDescent="0.15">
      <c r="A4452" s="5" t="str">
        <f ca="1">IFERROR(__xludf.DUMMYFUNCTION("""COMPUTED_VALUE"""),"77393")</f>
        <v>77393</v>
      </c>
      <c r="B4452" s="51">
        <f ca="1">IFERROR(__xludf.DUMMYFUNCTION("""COMPUTED_VALUE"""),44629)</f>
        <v>44629</v>
      </c>
      <c r="C4452" s="22">
        <f ca="1">IFERROR(__xludf.DUMMYFUNCTION("""COMPUTED_VALUE"""),500000)</f>
        <v>500000</v>
      </c>
      <c r="D4452" s="22">
        <f ca="1">IFERROR(__xludf.DUMMYFUNCTION("""COMPUTED_VALUE"""),0)</f>
        <v>0</v>
      </c>
      <c r="E4452" s="22">
        <f ca="1">IFERROR(__xludf.DUMMYFUNCTION("""COMPUTED_VALUE"""),500000)</f>
        <v>500000</v>
      </c>
      <c r="F4452" s="22">
        <f ca="1">IFERROR(__xludf.DUMMYFUNCTION("""COMPUTED_VALUE"""),500000)</f>
        <v>500000</v>
      </c>
      <c r="G4452" s="22">
        <f ca="1">IFERROR(__xludf.DUMMYFUNCTION("""COMPUTED_VALUE"""),0)</f>
        <v>0</v>
      </c>
      <c r="H4452" s="7">
        <f ca="1">IFERROR(__xludf.DUMMYFUNCTION("""COMPUTED_VALUE"""),500000)</f>
        <v>500000</v>
      </c>
    </row>
    <row r="4453" spans="1:8" ht="13" x14ac:dyDescent="0.15">
      <c r="A4453" s="5" t="str">
        <f ca="1">IFERROR(__xludf.DUMMYFUNCTION("""COMPUTED_VALUE"""),"77393")</f>
        <v>77393</v>
      </c>
      <c r="B4453" s="51">
        <f ca="1">IFERROR(__xludf.DUMMYFUNCTION("""COMPUTED_VALUE"""),44630)</f>
        <v>44630</v>
      </c>
      <c r="C4453" s="22">
        <f ca="1">IFERROR(__xludf.DUMMYFUNCTION("""COMPUTED_VALUE"""),500000)</f>
        <v>500000</v>
      </c>
      <c r="D4453" s="22">
        <f ca="1">IFERROR(__xludf.DUMMYFUNCTION("""COMPUTED_VALUE"""),0)</f>
        <v>0</v>
      </c>
      <c r="E4453" s="22">
        <f ca="1">IFERROR(__xludf.DUMMYFUNCTION("""COMPUTED_VALUE"""),500000)</f>
        <v>500000</v>
      </c>
      <c r="F4453" s="22">
        <f ca="1">IFERROR(__xludf.DUMMYFUNCTION("""COMPUTED_VALUE"""),500000)</f>
        <v>500000</v>
      </c>
      <c r="G4453" s="22">
        <f ca="1">IFERROR(__xludf.DUMMYFUNCTION("""COMPUTED_VALUE"""),0)</f>
        <v>0</v>
      </c>
      <c r="H4453" s="7">
        <f ca="1">IFERROR(__xludf.DUMMYFUNCTION("""COMPUTED_VALUE"""),500000)</f>
        <v>500000</v>
      </c>
    </row>
    <row r="4454" spans="1:8" ht="13" x14ac:dyDescent="0.15">
      <c r="A4454" s="5" t="str">
        <f ca="1">IFERROR(__xludf.DUMMYFUNCTION("""COMPUTED_VALUE"""),"77393")</f>
        <v>77393</v>
      </c>
      <c r="B4454" s="51">
        <f ca="1">IFERROR(__xludf.DUMMYFUNCTION("""COMPUTED_VALUE"""),44631)</f>
        <v>44631</v>
      </c>
      <c r="C4454" s="22">
        <f ca="1">IFERROR(__xludf.DUMMYFUNCTION("""COMPUTED_VALUE"""),500000)</f>
        <v>500000</v>
      </c>
      <c r="D4454" s="22">
        <f ca="1">IFERROR(__xludf.DUMMYFUNCTION("""COMPUTED_VALUE"""),0)</f>
        <v>0</v>
      </c>
      <c r="E4454" s="22">
        <f ca="1">IFERROR(__xludf.DUMMYFUNCTION("""COMPUTED_VALUE"""),500000)</f>
        <v>500000</v>
      </c>
      <c r="F4454" s="22">
        <f ca="1">IFERROR(__xludf.DUMMYFUNCTION("""COMPUTED_VALUE"""),500000)</f>
        <v>500000</v>
      </c>
      <c r="G4454" s="22">
        <f ca="1">IFERROR(__xludf.DUMMYFUNCTION("""COMPUTED_VALUE"""),0)</f>
        <v>0</v>
      </c>
      <c r="H4454" s="7">
        <f ca="1">IFERROR(__xludf.DUMMYFUNCTION("""COMPUTED_VALUE"""),500000)</f>
        <v>500000</v>
      </c>
    </row>
    <row r="4455" spans="1:8" ht="13" x14ac:dyDescent="0.15">
      <c r="A4455" s="5" t="str">
        <f ca="1">IFERROR(__xludf.DUMMYFUNCTION("""COMPUTED_VALUE"""),"77393")</f>
        <v>77393</v>
      </c>
      <c r="B4455" s="51">
        <f ca="1">IFERROR(__xludf.DUMMYFUNCTION("""COMPUTED_VALUE"""),44632)</f>
        <v>44632</v>
      </c>
      <c r="C4455" s="22">
        <f ca="1">IFERROR(__xludf.DUMMYFUNCTION("""COMPUTED_VALUE"""),500000)</f>
        <v>500000</v>
      </c>
      <c r="D4455" s="22">
        <f ca="1">IFERROR(__xludf.DUMMYFUNCTION("""COMPUTED_VALUE"""),0)</f>
        <v>0</v>
      </c>
      <c r="E4455" s="22">
        <f ca="1">IFERROR(__xludf.DUMMYFUNCTION("""COMPUTED_VALUE"""),500000)</f>
        <v>500000</v>
      </c>
      <c r="F4455" s="22">
        <f ca="1">IFERROR(__xludf.DUMMYFUNCTION("""COMPUTED_VALUE"""),500000)</f>
        <v>500000</v>
      </c>
      <c r="G4455" s="22">
        <f ca="1">IFERROR(__xludf.DUMMYFUNCTION("""COMPUTED_VALUE"""),0)</f>
        <v>0</v>
      </c>
      <c r="H4455" s="7">
        <f ca="1">IFERROR(__xludf.DUMMYFUNCTION("""COMPUTED_VALUE"""),500000)</f>
        <v>500000</v>
      </c>
    </row>
    <row r="4456" spans="1:8" ht="13" x14ac:dyDescent="0.15">
      <c r="A4456" s="5" t="str">
        <f ca="1">IFERROR(__xludf.DUMMYFUNCTION("""COMPUTED_VALUE"""),"77393")</f>
        <v>77393</v>
      </c>
      <c r="B4456" s="51">
        <f ca="1">IFERROR(__xludf.DUMMYFUNCTION("""COMPUTED_VALUE"""),44633)</f>
        <v>44633</v>
      </c>
      <c r="C4456" s="22">
        <f ca="1">IFERROR(__xludf.DUMMYFUNCTION("""COMPUTED_VALUE"""),500000)</f>
        <v>500000</v>
      </c>
      <c r="D4456" s="22">
        <f ca="1">IFERROR(__xludf.DUMMYFUNCTION("""COMPUTED_VALUE"""),0)</f>
        <v>0</v>
      </c>
      <c r="E4456" s="22">
        <f ca="1">IFERROR(__xludf.DUMMYFUNCTION("""COMPUTED_VALUE"""),500000)</f>
        <v>500000</v>
      </c>
      <c r="F4456" s="22">
        <f ca="1">IFERROR(__xludf.DUMMYFUNCTION("""COMPUTED_VALUE"""),500000)</f>
        <v>500000</v>
      </c>
      <c r="G4456" s="22">
        <f ca="1">IFERROR(__xludf.DUMMYFUNCTION("""COMPUTED_VALUE"""),0)</f>
        <v>0</v>
      </c>
      <c r="H4456" s="7">
        <f ca="1">IFERROR(__xludf.DUMMYFUNCTION("""COMPUTED_VALUE"""),500000)</f>
        <v>500000</v>
      </c>
    </row>
    <row r="4457" spans="1:8" ht="13" x14ac:dyDescent="0.15">
      <c r="A4457" s="5" t="str">
        <f ca="1">IFERROR(__xludf.DUMMYFUNCTION("""COMPUTED_VALUE"""),"77393")</f>
        <v>77393</v>
      </c>
      <c r="B4457" s="51">
        <f ca="1">IFERROR(__xludf.DUMMYFUNCTION("""COMPUTED_VALUE"""),44634)</f>
        <v>44634</v>
      </c>
      <c r="C4457" s="22">
        <f ca="1">IFERROR(__xludf.DUMMYFUNCTION("""COMPUTED_VALUE"""),500000)</f>
        <v>500000</v>
      </c>
      <c r="D4457" s="22">
        <f ca="1">IFERROR(__xludf.DUMMYFUNCTION("""COMPUTED_VALUE"""),0)</f>
        <v>0</v>
      </c>
      <c r="E4457" s="22">
        <f ca="1">IFERROR(__xludf.DUMMYFUNCTION("""COMPUTED_VALUE"""),500000)</f>
        <v>500000</v>
      </c>
      <c r="F4457" s="22">
        <f ca="1">IFERROR(__xludf.DUMMYFUNCTION("""COMPUTED_VALUE"""),500000)</f>
        <v>500000</v>
      </c>
      <c r="G4457" s="22">
        <f ca="1">IFERROR(__xludf.DUMMYFUNCTION("""COMPUTED_VALUE"""),0)</f>
        <v>0</v>
      </c>
      <c r="H4457" s="7">
        <f ca="1">IFERROR(__xludf.DUMMYFUNCTION("""COMPUTED_VALUE"""),500000)</f>
        <v>500000</v>
      </c>
    </row>
    <row r="4458" spans="1:8" ht="13" x14ac:dyDescent="0.15">
      <c r="A4458" s="5" t="str">
        <f ca="1">IFERROR(__xludf.DUMMYFUNCTION("""COMPUTED_VALUE"""),"77393")</f>
        <v>77393</v>
      </c>
      <c r="B4458" s="51">
        <f ca="1">IFERROR(__xludf.DUMMYFUNCTION("""COMPUTED_VALUE"""),44635)</f>
        <v>44635</v>
      </c>
      <c r="C4458" s="22">
        <f ca="1">IFERROR(__xludf.DUMMYFUNCTION("""COMPUTED_VALUE"""),500000)</f>
        <v>500000</v>
      </c>
      <c r="D4458" s="22">
        <f ca="1">IFERROR(__xludf.DUMMYFUNCTION("""COMPUTED_VALUE"""),0)</f>
        <v>0</v>
      </c>
      <c r="E4458" s="22">
        <f ca="1">IFERROR(__xludf.DUMMYFUNCTION("""COMPUTED_VALUE"""),500000)</f>
        <v>500000</v>
      </c>
      <c r="F4458" s="22">
        <f ca="1">IFERROR(__xludf.DUMMYFUNCTION("""COMPUTED_VALUE"""),500000)</f>
        <v>500000</v>
      </c>
      <c r="G4458" s="22">
        <f ca="1">IFERROR(__xludf.DUMMYFUNCTION("""COMPUTED_VALUE"""),0)</f>
        <v>0</v>
      </c>
      <c r="H4458" s="7">
        <f ca="1">IFERROR(__xludf.DUMMYFUNCTION("""COMPUTED_VALUE"""),500000)</f>
        <v>500000</v>
      </c>
    </row>
    <row r="4459" spans="1:8" ht="13" x14ac:dyDescent="0.15">
      <c r="A4459" s="5" t="str">
        <f ca="1">IFERROR(__xludf.DUMMYFUNCTION("""COMPUTED_VALUE"""),"77393")</f>
        <v>77393</v>
      </c>
      <c r="B4459" s="51">
        <f ca="1">IFERROR(__xludf.DUMMYFUNCTION("""COMPUTED_VALUE"""),44636)</f>
        <v>44636</v>
      </c>
      <c r="C4459" s="22">
        <f ca="1">IFERROR(__xludf.DUMMYFUNCTION("""COMPUTED_VALUE"""),500000)</f>
        <v>500000</v>
      </c>
      <c r="D4459" s="22">
        <f ca="1">IFERROR(__xludf.DUMMYFUNCTION("""COMPUTED_VALUE"""),0)</f>
        <v>0</v>
      </c>
      <c r="E4459" s="22">
        <f ca="1">IFERROR(__xludf.DUMMYFUNCTION("""COMPUTED_VALUE"""),500000)</f>
        <v>500000</v>
      </c>
      <c r="F4459" s="22">
        <f ca="1">IFERROR(__xludf.DUMMYFUNCTION("""COMPUTED_VALUE"""),500000)</f>
        <v>500000</v>
      </c>
      <c r="G4459" s="22">
        <f ca="1">IFERROR(__xludf.DUMMYFUNCTION("""COMPUTED_VALUE"""),0)</f>
        <v>0</v>
      </c>
      <c r="H4459" s="7">
        <f ca="1">IFERROR(__xludf.DUMMYFUNCTION("""COMPUTED_VALUE"""),500000)</f>
        <v>500000</v>
      </c>
    </row>
    <row r="4460" spans="1:8" ht="13" x14ac:dyDescent="0.15">
      <c r="A4460" s="5" t="str">
        <f ca="1">IFERROR(__xludf.DUMMYFUNCTION("""COMPUTED_VALUE"""),"77393")</f>
        <v>77393</v>
      </c>
      <c r="B4460" s="51">
        <f ca="1">IFERROR(__xludf.DUMMYFUNCTION("""COMPUTED_VALUE"""),44637)</f>
        <v>44637</v>
      </c>
      <c r="C4460" s="22">
        <f ca="1">IFERROR(__xludf.DUMMYFUNCTION("""COMPUTED_VALUE"""),500000)</f>
        <v>500000</v>
      </c>
      <c r="D4460" s="22">
        <f ca="1">IFERROR(__xludf.DUMMYFUNCTION("""COMPUTED_VALUE"""),0)</f>
        <v>0</v>
      </c>
      <c r="E4460" s="22">
        <f ca="1">IFERROR(__xludf.DUMMYFUNCTION("""COMPUTED_VALUE"""),500000)</f>
        <v>500000</v>
      </c>
      <c r="F4460" s="22">
        <f ca="1">IFERROR(__xludf.DUMMYFUNCTION("""COMPUTED_VALUE"""),500000)</f>
        <v>500000</v>
      </c>
      <c r="G4460" s="22">
        <f ca="1">IFERROR(__xludf.DUMMYFUNCTION("""COMPUTED_VALUE"""),0)</f>
        <v>0</v>
      </c>
      <c r="H4460" s="7">
        <f ca="1">IFERROR(__xludf.DUMMYFUNCTION("""COMPUTED_VALUE"""),500000)</f>
        <v>500000</v>
      </c>
    </row>
    <row r="4461" spans="1:8" ht="13" x14ac:dyDescent="0.15">
      <c r="A4461" s="5" t="str">
        <f ca="1">IFERROR(__xludf.DUMMYFUNCTION("""COMPUTED_VALUE"""),"77393")</f>
        <v>77393</v>
      </c>
      <c r="B4461" s="51">
        <f ca="1">IFERROR(__xludf.DUMMYFUNCTION("""COMPUTED_VALUE"""),44638)</f>
        <v>44638</v>
      </c>
      <c r="C4461" s="22">
        <f ca="1">IFERROR(__xludf.DUMMYFUNCTION("""COMPUTED_VALUE"""),500000)</f>
        <v>500000</v>
      </c>
      <c r="D4461" s="22">
        <f ca="1">IFERROR(__xludf.DUMMYFUNCTION("""COMPUTED_VALUE"""),0)</f>
        <v>0</v>
      </c>
      <c r="E4461" s="22">
        <f ca="1">IFERROR(__xludf.DUMMYFUNCTION("""COMPUTED_VALUE"""),500000)</f>
        <v>500000</v>
      </c>
      <c r="F4461" s="22">
        <f ca="1">IFERROR(__xludf.DUMMYFUNCTION("""COMPUTED_VALUE"""),500000)</f>
        <v>500000</v>
      </c>
      <c r="G4461" s="22">
        <f ca="1">IFERROR(__xludf.DUMMYFUNCTION("""COMPUTED_VALUE"""),0)</f>
        <v>0</v>
      </c>
      <c r="H4461" s="7">
        <f ca="1">IFERROR(__xludf.DUMMYFUNCTION("""COMPUTED_VALUE"""),500000)</f>
        <v>500000</v>
      </c>
    </row>
    <row r="4462" spans="1:8" ht="13" x14ac:dyDescent="0.15">
      <c r="A4462" s="5" t="str">
        <f ca="1">IFERROR(__xludf.DUMMYFUNCTION("""COMPUTED_VALUE"""),"77393")</f>
        <v>77393</v>
      </c>
      <c r="B4462" s="51">
        <f ca="1">IFERROR(__xludf.DUMMYFUNCTION("""COMPUTED_VALUE"""),44639)</f>
        <v>44639</v>
      </c>
      <c r="C4462" s="22">
        <f ca="1">IFERROR(__xludf.DUMMYFUNCTION("""COMPUTED_VALUE"""),500000)</f>
        <v>500000</v>
      </c>
      <c r="D4462" s="22">
        <f ca="1">IFERROR(__xludf.DUMMYFUNCTION("""COMPUTED_VALUE"""),0)</f>
        <v>0</v>
      </c>
      <c r="E4462" s="22">
        <f ca="1">IFERROR(__xludf.DUMMYFUNCTION("""COMPUTED_VALUE"""),500000)</f>
        <v>500000</v>
      </c>
      <c r="F4462" s="22">
        <f ca="1">IFERROR(__xludf.DUMMYFUNCTION("""COMPUTED_VALUE"""),500000)</f>
        <v>500000</v>
      </c>
      <c r="G4462" s="22">
        <f ca="1">IFERROR(__xludf.DUMMYFUNCTION("""COMPUTED_VALUE"""),0)</f>
        <v>0</v>
      </c>
      <c r="H4462" s="7">
        <f ca="1">IFERROR(__xludf.DUMMYFUNCTION("""COMPUTED_VALUE"""),500000)</f>
        <v>500000</v>
      </c>
    </row>
    <row r="4463" spans="1:8" ht="13" x14ac:dyDescent="0.15">
      <c r="A4463" s="5" t="str">
        <f ca="1">IFERROR(__xludf.DUMMYFUNCTION("""COMPUTED_VALUE"""),"77393")</f>
        <v>77393</v>
      </c>
      <c r="B4463" s="51">
        <f ca="1">IFERROR(__xludf.DUMMYFUNCTION("""COMPUTED_VALUE"""),44640)</f>
        <v>44640</v>
      </c>
      <c r="C4463" s="22">
        <f ca="1">IFERROR(__xludf.DUMMYFUNCTION("""COMPUTED_VALUE"""),500000)</f>
        <v>500000</v>
      </c>
      <c r="D4463" s="22">
        <f ca="1">IFERROR(__xludf.DUMMYFUNCTION("""COMPUTED_VALUE"""),0)</f>
        <v>0</v>
      </c>
      <c r="E4463" s="22">
        <f ca="1">IFERROR(__xludf.DUMMYFUNCTION("""COMPUTED_VALUE"""),500000)</f>
        <v>500000</v>
      </c>
      <c r="F4463" s="22">
        <f ca="1">IFERROR(__xludf.DUMMYFUNCTION("""COMPUTED_VALUE"""),500000)</f>
        <v>500000</v>
      </c>
      <c r="G4463" s="22">
        <f ca="1">IFERROR(__xludf.DUMMYFUNCTION("""COMPUTED_VALUE"""),0)</f>
        <v>0</v>
      </c>
      <c r="H4463" s="7">
        <f ca="1">IFERROR(__xludf.DUMMYFUNCTION("""COMPUTED_VALUE"""),500000)</f>
        <v>500000</v>
      </c>
    </row>
    <row r="4464" spans="1:8" ht="13" x14ac:dyDescent="0.15">
      <c r="A4464" s="5" t="str">
        <f ca="1">IFERROR(__xludf.DUMMYFUNCTION("""COMPUTED_VALUE"""),"77393")</f>
        <v>77393</v>
      </c>
      <c r="B4464" s="51">
        <f ca="1">IFERROR(__xludf.DUMMYFUNCTION("""COMPUTED_VALUE"""),44641)</f>
        <v>44641</v>
      </c>
      <c r="C4464" s="22">
        <f ca="1">IFERROR(__xludf.DUMMYFUNCTION("""COMPUTED_VALUE"""),500000)</f>
        <v>500000</v>
      </c>
      <c r="D4464" s="22">
        <f ca="1">IFERROR(__xludf.DUMMYFUNCTION("""COMPUTED_VALUE"""),0)</f>
        <v>0</v>
      </c>
      <c r="E4464" s="22">
        <f ca="1">IFERROR(__xludf.DUMMYFUNCTION("""COMPUTED_VALUE"""),500000)</f>
        <v>500000</v>
      </c>
      <c r="F4464" s="22">
        <f ca="1">IFERROR(__xludf.DUMMYFUNCTION("""COMPUTED_VALUE"""),500000)</f>
        <v>500000</v>
      </c>
      <c r="G4464" s="22">
        <f ca="1">IFERROR(__xludf.DUMMYFUNCTION("""COMPUTED_VALUE"""),0)</f>
        <v>0</v>
      </c>
      <c r="H4464" s="7">
        <f ca="1">IFERROR(__xludf.DUMMYFUNCTION("""COMPUTED_VALUE"""),500000)</f>
        <v>500000</v>
      </c>
    </row>
    <row r="4465" spans="1:8" ht="13" x14ac:dyDescent="0.15">
      <c r="A4465" s="5" t="str">
        <f ca="1">IFERROR(__xludf.DUMMYFUNCTION("""COMPUTED_VALUE"""),"77393")</f>
        <v>77393</v>
      </c>
      <c r="B4465" s="51">
        <f ca="1">IFERROR(__xludf.DUMMYFUNCTION("""COMPUTED_VALUE"""),44642)</f>
        <v>44642</v>
      </c>
      <c r="C4465" s="22">
        <f ca="1">IFERROR(__xludf.DUMMYFUNCTION("""COMPUTED_VALUE"""),500000)</f>
        <v>500000</v>
      </c>
      <c r="D4465" s="22">
        <f ca="1">IFERROR(__xludf.DUMMYFUNCTION("""COMPUTED_VALUE"""),0)</f>
        <v>0</v>
      </c>
      <c r="E4465" s="22">
        <f ca="1">IFERROR(__xludf.DUMMYFUNCTION("""COMPUTED_VALUE"""),500000)</f>
        <v>500000</v>
      </c>
      <c r="F4465" s="22">
        <f ca="1">IFERROR(__xludf.DUMMYFUNCTION("""COMPUTED_VALUE"""),500000)</f>
        <v>500000</v>
      </c>
      <c r="G4465" s="22">
        <f ca="1">IFERROR(__xludf.DUMMYFUNCTION("""COMPUTED_VALUE"""),0)</f>
        <v>0</v>
      </c>
      <c r="H4465" s="7">
        <f ca="1">IFERROR(__xludf.DUMMYFUNCTION("""COMPUTED_VALUE"""),500000)</f>
        <v>500000</v>
      </c>
    </row>
    <row r="4466" spans="1:8" ht="13" x14ac:dyDescent="0.15">
      <c r="A4466" s="5" t="str">
        <f ca="1">IFERROR(__xludf.DUMMYFUNCTION("""COMPUTED_VALUE"""),"77603")</f>
        <v>77603</v>
      </c>
      <c r="B4466" s="51">
        <f ca="1">IFERROR(__xludf.DUMMYFUNCTION("""COMPUTED_VALUE"""),44597)</f>
        <v>44597</v>
      </c>
      <c r="C4466" s="22">
        <f ca="1">IFERROR(__xludf.DUMMYFUNCTION("""COMPUTED_VALUE"""),500000)</f>
        <v>500000</v>
      </c>
      <c r="D4466" s="22">
        <f ca="1">IFERROR(__xludf.DUMMYFUNCTION("""COMPUTED_VALUE"""),0)</f>
        <v>0</v>
      </c>
      <c r="E4466" s="22">
        <f ca="1">IFERROR(__xludf.DUMMYFUNCTION("""COMPUTED_VALUE"""),500000)</f>
        <v>500000</v>
      </c>
      <c r="F4466" s="22">
        <f ca="1">IFERROR(__xludf.DUMMYFUNCTION("""COMPUTED_VALUE"""),500000)</f>
        <v>500000</v>
      </c>
      <c r="G4466" s="22">
        <f ca="1">IFERROR(__xludf.DUMMYFUNCTION("""COMPUTED_VALUE"""),0)</f>
        <v>0</v>
      </c>
      <c r="H4466" s="7">
        <f ca="1">IFERROR(__xludf.DUMMYFUNCTION("""COMPUTED_VALUE"""),500000)</f>
        <v>500000</v>
      </c>
    </row>
    <row r="4467" spans="1:8" ht="13" x14ac:dyDescent="0.15">
      <c r="A4467" s="5" t="str">
        <f ca="1">IFERROR(__xludf.DUMMYFUNCTION("""COMPUTED_VALUE"""),"77603")</f>
        <v>77603</v>
      </c>
      <c r="B4467" s="51">
        <f ca="1">IFERROR(__xludf.DUMMYFUNCTION("""COMPUTED_VALUE"""),44598)</f>
        <v>44598</v>
      </c>
      <c r="C4467" s="22">
        <f ca="1">IFERROR(__xludf.DUMMYFUNCTION("""COMPUTED_VALUE"""),500000)</f>
        <v>500000</v>
      </c>
      <c r="D4467" s="22">
        <f ca="1">IFERROR(__xludf.DUMMYFUNCTION("""COMPUTED_VALUE"""),0)</f>
        <v>0</v>
      </c>
      <c r="E4467" s="22">
        <f ca="1">IFERROR(__xludf.DUMMYFUNCTION("""COMPUTED_VALUE"""),500000)</f>
        <v>500000</v>
      </c>
      <c r="F4467" s="22">
        <f ca="1">IFERROR(__xludf.DUMMYFUNCTION("""COMPUTED_VALUE"""),500000)</f>
        <v>500000</v>
      </c>
      <c r="G4467" s="22">
        <f ca="1">IFERROR(__xludf.DUMMYFUNCTION("""COMPUTED_VALUE"""),0)</f>
        <v>0</v>
      </c>
      <c r="H4467" s="7">
        <f ca="1">IFERROR(__xludf.DUMMYFUNCTION("""COMPUTED_VALUE"""),500000)</f>
        <v>500000</v>
      </c>
    </row>
    <row r="4468" spans="1:8" ht="13" x14ac:dyDescent="0.15">
      <c r="A4468" s="5" t="str">
        <f ca="1">IFERROR(__xludf.DUMMYFUNCTION("""COMPUTED_VALUE"""),"77603")</f>
        <v>77603</v>
      </c>
      <c r="B4468" s="51">
        <f ca="1">IFERROR(__xludf.DUMMYFUNCTION("""COMPUTED_VALUE"""),44599)</f>
        <v>44599</v>
      </c>
      <c r="C4468" s="22">
        <f ca="1">IFERROR(__xludf.DUMMYFUNCTION("""COMPUTED_VALUE"""),500000)</f>
        <v>500000</v>
      </c>
      <c r="D4468" s="22">
        <f ca="1">IFERROR(__xludf.DUMMYFUNCTION("""COMPUTED_VALUE"""),0)</f>
        <v>0</v>
      </c>
      <c r="E4468" s="22">
        <f ca="1">IFERROR(__xludf.DUMMYFUNCTION("""COMPUTED_VALUE"""),500000)</f>
        <v>500000</v>
      </c>
      <c r="F4468" s="22">
        <f ca="1">IFERROR(__xludf.DUMMYFUNCTION("""COMPUTED_VALUE"""),500000)</f>
        <v>500000</v>
      </c>
      <c r="G4468" s="22">
        <f ca="1">IFERROR(__xludf.DUMMYFUNCTION("""COMPUTED_VALUE"""),0)</f>
        <v>0</v>
      </c>
      <c r="H4468" s="7">
        <f ca="1">IFERROR(__xludf.DUMMYFUNCTION("""COMPUTED_VALUE"""),500000)</f>
        <v>500000</v>
      </c>
    </row>
    <row r="4469" spans="1:8" ht="13" x14ac:dyDescent="0.15">
      <c r="A4469" s="5" t="str">
        <f ca="1">IFERROR(__xludf.DUMMYFUNCTION("""COMPUTED_VALUE"""),"77603")</f>
        <v>77603</v>
      </c>
      <c r="B4469" s="51">
        <f ca="1">IFERROR(__xludf.DUMMYFUNCTION("""COMPUTED_VALUE"""),44600)</f>
        <v>44600</v>
      </c>
      <c r="C4469" s="22">
        <f ca="1">IFERROR(__xludf.DUMMYFUNCTION("""COMPUTED_VALUE"""),500000)</f>
        <v>500000</v>
      </c>
      <c r="D4469" s="22">
        <f ca="1">IFERROR(__xludf.DUMMYFUNCTION("""COMPUTED_VALUE"""),0)</f>
        <v>0</v>
      </c>
      <c r="E4469" s="22">
        <f ca="1">IFERROR(__xludf.DUMMYFUNCTION("""COMPUTED_VALUE"""),500000)</f>
        <v>500000</v>
      </c>
      <c r="F4469" s="22">
        <f ca="1">IFERROR(__xludf.DUMMYFUNCTION("""COMPUTED_VALUE"""),500000)</f>
        <v>500000</v>
      </c>
      <c r="G4469" s="22">
        <f ca="1">IFERROR(__xludf.DUMMYFUNCTION("""COMPUTED_VALUE"""),0)</f>
        <v>0</v>
      </c>
      <c r="H4469" s="7">
        <f ca="1">IFERROR(__xludf.DUMMYFUNCTION("""COMPUTED_VALUE"""),500000)</f>
        <v>500000</v>
      </c>
    </row>
    <row r="4470" spans="1:8" ht="13" x14ac:dyDescent="0.15">
      <c r="A4470" s="5" t="str">
        <f ca="1">IFERROR(__xludf.DUMMYFUNCTION("""COMPUTED_VALUE"""),"77603")</f>
        <v>77603</v>
      </c>
      <c r="B4470" s="51">
        <f ca="1">IFERROR(__xludf.DUMMYFUNCTION("""COMPUTED_VALUE"""),44601)</f>
        <v>44601</v>
      </c>
      <c r="C4470" s="22">
        <f ca="1">IFERROR(__xludf.DUMMYFUNCTION("""COMPUTED_VALUE"""),500000)</f>
        <v>500000</v>
      </c>
      <c r="D4470" s="22">
        <f ca="1">IFERROR(__xludf.DUMMYFUNCTION("""COMPUTED_VALUE"""),0)</f>
        <v>0</v>
      </c>
      <c r="E4470" s="22">
        <f ca="1">IFERROR(__xludf.DUMMYFUNCTION("""COMPUTED_VALUE"""),500000)</f>
        <v>500000</v>
      </c>
      <c r="F4470" s="22">
        <f ca="1">IFERROR(__xludf.DUMMYFUNCTION("""COMPUTED_VALUE"""),500000)</f>
        <v>500000</v>
      </c>
      <c r="G4470" s="22">
        <f ca="1">IFERROR(__xludf.DUMMYFUNCTION("""COMPUTED_VALUE"""),0)</f>
        <v>0</v>
      </c>
      <c r="H4470" s="7">
        <f ca="1">IFERROR(__xludf.DUMMYFUNCTION("""COMPUTED_VALUE"""),500000)</f>
        <v>500000</v>
      </c>
    </row>
    <row r="4471" spans="1:8" ht="13" x14ac:dyDescent="0.15">
      <c r="A4471" s="5" t="str">
        <f ca="1">IFERROR(__xludf.DUMMYFUNCTION("""COMPUTED_VALUE"""),"77603")</f>
        <v>77603</v>
      </c>
      <c r="B4471" s="51">
        <f ca="1">IFERROR(__xludf.DUMMYFUNCTION("""COMPUTED_VALUE"""),44602)</f>
        <v>44602</v>
      </c>
      <c r="C4471" s="22">
        <f ca="1">IFERROR(__xludf.DUMMYFUNCTION("""COMPUTED_VALUE"""),500000)</f>
        <v>500000</v>
      </c>
      <c r="D4471" s="22">
        <f ca="1">IFERROR(__xludf.DUMMYFUNCTION("""COMPUTED_VALUE"""),0)</f>
        <v>0</v>
      </c>
      <c r="E4471" s="22">
        <f ca="1">IFERROR(__xludf.DUMMYFUNCTION("""COMPUTED_VALUE"""),500000)</f>
        <v>500000</v>
      </c>
      <c r="F4471" s="22">
        <f ca="1">IFERROR(__xludf.DUMMYFUNCTION("""COMPUTED_VALUE"""),500000)</f>
        <v>500000</v>
      </c>
      <c r="G4471" s="22">
        <f ca="1">IFERROR(__xludf.DUMMYFUNCTION("""COMPUTED_VALUE"""),0)</f>
        <v>0</v>
      </c>
      <c r="H4471" s="7">
        <f ca="1">IFERROR(__xludf.DUMMYFUNCTION("""COMPUTED_VALUE"""),500000)</f>
        <v>500000</v>
      </c>
    </row>
    <row r="4472" spans="1:8" ht="13" x14ac:dyDescent="0.15">
      <c r="A4472" s="5" t="str">
        <f ca="1">IFERROR(__xludf.DUMMYFUNCTION("""COMPUTED_VALUE"""),"77603")</f>
        <v>77603</v>
      </c>
      <c r="B4472" s="51">
        <f ca="1">IFERROR(__xludf.DUMMYFUNCTION("""COMPUTED_VALUE"""),44603)</f>
        <v>44603</v>
      </c>
      <c r="C4472" s="22">
        <f ca="1">IFERROR(__xludf.DUMMYFUNCTION("""COMPUTED_VALUE"""),500000)</f>
        <v>500000</v>
      </c>
      <c r="D4472" s="22">
        <f ca="1">IFERROR(__xludf.DUMMYFUNCTION("""COMPUTED_VALUE"""),0)</f>
        <v>0</v>
      </c>
      <c r="E4472" s="22">
        <f ca="1">IFERROR(__xludf.DUMMYFUNCTION("""COMPUTED_VALUE"""),500000)</f>
        <v>500000</v>
      </c>
      <c r="F4472" s="22">
        <f ca="1">IFERROR(__xludf.DUMMYFUNCTION("""COMPUTED_VALUE"""),500000)</f>
        <v>500000</v>
      </c>
      <c r="G4472" s="22">
        <f ca="1">IFERROR(__xludf.DUMMYFUNCTION("""COMPUTED_VALUE"""),0)</f>
        <v>0</v>
      </c>
      <c r="H4472" s="7">
        <f ca="1">IFERROR(__xludf.DUMMYFUNCTION("""COMPUTED_VALUE"""),500000)</f>
        <v>500000</v>
      </c>
    </row>
    <row r="4473" spans="1:8" ht="13" x14ac:dyDescent="0.15">
      <c r="A4473" s="5" t="str">
        <f ca="1">IFERROR(__xludf.DUMMYFUNCTION("""COMPUTED_VALUE"""),"77603")</f>
        <v>77603</v>
      </c>
      <c r="B4473" s="51">
        <f ca="1">IFERROR(__xludf.DUMMYFUNCTION("""COMPUTED_VALUE"""),44604)</f>
        <v>44604</v>
      </c>
      <c r="C4473" s="22">
        <f ca="1">IFERROR(__xludf.DUMMYFUNCTION("""COMPUTED_VALUE"""),500000)</f>
        <v>500000</v>
      </c>
      <c r="D4473" s="22">
        <f ca="1">IFERROR(__xludf.DUMMYFUNCTION("""COMPUTED_VALUE"""),0)</f>
        <v>0</v>
      </c>
      <c r="E4473" s="22">
        <f ca="1">IFERROR(__xludf.DUMMYFUNCTION("""COMPUTED_VALUE"""),500000)</f>
        <v>500000</v>
      </c>
      <c r="F4473" s="22">
        <f ca="1">IFERROR(__xludf.DUMMYFUNCTION("""COMPUTED_VALUE"""),500000)</f>
        <v>500000</v>
      </c>
      <c r="G4473" s="22">
        <f ca="1">IFERROR(__xludf.DUMMYFUNCTION("""COMPUTED_VALUE"""),0)</f>
        <v>0</v>
      </c>
      <c r="H4473" s="7">
        <f ca="1">IFERROR(__xludf.DUMMYFUNCTION("""COMPUTED_VALUE"""),500000)</f>
        <v>500000</v>
      </c>
    </row>
    <row r="4474" spans="1:8" ht="13" x14ac:dyDescent="0.15">
      <c r="A4474" s="5" t="str">
        <f ca="1">IFERROR(__xludf.DUMMYFUNCTION("""COMPUTED_VALUE"""),"77603")</f>
        <v>77603</v>
      </c>
      <c r="B4474" s="51">
        <f ca="1">IFERROR(__xludf.DUMMYFUNCTION("""COMPUTED_VALUE"""),44605)</f>
        <v>44605</v>
      </c>
      <c r="C4474" s="22">
        <f ca="1">IFERROR(__xludf.DUMMYFUNCTION("""COMPUTED_VALUE"""),500000)</f>
        <v>500000</v>
      </c>
      <c r="D4474" s="22">
        <f ca="1">IFERROR(__xludf.DUMMYFUNCTION("""COMPUTED_VALUE"""),0)</f>
        <v>0</v>
      </c>
      <c r="E4474" s="22">
        <f ca="1">IFERROR(__xludf.DUMMYFUNCTION("""COMPUTED_VALUE"""),500000)</f>
        <v>500000</v>
      </c>
      <c r="F4474" s="22">
        <f ca="1">IFERROR(__xludf.DUMMYFUNCTION("""COMPUTED_VALUE"""),500000)</f>
        <v>500000</v>
      </c>
      <c r="G4474" s="22">
        <f ca="1">IFERROR(__xludf.DUMMYFUNCTION("""COMPUTED_VALUE"""),0)</f>
        <v>0</v>
      </c>
      <c r="H4474" s="7">
        <f ca="1">IFERROR(__xludf.DUMMYFUNCTION("""COMPUTED_VALUE"""),500000)</f>
        <v>500000</v>
      </c>
    </row>
    <row r="4475" spans="1:8" ht="13" x14ac:dyDescent="0.15">
      <c r="A4475" s="5" t="str">
        <f ca="1">IFERROR(__xludf.DUMMYFUNCTION("""COMPUTED_VALUE"""),"77603")</f>
        <v>77603</v>
      </c>
      <c r="B4475" s="51">
        <f ca="1">IFERROR(__xludf.DUMMYFUNCTION("""COMPUTED_VALUE"""),44606)</f>
        <v>44606</v>
      </c>
      <c r="C4475" s="22">
        <f ca="1">IFERROR(__xludf.DUMMYFUNCTION("""COMPUTED_VALUE"""),500000)</f>
        <v>500000</v>
      </c>
      <c r="D4475" s="22">
        <f ca="1">IFERROR(__xludf.DUMMYFUNCTION("""COMPUTED_VALUE"""),0)</f>
        <v>0</v>
      </c>
      <c r="E4475" s="22">
        <f ca="1">IFERROR(__xludf.DUMMYFUNCTION("""COMPUTED_VALUE"""),500000)</f>
        <v>500000</v>
      </c>
      <c r="F4475" s="22">
        <f ca="1">IFERROR(__xludf.DUMMYFUNCTION("""COMPUTED_VALUE"""),500000)</f>
        <v>500000</v>
      </c>
      <c r="G4475" s="22">
        <f ca="1">IFERROR(__xludf.DUMMYFUNCTION("""COMPUTED_VALUE"""),0)</f>
        <v>0</v>
      </c>
      <c r="H4475" s="7">
        <f ca="1">IFERROR(__xludf.DUMMYFUNCTION("""COMPUTED_VALUE"""),500000)</f>
        <v>500000</v>
      </c>
    </row>
    <row r="4476" spans="1:8" ht="13" x14ac:dyDescent="0.15">
      <c r="A4476" s="5" t="str">
        <f ca="1">IFERROR(__xludf.DUMMYFUNCTION("""COMPUTED_VALUE"""),"77603")</f>
        <v>77603</v>
      </c>
      <c r="B4476" s="51">
        <f ca="1">IFERROR(__xludf.DUMMYFUNCTION("""COMPUTED_VALUE"""),44607)</f>
        <v>44607</v>
      </c>
      <c r="C4476" s="22">
        <f ca="1">IFERROR(__xludf.DUMMYFUNCTION("""COMPUTED_VALUE"""),500000)</f>
        <v>500000</v>
      </c>
      <c r="D4476" s="22">
        <f ca="1">IFERROR(__xludf.DUMMYFUNCTION("""COMPUTED_VALUE"""),0)</f>
        <v>0</v>
      </c>
      <c r="E4476" s="22">
        <f ca="1">IFERROR(__xludf.DUMMYFUNCTION("""COMPUTED_VALUE"""),500000)</f>
        <v>500000</v>
      </c>
      <c r="F4476" s="22">
        <f ca="1">IFERROR(__xludf.DUMMYFUNCTION("""COMPUTED_VALUE"""),500000)</f>
        <v>500000</v>
      </c>
      <c r="G4476" s="22">
        <f ca="1">IFERROR(__xludf.DUMMYFUNCTION("""COMPUTED_VALUE"""),0)</f>
        <v>0</v>
      </c>
      <c r="H4476" s="7">
        <f ca="1">IFERROR(__xludf.DUMMYFUNCTION("""COMPUTED_VALUE"""),500000)</f>
        <v>500000</v>
      </c>
    </row>
    <row r="4477" spans="1:8" ht="13" x14ac:dyDescent="0.15">
      <c r="A4477" s="5" t="str">
        <f ca="1">IFERROR(__xludf.DUMMYFUNCTION("""COMPUTED_VALUE"""),"77603")</f>
        <v>77603</v>
      </c>
      <c r="B4477" s="51">
        <f ca="1">IFERROR(__xludf.DUMMYFUNCTION("""COMPUTED_VALUE"""),44608)</f>
        <v>44608</v>
      </c>
      <c r="C4477" s="22">
        <f ca="1">IFERROR(__xludf.DUMMYFUNCTION("""COMPUTED_VALUE"""),500000)</f>
        <v>500000</v>
      </c>
      <c r="D4477" s="22">
        <f ca="1">IFERROR(__xludf.DUMMYFUNCTION("""COMPUTED_VALUE"""),0)</f>
        <v>0</v>
      </c>
      <c r="E4477" s="22">
        <f ca="1">IFERROR(__xludf.DUMMYFUNCTION("""COMPUTED_VALUE"""),500000)</f>
        <v>500000</v>
      </c>
      <c r="F4477" s="22">
        <f ca="1">IFERROR(__xludf.DUMMYFUNCTION("""COMPUTED_VALUE"""),500000)</f>
        <v>500000</v>
      </c>
      <c r="G4477" s="22">
        <f ca="1">IFERROR(__xludf.DUMMYFUNCTION("""COMPUTED_VALUE"""),0)</f>
        <v>0</v>
      </c>
      <c r="H4477" s="7">
        <f ca="1">IFERROR(__xludf.DUMMYFUNCTION("""COMPUTED_VALUE"""),500000)</f>
        <v>500000</v>
      </c>
    </row>
    <row r="4478" spans="1:8" ht="13" x14ac:dyDescent="0.15">
      <c r="A4478" s="5" t="str">
        <f ca="1">IFERROR(__xludf.DUMMYFUNCTION("""COMPUTED_VALUE"""),"77603")</f>
        <v>77603</v>
      </c>
      <c r="B4478" s="51">
        <f ca="1">IFERROR(__xludf.DUMMYFUNCTION("""COMPUTED_VALUE"""),44609)</f>
        <v>44609</v>
      </c>
      <c r="C4478" s="22">
        <f ca="1">IFERROR(__xludf.DUMMYFUNCTION("""COMPUTED_VALUE"""),500000)</f>
        <v>500000</v>
      </c>
      <c r="D4478" s="22">
        <f ca="1">IFERROR(__xludf.DUMMYFUNCTION("""COMPUTED_VALUE"""),0)</f>
        <v>0</v>
      </c>
      <c r="E4478" s="22">
        <f ca="1">IFERROR(__xludf.DUMMYFUNCTION("""COMPUTED_VALUE"""),500000)</f>
        <v>500000</v>
      </c>
      <c r="F4478" s="22">
        <f ca="1">IFERROR(__xludf.DUMMYFUNCTION("""COMPUTED_VALUE"""),500000)</f>
        <v>500000</v>
      </c>
      <c r="G4478" s="22">
        <f ca="1">IFERROR(__xludf.DUMMYFUNCTION("""COMPUTED_VALUE"""),0)</f>
        <v>0</v>
      </c>
      <c r="H4478" s="7">
        <f ca="1">IFERROR(__xludf.DUMMYFUNCTION("""COMPUTED_VALUE"""),500000)</f>
        <v>500000</v>
      </c>
    </row>
    <row r="4479" spans="1:8" ht="13" x14ac:dyDescent="0.15">
      <c r="A4479" s="5" t="str">
        <f ca="1">IFERROR(__xludf.DUMMYFUNCTION("""COMPUTED_VALUE"""),"77603")</f>
        <v>77603</v>
      </c>
      <c r="B4479" s="51">
        <f ca="1">IFERROR(__xludf.DUMMYFUNCTION("""COMPUTED_VALUE"""),44610)</f>
        <v>44610</v>
      </c>
      <c r="C4479" s="22">
        <f ca="1">IFERROR(__xludf.DUMMYFUNCTION("""COMPUTED_VALUE"""),500000)</f>
        <v>500000</v>
      </c>
      <c r="D4479" s="22">
        <f ca="1">IFERROR(__xludf.DUMMYFUNCTION("""COMPUTED_VALUE"""),0)</f>
        <v>0</v>
      </c>
      <c r="E4479" s="22">
        <f ca="1">IFERROR(__xludf.DUMMYFUNCTION("""COMPUTED_VALUE"""),500000)</f>
        <v>500000</v>
      </c>
      <c r="F4479" s="22">
        <f ca="1">IFERROR(__xludf.DUMMYFUNCTION("""COMPUTED_VALUE"""),500000)</f>
        <v>500000</v>
      </c>
      <c r="G4479" s="22">
        <f ca="1">IFERROR(__xludf.DUMMYFUNCTION("""COMPUTED_VALUE"""),0)</f>
        <v>0</v>
      </c>
      <c r="H4479" s="7">
        <f ca="1">IFERROR(__xludf.DUMMYFUNCTION("""COMPUTED_VALUE"""),500000)</f>
        <v>500000</v>
      </c>
    </row>
    <row r="4480" spans="1:8" ht="13" x14ac:dyDescent="0.15">
      <c r="A4480" s="5" t="str">
        <f ca="1">IFERROR(__xludf.DUMMYFUNCTION("""COMPUTED_VALUE"""),"77603")</f>
        <v>77603</v>
      </c>
      <c r="B4480" s="51">
        <f ca="1">IFERROR(__xludf.DUMMYFUNCTION("""COMPUTED_VALUE"""),44611)</f>
        <v>44611</v>
      </c>
      <c r="C4480" s="22">
        <f ca="1">IFERROR(__xludf.DUMMYFUNCTION("""COMPUTED_VALUE"""),500000)</f>
        <v>500000</v>
      </c>
      <c r="D4480" s="22">
        <f ca="1">IFERROR(__xludf.DUMMYFUNCTION("""COMPUTED_VALUE"""),0)</f>
        <v>0</v>
      </c>
      <c r="E4480" s="22">
        <f ca="1">IFERROR(__xludf.DUMMYFUNCTION("""COMPUTED_VALUE"""),500000)</f>
        <v>500000</v>
      </c>
      <c r="F4480" s="22">
        <f ca="1">IFERROR(__xludf.DUMMYFUNCTION("""COMPUTED_VALUE"""),500000)</f>
        <v>500000</v>
      </c>
      <c r="G4480" s="22">
        <f ca="1">IFERROR(__xludf.DUMMYFUNCTION("""COMPUTED_VALUE"""),0)</f>
        <v>0</v>
      </c>
      <c r="H4480" s="7">
        <f ca="1">IFERROR(__xludf.DUMMYFUNCTION("""COMPUTED_VALUE"""),500000)</f>
        <v>500000</v>
      </c>
    </row>
    <row r="4481" spans="1:8" ht="13" x14ac:dyDescent="0.15">
      <c r="A4481" s="5" t="str">
        <f ca="1">IFERROR(__xludf.DUMMYFUNCTION("""COMPUTED_VALUE"""),"77603")</f>
        <v>77603</v>
      </c>
      <c r="B4481" s="51">
        <f ca="1">IFERROR(__xludf.DUMMYFUNCTION("""COMPUTED_VALUE"""),44612)</f>
        <v>44612</v>
      </c>
      <c r="C4481" s="22">
        <f ca="1">IFERROR(__xludf.DUMMYFUNCTION("""COMPUTED_VALUE"""),500000)</f>
        <v>500000</v>
      </c>
      <c r="D4481" s="22">
        <f ca="1">IFERROR(__xludf.DUMMYFUNCTION("""COMPUTED_VALUE"""),0)</f>
        <v>0</v>
      </c>
      <c r="E4481" s="22">
        <f ca="1">IFERROR(__xludf.DUMMYFUNCTION("""COMPUTED_VALUE"""),500000)</f>
        <v>500000</v>
      </c>
      <c r="F4481" s="22">
        <f ca="1">IFERROR(__xludf.DUMMYFUNCTION("""COMPUTED_VALUE"""),500000)</f>
        <v>500000</v>
      </c>
      <c r="G4481" s="22">
        <f ca="1">IFERROR(__xludf.DUMMYFUNCTION("""COMPUTED_VALUE"""),0)</f>
        <v>0</v>
      </c>
      <c r="H4481" s="7">
        <f ca="1">IFERROR(__xludf.DUMMYFUNCTION("""COMPUTED_VALUE"""),500000)</f>
        <v>500000</v>
      </c>
    </row>
    <row r="4482" spans="1:8" ht="13" x14ac:dyDescent="0.15">
      <c r="A4482" s="5" t="str">
        <f ca="1">IFERROR(__xludf.DUMMYFUNCTION("""COMPUTED_VALUE"""),"77603")</f>
        <v>77603</v>
      </c>
      <c r="B4482" s="51">
        <f ca="1">IFERROR(__xludf.DUMMYFUNCTION("""COMPUTED_VALUE"""),44613)</f>
        <v>44613</v>
      </c>
      <c r="C4482" s="22">
        <f ca="1">IFERROR(__xludf.DUMMYFUNCTION("""COMPUTED_VALUE"""),500000)</f>
        <v>500000</v>
      </c>
      <c r="D4482" s="22">
        <f ca="1">IFERROR(__xludf.DUMMYFUNCTION("""COMPUTED_VALUE"""),0)</f>
        <v>0</v>
      </c>
      <c r="E4482" s="22">
        <f ca="1">IFERROR(__xludf.DUMMYFUNCTION("""COMPUTED_VALUE"""),500000)</f>
        <v>500000</v>
      </c>
      <c r="F4482" s="22">
        <f ca="1">IFERROR(__xludf.DUMMYFUNCTION("""COMPUTED_VALUE"""),500000)</f>
        <v>500000</v>
      </c>
      <c r="G4482" s="22">
        <f ca="1">IFERROR(__xludf.DUMMYFUNCTION("""COMPUTED_VALUE"""),0)</f>
        <v>0</v>
      </c>
      <c r="H4482" s="7">
        <f ca="1">IFERROR(__xludf.DUMMYFUNCTION("""COMPUTED_VALUE"""),500000)</f>
        <v>500000</v>
      </c>
    </row>
    <row r="4483" spans="1:8" ht="13" x14ac:dyDescent="0.15">
      <c r="A4483" s="5" t="str">
        <f ca="1">IFERROR(__xludf.DUMMYFUNCTION("""COMPUTED_VALUE"""),"77603")</f>
        <v>77603</v>
      </c>
      <c r="B4483" s="51">
        <f ca="1">IFERROR(__xludf.DUMMYFUNCTION("""COMPUTED_VALUE"""),44614)</f>
        <v>44614</v>
      </c>
      <c r="C4483" s="22">
        <f ca="1">IFERROR(__xludf.DUMMYFUNCTION("""COMPUTED_VALUE"""),500000)</f>
        <v>500000</v>
      </c>
      <c r="D4483" s="22">
        <f ca="1">IFERROR(__xludf.DUMMYFUNCTION("""COMPUTED_VALUE"""),0)</f>
        <v>0</v>
      </c>
      <c r="E4483" s="22">
        <f ca="1">IFERROR(__xludf.DUMMYFUNCTION("""COMPUTED_VALUE"""),500000)</f>
        <v>500000</v>
      </c>
      <c r="F4483" s="22">
        <f ca="1">IFERROR(__xludf.DUMMYFUNCTION("""COMPUTED_VALUE"""),500000)</f>
        <v>500000</v>
      </c>
      <c r="G4483" s="22">
        <f ca="1">IFERROR(__xludf.DUMMYFUNCTION("""COMPUTED_VALUE"""),0)</f>
        <v>0</v>
      </c>
      <c r="H4483" s="7">
        <f ca="1">IFERROR(__xludf.DUMMYFUNCTION("""COMPUTED_VALUE"""),500000)</f>
        <v>500000</v>
      </c>
    </row>
    <row r="4484" spans="1:8" ht="13" x14ac:dyDescent="0.15">
      <c r="A4484" s="5" t="str">
        <f ca="1">IFERROR(__xludf.DUMMYFUNCTION("""COMPUTED_VALUE"""),"77603")</f>
        <v>77603</v>
      </c>
      <c r="B4484" s="51">
        <f ca="1">IFERROR(__xludf.DUMMYFUNCTION("""COMPUTED_VALUE"""),44615)</f>
        <v>44615</v>
      </c>
      <c r="C4484" s="22">
        <f ca="1">IFERROR(__xludf.DUMMYFUNCTION("""COMPUTED_VALUE"""),500000)</f>
        <v>500000</v>
      </c>
      <c r="D4484" s="22">
        <f ca="1">IFERROR(__xludf.DUMMYFUNCTION("""COMPUTED_VALUE"""),0)</f>
        <v>0</v>
      </c>
      <c r="E4484" s="22">
        <f ca="1">IFERROR(__xludf.DUMMYFUNCTION("""COMPUTED_VALUE"""),500000)</f>
        <v>500000</v>
      </c>
      <c r="F4484" s="22">
        <f ca="1">IFERROR(__xludf.DUMMYFUNCTION("""COMPUTED_VALUE"""),500000)</f>
        <v>500000</v>
      </c>
      <c r="G4484" s="22">
        <f ca="1">IFERROR(__xludf.DUMMYFUNCTION("""COMPUTED_VALUE"""),0)</f>
        <v>0</v>
      </c>
      <c r="H4484" s="7">
        <f ca="1">IFERROR(__xludf.DUMMYFUNCTION("""COMPUTED_VALUE"""),500000)</f>
        <v>500000</v>
      </c>
    </row>
    <row r="4485" spans="1:8" ht="13" x14ac:dyDescent="0.15">
      <c r="A4485" s="5" t="str">
        <f ca="1">IFERROR(__xludf.DUMMYFUNCTION("""COMPUTED_VALUE"""),"77603")</f>
        <v>77603</v>
      </c>
      <c r="B4485" s="51">
        <f ca="1">IFERROR(__xludf.DUMMYFUNCTION("""COMPUTED_VALUE"""),44616)</f>
        <v>44616</v>
      </c>
      <c r="C4485" s="22">
        <f ca="1">IFERROR(__xludf.DUMMYFUNCTION("""COMPUTED_VALUE"""),500000)</f>
        <v>500000</v>
      </c>
      <c r="D4485" s="22">
        <f ca="1">IFERROR(__xludf.DUMMYFUNCTION("""COMPUTED_VALUE"""),0)</f>
        <v>0</v>
      </c>
      <c r="E4485" s="22">
        <f ca="1">IFERROR(__xludf.DUMMYFUNCTION("""COMPUTED_VALUE"""),500000)</f>
        <v>500000</v>
      </c>
      <c r="F4485" s="22">
        <f ca="1">IFERROR(__xludf.DUMMYFUNCTION("""COMPUTED_VALUE"""),500000)</f>
        <v>500000</v>
      </c>
      <c r="G4485" s="22">
        <f ca="1">IFERROR(__xludf.DUMMYFUNCTION("""COMPUTED_VALUE"""),0)</f>
        <v>0</v>
      </c>
      <c r="H4485" s="7">
        <f ca="1">IFERROR(__xludf.DUMMYFUNCTION("""COMPUTED_VALUE"""),500000)</f>
        <v>500000</v>
      </c>
    </row>
    <row r="4486" spans="1:8" ht="13" x14ac:dyDescent="0.15">
      <c r="A4486" s="5" t="str">
        <f ca="1">IFERROR(__xludf.DUMMYFUNCTION("""COMPUTED_VALUE"""),"77603")</f>
        <v>77603</v>
      </c>
      <c r="B4486" s="51">
        <f ca="1">IFERROR(__xludf.DUMMYFUNCTION("""COMPUTED_VALUE"""),44617)</f>
        <v>44617</v>
      </c>
      <c r="C4486" s="22">
        <f ca="1">IFERROR(__xludf.DUMMYFUNCTION("""COMPUTED_VALUE"""),500000)</f>
        <v>500000</v>
      </c>
      <c r="D4486" s="22">
        <f ca="1">IFERROR(__xludf.DUMMYFUNCTION("""COMPUTED_VALUE"""),0)</f>
        <v>0</v>
      </c>
      <c r="E4486" s="22">
        <f ca="1">IFERROR(__xludf.DUMMYFUNCTION("""COMPUTED_VALUE"""),500000)</f>
        <v>500000</v>
      </c>
      <c r="F4486" s="22">
        <f ca="1">IFERROR(__xludf.DUMMYFUNCTION("""COMPUTED_VALUE"""),500000)</f>
        <v>500000</v>
      </c>
      <c r="G4486" s="22">
        <f ca="1">IFERROR(__xludf.DUMMYFUNCTION("""COMPUTED_VALUE"""),0)</f>
        <v>0</v>
      </c>
      <c r="H4486" s="7">
        <f ca="1">IFERROR(__xludf.DUMMYFUNCTION("""COMPUTED_VALUE"""),500000)</f>
        <v>500000</v>
      </c>
    </row>
    <row r="4487" spans="1:8" ht="13" x14ac:dyDescent="0.15">
      <c r="A4487" s="5" t="str">
        <f ca="1">IFERROR(__xludf.DUMMYFUNCTION("""COMPUTED_VALUE"""),"77603")</f>
        <v>77603</v>
      </c>
      <c r="B4487" s="51">
        <f ca="1">IFERROR(__xludf.DUMMYFUNCTION("""COMPUTED_VALUE"""),44618)</f>
        <v>44618</v>
      </c>
      <c r="C4487" s="22">
        <f ca="1">IFERROR(__xludf.DUMMYFUNCTION("""COMPUTED_VALUE"""),500000)</f>
        <v>500000</v>
      </c>
      <c r="D4487" s="22">
        <f ca="1">IFERROR(__xludf.DUMMYFUNCTION("""COMPUTED_VALUE"""),0)</f>
        <v>0</v>
      </c>
      <c r="E4487" s="22">
        <f ca="1">IFERROR(__xludf.DUMMYFUNCTION("""COMPUTED_VALUE"""),500000)</f>
        <v>500000</v>
      </c>
      <c r="F4487" s="22">
        <f ca="1">IFERROR(__xludf.DUMMYFUNCTION("""COMPUTED_VALUE"""),500000)</f>
        <v>500000</v>
      </c>
      <c r="G4487" s="22">
        <f ca="1">IFERROR(__xludf.DUMMYFUNCTION("""COMPUTED_VALUE"""),0)</f>
        <v>0</v>
      </c>
      <c r="H4487" s="7">
        <f ca="1">IFERROR(__xludf.DUMMYFUNCTION("""COMPUTED_VALUE"""),500000)</f>
        <v>500000</v>
      </c>
    </row>
    <row r="4488" spans="1:8" ht="13" x14ac:dyDescent="0.15">
      <c r="A4488" s="5" t="str">
        <f ca="1">IFERROR(__xludf.DUMMYFUNCTION("""COMPUTED_VALUE"""),"77603")</f>
        <v>77603</v>
      </c>
      <c r="B4488" s="51">
        <f ca="1">IFERROR(__xludf.DUMMYFUNCTION("""COMPUTED_VALUE"""),44619)</f>
        <v>44619</v>
      </c>
      <c r="C4488" s="22">
        <f ca="1">IFERROR(__xludf.DUMMYFUNCTION("""COMPUTED_VALUE"""),500000)</f>
        <v>500000</v>
      </c>
      <c r="D4488" s="22">
        <f ca="1">IFERROR(__xludf.DUMMYFUNCTION("""COMPUTED_VALUE"""),0)</f>
        <v>0</v>
      </c>
      <c r="E4488" s="22">
        <f ca="1">IFERROR(__xludf.DUMMYFUNCTION("""COMPUTED_VALUE"""),500000)</f>
        <v>500000</v>
      </c>
      <c r="F4488" s="22">
        <f ca="1">IFERROR(__xludf.DUMMYFUNCTION("""COMPUTED_VALUE"""),500000)</f>
        <v>500000</v>
      </c>
      <c r="G4488" s="22">
        <f ca="1">IFERROR(__xludf.DUMMYFUNCTION("""COMPUTED_VALUE"""),0)</f>
        <v>0</v>
      </c>
      <c r="H4488" s="7">
        <f ca="1">IFERROR(__xludf.DUMMYFUNCTION("""COMPUTED_VALUE"""),500000)</f>
        <v>500000</v>
      </c>
    </row>
    <row r="4489" spans="1:8" ht="13" x14ac:dyDescent="0.15">
      <c r="A4489" s="5" t="str">
        <f ca="1">IFERROR(__xludf.DUMMYFUNCTION("""COMPUTED_VALUE"""),"77603")</f>
        <v>77603</v>
      </c>
      <c r="B4489" s="51">
        <f ca="1">IFERROR(__xludf.DUMMYFUNCTION("""COMPUTED_VALUE"""),44620)</f>
        <v>44620</v>
      </c>
      <c r="C4489" s="22">
        <f ca="1">IFERROR(__xludf.DUMMYFUNCTION("""COMPUTED_VALUE"""),500000)</f>
        <v>500000</v>
      </c>
      <c r="D4489" s="22">
        <f ca="1">IFERROR(__xludf.DUMMYFUNCTION("""COMPUTED_VALUE"""),0)</f>
        <v>0</v>
      </c>
      <c r="E4489" s="22">
        <f ca="1">IFERROR(__xludf.DUMMYFUNCTION("""COMPUTED_VALUE"""),500000)</f>
        <v>500000</v>
      </c>
      <c r="F4489" s="22">
        <f ca="1">IFERROR(__xludf.DUMMYFUNCTION("""COMPUTED_VALUE"""),500000)</f>
        <v>500000</v>
      </c>
      <c r="G4489" s="22">
        <f ca="1">IFERROR(__xludf.DUMMYFUNCTION("""COMPUTED_VALUE"""),0)</f>
        <v>0</v>
      </c>
      <c r="H4489" s="7">
        <f ca="1">IFERROR(__xludf.DUMMYFUNCTION("""COMPUTED_VALUE"""),500000)</f>
        <v>500000</v>
      </c>
    </row>
    <row r="4490" spans="1:8" ht="13" x14ac:dyDescent="0.15">
      <c r="A4490" s="5" t="str">
        <f ca="1">IFERROR(__xludf.DUMMYFUNCTION("""COMPUTED_VALUE"""),"77603")</f>
        <v>77603</v>
      </c>
      <c r="B4490" s="51">
        <f ca="1">IFERROR(__xludf.DUMMYFUNCTION("""COMPUTED_VALUE"""),44621)</f>
        <v>44621</v>
      </c>
      <c r="C4490" s="22">
        <f ca="1">IFERROR(__xludf.DUMMYFUNCTION("""COMPUTED_VALUE"""),500000)</f>
        <v>500000</v>
      </c>
      <c r="D4490" s="22">
        <f ca="1">IFERROR(__xludf.DUMMYFUNCTION("""COMPUTED_VALUE"""),0)</f>
        <v>0</v>
      </c>
      <c r="E4490" s="22">
        <f ca="1">IFERROR(__xludf.DUMMYFUNCTION("""COMPUTED_VALUE"""),500000)</f>
        <v>500000</v>
      </c>
      <c r="F4490" s="22">
        <f ca="1">IFERROR(__xludf.DUMMYFUNCTION("""COMPUTED_VALUE"""),500000)</f>
        <v>500000</v>
      </c>
      <c r="G4490" s="22">
        <f ca="1">IFERROR(__xludf.DUMMYFUNCTION("""COMPUTED_VALUE"""),0)</f>
        <v>0</v>
      </c>
      <c r="H4490" s="7">
        <f ca="1">IFERROR(__xludf.DUMMYFUNCTION("""COMPUTED_VALUE"""),500000)</f>
        <v>500000</v>
      </c>
    </row>
    <row r="4491" spans="1:8" ht="13" x14ac:dyDescent="0.15">
      <c r="A4491" s="5" t="str">
        <f ca="1">IFERROR(__xludf.DUMMYFUNCTION("""COMPUTED_VALUE"""),"77603")</f>
        <v>77603</v>
      </c>
      <c r="B4491" s="51">
        <f ca="1">IFERROR(__xludf.DUMMYFUNCTION("""COMPUTED_VALUE"""),44622)</f>
        <v>44622</v>
      </c>
      <c r="C4491" s="22">
        <f ca="1">IFERROR(__xludf.DUMMYFUNCTION("""COMPUTED_VALUE"""),500000)</f>
        <v>500000</v>
      </c>
      <c r="D4491" s="22">
        <f ca="1">IFERROR(__xludf.DUMMYFUNCTION("""COMPUTED_VALUE"""),0)</f>
        <v>0</v>
      </c>
      <c r="E4491" s="22">
        <f ca="1">IFERROR(__xludf.DUMMYFUNCTION("""COMPUTED_VALUE"""),500000)</f>
        <v>500000</v>
      </c>
      <c r="F4491" s="22">
        <f ca="1">IFERROR(__xludf.DUMMYFUNCTION("""COMPUTED_VALUE"""),500000)</f>
        <v>500000</v>
      </c>
      <c r="G4491" s="22">
        <f ca="1">IFERROR(__xludf.DUMMYFUNCTION("""COMPUTED_VALUE"""),0)</f>
        <v>0</v>
      </c>
      <c r="H4491" s="7">
        <f ca="1">IFERROR(__xludf.DUMMYFUNCTION("""COMPUTED_VALUE"""),500000)</f>
        <v>500000</v>
      </c>
    </row>
    <row r="4492" spans="1:8" ht="13" x14ac:dyDescent="0.15">
      <c r="A4492" s="5" t="str">
        <f ca="1">IFERROR(__xludf.DUMMYFUNCTION("""COMPUTED_VALUE"""),"77603")</f>
        <v>77603</v>
      </c>
      <c r="B4492" s="51">
        <f ca="1">IFERROR(__xludf.DUMMYFUNCTION("""COMPUTED_VALUE"""),44623)</f>
        <v>44623</v>
      </c>
      <c r="C4492" s="22">
        <f ca="1">IFERROR(__xludf.DUMMYFUNCTION("""COMPUTED_VALUE"""),500000)</f>
        <v>500000</v>
      </c>
      <c r="D4492" s="22">
        <f ca="1">IFERROR(__xludf.DUMMYFUNCTION("""COMPUTED_VALUE"""),0)</f>
        <v>0</v>
      </c>
      <c r="E4492" s="22">
        <f ca="1">IFERROR(__xludf.DUMMYFUNCTION("""COMPUTED_VALUE"""),500000)</f>
        <v>500000</v>
      </c>
      <c r="F4492" s="22">
        <f ca="1">IFERROR(__xludf.DUMMYFUNCTION("""COMPUTED_VALUE"""),500000)</f>
        <v>500000</v>
      </c>
      <c r="G4492" s="22">
        <f ca="1">IFERROR(__xludf.DUMMYFUNCTION("""COMPUTED_VALUE"""),0)</f>
        <v>0</v>
      </c>
      <c r="H4492" s="7">
        <f ca="1">IFERROR(__xludf.DUMMYFUNCTION("""COMPUTED_VALUE"""),500000)</f>
        <v>500000</v>
      </c>
    </row>
    <row r="4493" spans="1:8" ht="13" x14ac:dyDescent="0.15">
      <c r="A4493" s="5" t="str">
        <f ca="1">IFERROR(__xludf.DUMMYFUNCTION("""COMPUTED_VALUE"""),"77603")</f>
        <v>77603</v>
      </c>
      <c r="B4493" s="51">
        <f ca="1">IFERROR(__xludf.DUMMYFUNCTION("""COMPUTED_VALUE"""),44624)</f>
        <v>44624</v>
      </c>
      <c r="C4493" s="22">
        <f ca="1">IFERROR(__xludf.DUMMYFUNCTION("""COMPUTED_VALUE"""),500000)</f>
        <v>500000</v>
      </c>
      <c r="D4493" s="22">
        <f ca="1">IFERROR(__xludf.DUMMYFUNCTION("""COMPUTED_VALUE"""),0)</f>
        <v>0</v>
      </c>
      <c r="E4493" s="22">
        <f ca="1">IFERROR(__xludf.DUMMYFUNCTION("""COMPUTED_VALUE"""),500000)</f>
        <v>500000</v>
      </c>
      <c r="F4493" s="22">
        <f ca="1">IFERROR(__xludf.DUMMYFUNCTION("""COMPUTED_VALUE"""),500000)</f>
        <v>500000</v>
      </c>
      <c r="G4493" s="22">
        <f ca="1">IFERROR(__xludf.DUMMYFUNCTION("""COMPUTED_VALUE"""),0)</f>
        <v>0</v>
      </c>
      <c r="H4493" s="7">
        <f ca="1">IFERROR(__xludf.DUMMYFUNCTION("""COMPUTED_VALUE"""),500000)</f>
        <v>500000</v>
      </c>
    </row>
    <row r="4494" spans="1:8" ht="13" x14ac:dyDescent="0.15">
      <c r="A4494" s="5" t="str">
        <f ca="1">IFERROR(__xludf.DUMMYFUNCTION("""COMPUTED_VALUE"""),"77603")</f>
        <v>77603</v>
      </c>
      <c r="B4494" s="51">
        <f ca="1">IFERROR(__xludf.DUMMYFUNCTION("""COMPUTED_VALUE"""),44625)</f>
        <v>44625</v>
      </c>
      <c r="C4494" s="22">
        <f ca="1">IFERROR(__xludf.DUMMYFUNCTION("""COMPUTED_VALUE"""),500000)</f>
        <v>500000</v>
      </c>
      <c r="D4494" s="22">
        <f ca="1">IFERROR(__xludf.DUMMYFUNCTION("""COMPUTED_VALUE"""),0)</f>
        <v>0</v>
      </c>
      <c r="E4494" s="22">
        <f ca="1">IFERROR(__xludf.DUMMYFUNCTION("""COMPUTED_VALUE"""),500000)</f>
        <v>500000</v>
      </c>
      <c r="F4494" s="22">
        <f ca="1">IFERROR(__xludf.DUMMYFUNCTION("""COMPUTED_VALUE"""),500000)</f>
        <v>500000</v>
      </c>
      <c r="G4494" s="22">
        <f ca="1">IFERROR(__xludf.DUMMYFUNCTION("""COMPUTED_VALUE"""),0)</f>
        <v>0</v>
      </c>
      <c r="H4494" s="7">
        <f ca="1">IFERROR(__xludf.DUMMYFUNCTION("""COMPUTED_VALUE"""),500000)</f>
        <v>500000</v>
      </c>
    </row>
    <row r="4495" spans="1:8" ht="13" x14ac:dyDescent="0.15">
      <c r="A4495" s="5" t="str">
        <f ca="1">IFERROR(__xludf.DUMMYFUNCTION("""COMPUTED_VALUE"""),"77603")</f>
        <v>77603</v>
      </c>
      <c r="B4495" s="51">
        <f ca="1">IFERROR(__xludf.DUMMYFUNCTION("""COMPUTED_VALUE"""),44626)</f>
        <v>44626</v>
      </c>
      <c r="C4495" s="22">
        <f ca="1">IFERROR(__xludf.DUMMYFUNCTION("""COMPUTED_VALUE"""),500000)</f>
        <v>500000</v>
      </c>
      <c r="D4495" s="22">
        <f ca="1">IFERROR(__xludf.DUMMYFUNCTION("""COMPUTED_VALUE"""),0)</f>
        <v>0</v>
      </c>
      <c r="E4495" s="22">
        <f ca="1">IFERROR(__xludf.DUMMYFUNCTION("""COMPUTED_VALUE"""),500000)</f>
        <v>500000</v>
      </c>
      <c r="F4495" s="22">
        <f ca="1">IFERROR(__xludf.DUMMYFUNCTION("""COMPUTED_VALUE"""),500000)</f>
        <v>500000</v>
      </c>
      <c r="G4495" s="22">
        <f ca="1">IFERROR(__xludf.DUMMYFUNCTION("""COMPUTED_VALUE"""),0)</f>
        <v>0</v>
      </c>
      <c r="H4495" s="7">
        <f ca="1">IFERROR(__xludf.DUMMYFUNCTION("""COMPUTED_VALUE"""),500000)</f>
        <v>500000</v>
      </c>
    </row>
    <row r="4496" spans="1:8" ht="13" x14ac:dyDescent="0.15">
      <c r="A4496" s="5" t="str">
        <f ca="1">IFERROR(__xludf.DUMMYFUNCTION("""COMPUTED_VALUE"""),"77603")</f>
        <v>77603</v>
      </c>
      <c r="B4496" s="51">
        <f ca="1">IFERROR(__xludf.DUMMYFUNCTION("""COMPUTED_VALUE"""),44627)</f>
        <v>44627</v>
      </c>
      <c r="C4496" s="22">
        <f ca="1">IFERROR(__xludf.DUMMYFUNCTION("""COMPUTED_VALUE"""),500000)</f>
        <v>500000</v>
      </c>
      <c r="D4496" s="22">
        <f ca="1">IFERROR(__xludf.DUMMYFUNCTION("""COMPUTED_VALUE"""),0)</f>
        <v>0</v>
      </c>
      <c r="E4496" s="22">
        <f ca="1">IFERROR(__xludf.DUMMYFUNCTION("""COMPUTED_VALUE"""),500000)</f>
        <v>500000</v>
      </c>
      <c r="F4496" s="22">
        <f ca="1">IFERROR(__xludf.DUMMYFUNCTION("""COMPUTED_VALUE"""),500000)</f>
        <v>500000</v>
      </c>
      <c r="G4496" s="22">
        <f ca="1">IFERROR(__xludf.DUMMYFUNCTION("""COMPUTED_VALUE"""),0)</f>
        <v>0</v>
      </c>
      <c r="H4496" s="7">
        <f ca="1">IFERROR(__xludf.DUMMYFUNCTION("""COMPUTED_VALUE"""),500000)</f>
        <v>500000</v>
      </c>
    </row>
    <row r="4497" spans="1:8" ht="13" x14ac:dyDescent="0.15">
      <c r="A4497" s="5" t="str">
        <f ca="1">IFERROR(__xludf.DUMMYFUNCTION("""COMPUTED_VALUE"""),"77603")</f>
        <v>77603</v>
      </c>
      <c r="B4497" s="51">
        <f ca="1">IFERROR(__xludf.DUMMYFUNCTION("""COMPUTED_VALUE"""),44628)</f>
        <v>44628</v>
      </c>
      <c r="C4497" s="22">
        <f ca="1">IFERROR(__xludf.DUMMYFUNCTION("""COMPUTED_VALUE"""),500000)</f>
        <v>500000</v>
      </c>
      <c r="D4497" s="22">
        <f ca="1">IFERROR(__xludf.DUMMYFUNCTION("""COMPUTED_VALUE"""),0)</f>
        <v>0</v>
      </c>
      <c r="E4497" s="22">
        <f ca="1">IFERROR(__xludf.DUMMYFUNCTION("""COMPUTED_VALUE"""),500000)</f>
        <v>500000</v>
      </c>
      <c r="F4497" s="22">
        <f ca="1">IFERROR(__xludf.DUMMYFUNCTION("""COMPUTED_VALUE"""),500000)</f>
        <v>500000</v>
      </c>
      <c r="G4497" s="22">
        <f ca="1">IFERROR(__xludf.DUMMYFUNCTION("""COMPUTED_VALUE"""),0)</f>
        <v>0</v>
      </c>
      <c r="H4497" s="7">
        <f ca="1">IFERROR(__xludf.DUMMYFUNCTION("""COMPUTED_VALUE"""),500000)</f>
        <v>500000</v>
      </c>
    </row>
    <row r="4498" spans="1:8" ht="13" x14ac:dyDescent="0.15">
      <c r="A4498" s="5" t="str">
        <f ca="1">IFERROR(__xludf.DUMMYFUNCTION("""COMPUTED_VALUE"""),"77603")</f>
        <v>77603</v>
      </c>
      <c r="B4498" s="51">
        <f ca="1">IFERROR(__xludf.DUMMYFUNCTION("""COMPUTED_VALUE"""),44629)</f>
        <v>44629</v>
      </c>
      <c r="C4498" s="22">
        <f ca="1">IFERROR(__xludf.DUMMYFUNCTION("""COMPUTED_VALUE"""),500000)</f>
        <v>500000</v>
      </c>
      <c r="D4498" s="22">
        <f ca="1">IFERROR(__xludf.DUMMYFUNCTION("""COMPUTED_VALUE"""),0)</f>
        <v>0</v>
      </c>
      <c r="E4498" s="22">
        <f ca="1">IFERROR(__xludf.DUMMYFUNCTION("""COMPUTED_VALUE"""),500000)</f>
        <v>500000</v>
      </c>
      <c r="F4498" s="22">
        <f ca="1">IFERROR(__xludf.DUMMYFUNCTION("""COMPUTED_VALUE"""),500000)</f>
        <v>500000</v>
      </c>
      <c r="G4498" s="22">
        <f ca="1">IFERROR(__xludf.DUMMYFUNCTION("""COMPUTED_VALUE"""),0)</f>
        <v>0</v>
      </c>
      <c r="H4498" s="7">
        <f ca="1">IFERROR(__xludf.DUMMYFUNCTION("""COMPUTED_VALUE"""),500000)</f>
        <v>500000</v>
      </c>
    </row>
    <row r="4499" spans="1:8" ht="13" x14ac:dyDescent="0.15">
      <c r="A4499" s="5" t="str">
        <f ca="1">IFERROR(__xludf.DUMMYFUNCTION("""COMPUTED_VALUE"""),"77603")</f>
        <v>77603</v>
      </c>
      <c r="B4499" s="51">
        <f ca="1">IFERROR(__xludf.DUMMYFUNCTION("""COMPUTED_VALUE"""),44630)</f>
        <v>44630</v>
      </c>
      <c r="C4499" s="22">
        <f ca="1">IFERROR(__xludf.DUMMYFUNCTION("""COMPUTED_VALUE"""),500000)</f>
        <v>500000</v>
      </c>
      <c r="D4499" s="22">
        <f ca="1">IFERROR(__xludf.DUMMYFUNCTION("""COMPUTED_VALUE"""),0)</f>
        <v>0</v>
      </c>
      <c r="E4499" s="22">
        <f ca="1">IFERROR(__xludf.DUMMYFUNCTION("""COMPUTED_VALUE"""),500000)</f>
        <v>500000</v>
      </c>
      <c r="F4499" s="22">
        <f ca="1">IFERROR(__xludf.DUMMYFUNCTION("""COMPUTED_VALUE"""),500000)</f>
        <v>500000</v>
      </c>
      <c r="G4499" s="22">
        <f ca="1">IFERROR(__xludf.DUMMYFUNCTION("""COMPUTED_VALUE"""),0)</f>
        <v>0</v>
      </c>
      <c r="H4499" s="7">
        <f ca="1">IFERROR(__xludf.DUMMYFUNCTION("""COMPUTED_VALUE"""),500000)</f>
        <v>500000</v>
      </c>
    </row>
    <row r="4500" spans="1:8" ht="13" x14ac:dyDescent="0.15">
      <c r="A4500" s="5" t="str">
        <f ca="1">IFERROR(__xludf.DUMMYFUNCTION("""COMPUTED_VALUE"""),"77603")</f>
        <v>77603</v>
      </c>
      <c r="B4500" s="51">
        <f ca="1">IFERROR(__xludf.DUMMYFUNCTION("""COMPUTED_VALUE"""),44631)</f>
        <v>44631</v>
      </c>
      <c r="C4500" s="22">
        <f ca="1">IFERROR(__xludf.DUMMYFUNCTION("""COMPUTED_VALUE"""),500000)</f>
        <v>500000</v>
      </c>
      <c r="D4500" s="22">
        <f ca="1">IFERROR(__xludf.DUMMYFUNCTION("""COMPUTED_VALUE"""),0)</f>
        <v>0</v>
      </c>
      <c r="E4500" s="22">
        <f ca="1">IFERROR(__xludf.DUMMYFUNCTION("""COMPUTED_VALUE"""),500000)</f>
        <v>500000</v>
      </c>
      <c r="F4500" s="22">
        <f ca="1">IFERROR(__xludf.DUMMYFUNCTION("""COMPUTED_VALUE"""),500000)</f>
        <v>500000</v>
      </c>
      <c r="G4500" s="22">
        <f ca="1">IFERROR(__xludf.DUMMYFUNCTION("""COMPUTED_VALUE"""),0)</f>
        <v>0</v>
      </c>
      <c r="H4500" s="7">
        <f ca="1">IFERROR(__xludf.DUMMYFUNCTION("""COMPUTED_VALUE"""),500000)</f>
        <v>500000</v>
      </c>
    </row>
    <row r="4501" spans="1:8" ht="13" x14ac:dyDescent="0.15">
      <c r="A4501" s="5" t="str">
        <f ca="1">IFERROR(__xludf.DUMMYFUNCTION("""COMPUTED_VALUE"""),"77603")</f>
        <v>77603</v>
      </c>
      <c r="B4501" s="51">
        <f ca="1">IFERROR(__xludf.DUMMYFUNCTION("""COMPUTED_VALUE"""),44632)</f>
        <v>44632</v>
      </c>
      <c r="C4501" s="22">
        <f ca="1">IFERROR(__xludf.DUMMYFUNCTION("""COMPUTED_VALUE"""),500000)</f>
        <v>500000</v>
      </c>
      <c r="D4501" s="22">
        <f ca="1">IFERROR(__xludf.DUMMYFUNCTION("""COMPUTED_VALUE"""),0)</f>
        <v>0</v>
      </c>
      <c r="E4501" s="22">
        <f ca="1">IFERROR(__xludf.DUMMYFUNCTION("""COMPUTED_VALUE"""),500000)</f>
        <v>500000</v>
      </c>
      <c r="F4501" s="22">
        <f ca="1">IFERROR(__xludf.DUMMYFUNCTION("""COMPUTED_VALUE"""),500000)</f>
        <v>500000</v>
      </c>
      <c r="G4501" s="22">
        <f ca="1">IFERROR(__xludf.DUMMYFUNCTION("""COMPUTED_VALUE"""),0)</f>
        <v>0</v>
      </c>
      <c r="H4501" s="7">
        <f ca="1">IFERROR(__xludf.DUMMYFUNCTION("""COMPUTED_VALUE"""),500000)</f>
        <v>500000</v>
      </c>
    </row>
    <row r="4502" spans="1:8" ht="13" x14ac:dyDescent="0.15">
      <c r="A4502" s="5" t="str">
        <f ca="1">IFERROR(__xludf.DUMMYFUNCTION("""COMPUTED_VALUE"""),"77603")</f>
        <v>77603</v>
      </c>
      <c r="B4502" s="51">
        <f ca="1">IFERROR(__xludf.DUMMYFUNCTION("""COMPUTED_VALUE"""),44633)</f>
        <v>44633</v>
      </c>
      <c r="C4502" s="22">
        <f ca="1">IFERROR(__xludf.DUMMYFUNCTION("""COMPUTED_VALUE"""),500000)</f>
        <v>500000</v>
      </c>
      <c r="D4502" s="22">
        <f ca="1">IFERROR(__xludf.DUMMYFUNCTION("""COMPUTED_VALUE"""),0)</f>
        <v>0</v>
      </c>
      <c r="E4502" s="22">
        <f ca="1">IFERROR(__xludf.DUMMYFUNCTION("""COMPUTED_VALUE"""),500000)</f>
        <v>500000</v>
      </c>
      <c r="F4502" s="22">
        <f ca="1">IFERROR(__xludf.DUMMYFUNCTION("""COMPUTED_VALUE"""),500000)</f>
        <v>500000</v>
      </c>
      <c r="G4502" s="22">
        <f ca="1">IFERROR(__xludf.DUMMYFUNCTION("""COMPUTED_VALUE"""),0)</f>
        <v>0</v>
      </c>
      <c r="H4502" s="7">
        <f ca="1">IFERROR(__xludf.DUMMYFUNCTION("""COMPUTED_VALUE"""),500000)</f>
        <v>500000</v>
      </c>
    </row>
    <row r="4503" spans="1:8" ht="13" x14ac:dyDescent="0.15">
      <c r="A4503" s="5" t="str">
        <f ca="1">IFERROR(__xludf.DUMMYFUNCTION("""COMPUTED_VALUE"""),"77603")</f>
        <v>77603</v>
      </c>
      <c r="B4503" s="51">
        <f ca="1">IFERROR(__xludf.DUMMYFUNCTION("""COMPUTED_VALUE"""),44634)</f>
        <v>44634</v>
      </c>
      <c r="C4503" s="22">
        <f ca="1">IFERROR(__xludf.DUMMYFUNCTION("""COMPUTED_VALUE"""),78600)</f>
        <v>78600</v>
      </c>
      <c r="D4503" s="22">
        <f ca="1">IFERROR(__xludf.DUMMYFUNCTION("""COMPUTED_VALUE"""),421400)</f>
        <v>421400</v>
      </c>
      <c r="E4503" s="22">
        <f ca="1">IFERROR(__xludf.DUMMYFUNCTION("""COMPUTED_VALUE"""),500000)</f>
        <v>500000</v>
      </c>
      <c r="F4503" s="22">
        <f ca="1">IFERROR(__xludf.DUMMYFUNCTION("""COMPUTED_VALUE"""),78600)</f>
        <v>78600</v>
      </c>
      <c r="G4503" s="22">
        <f ca="1">IFERROR(__xludf.DUMMYFUNCTION("""COMPUTED_VALUE"""),0)</f>
        <v>0</v>
      </c>
      <c r="H4503" s="7">
        <f ca="1">IFERROR(__xludf.DUMMYFUNCTION("""COMPUTED_VALUE"""),500000)</f>
        <v>500000</v>
      </c>
    </row>
    <row r="4504" spans="1:8" ht="13" x14ac:dyDescent="0.15">
      <c r="A4504" s="5" t="str">
        <f ca="1">IFERROR(__xludf.DUMMYFUNCTION("""COMPUTED_VALUE"""),"77603")</f>
        <v>77603</v>
      </c>
      <c r="B4504" s="51">
        <f ca="1">IFERROR(__xludf.DUMMYFUNCTION("""COMPUTED_VALUE"""),44635)</f>
        <v>44635</v>
      </c>
      <c r="C4504" s="22">
        <f ca="1">IFERROR(__xludf.DUMMYFUNCTION("""COMPUTED_VALUE"""),78600)</f>
        <v>78600</v>
      </c>
      <c r="D4504" s="22">
        <f ca="1">IFERROR(__xludf.DUMMYFUNCTION("""COMPUTED_VALUE"""),421400)</f>
        <v>421400</v>
      </c>
      <c r="E4504" s="22">
        <f ca="1">IFERROR(__xludf.DUMMYFUNCTION("""COMPUTED_VALUE"""),500000)</f>
        <v>500000</v>
      </c>
      <c r="F4504" s="22">
        <f ca="1">IFERROR(__xludf.DUMMYFUNCTION("""COMPUTED_VALUE"""),78600)</f>
        <v>78600</v>
      </c>
      <c r="G4504" s="22">
        <f ca="1">IFERROR(__xludf.DUMMYFUNCTION("""COMPUTED_VALUE"""),0)</f>
        <v>0</v>
      </c>
      <c r="H4504" s="7">
        <f ca="1">IFERROR(__xludf.DUMMYFUNCTION("""COMPUTED_VALUE"""),471650)</f>
        <v>471650</v>
      </c>
    </row>
    <row r="4505" spans="1:8" ht="13" x14ac:dyDescent="0.15">
      <c r="A4505" s="5" t="str">
        <f ca="1">IFERROR(__xludf.DUMMYFUNCTION("""COMPUTED_VALUE"""),"77603")</f>
        <v>77603</v>
      </c>
      <c r="B4505" s="51">
        <f ca="1">IFERROR(__xludf.DUMMYFUNCTION("""COMPUTED_VALUE"""),44636)</f>
        <v>44636</v>
      </c>
      <c r="C4505" s="22">
        <f ca="1">IFERROR(__xludf.DUMMYFUNCTION("""COMPUTED_VALUE"""),78600)</f>
        <v>78600</v>
      </c>
      <c r="D4505" s="22">
        <f ca="1">IFERROR(__xludf.DUMMYFUNCTION("""COMPUTED_VALUE"""),421400)</f>
        <v>421400</v>
      </c>
      <c r="E4505" s="22">
        <f ca="1">IFERROR(__xludf.DUMMYFUNCTION("""COMPUTED_VALUE"""),500000)</f>
        <v>500000</v>
      </c>
      <c r="F4505" s="22">
        <f ca="1">IFERROR(__xludf.DUMMYFUNCTION("""COMPUTED_VALUE"""),78600)</f>
        <v>78600</v>
      </c>
      <c r="G4505" s="22">
        <f ca="1">IFERROR(__xludf.DUMMYFUNCTION("""COMPUTED_VALUE"""),0)</f>
        <v>0</v>
      </c>
      <c r="H4505" s="7">
        <f ca="1">IFERROR(__xludf.DUMMYFUNCTION("""COMPUTED_VALUE"""),607800)</f>
        <v>607800</v>
      </c>
    </row>
    <row r="4506" spans="1:8" ht="13" x14ac:dyDescent="0.15">
      <c r="A4506" s="5" t="str">
        <f ca="1">IFERROR(__xludf.DUMMYFUNCTION("""COMPUTED_VALUE"""),"77603")</f>
        <v>77603</v>
      </c>
      <c r="B4506" s="51">
        <f ca="1">IFERROR(__xludf.DUMMYFUNCTION("""COMPUTED_VALUE"""),44637)</f>
        <v>44637</v>
      </c>
      <c r="C4506" s="22">
        <f ca="1">IFERROR(__xludf.DUMMYFUNCTION("""COMPUTED_VALUE"""),78600)</f>
        <v>78600</v>
      </c>
      <c r="D4506" s="22">
        <f ca="1">IFERROR(__xludf.DUMMYFUNCTION("""COMPUTED_VALUE"""),421400)</f>
        <v>421400</v>
      </c>
      <c r="E4506" s="22">
        <f ca="1">IFERROR(__xludf.DUMMYFUNCTION("""COMPUTED_VALUE"""),500000)</f>
        <v>500000</v>
      </c>
      <c r="F4506" s="22">
        <f ca="1">IFERROR(__xludf.DUMMYFUNCTION("""COMPUTED_VALUE"""),78600)</f>
        <v>78600</v>
      </c>
      <c r="G4506" s="22">
        <f ca="1">IFERROR(__xludf.DUMMYFUNCTION("""COMPUTED_VALUE"""),0)</f>
        <v>0</v>
      </c>
      <c r="H4506" s="7">
        <f ca="1">IFERROR(__xludf.DUMMYFUNCTION("""COMPUTED_VALUE"""),603250)</f>
        <v>603250</v>
      </c>
    </row>
    <row r="4507" spans="1:8" ht="13" x14ac:dyDescent="0.15">
      <c r="A4507" s="5" t="str">
        <f ca="1">IFERROR(__xludf.DUMMYFUNCTION("""COMPUTED_VALUE"""),"77603")</f>
        <v>77603</v>
      </c>
      <c r="B4507" s="51">
        <f ca="1">IFERROR(__xludf.DUMMYFUNCTION("""COMPUTED_VALUE"""),44638)</f>
        <v>44638</v>
      </c>
      <c r="C4507" s="22">
        <f ca="1">IFERROR(__xludf.DUMMYFUNCTION("""COMPUTED_VALUE"""),78600)</f>
        <v>78600</v>
      </c>
      <c r="D4507" s="22">
        <f ca="1">IFERROR(__xludf.DUMMYFUNCTION("""COMPUTED_VALUE"""),421400)</f>
        <v>421400</v>
      </c>
      <c r="E4507" s="22">
        <f ca="1">IFERROR(__xludf.DUMMYFUNCTION("""COMPUTED_VALUE"""),500000)</f>
        <v>500000</v>
      </c>
      <c r="F4507" s="22">
        <f ca="1">IFERROR(__xludf.DUMMYFUNCTION("""COMPUTED_VALUE"""),78600)</f>
        <v>78600</v>
      </c>
      <c r="G4507" s="22">
        <f ca="1">IFERROR(__xludf.DUMMYFUNCTION("""COMPUTED_VALUE"""),0)</f>
        <v>0</v>
      </c>
      <c r="H4507" s="7">
        <f ca="1">IFERROR(__xludf.DUMMYFUNCTION("""COMPUTED_VALUE"""),613400)</f>
        <v>613400</v>
      </c>
    </row>
    <row r="4508" spans="1:8" ht="13" x14ac:dyDescent="0.15">
      <c r="A4508" s="5" t="str">
        <f ca="1">IFERROR(__xludf.DUMMYFUNCTION("""COMPUTED_VALUE"""),"77603")</f>
        <v>77603</v>
      </c>
      <c r="B4508" s="51">
        <f ca="1">IFERROR(__xludf.DUMMYFUNCTION("""COMPUTED_VALUE"""),44639)</f>
        <v>44639</v>
      </c>
      <c r="C4508" s="22">
        <f ca="1">IFERROR(__xludf.DUMMYFUNCTION("""COMPUTED_VALUE"""),78600)</f>
        <v>78600</v>
      </c>
      <c r="D4508" s="22">
        <f ca="1">IFERROR(__xludf.DUMMYFUNCTION("""COMPUTED_VALUE"""),421400)</f>
        <v>421400</v>
      </c>
      <c r="E4508" s="22">
        <f ca="1">IFERROR(__xludf.DUMMYFUNCTION("""COMPUTED_VALUE"""),500000)</f>
        <v>500000</v>
      </c>
      <c r="F4508" s="22">
        <f ca="1">IFERROR(__xludf.DUMMYFUNCTION("""COMPUTED_VALUE"""),78600)</f>
        <v>78600</v>
      </c>
      <c r="G4508" s="22">
        <f ca="1">IFERROR(__xludf.DUMMYFUNCTION("""COMPUTED_VALUE"""),0)</f>
        <v>0</v>
      </c>
      <c r="H4508" s="7">
        <f ca="1">IFERROR(__xludf.DUMMYFUNCTION("""COMPUTED_VALUE"""),613400)</f>
        <v>613400</v>
      </c>
    </row>
    <row r="4509" spans="1:8" ht="13" x14ac:dyDescent="0.15">
      <c r="A4509" s="5" t="str">
        <f ca="1">IFERROR(__xludf.DUMMYFUNCTION("""COMPUTED_VALUE"""),"77603")</f>
        <v>77603</v>
      </c>
      <c r="B4509" s="51">
        <f ca="1">IFERROR(__xludf.DUMMYFUNCTION("""COMPUTED_VALUE"""),44640)</f>
        <v>44640</v>
      </c>
      <c r="C4509" s="22">
        <f ca="1">IFERROR(__xludf.DUMMYFUNCTION("""COMPUTED_VALUE"""),78600)</f>
        <v>78600</v>
      </c>
      <c r="D4509" s="22">
        <f ca="1">IFERROR(__xludf.DUMMYFUNCTION("""COMPUTED_VALUE"""),421400)</f>
        <v>421400</v>
      </c>
      <c r="E4509" s="22">
        <f ca="1">IFERROR(__xludf.DUMMYFUNCTION("""COMPUTED_VALUE"""),500000)</f>
        <v>500000</v>
      </c>
      <c r="F4509" s="22">
        <f ca="1">IFERROR(__xludf.DUMMYFUNCTION("""COMPUTED_VALUE"""),78600)</f>
        <v>78600</v>
      </c>
      <c r="G4509" s="22">
        <f ca="1">IFERROR(__xludf.DUMMYFUNCTION("""COMPUTED_VALUE"""),0)</f>
        <v>0</v>
      </c>
      <c r="H4509" s="7">
        <f ca="1">IFERROR(__xludf.DUMMYFUNCTION("""COMPUTED_VALUE"""),613400)</f>
        <v>613400</v>
      </c>
    </row>
    <row r="4510" spans="1:8" ht="13" x14ac:dyDescent="0.15">
      <c r="A4510" s="5" t="str">
        <f ca="1">IFERROR(__xludf.DUMMYFUNCTION("""COMPUTED_VALUE"""),"77603")</f>
        <v>77603</v>
      </c>
      <c r="B4510" s="51">
        <f ca="1">IFERROR(__xludf.DUMMYFUNCTION("""COMPUTED_VALUE"""),44641)</f>
        <v>44641</v>
      </c>
      <c r="C4510" s="22">
        <f ca="1">IFERROR(__xludf.DUMMYFUNCTION("""COMPUTED_VALUE"""),78600)</f>
        <v>78600</v>
      </c>
      <c r="D4510" s="22">
        <f ca="1">IFERROR(__xludf.DUMMYFUNCTION("""COMPUTED_VALUE"""),421400)</f>
        <v>421400</v>
      </c>
      <c r="E4510" s="22">
        <f ca="1">IFERROR(__xludf.DUMMYFUNCTION("""COMPUTED_VALUE"""),500000)</f>
        <v>500000</v>
      </c>
      <c r="F4510" s="22">
        <f ca="1">IFERROR(__xludf.DUMMYFUNCTION("""COMPUTED_VALUE"""),78600)</f>
        <v>78600</v>
      </c>
      <c r="G4510" s="22">
        <f ca="1">IFERROR(__xludf.DUMMYFUNCTION("""COMPUTED_VALUE"""),0)</f>
        <v>0</v>
      </c>
      <c r="H4510" s="7">
        <f ca="1">IFERROR(__xludf.DUMMYFUNCTION("""COMPUTED_VALUE"""),581200)</f>
        <v>581200</v>
      </c>
    </row>
    <row r="4511" spans="1:8" ht="13" x14ac:dyDescent="0.15">
      <c r="A4511" s="5" t="str">
        <f ca="1">IFERROR(__xludf.DUMMYFUNCTION("""COMPUTED_VALUE"""),"77603")</f>
        <v>77603</v>
      </c>
      <c r="B4511" s="51">
        <f ca="1">IFERROR(__xludf.DUMMYFUNCTION("""COMPUTED_VALUE"""),44642)</f>
        <v>44642</v>
      </c>
      <c r="C4511" s="22">
        <f ca="1">IFERROR(__xludf.DUMMYFUNCTION("""COMPUTED_VALUE"""),78600)</f>
        <v>78600</v>
      </c>
      <c r="D4511" s="22">
        <f ca="1">IFERROR(__xludf.DUMMYFUNCTION("""COMPUTED_VALUE"""),421400)</f>
        <v>421400</v>
      </c>
      <c r="E4511" s="22">
        <f ca="1">IFERROR(__xludf.DUMMYFUNCTION("""COMPUTED_VALUE"""),500000)</f>
        <v>500000</v>
      </c>
      <c r="F4511" s="22">
        <f ca="1">IFERROR(__xludf.DUMMYFUNCTION("""COMPUTED_VALUE"""),78600)</f>
        <v>78600</v>
      </c>
      <c r="G4511" s="22">
        <f ca="1">IFERROR(__xludf.DUMMYFUNCTION("""COMPUTED_VALUE"""),0)</f>
        <v>0</v>
      </c>
      <c r="H4511" s="7">
        <f ca="1">IFERROR(__xludf.DUMMYFUNCTION("""COMPUTED_VALUE"""),606750)</f>
        <v>606750</v>
      </c>
    </row>
    <row r="4512" spans="1:8" ht="13" x14ac:dyDescent="0.15">
      <c r="A4512" s="5" t="str">
        <f ca="1">IFERROR(__xludf.DUMMYFUNCTION("""COMPUTED_VALUE"""),"77665")</f>
        <v>77665</v>
      </c>
      <c r="B4512" s="51">
        <f ca="1">IFERROR(__xludf.DUMMYFUNCTION("""COMPUTED_VALUE"""),44597)</f>
        <v>44597</v>
      </c>
      <c r="C4512" s="22">
        <f ca="1">IFERROR(__xludf.DUMMYFUNCTION("""COMPUTED_VALUE"""),500000)</f>
        <v>500000</v>
      </c>
      <c r="D4512" s="22">
        <f ca="1">IFERROR(__xludf.DUMMYFUNCTION("""COMPUTED_VALUE"""),0)</f>
        <v>0</v>
      </c>
      <c r="E4512" s="22">
        <f ca="1">IFERROR(__xludf.DUMMYFUNCTION("""COMPUTED_VALUE"""),500000)</f>
        <v>500000</v>
      </c>
      <c r="F4512" s="22">
        <f ca="1">IFERROR(__xludf.DUMMYFUNCTION("""COMPUTED_VALUE"""),500000)</f>
        <v>500000</v>
      </c>
      <c r="G4512" s="22">
        <f ca="1">IFERROR(__xludf.DUMMYFUNCTION("""COMPUTED_VALUE"""),0)</f>
        <v>0</v>
      </c>
      <c r="H4512" s="7">
        <f ca="1">IFERROR(__xludf.DUMMYFUNCTION("""COMPUTED_VALUE"""),500000)</f>
        <v>500000</v>
      </c>
    </row>
    <row r="4513" spans="1:8" ht="13" x14ac:dyDescent="0.15">
      <c r="A4513" s="5" t="str">
        <f ca="1">IFERROR(__xludf.DUMMYFUNCTION("""COMPUTED_VALUE"""),"77665")</f>
        <v>77665</v>
      </c>
      <c r="B4513" s="51">
        <f ca="1">IFERROR(__xludf.DUMMYFUNCTION("""COMPUTED_VALUE"""),44598)</f>
        <v>44598</v>
      </c>
      <c r="C4513" s="22">
        <f ca="1">IFERROR(__xludf.DUMMYFUNCTION("""COMPUTED_VALUE"""),500000)</f>
        <v>500000</v>
      </c>
      <c r="D4513" s="22">
        <f ca="1">IFERROR(__xludf.DUMMYFUNCTION("""COMPUTED_VALUE"""),0)</f>
        <v>0</v>
      </c>
      <c r="E4513" s="22">
        <f ca="1">IFERROR(__xludf.DUMMYFUNCTION("""COMPUTED_VALUE"""),500000)</f>
        <v>500000</v>
      </c>
      <c r="F4513" s="22">
        <f ca="1">IFERROR(__xludf.DUMMYFUNCTION("""COMPUTED_VALUE"""),500000)</f>
        <v>500000</v>
      </c>
      <c r="G4513" s="22">
        <f ca="1">IFERROR(__xludf.DUMMYFUNCTION("""COMPUTED_VALUE"""),0)</f>
        <v>0</v>
      </c>
      <c r="H4513" s="7">
        <f ca="1">IFERROR(__xludf.DUMMYFUNCTION("""COMPUTED_VALUE"""),500000)</f>
        <v>500000</v>
      </c>
    </row>
    <row r="4514" spans="1:8" ht="13" x14ac:dyDescent="0.15">
      <c r="A4514" s="5" t="str">
        <f ca="1">IFERROR(__xludf.DUMMYFUNCTION("""COMPUTED_VALUE"""),"77665")</f>
        <v>77665</v>
      </c>
      <c r="B4514" s="51">
        <f ca="1">IFERROR(__xludf.DUMMYFUNCTION("""COMPUTED_VALUE"""),44599)</f>
        <v>44599</v>
      </c>
      <c r="C4514" s="22">
        <f ca="1">IFERROR(__xludf.DUMMYFUNCTION("""COMPUTED_VALUE"""),500000)</f>
        <v>500000</v>
      </c>
      <c r="D4514" s="22">
        <f ca="1">IFERROR(__xludf.DUMMYFUNCTION("""COMPUTED_VALUE"""),0)</f>
        <v>0</v>
      </c>
      <c r="E4514" s="22">
        <f ca="1">IFERROR(__xludf.DUMMYFUNCTION("""COMPUTED_VALUE"""),500000)</f>
        <v>500000</v>
      </c>
      <c r="F4514" s="22">
        <f ca="1">IFERROR(__xludf.DUMMYFUNCTION("""COMPUTED_VALUE"""),500000)</f>
        <v>500000</v>
      </c>
      <c r="G4514" s="22">
        <f ca="1">IFERROR(__xludf.DUMMYFUNCTION("""COMPUTED_VALUE"""),0)</f>
        <v>0</v>
      </c>
      <c r="H4514" s="7">
        <f ca="1">IFERROR(__xludf.DUMMYFUNCTION("""COMPUTED_VALUE"""),500000)</f>
        <v>500000</v>
      </c>
    </row>
    <row r="4515" spans="1:8" ht="13" x14ac:dyDescent="0.15">
      <c r="A4515" s="5" t="str">
        <f ca="1">IFERROR(__xludf.DUMMYFUNCTION("""COMPUTED_VALUE"""),"77665")</f>
        <v>77665</v>
      </c>
      <c r="B4515" s="51">
        <f ca="1">IFERROR(__xludf.DUMMYFUNCTION("""COMPUTED_VALUE"""),44600)</f>
        <v>44600</v>
      </c>
      <c r="C4515" s="22">
        <f ca="1">IFERROR(__xludf.DUMMYFUNCTION("""COMPUTED_VALUE"""),500000)</f>
        <v>500000</v>
      </c>
      <c r="D4515" s="22">
        <f ca="1">IFERROR(__xludf.DUMMYFUNCTION("""COMPUTED_VALUE"""),0)</f>
        <v>0</v>
      </c>
      <c r="E4515" s="22">
        <f ca="1">IFERROR(__xludf.DUMMYFUNCTION("""COMPUTED_VALUE"""),500000)</f>
        <v>500000</v>
      </c>
      <c r="F4515" s="22">
        <f ca="1">IFERROR(__xludf.DUMMYFUNCTION("""COMPUTED_VALUE"""),500000)</f>
        <v>500000</v>
      </c>
      <c r="G4515" s="22">
        <f ca="1">IFERROR(__xludf.DUMMYFUNCTION("""COMPUTED_VALUE"""),0)</f>
        <v>0</v>
      </c>
      <c r="H4515" s="7">
        <f ca="1">IFERROR(__xludf.DUMMYFUNCTION("""COMPUTED_VALUE"""),500000)</f>
        <v>500000</v>
      </c>
    </row>
    <row r="4516" spans="1:8" ht="13" x14ac:dyDescent="0.15">
      <c r="A4516" s="5" t="str">
        <f ca="1">IFERROR(__xludf.DUMMYFUNCTION("""COMPUTED_VALUE"""),"77665")</f>
        <v>77665</v>
      </c>
      <c r="B4516" s="51">
        <f ca="1">IFERROR(__xludf.DUMMYFUNCTION("""COMPUTED_VALUE"""),44601)</f>
        <v>44601</v>
      </c>
      <c r="C4516" s="22">
        <f ca="1">IFERROR(__xludf.DUMMYFUNCTION("""COMPUTED_VALUE"""),500000)</f>
        <v>500000</v>
      </c>
      <c r="D4516" s="22">
        <f ca="1">IFERROR(__xludf.DUMMYFUNCTION("""COMPUTED_VALUE"""),0)</f>
        <v>0</v>
      </c>
      <c r="E4516" s="22">
        <f ca="1">IFERROR(__xludf.DUMMYFUNCTION("""COMPUTED_VALUE"""),500000)</f>
        <v>500000</v>
      </c>
      <c r="F4516" s="22">
        <f ca="1">IFERROR(__xludf.DUMMYFUNCTION("""COMPUTED_VALUE"""),500000)</f>
        <v>500000</v>
      </c>
      <c r="G4516" s="22">
        <f ca="1">IFERROR(__xludf.DUMMYFUNCTION("""COMPUTED_VALUE"""),0)</f>
        <v>0</v>
      </c>
      <c r="H4516" s="7">
        <f ca="1">IFERROR(__xludf.DUMMYFUNCTION("""COMPUTED_VALUE"""),500000)</f>
        <v>500000</v>
      </c>
    </row>
    <row r="4517" spans="1:8" ht="13" x14ac:dyDescent="0.15">
      <c r="A4517" s="5" t="str">
        <f ca="1">IFERROR(__xludf.DUMMYFUNCTION("""COMPUTED_VALUE"""),"77665")</f>
        <v>77665</v>
      </c>
      <c r="B4517" s="51">
        <f ca="1">IFERROR(__xludf.DUMMYFUNCTION("""COMPUTED_VALUE"""),44602)</f>
        <v>44602</v>
      </c>
      <c r="C4517" s="22">
        <f ca="1">IFERROR(__xludf.DUMMYFUNCTION("""COMPUTED_VALUE"""),500000)</f>
        <v>500000</v>
      </c>
      <c r="D4517" s="22">
        <f ca="1">IFERROR(__xludf.DUMMYFUNCTION("""COMPUTED_VALUE"""),0)</f>
        <v>0</v>
      </c>
      <c r="E4517" s="22">
        <f ca="1">IFERROR(__xludf.DUMMYFUNCTION("""COMPUTED_VALUE"""),500000)</f>
        <v>500000</v>
      </c>
      <c r="F4517" s="22">
        <f ca="1">IFERROR(__xludf.DUMMYFUNCTION("""COMPUTED_VALUE"""),500000)</f>
        <v>500000</v>
      </c>
      <c r="G4517" s="22">
        <f ca="1">IFERROR(__xludf.DUMMYFUNCTION("""COMPUTED_VALUE"""),0)</f>
        <v>0</v>
      </c>
      <c r="H4517" s="7">
        <f ca="1">IFERROR(__xludf.DUMMYFUNCTION("""COMPUTED_VALUE"""),500000)</f>
        <v>500000</v>
      </c>
    </row>
    <row r="4518" spans="1:8" ht="13" x14ac:dyDescent="0.15">
      <c r="A4518" s="5" t="str">
        <f ca="1">IFERROR(__xludf.DUMMYFUNCTION("""COMPUTED_VALUE"""),"77665")</f>
        <v>77665</v>
      </c>
      <c r="B4518" s="51">
        <f ca="1">IFERROR(__xludf.DUMMYFUNCTION("""COMPUTED_VALUE"""),44603)</f>
        <v>44603</v>
      </c>
      <c r="C4518" s="22">
        <f ca="1">IFERROR(__xludf.DUMMYFUNCTION("""COMPUTED_VALUE"""),500000)</f>
        <v>500000</v>
      </c>
      <c r="D4518" s="22">
        <f ca="1">IFERROR(__xludf.DUMMYFUNCTION("""COMPUTED_VALUE"""),0)</f>
        <v>0</v>
      </c>
      <c r="E4518" s="22">
        <f ca="1">IFERROR(__xludf.DUMMYFUNCTION("""COMPUTED_VALUE"""),500000)</f>
        <v>500000</v>
      </c>
      <c r="F4518" s="22">
        <f ca="1">IFERROR(__xludf.DUMMYFUNCTION("""COMPUTED_VALUE"""),500000)</f>
        <v>500000</v>
      </c>
      <c r="G4518" s="22">
        <f ca="1">IFERROR(__xludf.DUMMYFUNCTION("""COMPUTED_VALUE"""),0)</f>
        <v>0</v>
      </c>
      <c r="H4518" s="7">
        <f ca="1">IFERROR(__xludf.DUMMYFUNCTION("""COMPUTED_VALUE"""),500000)</f>
        <v>500000</v>
      </c>
    </row>
    <row r="4519" spans="1:8" ht="13" x14ac:dyDescent="0.15">
      <c r="A4519" s="5" t="str">
        <f ca="1">IFERROR(__xludf.DUMMYFUNCTION("""COMPUTED_VALUE"""),"77665")</f>
        <v>77665</v>
      </c>
      <c r="B4519" s="51">
        <f ca="1">IFERROR(__xludf.DUMMYFUNCTION("""COMPUTED_VALUE"""),44604)</f>
        <v>44604</v>
      </c>
      <c r="C4519" s="22">
        <f ca="1">IFERROR(__xludf.DUMMYFUNCTION("""COMPUTED_VALUE"""),500000)</f>
        <v>500000</v>
      </c>
      <c r="D4519" s="22">
        <f ca="1">IFERROR(__xludf.DUMMYFUNCTION("""COMPUTED_VALUE"""),0)</f>
        <v>0</v>
      </c>
      <c r="E4519" s="22">
        <f ca="1">IFERROR(__xludf.DUMMYFUNCTION("""COMPUTED_VALUE"""),500000)</f>
        <v>500000</v>
      </c>
      <c r="F4519" s="22">
        <f ca="1">IFERROR(__xludf.DUMMYFUNCTION("""COMPUTED_VALUE"""),500000)</f>
        <v>500000</v>
      </c>
      <c r="G4519" s="22">
        <f ca="1">IFERROR(__xludf.DUMMYFUNCTION("""COMPUTED_VALUE"""),0)</f>
        <v>0</v>
      </c>
      <c r="H4519" s="7">
        <f ca="1">IFERROR(__xludf.DUMMYFUNCTION("""COMPUTED_VALUE"""),500000)</f>
        <v>500000</v>
      </c>
    </row>
    <row r="4520" spans="1:8" ht="13" x14ac:dyDescent="0.15">
      <c r="A4520" s="5" t="str">
        <f ca="1">IFERROR(__xludf.DUMMYFUNCTION("""COMPUTED_VALUE"""),"77665")</f>
        <v>77665</v>
      </c>
      <c r="B4520" s="51">
        <f ca="1">IFERROR(__xludf.DUMMYFUNCTION("""COMPUTED_VALUE"""),44605)</f>
        <v>44605</v>
      </c>
      <c r="C4520" s="22">
        <f ca="1">IFERROR(__xludf.DUMMYFUNCTION("""COMPUTED_VALUE"""),500000)</f>
        <v>500000</v>
      </c>
      <c r="D4520" s="22">
        <f ca="1">IFERROR(__xludf.DUMMYFUNCTION("""COMPUTED_VALUE"""),0)</f>
        <v>0</v>
      </c>
      <c r="E4520" s="22">
        <f ca="1">IFERROR(__xludf.DUMMYFUNCTION("""COMPUTED_VALUE"""),500000)</f>
        <v>500000</v>
      </c>
      <c r="F4520" s="22">
        <f ca="1">IFERROR(__xludf.DUMMYFUNCTION("""COMPUTED_VALUE"""),500000)</f>
        <v>500000</v>
      </c>
      <c r="G4520" s="22">
        <f ca="1">IFERROR(__xludf.DUMMYFUNCTION("""COMPUTED_VALUE"""),0)</f>
        <v>0</v>
      </c>
      <c r="H4520" s="7">
        <f ca="1">IFERROR(__xludf.DUMMYFUNCTION("""COMPUTED_VALUE"""),500000)</f>
        <v>500000</v>
      </c>
    </row>
    <row r="4521" spans="1:8" ht="13" x14ac:dyDescent="0.15">
      <c r="A4521" s="5" t="str">
        <f ca="1">IFERROR(__xludf.DUMMYFUNCTION("""COMPUTED_VALUE"""),"77665")</f>
        <v>77665</v>
      </c>
      <c r="B4521" s="51">
        <f ca="1">IFERROR(__xludf.DUMMYFUNCTION("""COMPUTED_VALUE"""),44606)</f>
        <v>44606</v>
      </c>
      <c r="C4521" s="22">
        <f ca="1">IFERROR(__xludf.DUMMYFUNCTION("""COMPUTED_VALUE"""),500000)</f>
        <v>500000</v>
      </c>
      <c r="D4521" s="22">
        <f ca="1">IFERROR(__xludf.DUMMYFUNCTION("""COMPUTED_VALUE"""),0)</f>
        <v>0</v>
      </c>
      <c r="E4521" s="22">
        <f ca="1">IFERROR(__xludf.DUMMYFUNCTION("""COMPUTED_VALUE"""),500000)</f>
        <v>500000</v>
      </c>
      <c r="F4521" s="22">
        <f ca="1">IFERROR(__xludf.DUMMYFUNCTION("""COMPUTED_VALUE"""),500000)</f>
        <v>500000</v>
      </c>
      <c r="G4521" s="22">
        <f ca="1">IFERROR(__xludf.DUMMYFUNCTION("""COMPUTED_VALUE"""),0)</f>
        <v>0</v>
      </c>
      <c r="H4521" s="7">
        <f ca="1">IFERROR(__xludf.DUMMYFUNCTION("""COMPUTED_VALUE"""),500000)</f>
        <v>500000</v>
      </c>
    </row>
    <row r="4522" spans="1:8" ht="13" x14ac:dyDescent="0.15">
      <c r="A4522" s="5" t="str">
        <f ca="1">IFERROR(__xludf.DUMMYFUNCTION("""COMPUTED_VALUE"""),"77665")</f>
        <v>77665</v>
      </c>
      <c r="B4522" s="51">
        <f ca="1">IFERROR(__xludf.DUMMYFUNCTION("""COMPUTED_VALUE"""),44607)</f>
        <v>44607</v>
      </c>
      <c r="C4522" s="22">
        <f ca="1">IFERROR(__xludf.DUMMYFUNCTION("""COMPUTED_VALUE"""),500000)</f>
        <v>500000</v>
      </c>
      <c r="D4522" s="22">
        <f ca="1">IFERROR(__xludf.DUMMYFUNCTION("""COMPUTED_VALUE"""),0)</f>
        <v>0</v>
      </c>
      <c r="E4522" s="22">
        <f ca="1">IFERROR(__xludf.DUMMYFUNCTION("""COMPUTED_VALUE"""),500000)</f>
        <v>500000</v>
      </c>
      <c r="F4522" s="22">
        <f ca="1">IFERROR(__xludf.DUMMYFUNCTION("""COMPUTED_VALUE"""),500000)</f>
        <v>500000</v>
      </c>
      <c r="G4522" s="22">
        <f ca="1">IFERROR(__xludf.DUMMYFUNCTION("""COMPUTED_VALUE"""),0)</f>
        <v>0</v>
      </c>
      <c r="H4522" s="7">
        <f ca="1">IFERROR(__xludf.DUMMYFUNCTION("""COMPUTED_VALUE"""),500000)</f>
        <v>500000</v>
      </c>
    </row>
    <row r="4523" spans="1:8" ht="13" x14ac:dyDescent="0.15">
      <c r="A4523" s="5" t="str">
        <f ca="1">IFERROR(__xludf.DUMMYFUNCTION("""COMPUTED_VALUE"""),"77665")</f>
        <v>77665</v>
      </c>
      <c r="B4523" s="51">
        <f ca="1">IFERROR(__xludf.DUMMYFUNCTION("""COMPUTED_VALUE"""),44608)</f>
        <v>44608</v>
      </c>
      <c r="C4523" s="22">
        <f ca="1">IFERROR(__xludf.DUMMYFUNCTION("""COMPUTED_VALUE"""),500000)</f>
        <v>500000</v>
      </c>
      <c r="D4523" s="22">
        <f ca="1">IFERROR(__xludf.DUMMYFUNCTION("""COMPUTED_VALUE"""),0)</f>
        <v>0</v>
      </c>
      <c r="E4523" s="22">
        <f ca="1">IFERROR(__xludf.DUMMYFUNCTION("""COMPUTED_VALUE"""),500000)</f>
        <v>500000</v>
      </c>
      <c r="F4523" s="22">
        <f ca="1">IFERROR(__xludf.DUMMYFUNCTION("""COMPUTED_VALUE"""),500000)</f>
        <v>500000</v>
      </c>
      <c r="G4523" s="22">
        <f ca="1">IFERROR(__xludf.DUMMYFUNCTION("""COMPUTED_VALUE"""),0)</f>
        <v>0</v>
      </c>
      <c r="H4523" s="7">
        <f ca="1">IFERROR(__xludf.DUMMYFUNCTION("""COMPUTED_VALUE"""),500000)</f>
        <v>500000</v>
      </c>
    </row>
    <row r="4524" spans="1:8" ht="13" x14ac:dyDescent="0.15">
      <c r="A4524" s="5" t="str">
        <f ca="1">IFERROR(__xludf.DUMMYFUNCTION("""COMPUTED_VALUE"""),"77665")</f>
        <v>77665</v>
      </c>
      <c r="B4524" s="51">
        <f ca="1">IFERROR(__xludf.DUMMYFUNCTION("""COMPUTED_VALUE"""),44609)</f>
        <v>44609</v>
      </c>
      <c r="C4524" s="22">
        <f ca="1">IFERROR(__xludf.DUMMYFUNCTION("""COMPUTED_VALUE"""),500000)</f>
        <v>500000</v>
      </c>
      <c r="D4524" s="22">
        <f ca="1">IFERROR(__xludf.DUMMYFUNCTION("""COMPUTED_VALUE"""),0)</f>
        <v>0</v>
      </c>
      <c r="E4524" s="22">
        <f ca="1">IFERROR(__xludf.DUMMYFUNCTION("""COMPUTED_VALUE"""),500000)</f>
        <v>500000</v>
      </c>
      <c r="F4524" s="22">
        <f ca="1">IFERROR(__xludf.DUMMYFUNCTION("""COMPUTED_VALUE"""),500000)</f>
        <v>500000</v>
      </c>
      <c r="G4524" s="22">
        <f ca="1">IFERROR(__xludf.DUMMYFUNCTION("""COMPUTED_VALUE"""),0)</f>
        <v>0</v>
      </c>
      <c r="H4524" s="7">
        <f ca="1">IFERROR(__xludf.DUMMYFUNCTION("""COMPUTED_VALUE"""),500000)</f>
        <v>500000</v>
      </c>
    </row>
    <row r="4525" spans="1:8" ht="13" x14ac:dyDescent="0.15">
      <c r="A4525" s="5" t="str">
        <f ca="1">IFERROR(__xludf.DUMMYFUNCTION("""COMPUTED_VALUE"""),"77665")</f>
        <v>77665</v>
      </c>
      <c r="B4525" s="51">
        <f ca="1">IFERROR(__xludf.DUMMYFUNCTION("""COMPUTED_VALUE"""),44610)</f>
        <v>44610</v>
      </c>
      <c r="C4525" s="22">
        <f ca="1">IFERROR(__xludf.DUMMYFUNCTION("""COMPUTED_VALUE"""),500000)</f>
        <v>500000</v>
      </c>
      <c r="D4525" s="22">
        <f ca="1">IFERROR(__xludf.DUMMYFUNCTION("""COMPUTED_VALUE"""),0)</f>
        <v>0</v>
      </c>
      <c r="E4525" s="22">
        <f ca="1">IFERROR(__xludf.DUMMYFUNCTION("""COMPUTED_VALUE"""),500000)</f>
        <v>500000</v>
      </c>
      <c r="F4525" s="22">
        <f ca="1">IFERROR(__xludf.DUMMYFUNCTION("""COMPUTED_VALUE"""),500000)</f>
        <v>500000</v>
      </c>
      <c r="G4525" s="22">
        <f ca="1">IFERROR(__xludf.DUMMYFUNCTION("""COMPUTED_VALUE"""),0)</f>
        <v>0</v>
      </c>
      <c r="H4525" s="7">
        <f ca="1">IFERROR(__xludf.DUMMYFUNCTION("""COMPUTED_VALUE"""),500000)</f>
        <v>500000</v>
      </c>
    </row>
    <row r="4526" spans="1:8" ht="13" x14ac:dyDescent="0.15">
      <c r="A4526" s="5" t="str">
        <f ca="1">IFERROR(__xludf.DUMMYFUNCTION("""COMPUTED_VALUE"""),"77665")</f>
        <v>77665</v>
      </c>
      <c r="B4526" s="51">
        <f ca="1">IFERROR(__xludf.DUMMYFUNCTION("""COMPUTED_VALUE"""),44611)</f>
        <v>44611</v>
      </c>
      <c r="C4526" s="22">
        <f ca="1">IFERROR(__xludf.DUMMYFUNCTION("""COMPUTED_VALUE"""),500000)</f>
        <v>500000</v>
      </c>
      <c r="D4526" s="22">
        <f ca="1">IFERROR(__xludf.DUMMYFUNCTION("""COMPUTED_VALUE"""),0)</f>
        <v>0</v>
      </c>
      <c r="E4526" s="22">
        <f ca="1">IFERROR(__xludf.DUMMYFUNCTION("""COMPUTED_VALUE"""),500000)</f>
        <v>500000</v>
      </c>
      <c r="F4526" s="22">
        <f ca="1">IFERROR(__xludf.DUMMYFUNCTION("""COMPUTED_VALUE"""),500000)</f>
        <v>500000</v>
      </c>
      <c r="G4526" s="22">
        <f ca="1">IFERROR(__xludf.DUMMYFUNCTION("""COMPUTED_VALUE"""),0)</f>
        <v>0</v>
      </c>
      <c r="H4526" s="7">
        <f ca="1">IFERROR(__xludf.DUMMYFUNCTION("""COMPUTED_VALUE"""),500000)</f>
        <v>500000</v>
      </c>
    </row>
    <row r="4527" spans="1:8" ht="13" x14ac:dyDescent="0.15">
      <c r="A4527" s="5" t="str">
        <f ca="1">IFERROR(__xludf.DUMMYFUNCTION("""COMPUTED_VALUE"""),"77665")</f>
        <v>77665</v>
      </c>
      <c r="B4527" s="51">
        <f ca="1">IFERROR(__xludf.DUMMYFUNCTION("""COMPUTED_VALUE"""),44612)</f>
        <v>44612</v>
      </c>
      <c r="C4527" s="22">
        <f ca="1">IFERROR(__xludf.DUMMYFUNCTION("""COMPUTED_VALUE"""),500000)</f>
        <v>500000</v>
      </c>
      <c r="D4527" s="22">
        <f ca="1">IFERROR(__xludf.DUMMYFUNCTION("""COMPUTED_VALUE"""),0)</f>
        <v>0</v>
      </c>
      <c r="E4527" s="22">
        <f ca="1">IFERROR(__xludf.DUMMYFUNCTION("""COMPUTED_VALUE"""),500000)</f>
        <v>500000</v>
      </c>
      <c r="F4527" s="22">
        <f ca="1">IFERROR(__xludf.DUMMYFUNCTION("""COMPUTED_VALUE"""),500000)</f>
        <v>500000</v>
      </c>
      <c r="G4527" s="22">
        <f ca="1">IFERROR(__xludf.DUMMYFUNCTION("""COMPUTED_VALUE"""),0)</f>
        <v>0</v>
      </c>
      <c r="H4527" s="7">
        <f ca="1">IFERROR(__xludf.DUMMYFUNCTION("""COMPUTED_VALUE"""),500000)</f>
        <v>500000</v>
      </c>
    </row>
    <row r="4528" spans="1:8" ht="13" x14ac:dyDescent="0.15">
      <c r="A4528" s="5" t="str">
        <f ca="1">IFERROR(__xludf.DUMMYFUNCTION("""COMPUTED_VALUE"""),"77665")</f>
        <v>77665</v>
      </c>
      <c r="B4528" s="51">
        <f ca="1">IFERROR(__xludf.DUMMYFUNCTION("""COMPUTED_VALUE"""),44613)</f>
        <v>44613</v>
      </c>
      <c r="C4528" s="22">
        <f ca="1">IFERROR(__xludf.DUMMYFUNCTION("""COMPUTED_VALUE"""),500000)</f>
        <v>500000</v>
      </c>
      <c r="D4528" s="22">
        <f ca="1">IFERROR(__xludf.DUMMYFUNCTION("""COMPUTED_VALUE"""),0)</f>
        <v>0</v>
      </c>
      <c r="E4528" s="22">
        <f ca="1">IFERROR(__xludf.DUMMYFUNCTION("""COMPUTED_VALUE"""),500000)</f>
        <v>500000</v>
      </c>
      <c r="F4528" s="22">
        <f ca="1">IFERROR(__xludf.DUMMYFUNCTION("""COMPUTED_VALUE"""),500000)</f>
        <v>500000</v>
      </c>
      <c r="G4528" s="22">
        <f ca="1">IFERROR(__xludf.DUMMYFUNCTION("""COMPUTED_VALUE"""),0)</f>
        <v>0</v>
      </c>
      <c r="H4528" s="7">
        <f ca="1">IFERROR(__xludf.DUMMYFUNCTION("""COMPUTED_VALUE"""),500000)</f>
        <v>500000</v>
      </c>
    </row>
    <row r="4529" spans="1:8" ht="13" x14ac:dyDescent="0.15">
      <c r="A4529" s="5" t="str">
        <f ca="1">IFERROR(__xludf.DUMMYFUNCTION("""COMPUTED_VALUE"""),"77665")</f>
        <v>77665</v>
      </c>
      <c r="B4529" s="51">
        <f ca="1">IFERROR(__xludf.DUMMYFUNCTION("""COMPUTED_VALUE"""),44614)</f>
        <v>44614</v>
      </c>
      <c r="C4529" s="22">
        <f ca="1">IFERROR(__xludf.DUMMYFUNCTION("""COMPUTED_VALUE"""),500000)</f>
        <v>500000</v>
      </c>
      <c r="D4529" s="22">
        <f ca="1">IFERROR(__xludf.DUMMYFUNCTION("""COMPUTED_VALUE"""),0)</f>
        <v>0</v>
      </c>
      <c r="E4529" s="22">
        <f ca="1">IFERROR(__xludf.DUMMYFUNCTION("""COMPUTED_VALUE"""),500000)</f>
        <v>500000</v>
      </c>
      <c r="F4529" s="22">
        <f ca="1">IFERROR(__xludf.DUMMYFUNCTION("""COMPUTED_VALUE"""),500000)</f>
        <v>500000</v>
      </c>
      <c r="G4529" s="22">
        <f ca="1">IFERROR(__xludf.DUMMYFUNCTION("""COMPUTED_VALUE"""),0)</f>
        <v>0</v>
      </c>
      <c r="H4529" s="7">
        <f ca="1">IFERROR(__xludf.DUMMYFUNCTION("""COMPUTED_VALUE"""),500000)</f>
        <v>500000</v>
      </c>
    </row>
    <row r="4530" spans="1:8" ht="13" x14ac:dyDescent="0.15">
      <c r="A4530" s="5" t="str">
        <f ca="1">IFERROR(__xludf.DUMMYFUNCTION("""COMPUTED_VALUE"""),"77665")</f>
        <v>77665</v>
      </c>
      <c r="B4530" s="51">
        <f ca="1">IFERROR(__xludf.DUMMYFUNCTION("""COMPUTED_VALUE"""),44615)</f>
        <v>44615</v>
      </c>
      <c r="C4530" s="22">
        <f ca="1">IFERROR(__xludf.DUMMYFUNCTION("""COMPUTED_VALUE"""),500000)</f>
        <v>500000</v>
      </c>
      <c r="D4530" s="22">
        <f ca="1">IFERROR(__xludf.DUMMYFUNCTION("""COMPUTED_VALUE"""),0)</f>
        <v>0</v>
      </c>
      <c r="E4530" s="22">
        <f ca="1">IFERROR(__xludf.DUMMYFUNCTION("""COMPUTED_VALUE"""),500000)</f>
        <v>500000</v>
      </c>
      <c r="F4530" s="22">
        <f ca="1">IFERROR(__xludf.DUMMYFUNCTION("""COMPUTED_VALUE"""),500000)</f>
        <v>500000</v>
      </c>
      <c r="G4530" s="22">
        <f ca="1">IFERROR(__xludf.DUMMYFUNCTION("""COMPUTED_VALUE"""),0)</f>
        <v>0</v>
      </c>
      <c r="H4530" s="7">
        <f ca="1">IFERROR(__xludf.DUMMYFUNCTION("""COMPUTED_VALUE"""),500000)</f>
        <v>500000</v>
      </c>
    </row>
    <row r="4531" spans="1:8" ht="13" x14ac:dyDescent="0.15">
      <c r="A4531" s="5" t="str">
        <f ca="1">IFERROR(__xludf.DUMMYFUNCTION("""COMPUTED_VALUE"""),"77665")</f>
        <v>77665</v>
      </c>
      <c r="B4531" s="51">
        <f ca="1">IFERROR(__xludf.DUMMYFUNCTION("""COMPUTED_VALUE"""),44616)</f>
        <v>44616</v>
      </c>
      <c r="C4531" s="22">
        <f ca="1">IFERROR(__xludf.DUMMYFUNCTION("""COMPUTED_VALUE"""),500000)</f>
        <v>500000</v>
      </c>
      <c r="D4531" s="22">
        <f ca="1">IFERROR(__xludf.DUMMYFUNCTION("""COMPUTED_VALUE"""),0)</f>
        <v>0</v>
      </c>
      <c r="E4531" s="22">
        <f ca="1">IFERROR(__xludf.DUMMYFUNCTION("""COMPUTED_VALUE"""),500000)</f>
        <v>500000</v>
      </c>
      <c r="F4531" s="22">
        <f ca="1">IFERROR(__xludf.DUMMYFUNCTION("""COMPUTED_VALUE"""),500000)</f>
        <v>500000</v>
      </c>
      <c r="G4531" s="22">
        <f ca="1">IFERROR(__xludf.DUMMYFUNCTION("""COMPUTED_VALUE"""),0)</f>
        <v>0</v>
      </c>
      <c r="H4531" s="7">
        <f ca="1">IFERROR(__xludf.DUMMYFUNCTION("""COMPUTED_VALUE"""),500000)</f>
        <v>500000</v>
      </c>
    </row>
    <row r="4532" spans="1:8" ht="13" x14ac:dyDescent="0.15">
      <c r="A4532" s="5" t="str">
        <f ca="1">IFERROR(__xludf.DUMMYFUNCTION("""COMPUTED_VALUE"""),"77665")</f>
        <v>77665</v>
      </c>
      <c r="B4532" s="51">
        <f ca="1">IFERROR(__xludf.DUMMYFUNCTION("""COMPUTED_VALUE"""),44617)</f>
        <v>44617</v>
      </c>
      <c r="C4532" s="22">
        <f ca="1">IFERROR(__xludf.DUMMYFUNCTION("""COMPUTED_VALUE"""),500000)</f>
        <v>500000</v>
      </c>
      <c r="D4532" s="22">
        <f ca="1">IFERROR(__xludf.DUMMYFUNCTION("""COMPUTED_VALUE"""),0)</f>
        <v>0</v>
      </c>
      <c r="E4532" s="22">
        <f ca="1">IFERROR(__xludf.DUMMYFUNCTION("""COMPUTED_VALUE"""),500000)</f>
        <v>500000</v>
      </c>
      <c r="F4532" s="22">
        <f ca="1">IFERROR(__xludf.DUMMYFUNCTION("""COMPUTED_VALUE"""),500000)</f>
        <v>500000</v>
      </c>
      <c r="G4532" s="22">
        <f ca="1">IFERROR(__xludf.DUMMYFUNCTION("""COMPUTED_VALUE"""),0)</f>
        <v>0</v>
      </c>
      <c r="H4532" s="7">
        <f ca="1">IFERROR(__xludf.DUMMYFUNCTION("""COMPUTED_VALUE"""),500000)</f>
        <v>500000</v>
      </c>
    </row>
    <row r="4533" spans="1:8" ht="13" x14ac:dyDescent="0.15">
      <c r="A4533" s="5" t="str">
        <f ca="1">IFERROR(__xludf.DUMMYFUNCTION("""COMPUTED_VALUE"""),"77665")</f>
        <v>77665</v>
      </c>
      <c r="B4533" s="51">
        <f ca="1">IFERROR(__xludf.DUMMYFUNCTION("""COMPUTED_VALUE"""),44618)</f>
        <v>44618</v>
      </c>
      <c r="C4533" s="22">
        <f ca="1">IFERROR(__xludf.DUMMYFUNCTION("""COMPUTED_VALUE"""),500000)</f>
        <v>500000</v>
      </c>
      <c r="D4533" s="22">
        <f ca="1">IFERROR(__xludf.DUMMYFUNCTION("""COMPUTED_VALUE"""),0)</f>
        <v>0</v>
      </c>
      <c r="E4533" s="22">
        <f ca="1">IFERROR(__xludf.DUMMYFUNCTION("""COMPUTED_VALUE"""),500000)</f>
        <v>500000</v>
      </c>
      <c r="F4533" s="22">
        <f ca="1">IFERROR(__xludf.DUMMYFUNCTION("""COMPUTED_VALUE"""),500000)</f>
        <v>500000</v>
      </c>
      <c r="G4533" s="22">
        <f ca="1">IFERROR(__xludf.DUMMYFUNCTION("""COMPUTED_VALUE"""),0)</f>
        <v>0</v>
      </c>
      <c r="H4533" s="7">
        <f ca="1">IFERROR(__xludf.DUMMYFUNCTION("""COMPUTED_VALUE"""),500000)</f>
        <v>500000</v>
      </c>
    </row>
    <row r="4534" spans="1:8" ht="13" x14ac:dyDescent="0.15">
      <c r="A4534" s="5" t="str">
        <f ca="1">IFERROR(__xludf.DUMMYFUNCTION("""COMPUTED_VALUE"""),"77665")</f>
        <v>77665</v>
      </c>
      <c r="B4534" s="51">
        <f ca="1">IFERROR(__xludf.DUMMYFUNCTION("""COMPUTED_VALUE"""),44619)</f>
        <v>44619</v>
      </c>
      <c r="C4534" s="22">
        <f ca="1">IFERROR(__xludf.DUMMYFUNCTION("""COMPUTED_VALUE"""),500000)</f>
        <v>500000</v>
      </c>
      <c r="D4534" s="22">
        <f ca="1">IFERROR(__xludf.DUMMYFUNCTION("""COMPUTED_VALUE"""),0)</f>
        <v>0</v>
      </c>
      <c r="E4534" s="22">
        <f ca="1">IFERROR(__xludf.DUMMYFUNCTION("""COMPUTED_VALUE"""),500000)</f>
        <v>500000</v>
      </c>
      <c r="F4534" s="22">
        <f ca="1">IFERROR(__xludf.DUMMYFUNCTION("""COMPUTED_VALUE"""),500000)</f>
        <v>500000</v>
      </c>
      <c r="G4534" s="22">
        <f ca="1">IFERROR(__xludf.DUMMYFUNCTION("""COMPUTED_VALUE"""),0)</f>
        <v>0</v>
      </c>
      <c r="H4534" s="7">
        <f ca="1">IFERROR(__xludf.DUMMYFUNCTION("""COMPUTED_VALUE"""),500000)</f>
        <v>500000</v>
      </c>
    </row>
    <row r="4535" spans="1:8" ht="13" x14ac:dyDescent="0.15">
      <c r="A4535" s="5" t="str">
        <f ca="1">IFERROR(__xludf.DUMMYFUNCTION("""COMPUTED_VALUE"""),"77665")</f>
        <v>77665</v>
      </c>
      <c r="B4535" s="51">
        <f ca="1">IFERROR(__xludf.DUMMYFUNCTION("""COMPUTED_VALUE"""),44620)</f>
        <v>44620</v>
      </c>
      <c r="C4535" s="22">
        <f ca="1">IFERROR(__xludf.DUMMYFUNCTION("""COMPUTED_VALUE"""),500000)</f>
        <v>500000</v>
      </c>
      <c r="D4535" s="22">
        <f ca="1">IFERROR(__xludf.DUMMYFUNCTION("""COMPUTED_VALUE"""),0)</f>
        <v>0</v>
      </c>
      <c r="E4535" s="22">
        <f ca="1">IFERROR(__xludf.DUMMYFUNCTION("""COMPUTED_VALUE"""),500000)</f>
        <v>500000</v>
      </c>
      <c r="F4535" s="22">
        <f ca="1">IFERROR(__xludf.DUMMYFUNCTION("""COMPUTED_VALUE"""),500000)</f>
        <v>500000</v>
      </c>
      <c r="G4535" s="22">
        <f ca="1">IFERROR(__xludf.DUMMYFUNCTION("""COMPUTED_VALUE"""),0)</f>
        <v>0</v>
      </c>
      <c r="H4535" s="7">
        <f ca="1">IFERROR(__xludf.DUMMYFUNCTION("""COMPUTED_VALUE"""),500000)</f>
        <v>500000</v>
      </c>
    </row>
    <row r="4536" spans="1:8" ht="13" x14ac:dyDescent="0.15">
      <c r="A4536" s="5" t="str">
        <f ca="1">IFERROR(__xludf.DUMMYFUNCTION("""COMPUTED_VALUE"""),"77665")</f>
        <v>77665</v>
      </c>
      <c r="B4536" s="51">
        <f ca="1">IFERROR(__xludf.DUMMYFUNCTION("""COMPUTED_VALUE"""),44621)</f>
        <v>44621</v>
      </c>
      <c r="C4536" s="22">
        <f ca="1">IFERROR(__xludf.DUMMYFUNCTION("""COMPUTED_VALUE"""),500000)</f>
        <v>500000</v>
      </c>
      <c r="D4536" s="22">
        <f ca="1">IFERROR(__xludf.DUMMYFUNCTION("""COMPUTED_VALUE"""),0)</f>
        <v>0</v>
      </c>
      <c r="E4536" s="22">
        <f ca="1">IFERROR(__xludf.DUMMYFUNCTION("""COMPUTED_VALUE"""),500000)</f>
        <v>500000</v>
      </c>
      <c r="F4536" s="22">
        <f ca="1">IFERROR(__xludf.DUMMYFUNCTION("""COMPUTED_VALUE"""),500000)</f>
        <v>500000</v>
      </c>
      <c r="G4536" s="22">
        <f ca="1">IFERROR(__xludf.DUMMYFUNCTION("""COMPUTED_VALUE"""),0)</f>
        <v>0</v>
      </c>
      <c r="H4536" s="7">
        <f ca="1">IFERROR(__xludf.DUMMYFUNCTION("""COMPUTED_VALUE"""),500000)</f>
        <v>500000</v>
      </c>
    </row>
    <row r="4537" spans="1:8" ht="13" x14ac:dyDescent="0.15">
      <c r="A4537" s="5" t="str">
        <f ca="1">IFERROR(__xludf.DUMMYFUNCTION("""COMPUTED_VALUE"""),"77665")</f>
        <v>77665</v>
      </c>
      <c r="B4537" s="51">
        <f ca="1">IFERROR(__xludf.DUMMYFUNCTION("""COMPUTED_VALUE"""),44622)</f>
        <v>44622</v>
      </c>
      <c r="C4537" s="22">
        <f ca="1">IFERROR(__xludf.DUMMYFUNCTION("""COMPUTED_VALUE"""),500000)</f>
        <v>500000</v>
      </c>
      <c r="D4537" s="22">
        <f ca="1">IFERROR(__xludf.DUMMYFUNCTION("""COMPUTED_VALUE"""),0)</f>
        <v>0</v>
      </c>
      <c r="E4537" s="22">
        <f ca="1">IFERROR(__xludf.DUMMYFUNCTION("""COMPUTED_VALUE"""),500000)</f>
        <v>500000</v>
      </c>
      <c r="F4537" s="22">
        <f ca="1">IFERROR(__xludf.DUMMYFUNCTION("""COMPUTED_VALUE"""),500000)</f>
        <v>500000</v>
      </c>
      <c r="G4537" s="22">
        <f ca="1">IFERROR(__xludf.DUMMYFUNCTION("""COMPUTED_VALUE"""),0)</f>
        <v>0</v>
      </c>
      <c r="H4537" s="7">
        <f ca="1">IFERROR(__xludf.DUMMYFUNCTION("""COMPUTED_VALUE"""),500000)</f>
        <v>500000</v>
      </c>
    </row>
    <row r="4538" spans="1:8" ht="13" x14ac:dyDescent="0.15">
      <c r="A4538" s="5" t="str">
        <f ca="1">IFERROR(__xludf.DUMMYFUNCTION("""COMPUTED_VALUE"""),"77665")</f>
        <v>77665</v>
      </c>
      <c r="B4538" s="51">
        <f ca="1">IFERROR(__xludf.DUMMYFUNCTION("""COMPUTED_VALUE"""),44623)</f>
        <v>44623</v>
      </c>
      <c r="C4538" s="22">
        <f ca="1">IFERROR(__xludf.DUMMYFUNCTION("""COMPUTED_VALUE"""),500000)</f>
        <v>500000</v>
      </c>
      <c r="D4538" s="22">
        <f ca="1">IFERROR(__xludf.DUMMYFUNCTION("""COMPUTED_VALUE"""),0)</f>
        <v>0</v>
      </c>
      <c r="E4538" s="22">
        <f ca="1">IFERROR(__xludf.DUMMYFUNCTION("""COMPUTED_VALUE"""),500000)</f>
        <v>500000</v>
      </c>
      <c r="F4538" s="22">
        <f ca="1">IFERROR(__xludf.DUMMYFUNCTION("""COMPUTED_VALUE"""),500000)</f>
        <v>500000</v>
      </c>
      <c r="G4538" s="22">
        <f ca="1">IFERROR(__xludf.DUMMYFUNCTION("""COMPUTED_VALUE"""),0)</f>
        <v>0</v>
      </c>
      <c r="H4538" s="7">
        <f ca="1">IFERROR(__xludf.DUMMYFUNCTION("""COMPUTED_VALUE"""),500000)</f>
        <v>500000</v>
      </c>
    </row>
    <row r="4539" spans="1:8" ht="13" x14ac:dyDescent="0.15">
      <c r="A4539" s="5" t="str">
        <f ca="1">IFERROR(__xludf.DUMMYFUNCTION("""COMPUTED_VALUE"""),"77665")</f>
        <v>77665</v>
      </c>
      <c r="B4539" s="51">
        <f ca="1">IFERROR(__xludf.DUMMYFUNCTION("""COMPUTED_VALUE"""),44624)</f>
        <v>44624</v>
      </c>
      <c r="C4539" s="22">
        <f ca="1">IFERROR(__xludf.DUMMYFUNCTION("""COMPUTED_VALUE"""),500000)</f>
        <v>500000</v>
      </c>
      <c r="D4539" s="22">
        <f ca="1">IFERROR(__xludf.DUMMYFUNCTION("""COMPUTED_VALUE"""),0)</f>
        <v>0</v>
      </c>
      <c r="E4539" s="22">
        <f ca="1">IFERROR(__xludf.DUMMYFUNCTION("""COMPUTED_VALUE"""),500000)</f>
        <v>500000</v>
      </c>
      <c r="F4539" s="22">
        <f ca="1">IFERROR(__xludf.DUMMYFUNCTION("""COMPUTED_VALUE"""),500000)</f>
        <v>500000</v>
      </c>
      <c r="G4539" s="22">
        <f ca="1">IFERROR(__xludf.DUMMYFUNCTION("""COMPUTED_VALUE"""),0)</f>
        <v>0</v>
      </c>
      <c r="H4539" s="7">
        <f ca="1">IFERROR(__xludf.DUMMYFUNCTION("""COMPUTED_VALUE"""),500000)</f>
        <v>500000</v>
      </c>
    </row>
    <row r="4540" spans="1:8" ht="13" x14ac:dyDescent="0.15">
      <c r="A4540" s="5" t="str">
        <f ca="1">IFERROR(__xludf.DUMMYFUNCTION("""COMPUTED_VALUE"""),"77665")</f>
        <v>77665</v>
      </c>
      <c r="B4540" s="51">
        <f ca="1">IFERROR(__xludf.DUMMYFUNCTION("""COMPUTED_VALUE"""),44625)</f>
        <v>44625</v>
      </c>
      <c r="C4540" s="22">
        <f ca="1">IFERROR(__xludf.DUMMYFUNCTION("""COMPUTED_VALUE"""),500000)</f>
        <v>500000</v>
      </c>
      <c r="D4540" s="22">
        <f ca="1">IFERROR(__xludf.DUMMYFUNCTION("""COMPUTED_VALUE"""),0)</f>
        <v>0</v>
      </c>
      <c r="E4540" s="22">
        <f ca="1">IFERROR(__xludf.DUMMYFUNCTION("""COMPUTED_VALUE"""),500000)</f>
        <v>500000</v>
      </c>
      <c r="F4540" s="22">
        <f ca="1">IFERROR(__xludf.DUMMYFUNCTION("""COMPUTED_VALUE"""),500000)</f>
        <v>500000</v>
      </c>
      <c r="G4540" s="22">
        <f ca="1">IFERROR(__xludf.DUMMYFUNCTION("""COMPUTED_VALUE"""),0)</f>
        <v>0</v>
      </c>
      <c r="H4540" s="7">
        <f ca="1">IFERROR(__xludf.DUMMYFUNCTION("""COMPUTED_VALUE"""),500000)</f>
        <v>500000</v>
      </c>
    </row>
    <row r="4541" spans="1:8" ht="13" x14ac:dyDescent="0.15">
      <c r="A4541" s="5" t="str">
        <f ca="1">IFERROR(__xludf.DUMMYFUNCTION("""COMPUTED_VALUE"""),"77665")</f>
        <v>77665</v>
      </c>
      <c r="B4541" s="51">
        <f ca="1">IFERROR(__xludf.DUMMYFUNCTION("""COMPUTED_VALUE"""),44626)</f>
        <v>44626</v>
      </c>
      <c r="C4541" s="22">
        <f ca="1">IFERROR(__xludf.DUMMYFUNCTION("""COMPUTED_VALUE"""),500000)</f>
        <v>500000</v>
      </c>
      <c r="D4541" s="22">
        <f ca="1">IFERROR(__xludf.DUMMYFUNCTION("""COMPUTED_VALUE"""),0)</f>
        <v>0</v>
      </c>
      <c r="E4541" s="22">
        <f ca="1">IFERROR(__xludf.DUMMYFUNCTION("""COMPUTED_VALUE"""),500000)</f>
        <v>500000</v>
      </c>
      <c r="F4541" s="22">
        <f ca="1">IFERROR(__xludf.DUMMYFUNCTION("""COMPUTED_VALUE"""),500000)</f>
        <v>500000</v>
      </c>
      <c r="G4541" s="22">
        <f ca="1">IFERROR(__xludf.DUMMYFUNCTION("""COMPUTED_VALUE"""),0)</f>
        <v>0</v>
      </c>
      <c r="H4541" s="7">
        <f ca="1">IFERROR(__xludf.DUMMYFUNCTION("""COMPUTED_VALUE"""),500000)</f>
        <v>500000</v>
      </c>
    </row>
    <row r="4542" spans="1:8" ht="13" x14ac:dyDescent="0.15">
      <c r="A4542" s="5" t="str">
        <f ca="1">IFERROR(__xludf.DUMMYFUNCTION("""COMPUTED_VALUE"""),"77665")</f>
        <v>77665</v>
      </c>
      <c r="B4542" s="51">
        <f ca="1">IFERROR(__xludf.DUMMYFUNCTION("""COMPUTED_VALUE"""),44627)</f>
        <v>44627</v>
      </c>
      <c r="C4542" s="22">
        <f ca="1">IFERROR(__xludf.DUMMYFUNCTION("""COMPUTED_VALUE"""),500000)</f>
        <v>500000</v>
      </c>
      <c r="D4542" s="22">
        <f ca="1">IFERROR(__xludf.DUMMYFUNCTION("""COMPUTED_VALUE"""),0)</f>
        <v>0</v>
      </c>
      <c r="E4542" s="22">
        <f ca="1">IFERROR(__xludf.DUMMYFUNCTION("""COMPUTED_VALUE"""),500000)</f>
        <v>500000</v>
      </c>
      <c r="F4542" s="22">
        <f ca="1">IFERROR(__xludf.DUMMYFUNCTION("""COMPUTED_VALUE"""),500000)</f>
        <v>500000</v>
      </c>
      <c r="G4542" s="22">
        <f ca="1">IFERROR(__xludf.DUMMYFUNCTION("""COMPUTED_VALUE"""),0)</f>
        <v>0</v>
      </c>
      <c r="H4542" s="7">
        <f ca="1">IFERROR(__xludf.DUMMYFUNCTION("""COMPUTED_VALUE"""),500000)</f>
        <v>500000</v>
      </c>
    </row>
    <row r="4543" spans="1:8" ht="13" x14ac:dyDescent="0.15">
      <c r="A4543" s="5" t="str">
        <f ca="1">IFERROR(__xludf.DUMMYFUNCTION("""COMPUTED_VALUE"""),"77665")</f>
        <v>77665</v>
      </c>
      <c r="B4543" s="51">
        <f ca="1">IFERROR(__xludf.DUMMYFUNCTION("""COMPUTED_VALUE"""),44628)</f>
        <v>44628</v>
      </c>
      <c r="C4543" s="22">
        <f ca="1">IFERROR(__xludf.DUMMYFUNCTION("""COMPUTED_VALUE"""),500000)</f>
        <v>500000</v>
      </c>
      <c r="D4543" s="22">
        <f ca="1">IFERROR(__xludf.DUMMYFUNCTION("""COMPUTED_VALUE"""),0)</f>
        <v>0</v>
      </c>
      <c r="E4543" s="22">
        <f ca="1">IFERROR(__xludf.DUMMYFUNCTION("""COMPUTED_VALUE"""),500000)</f>
        <v>500000</v>
      </c>
      <c r="F4543" s="22">
        <f ca="1">IFERROR(__xludf.DUMMYFUNCTION("""COMPUTED_VALUE"""),500000)</f>
        <v>500000</v>
      </c>
      <c r="G4543" s="22">
        <f ca="1">IFERROR(__xludf.DUMMYFUNCTION("""COMPUTED_VALUE"""),0)</f>
        <v>0</v>
      </c>
      <c r="H4543" s="7">
        <f ca="1">IFERROR(__xludf.DUMMYFUNCTION("""COMPUTED_VALUE"""),500000)</f>
        <v>500000</v>
      </c>
    </row>
    <row r="4544" spans="1:8" ht="13" x14ac:dyDescent="0.15">
      <c r="A4544" s="5" t="str">
        <f ca="1">IFERROR(__xludf.DUMMYFUNCTION("""COMPUTED_VALUE"""),"77665")</f>
        <v>77665</v>
      </c>
      <c r="B4544" s="51">
        <f ca="1">IFERROR(__xludf.DUMMYFUNCTION("""COMPUTED_VALUE"""),44629)</f>
        <v>44629</v>
      </c>
      <c r="C4544" s="22">
        <f ca="1">IFERROR(__xludf.DUMMYFUNCTION("""COMPUTED_VALUE"""),500000)</f>
        <v>500000</v>
      </c>
      <c r="D4544" s="22">
        <f ca="1">IFERROR(__xludf.DUMMYFUNCTION("""COMPUTED_VALUE"""),0)</f>
        <v>0</v>
      </c>
      <c r="E4544" s="22">
        <f ca="1">IFERROR(__xludf.DUMMYFUNCTION("""COMPUTED_VALUE"""),500000)</f>
        <v>500000</v>
      </c>
      <c r="F4544" s="22">
        <f ca="1">IFERROR(__xludf.DUMMYFUNCTION("""COMPUTED_VALUE"""),500000)</f>
        <v>500000</v>
      </c>
      <c r="G4544" s="22">
        <f ca="1">IFERROR(__xludf.DUMMYFUNCTION("""COMPUTED_VALUE"""),0)</f>
        <v>0</v>
      </c>
      <c r="H4544" s="7">
        <f ca="1">IFERROR(__xludf.DUMMYFUNCTION("""COMPUTED_VALUE"""),500000)</f>
        <v>500000</v>
      </c>
    </row>
    <row r="4545" spans="1:8" ht="13" x14ac:dyDescent="0.15">
      <c r="A4545" s="5" t="str">
        <f ca="1">IFERROR(__xludf.DUMMYFUNCTION("""COMPUTED_VALUE"""),"77665")</f>
        <v>77665</v>
      </c>
      <c r="B4545" s="51">
        <f ca="1">IFERROR(__xludf.DUMMYFUNCTION("""COMPUTED_VALUE"""),44630)</f>
        <v>44630</v>
      </c>
      <c r="C4545" s="22">
        <f ca="1">IFERROR(__xludf.DUMMYFUNCTION("""COMPUTED_VALUE"""),500000)</f>
        <v>500000</v>
      </c>
      <c r="D4545" s="22">
        <f ca="1">IFERROR(__xludf.DUMMYFUNCTION("""COMPUTED_VALUE"""),0)</f>
        <v>0</v>
      </c>
      <c r="E4545" s="22">
        <f ca="1">IFERROR(__xludf.DUMMYFUNCTION("""COMPUTED_VALUE"""),500000)</f>
        <v>500000</v>
      </c>
      <c r="F4545" s="22">
        <f ca="1">IFERROR(__xludf.DUMMYFUNCTION("""COMPUTED_VALUE"""),500000)</f>
        <v>500000</v>
      </c>
      <c r="G4545" s="22">
        <f ca="1">IFERROR(__xludf.DUMMYFUNCTION("""COMPUTED_VALUE"""),0)</f>
        <v>0</v>
      </c>
      <c r="H4545" s="7">
        <f ca="1">IFERROR(__xludf.DUMMYFUNCTION("""COMPUTED_VALUE"""),500000)</f>
        <v>500000</v>
      </c>
    </row>
    <row r="4546" spans="1:8" ht="13" x14ac:dyDescent="0.15">
      <c r="A4546" s="5" t="str">
        <f ca="1">IFERROR(__xludf.DUMMYFUNCTION("""COMPUTED_VALUE"""),"77665")</f>
        <v>77665</v>
      </c>
      <c r="B4546" s="51">
        <f ca="1">IFERROR(__xludf.DUMMYFUNCTION("""COMPUTED_VALUE"""),44631)</f>
        <v>44631</v>
      </c>
      <c r="C4546" s="22">
        <f ca="1">IFERROR(__xludf.DUMMYFUNCTION("""COMPUTED_VALUE"""),500000)</f>
        <v>500000</v>
      </c>
      <c r="D4546" s="22">
        <f ca="1">IFERROR(__xludf.DUMMYFUNCTION("""COMPUTED_VALUE"""),0)</f>
        <v>0</v>
      </c>
      <c r="E4546" s="22">
        <f ca="1">IFERROR(__xludf.DUMMYFUNCTION("""COMPUTED_VALUE"""),500000)</f>
        <v>500000</v>
      </c>
      <c r="F4546" s="22">
        <f ca="1">IFERROR(__xludf.DUMMYFUNCTION("""COMPUTED_VALUE"""),500000)</f>
        <v>500000</v>
      </c>
      <c r="G4546" s="22">
        <f ca="1">IFERROR(__xludf.DUMMYFUNCTION("""COMPUTED_VALUE"""),0)</f>
        <v>0</v>
      </c>
      <c r="H4546" s="7">
        <f ca="1">IFERROR(__xludf.DUMMYFUNCTION("""COMPUTED_VALUE"""),500000)</f>
        <v>500000</v>
      </c>
    </row>
    <row r="4547" spans="1:8" ht="13" x14ac:dyDescent="0.15">
      <c r="A4547" s="5" t="str">
        <f ca="1">IFERROR(__xludf.DUMMYFUNCTION("""COMPUTED_VALUE"""),"77665")</f>
        <v>77665</v>
      </c>
      <c r="B4547" s="51">
        <f ca="1">IFERROR(__xludf.DUMMYFUNCTION("""COMPUTED_VALUE"""),44632)</f>
        <v>44632</v>
      </c>
      <c r="C4547" s="22">
        <f ca="1">IFERROR(__xludf.DUMMYFUNCTION("""COMPUTED_VALUE"""),500000)</f>
        <v>500000</v>
      </c>
      <c r="D4547" s="22">
        <f ca="1">IFERROR(__xludf.DUMMYFUNCTION("""COMPUTED_VALUE"""),0)</f>
        <v>0</v>
      </c>
      <c r="E4547" s="22">
        <f ca="1">IFERROR(__xludf.DUMMYFUNCTION("""COMPUTED_VALUE"""),500000)</f>
        <v>500000</v>
      </c>
      <c r="F4547" s="22">
        <f ca="1">IFERROR(__xludf.DUMMYFUNCTION("""COMPUTED_VALUE"""),500000)</f>
        <v>500000</v>
      </c>
      <c r="G4547" s="22">
        <f ca="1">IFERROR(__xludf.DUMMYFUNCTION("""COMPUTED_VALUE"""),0)</f>
        <v>0</v>
      </c>
      <c r="H4547" s="7">
        <f ca="1">IFERROR(__xludf.DUMMYFUNCTION("""COMPUTED_VALUE"""),500000)</f>
        <v>500000</v>
      </c>
    </row>
    <row r="4548" spans="1:8" ht="13" x14ac:dyDescent="0.15">
      <c r="A4548" s="5" t="str">
        <f ca="1">IFERROR(__xludf.DUMMYFUNCTION("""COMPUTED_VALUE"""),"77665")</f>
        <v>77665</v>
      </c>
      <c r="B4548" s="51">
        <f ca="1">IFERROR(__xludf.DUMMYFUNCTION("""COMPUTED_VALUE"""),44633)</f>
        <v>44633</v>
      </c>
      <c r="C4548" s="22">
        <f ca="1">IFERROR(__xludf.DUMMYFUNCTION("""COMPUTED_VALUE"""),500000)</f>
        <v>500000</v>
      </c>
      <c r="D4548" s="22">
        <f ca="1">IFERROR(__xludf.DUMMYFUNCTION("""COMPUTED_VALUE"""),0)</f>
        <v>0</v>
      </c>
      <c r="E4548" s="22">
        <f ca="1">IFERROR(__xludf.DUMMYFUNCTION("""COMPUTED_VALUE"""),500000)</f>
        <v>500000</v>
      </c>
      <c r="F4548" s="22">
        <f ca="1">IFERROR(__xludf.DUMMYFUNCTION("""COMPUTED_VALUE"""),500000)</f>
        <v>500000</v>
      </c>
      <c r="G4548" s="22">
        <f ca="1">IFERROR(__xludf.DUMMYFUNCTION("""COMPUTED_VALUE"""),0)</f>
        <v>0</v>
      </c>
      <c r="H4548" s="7">
        <f ca="1">IFERROR(__xludf.DUMMYFUNCTION("""COMPUTED_VALUE"""),500000)</f>
        <v>500000</v>
      </c>
    </row>
    <row r="4549" spans="1:8" ht="13" x14ac:dyDescent="0.15">
      <c r="A4549" s="5" t="str">
        <f ca="1">IFERROR(__xludf.DUMMYFUNCTION("""COMPUTED_VALUE"""),"77665")</f>
        <v>77665</v>
      </c>
      <c r="B4549" s="51">
        <f ca="1">IFERROR(__xludf.DUMMYFUNCTION("""COMPUTED_VALUE"""),44634)</f>
        <v>44634</v>
      </c>
      <c r="C4549" s="22">
        <f ca="1">IFERROR(__xludf.DUMMYFUNCTION("""COMPUTED_VALUE"""),500000)</f>
        <v>500000</v>
      </c>
      <c r="D4549" s="22">
        <f ca="1">IFERROR(__xludf.DUMMYFUNCTION("""COMPUTED_VALUE"""),0)</f>
        <v>0</v>
      </c>
      <c r="E4549" s="22">
        <f ca="1">IFERROR(__xludf.DUMMYFUNCTION("""COMPUTED_VALUE"""),500000)</f>
        <v>500000</v>
      </c>
      <c r="F4549" s="22">
        <f ca="1">IFERROR(__xludf.DUMMYFUNCTION("""COMPUTED_VALUE"""),500000)</f>
        <v>500000</v>
      </c>
      <c r="G4549" s="22">
        <f ca="1">IFERROR(__xludf.DUMMYFUNCTION("""COMPUTED_VALUE"""),0)</f>
        <v>0</v>
      </c>
      <c r="H4549" s="7">
        <f ca="1">IFERROR(__xludf.DUMMYFUNCTION("""COMPUTED_VALUE"""),500000)</f>
        <v>500000</v>
      </c>
    </row>
    <row r="4550" spans="1:8" ht="13" x14ac:dyDescent="0.15">
      <c r="A4550" s="5" t="str">
        <f ca="1">IFERROR(__xludf.DUMMYFUNCTION("""COMPUTED_VALUE"""),"77665")</f>
        <v>77665</v>
      </c>
      <c r="B4550" s="51">
        <f ca="1">IFERROR(__xludf.DUMMYFUNCTION("""COMPUTED_VALUE"""),44635)</f>
        <v>44635</v>
      </c>
      <c r="C4550" s="22">
        <f ca="1">IFERROR(__xludf.DUMMYFUNCTION("""COMPUTED_VALUE"""),500000)</f>
        <v>500000</v>
      </c>
      <c r="D4550" s="22">
        <f ca="1">IFERROR(__xludf.DUMMYFUNCTION("""COMPUTED_VALUE"""),0)</f>
        <v>0</v>
      </c>
      <c r="E4550" s="22">
        <f ca="1">IFERROR(__xludf.DUMMYFUNCTION("""COMPUTED_VALUE"""),500000)</f>
        <v>500000</v>
      </c>
      <c r="F4550" s="22">
        <f ca="1">IFERROR(__xludf.DUMMYFUNCTION("""COMPUTED_VALUE"""),500000)</f>
        <v>500000</v>
      </c>
      <c r="G4550" s="22">
        <f ca="1">IFERROR(__xludf.DUMMYFUNCTION("""COMPUTED_VALUE"""),0)</f>
        <v>0</v>
      </c>
      <c r="H4550" s="7">
        <f ca="1">IFERROR(__xludf.DUMMYFUNCTION("""COMPUTED_VALUE"""),500000)</f>
        <v>500000</v>
      </c>
    </row>
    <row r="4551" spans="1:8" ht="13" x14ac:dyDescent="0.15">
      <c r="A4551" s="5" t="str">
        <f ca="1">IFERROR(__xludf.DUMMYFUNCTION("""COMPUTED_VALUE"""),"77665")</f>
        <v>77665</v>
      </c>
      <c r="B4551" s="51">
        <f ca="1">IFERROR(__xludf.DUMMYFUNCTION("""COMPUTED_VALUE"""),44636)</f>
        <v>44636</v>
      </c>
      <c r="C4551" s="22">
        <f ca="1">IFERROR(__xludf.DUMMYFUNCTION("""COMPUTED_VALUE"""),500000)</f>
        <v>500000</v>
      </c>
      <c r="D4551" s="22">
        <f ca="1">IFERROR(__xludf.DUMMYFUNCTION("""COMPUTED_VALUE"""),0)</f>
        <v>0</v>
      </c>
      <c r="E4551" s="22">
        <f ca="1">IFERROR(__xludf.DUMMYFUNCTION("""COMPUTED_VALUE"""),500000)</f>
        <v>500000</v>
      </c>
      <c r="F4551" s="22">
        <f ca="1">IFERROR(__xludf.DUMMYFUNCTION("""COMPUTED_VALUE"""),500000)</f>
        <v>500000</v>
      </c>
      <c r="G4551" s="22">
        <f ca="1">IFERROR(__xludf.DUMMYFUNCTION("""COMPUTED_VALUE"""),0)</f>
        <v>0</v>
      </c>
      <c r="H4551" s="7">
        <f ca="1">IFERROR(__xludf.DUMMYFUNCTION("""COMPUTED_VALUE"""),500000)</f>
        <v>500000</v>
      </c>
    </row>
    <row r="4552" spans="1:8" ht="13" x14ac:dyDescent="0.15">
      <c r="A4552" s="5" t="str">
        <f ca="1">IFERROR(__xludf.DUMMYFUNCTION("""COMPUTED_VALUE"""),"77665")</f>
        <v>77665</v>
      </c>
      <c r="B4552" s="51">
        <f ca="1">IFERROR(__xludf.DUMMYFUNCTION("""COMPUTED_VALUE"""),44637)</f>
        <v>44637</v>
      </c>
      <c r="C4552" s="22">
        <f ca="1">IFERROR(__xludf.DUMMYFUNCTION("""COMPUTED_VALUE"""),500000)</f>
        <v>500000</v>
      </c>
      <c r="D4552" s="22">
        <f ca="1">IFERROR(__xludf.DUMMYFUNCTION("""COMPUTED_VALUE"""),0)</f>
        <v>0</v>
      </c>
      <c r="E4552" s="22">
        <f ca="1">IFERROR(__xludf.DUMMYFUNCTION("""COMPUTED_VALUE"""),500000)</f>
        <v>500000</v>
      </c>
      <c r="F4552" s="22">
        <f ca="1">IFERROR(__xludf.DUMMYFUNCTION("""COMPUTED_VALUE"""),500000)</f>
        <v>500000</v>
      </c>
      <c r="G4552" s="22">
        <f ca="1">IFERROR(__xludf.DUMMYFUNCTION("""COMPUTED_VALUE"""),0)</f>
        <v>0</v>
      </c>
      <c r="H4552" s="7">
        <f ca="1">IFERROR(__xludf.DUMMYFUNCTION("""COMPUTED_VALUE"""),500000)</f>
        <v>500000</v>
      </c>
    </row>
    <row r="4553" spans="1:8" ht="13" x14ac:dyDescent="0.15">
      <c r="A4553" s="5" t="str">
        <f ca="1">IFERROR(__xludf.DUMMYFUNCTION("""COMPUTED_VALUE"""),"77665")</f>
        <v>77665</v>
      </c>
      <c r="B4553" s="51">
        <f ca="1">IFERROR(__xludf.DUMMYFUNCTION("""COMPUTED_VALUE"""),44638)</f>
        <v>44638</v>
      </c>
      <c r="C4553" s="22">
        <f ca="1">IFERROR(__xludf.DUMMYFUNCTION("""COMPUTED_VALUE"""),500000)</f>
        <v>500000</v>
      </c>
      <c r="D4553" s="22">
        <f ca="1">IFERROR(__xludf.DUMMYFUNCTION("""COMPUTED_VALUE"""),0)</f>
        <v>0</v>
      </c>
      <c r="E4553" s="22">
        <f ca="1">IFERROR(__xludf.DUMMYFUNCTION("""COMPUTED_VALUE"""),500000)</f>
        <v>500000</v>
      </c>
      <c r="F4553" s="22">
        <f ca="1">IFERROR(__xludf.DUMMYFUNCTION("""COMPUTED_VALUE"""),500000)</f>
        <v>500000</v>
      </c>
      <c r="G4553" s="22">
        <f ca="1">IFERROR(__xludf.DUMMYFUNCTION("""COMPUTED_VALUE"""),0)</f>
        <v>0</v>
      </c>
      <c r="H4553" s="7">
        <f ca="1">IFERROR(__xludf.DUMMYFUNCTION("""COMPUTED_VALUE"""),500000)</f>
        <v>500000</v>
      </c>
    </row>
    <row r="4554" spans="1:8" ht="13" x14ac:dyDescent="0.15">
      <c r="A4554" s="5" t="str">
        <f ca="1">IFERROR(__xludf.DUMMYFUNCTION("""COMPUTED_VALUE"""),"77665")</f>
        <v>77665</v>
      </c>
      <c r="B4554" s="51">
        <f ca="1">IFERROR(__xludf.DUMMYFUNCTION("""COMPUTED_VALUE"""),44639)</f>
        <v>44639</v>
      </c>
      <c r="C4554" s="22">
        <f ca="1">IFERROR(__xludf.DUMMYFUNCTION("""COMPUTED_VALUE"""),500000)</f>
        <v>500000</v>
      </c>
      <c r="D4554" s="22">
        <f ca="1">IFERROR(__xludf.DUMMYFUNCTION("""COMPUTED_VALUE"""),0)</f>
        <v>0</v>
      </c>
      <c r="E4554" s="22">
        <f ca="1">IFERROR(__xludf.DUMMYFUNCTION("""COMPUTED_VALUE"""),500000)</f>
        <v>500000</v>
      </c>
      <c r="F4554" s="22">
        <f ca="1">IFERROR(__xludf.DUMMYFUNCTION("""COMPUTED_VALUE"""),500000)</f>
        <v>500000</v>
      </c>
      <c r="G4554" s="22">
        <f ca="1">IFERROR(__xludf.DUMMYFUNCTION("""COMPUTED_VALUE"""),0)</f>
        <v>0</v>
      </c>
      <c r="H4554" s="7">
        <f ca="1">IFERROR(__xludf.DUMMYFUNCTION("""COMPUTED_VALUE"""),500000)</f>
        <v>500000</v>
      </c>
    </row>
    <row r="4555" spans="1:8" ht="13" x14ac:dyDescent="0.15">
      <c r="A4555" s="5" t="str">
        <f ca="1">IFERROR(__xludf.DUMMYFUNCTION("""COMPUTED_VALUE"""),"77665")</f>
        <v>77665</v>
      </c>
      <c r="B4555" s="51">
        <f ca="1">IFERROR(__xludf.DUMMYFUNCTION("""COMPUTED_VALUE"""),44640)</f>
        <v>44640</v>
      </c>
      <c r="C4555" s="22">
        <f ca="1">IFERROR(__xludf.DUMMYFUNCTION("""COMPUTED_VALUE"""),500000)</f>
        <v>500000</v>
      </c>
      <c r="D4555" s="22">
        <f ca="1">IFERROR(__xludf.DUMMYFUNCTION("""COMPUTED_VALUE"""),0)</f>
        <v>0</v>
      </c>
      <c r="E4555" s="22">
        <f ca="1">IFERROR(__xludf.DUMMYFUNCTION("""COMPUTED_VALUE"""),500000)</f>
        <v>500000</v>
      </c>
      <c r="F4555" s="22">
        <f ca="1">IFERROR(__xludf.DUMMYFUNCTION("""COMPUTED_VALUE"""),500000)</f>
        <v>500000</v>
      </c>
      <c r="G4555" s="22">
        <f ca="1">IFERROR(__xludf.DUMMYFUNCTION("""COMPUTED_VALUE"""),0)</f>
        <v>0</v>
      </c>
      <c r="H4555" s="7">
        <f ca="1">IFERROR(__xludf.DUMMYFUNCTION("""COMPUTED_VALUE"""),500000)</f>
        <v>500000</v>
      </c>
    </row>
    <row r="4556" spans="1:8" ht="13" x14ac:dyDescent="0.15">
      <c r="A4556" s="5" t="str">
        <f ca="1">IFERROR(__xludf.DUMMYFUNCTION("""COMPUTED_VALUE"""),"77665")</f>
        <v>77665</v>
      </c>
      <c r="B4556" s="51">
        <f ca="1">IFERROR(__xludf.DUMMYFUNCTION("""COMPUTED_VALUE"""),44641)</f>
        <v>44641</v>
      </c>
      <c r="C4556" s="22">
        <f ca="1">IFERROR(__xludf.DUMMYFUNCTION("""COMPUTED_VALUE"""),500000)</f>
        <v>500000</v>
      </c>
      <c r="D4556" s="22">
        <f ca="1">IFERROR(__xludf.DUMMYFUNCTION("""COMPUTED_VALUE"""),0)</f>
        <v>0</v>
      </c>
      <c r="E4556" s="22">
        <f ca="1">IFERROR(__xludf.DUMMYFUNCTION("""COMPUTED_VALUE"""),500000)</f>
        <v>500000</v>
      </c>
      <c r="F4556" s="22">
        <f ca="1">IFERROR(__xludf.DUMMYFUNCTION("""COMPUTED_VALUE"""),500000)</f>
        <v>500000</v>
      </c>
      <c r="G4556" s="22">
        <f ca="1">IFERROR(__xludf.DUMMYFUNCTION("""COMPUTED_VALUE"""),0)</f>
        <v>0</v>
      </c>
      <c r="H4556" s="7">
        <f ca="1">IFERROR(__xludf.DUMMYFUNCTION("""COMPUTED_VALUE"""),500000)</f>
        <v>500000</v>
      </c>
    </row>
    <row r="4557" spans="1:8" ht="13" x14ac:dyDescent="0.15">
      <c r="A4557" s="5" t="str">
        <f ca="1">IFERROR(__xludf.DUMMYFUNCTION("""COMPUTED_VALUE"""),"77665")</f>
        <v>77665</v>
      </c>
      <c r="B4557" s="51">
        <f ca="1">IFERROR(__xludf.DUMMYFUNCTION("""COMPUTED_VALUE"""),44642)</f>
        <v>44642</v>
      </c>
      <c r="C4557" s="22">
        <f ca="1">IFERROR(__xludf.DUMMYFUNCTION("""COMPUTED_VALUE"""),500000)</f>
        <v>500000</v>
      </c>
      <c r="D4557" s="22">
        <f ca="1">IFERROR(__xludf.DUMMYFUNCTION("""COMPUTED_VALUE"""),0)</f>
        <v>0</v>
      </c>
      <c r="E4557" s="22">
        <f ca="1">IFERROR(__xludf.DUMMYFUNCTION("""COMPUTED_VALUE"""),500000)</f>
        <v>500000</v>
      </c>
      <c r="F4557" s="22">
        <f ca="1">IFERROR(__xludf.DUMMYFUNCTION("""COMPUTED_VALUE"""),500000)</f>
        <v>500000</v>
      </c>
      <c r="G4557" s="22">
        <f ca="1">IFERROR(__xludf.DUMMYFUNCTION("""COMPUTED_VALUE"""),0)</f>
        <v>0</v>
      </c>
      <c r="H4557" s="7">
        <f ca="1">IFERROR(__xludf.DUMMYFUNCTION("""COMPUTED_VALUE"""),500000)</f>
        <v>500000</v>
      </c>
    </row>
    <row r="4558" spans="1:8" ht="13" x14ac:dyDescent="0.15">
      <c r="A4558" s="5" t="str">
        <f ca="1">IFERROR(__xludf.DUMMYFUNCTION("""COMPUTED_VALUE"""),"77729")</f>
        <v>77729</v>
      </c>
      <c r="B4558" s="51">
        <f ca="1">IFERROR(__xludf.DUMMYFUNCTION("""COMPUTED_VALUE"""),44597)</f>
        <v>44597</v>
      </c>
      <c r="C4558" s="22">
        <f ca="1">IFERROR(__xludf.DUMMYFUNCTION("""COMPUTED_VALUE"""),500000)</f>
        <v>500000</v>
      </c>
      <c r="D4558" s="22">
        <f ca="1">IFERROR(__xludf.DUMMYFUNCTION("""COMPUTED_VALUE"""),0)</f>
        <v>0</v>
      </c>
      <c r="E4558" s="22">
        <f ca="1">IFERROR(__xludf.DUMMYFUNCTION("""COMPUTED_VALUE"""),500000)</f>
        <v>500000</v>
      </c>
      <c r="F4558" s="22">
        <f ca="1">IFERROR(__xludf.DUMMYFUNCTION("""COMPUTED_VALUE"""),500000)</f>
        <v>500000</v>
      </c>
      <c r="G4558" s="22">
        <f ca="1">IFERROR(__xludf.DUMMYFUNCTION("""COMPUTED_VALUE"""),0)</f>
        <v>0</v>
      </c>
      <c r="H4558" s="7">
        <f ca="1">IFERROR(__xludf.DUMMYFUNCTION("""COMPUTED_VALUE"""),500000)</f>
        <v>500000</v>
      </c>
    </row>
    <row r="4559" spans="1:8" ht="13" x14ac:dyDescent="0.15">
      <c r="A4559" s="5" t="str">
        <f ca="1">IFERROR(__xludf.DUMMYFUNCTION("""COMPUTED_VALUE"""),"77729")</f>
        <v>77729</v>
      </c>
      <c r="B4559" s="51">
        <f ca="1">IFERROR(__xludf.DUMMYFUNCTION("""COMPUTED_VALUE"""),44598)</f>
        <v>44598</v>
      </c>
      <c r="C4559" s="22">
        <f ca="1">IFERROR(__xludf.DUMMYFUNCTION("""COMPUTED_VALUE"""),500000)</f>
        <v>500000</v>
      </c>
      <c r="D4559" s="22">
        <f ca="1">IFERROR(__xludf.DUMMYFUNCTION("""COMPUTED_VALUE"""),0)</f>
        <v>0</v>
      </c>
      <c r="E4559" s="22">
        <f ca="1">IFERROR(__xludf.DUMMYFUNCTION("""COMPUTED_VALUE"""),500000)</f>
        <v>500000</v>
      </c>
      <c r="F4559" s="22">
        <f ca="1">IFERROR(__xludf.DUMMYFUNCTION("""COMPUTED_VALUE"""),500000)</f>
        <v>500000</v>
      </c>
      <c r="G4559" s="22">
        <f ca="1">IFERROR(__xludf.DUMMYFUNCTION("""COMPUTED_VALUE"""),0)</f>
        <v>0</v>
      </c>
      <c r="H4559" s="7">
        <f ca="1">IFERROR(__xludf.DUMMYFUNCTION("""COMPUTED_VALUE"""),500000)</f>
        <v>500000</v>
      </c>
    </row>
    <row r="4560" spans="1:8" ht="13" x14ac:dyDescent="0.15">
      <c r="A4560" s="5" t="str">
        <f ca="1">IFERROR(__xludf.DUMMYFUNCTION("""COMPUTED_VALUE"""),"77729")</f>
        <v>77729</v>
      </c>
      <c r="B4560" s="51">
        <f ca="1">IFERROR(__xludf.DUMMYFUNCTION("""COMPUTED_VALUE"""),44599)</f>
        <v>44599</v>
      </c>
      <c r="C4560" s="22">
        <f ca="1">IFERROR(__xludf.DUMMYFUNCTION("""COMPUTED_VALUE"""),500000)</f>
        <v>500000</v>
      </c>
      <c r="D4560" s="22">
        <f ca="1">IFERROR(__xludf.DUMMYFUNCTION("""COMPUTED_VALUE"""),0)</f>
        <v>0</v>
      </c>
      <c r="E4560" s="22">
        <f ca="1">IFERROR(__xludf.DUMMYFUNCTION("""COMPUTED_VALUE"""),500000)</f>
        <v>500000</v>
      </c>
      <c r="F4560" s="22">
        <f ca="1">IFERROR(__xludf.DUMMYFUNCTION("""COMPUTED_VALUE"""),500000)</f>
        <v>500000</v>
      </c>
      <c r="G4560" s="22">
        <f ca="1">IFERROR(__xludf.DUMMYFUNCTION("""COMPUTED_VALUE"""),0)</f>
        <v>0</v>
      </c>
      <c r="H4560" s="7">
        <f ca="1">IFERROR(__xludf.DUMMYFUNCTION("""COMPUTED_VALUE"""),500000)</f>
        <v>500000</v>
      </c>
    </row>
    <row r="4561" spans="1:8" ht="13" x14ac:dyDescent="0.15">
      <c r="A4561" s="5" t="str">
        <f ca="1">IFERROR(__xludf.DUMMYFUNCTION("""COMPUTED_VALUE"""),"77729")</f>
        <v>77729</v>
      </c>
      <c r="B4561" s="51">
        <f ca="1">IFERROR(__xludf.DUMMYFUNCTION("""COMPUTED_VALUE"""),44600)</f>
        <v>44600</v>
      </c>
      <c r="C4561" s="22">
        <f ca="1">IFERROR(__xludf.DUMMYFUNCTION("""COMPUTED_VALUE"""),500000)</f>
        <v>500000</v>
      </c>
      <c r="D4561" s="22">
        <f ca="1">IFERROR(__xludf.DUMMYFUNCTION("""COMPUTED_VALUE"""),0)</f>
        <v>0</v>
      </c>
      <c r="E4561" s="22">
        <f ca="1">IFERROR(__xludf.DUMMYFUNCTION("""COMPUTED_VALUE"""),500000)</f>
        <v>500000</v>
      </c>
      <c r="F4561" s="22">
        <f ca="1">IFERROR(__xludf.DUMMYFUNCTION("""COMPUTED_VALUE"""),500000)</f>
        <v>500000</v>
      </c>
      <c r="G4561" s="22">
        <f ca="1">IFERROR(__xludf.DUMMYFUNCTION("""COMPUTED_VALUE"""),0)</f>
        <v>0</v>
      </c>
      <c r="H4561" s="7">
        <f ca="1">IFERROR(__xludf.DUMMYFUNCTION("""COMPUTED_VALUE"""),500000)</f>
        <v>500000</v>
      </c>
    </row>
    <row r="4562" spans="1:8" ht="13" x14ac:dyDescent="0.15">
      <c r="A4562" s="5" t="str">
        <f ca="1">IFERROR(__xludf.DUMMYFUNCTION("""COMPUTED_VALUE"""),"77729")</f>
        <v>77729</v>
      </c>
      <c r="B4562" s="51">
        <f ca="1">IFERROR(__xludf.DUMMYFUNCTION("""COMPUTED_VALUE"""),44601)</f>
        <v>44601</v>
      </c>
      <c r="C4562" s="22">
        <f ca="1">IFERROR(__xludf.DUMMYFUNCTION("""COMPUTED_VALUE"""),500000)</f>
        <v>500000</v>
      </c>
      <c r="D4562" s="22">
        <f ca="1">IFERROR(__xludf.DUMMYFUNCTION("""COMPUTED_VALUE"""),0)</f>
        <v>0</v>
      </c>
      <c r="E4562" s="22">
        <f ca="1">IFERROR(__xludf.DUMMYFUNCTION("""COMPUTED_VALUE"""),500000)</f>
        <v>500000</v>
      </c>
      <c r="F4562" s="22">
        <f ca="1">IFERROR(__xludf.DUMMYFUNCTION("""COMPUTED_VALUE"""),500000)</f>
        <v>500000</v>
      </c>
      <c r="G4562" s="22">
        <f ca="1">IFERROR(__xludf.DUMMYFUNCTION("""COMPUTED_VALUE"""),0)</f>
        <v>0</v>
      </c>
      <c r="H4562" s="7">
        <f ca="1">IFERROR(__xludf.DUMMYFUNCTION("""COMPUTED_VALUE"""),500000)</f>
        <v>500000</v>
      </c>
    </row>
    <row r="4563" spans="1:8" ht="13" x14ac:dyDescent="0.15">
      <c r="A4563" s="5" t="str">
        <f ca="1">IFERROR(__xludf.DUMMYFUNCTION("""COMPUTED_VALUE"""),"77729")</f>
        <v>77729</v>
      </c>
      <c r="B4563" s="51">
        <f ca="1">IFERROR(__xludf.DUMMYFUNCTION("""COMPUTED_VALUE"""),44602)</f>
        <v>44602</v>
      </c>
      <c r="C4563" s="22">
        <f ca="1">IFERROR(__xludf.DUMMYFUNCTION("""COMPUTED_VALUE"""),500000)</f>
        <v>500000</v>
      </c>
      <c r="D4563" s="22">
        <f ca="1">IFERROR(__xludf.DUMMYFUNCTION("""COMPUTED_VALUE"""),0)</f>
        <v>0</v>
      </c>
      <c r="E4563" s="22">
        <f ca="1">IFERROR(__xludf.DUMMYFUNCTION("""COMPUTED_VALUE"""),500000)</f>
        <v>500000</v>
      </c>
      <c r="F4563" s="22">
        <f ca="1">IFERROR(__xludf.DUMMYFUNCTION("""COMPUTED_VALUE"""),500000)</f>
        <v>500000</v>
      </c>
      <c r="G4563" s="22">
        <f ca="1">IFERROR(__xludf.DUMMYFUNCTION("""COMPUTED_VALUE"""),0)</f>
        <v>0</v>
      </c>
      <c r="H4563" s="7">
        <f ca="1">IFERROR(__xludf.DUMMYFUNCTION("""COMPUTED_VALUE"""),500000)</f>
        <v>500000</v>
      </c>
    </row>
    <row r="4564" spans="1:8" ht="13" x14ac:dyDescent="0.15">
      <c r="A4564" s="5" t="str">
        <f ca="1">IFERROR(__xludf.DUMMYFUNCTION("""COMPUTED_VALUE"""),"77729")</f>
        <v>77729</v>
      </c>
      <c r="B4564" s="51">
        <f ca="1">IFERROR(__xludf.DUMMYFUNCTION("""COMPUTED_VALUE"""),44603)</f>
        <v>44603</v>
      </c>
      <c r="C4564" s="22">
        <f ca="1">IFERROR(__xludf.DUMMYFUNCTION("""COMPUTED_VALUE"""),500000)</f>
        <v>500000</v>
      </c>
      <c r="D4564" s="22">
        <f ca="1">IFERROR(__xludf.DUMMYFUNCTION("""COMPUTED_VALUE"""),0)</f>
        <v>0</v>
      </c>
      <c r="E4564" s="22">
        <f ca="1">IFERROR(__xludf.DUMMYFUNCTION("""COMPUTED_VALUE"""),500000)</f>
        <v>500000</v>
      </c>
      <c r="F4564" s="22">
        <f ca="1">IFERROR(__xludf.DUMMYFUNCTION("""COMPUTED_VALUE"""),500000)</f>
        <v>500000</v>
      </c>
      <c r="G4564" s="22">
        <f ca="1">IFERROR(__xludf.DUMMYFUNCTION("""COMPUTED_VALUE"""),0)</f>
        <v>0</v>
      </c>
      <c r="H4564" s="7">
        <f ca="1">IFERROR(__xludf.DUMMYFUNCTION("""COMPUTED_VALUE"""),500000)</f>
        <v>500000</v>
      </c>
    </row>
    <row r="4565" spans="1:8" ht="13" x14ac:dyDescent="0.15">
      <c r="A4565" s="5" t="str">
        <f ca="1">IFERROR(__xludf.DUMMYFUNCTION("""COMPUTED_VALUE"""),"77729")</f>
        <v>77729</v>
      </c>
      <c r="B4565" s="51">
        <f ca="1">IFERROR(__xludf.DUMMYFUNCTION("""COMPUTED_VALUE"""),44604)</f>
        <v>44604</v>
      </c>
      <c r="C4565" s="22">
        <f ca="1">IFERROR(__xludf.DUMMYFUNCTION("""COMPUTED_VALUE"""),500000)</f>
        <v>500000</v>
      </c>
      <c r="D4565" s="22">
        <f ca="1">IFERROR(__xludf.DUMMYFUNCTION("""COMPUTED_VALUE"""),0)</f>
        <v>0</v>
      </c>
      <c r="E4565" s="22">
        <f ca="1">IFERROR(__xludf.DUMMYFUNCTION("""COMPUTED_VALUE"""),500000)</f>
        <v>500000</v>
      </c>
      <c r="F4565" s="22">
        <f ca="1">IFERROR(__xludf.DUMMYFUNCTION("""COMPUTED_VALUE"""),500000)</f>
        <v>500000</v>
      </c>
      <c r="G4565" s="22">
        <f ca="1">IFERROR(__xludf.DUMMYFUNCTION("""COMPUTED_VALUE"""),0)</f>
        <v>0</v>
      </c>
      <c r="H4565" s="7">
        <f ca="1">IFERROR(__xludf.DUMMYFUNCTION("""COMPUTED_VALUE"""),500000)</f>
        <v>500000</v>
      </c>
    </row>
    <row r="4566" spans="1:8" ht="13" x14ac:dyDescent="0.15">
      <c r="A4566" s="5" t="str">
        <f ca="1">IFERROR(__xludf.DUMMYFUNCTION("""COMPUTED_VALUE"""),"77729")</f>
        <v>77729</v>
      </c>
      <c r="B4566" s="51">
        <f ca="1">IFERROR(__xludf.DUMMYFUNCTION("""COMPUTED_VALUE"""),44605)</f>
        <v>44605</v>
      </c>
      <c r="C4566" s="22">
        <f ca="1">IFERROR(__xludf.DUMMYFUNCTION("""COMPUTED_VALUE"""),500000)</f>
        <v>500000</v>
      </c>
      <c r="D4566" s="22">
        <f ca="1">IFERROR(__xludf.DUMMYFUNCTION("""COMPUTED_VALUE"""),0)</f>
        <v>0</v>
      </c>
      <c r="E4566" s="22">
        <f ca="1">IFERROR(__xludf.DUMMYFUNCTION("""COMPUTED_VALUE"""),500000)</f>
        <v>500000</v>
      </c>
      <c r="F4566" s="22">
        <f ca="1">IFERROR(__xludf.DUMMYFUNCTION("""COMPUTED_VALUE"""),500000)</f>
        <v>500000</v>
      </c>
      <c r="G4566" s="22">
        <f ca="1">IFERROR(__xludf.DUMMYFUNCTION("""COMPUTED_VALUE"""),0)</f>
        <v>0</v>
      </c>
      <c r="H4566" s="7">
        <f ca="1">IFERROR(__xludf.DUMMYFUNCTION("""COMPUTED_VALUE"""),500000)</f>
        <v>500000</v>
      </c>
    </row>
    <row r="4567" spans="1:8" ht="13" x14ac:dyDescent="0.15">
      <c r="A4567" s="5" t="str">
        <f ca="1">IFERROR(__xludf.DUMMYFUNCTION("""COMPUTED_VALUE"""),"77729")</f>
        <v>77729</v>
      </c>
      <c r="B4567" s="51">
        <f ca="1">IFERROR(__xludf.DUMMYFUNCTION("""COMPUTED_VALUE"""),44606)</f>
        <v>44606</v>
      </c>
      <c r="C4567" s="22">
        <f ca="1">IFERROR(__xludf.DUMMYFUNCTION("""COMPUTED_VALUE"""),500000)</f>
        <v>500000</v>
      </c>
      <c r="D4567" s="22">
        <f ca="1">IFERROR(__xludf.DUMMYFUNCTION("""COMPUTED_VALUE"""),0)</f>
        <v>0</v>
      </c>
      <c r="E4567" s="22">
        <f ca="1">IFERROR(__xludf.DUMMYFUNCTION("""COMPUTED_VALUE"""),500000)</f>
        <v>500000</v>
      </c>
      <c r="F4567" s="22">
        <f ca="1">IFERROR(__xludf.DUMMYFUNCTION("""COMPUTED_VALUE"""),500000)</f>
        <v>500000</v>
      </c>
      <c r="G4567" s="22">
        <f ca="1">IFERROR(__xludf.DUMMYFUNCTION("""COMPUTED_VALUE"""),0)</f>
        <v>0</v>
      </c>
      <c r="H4567" s="7">
        <f ca="1">IFERROR(__xludf.DUMMYFUNCTION("""COMPUTED_VALUE"""),500000)</f>
        <v>500000</v>
      </c>
    </row>
    <row r="4568" spans="1:8" ht="13" x14ac:dyDescent="0.15">
      <c r="A4568" s="5" t="str">
        <f ca="1">IFERROR(__xludf.DUMMYFUNCTION("""COMPUTED_VALUE"""),"77729")</f>
        <v>77729</v>
      </c>
      <c r="B4568" s="51">
        <f ca="1">IFERROR(__xludf.DUMMYFUNCTION("""COMPUTED_VALUE"""),44607)</f>
        <v>44607</v>
      </c>
      <c r="C4568" s="22">
        <f ca="1">IFERROR(__xludf.DUMMYFUNCTION("""COMPUTED_VALUE"""),500000)</f>
        <v>500000</v>
      </c>
      <c r="D4568" s="22">
        <f ca="1">IFERROR(__xludf.DUMMYFUNCTION("""COMPUTED_VALUE"""),0)</f>
        <v>0</v>
      </c>
      <c r="E4568" s="22">
        <f ca="1">IFERROR(__xludf.DUMMYFUNCTION("""COMPUTED_VALUE"""),500000)</f>
        <v>500000</v>
      </c>
      <c r="F4568" s="22">
        <f ca="1">IFERROR(__xludf.DUMMYFUNCTION("""COMPUTED_VALUE"""),500000)</f>
        <v>500000</v>
      </c>
      <c r="G4568" s="22">
        <f ca="1">IFERROR(__xludf.DUMMYFUNCTION("""COMPUTED_VALUE"""),0)</f>
        <v>0</v>
      </c>
      <c r="H4568" s="7">
        <f ca="1">IFERROR(__xludf.DUMMYFUNCTION("""COMPUTED_VALUE"""),500000)</f>
        <v>500000</v>
      </c>
    </row>
    <row r="4569" spans="1:8" ht="13" x14ac:dyDescent="0.15">
      <c r="A4569" s="5" t="str">
        <f ca="1">IFERROR(__xludf.DUMMYFUNCTION("""COMPUTED_VALUE"""),"77729")</f>
        <v>77729</v>
      </c>
      <c r="B4569" s="51">
        <f ca="1">IFERROR(__xludf.DUMMYFUNCTION("""COMPUTED_VALUE"""),44608)</f>
        <v>44608</v>
      </c>
      <c r="C4569" s="22">
        <f ca="1">IFERROR(__xludf.DUMMYFUNCTION("""COMPUTED_VALUE"""),500000)</f>
        <v>500000</v>
      </c>
      <c r="D4569" s="22">
        <f ca="1">IFERROR(__xludf.DUMMYFUNCTION("""COMPUTED_VALUE"""),0)</f>
        <v>0</v>
      </c>
      <c r="E4569" s="22">
        <f ca="1">IFERROR(__xludf.DUMMYFUNCTION("""COMPUTED_VALUE"""),500000)</f>
        <v>500000</v>
      </c>
      <c r="F4569" s="22">
        <f ca="1">IFERROR(__xludf.DUMMYFUNCTION("""COMPUTED_VALUE"""),500000)</f>
        <v>500000</v>
      </c>
      <c r="G4569" s="22">
        <f ca="1">IFERROR(__xludf.DUMMYFUNCTION("""COMPUTED_VALUE"""),0)</f>
        <v>0</v>
      </c>
      <c r="H4569" s="7">
        <f ca="1">IFERROR(__xludf.DUMMYFUNCTION("""COMPUTED_VALUE"""),500000)</f>
        <v>500000</v>
      </c>
    </row>
    <row r="4570" spans="1:8" ht="13" x14ac:dyDescent="0.15">
      <c r="A4570" s="5" t="str">
        <f ca="1">IFERROR(__xludf.DUMMYFUNCTION("""COMPUTED_VALUE"""),"77729")</f>
        <v>77729</v>
      </c>
      <c r="B4570" s="51">
        <f ca="1">IFERROR(__xludf.DUMMYFUNCTION("""COMPUTED_VALUE"""),44609)</f>
        <v>44609</v>
      </c>
      <c r="C4570" s="22">
        <f ca="1">IFERROR(__xludf.DUMMYFUNCTION("""COMPUTED_VALUE"""),500000)</f>
        <v>500000</v>
      </c>
      <c r="D4570" s="22">
        <f ca="1">IFERROR(__xludf.DUMMYFUNCTION("""COMPUTED_VALUE"""),0)</f>
        <v>0</v>
      </c>
      <c r="E4570" s="22">
        <f ca="1">IFERROR(__xludf.DUMMYFUNCTION("""COMPUTED_VALUE"""),500000)</f>
        <v>500000</v>
      </c>
      <c r="F4570" s="22">
        <f ca="1">IFERROR(__xludf.DUMMYFUNCTION("""COMPUTED_VALUE"""),500000)</f>
        <v>500000</v>
      </c>
      <c r="G4570" s="22">
        <f ca="1">IFERROR(__xludf.DUMMYFUNCTION("""COMPUTED_VALUE"""),0)</f>
        <v>0</v>
      </c>
      <c r="H4570" s="7">
        <f ca="1">IFERROR(__xludf.DUMMYFUNCTION("""COMPUTED_VALUE"""),500000)</f>
        <v>500000</v>
      </c>
    </row>
    <row r="4571" spans="1:8" ht="13" x14ac:dyDescent="0.15">
      <c r="A4571" s="5" t="str">
        <f ca="1">IFERROR(__xludf.DUMMYFUNCTION("""COMPUTED_VALUE"""),"77729")</f>
        <v>77729</v>
      </c>
      <c r="B4571" s="51">
        <f ca="1">IFERROR(__xludf.DUMMYFUNCTION("""COMPUTED_VALUE"""),44610)</f>
        <v>44610</v>
      </c>
      <c r="C4571" s="22">
        <f ca="1">IFERROR(__xludf.DUMMYFUNCTION("""COMPUTED_VALUE"""),500000)</f>
        <v>500000</v>
      </c>
      <c r="D4571" s="22">
        <f ca="1">IFERROR(__xludf.DUMMYFUNCTION("""COMPUTED_VALUE"""),0)</f>
        <v>0</v>
      </c>
      <c r="E4571" s="22">
        <f ca="1">IFERROR(__xludf.DUMMYFUNCTION("""COMPUTED_VALUE"""),500000)</f>
        <v>500000</v>
      </c>
      <c r="F4571" s="22">
        <f ca="1">IFERROR(__xludf.DUMMYFUNCTION("""COMPUTED_VALUE"""),500000)</f>
        <v>500000</v>
      </c>
      <c r="G4571" s="22">
        <f ca="1">IFERROR(__xludf.DUMMYFUNCTION("""COMPUTED_VALUE"""),0)</f>
        <v>0</v>
      </c>
      <c r="H4571" s="7">
        <f ca="1">IFERROR(__xludf.DUMMYFUNCTION("""COMPUTED_VALUE"""),500000)</f>
        <v>500000</v>
      </c>
    </row>
    <row r="4572" spans="1:8" ht="13" x14ac:dyDescent="0.15">
      <c r="A4572" s="5" t="str">
        <f ca="1">IFERROR(__xludf.DUMMYFUNCTION("""COMPUTED_VALUE"""),"77729")</f>
        <v>77729</v>
      </c>
      <c r="B4572" s="51">
        <f ca="1">IFERROR(__xludf.DUMMYFUNCTION("""COMPUTED_VALUE"""),44611)</f>
        <v>44611</v>
      </c>
      <c r="C4572" s="22">
        <f ca="1">IFERROR(__xludf.DUMMYFUNCTION("""COMPUTED_VALUE"""),500000)</f>
        <v>500000</v>
      </c>
      <c r="D4572" s="22">
        <f ca="1">IFERROR(__xludf.DUMMYFUNCTION("""COMPUTED_VALUE"""),0)</f>
        <v>0</v>
      </c>
      <c r="E4572" s="22">
        <f ca="1">IFERROR(__xludf.DUMMYFUNCTION("""COMPUTED_VALUE"""),500000)</f>
        <v>500000</v>
      </c>
      <c r="F4572" s="22">
        <f ca="1">IFERROR(__xludf.DUMMYFUNCTION("""COMPUTED_VALUE"""),500000)</f>
        <v>500000</v>
      </c>
      <c r="G4572" s="22">
        <f ca="1">IFERROR(__xludf.DUMMYFUNCTION("""COMPUTED_VALUE"""),0)</f>
        <v>0</v>
      </c>
      <c r="H4572" s="7">
        <f ca="1">IFERROR(__xludf.DUMMYFUNCTION("""COMPUTED_VALUE"""),500000)</f>
        <v>500000</v>
      </c>
    </row>
    <row r="4573" spans="1:8" ht="13" x14ac:dyDescent="0.15">
      <c r="A4573" s="5" t="str">
        <f ca="1">IFERROR(__xludf.DUMMYFUNCTION("""COMPUTED_VALUE"""),"77729")</f>
        <v>77729</v>
      </c>
      <c r="B4573" s="51">
        <f ca="1">IFERROR(__xludf.DUMMYFUNCTION("""COMPUTED_VALUE"""),44612)</f>
        <v>44612</v>
      </c>
      <c r="C4573" s="22">
        <f ca="1">IFERROR(__xludf.DUMMYFUNCTION("""COMPUTED_VALUE"""),500000)</f>
        <v>500000</v>
      </c>
      <c r="D4573" s="22">
        <f ca="1">IFERROR(__xludf.DUMMYFUNCTION("""COMPUTED_VALUE"""),0)</f>
        <v>0</v>
      </c>
      <c r="E4573" s="22">
        <f ca="1">IFERROR(__xludf.DUMMYFUNCTION("""COMPUTED_VALUE"""),500000)</f>
        <v>500000</v>
      </c>
      <c r="F4573" s="22">
        <f ca="1">IFERROR(__xludf.DUMMYFUNCTION("""COMPUTED_VALUE"""),500000)</f>
        <v>500000</v>
      </c>
      <c r="G4573" s="22">
        <f ca="1">IFERROR(__xludf.DUMMYFUNCTION("""COMPUTED_VALUE"""),0)</f>
        <v>0</v>
      </c>
      <c r="H4573" s="7">
        <f ca="1">IFERROR(__xludf.DUMMYFUNCTION("""COMPUTED_VALUE"""),500000)</f>
        <v>500000</v>
      </c>
    </row>
    <row r="4574" spans="1:8" ht="13" x14ac:dyDescent="0.15">
      <c r="A4574" s="5" t="str">
        <f ca="1">IFERROR(__xludf.DUMMYFUNCTION("""COMPUTED_VALUE"""),"77729")</f>
        <v>77729</v>
      </c>
      <c r="B4574" s="51">
        <f ca="1">IFERROR(__xludf.DUMMYFUNCTION("""COMPUTED_VALUE"""),44613)</f>
        <v>44613</v>
      </c>
      <c r="C4574" s="22">
        <f ca="1">IFERROR(__xludf.DUMMYFUNCTION("""COMPUTED_VALUE"""),354167.8)</f>
        <v>354167.8</v>
      </c>
      <c r="D4574" s="22">
        <f ca="1">IFERROR(__xludf.DUMMYFUNCTION("""COMPUTED_VALUE"""),145832.2)</f>
        <v>145832.20000000001</v>
      </c>
      <c r="E4574" s="22">
        <f ca="1">IFERROR(__xludf.DUMMYFUNCTION("""COMPUTED_VALUE"""),500000)</f>
        <v>500000</v>
      </c>
      <c r="F4574" s="22">
        <f ca="1">IFERROR(__xludf.DUMMYFUNCTION("""COMPUTED_VALUE"""),354167.8)</f>
        <v>354167.8</v>
      </c>
      <c r="G4574" s="22">
        <f ca="1">IFERROR(__xludf.DUMMYFUNCTION("""COMPUTED_VALUE"""),0)</f>
        <v>0</v>
      </c>
      <c r="H4574" s="7">
        <f ca="1">IFERROR(__xludf.DUMMYFUNCTION("""COMPUTED_VALUE"""),500000)</f>
        <v>500000</v>
      </c>
    </row>
    <row r="4575" spans="1:8" ht="13" x14ac:dyDescent="0.15">
      <c r="A4575" s="5" t="str">
        <f ca="1">IFERROR(__xludf.DUMMYFUNCTION("""COMPUTED_VALUE"""),"77729")</f>
        <v>77729</v>
      </c>
      <c r="B4575" s="51">
        <f ca="1">IFERROR(__xludf.DUMMYFUNCTION("""COMPUTED_VALUE"""),44614)</f>
        <v>44614</v>
      </c>
      <c r="C4575" s="22">
        <f ca="1">IFERROR(__xludf.DUMMYFUNCTION("""COMPUTED_VALUE"""),354167.8)</f>
        <v>354167.8</v>
      </c>
      <c r="D4575" s="22">
        <f ca="1">IFERROR(__xludf.DUMMYFUNCTION("""COMPUTED_VALUE"""),145701.4)</f>
        <v>145701.4</v>
      </c>
      <c r="E4575" s="22">
        <f ca="1">IFERROR(__xludf.DUMMYFUNCTION("""COMPUTED_VALUE"""),499869.2)</f>
        <v>499869.2</v>
      </c>
      <c r="F4575" s="22">
        <f ca="1">IFERROR(__xludf.DUMMYFUNCTION("""COMPUTED_VALUE"""),354167.8)</f>
        <v>354167.8</v>
      </c>
      <c r="G4575" s="22">
        <f ca="1">IFERROR(__xludf.DUMMYFUNCTION("""COMPUTED_VALUE"""),0)</f>
        <v>0</v>
      </c>
      <c r="H4575" s="7">
        <f ca="1">IFERROR(__xludf.DUMMYFUNCTION("""COMPUTED_VALUE"""),497385.2)</f>
        <v>497385.2</v>
      </c>
    </row>
    <row r="4576" spans="1:8" ht="13" x14ac:dyDescent="0.15">
      <c r="A4576" s="5" t="str">
        <f ca="1">IFERROR(__xludf.DUMMYFUNCTION("""COMPUTED_VALUE"""),"77729")</f>
        <v>77729</v>
      </c>
      <c r="B4576" s="51">
        <f ca="1">IFERROR(__xludf.DUMMYFUNCTION("""COMPUTED_VALUE"""),44615)</f>
        <v>44615</v>
      </c>
      <c r="C4576" s="22">
        <f ca="1">IFERROR(__xludf.DUMMYFUNCTION("""COMPUTED_VALUE"""),354167.8)</f>
        <v>354167.8</v>
      </c>
      <c r="D4576" s="22">
        <f ca="1">IFERROR(__xludf.DUMMYFUNCTION("""COMPUTED_VALUE"""),145745)</f>
        <v>145745</v>
      </c>
      <c r="E4576" s="22">
        <f ca="1">IFERROR(__xludf.DUMMYFUNCTION("""COMPUTED_VALUE"""),499912.8)</f>
        <v>499912.8</v>
      </c>
      <c r="F4576" s="22">
        <f ca="1">IFERROR(__xludf.DUMMYFUNCTION("""COMPUTED_VALUE"""),354167.8)</f>
        <v>354167.8</v>
      </c>
      <c r="G4576" s="22">
        <f ca="1">IFERROR(__xludf.DUMMYFUNCTION("""COMPUTED_VALUE"""),0)</f>
        <v>0</v>
      </c>
      <c r="H4576" s="7">
        <f ca="1">IFERROR(__xludf.DUMMYFUNCTION("""COMPUTED_VALUE"""),498859.8)</f>
        <v>498859.8</v>
      </c>
    </row>
    <row r="4577" spans="1:8" ht="13" x14ac:dyDescent="0.15">
      <c r="A4577" s="5" t="str">
        <f ca="1">IFERROR(__xludf.DUMMYFUNCTION("""COMPUTED_VALUE"""),"77729")</f>
        <v>77729</v>
      </c>
      <c r="B4577" s="51">
        <f ca="1">IFERROR(__xludf.DUMMYFUNCTION("""COMPUTED_VALUE"""),44616)</f>
        <v>44616</v>
      </c>
      <c r="C4577" s="22">
        <f ca="1">IFERROR(__xludf.DUMMYFUNCTION("""COMPUTED_VALUE"""),354167.8)</f>
        <v>354167.8</v>
      </c>
      <c r="D4577" s="22">
        <f ca="1">IFERROR(__xludf.DUMMYFUNCTION("""COMPUTED_VALUE"""),141995.4)</f>
        <v>141995.4</v>
      </c>
      <c r="E4577" s="22">
        <f ca="1">IFERROR(__xludf.DUMMYFUNCTION("""COMPUTED_VALUE"""),496163.2)</f>
        <v>496163.2</v>
      </c>
      <c r="F4577" s="22">
        <f ca="1">IFERROR(__xludf.DUMMYFUNCTION("""COMPUTED_VALUE"""),354167.8)</f>
        <v>354167.8</v>
      </c>
      <c r="G4577" s="22">
        <f ca="1">IFERROR(__xludf.DUMMYFUNCTION("""COMPUTED_VALUE"""),0)</f>
        <v>0</v>
      </c>
      <c r="H4577" s="7">
        <f ca="1">IFERROR(__xludf.DUMMYFUNCTION("""COMPUTED_VALUE"""),493382.2)</f>
        <v>493382.2</v>
      </c>
    </row>
    <row r="4578" spans="1:8" ht="13" x14ac:dyDescent="0.15">
      <c r="A4578" s="5" t="str">
        <f ca="1">IFERROR(__xludf.DUMMYFUNCTION("""COMPUTED_VALUE"""),"77729")</f>
        <v>77729</v>
      </c>
      <c r="B4578" s="51">
        <f ca="1">IFERROR(__xludf.DUMMYFUNCTION("""COMPUTED_VALUE"""),44617)</f>
        <v>44617</v>
      </c>
      <c r="C4578" s="22">
        <f ca="1">IFERROR(__xludf.DUMMYFUNCTION("""COMPUTED_VALUE"""),354167.8)</f>
        <v>354167.8</v>
      </c>
      <c r="D4578" s="22">
        <f ca="1">IFERROR(__xludf.DUMMYFUNCTION("""COMPUTED_VALUE"""),141167)</f>
        <v>141167</v>
      </c>
      <c r="E4578" s="22">
        <f ca="1">IFERROR(__xludf.DUMMYFUNCTION("""COMPUTED_VALUE"""),495334.8)</f>
        <v>495334.8</v>
      </c>
      <c r="F4578" s="22">
        <f ca="1">IFERROR(__xludf.DUMMYFUNCTION("""COMPUTED_VALUE"""),354167.8)</f>
        <v>354167.8</v>
      </c>
      <c r="G4578" s="22">
        <f ca="1">IFERROR(__xludf.DUMMYFUNCTION("""COMPUTED_VALUE"""),0)</f>
        <v>0</v>
      </c>
      <c r="H4578" s="7">
        <f ca="1">IFERROR(__xludf.DUMMYFUNCTION("""COMPUTED_VALUE"""),492553.8)</f>
        <v>492553.8</v>
      </c>
    </row>
    <row r="4579" spans="1:8" ht="13" x14ac:dyDescent="0.15">
      <c r="A4579" s="5" t="str">
        <f ca="1">IFERROR(__xludf.DUMMYFUNCTION("""COMPUTED_VALUE"""),"77729")</f>
        <v>77729</v>
      </c>
      <c r="B4579" s="51">
        <f ca="1">IFERROR(__xludf.DUMMYFUNCTION("""COMPUTED_VALUE"""),44618)</f>
        <v>44618</v>
      </c>
      <c r="C4579" s="22">
        <f ca="1">IFERROR(__xludf.DUMMYFUNCTION("""COMPUTED_VALUE"""),354167.8)</f>
        <v>354167.8</v>
      </c>
      <c r="D4579" s="22">
        <f ca="1">IFERROR(__xludf.DUMMYFUNCTION("""COMPUTED_VALUE"""),141167)</f>
        <v>141167</v>
      </c>
      <c r="E4579" s="22">
        <f ca="1">IFERROR(__xludf.DUMMYFUNCTION("""COMPUTED_VALUE"""),495334.8)</f>
        <v>495334.8</v>
      </c>
      <c r="F4579" s="22">
        <f ca="1">IFERROR(__xludf.DUMMYFUNCTION("""COMPUTED_VALUE"""),354167.8)</f>
        <v>354167.8</v>
      </c>
      <c r="G4579" s="22">
        <f ca="1">IFERROR(__xludf.DUMMYFUNCTION("""COMPUTED_VALUE"""),0)</f>
        <v>0</v>
      </c>
      <c r="H4579" s="7">
        <f ca="1">IFERROR(__xludf.DUMMYFUNCTION("""COMPUTED_VALUE"""),492553.8)</f>
        <v>492553.8</v>
      </c>
    </row>
    <row r="4580" spans="1:8" ht="13" x14ac:dyDescent="0.15">
      <c r="A4580" s="5" t="str">
        <f ca="1">IFERROR(__xludf.DUMMYFUNCTION("""COMPUTED_VALUE"""),"77729")</f>
        <v>77729</v>
      </c>
      <c r="B4580" s="51">
        <f ca="1">IFERROR(__xludf.DUMMYFUNCTION("""COMPUTED_VALUE"""),44619)</f>
        <v>44619</v>
      </c>
      <c r="C4580" s="22">
        <f ca="1">IFERROR(__xludf.DUMMYFUNCTION("""COMPUTED_VALUE"""),354167.8)</f>
        <v>354167.8</v>
      </c>
      <c r="D4580" s="22">
        <f ca="1">IFERROR(__xludf.DUMMYFUNCTION("""COMPUTED_VALUE"""),141167)</f>
        <v>141167</v>
      </c>
      <c r="E4580" s="22">
        <f ca="1">IFERROR(__xludf.DUMMYFUNCTION("""COMPUTED_VALUE"""),495334.8)</f>
        <v>495334.8</v>
      </c>
      <c r="F4580" s="22">
        <f ca="1">IFERROR(__xludf.DUMMYFUNCTION("""COMPUTED_VALUE"""),354167.8)</f>
        <v>354167.8</v>
      </c>
      <c r="G4580" s="22">
        <f ca="1">IFERROR(__xludf.DUMMYFUNCTION("""COMPUTED_VALUE"""),0)</f>
        <v>0</v>
      </c>
      <c r="H4580" s="7">
        <f ca="1">IFERROR(__xludf.DUMMYFUNCTION("""COMPUTED_VALUE"""),492553.8)</f>
        <v>492553.8</v>
      </c>
    </row>
    <row r="4581" spans="1:8" ht="13" x14ac:dyDescent="0.15">
      <c r="A4581" s="5" t="str">
        <f ca="1">IFERROR(__xludf.DUMMYFUNCTION("""COMPUTED_VALUE"""),"77729")</f>
        <v>77729</v>
      </c>
      <c r="B4581" s="51">
        <f ca="1">IFERROR(__xludf.DUMMYFUNCTION("""COMPUTED_VALUE"""),44620)</f>
        <v>44620</v>
      </c>
      <c r="C4581" s="22">
        <f ca="1">IFERROR(__xludf.DUMMYFUNCTION("""COMPUTED_VALUE"""),354167.8)</f>
        <v>354167.8</v>
      </c>
      <c r="D4581" s="22">
        <f ca="1">IFERROR(__xludf.DUMMYFUNCTION("""COMPUTED_VALUE"""),140556.599999999)</f>
        <v>140556.59999999899</v>
      </c>
      <c r="E4581" s="22">
        <f ca="1">IFERROR(__xludf.DUMMYFUNCTION("""COMPUTED_VALUE"""),494724.399999999)</f>
        <v>494724.39999999898</v>
      </c>
      <c r="F4581" s="22">
        <f ca="1">IFERROR(__xludf.DUMMYFUNCTION("""COMPUTED_VALUE"""),354167.8)</f>
        <v>354167.8</v>
      </c>
      <c r="G4581" s="22">
        <f ca="1">IFERROR(__xludf.DUMMYFUNCTION("""COMPUTED_VALUE"""),0)</f>
        <v>0</v>
      </c>
      <c r="H4581" s="7">
        <f ca="1">IFERROR(__xludf.DUMMYFUNCTION("""COMPUTED_VALUE"""),492483.399999999)</f>
        <v>492483.39999999898</v>
      </c>
    </row>
    <row r="4582" spans="1:8" ht="13" x14ac:dyDescent="0.15">
      <c r="A4582" s="5" t="str">
        <f ca="1">IFERROR(__xludf.DUMMYFUNCTION("""COMPUTED_VALUE"""),"77729")</f>
        <v>77729</v>
      </c>
      <c r="B4582" s="51">
        <f ca="1">IFERROR(__xludf.DUMMYFUNCTION("""COMPUTED_VALUE"""),44621)</f>
        <v>44621</v>
      </c>
      <c r="C4582" s="22">
        <f ca="1">IFERROR(__xludf.DUMMYFUNCTION("""COMPUTED_VALUE"""),354167.8)</f>
        <v>354167.8</v>
      </c>
      <c r="D4582" s="22">
        <f ca="1">IFERROR(__xludf.DUMMYFUNCTION("""COMPUTED_VALUE"""),142693)</f>
        <v>142693</v>
      </c>
      <c r="E4582" s="22">
        <f ca="1">IFERROR(__xludf.DUMMYFUNCTION("""COMPUTED_VALUE"""),496860.8)</f>
        <v>496860.8</v>
      </c>
      <c r="F4582" s="22">
        <f ca="1">IFERROR(__xludf.DUMMYFUNCTION("""COMPUTED_VALUE"""),354167.8)</f>
        <v>354167.8</v>
      </c>
      <c r="G4582" s="22">
        <f ca="1">IFERROR(__xludf.DUMMYFUNCTION("""COMPUTED_VALUE"""),0)</f>
        <v>0</v>
      </c>
      <c r="H4582" s="7">
        <f ca="1">IFERROR(__xludf.DUMMYFUNCTION("""COMPUTED_VALUE"""),494943.8)</f>
        <v>494943.8</v>
      </c>
    </row>
    <row r="4583" spans="1:8" ht="13" x14ac:dyDescent="0.15">
      <c r="A4583" s="5" t="str">
        <f ca="1">IFERROR(__xludf.DUMMYFUNCTION("""COMPUTED_VALUE"""),"77729")</f>
        <v>77729</v>
      </c>
      <c r="B4583" s="51">
        <f ca="1">IFERROR(__xludf.DUMMYFUNCTION("""COMPUTED_VALUE"""),44622)</f>
        <v>44622</v>
      </c>
      <c r="C4583" s="22">
        <f ca="1">IFERROR(__xludf.DUMMYFUNCTION("""COMPUTED_VALUE"""),354167.8)</f>
        <v>354167.8</v>
      </c>
      <c r="D4583" s="22">
        <f ca="1">IFERROR(__xludf.DUMMYFUNCTION("""COMPUTED_VALUE"""),141036.2)</f>
        <v>141036.20000000001</v>
      </c>
      <c r="E4583" s="22">
        <f ca="1">IFERROR(__xludf.DUMMYFUNCTION("""COMPUTED_VALUE"""),495204)</f>
        <v>495204</v>
      </c>
      <c r="F4583" s="22">
        <f ca="1">IFERROR(__xludf.DUMMYFUNCTION("""COMPUTED_VALUE"""),354167.8)</f>
        <v>354167.8</v>
      </c>
      <c r="G4583" s="22">
        <f ca="1">IFERROR(__xludf.DUMMYFUNCTION("""COMPUTED_VALUE"""),0)</f>
        <v>0</v>
      </c>
      <c r="H4583" s="7">
        <f ca="1">IFERROR(__xludf.DUMMYFUNCTION("""COMPUTED_VALUE"""),494097)</f>
        <v>494097</v>
      </c>
    </row>
    <row r="4584" spans="1:8" ht="13" x14ac:dyDescent="0.15">
      <c r="A4584" s="5" t="str">
        <f ca="1">IFERROR(__xludf.DUMMYFUNCTION("""COMPUTED_VALUE"""),"77729")</f>
        <v>77729</v>
      </c>
      <c r="B4584" s="51">
        <f ca="1">IFERROR(__xludf.DUMMYFUNCTION("""COMPUTED_VALUE"""),44623)</f>
        <v>44623</v>
      </c>
      <c r="C4584" s="22">
        <f ca="1">IFERROR(__xludf.DUMMYFUNCTION("""COMPUTED_VALUE"""),354167.8)</f>
        <v>354167.8</v>
      </c>
      <c r="D4584" s="22">
        <f ca="1">IFERROR(__xludf.DUMMYFUNCTION("""COMPUTED_VALUE"""),140033.4)</f>
        <v>140033.4</v>
      </c>
      <c r="E4584" s="22">
        <f ca="1">IFERROR(__xludf.DUMMYFUNCTION("""COMPUTED_VALUE"""),494201.2)</f>
        <v>494201.2</v>
      </c>
      <c r="F4584" s="22">
        <f ca="1">IFERROR(__xludf.DUMMYFUNCTION("""COMPUTED_VALUE"""),354167.8)</f>
        <v>354167.8</v>
      </c>
      <c r="G4584" s="22">
        <f ca="1">IFERROR(__xludf.DUMMYFUNCTION("""COMPUTED_VALUE"""),0)</f>
        <v>0</v>
      </c>
      <c r="H4584" s="7">
        <f ca="1">IFERROR(__xludf.DUMMYFUNCTION("""COMPUTED_VALUE"""),492500.2)</f>
        <v>492500.2</v>
      </c>
    </row>
    <row r="4585" spans="1:8" ht="13" x14ac:dyDescent="0.15">
      <c r="A4585" s="5" t="str">
        <f ca="1">IFERROR(__xludf.DUMMYFUNCTION("""COMPUTED_VALUE"""),"77729")</f>
        <v>77729</v>
      </c>
      <c r="B4585" s="51">
        <f ca="1">IFERROR(__xludf.DUMMYFUNCTION("""COMPUTED_VALUE"""),44624)</f>
        <v>44624</v>
      </c>
      <c r="C4585" s="22">
        <f ca="1">IFERROR(__xludf.DUMMYFUNCTION("""COMPUTED_VALUE"""),354167.8)</f>
        <v>354167.8</v>
      </c>
      <c r="D4585" s="22">
        <f ca="1">IFERROR(__xludf.DUMMYFUNCTION("""COMPUTED_VALUE"""),136632.599999999)</f>
        <v>136632.59999999899</v>
      </c>
      <c r="E4585" s="22">
        <f ca="1">IFERROR(__xludf.DUMMYFUNCTION("""COMPUTED_VALUE"""),490800.399999999)</f>
        <v>490800.39999999898</v>
      </c>
      <c r="F4585" s="22">
        <f ca="1">IFERROR(__xludf.DUMMYFUNCTION("""COMPUTED_VALUE"""),354167.8)</f>
        <v>354167.8</v>
      </c>
      <c r="G4585" s="22">
        <f ca="1">IFERROR(__xludf.DUMMYFUNCTION("""COMPUTED_VALUE"""),0)</f>
        <v>0</v>
      </c>
      <c r="H4585" s="7">
        <f ca="1">IFERROR(__xludf.DUMMYFUNCTION("""COMPUTED_VALUE"""),486561.399999999)</f>
        <v>486561.39999999898</v>
      </c>
    </row>
    <row r="4586" spans="1:8" ht="13" x14ac:dyDescent="0.15">
      <c r="A4586" s="5" t="str">
        <f ca="1">IFERROR(__xludf.DUMMYFUNCTION("""COMPUTED_VALUE"""),"77729")</f>
        <v>77729</v>
      </c>
      <c r="B4586" s="51">
        <f ca="1">IFERROR(__xludf.DUMMYFUNCTION("""COMPUTED_VALUE"""),44625)</f>
        <v>44625</v>
      </c>
      <c r="C4586" s="22">
        <f ca="1">IFERROR(__xludf.DUMMYFUNCTION("""COMPUTED_VALUE"""),354167.8)</f>
        <v>354167.8</v>
      </c>
      <c r="D4586" s="22">
        <f ca="1">IFERROR(__xludf.DUMMYFUNCTION("""COMPUTED_VALUE"""),136632.599999999)</f>
        <v>136632.59999999899</v>
      </c>
      <c r="E4586" s="22">
        <f ca="1">IFERROR(__xludf.DUMMYFUNCTION("""COMPUTED_VALUE"""),490800.399999999)</f>
        <v>490800.39999999898</v>
      </c>
      <c r="F4586" s="22">
        <f ca="1">IFERROR(__xludf.DUMMYFUNCTION("""COMPUTED_VALUE"""),354167.8)</f>
        <v>354167.8</v>
      </c>
      <c r="G4586" s="22">
        <f ca="1">IFERROR(__xludf.DUMMYFUNCTION("""COMPUTED_VALUE"""),0)</f>
        <v>0</v>
      </c>
      <c r="H4586" s="7">
        <f ca="1">IFERROR(__xludf.DUMMYFUNCTION("""COMPUTED_VALUE"""),486561.399999999)</f>
        <v>486561.39999999898</v>
      </c>
    </row>
    <row r="4587" spans="1:8" ht="13" x14ac:dyDescent="0.15">
      <c r="A4587" s="5" t="str">
        <f ca="1">IFERROR(__xludf.DUMMYFUNCTION("""COMPUTED_VALUE"""),"77729")</f>
        <v>77729</v>
      </c>
      <c r="B4587" s="51">
        <f ca="1">IFERROR(__xludf.DUMMYFUNCTION("""COMPUTED_VALUE"""),44626)</f>
        <v>44626</v>
      </c>
      <c r="C4587" s="22">
        <f ca="1">IFERROR(__xludf.DUMMYFUNCTION("""COMPUTED_VALUE"""),354167.8)</f>
        <v>354167.8</v>
      </c>
      <c r="D4587" s="22">
        <f ca="1">IFERROR(__xludf.DUMMYFUNCTION("""COMPUTED_VALUE"""),136632.599999999)</f>
        <v>136632.59999999899</v>
      </c>
      <c r="E4587" s="22">
        <f ca="1">IFERROR(__xludf.DUMMYFUNCTION("""COMPUTED_VALUE"""),490800.399999999)</f>
        <v>490800.39999999898</v>
      </c>
      <c r="F4587" s="22">
        <f ca="1">IFERROR(__xludf.DUMMYFUNCTION("""COMPUTED_VALUE"""),354167.8)</f>
        <v>354167.8</v>
      </c>
      <c r="G4587" s="22">
        <f ca="1">IFERROR(__xludf.DUMMYFUNCTION("""COMPUTED_VALUE"""),0)</f>
        <v>0</v>
      </c>
      <c r="H4587" s="7">
        <f ca="1">IFERROR(__xludf.DUMMYFUNCTION("""COMPUTED_VALUE"""),486561.399999999)</f>
        <v>486561.39999999898</v>
      </c>
    </row>
    <row r="4588" spans="1:8" ht="13" x14ac:dyDescent="0.15">
      <c r="A4588" s="5" t="str">
        <f ca="1">IFERROR(__xludf.DUMMYFUNCTION("""COMPUTED_VALUE"""),"77729")</f>
        <v>77729</v>
      </c>
      <c r="B4588" s="51">
        <f ca="1">IFERROR(__xludf.DUMMYFUNCTION("""COMPUTED_VALUE"""),44627)</f>
        <v>44627</v>
      </c>
      <c r="C4588" s="22">
        <f ca="1">IFERROR(__xludf.DUMMYFUNCTION("""COMPUTED_VALUE"""),213307.8)</f>
        <v>213307.8</v>
      </c>
      <c r="D4588" s="22">
        <f ca="1">IFERROR(__xludf.DUMMYFUNCTION("""COMPUTED_VALUE"""),264918)</f>
        <v>264918</v>
      </c>
      <c r="E4588" s="22">
        <f ca="1">IFERROR(__xludf.DUMMYFUNCTION("""COMPUTED_VALUE"""),478225.8)</f>
        <v>478225.8</v>
      </c>
      <c r="F4588" s="22">
        <f ca="1">IFERROR(__xludf.DUMMYFUNCTION("""COMPUTED_VALUE"""),213307.8)</f>
        <v>213307.8</v>
      </c>
      <c r="G4588" s="22">
        <f ca="1">IFERROR(__xludf.DUMMYFUNCTION("""COMPUTED_VALUE"""),0)</f>
        <v>0</v>
      </c>
      <c r="H4588" s="7">
        <f ca="1">IFERROR(__xludf.DUMMYFUNCTION("""COMPUTED_VALUE"""),478225.8)</f>
        <v>478225.8</v>
      </c>
    </row>
    <row r="4589" spans="1:8" ht="13" x14ac:dyDescent="0.15">
      <c r="A4589" s="5" t="str">
        <f ca="1">IFERROR(__xludf.DUMMYFUNCTION("""COMPUTED_VALUE"""),"77729")</f>
        <v>77729</v>
      </c>
      <c r="B4589" s="51">
        <f ca="1">IFERROR(__xludf.DUMMYFUNCTION("""COMPUTED_VALUE"""),44628)</f>
        <v>44628</v>
      </c>
      <c r="C4589" s="22">
        <f ca="1">IFERROR(__xludf.DUMMYFUNCTION("""COMPUTED_VALUE"""),213307.8)</f>
        <v>213307.8</v>
      </c>
      <c r="D4589" s="22">
        <f ca="1">IFERROR(__xludf.DUMMYFUNCTION("""COMPUTED_VALUE"""),262482.6)</f>
        <v>262482.59999999998</v>
      </c>
      <c r="E4589" s="22">
        <f ca="1">IFERROR(__xludf.DUMMYFUNCTION("""COMPUTED_VALUE"""),475790.399999999)</f>
        <v>475790.39999999898</v>
      </c>
      <c r="F4589" s="22">
        <f ca="1">IFERROR(__xludf.DUMMYFUNCTION("""COMPUTED_VALUE"""),213307.8)</f>
        <v>213307.8</v>
      </c>
      <c r="G4589" s="22">
        <f ca="1">IFERROR(__xludf.DUMMYFUNCTION("""COMPUTED_VALUE"""),0)</f>
        <v>0</v>
      </c>
      <c r="H4589" s="7">
        <f ca="1">IFERROR(__xludf.DUMMYFUNCTION("""COMPUTED_VALUE"""),475580.399999999)</f>
        <v>475580.39999999898</v>
      </c>
    </row>
    <row r="4590" spans="1:8" ht="13" x14ac:dyDescent="0.15">
      <c r="A4590" s="5" t="str">
        <f ca="1">IFERROR(__xludf.DUMMYFUNCTION("""COMPUTED_VALUE"""),"77729")</f>
        <v>77729</v>
      </c>
      <c r="B4590" s="51">
        <f ca="1">IFERROR(__xludf.DUMMYFUNCTION("""COMPUTED_VALUE"""),44629)</f>
        <v>44629</v>
      </c>
      <c r="C4590" s="22">
        <f ca="1">IFERROR(__xludf.DUMMYFUNCTION("""COMPUTED_VALUE"""),213307.8)</f>
        <v>213307.8</v>
      </c>
      <c r="D4590" s="22">
        <f ca="1">IFERROR(__xludf.DUMMYFUNCTION("""COMPUTED_VALUE"""),264041.4)</f>
        <v>264041.40000000002</v>
      </c>
      <c r="E4590" s="22">
        <f ca="1">IFERROR(__xludf.DUMMYFUNCTION("""COMPUTED_VALUE"""),477349.2)</f>
        <v>477349.2</v>
      </c>
      <c r="F4590" s="22">
        <f ca="1">IFERROR(__xludf.DUMMYFUNCTION("""COMPUTED_VALUE"""),213307.8)</f>
        <v>213307.8</v>
      </c>
      <c r="G4590" s="22">
        <f ca="1">IFERROR(__xludf.DUMMYFUNCTION("""COMPUTED_VALUE"""),0)</f>
        <v>0</v>
      </c>
      <c r="H4590" s="7">
        <f ca="1">IFERROR(__xludf.DUMMYFUNCTION("""COMPUTED_VALUE"""),478039.2)</f>
        <v>478039.2</v>
      </c>
    </row>
    <row r="4591" spans="1:8" ht="13" x14ac:dyDescent="0.15">
      <c r="A4591" s="5" t="str">
        <f ca="1">IFERROR(__xludf.DUMMYFUNCTION("""COMPUTED_VALUE"""),"77729")</f>
        <v>77729</v>
      </c>
      <c r="B4591" s="51">
        <f ca="1">IFERROR(__xludf.DUMMYFUNCTION("""COMPUTED_VALUE"""),44630)</f>
        <v>44630</v>
      </c>
      <c r="C4591" s="22">
        <f ca="1">IFERROR(__xludf.DUMMYFUNCTION("""COMPUTED_VALUE"""),213307.8)</f>
        <v>213307.8</v>
      </c>
      <c r="D4591" s="22">
        <f ca="1">IFERROR(__xludf.DUMMYFUNCTION("""COMPUTED_VALUE"""),262974)</f>
        <v>262974</v>
      </c>
      <c r="E4591" s="22">
        <f ca="1">IFERROR(__xludf.DUMMYFUNCTION("""COMPUTED_VALUE"""),476281.8)</f>
        <v>476281.8</v>
      </c>
      <c r="F4591" s="22">
        <f ca="1">IFERROR(__xludf.DUMMYFUNCTION("""COMPUTED_VALUE"""),213307.8)</f>
        <v>213307.8</v>
      </c>
      <c r="G4591" s="22">
        <f ca="1">IFERROR(__xludf.DUMMYFUNCTION("""COMPUTED_VALUE"""),0)</f>
        <v>0</v>
      </c>
      <c r="H4591" s="7">
        <f ca="1">IFERROR(__xludf.DUMMYFUNCTION("""COMPUTED_VALUE"""),475681.8)</f>
        <v>475681.8</v>
      </c>
    </row>
    <row r="4592" spans="1:8" ht="13" x14ac:dyDescent="0.15">
      <c r="A4592" s="5" t="str">
        <f ca="1">IFERROR(__xludf.DUMMYFUNCTION("""COMPUTED_VALUE"""),"77729")</f>
        <v>77729</v>
      </c>
      <c r="B4592" s="51">
        <f ca="1">IFERROR(__xludf.DUMMYFUNCTION("""COMPUTED_VALUE"""),44631)</f>
        <v>44631</v>
      </c>
      <c r="C4592" s="22">
        <f ca="1">IFERROR(__xludf.DUMMYFUNCTION("""COMPUTED_VALUE"""),213307.8)</f>
        <v>213307.8</v>
      </c>
      <c r="D4592" s="22">
        <f ca="1">IFERROR(__xludf.DUMMYFUNCTION("""COMPUTED_VALUE"""),252548.4)</f>
        <v>252548.4</v>
      </c>
      <c r="E4592" s="22">
        <f ca="1">IFERROR(__xludf.DUMMYFUNCTION("""COMPUTED_VALUE"""),465856.2)</f>
        <v>465856.2</v>
      </c>
      <c r="F4592" s="22">
        <f ca="1">IFERROR(__xludf.DUMMYFUNCTION("""COMPUTED_VALUE"""),213307.8)</f>
        <v>213307.8</v>
      </c>
      <c r="G4592" s="22">
        <f ca="1">IFERROR(__xludf.DUMMYFUNCTION("""COMPUTED_VALUE"""),0)</f>
        <v>0</v>
      </c>
      <c r="H4592" s="7">
        <f ca="1">IFERROR(__xludf.DUMMYFUNCTION("""COMPUTED_VALUE"""),462616.199999999)</f>
        <v>462616.19999999902</v>
      </c>
    </row>
    <row r="4593" spans="1:8" ht="13" x14ac:dyDescent="0.15">
      <c r="A4593" s="5" t="str">
        <f ca="1">IFERROR(__xludf.DUMMYFUNCTION("""COMPUTED_VALUE"""),"77729")</f>
        <v>77729</v>
      </c>
      <c r="B4593" s="51">
        <f ca="1">IFERROR(__xludf.DUMMYFUNCTION("""COMPUTED_VALUE"""),44632)</f>
        <v>44632</v>
      </c>
      <c r="C4593" s="22">
        <f ca="1">IFERROR(__xludf.DUMMYFUNCTION("""COMPUTED_VALUE"""),213307.8)</f>
        <v>213307.8</v>
      </c>
      <c r="D4593" s="22">
        <f ca="1">IFERROR(__xludf.DUMMYFUNCTION("""COMPUTED_VALUE"""),252548.4)</f>
        <v>252548.4</v>
      </c>
      <c r="E4593" s="22">
        <f ca="1">IFERROR(__xludf.DUMMYFUNCTION("""COMPUTED_VALUE"""),465856.2)</f>
        <v>465856.2</v>
      </c>
      <c r="F4593" s="22">
        <f ca="1">IFERROR(__xludf.DUMMYFUNCTION("""COMPUTED_VALUE"""),213307.8)</f>
        <v>213307.8</v>
      </c>
      <c r="G4593" s="22">
        <f ca="1">IFERROR(__xludf.DUMMYFUNCTION("""COMPUTED_VALUE"""),0)</f>
        <v>0</v>
      </c>
      <c r="H4593" s="7">
        <f ca="1">IFERROR(__xludf.DUMMYFUNCTION("""COMPUTED_VALUE"""),462616.199999999)</f>
        <v>462616.19999999902</v>
      </c>
    </row>
    <row r="4594" spans="1:8" ht="13" x14ac:dyDescent="0.15">
      <c r="A4594" s="5" t="str">
        <f ca="1">IFERROR(__xludf.DUMMYFUNCTION("""COMPUTED_VALUE"""),"77729")</f>
        <v>77729</v>
      </c>
      <c r="B4594" s="51">
        <f ca="1">IFERROR(__xludf.DUMMYFUNCTION("""COMPUTED_VALUE"""),44633)</f>
        <v>44633</v>
      </c>
      <c r="C4594" s="22">
        <f ca="1">IFERROR(__xludf.DUMMYFUNCTION("""COMPUTED_VALUE"""),213307.8)</f>
        <v>213307.8</v>
      </c>
      <c r="D4594" s="22">
        <f ca="1">IFERROR(__xludf.DUMMYFUNCTION("""COMPUTED_VALUE"""),252548.4)</f>
        <v>252548.4</v>
      </c>
      <c r="E4594" s="22">
        <f ca="1">IFERROR(__xludf.DUMMYFUNCTION("""COMPUTED_VALUE"""),465856.2)</f>
        <v>465856.2</v>
      </c>
      <c r="F4594" s="22">
        <f ca="1">IFERROR(__xludf.DUMMYFUNCTION("""COMPUTED_VALUE"""),213307.8)</f>
        <v>213307.8</v>
      </c>
      <c r="G4594" s="22">
        <f ca="1">IFERROR(__xludf.DUMMYFUNCTION("""COMPUTED_VALUE"""),0)</f>
        <v>0</v>
      </c>
      <c r="H4594" s="7">
        <f ca="1">IFERROR(__xludf.DUMMYFUNCTION("""COMPUTED_VALUE"""),462616.199999999)</f>
        <v>462616.19999999902</v>
      </c>
    </row>
    <row r="4595" spans="1:8" ht="13" x14ac:dyDescent="0.15">
      <c r="A4595" s="5" t="str">
        <f ca="1">IFERROR(__xludf.DUMMYFUNCTION("""COMPUTED_VALUE"""),"77729")</f>
        <v>77729</v>
      </c>
      <c r="B4595" s="51">
        <f ca="1">IFERROR(__xludf.DUMMYFUNCTION("""COMPUTED_VALUE"""),44634)</f>
        <v>44634</v>
      </c>
      <c r="C4595" s="22">
        <f ca="1">IFERROR(__xludf.DUMMYFUNCTION("""COMPUTED_VALUE"""),213307.8)</f>
        <v>213307.8</v>
      </c>
      <c r="D4595" s="22">
        <f ca="1">IFERROR(__xludf.DUMMYFUNCTION("""COMPUTED_VALUE"""),229544.4)</f>
        <v>229544.4</v>
      </c>
      <c r="E4595" s="22">
        <f ca="1">IFERROR(__xludf.DUMMYFUNCTION("""COMPUTED_VALUE"""),442852.2)</f>
        <v>442852.2</v>
      </c>
      <c r="F4595" s="22">
        <f ca="1">IFERROR(__xludf.DUMMYFUNCTION("""COMPUTED_VALUE"""),213307.8)</f>
        <v>213307.8</v>
      </c>
      <c r="G4595" s="22">
        <f ca="1">IFERROR(__xludf.DUMMYFUNCTION("""COMPUTED_VALUE"""),0)</f>
        <v>0</v>
      </c>
      <c r="H4595" s="7">
        <f ca="1">IFERROR(__xludf.DUMMYFUNCTION("""COMPUTED_VALUE"""),432772.199999999)</f>
        <v>432772.19999999902</v>
      </c>
    </row>
    <row r="4596" spans="1:8" ht="13" x14ac:dyDescent="0.15">
      <c r="A4596" s="5" t="str">
        <f ca="1">IFERROR(__xludf.DUMMYFUNCTION("""COMPUTED_VALUE"""),"77729")</f>
        <v>77729</v>
      </c>
      <c r="B4596" s="51">
        <f ca="1">IFERROR(__xludf.DUMMYFUNCTION("""COMPUTED_VALUE"""),44635)</f>
        <v>44635</v>
      </c>
      <c r="C4596" s="22">
        <f ca="1">IFERROR(__xludf.DUMMYFUNCTION("""COMPUTED_VALUE"""),213307.8)</f>
        <v>213307.8</v>
      </c>
      <c r="D4596" s="22">
        <f ca="1">IFERROR(__xludf.DUMMYFUNCTION("""COMPUTED_VALUE"""),211944)</f>
        <v>211944</v>
      </c>
      <c r="E4596" s="22">
        <f ca="1">IFERROR(__xludf.DUMMYFUNCTION("""COMPUTED_VALUE"""),425251.8)</f>
        <v>425251.8</v>
      </c>
      <c r="F4596" s="22">
        <f ca="1">IFERROR(__xludf.DUMMYFUNCTION("""COMPUTED_VALUE"""),213307.8)</f>
        <v>213307.8</v>
      </c>
      <c r="G4596" s="22">
        <f ca="1">IFERROR(__xludf.DUMMYFUNCTION("""COMPUTED_VALUE"""),0)</f>
        <v>0</v>
      </c>
      <c r="H4596" s="7">
        <f ca="1">IFERROR(__xludf.DUMMYFUNCTION("""COMPUTED_VALUE"""),413191.8)</f>
        <v>413191.8</v>
      </c>
    </row>
    <row r="4597" spans="1:8" ht="13" x14ac:dyDescent="0.15">
      <c r="A4597" s="5" t="str">
        <f ca="1">IFERROR(__xludf.DUMMYFUNCTION("""COMPUTED_VALUE"""),"77729")</f>
        <v>77729</v>
      </c>
      <c r="B4597" s="51">
        <f ca="1">IFERROR(__xludf.DUMMYFUNCTION("""COMPUTED_VALUE"""),44636)</f>
        <v>44636</v>
      </c>
      <c r="C4597" s="22">
        <f ca="1">IFERROR(__xludf.DUMMYFUNCTION("""COMPUTED_VALUE"""),213307.8)</f>
        <v>213307.8</v>
      </c>
      <c r="D4597" s="22">
        <f ca="1">IFERROR(__xludf.DUMMYFUNCTION("""COMPUTED_VALUE"""),253416)</f>
        <v>253416</v>
      </c>
      <c r="E4597" s="22">
        <f ca="1">IFERROR(__xludf.DUMMYFUNCTION("""COMPUTED_VALUE"""),466723.8)</f>
        <v>466723.8</v>
      </c>
      <c r="F4597" s="22">
        <f ca="1">IFERROR(__xludf.DUMMYFUNCTION("""COMPUTED_VALUE"""),213307.8)</f>
        <v>213307.8</v>
      </c>
      <c r="G4597" s="22">
        <f ca="1">IFERROR(__xludf.DUMMYFUNCTION("""COMPUTED_VALUE"""),0)</f>
        <v>0</v>
      </c>
      <c r="H4597" s="7">
        <f ca="1">IFERROR(__xludf.DUMMYFUNCTION("""COMPUTED_VALUE"""),464863.8)</f>
        <v>464863.8</v>
      </c>
    </row>
    <row r="4598" spans="1:8" ht="13" x14ac:dyDescent="0.15">
      <c r="A4598" s="5" t="str">
        <f ca="1">IFERROR(__xludf.DUMMYFUNCTION("""COMPUTED_VALUE"""),"77729")</f>
        <v>77729</v>
      </c>
      <c r="B4598" s="51">
        <f ca="1">IFERROR(__xludf.DUMMYFUNCTION("""COMPUTED_VALUE"""),44637)</f>
        <v>44637</v>
      </c>
      <c r="C4598" s="22">
        <f ca="1">IFERROR(__xludf.DUMMYFUNCTION("""COMPUTED_VALUE"""),213307.8)</f>
        <v>213307.8</v>
      </c>
      <c r="D4598" s="22">
        <f ca="1">IFERROR(__xludf.DUMMYFUNCTION("""COMPUTED_VALUE"""),268824)</f>
        <v>268824</v>
      </c>
      <c r="E4598" s="22">
        <f ca="1">IFERROR(__xludf.DUMMYFUNCTION("""COMPUTED_VALUE"""),482131.8)</f>
        <v>482131.8</v>
      </c>
      <c r="F4598" s="22">
        <f ca="1">IFERROR(__xludf.DUMMYFUNCTION("""COMPUTED_VALUE"""),213307.8)</f>
        <v>213307.8</v>
      </c>
      <c r="G4598" s="22">
        <f ca="1">IFERROR(__xludf.DUMMYFUNCTION("""COMPUTED_VALUE"""),0)</f>
        <v>0</v>
      </c>
      <c r="H4598" s="7">
        <f ca="1">IFERROR(__xludf.DUMMYFUNCTION("""COMPUTED_VALUE"""),485431.8)</f>
        <v>485431.8</v>
      </c>
    </row>
    <row r="4599" spans="1:8" ht="13" x14ac:dyDescent="0.15">
      <c r="A4599" s="5" t="str">
        <f ca="1">IFERROR(__xludf.DUMMYFUNCTION("""COMPUTED_VALUE"""),"77729")</f>
        <v>77729</v>
      </c>
      <c r="B4599" s="51">
        <f ca="1">IFERROR(__xludf.DUMMYFUNCTION("""COMPUTED_VALUE"""),44638)</f>
        <v>44638</v>
      </c>
      <c r="C4599" s="22">
        <f ca="1">IFERROR(__xludf.DUMMYFUNCTION("""COMPUTED_VALUE"""),213307.8)</f>
        <v>213307.8</v>
      </c>
      <c r="D4599" s="22">
        <f ca="1">IFERROR(__xludf.DUMMYFUNCTION("""COMPUTED_VALUE"""),263559)</f>
        <v>263559</v>
      </c>
      <c r="E4599" s="22">
        <f ca="1">IFERROR(__xludf.DUMMYFUNCTION("""COMPUTED_VALUE"""),476866.8)</f>
        <v>476866.8</v>
      </c>
      <c r="F4599" s="22">
        <f ca="1">IFERROR(__xludf.DUMMYFUNCTION("""COMPUTED_VALUE"""),213307.8)</f>
        <v>213307.8</v>
      </c>
      <c r="G4599" s="22">
        <f ca="1">IFERROR(__xludf.DUMMYFUNCTION("""COMPUTED_VALUE"""),0)</f>
        <v>0</v>
      </c>
      <c r="H4599" s="7">
        <f ca="1">IFERROR(__xludf.DUMMYFUNCTION("""COMPUTED_VALUE"""),478996.8)</f>
        <v>478996.8</v>
      </c>
    </row>
    <row r="4600" spans="1:8" ht="13" x14ac:dyDescent="0.15">
      <c r="A4600" s="5" t="str">
        <f ca="1">IFERROR(__xludf.DUMMYFUNCTION("""COMPUTED_VALUE"""),"77729")</f>
        <v>77729</v>
      </c>
      <c r="B4600" s="51">
        <f ca="1">IFERROR(__xludf.DUMMYFUNCTION("""COMPUTED_VALUE"""),44639)</f>
        <v>44639</v>
      </c>
      <c r="C4600" s="22">
        <f ca="1">IFERROR(__xludf.DUMMYFUNCTION("""COMPUTED_VALUE"""),213307.8)</f>
        <v>213307.8</v>
      </c>
      <c r="D4600" s="22">
        <f ca="1">IFERROR(__xludf.DUMMYFUNCTION("""COMPUTED_VALUE"""),263559)</f>
        <v>263559</v>
      </c>
      <c r="E4600" s="22">
        <f ca="1">IFERROR(__xludf.DUMMYFUNCTION("""COMPUTED_VALUE"""),476866.8)</f>
        <v>476866.8</v>
      </c>
      <c r="F4600" s="22">
        <f ca="1">IFERROR(__xludf.DUMMYFUNCTION("""COMPUTED_VALUE"""),213307.8)</f>
        <v>213307.8</v>
      </c>
      <c r="G4600" s="22">
        <f ca="1">IFERROR(__xludf.DUMMYFUNCTION("""COMPUTED_VALUE"""),0)</f>
        <v>0</v>
      </c>
      <c r="H4600" s="7">
        <f ca="1">IFERROR(__xludf.DUMMYFUNCTION("""COMPUTED_VALUE"""),478996.8)</f>
        <v>478996.8</v>
      </c>
    </row>
    <row r="4601" spans="1:8" ht="13" x14ac:dyDescent="0.15">
      <c r="A4601" s="5" t="str">
        <f ca="1">IFERROR(__xludf.DUMMYFUNCTION("""COMPUTED_VALUE"""),"77729")</f>
        <v>77729</v>
      </c>
      <c r="B4601" s="51">
        <f ca="1">IFERROR(__xludf.DUMMYFUNCTION("""COMPUTED_VALUE"""),44640)</f>
        <v>44640</v>
      </c>
      <c r="C4601" s="22">
        <f ca="1">IFERROR(__xludf.DUMMYFUNCTION("""COMPUTED_VALUE"""),213307.8)</f>
        <v>213307.8</v>
      </c>
      <c r="D4601" s="22">
        <f ca="1">IFERROR(__xludf.DUMMYFUNCTION("""COMPUTED_VALUE"""),263559)</f>
        <v>263559</v>
      </c>
      <c r="E4601" s="22">
        <f ca="1">IFERROR(__xludf.DUMMYFUNCTION("""COMPUTED_VALUE"""),476866.8)</f>
        <v>476866.8</v>
      </c>
      <c r="F4601" s="22">
        <f ca="1">IFERROR(__xludf.DUMMYFUNCTION("""COMPUTED_VALUE"""),213307.8)</f>
        <v>213307.8</v>
      </c>
      <c r="G4601" s="22">
        <f ca="1">IFERROR(__xludf.DUMMYFUNCTION("""COMPUTED_VALUE"""),0)</f>
        <v>0</v>
      </c>
      <c r="H4601" s="7">
        <f ca="1">IFERROR(__xludf.DUMMYFUNCTION("""COMPUTED_VALUE"""),478996.8)</f>
        <v>478996.8</v>
      </c>
    </row>
    <row r="4602" spans="1:8" ht="13" x14ac:dyDescent="0.15">
      <c r="A4602" s="5" t="str">
        <f ca="1">IFERROR(__xludf.DUMMYFUNCTION("""COMPUTED_VALUE"""),"77729")</f>
        <v>77729</v>
      </c>
      <c r="B4602" s="51">
        <f ca="1">IFERROR(__xludf.DUMMYFUNCTION("""COMPUTED_VALUE"""),44641)</f>
        <v>44641</v>
      </c>
      <c r="C4602" s="22">
        <f ca="1">IFERROR(__xludf.DUMMYFUNCTION("""COMPUTED_VALUE"""),213307.8)</f>
        <v>213307.8</v>
      </c>
      <c r="D4602" s="22">
        <f ca="1">IFERROR(__xludf.DUMMYFUNCTION("""COMPUTED_VALUE"""),256996.2)</f>
        <v>256996.2</v>
      </c>
      <c r="E4602" s="22">
        <f ca="1">IFERROR(__xludf.DUMMYFUNCTION("""COMPUTED_VALUE"""),470304)</f>
        <v>470304</v>
      </c>
      <c r="F4602" s="22">
        <f ca="1">IFERROR(__xludf.DUMMYFUNCTION("""COMPUTED_VALUE"""),213307.8)</f>
        <v>213307.8</v>
      </c>
      <c r="G4602" s="22">
        <f ca="1">IFERROR(__xludf.DUMMYFUNCTION("""COMPUTED_VALUE"""),0)</f>
        <v>0</v>
      </c>
      <c r="H4602" s="7">
        <f ca="1">IFERROR(__xludf.DUMMYFUNCTION("""COMPUTED_VALUE"""),469614)</f>
        <v>469614</v>
      </c>
    </row>
    <row r="4603" spans="1:8" ht="13" x14ac:dyDescent="0.15">
      <c r="A4603" s="5" t="str">
        <f ca="1">IFERROR(__xludf.DUMMYFUNCTION("""COMPUTED_VALUE"""),"77729")</f>
        <v>77729</v>
      </c>
      <c r="B4603" s="51">
        <f ca="1">IFERROR(__xludf.DUMMYFUNCTION("""COMPUTED_VALUE"""),44642)</f>
        <v>44642</v>
      </c>
      <c r="C4603" s="22">
        <f ca="1">IFERROR(__xludf.DUMMYFUNCTION("""COMPUTED_VALUE"""),213307.8)</f>
        <v>213307.8</v>
      </c>
      <c r="D4603" s="22">
        <f ca="1">IFERROR(__xludf.DUMMYFUNCTION("""COMPUTED_VALUE"""),266754)</f>
        <v>266754</v>
      </c>
      <c r="E4603" s="22">
        <f ca="1">IFERROR(__xludf.DUMMYFUNCTION("""COMPUTED_VALUE"""),480061.8)</f>
        <v>480061.8</v>
      </c>
      <c r="F4603" s="22">
        <f ca="1">IFERROR(__xludf.DUMMYFUNCTION("""COMPUTED_VALUE"""),213307.8)</f>
        <v>213307.8</v>
      </c>
      <c r="G4603" s="22">
        <f ca="1">IFERROR(__xludf.DUMMYFUNCTION("""COMPUTED_VALUE"""),0)</f>
        <v>0</v>
      </c>
      <c r="H4603" s="7">
        <f ca="1">IFERROR(__xludf.DUMMYFUNCTION("""COMPUTED_VALUE"""),482101.8)</f>
        <v>482101.8</v>
      </c>
    </row>
    <row r="4604" spans="1:8" ht="13" x14ac:dyDescent="0.15">
      <c r="A4604" s="5" t="str">
        <f ca="1">IFERROR(__xludf.DUMMYFUNCTION("""COMPUTED_VALUE"""),"77936")</f>
        <v>77936</v>
      </c>
      <c r="B4604" s="51">
        <f ca="1">IFERROR(__xludf.DUMMYFUNCTION("""COMPUTED_VALUE"""),44597)</f>
        <v>44597</v>
      </c>
      <c r="C4604" s="22">
        <f ca="1">IFERROR(__xludf.DUMMYFUNCTION("""COMPUTED_VALUE"""),500000)</f>
        <v>500000</v>
      </c>
      <c r="D4604" s="22">
        <f ca="1">IFERROR(__xludf.DUMMYFUNCTION("""COMPUTED_VALUE"""),0)</f>
        <v>0</v>
      </c>
      <c r="E4604" s="22">
        <f ca="1">IFERROR(__xludf.DUMMYFUNCTION("""COMPUTED_VALUE"""),500000)</f>
        <v>500000</v>
      </c>
      <c r="F4604" s="22">
        <f ca="1">IFERROR(__xludf.DUMMYFUNCTION("""COMPUTED_VALUE"""),500000)</f>
        <v>500000</v>
      </c>
      <c r="G4604" s="22">
        <f ca="1">IFERROR(__xludf.DUMMYFUNCTION("""COMPUTED_VALUE"""),0)</f>
        <v>0</v>
      </c>
      <c r="H4604" s="7">
        <f ca="1">IFERROR(__xludf.DUMMYFUNCTION("""COMPUTED_VALUE"""),500000)</f>
        <v>500000</v>
      </c>
    </row>
    <row r="4605" spans="1:8" ht="13" x14ac:dyDescent="0.15">
      <c r="A4605" s="5" t="str">
        <f ca="1">IFERROR(__xludf.DUMMYFUNCTION("""COMPUTED_VALUE"""),"77936")</f>
        <v>77936</v>
      </c>
      <c r="B4605" s="51">
        <f ca="1">IFERROR(__xludf.DUMMYFUNCTION("""COMPUTED_VALUE"""),44598)</f>
        <v>44598</v>
      </c>
      <c r="C4605" s="22">
        <f ca="1">IFERROR(__xludf.DUMMYFUNCTION("""COMPUTED_VALUE"""),500000)</f>
        <v>500000</v>
      </c>
      <c r="D4605" s="22">
        <f ca="1">IFERROR(__xludf.DUMMYFUNCTION("""COMPUTED_VALUE"""),0)</f>
        <v>0</v>
      </c>
      <c r="E4605" s="22">
        <f ca="1">IFERROR(__xludf.DUMMYFUNCTION("""COMPUTED_VALUE"""),500000)</f>
        <v>500000</v>
      </c>
      <c r="F4605" s="22">
        <f ca="1">IFERROR(__xludf.DUMMYFUNCTION("""COMPUTED_VALUE"""),500000)</f>
        <v>500000</v>
      </c>
      <c r="G4605" s="22">
        <f ca="1">IFERROR(__xludf.DUMMYFUNCTION("""COMPUTED_VALUE"""),0)</f>
        <v>0</v>
      </c>
      <c r="H4605" s="7">
        <f ca="1">IFERROR(__xludf.DUMMYFUNCTION("""COMPUTED_VALUE"""),500000)</f>
        <v>500000</v>
      </c>
    </row>
    <row r="4606" spans="1:8" ht="13" x14ac:dyDescent="0.15">
      <c r="A4606" s="5" t="str">
        <f ca="1">IFERROR(__xludf.DUMMYFUNCTION("""COMPUTED_VALUE"""),"77936")</f>
        <v>77936</v>
      </c>
      <c r="B4606" s="51">
        <f ca="1">IFERROR(__xludf.DUMMYFUNCTION("""COMPUTED_VALUE"""),44599)</f>
        <v>44599</v>
      </c>
      <c r="C4606" s="22">
        <f ca="1">IFERROR(__xludf.DUMMYFUNCTION("""COMPUTED_VALUE"""),500000)</f>
        <v>500000</v>
      </c>
      <c r="D4606" s="22">
        <f ca="1">IFERROR(__xludf.DUMMYFUNCTION("""COMPUTED_VALUE"""),0)</f>
        <v>0</v>
      </c>
      <c r="E4606" s="22">
        <f ca="1">IFERROR(__xludf.DUMMYFUNCTION("""COMPUTED_VALUE"""),500000)</f>
        <v>500000</v>
      </c>
      <c r="F4606" s="22">
        <f ca="1">IFERROR(__xludf.DUMMYFUNCTION("""COMPUTED_VALUE"""),500000)</f>
        <v>500000</v>
      </c>
      <c r="G4606" s="22">
        <f ca="1">IFERROR(__xludf.DUMMYFUNCTION("""COMPUTED_VALUE"""),0)</f>
        <v>0</v>
      </c>
      <c r="H4606" s="7">
        <f ca="1">IFERROR(__xludf.DUMMYFUNCTION("""COMPUTED_VALUE"""),500000)</f>
        <v>500000</v>
      </c>
    </row>
    <row r="4607" spans="1:8" ht="13" x14ac:dyDescent="0.15">
      <c r="A4607" s="5" t="str">
        <f ca="1">IFERROR(__xludf.DUMMYFUNCTION("""COMPUTED_VALUE"""),"77936")</f>
        <v>77936</v>
      </c>
      <c r="B4607" s="51">
        <f ca="1">IFERROR(__xludf.DUMMYFUNCTION("""COMPUTED_VALUE"""),44600)</f>
        <v>44600</v>
      </c>
      <c r="C4607" s="22">
        <f ca="1">IFERROR(__xludf.DUMMYFUNCTION("""COMPUTED_VALUE"""),500000)</f>
        <v>500000</v>
      </c>
      <c r="D4607" s="22">
        <f ca="1">IFERROR(__xludf.DUMMYFUNCTION("""COMPUTED_VALUE"""),0)</f>
        <v>0</v>
      </c>
      <c r="E4607" s="22">
        <f ca="1">IFERROR(__xludf.DUMMYFUNCTION("""COMPUTED_VALUE"""),500000)</f>
        <v>500000</v>
      </c>
      <c r="F4607" s="22">
        <f ca="1">IFERROR(__xludf.DUMMYFUNCTION("""COMPUTED_VALUE"""),500000)</f>
        <v>500000</v>
      </c>
      <c r="G4607" s="22">
        <f ca="1">IFERROR(__xludf.DUMMYFUNCTION("""COMPUTED_VALUE"""),0)</f>
        <v>0</v>
      </c>
      <c r="H4607" s="7">
        <f ca="1">IFERROR(__xludf.DUMMYFUNCTION("""COMPUTED_VALUE"""),500000)</f>
        <v>500000</v>
      </c>
    </row>
    <row r="4608" spans="1:8" ht="13" x14ac:dyDescent="0.15">
      <c r="A4608" s="5" t="str">
        <f ca="1">IFERROR(__xludf.DUMMYFUNCTION("""COMPUTED_VALUE"""),"77936")</f>
        <v>77936</v>
      </c>
      <c r="B4608" s="51">
        <f ca="1">IFERROR(__xludf.DUMMYFUNCTION("""COMPUTED_VALUE"""),44601)</f>
        <v>44601</v>
      </c>
      <c r="C4608" s="22">
        <f ca="1">IFERROR(__xludf.DUMMYFUNCTION("""COMPUTED_VALUE"""),500000)</f>
        <v>500000</v>
      </c>
      <c r="D4608" s="22">
        <f ca="1">IFERROR(__xludf.DUMMYFUNCTION("""COMPUTED_VALUE"""),0)</f>
        <v>0</v>
      </c>
      <c r="E4608" s="22">
        <f ca="1">IFERROR(__xludf.DUMMYFUNCTION("""COMPUTED_VALUE"""),500000)</f>
        <v>500000</v>
      </c>
      <c r="F4608" s="22">
        <f ca="1">IFERROR(__xludf.DUMMYFUNCTION("""COMPUTED_VALUE"""),500000)</f>
        <v>500000</v>
      </c>
      <c r="G4608" s="22">
        <f ca="1">IFERROR(__xludf.DUMMYFUNCTION("""COMPUTED_VALUE"""),0)</f>
        <v>0</v>
      </c>
      <c r="H4608" s="7">
        <f ca="1">IFERROR(__xludf.DUMMYFUNCTION("""COMPUTED_VALUE"""),500000)</f>
        <v>500000</v>
      </c>
    </row>
    <row r="4609" spans="1:8" ht="13" x14ac:dyDescent="0.15">
      <c r="A4609" s="5" t="str">
        <f ca="1">IFERROR(__xludf.DUMMYFUNCTION("""COMPUTED_VALUE"""),"77936")</f>
        <v>77936</v>
      </c>
      <c r="B4609" s="51">
        <f ca="1">IFERROR(__xludf.DUMMYFUNCTION("""COMPUTED_VALUE"""),44602)</f>
        <v>44602</v>
      </c>
      <c r="C4609" s="22">
        <f ca="1">IFERROR(__xludf.DUMMYFUNCTION("""COMPUTED_VALUE"""),500000)</f>
        <v>500000</v>
      </c>
      <c r="D4609" s="22">
        <f ca="1">IFERROR(__xludf.DUMMYFUNCTION("""COMPUTED_VALUE"""),0)</f>
        <v>0</v>
      </c>
      <c r="E4609" s="22">
        <f ca="1">IFERROR(__xludf.DUMMYFUNCTION("""COMPUTED_VALUE"""),500000)</f>
        <v>500000</v>
      </c>
      <c r="F4609" s="22">
        <f ca="1">IFERROR(__xludf.DUMMYFUNCTION("""COMPUTED_VALUE"""),500000)</f>
        <v>500000</v>
      </c>
      <c r="G4609" s="22">
        <f ca="1">IFERROR(__xludf.DUMMYFUNCTION("""COMPUTED_VALUE"""),0)</f>
        <v>0</v>
      </c>
      <c r="H4609" s="7">
        <f ca="1">IFERROR(__xludf.DUMMYFUNCTION("""COMPUTED_VALUE"""),500000)</f>
        <v>500000</v>
      </c>
    </row>
    <row r="4610" spans="1:8" ht="13" x14ac:dyDescent="0.15">
      <c r="A4610" s="5" t="str">
        <f ca="1">IFERROR(__xludf.DUMMYFUNCTION("""COMPUTED_VALUE"""),"77936")</f>
        <v>77936</v>
      </c>
      <c r="B4610" s="51">
        <f ca="1">IFERROR(__xludf.DUMMYFUNCTION("""COMPUTED_VALUE"""),44603)</f>
        <v>44603</v>
      </c>
      <c r="C4610" s="22">
        <f ca="1">IFERROR(__xludf.DUMMYFUNCTION("""COMPUTED_VALUE"""),500000)</f>
        <v>500000</v>
      </c>
      <c r="D4610" s="22">
        <f ca="1">IFERROR(__xludf.DUMMYFUNCTION("""COMPUTED_VALUE"""),0)</f>
        <v>0</v>
      </c>
      <c r="E4610" s="22">
        <f ca="1">IFERROR(__xludf.DUMMYFUNCTION("""COMPUTED_VALUE"""),500000)</f>
        <v>500000</v>
      </c>
      <c r="F4610" s="22">
        <f ca="1">IFERROR(__xludf.DUMMYFUNCTION("""COMPUTED_VALUE"""),500000)</f>
        <v>500000</v>
      </c>
      <c r="G4610" s="22">
        <f ca="1">IFERROR(__xludf.DUMMYFUNCTION("""COMPUTED_VALUE"""),0)</f>
        <v>0</v>
      </c>
      <c r="H4610" s="7">
        <f ca="1">IFERROR(__xludf.DUMMYFUNCTION("""COMPUTED_VALUE"""),500000)</f>
        <v>500000</v>
      </c>
    </row>
    <row r="4611" spans="1:8" ht="13" x14ac:dyDescent="0.15">
      <c r="A4611" s="5" t="str">
        <f ca="1">IFERROR(__xludf.DUMMYFUNCTION("""COMPUTED_VALUE"""),"77936")</f>
        <v>77936</v>
      </c>
      <c r="B4611" s="51">
        <f ca="1">IFERROR(__xludf.DUMMYFUNCTION("""COMPUTED_VALUE"""),44604)</f>
        <v>44604</v>
      </c>
      <c r="C4611" s="22">
        <f ca="1">IFERROR(__xludf.DUMMYFUNCTION("""COMPUTED_VALUE"""),500000)</f>
        <v>500000</v>
      </c>
      <c r="D4611" s="22">
        <f ca="1">IFERROR(__xludf.DUMMYFUNCTION("""COMPUTED_VALUE"""),0)</f>
        <v>0</v>
      </c>
      <c r="E4611" s="22">
        <f ca="1">IFERROR(__xludf.DUMMYFUNCTION("""COMPUTED_VALUE"""),500000)</f>
        <v>500000</v>
      </c>
      <c r="F4611" s="22">
        <f ca="1">IFERROR(__xludf.DUMMYFUNCTION("""COMPUTED_VALUE"""),500000)</f>
        <v>500000</v>
      </c>
      <c r="G4611" s="22">
        <f ca="1">IFERROR(__xludf.DUMMYFUNCTION("""COMPUTED_VALUE"""),0)</f>
        <v>0</v>
      </c>
      <c r="H4611" s="7">
        <f ca="1">IFERROR(__xludf.DUMMYFUNCTION("""COMPUTED_VALUE"""),500000)</f>
        <v>500000</v>
      </c>
    </row>
    <row r="4612" spans="1:8" ht="13" x14ac:dyDescent="0.15">
      <c r="A4612" s="5" t="str">
        <f ca="1">IFERROR(__xludf.DUMMYFUNCTION("""COMPUTED_VALUE"""),"77936")</f>
        <v>77936</v>
      </c>
      <c r="B4612" s="51">
        <f ca="1">IFERROR(__xludf.DUMMYFUNCTION("""COMPUTED_VALUE"""),44605)</f>
        <v>44605</v>
      </c>
      <c r="C4612" s="22">
        <f ca="1">IFERROR(__xludf.DUMMYFUNCTION("""COMPUTED_VALUE"""),500000)</f>
        <v>500000</v>
      </c>
      <c r="D4612" s="22">
        <f ca="1">IFERROR(__xludf.DUMMYFUNCTION("""COMPUTED_VALUE"""),0)</f>
        <v>0</v>
      </c>
      <c r="E4612" s="22">
        <f ca="1">IFERROR(__xludf.DUMMYFUNCTION("""COMPUTED_VALUE"""),500000)</f>
        <v>500000</v>
      </c>
      <c r="F4612" s="22">
        <f ca="1">IFERROR(__xludf.DUMMYFUNCTION("""COMPUTED_VALUE"""),500000)</f>
        <v>500000</v>
      </c>
      <c r="G4612" s="22">
        <f ca="1">IFERROR(__xludf.DUMMYFUNCTION("""COMPUTED_VALUE"""),0)</f>
        <v>0</v>
      </c>
      <c r="H4612" s="7">
        <f ca="1">IFERROR(__xludf.DUMMYFUNCTION("""COMPUTED_VALUE"""),500000)</f>
        <v>500000</v>
      </c>
    </row>
    <row r="4613" spans="1:8" ht="13" x14ac:dyDescent="0.15">
      <c r="A4613" s="5" t="str">
        <f ca="1">IFERROR(__xludf.DUMMYFUNCTION("""COMPUTED_VALUE"""),"77936")</f>
        <v>77936</v>
      </c>
      <c r="B4613" s="51">
        <f ca="1">IFERROR(__xludf.DUMMYFUNCTION("""COMPUTED_VALUE"""),44606)</f>
        <v>44606</v>
      </c>
      <c r="C4613" s="22">
        <f ca="1">IFERROR(__xludf.DUMMYFUNCTION("""COMPUTED_VALUE"""),500000)</f>
        <v>500000</v>
      </c>
      <c r="D4613" s="22">
        <f ca="1">IFERROR(__xludf.DUMMYFUNCTION("""COMPUTED_VALUE"""),0)</f>
        <v>0</v>
      </c>
      <c r="E4613" s="22">
        <f ca="1">IFERROR(__xludf.DUMMYFUNCTION("""COMPUTED_VALUE"""),500000)</f>
        <v>500000</v>
      </c>
      <c r="F4613" s="22">
        <f ca="1">IFERROR(__xludf.DUMMYFUNCTION("""COMPUTED_VALUE"""),500000)</f>
        <v>500000</v>
      </c>
      <c r="G4613" s="22">
        <f ca="1">IFERROR(__xludf.DUMMYFUNCTION("""COMPUTED_VALUE"""),0)</f>
        <v>0</v>
      </c>
      <c r="H4613" s="7">
        <f ca="1">IFERROR(__xludf.DUMMYFUNCTION("""COMPUTED_VALUE"""),500000)</f>
        <v>500000</v>
      </c>
    </row>
    <row r="4614" spans="1:8" ht="13" x14ac:dyDescent="0.15">
      <c r="A4614" s="5" t="str">
        <f ca="1">IFERROR(__xludf.DUMMYFUNCTION("""COMPUTED_VALUE"""),"77936")</f>
        <v>77936</v>
      </c>
      <c r="B4614" s="51">
        <f ca="1">IFERROR(__xludf.DUMMYFUNCTION("""COMPUTED_VALUE"""),44607)</f>
        <v>44607</v>
      </c>
      <c r="C4614" s="22">
        <f ca="1">IFERROR(__xludf.DUMMYFUNCTION("""COMPUTED_VALUE"""),500000)</f>
        <v>500000</v>
      </c>
      <c r="D4614" s="22">
        <f ca="1">IFERROR(__xludf.DUMMYFUNCTION("""COMPUTED_VALUE"""),0)</f>
        <v>0</v>
      </c>
      <c r="E4614" s="22">
        <f ca="1">IFERROR(__xludf.DUMMYFUNCTION("""COMPUTED_VALUE"""),500000)</f>
        <v>500000</v>
      </c>
      <c r="F4614" s="22">
        <f ca="1">IFERROR(__xludf.DUMMYFUNCTION("""COMPUTED_VALUE"""),500000)</f>
        <v>500000</v>
      </c>
      <c r="G4614" s="22">
        <f ca="1">IFERROR(__xludf.DUMMYFUNCTION("""COMPUTED_VALUE"""),0)</f>
        <v>0</v>
      </c>
      <c r="H4614" s="7">
        <f ca="1">IFERROR(__xludf.DUMMYFUNCTION("""COMPUTED_VALUE"""),500000)</f>
        <v>500000</v>
      </c>
    </row>
    <row r="4615" spans="1:8" ht="13" x14ac:dyDescent="0.15">
      <c r="A4615" s="5" t="str">
        <f ca="1">IFERROR(__xludf.DUMMYFUNCTION("""COMPUTED_VALUE"""),"77936")</f>
        <v>77936</v>
      </c>
      <c r="B4615" s="51">
        <f ca="1">IFERROR(__xludf.DUMMYFUNCTION("""COMPUTED_VALUE"""),44608)</f>
        <v>44608</v>
      </c>
      <c r="C4615" s="22">
        <f ca="1">IFERROR(__xludf.DUMMYFUNCTION("""COMPUTED_VALUE"""),500000)</f>
        <v>500000</v>
      </c>
      <c r="D4615" s="22">
        <f ca="1">IFERROR(__xludf.DUMMYFUNCTION("""COMPUTED_VALUE"""),0)</f>
        <v>0</v>
      </c>
      <c r="E4615" s="22">
        <f ca="1">IFERROR(__xludf.DUMMYFUNCTION("""COMPUTED_VALUE"""),500000)</f>
        <v>500000</v>
      </c>
      <c r="F4615" s="22">
        <f ca="1">IFERROR(__xludf.DUMMYFUNCTION("""COMPUTED_VALUE"""),500000)</f>
        <v>500000</v>
      </c>
      <c r="G4615" s="22">
        <f ca="1">IFERROR(__xludf.DUMMYFUNCTION("""COMPUTED_VALUE"""),0)</f>
        <v>0</v>
      </c>
      <c r="H4615" s="7">
        <f ca="1">IFERROR(__xludf.DUMMYFUNCTION("""COMPUTED_VALUE"""),500000)</f>
        <v>500000</v>
      </c>
    </row>
    <row r="4616" spans="1:8" ht="13" x14ac:dyDescent="0.15">
      <c r="A4616" s="5" t="str">
        <f ca="1">IFERROR(__xludf.DUMMYFUNCTION("""COMPUTED_VALUE"""),"77936")</f>
        <v>77936</v>
      </c>
      <c r="B4616" s="51">
        <f ca="1">IFERROR(__xludf.DUMMYFUNCTION("""COMPUTED_VALUE"""),44609)</f>
        <v>44609</v>
      </c>
      <c r="C4616" s="22">
        <f ca="1">IFERROR(__xludf.DUMMYFUNCTION("""COMPUTED_VALUE"""),500000)</f>
        <v>500000</v>
      </c>
      <c r="D4616" s="22">
        <f ca="1">IFERROR(__xludf.DUMMYFUNCTION("""COMPUTED_VALUE"""),0)</f>
        <v>0</v>
      </c>
      <c r="E4616" s="22">
        <f ca="1">IFERROR(__xludf.DUMMYFUNCTION("""COMPUTED_VALUE"""),500000)</f>
        <v>500000</v>
      </c>
      <c r="F4616" s="22">
        <f ca="1">IFERROR(__xludf.DUMMYFUNCTION("""COMPUTED_VALUE"""),500000)</f>
        <v>500000</v>
      </c>
      <c r="G4616" s="22">
        <f ca="1">IFERROR(__xludf.DUMMYFUNCTION("""COMPUTED_VALUE"""),0)</f>
        <v>0</v>
      </c>
      <c r="H4616" s="7">
        <f ca="1">IFERROR(__xludf.DUMMYFUNCTION("""COMPUTED_VALUE"""),500000)</f>
        <v>500000</v>
      </c>
    </row>
    <row r="4617" spans="1:8" ht="13" x14ac:dyDescent="0.15">
      <c r="A4617" s="5" t="str">
        <f ca="1">IFERROR(__xludf.DUMMYFUNCTION("""COMPUTED_VALUE"""),"77936")</f>
        <v>77936</v>
      </c>
      <c r="B4617" s="51">
        <f ca="1">IFERROR(__xludf.DUMMYFUNCTION("""COMPUTED_VALUE"""),44610)</f>
        <v>44610</v>
      </c>
      <c r="C4617" s="22">
        <f ca="1">IFERROR(__xludf.DUMMYFUNCTION("""COMPUTED_VALUE"""),500000)</f>
        <v>500000</v>
      </c>
      <c r="D4617" s="22">
        <f ca="1">IFERROR(__xludf.DUMMYFUNCTION("""COMPUTED_VALUE"""),0)</f>
        <v>0</v>
      </c>
      <c r="E4617" s="22">
        <f ca="1">IFERROR(__xludf.DUMMYFUNCTION("""COMPUTED_VALUE"""),500000)</f>
        <v>500000</v>
      </c>
      <c r="F4617" s="22">
        <f ca="1">IFERROR(__xludf.DUMMYFUNCTION("""COMPUTED_VALUE"""),500000)</f>
        <v>500000</v>
      </c>
      <c r="G4617" s="22">
        <f ca="1">IFERROR(__xludf.DUMMYFUNCTION("""COMPUTED_VALUE"""),0)</f>
        <v>0</v>
      </c>
      <c r="H4617" s="7">
        <f ca="1">IFERROR(__xludf.DUMMYFUNCTION("""COMPUTED_VALUE"""),500000)</f>
        <v>500000</v>
      </c>
    </row>
    <row r="4618" spans="1:8" ht="13" x14ac:dyDescent="0.15">
      <c r="A4618" s="5" t="str">
        <f ca="1">IFERROR(__xludf.DUMMYFUNCTION("""COMPUTED_VALUE"""),"77936")</f>
        <v>77936</v>
      </c>
      <c r="B4618" s="51">
        <f ca="1">IFERROR(__xludf.DUMMYFUNCTION("""COMPUTED_VALUE"""),44611)</f>
        <v>44611</v>
      </c>
      <c r="C4618" s="22">
        <f ca="1">IFERROR(__xludf.DUMMYFUNCTION("""COMPUTED_VALUE"""),500000)</f>
        <v>500000</v>
      </c>
      <c r="D4618" s="22">
        <f ca="1">IFERROR(__xludf.DUMMYFUNCTION("""COMPUTED_VALUE"""),0)</f>
        <v>0</v>
      </c>
      <c r="E4618" s="22">
        <f ca="1">IFERROR(__xludf.DUMMYFUNCTION("""COMPUTED_VALUE"""),500000)</f>
        <v>500000</v>
      </c>
      <c r="F4618" s="22">
        <f ca="1">IFERROR(__xludf.DUMMYFUNCTION("""COMPUTED_VALUE"""),500000)</f>
        <v>500000</v>
      </c>
      <c r="G4618" s="22">
        <f ca="1">IFERROR(__xludf.DUMMYFUNCTION("""COMPUTED_VALUE"""),0)</f>
        <v>0</v>
      </c>
      <c r="H4618" s="7">
        <f ca="1">IFERROR(__xludf.DUMMYFUNCTION("""COMPUTED_VALUE"""),500000)</f>
        <v>500000</v>
      </c>
    </row>
    <row r="4619" spans="1:8" ht="13" x14ac:dyDescent="0.15">
      <c r="A4619" s="5" t="str">
        <f ca="1">IFERROR(__xludf.DUMMYFUNCTION("""COMPUTED_VALUE"""),"77936")</f>
        <v>77936</v>
      </c>
      <c r="B4619" s="51">
        <f ca="1">IFERROR(__xludf.DUMMYFUNCTION("""COMPUTED_VALUE"""),44612)</f>
        <v>44612</v>
      </c>
      <c r="C4619" s="22">
        <f ca="1">IFERROR(__xludf.DUMMYFUNCTION("""COMPUTED_VALUE"""),500000)</f>
        <v>500000</v>
      </c>
      <c r="D4619" s="22">
        <f ca="1">IFERROR(__xludf.DUMMYFUNCTION("""COMPUTED_VALUE"""),0)</f>
        <v>0</v>
      </c>
      <c r="E4619" s="22">
        <f ca="1">IFERROR(__xludf.DUMMYFUNCTION("""COMPUTED_VALUE"""),500000)</f>
        <v>500000</v>
      </c>
      <c r="F4619" s="22">
        <f ca="1">IFERROR(__xludf.DUMMYFUNCTION("""COMPUTED_VALUE"""),500000)</f>
        <v>500000</v>
      </c>
      <c r="G4619" s="22">
        <f ca="1">IFERROR(__xludf.DUMMYFUNCTION("""COMPUTED_VALUE"""),0)</f>
        <v>0</v>
      </c>
      <c r="H4619" s="7">
        <f ca="1">IFERROR(__xludf.DUMMYFUNCTION("""COMPUTED_VALUE"""),500000)</f>
        <v>500000</v>
      </c>
    </row>
    <row r="4620" spans="1:8" ht="13" x14ac:dyDescent="0.15">
      <c r="A4620" s="5" t="str">
        <f ca="1">IFERROR(__xludf.DUMMYFUNCTION("""COMPUTED_VALUE"""),"77936")</f>
        <v>77936</v>
      </c>
      <c r="B4620" s="51">
        <f ca="1">IFERROR(__xludf.DUMMYFUNCTION("""COMPUTED_VALUE"""),44613)</f>
        <v>44613</v>
      </c>
      <c r="C4620" s="22">
        <f ca="1">IFERROR(__xludf.DUMMYFUNCTION("""COMPUTED_VALUE"""),500000)</f>
        <v>500000</v>
      </c>
      <c r="D4620" s="22">
        <f ca="1">IFERROR(__xludf.DUMMYFUNCTION("""COMPUTED_VALUE"""),0)</f>
        <v>0</v>
      </c>
      <c r="E4620" s="22">
        <f ca="1">IFERROR(__xludf.DUMMYFUNCTION("""COMPUTED_VALUE"""),500000)</f>
        <v>500000</v>
      </c>
      <c r="F4620" s="22">
        <f ca="1">IFERROR(__xludf.DUMMYFUNCTION("""COMPUTED_VALUE"""),500000)</f>
        <v>500000</v>
      </c>
      <c r="G4620" s="22">
        <f ca="1">IFERROR(__xludf.DUMMYFUNCTION("""COMPUTED_VALUE"""),0)</f>
        <v>0</v>
      </c>
      <c r="H4620" s="7">
        <f ca="1">IFERROR(__xludf.DUMMYFUNCTION("""COMPUTED_VALUE"""),500000)</f>
        <v>500000</v>
      </c>
    </row>
    <row r="4621" spans="1:8" ht="13" x14ac:dyDescent="0.15">
      <c r="A4621" s="5" t="str">
        <f ca="1">IFERROR(__xludf.DUMMYFUNCTION("""COMPUTED_VALUE"""),"77936")</f>
        <v>77936</v>
      </c>
      <c r="B4621" s="51">
        <f ca="1">IFERROR(__xludf.DUMMYFUNCTION("""COMPUTED_VALUE"""),44614)</f>
        <v>44614</v>
      </c>
      <c r="C4621" s="22">
        <f ca="1">IFERROR(__xludf.DUMMYFUNCTION("""COMPUTED_VALUE"""),500000)</f>
        <v>500000</v>
      </c>
      <c r="D4621" s="22">
        <f ca="1">IFERROR(__xludf.DUMMYFUNCTION("""COMPUTED_VALUE"""),0)</f>
        <v>0</v>
      </c>
      <c r="E4621" s="22">
        <f ca="1">IFERROR(__xludf.DUMMYFUNCTION("""COMPUTED_VALUE"""),500000)</f>
        <v>500000</v>
      </c>
      <c r="F4621" s="22">
        <f ca="1">IFERROR(__xludf.DUMMYFUNCTION("""COMPUTED_VALUE"""),500000)</f>
        <v>500000</v>
      </c>
      <c r="G4621" s="22">
        <f ca="1">IFERROR(__xludf.DUMMYFUNCTION("""COMPUTED_VALUE"""),0)</f>
        <v>0</v>
      </c>
      <c r="H4621" s="7">
        <f ca="1">IFERROR(__xludf.DUMMYFUNCTION("""COMPUTED_VALUE"""),500000)</f>
        <v>500000</v>
      </c>
    </row>
    <row r="4622" spans="1:8" ht="13" x14ac:dyDescent="0.15">
      <c r="A4622" s="5" t="str">
        <f ca="1">IFERROR(__xludf.DUMMYFUNCTION("""COMPUTED_VALUE"""),"77936")</f>
        <v>77936</v>
      </c>
      <c r="B4622" s="51">
        <f ca="1">IFERROR(__xludf.DUMMYFUNCTION("""COMPUTED_VALUE"""),44615)</f>
        <v>44615</v>
      </c>
      <c r="C4622" s="22">
        <f ca="1">IFERROR(__xludf.DUMMYFUNCTION("""COMPUTED_VALUE"""),500000)</f>
        <v>500000</v>
      </c>
      <c r="D4622" s="22">
        <f ca="1">IFERROR(__xludf.DUMMYFUNCTION("""COMPUTED_VALUE"""),0)</f>
        <v>0</v>
      </c>
      <c r="E4622" s="22">
        <f ca="1">IFERROR(__xludf.DUMMYFUNCTION("""COMPUTED_VALUE"""),500000)</f>
        <v>500000</v>
      </c>
      <c r="F4622" s="22">
        <f ca="1">IFERROR(__xludf.DUMMYFUNCTION("""COMPUTED_VALUE"""),500000)</f>
        <v>500000</v>
      </c>
      <c r="G4622" s="22">
        <f ca="1">IFERROR(__xludf.DUMMYFUNCTION("""COMPUTED_VALUE"""),0)</f>
        <v>0</v>
      </c>
      <c r="H4622" s="7">
        <f ca="1">IFERROR(__xludf.DUMMYFUNCTION("""COMPUTED_VALUE"""),500000)</f>
        <v>500000</v>
      </c>
    </row>
    <row r="4623" spans="1:8" ht="13" x14ac:dyDescent="0.15">
      <c r="A4623" s="5" t="str">
        <f ca="1">IFERROR(__xludf.DUMMYFUNCTION("""COMPUTED_VALUE"""),"77936")</f>
        <v>77936</v>
      </c>
      <c r="B4623" s="51">
        <f ca="1">IFERROR(__xludf.DUMMYFUNCTION("""COMPUTED_VALUE"""),44616)</f>
        <v>44616</v>
      </c>
      <c r="C4623" s="22">
        <f ca="1">IFERROR(__xludf.DUMMYFUNCTION("""COMPUTED_VALUE"""),500000)</f>
        <v>500000</v>
      </c>
      <c r="D4623" s="22">
        <f ca="1">IFERROR(__xludf.DUMMYFUNCTION("""COMPUTED_VALUE"""),0)</f>
        <v>0</v>
      </c>
      <c r="E4623" s="22">
        <f ca="1">IFERROR(__xludf.DUMMYFUNCTION("""COMPUTED_VALUE"""),500000)</f>
        <v>500000</v>
      </c>
      <c r="F4623" s="22">
        <f ca="1">IFERROR(__xludf.DUMMYFUNCTION("""COMPUTED_VALUE"""),500000)</f>
        <v>500000</v>
      </c>
      <c r="G4623" s="22">
        <f ca="1">IFERROR(__xludf.DUMMYFUNCTION("""COMPUTED_VALUE"""),0)</f>
        <v>0</v>
      </c>
      <c r="H4623" s="7">
        <f ca="1">IFERROR(__xludf.DUMMYFUNCTION("""COMPUTED_VALUE"""),500000)</f>
        <v>500000</v>
      </c>
    </row>
    <row r="4624" spans="1:8" ht="13" x14ac:dyDescent="0.15">
      <c r="A4624" s="5" t="str">
        <f ca="1">IFERROR(__xludf.DUMMYFUNCTION("""COMPUTED_VALUE"""),"77936")</f>
        <v>77936</v>
      </c>
      <c r="B4624" s="51">
        <f ca="1">IFERROR(__xludf.DUMMYFUNCTION("""COMPUTED_VALUE"""),44617)</f>
        <v>44617</v>
      </c>
      <c r="C4624" s="22">
        <f ca="1">IFERROR(__xludf.DUMMYFUNCTION("""COMPUTED_VALUE"""),500000)</f>
        <v>500000</v>
      </c>
      <c r="D4624" s="22">
        <f ca="1">IFERROR(__xludf.DUMMYFUNCTION("""COMPUTED_VALUE"""),0)</f>
        <v>0</v>
      </c>
      <c r="E4624" s="22">
        <f ca="1">IFERROR(__xludf.DUMMYFUNCTION("""COMPUTED_VALUE"""),500000)</f>
        <v>500000</v>
      </c>
      <c r="F4624" s="22">
        <f ca="1">IFERROR(__xludf.DUMMYFUNCTION("""COMPUTED_VALUE"""),500000)</f>
        <v>500000</v>
      </c>
      <c r="G4624" s="22">
        <f ca="1">IFERROR(__xludf.DUMMYFUNCTION("""COMPUTED_VALUE"""),0)</f>
        <v>0</v>
      </c>
      <c r="H4624" s="7">
        <f ca="1">IFERROR(__xludf.DUMMYFUNCTION("""COMPUTED_VALUE"""),500000)</f>
        <v>500000</v>
      </c>
    </row>
    <row r="4625" spans="1:8" ht="13" x14ac:dyDescent="0.15">
      <c r="A4625" s="5" t="str">
        <f ca="1">IFERROR(__xludf.DUMMYFUNCTION("""COMPUTED_VALUE"""),"77936")</f>
        <v>77936</v>
      </c>
      <c r="B4625" s="51">
        <f ca="1">IFERROR(__xludf.DUMMYFUNCTION("""COMPUTED_VALUE"""),44618)</f>
        <v>44618</v>
      </c>
      <c r="C4625" s="22">
        <f ca="1">IFERROR(__xludf.DUMMYFUNCTION("""COMPUTED_VALUE"""),500000)</f>
        <v>500000</v>
      </c>
      <c r="D4625" s="22">
        <f ca="1">IFERROR(__xludf.DUMMYFUNCTION("""COMPUTED_VALUE"""),0)</f>
        <v>0</v>
      </c>
      <c r="E4625" s="22">
        <f ca="1">IFERROR(__xludf.DUMMYFUNCTION("""COMPUTED_VALUE"""),500000)</f>
        <v>500000</v>
      </c>
      <c r="F4625" s="22">
        <f ca="1">IFERROR(__xludf.DUMMYFUNCTION("""COMPUTED_VALUE"""),500000)</f>
        <v>500000</v>
      </c>
      <c r="G4625" s="22">
        <f ca="1">IFERROR(__xludf.DUMMYFUNCTION("""COMPUTED_VALUE"""),0)</f>
        <v>0</v>
      </c>
      <c r="H4625" s="7">
        <f ca="1">IFERROR(__xludf.DUMMYFUNCTION("""COMPUTED_VALUE"""),500000)</f>
        <v>500000</v>
      </c>
    </row>
    <row r="4626" spans="1:8" ht="13" x14ac:dyDescent="0.15">
      <c r="A4626" s="5" t="str">
        <f ca="1">IFERROR(__xludf.DUMMYFUNCTION("""COMPUTED_VALUE"""),"77936")</f>
        <v>77936</v>
      </c>
      <c r="B4626" s="51">
        <f ca="1">IFERROR(__xludf.DUMMYFUNCTION("""COMPUTED_VALUE"""),44619)</f>
        <v>44619</v>
      </c>
      <c r="C4626" s="22">
        <f ca="1">IFERROR(__xludf.DUMMYFUNCTION("""COMPUTED_VALUE"""),500000)</f>
        <v>500000</v>
      </c>
      <c r="D4626" s="22">
        <f ca="1">IFERROR(__xludf.DUMMYFUNCTION("""COMPUTED_VALUE"""),0)</f>
        <v>0</v>
      </c>
      <c r="E4626" s="22">
        <f ca="1">IFERROR(__xludf.DUMMYFUNCTION("""COMPUTED_VALUE"""),500000)</f>
        <v>500000</v>
      </c>
      <c r="F4626" s="22">
        <f ca="1">IFERROR(__xludf.DUMMYFUNCTION("""COMPUTED_VALUE"""),500000)</f>
        <v>500000</v>
      </c>
      <c r="G4626" s="22">
        <f ca="1">IFERROR(__xludf.DUMMYFUNCTION("""COMPUTED_VALUE"""),0)</f>
        <v>0</v>
      </c>
      <c r="H4626" s="7">
        <f ca="1">IFERROR(__xludf.DUMMYFUNCTION("""COMPUTED_VALUE"""),500000)</f>
        <v>500000</v>
      </c>
    </row>
    <row r="4627" spans="1:8" ht="13" x14ac:dyDescent="0.15">
      <c r="A4627" s="5" t="str">
        <f ca="1">IFERROR(__xludf.DUMMYFUNCTION("""COMPUTED_VALUE"""),"77936")</f>
        <v>77936</v>
      </c>
      <c r="B4627" s="51">
        <f ca="1">IFERROR(__xludf.DUMMYFUNCTION("""COMPUTED_VALUE"""),44620)</f>
        <v>44620</v>
      </c>
      <c r="C4627" s="22">
        <f ca="1">IFERROR(__xludf.DUMMYFUNCTION("""COMPUTED_VALUE"""),500000)</f>
        <v>500000</v>
      </c>
      <c r="D4627" s="22">
        <f ca="1">IFERROR(__xludf.DUMMYFUNCTION("""COMPUTED_VALUE"""),0)</f>
        <v>0</v>
      </c>
      <c r="E4627" s="22">
        <f ca="1">IFERROR(__xludf.DUMMYFUNCTION("""COMPUTED_VALUE"""),500000)</f>
        <v>500000</v>
      </c>
      <c r="F4627" s="22">
        <f ca="1">IFERROR(__xludf.DUMMYFUNCTION("""COMPUTED_VALUE"""),500000)</f>
        <v>500000</v>
      </c>
      <c r="G4627" s="22">
        <f ca="1">IFERROR(__xludf.DUMMYFUNCTION("""COMPUTED_VALUE"""),0)</f>
        <v>0</v>
      </c>
      <c r="H4627" s="7">
        <f ca="1">IFERROR(__xludf.DUMMYFUNCTION("""COMPUTED_VALUE"""),500000)</f>
        <v>500000</v>
      </c>
    </row>
    <row r="4628" spans="1:8" ht="13" x14ac:dyDescent="0.15">
      <c r="A4628" s="5" t="str">
        <f ca="1">IFERROR(__xludf.DUMMYFUNCTION("""COMPUTED_VALUE"""),"77936")</f>
        <v>77936</v>
      </c>
      <c r="B4628" s="51">
        <f ca="1">IFERROR(__xludf.DUMMYFUNCTION("""COMPUTED_VALUE"""),44621)</f>
        <v>44621</v>
      </c>
      <c r="C4628" s="22">
        <f ca="1">IFERROR(__xludf.DUMMYFUNCTION("""COMPUTED_VALUE"""),500000)</f>
        <v>500000</v>
      </c>
      <c r="D4628" s="22">
        <f ca="1">IFERROR(__xludf.DUMMYFUNCTION("""COMPUTED_VALUE"""),0)</f>
        <v>0</v>
      </c>
      <c r="E4628" s="22">
        <f ca="1">IFERROR(__xludf.DUMMYFUNCTION("""COMPUTED_VALUE"""),500000)</f>
        <v>500000</v>
      </c>
      <c r="F4628" s="22">
        <f ca="1">IFERROR(__xludf.DUMMYFUNCTION("""COMPUTED_VALUE"""),500000)</f>
        <v>500000</v>
      </c>
      <c r="G4628" s="22">
        <f ca="1">IFERROR(__xludf.DUMMYFUNCTION("""COMPUTED_VALUE"""),0)</f>
        <v>0</v>
      </c>
      <c r="H4628" s="7">
        <f ca="1">IFERROR(__xludf.DUMMYFUNCTION("""COMPUTED_VALUE"""),500000)</f>
        <v>500000</v>
      </c>
    </row>
    <row r="4629" spans="1:8" ht="13" x14ac:dyDescent="0.15">
      <c r="A4629" s="5" t="str">
        <f ca="1">IFERROR(__xludf.DUMMYFUNCTION("""COMPUTED_VALUE"""),"77936")</f>
        <v>77936</v>
      </c>
      <c r="B4629" s="51">
        <f ca="1">IFERROR(__xludf.DUMMYFUNCTION("""COMPUTED_VALUE"""),44622)</f>
        <v>44622</v>
      </c>
      <c r="C4629" s="22">
        <f ca="1">IFERROR(__xludf.DUMMYFUNCTION("""COMPUTED_VALUE"""),500000)</f>
        <v>500000</v>
      </c>
      <c r="D4629" s="22">
        <f ca="1">IFERROR(__xludf.DUMMYFUNCTION("""COMPUTED_VALUE"""),0)</f>
        <v>0</v>
      </c>
      <c r="E4629" s="22">
        <f ca="1">IFERROR(__xludf.DUMMYFUNCTION("""COMPUTED_VALUE"""),500000)</f>
        <v>500000</v>
      </c>
      <c r="F4629" s="22">
        <f ca="1">IFERROR(__xludf.DUMMYFUNCTION("""COMPUTED_VALUE"""),500000)</f>
        <v>500000</v>
      </c>
      <c r="G4629" s="22">
        <f ca="1">IFERROR(__xludf.DUMMYFUNCTION("""COMPUTED_VALUE"""),0)</f>
        <v>0</v>
      </c>
      <c r="H4629" s="7">
        <f ca="1">IFERROR(__xludf.DUMMYFUNCTION("""COMPUTED_VALUE"""),500000)</f>
        <v>500000</v>
      </c>
    </row>
    <row r="4630" spans="1:8" ht="13" x14ac:dyDescent="0.15">
      <c r="A4630" s="5" t="str">
        <f ca="1">IFERROR(__xludf.DUMMYFUNCTION("""COMPUTED_VALUE"""),"77936")</f>
        <v>77936</v>
      </c>
      <c r="B4630" s="51">
        <f ca="1">IFERROR(__xludf.DUMMYFUNCTION("""COMPUTED_VALUE"""),44623)</f>
        <v>44623</v>
      </c>
      <c r="C4630" s="22">
        <f ca="1">IFERROR(__xludf.DUMMYFUNCTION("""COMPUTED_VALUE"""),500000)</f>
        <v>500000</v>
      </c>
      <c r="D4630" s="22">
        <f ca="1">IFERROR(__xludf.DUMMYFUNCTION("""COMPUTED_VALUE"""),0)</f>
        <v>0</v>
      </c>
      <c r="E4630" s="22">
        <f ca="1">IFERROR(__xludf.DUMMYFUNCTION("""COMPUTED_VALUE"""),500000)</f>
        <v>500000</v>
      </c>
      <c r="F4630" s="22">
        <f ca="1">IFERROR(__xludf.DUMMYFUNCTION("""COMPUTED_VALUE"""),500000)</f>
        <v>500000</v>
      </c>
      <c r="G4630" s="22">
        <f ca="1">IFERROR(__xludf.DUMMYFUNCTION("""COMPUTED_VALUE"""),0)</f>
        <v>0</v>
      </c>
      <c r="H4630" s="7">
        <f ca="1">IFERROR(__xludf.DUMMYFUNCTION("""COMPUTED_VALUE"""),500000)</f>
        <v>500000</v>
      </c>
    </row>
    <row r="4631" spans="1:8" ht="13" x14ac:dyDescent="0.15">
      <c r="A4631" s="5" t="str">
        <f ca="1">IFERROR(__xludf.DUMMYFUNCTION("""COMPUTED_VALUE"""),"77936")</f>
        <v>77936</v>
      </c>
      <c r="B4631" s="51">
        <f ca="1">IFERROR(__xludf.DUMMYFUNCTION("""COMPUTED_VALUE"""),44624)</f>
        <v>44624</v>
      </c>
      <c r="C4631" s="22">
        <f ca="1">IFERROR(__xludf.DUMMYFUNCTION("""COMPUTED_VALUE"""),500000)</f>
        <v>500000</v>
      </c>
      <c r="D4631" s="22">
        <f ca="1">IFERROR(__xludf.DUMMYFUNCTION("""COMPUTED_VALUE"""),0)</f>
        <v>0</v>
      </c>
      <c r="E4631" s="22">
        <f ca="1">IFERROR(__xludf.DUMMYFUNCTION("""COMPUTED_VALUE"""),500000)</f>
        <v>500000</v>
      </c>
      <c r="F4631" s="22">
        <f ca="1">IFERROR(__xludf.DUMMYFUNCTION("""COMPUTED_VALUE"""),500000)</f>
        <v>500000</v>
      </c>
      <c r="G4631" s="22">
        <f ca="1">IFERROR(__xludf.DUMMYFUNCTION("""COMPUTED_VALUE"""),0)</f>
        <v>0</v>
      </c>
      <c r="H4631" s="7">
        <f ca="1">IFERROR(__xludf.DUMMYFUNCTION("""COMPUTED_VALUE"""),500000)</f>
        <v>500000</v>
      </c>
    </row>
    <row r="4632" spans="1:8" ht="13" x14ac:dyDescent="0.15">
      <c r="A4632" s="5" t="str">
        <f ca="1">IFERROR(__xludf.DUMMYFUNCTION("""COMPUTED_VALUE"""),"77936")</f>
        <v>77936</v>
      </c>
      <c r="B4632" s="51">
        <f ca="1">IFERROR(__xludf.DUMMYFUNCTION("""COMPUTED_VALUE"""),44625)</f>
        <v>44625</v>
      </c>
      <c r="C4632" s="22">
        <f ca="1">IFERROR(__xludf.DUMMYFUNCTION("""COMPUTED_VALUE"""),500000)</f>
        <v>500000</v>
      </c>
      <c r="D4632" s="22">
        <f ca="1">IFERROR(__xludf.DUMMYFUNCTION("""COMPUTED_VALUE"""),0)</f>
        <v>0</v>
      </c>
      <c r="E4632" s="22">
        <f ca="1">IFERROR(__xludf.DUMMYFUNCTION("""COMPUTED_VALUE"""),500000)</f>
        <v>500000</v>
      </c>
      <c r="F4632" s="22">
        <f ca="1">IFERROR(__xludf.DUMMYFUNCTION("""COMPUTED_VALUE"""),500000)</f>
        <v>500000</v>
      </c>
      <c r="G4632" s="22">
        <f ca="1">IFERROR(__xludf.DUMMYFUNCTION("""COMPUTED_VALUE"""),0)</f>
        <v>0</v>
      </c>
      <c r="H4632" s="7">
        <f ca="1">IFERROR(__xludf.DUMMYFUNCTION("""COMPUTED_VALUE"""),500000)</f>
        <v>500000</v>
      </c>
    </row>
    <row r="4633" spans="1:8" ht="13" x14ac:dyDescent="0.15">
      <c r="A4633" s="5" t="str">
        <f ca="1">IFERROR(__xludf.DUMMYFUNCTION("""COMPUTED_VALUE"""),"77936")</f>
        <v>77936</v>
      </c>
      <c r="B4633" s="51">
        <f ca="1">IFERROR(__xludf.DUMMYFUNCTION("""COMPUTED_VALUE"""),44626)</f>
        <v>44626</v>
      </c>
      <c r="C4633" s="22">
        <f ca="1">IFERROR(__xludf.DUMMYFUNCTION("""COMPUTED_VALUE"""),500000)</f>
        <v>500000</v>
      </c>
      <c r="D4633" s="22">
        <f ca="1">IFERROR(__xludf.DUMMYFUNCTION("""COMPUTED_VALUE"""),0)</f>
        <v>0</v>
      </c>
      <c r="E4633" s="22">
        <f ca="1">IFERROR(__xludf.DUMMYFUNCTION("""COMPUTED_VALUE"""),500000)</f>
        <v>500000</v>
      </c>
      <c r="F4633" s="22">
        <f ca="1">IFERROR(__xludf.DUMMYFUNCTION("""COMPUTED_VALUE"""),500000)</f>
        <v>500000</v>
      </c>
      <c r="G4633" s="22">
        <f ca="1">IFERROR(__xludf.DUMMYFUNCTION("""COMPUTED_VALUE"""),0)</f>
        <v>0</v>
      </c>
      <c r="H4633" s="7">
        <f ca="1">IFERROR(__xludf.DUMMYFUNCTION("""COMPUTED_VALUE"""),500000)</f>
        <v>500000</v>
      </c>
    </row>
    <row r="4634" spans="1:8" ht="13" x14ac:dyDescent="0.15">
      <c r="A4634" s="5" t="str">
        <f ca="1">IFERROR(__xludf.DUMMYFUNCTION("""COMPUTED_VALUE"""),"77936")</f>
        <v>77936</v>
      </c>
      <c r="B4634" s="51">
        <f ca="1">IFERROR(__xludf.DUMMYFUNCTION("""COMPUTED_VALUE"""),44627)</f>
        <v>44627</v>
      </c>
      <c r="C4634" s="22">
        <f ca="1">IFERROR(__xludf.DUMMYFUNCTION("""COMPUTED_VALUE"""),500000)</f>
        <v>500000</v>
      </c>
      <c r="D4634" s="22">
        <f ca="1">IFERROR(__xludf.DUMMYFUNCTION("""COMPUTED_VALUE"""),0)</f>
        <v>0</v>
      </c>
      <c r="E4634" s="22">
        <f ca="1">IFERROR(__xludf.DUMMYFUNCTION("""COMPUTED_VALUE"""),500000)</f>
        <v>500000</v>
      </c>
      <c r="F4634" s="22">
        <f ca="1">IFERROR(__xludf.DUMMYFUNCTION("""COMPUTED_VALUE"""),500000)</f>
        <v>500000</v>
      </c>
      <c r="G4634" s="22">
        <f ca="1">IFERROR(__xludf.DUMMYFUNCTION("""COMPUTED_VALUE"""),0)</f>
        <v>0</v>
      </c>
      <c r="H4634" s="7">
        <f ca="1">IFERROR(__xludf.DUMMYFUNCTION("""COMPUTED_VALUE"""),500000)</f>
        <v>500000</v>
      </c>
    </row>
    <row r="4635" spans="1:8" ht="13" x14ac:dyDescent="0.15">
      <c r="A4635" s="5" t="str">
        <f ca="1">IFERROR(__xludf.DUMMYFUNCTION("""COMPUTED_VALUE"""),"77936")</f>
        <v>77936</v>
      </c>
      <c r="B4635" s="51">
        <f ca="1">IFERROR(__xludf.DUMMYFUNCTION("""COMPUTED_VALUE"""),44628)</f>
        <v>44628</v>
      </c>
      <c r="C4635" s="22">
        <f ca="1">IFERROR(__xludf.DUMMYFUNCTION("""COMPUTED_VALUE"""),500000)</f>
        <v>500000</v>
      </c>
      <c r="D4635" s="22">
        <f ca="1">IFERROR(__xludf.DUMMYFUNCTION("""COMPUTED_VALUE"""),0)</f>
        <v>0</v>
      </c>
      <c r="E4635" s="22">
        <f ca="1">IFERROR(__xludf.DUMMYFUNCTION("""COMPUTED_VALUE"""),500000)</f>
        <v>500000</v>
      </c>
      <c r="F4635" s="22">
        <f ca="1">IFERROR(__xludf.DUMMYFUNCTION("""COMPUTED_VALUE"""),500000)</f>
        <v>500000</v>
      </c>
      <c r="G4635" s="22">
        <f ca="1">IFERROR(__xludf.DUMMYFUNCTION("""COMPUTED_VALUE"""),0)</f>
        <v>0</v>
      </c>
      <c r="H4635" s="7">
        <f ca="1">IFERROR(__xludf.DUMMYFUNCTION("""COMPUTED_VALUE"""),500000)</f>
        <v>500000</v>
      </c>
    </row>
    <row r="4636" spans="1:8" ht="13" x14ac:dyDescent="0.15">
      <c r="A4636" s="5" t="str">
        <f ca="1">IFERROR(__xludf.DUMMYFUNCTION("""COMPUTED_VALUE"""),"77936")</f>
        <v>77936</v>
      </c>
      <c r="B4636" s="51">
        <f ca="1">IFERROR(__xludf.DUMMYFUNCTION("""COMPUTED_VALUE"""),44629)</f>
        <v>44629</v>
      </c>
      <c r="C4636" s="22">
        <f ca="1">IFERROR(__xludf.DUMMYFUNCTION("""COMPUTED_VALUE"""),500000)</f>
        <v>500000</v>
      </c>
      <c r="D4636" s="22">
        <f ca="1">IFERROR(__xludf.DUMMYFUNCTION("""COMPUTED_VALUE"""),0)</f>
        <v>0</v>
      </c>
      <c r="E4636" s="22">
        <f ca="1">IFERROR(__xludf.DUMMYFUNCTION("""COMPUTED_VALUE"""),500000)</f>
        <v>500000</v>
      </c>
      <c r="F4636" s="22">
        <f ca="1">IFERROR(__xludf.DUMMYFUNCTION("""COMPUTED_VALUE"""),500000)</f>
        <v>500000</v>
      </c>
      <c r="G4636" s="22">
        <f ca="1">IFERROR(__xludf.DUMMYFUNCTION("""COMPUTED_VALUE"""),0)</f>
        <v>0</v>
      </c>
      <c r="H4636" s="7">
        <f ca="1">IFERROR(__xludf.DUMMYFUNCTION("""COMPUTED_VALUE"""),500000)</f>
        <v>500000</v>
      </c>
    </row>
    <row r="4637" spans="1:8" ht="13" x14ac:dyDescent="0.15">
      <c r="A4637" s="5" t="str">
        <f ca="1">IFERROR(__xludf.DUMMYFUNCTION("""COMPUTED_VALUE"""),"77936")</f>
        <v>77936</v>
      </c>
      <c r="B4637" s="51">
        <f ca="1">IFERROR(__xludf.DUMMYFUNCTION("""COMPUTED_VALUE"""),44630)</f>
        <v>44630</v>
      </c>
      <c r="C4637" s="22">
        <f ca="1">IFERROR(__xludf.DUMMYFUNCTION("""COMPUTED_VALUE"""),295580)</f>
        <v>295580</v>
      </c>
      <c r="D4637" s="22">
        <f ca="1">IFERROR(__xludf.DUMMYFUNCTION("""COMPUTED_VALUE"""),204420)</f>
        <v>204420</v>
      </c>
      <c r="E4637" s="22">
        <f ca="1">IFERROR(__xludf.DUMMYFUNCTION("""COMPUTED_VALUE"""),500000)</f>
        <v>500000</v>
      </c>
      <c r="F4637" s="22">
        <f ca="1">IFERROR(__xludf.DUMMYFUNCTION("""COMPUTED_VALUE"""),295580)</f>
        <v>295580</v>
      </c>
      <c r="G4637" s="22">
        <f ca="1">IFERROR(__xludf.DUMMYFUNCTION("""COMPUTED_VALUE"""),0)</f>
        <v>0</v>
      </c>
      <c r="H4637" s="7">
        <f ca="1">IFERROR(__xludf.DUMMYFUNCTION("""COMPUTED_VALUE"""),500000)</f>
        <v>500000</v>
      </c>
    </row>
    <row r="4638" spans="1:8" ht="13" x14ac:dyDescent="0.15">
      <c r="A4638" s="5" t="str">
        <f ca="1">IFERROR(__xludf.DUMMYFUNCTION("""COMPUTED_VALUE"""),"77936")</f>
        <v>77936</v>
      </c>
      <c r="B4638" s="51">
        <f ca="1">IFERROR(__xludf.DUMMYFUNCTION("""COMPUTED_VALUE"""),44631)</f>
        <v>44631</v>
      </c>
      <c r="C4638" s="22">
        <f ca="1">IFERROR(__xludf.DUMMYFUNCTION("""COMPUTED_VALUE"""),295580)</f>
        <v>295580</v>
      </c>
      <c r="D4638" s="22">
        <f ca="1">IFERROR(__xludf.DUMMYFUNCTION("""COMPUTED_VALUE"""),203360)</f>
        <v>203360</v>
      </c>
      <c r="E4638" s="22">
        <f ca="1">IFERROR(__xludf.DUMMYFUNCTION("""COMPUTED_VALUE"""),498940)</f>
        <v>498940</v>
      </c>
      <c r="F4638" s="22">
        <f ca="1">IFERROR(__xludf.DUMMYFUNCTION("""COMPUTED_VALUE"""),295580)</f>
        <v>295580</v>
      </c>
      <c r="G4638" s="22">
        <f ca="1">IFERROR(__xludf.DUMMYFUNCTION("""COMPUTED_VALUE"""),0)</f>
        <v>0</v>
      </c>
      <c r="H4638" s="7">
        <f ca="1">IFERROR(__xludf.DUMMYFUNCTION("""COMPUTED_VALUE"""),479940)</f>
        <v>479940</v>
      </c>
    </row>
    <row r="4639" spans="1:8" ht="13" x14ac:dyDescent="0.15">
      <c r="A4639" s="5" t="str">
        <f ca="1">IFERROR(__xludf.DUMMYFUNCTION("""COMPUTED_VALUE"""),"77936")</f>
        <v>77936</v>
      </c>
      <c r="B4639" s="51">
        <f ca="1">IFERROR(__xludf.DUMMYFUNCTION("""COMPUTED_VALUE"""),44632)</f>
        <v>44632</v>
      </c>
      <c r="C4639" s="22">
        <f ca="1">IFERROR(__xludf.DUMMYFUNCTION("""COMPUTED_VALUE"""),295580)</f>
        <v>295580</v>
      </c>
      <c r="D4639" s="22">
        <f ca="1">IFERROR(__xludf.DUMMYFUNCTION("""COMPUTED_VALUE"""),203360)</f>
        <v>203360</v>
      </c>
      <c r="E4639" s="22">
        <f ca="1">IFERROR(__xludf.DUMMYFUNCTION("""COMPUTED_VALUE"""),498940)</f>
        <v>498940</v>
      </c>
      <c r="F4639" s="22">
        <f ca="1">IFERROR(__xludf.DUMMYFUNCTION("""COMPUTED_VALUE"""),295580)</f>
        <v>295580</v>
      </c>
      <c r="G4639" s="22">
        <f ca="1">IFERROR(__xludf.DUMMYFUNCTION("""COMPUTED_VALUE"""),0)</f>
        <v>0</v>
      </c>
      <c r="H4639" s="7">
        <f ca="1">IFERROR(__xludf.DUMMYFUNCTION("""COMPUTED_VALUE"""),479940)</f>
        <v>479940</v>
      </c>
    </row>
    <row r="4640" spans="1:8" ht="13" x14ac:dyDescent="0.15">
      <c r="A4640" s="5" t="str">
        <f ca="1">IFERROR(__xludf.DUMMYFUNCTION("""COMPUTED_VALUE"""),"77936")</f>
        <v>77936</v>
      </c>
      <c r="B4640" s="51">
        <f ca="1">IFERROR(__xludf.DUMMYFUNCTION("""COMPUTED_VALUE"""),44633)</f>
        <v>44633</v>
      </c>
      <c r="C4640" s="22">
        <f ca="1">IFERROR(__xludf.DUMMYFUNCTION("""COMPUTED_VALUE"""),295580)</f>
        <v>295580</v>
      </c>
      <c r="D4640" s="22">
        <f ca="1">IFERROR(__xludf.DUMMYFUNCTION("""COMPUTED_VALUE"""),203360)</f>
        <v>203360</v>
      </c>
      <c r="E4640" s="22">
        <f ca="1">IFERROR(__xludf.DUMMYFUNCTION("""COMPUTED_VALUE"""),498940)</f>
        <v>498940</v>
      </c>
      <c r="F4640" s="22">
        <f ca="1">IFERROR(__xludf.DUMMYFUNCTION("""COMPUTED_VALUE"""),295580)</f>
        <v>295580</v>
      </c>
      <c r="G4640" s="22">
        <f ca="1">IFERROR(__xludf.DUMMYFUNCTION("""COMPUTED_VALUE"""),0)</f>
        <v>0</v>
      </c>
      <c r="H4640" s="7">
        <f ca="1">IFERROR(__xludf.DUMMYFUNCTION("""COMPUTED_VALUE"""),479940)</f>
        <v>479940</v>
      </c>
    </row>
    <row r="4641" spans="1:8" ht="13" x14ac:dyDescent="0.15">
      <c r="A4641" s="5" t="str">
        <f ca="1">IFERROR(__xludf.DUMMYFUNCTION("""COMPUTED_VALUE"""),"77936")</f>
        <v>77936</v>
      </c>
      <c r="B4641" s="51">
        <f ca="1">IFERROR(__xludf.DUMMYFUNCTION("""COMPUTED_VALUE"""),44634)</f>
        <v>44634</v>
      </c>
      <c r="C4641" s="22">
        <f ca="1">IFERROR(__xludf.DUMMYFUNCTION("""COMPUTED_VALUE"""),295580)</f>
        <v>295580</v>
      </c>
      <c r="D4641" s="22">
        <f ca="1">IFERROR(__xludf.DUMMYFUNCTION("""COMPUTED_VALUE"""),201380)</f>
        <v>201380</v>
      </c>
      <c r="E4641" s="22">
        <f ca="1">IFERROR(__xludf.DUMMYFUNCTION("""COMPUTED_VALUE"""),496960)</f>
        <v>496960</v>
      </c>
      <c r="F4641" s="22">
        <f ca="1">IFERROR(__xludf.DUMMYFUNCTION("""COMPUTED_VALUE"""),295580)</f>
        <v>295580</v>
      </c>
      <c r="G4641" s="22">
        <f ca="1">IFERROR(__xludf.DUMMYFUNCTION("""COMPUTED_VALUE"""),0)</f>
        <v>0</v>
      </c>
      <c r="H4641" s="7">
        <f ca="1">IFERROR(__xludf.DUMMYFUNCTION("""COMPUTED_VALUE"""),445660)</f>
        <v>445660</v>
      </c>
    </row>
    <row r="4642" spans="1:8" ht="13" x14ac:dyDescent="0.15">
      <c r="A4642" s="5" t="str">
        <f ca="1">IFERROR(__xludf.DUMMYFUNCTION("""COMPUTED_VALUE"""),"77936")</f>
        <v>77936</v>
      </c>
      <c r="B4642" s="51">
        <f ca="1">IFERROR(__xludf.DUMMYFUNCTION("""COMPUTED_VALUE"""),44635)</f>
        <v>44635</v>
      </c>
      <c r="C4642" s="22">
        <f ca="1">IFERROR(__xludf.DUMMYFUNCTION("""COMPUTED_VALUE"""),295580)</f>
        <v>295580</v>
      </c>
      <c r="D4642" s="22">
        <f ca="1">IFERROR(__xludf.DUMMYFUNCTION("""COMPUTED_VALUE"""),199450)</f>
        <v>199450</v>
      </c>
      <c r="E4642" s="22">
        <f ca="1">IFERROR(__xludf.DUMMYFUNCTION("""COMPUTED_VALUE"""),495030)</f>
        <v>495030</v>
      </c>
      <c r="F4642" s="22">
        <f ca="1">IFERROR(__xludf.DUMMYFUNCTION("""COMPUTED_VALUE"""),295580)</f>
        <v>295580</v>
      </c>
      <c r="G4642" s="22">
        <f ca="1">IFERROR(__xludf.DUMMYFUNCTION("""COMPUTED_VALUE"""),0)</f>
        <v>0</v>
      </c>
      <c r="H4642" s="7">
        <f ca="1">IFERROR(__xludf.DUMMYFUNCTION("""COMPUTED_VALUE"""),437430)</f>
        <v>437430</v>
      </c>
    </row>
    <row r="4643" spans="1:8" ht="13" x14ac:dyDescent="0.15">
      <c r="A4643" s="5" t="str">
        <f ca="1">IFERROR(__xludf.DUMMYFUNCTION("""COMPUTED_VALUE"""),"77936")</f>
        <v>77936</v>
      </c>
      <c r="B4643" s="51">
        <f ca="1">IFERROR(__xludf.DUMMYFUNCTION("""COMPUTED_VALUE"""),44636)</f>
        <v>44636</v>
      </c>
      <c r="C4643" s="22">
        <f ca="1">IFERROR(__xludf.DUMMYFUNCTION("""COMPUTED_VALUE"""),195630)</f>
        <v>195630</v>
      </c>
      <c r="D4643" s="22">
        <f ca="1">IFERROR(__xludf.DUMMYFUNCTION("""COMPUTED_VALUE"""),297790)</f>
        <v>297790</v>
      </c>
      <c r="E4643" s="22">
        <f ca="1">IFERROR(__xludf.DUMMYFUNCTION("""COMPUTED_VALUE"""),493420)</f>
        <v>493420</v>
      </c>
      <c r="F4643" s="22">
        <f ca="1">IFERROR(__xludf.DUMMYFUNCTION("""COMPUTED_VALUE"""),195630)</f>
        <v>195630</v>
      </c>
      <c r="G4643" s="22">
        <f ca="1">IFERROR(__xludf.DUMMYFUNCTION("""COMPUTED_VALUE"""),0)</f>
        <v>0</v>
      </c>
      <c r="H4643" s="7">
        <f ca="1">IFERROR(__xludf.DUMMYFUNCTION("""COMPUTED_VALUE"""),493420)</f>
        <v>493420</v>
      </c>
    </row>
    <row r="4644" spans="1:8" ht="13" x14ac:dyDescent="0.15">
      <c r="A4644" s="5" t="str">
        <f ca="1">IFERROR(__xludf.DUMMYFUNCTION("""COMPUTED_VALUE"""),"77936")</f>
        <v>77936</v>
      </c>
      <c r="B4644" s="51">
        <f ca="1">IFERROR(__xludf.DUMMYFUNCTION("""COMPUTED_VALUE"""),44637)</f>
        <v>44637</v>
      </c>
      <c r="C4644" s="22">
        <f ca="1">IFERROR(__xludf.DUMMYFUNCTION("""COMPUTED_VALUE"""),195630)</f>
        <v>195630</v>
      </c>
      <c r="D4644" s="22">
        <f ca="1">IFERROR(__xludf.DUMMYFUNCTION("""COMPUTED_VALUE"""),330950)</f>
        <v>330950</v>
      </c>
      <c r="E4644" s="22">
        <f ca="1">IFERROR(__xludf.DUMMYFUNCTION("""COMPUTED_VALUE"""),526580)</f>
        <v>526580</v>
      </c>
      <c r="F4644" s="22">
        <f ca="1">IFERROR(__xludf.DUMMYFUNCTION("""COMPUTED_VALUE"""),195630)</f>
        <v>195630</v>
      </c>
      <c r="G4644" s="22">
        <f ca="1">IFERROR(__xludf.DUMMYFUNCTION("""COMPUTED_VALUE"""),0)</f>
        <v>0</v>
      </c>
      <c r="H4644" s="7">
        <f ca="1">IFERROR(__xludf.DUMMYFUNCTION("""COMPUTED_VALUE"""),535180)</f>
        <v>535180</v>
      </c>
    </row>
    <row r="4645" spans="1:8" ht="13" x14ac:dyDescent="0.15">
      <c r="A4645" s="5" t="str">
        <f ca="1">IFERROR(__xludf.DUMMYFUNCTION("""COMPUTED_VALUE"""),"77936")</f>
        <v>77936</v>
      </c>
      <c r="B4645" s="51">
        <f ca="1">IFERROR(__xludf.DUMMYFUNCTION("""COMPUTED_VALUE"""),44638)</f>
        <v>44638</v>
      </c>
      <c r="C4645" s="22">
        <f ca="1">IFERROR(__xludf.DUMMYFUNCTION("""COMPUTED_VALUE"""),195630)</f>
        <v>195630</v>
      </c>
      <c r="D4645" s="22">
        <f ca="1">IFERROR(__xludf.DUMMYFUNCTION("""COMPUTED_VALUE"""),311470)</f>
        <v>311470</v>
      </c>
      <c r="E4645" s="22">
        <f ca="1">IFERROR(__xludf.DUMMYFUNCTION("""COMPUTED_VALUE"""),507100)</f>
        <v>507100</v>
      </c>
      <c r="F4645" s="22">
        <f ca="1">IFERROR(__xludf.DUMMYFUNCTION("""COMPUTED_VALUE"""),195630)</f>
        <v>195630</v>
      </c>
      <c r="G4645" s="22">
        <f ca="1">IFERROR(__xludf.DUMMYFUNCTION("""COMPUTED_VALUE"""),0)</f>
        <v>0</v>
      </c>
      <c r="H4645" s="7">
        <f ca="1">IFERROR(__xludf.DUMMYFUNCTION("""COMPUTED_VALUE"""),513750)</f>
        <v>513750</v>
      </c>
    </row>
    <row r="4646" spans="1:8" ht="13" x14ac:dyDescent="0.15">
      <c r="A4646" s="5" t="str">
        <f ca="1">IFERROR(__xludf.DUMMYFUNCTION("""COMPUTED_VALUE"""),"77936")</f>
        <v>77936</v>
      </c>
      <c r="B4646" s="51">
        <f ca="1">IFERROR(__xludf.DUMMYFUNCTION("""COMPUTED_VALUE"""),44639)</f>
        <v>44639</v>
      </c>
      <c r="C4646" s="22">
        <f ca="1">IFERROR(__xludf.DUMMYFUNCTION("""COMPUTED_VALUE"""),195630)</f>
        <v>195630</v>
      </c>
      <c r="D4646" s="22">
        <f ca="1">IFERROR(__xludf.DUMMYFUNCTION("""COMPUTED_VALUE"""),311470)</f>
        <v>311470</v>
      </c>
      <c r="E4646" s="22">
        <f ca="1">IFERROR(__xludf.DUMMYFUNCTION("""COMPUTED_VALUE"""),507100)</f>
        <v>507100</v>
      </c>
      <c r="F4646" s="22">
        <f ca="1">IFERROR(__xludf.DUMMYFUNCTION("""COMPUTED_VALUE"""),195630)</f>
        <v>195630</v>
      </c>
      <c r="G4646" s="22">
        <f ca="1">IFERROR(__xludf.DUMMYFUNCTION("""COMPUTED_VALUE"""),0)</f>
        <v>0</v>
      </c>
      <c r="H4646" s="7">
        <f ca="1">IFERROR(__xludf.DUMMYFUNCTION("""COMPUTED_VALUE"""),513750)</f>
        <v>513750</v>
      </c>
    </row>
    <row r="4647" spans="1:8" ht="13" x14ac:dyDescent="0.15">
      <c r="A4647" s="5" t="str">
        <f ca="1">IFERROR(__xludf.DUMMYFUNCTION("""COMPUTED_VALUE"""),"77936")</f>
        <v>77936</v>
      </c>
      <c r="B4647" s="51">
        <f ca="1">IFERROR(__xludf.DUMMYFUNCTION("""COMPUTED_VALUE"""),44640)</f>
        <v>44640</v>
      </c>
      <c r="C4647" s="22">
        <f ca="1">IFERROR(__xludf.DUMMYFUNCTION("""COMPUTED_VALUE"""),195630)</f>
        <v>195630</v>
      </c>
      <c r="D4647" s="22">
        <f ca="1">IFERROR(__xludf.DUMMYFUNCTION("""COMPUTED_VALUE"""),311470)</f>
        <v>311470</v>
      </c>
      <c r="E4647" s="22">
        <f ca="1">IFERROR(__xludf.DUMMYFUNCTION("""COMPUTED_VALUE"""),507100)</f>
        <v>507100</v>
      </c>
      <c r="F4647" s="22">
        <f ca="1">IFERROR(__xludf.DUMMYFUNCTION("""COMPUTED_VALUE"""),195630)</f>
        <v>195630</v>
      </c>
      <c r="G4647" s="22">
        <f ca="1">IFERROR(__xludf.DUMMYFUNCTION("""COMPUTED_VALUE"""),0)</f>
        <v>0</v>
      </c>
      <c r="H4647" s="7">
        <f ca="1">IFERROR(__xludf.DUMMYFUNCTION("""COMPUTED_VALUE"""),513750)</f>
        <v>513750</v>
      </c>
    </row>
    <row r="4648" spans="1:8" ht="13" x14ac:dyDescent="0.15">
      <c r="A4648" s="5" t="str">
        <f ca="1">IFERROR(__xludf.DUMMYFUNCTION("""COMPUTED_VALUE"""),"77936")</f>
        <v>77936</v>
      </c>
      <c r="B4648" s="51">
        <f ca="1">IFERROR(__xludf.DUMMYFUNCTION("""COMPUTED_VALUE"""),44641)</f>
        <v>44641</v>
      </c>
      <c r="C4648" s="22">
        <f ca="1">IFERROR(__xludf.DUMMYFUNCTION("""COMPUTED_VALUE"""),195630)</f>
        <v>195630</v>
      </c>
      <c r="D4648" s="22">
        <f ca="1">IFERROR(__xludf.DUMMYFUNCTION("""COMPUTED_VALUE"""),314470)</f>
        <v>314470</v>
      </c>
      <c r="E4648" s="22">
        <f ca="1">IFERROR(__xludf.DUMMYFUNCTION("""COMPUTED_VALUE"""),510100)</f>
        <v>510100</v>
      </c>
      <c r="F4648" s="22">
        <f ca="1">IFERROR(__xludf.DUMMYFUNCTION("""COMPUTED_VALUE"""),195630)</f>
        <v>195630</v>
      </c>
      <c r="G4648" s="22">
        <f ca="1">IFERROR(__xludf.DUMMYFUNCTION("""COMPUTED_VALUE"""),0)</f>
        <v>0</v>
      </c>
      <c r="H4648" s="7">
        <f ca="1">IFERROR(__xludf.DUMMYFUNCTION("""COMPUTED_VALUE"""),512050)</f>
        <v>512050</v>
      </c>
    </row>
    <row r="4649" spans="1:8" ht="13" x14ac:dyDescent="0.15">
      <c r="A4649" s="5" t="str">
        <f ca="1">IFERROR(__xludf.DUMMYFUNCTION("""COMPUTED_VALUE"""),"77936")</f>
        <v>77936</v>
      </c>
      <c r="B4649" s="51">
        <f ca="1">IFERROR(__xludf.DUMMYFUNCTION("""COMPUTED_VALUE"""),44642)</f>
        <v>44642</v>
      </c>
      <c r="C4649" s="22">
        <f ca="1">IFERROR(__xludf.DUMMYFUNCTION("""COMPUTED_VALUE"""),195630)</f>
        <v>195630</v>
      </c>
      <c r="D4649" s="22">
        <f ca="1">IFERROR(__xludf.DUMMYFUNCTION("""COMPUTED_VALUE"""),329940)</f>
        <v>329940</v>
      </c>
      <c r="E4649" s="22">
        <f ca="1">IFERROR(__xludf.DUMMYFUNCTION("""COMPUTED_VALUE"""),525570)</f>
        <v>525570</v>
      </c>
      <c r="F4649" s="22">
        <f ca="1">IFERROR(__xludf.DUMMYFUNCTION("""COMPUTED_VALUE"""),195630)</f>
        <v>195630</v>
      </c>
      <c r="G4649" s="22">
        <f ca="1">IFERROR(__xludf.DUMMYFUNCTION("""COMPUTED_VALUE"""),0)</f>
        <v>0</v>
      </c>
      <c r="H4649" s="7">
        <f ca="1">IFERROR(__xludf.DUMMYFUNCTION("""COMPUTED_VALUE"""),532070)</f>
        <v>532070</v>
      </c>
    </row>
    <row r="4650" spans="1:8" ht="13" x14ac:dyDescent="0.15">
      <c r="A4650" s="5" t="str">
        <f ca="1">IFERROR(__xludf.DUMMYFUNCTION("""COMPUTED_VALUE"""),"79521")</f>
        <v>79521</v>
      </c>
      <c r="B4650" s="51">
        <f ca="1">IFERROR(__xludf.DUMMYFUNCTION("""COMPUTED_VALUE"""),44597)</f>
        <v>44597</v>
      </c>
      <c r="C4650" s="22">
        <f ca="1">IFERROR(__xludf.DUMMYFUNCTION("""COMPUTED_VALUE"""),500000)</f>
        <v>500000</v>
      </c>
      <c r="D4650" s="22">
        <f ca="1">IFERROR(__xludf.DUMMYFUNCTION("""COMPUTED_VALUE"""),0)</f>
        <v>0</v>
      </c>
      <c r="E4650" s="22">
        <f ca="1">IFERROR(__xludf.DUMMYFUNCTION("""COMPUTED_VALUE"""),500000)</f>
        <v>500000</v>
      </c>
      <c r="F4650" s="22">
        <f ca="1">IFERROR(__xludf.DUMMYFUNCTION("""COMPUTED_VALUE"""),500000)</f>
        <v>500000</v>
      </c>
      <c r="G4650" s="22">
        <f ca="1">IFERROR(__xludf.DUMMYFUNCTION("""COMPUTED_VALUE"""),0)</f>
        <v>0</v>
      </c>
      <c r="H4650" s="7">
        <f ca="1">IFERROR(__xludf.DUMMYFUNCTION("""COMPUTED_VALUE"""),500000)</f>
        <v>500000</v>
      </c>
    </row>
    <row r="4651" spans="1:8" ht="13" x14ac:dyDescent="0.15">
      <c r="A4651" s="5" t="str">
        <f ca="1">IFERROR(__xludf.DUMMYFUNCTION("""COMPUTED_VALUE"""),"79521")</f>
        <v>79521</v>
      </c>
      <c r="B4651" s="51">
        <f ca="1">IFERROR(__xludf.DUMMYFUNCTION("""COMPUTED_VALUE"""),44598)</f>
        <v>44598</v>
      </c>
      <c r="C4651" s="22">
        <f ca="1">IFERROR(__xludf.DUMMYFUNCTION("""COMPUTED_VALUE"""),500000)</f>
        <v>500000</v>
      </c>
      <c r="D4651" s="22">
        <f ca="1">IFERROR(__xludf.DUMMYFUNCTION("""COMPUTED_VALUE"""),0)</f>
        <v>0</v>
      </c>
      <c r="E4651" s="22">
        <f ca="1">IFERROR(__xludf.DUMMYFUNCTION("""COMPUTED_VALUE"""),500000)</f>
        <v>500000</v>
      </c>
      <c r="F4651" s="22">
        <f ca="1">IFERROR(__xludf.DUMMYFUNCTION("""COMPUTED_VALUE"""),500000)</f>
        <v>500000</v>
      </c>
      <c r="G4651" s="22">
        <f ca="1">IFERROR(__xludf.DUMMYFUNCTION("""COMPUTED_VALUE"""),0)</f>
        <v>0</v>
      </c>
      <c r="H4651" s="7">
        <f ca="1">IFERROR(__xludf.DUMMYFUNCTION("""COMPUTED_VALUE"""),500000)</f>
        <v>500000</v>
      </c>
    </row>
    <row r="4652" spans="1:8" ht="13" x14ac:dyDescent="0.15">
      <c r="A4652" s="5" t="str">
        <f ca="1">IFERROR(__xludf.DUMMYFUNCTION("""COMPUTED_VALUE"""),"79521")</f>
        <v>79521</v>
      </c>
      <c r="B4652" s="51">
        <f ca="1">IFERROR(__xludf.DUMMYFUNCTION("""COMPUTED_VALUE"""),44599)</f>
        <v>44599</v>
      </c>
      <c r="C4652" s="22">
        <f ca="1">IFERROR(__xludf.DUMMYFUNCTION("""COMPUTED_VALUE"""),500000)</f>
        <v>500000</v>
      </c>
      <c r="D4652" s="22">
        <f ca="1">IFERROR(__xludf.DUMMYFUNCTION("""COMPUTED_VALUE"""),0)</f>
        <v>0</v>
      </c>
      <c r="E4652" s="22">
        <f ca="1">IFERROR(__xludf.DUMMYFUNCTION("""COMPUTED_VALUE"""),500000)</f>
        <v>500000</v>
      </c>
      <c r="F4652" s="22">
        <f ca="1">IFERROR(__xludf.DUMMYFUNCTION("""COMPUTED_VALUE"""),500000)</f>
        <v>500000</v>
      </c>
      <c r="G4652" s="22">
        <f ca="1">IFERROR(__xludf.DUMMYFUNCTION("""COMPUTED_VALUE"""),0)</f>
        <v>0</v>
      </c>
      <c r="H4652" s="7">
        <f ca="1">IFERROR(__xludf.DUMMYFUNCTION("""COMPUTED_VALUE"""),500000)</f>
        <v>500000</v>
      </c>
    </row>
    <row r="4653" spans="1:8" ht="13" x14ac:dyDescent="0.15">
      <c r="A4653" s="5" t="str">
        <f ca="1">IFERROR(__xludf.DUMMYFUNCTION("""COMPUTED_VALUE"""),"79521")</f>
        <v>79521</v>
      </c>
      <c r="B4653" s="51">
        <f ca="1">IFERROR(__xludf.DUMMYFUNCTION("""COMPUTED_VALUE"""),44600)</f>
        <v>44600</v>
      </c>
      <c r="C4653" s="22">
        <f ca="1">IFERROR(__xludf.DUMMYFUNCTION("""COMPUTED_VALUE"""),500000)</f>
        <v>500000</v>
      </c>
      <c r="D4653" s="22">
        <f ca="1">IFERROR(__xludf.DUMMYFUNCTION("""COMPUTED_VALUE"""),0)</f>
        <v>0</v>
      </c>
      <c r="E4653" s="22">
        <f ca="1">IFERROR(__xludf.DUMMYFUNCTION("""COMPUTED_VALUE"""),500000)</f>
        <v>500000</v>
      </c>
      <c r="F4653" s="22">
        <f ca="1">IFERROR(__xludf.DUMMYFUNCTION("""COMPUTED_VALUE"""),500000)</f>
        <v>500000</v>
      </c>
      <c r="G4653" s="22">
        <f ca="1">IFERROR(__xludf.DUMMYFUNCTION("""COMPUTED_VALUE"""),0)</f>
        <v>0</v>
      </c>
      <c r="H4653" s="7">
        <f ca="1">IFERROR(__xludf.DUMMYFUNCTION("""COMPUTED_VALUE"""),500000)</f>
        <v>500000</v>
      </c>
    </row>
    <row r="4654" spans="1:8" ht="13" x14ac:dyDescent="0.15">
      <c r="A4654" s="5" t="str">
        <f ca="1">IFERROR(__xludf.DUMMYFUNCTION("""COMPUTED_VALUE"""),"79521")</f>
        <v>79521</v>
      </c>
      <c r="B4654" s="51">
        <f ca="1">IFERROR(__xludf.DUMMYFUNCTION("""COMPUTED_VALUE"""),44601)</f>
        <v>44601</v>
      </c>
      <c r="C4654" s="22">
        <f ca="1">IFERROR(__xludf.DUMMYFUNCTION("""COMPUTED_VALUE"""),500000)</f>
        <v>500000</v>
      </c>
      <c r="D4654" s="22">
        <f ca="1">IFERROR(__xludf.DUMMYFUNCTION("""COMPUTED_VALUE"""),0)</f>
        <v>0</v>
      </c>
      <c r="E4654" s="22">
        <f ca="1">IFERROR(__xludf.DUMMYFUNCTION("""COMPUTED_VALUE"""),500000)</f>
        <v>500000</v>
      </c>
      <c r="F4654" s="22">
        <f ca="1">IFERROR(__xludf.DUMMYFUNCTION("""COMPUTED_VALUE"""),500000)</f>
        <v>500000</v>
      </c>
      <c r="G4654" s="22">
        <f ca="1">IFERROR(__xludf.DUMMYFUNCTION("""COMPUTED_VALUE"""),0)</f>
        <v>0</v>
      </c>
      <c r="H4654" s="7">
        <f ca="1">IFERROR(__xludf.DUMMYFUNCTION("""COMPUTED_VALUE"""),500000)</f>
        <v>500000</v>
      </c>
    </row>
    <row r="4655" spans="1:8" ht="13" x14ac:dyDescent="0.15">
      <c r="A4655" s="5" t="str">
        <f ca="1">IFERROR(__xludf.DUMMYFUNCTION("""COMPUTED_VALUE"""),"79521")</f>
        <v>79521</v>
      </c>
      <c r="B4655" s="51">
        <f ca="1">IFERROR(__xludf.DUMMYFUNCTION("""COMPUTED_VALUE"""),44602)</f>
        <v>44602</v>
      </c>
      <c r="C4655" s="22">
        <f ca="1">IFERROR(__xludf.DUMMYFUNCTION("""COMPUTED_VALUE"""),500000)</f>
        <v>500000</v>
      </c>
      <c r="D4655" s="22">
        <f ca="1">IFERROR(__xludf.DUMMYFUNCTION("""COMPUTED_VALUE"""),0)</f>
        <v>0</v>
      </c>
      <c r="E4655" s="22">
        <f ca="1">IFERROR(__xludf.DUMMYFUNCTION("""COMPUTED_VALUE"""),500000)</f>
        <v>500000</v>
      </c>
      <c r="F4655" s="22">
        <f ca="1">IFERROR(__xludf.DUMMYFUNCTION("""COMPUTED_VALUE"""),500000)</f>
        <v>500000</v>
      </c>
      <c r="G4655" s="22">
        <f ca="1">IFERROR(__xludf.DUMMYFUNCTION("""COMPUTED_VALUE"""),0)</f>
        <v>0</v>
      </c>
      <c r="H4655" s="7">
        <f ca="1">IFERROR(__xludf.DUMMYFUNCTION("""COMPUTED_VALUE"""),500000)</f>
        <v>500000</v>
      </c>
    </row>
    <row r="4656" spans="1:8" ht="13" x14ac:dyDescent="0.15">
      <c r="A4656" s="5" t="str">
        <f ca="1">IFERROR(__xludf.DUMMYFUNCTION("""COMPUTED_VALUE"""),"79521")</f>
        <v>79521</v>
      </c>
      <c r="B4656" s="51">
        <f ca="1">IFERROR(__xludf.DUMMYFUNCTION("""COMPUTED_VALUE"""),44603)</f>
        <v>44603</v>
      </c>
      <c r="C4656" s="22">
        <f ca="1">IFERROR(__xludf.DUMMYFUNCTION("""COMPUTED_VALUE"""),500000)</f>
        <v>500000</v>
      </c>
      <c r="D4656" s="22">
        <f ca="1">IFERROR(__xludf.DUMMYFUNCTION("""COMPUTED_VALUE"""),0)</f>
        <v>0</v>
      </c>
      <c r="E4656" s="22">
        <f ca="1">IFERROR(__xludf.DUMMYFUNCTION("""COMPUTED_VALUE"""),500000)</f>
        <v>500000</v>
      </c>
      <c r="F4656" s="22">
        <f ca="1">IFERROR(__xludf.DUMMYFUNCTION("""COMPUTED_VALUE"""),500000)</f>
        <v>500000</v>
      </c>
      <c r="G4656" s="22">
        <f ca="1">IFERROR(__xludf.DUMMYFUNCTION("""COMPUTED_VALUE"""),0)</f>
        <v>0</v>
      </c>
      <c r="H4656" s="7">
        <f ca="1">IFERROR(__xludf.DUMMYFUNCTION("""COMPUTED_VALUE"""),500000)</f>
        <v>500000</v>
      </c>
    </row>
    <row r="4657" spans="1:8" ht="13" x14ac:dyDescent="0.15">
      <c r="A4657" s="5" t="str">
        <f ca="1">IFERROR(__xludf.DUMMYFUNCTION("""COMPUTED_VALUE"""),"79521")</f>
        <v>79521</v>
      </c>
      <c r="B4657" s="51">
        <f ca="1">IFERROR(__xludf.DUMMYFUNCTION("""COMPUTED_VALUE"""),44604)</f>
        <v>44604</v>
      </c>
      <c r="C4657" s="22">
        <f ca="1">IFERROR(__xludf.DUMMYFUNCTION("""COMPUTED_VALUE"""),500000)</f>
        <v>500000</v>
      </c>
      <c r="D4657" s="22">
        <f ca="1">IFERROR(__xludf.DUMMYFUNCTION("""COMPUTED_VALUE"""),0)</f>
        <v>0</v>
      </c>
      <c r="E4657" s="22">
        <f ca="1">IFERROR(__xludf.DUMMYFUNCTION("""COMPUTED_VALUE"""),500000)</f>
        <v>500000</v>
      </c>
      <c r="F4657" s="22">
        <f ca="1">IFERROR(__xludf.DUMMYFUNCTION("""COMPUTED_VALUE"""),500000)</f>
        <v>500000</v>
      </c>
      <c r="G4657" s="22">
        <f ca="1">IFERROR(__xludf.DUMMYFUNCTION("""COMPUTED_VALUE"""),0)</f>
        <v>0</v>
      </c>
      <c r="H4657" s="7">
        <f ca="1">IFERROR(__xludf.DUMMYFUNCTION("""COMPUTED_VALUE"""),500000)</f>
        <v>500000</v>
      </c>
    </row>
    <row r="4658" spans="1:8" ht="13" x14ac:dyDescent="0.15">
      <c r="A4658" s="5" t="str">
        <f ca="1">IFERROR(__xludf.DUMMYFUNCTION("""COMPUTED_VALUE"""),"79521")</f>
        <v>79521</v>
      </c>
      <c r="B4658" s="51">
        <f ca="1">IFERROR(__xludf.DUMMYFUNCTION("""COMPUTED_VALUE"""),44605)</f>
        <v>44605</v>
      </c>
      <c r="C4658" s="22">
        <f ca="1">IFERROR(__xludf.DUMMYFUNCTION("""COMPUTED_VALUE"""),500000)</f>
        <v>500000</v>
      </c>
      <c r="D4658" s="22">
        <f ca="1">IFERROR(__xludf.DUMMYFUNCTION("""COMPUTED_VALUE"""),0)</f>
        <v>0</v>
      </c>
      <c r="E4658" s="22">
        <f ca="1">IFERROR(__xludf.DUMMYFUNCTION("""COMPUTED_VALUE"""),500000)</f>
        <v>500000</v>
      </c>
      <c r="F4658" s="22">
        <f ca="1">IFERROR(__xludf.DUMMYFUNCTION("""COMPUTED_VALUE"""),500000)</f>
        <v>500000</v>
      </c>
      <c r="G4658" s="22">
        <f ca="1">IFERROR(__xludf.DUMMYFUNCTION("""COMPUTED_VALUE"""),0)</f>
        <v>0</v>
      </c>
      <c r="H4658" s="7">
        <f ca="1">IFERROR(__xludf.DUMMYFUNCTION("""COMPUTED_VALUE"""),500000)</f>
        <v>500000</v>
      </c>
    </row>
    <row r="4659" spans="1:8" ht="13" x14ac:dyDescent="0.15">
      <c r="A4659" s="5" t="str">
        <f ca="1">IFERROR(__xludf.DUMMYFUNCTION("""COMPUTED_VALUE"""),"79521")</f>
        <v>79521</v>
      </c>
      <c r="B4659" s="51">
        <f ca="1">IFERROR(__xludf.DUMMYFUNCTION("""COMPUTED_VALUE"""),44606)</f>
        <v>44606</v>
      </c>
      <c r="C4659" s="22">
        <f ca="1">IFERROR(__xludf.DUMMYFUNCTION("""COMPUTED_VALUE"""),500000)</f>
        <v>500000</v>
      </c>
      <c r="D4659" s="22">
        <f ca="1">IFERROR(__xludf.DUMMYFUNCTION("""COMPUTED_VALUE"""),0)</f>
        <v>0</v>
      </c>
      <c r="E4659" s="22">
        <f ca="1">IFERROR(__xludf.DUMMYFUNCTION("""COMPUTED_VALUE"""),500000)</f>
        <v>500000</v>
      </c>
      <c r="F4659" s="22">
        <f ca="1">IFERROR(__xludf.DUMMYFUNCTION("""COMPUTED_VALUE"""),500000)</f>
        <v>500000</v>
      </c>
      <c r="G4659" s="22">
        <f ca="1">IFERROR(__xludf.DUMMYFUNCTION("""COMPUTED_VALUE"""),0)</f>
        <v>0</v>
      </c>
      <c r="H4659" s="7">
        <f ca="1">IFERROR(__xludf.DUMMYFUNCTION("""COMPUTED_VALUE"""),500000)</f>
        <v>500000</v>
      </c>
    </row>
    <row r="4660" spans="1:8" ht="13" x14ac:dyDescent="0.15">
      <c r="A4660" s="5" t="str">
        <f ca="1">IFERROR(__xludf.DUMMYFUNCTION("""COMPUTED_VALUE"""),"79521")</f>
        <v>79521</v>
      </c>
      <c r="B4660" s="51">
        <f ca="1">IFERROR(__xludf.DUMMYFUNCTION("""COMPUTED_VALUE"""),44607)</f>
        <v>44607</v>
      </c>
      <c r="C4660" s="22">
        <f ca="1">IFERROR(__xludf.DUMMYFUNCTION("""COMPUTED_VALUE"""),500000)</f>
        <v>500000</v>
      </c>
      <c r="D4660" s="22">
        <f ca="1">IFERROR(__xludf.DUMMYFUNCTION("""COMPUTED_VALUE"""),0)</f>
        <v>0</v>
      </c>
      <c r="E4660" s="22">
        <f ca="1">IFERROR(__xludf.DUMMYFUNCTION("""COMPUTED_VALUE"""),500000)</f>
        <v>500000</v>
      </c>
      <c r="F4660" s="22">
        <f ca="1">IFERROR(__xludf.DUMMYFUNCTION("""COMPUTED_VALUE"""),500000)</f>
        <v>500000</v>
      </c>
      <c r="G4660" s="22">
        <f ca="1">IFERROR(__xludf.DUMMYFUNCTION("""COMPUTED_VALUE"""),0)</f>
        <v>0</v>
      </c>
      <c r="H4660" s="7">
        <f ca="1">IFERROR(__xludf.DUMMYFUNCTION("""COMPUTED_VALUE"""),500000)</f>
        <v>500000</v>
      </c>
    </row>
    <row r="4661" spans="1:8" ht="13" x14ac:dyDescent="0.15">
      <c r="A4661" s="5" t="str">
        <f ca="1">IFERROR(__xludf.DUMMYFUNCTION("""COMPUTED_VALUE"""),"79521")</f>
        <v>79521</v>
      </c>
      <c r="B4661" s="51">
        <f ca="1">IFERROR(__xludf.DUMMYFUNCTION("""COMPUTED_VALUE"""),44608)</f>
        <v>44608</v>
      </c>
      <c r="C4661" s="22">
        <f ca="1">IFERROR(__xludf.DUMMYFUNCTION("""COMPUTED_VALUE"""),500000)</f>
        <v>500000</v>
      </c>
      <c r="D4661" s="22">
        <f ca="1">IFERROR(__xludf.DUMMYFUNCTION("""COMPUTED_VALUE"""),0)</f>
        <v>0</v>
      </c>
      <c r="E4661" s="22">
        <f ca="1">IFERROR(__xludf.DUMMYFUNCTION("""COMPUTED_VALUE"""),500000)</f>
        <v>500000</v>
      </c>
      <c r="F4661" s="22">
        <f ca="1">IFERROR(__xludf.DUMMYFUNCTION("""COMPUTED_VALUE"""),500000)</f>
        <v>500000</v>
      </c>
      <c r="G4661" s="22">
        <f ca="1">IFERROR(__xludf.DUMMYFUNCTION("""COMPUTED_VALUE"""),0)</f>
        <v>0</v>
      </c>
      <c r="H4661" s="7">
        <f ca="1">IFERROR(__xludf.DUMMYFUNCTION("""COMPUTED_VALUE"""),500000)</f>
        <v>500000</v>
      </c>
    </row>
    <row r="4662" spans="1:8" ht="13" x14ac:dyDescent="0.15">
      <c r="A4662" s="5" t="str">
        <f ca="1">IFERROR(__xludf.DUMMYFUNCTION("""COMPUTED_VALUE"""),"79521")</f>
        <v>79521</v>
      </c>
      <c r="B4662" s="51">
        <f ca="1">IFERROR(__xludf.DUMMYFUNCTION("""COMPUTED_VALUE"""),44609)</f>
        <v>44609</v>
      </c>
      <c r="C4662" s="22">
        <f ca="1">IFERROR(__xludf.DUMMYFUNCTION("""COMPUTED_VALUE"""),500000)</f>
        <v>500000</v>
      </c>
      <c r="D4662" s="22">
        <f ca="1">IFERROR(__xludf.DUMMYFUNCTION("""COMPUTED_VALUE"""),0)</f>
        <v>0</v>
      </c>
      <c r="E4662" s="22">
        <f ca="1">IFERROR(__xludf.DUMMYFUNCTION("""COMPUTED_VALUE"""),500000)</f>
        <v>500000</v>
      </c>
      <c r="F4662" s="22">
        <f ca="1">IFERROR(__xludf.DUMMYFUNCTION("""COMPUTED_VALUE"""),500000)</f>
        <v>500000</v>
      </c>
      <c r="G4662" s="22">
        <f ca="1">IFERROR(__xludf.DUMMYFUNCTION("""COMPUTED_VALUE"""),0)</f>
        <v>0</v>
      </c>
      <c r="H4662" s="7">
        <f ca="1">IFERROR(__xludf.DUMMYFUNCTION("""COMPUTED_VALUE"""),500000)</f>
        <v>500000</v>
      </c>
    </row>
    <row r="4663" spans="1:8" ht="13" x14ac:dyDescent="0.15">
      <c r="A4663" s="5" t="str">
        <f ca="1">IFERROR(__xludf.DUMMYFUNCTION("""COMPUTED_VALUE"""),"79521")</f>
        <v>79521</v>
      </c>
      <c r="B4663" s="51">
        <f ca="1">IFERROR(__xludf.DUMMYFUNCTION("""COMPUTED_VALUE"""),44610)</f>
        <v>44610</v>
      </c>
      <c r="C4663" s="22">
        <f ca="1">IFERROR(__xludf.DUMMYFUNCTION("""COMPUTED_VALUE"""),500000)</f>
        <v>500000</v>
      </c>
      <c r="D4663" s="22">
        <f ca="1">IFERROR(__xludf.DUMMYFUNCTION("""COMPUTED_VALUE"""),0)</f>
        <v>0</v>
      </c>
      <c r="E4663" s="22">
        <f ca="1">IFERROR(__xludf.DUMMYFUNCTION("""COMPUTED_VALUE"""),500000)</f>
        <v>500000</v>
      </c>
      <c r="F4663" s="22">
        <f ca="1">IFERROR(__xludf.DUMMYFUNCTION("""COMPUTED_VALUE"""),500000)</f>
        <v>500000</v>
      </c>
      <c r="G4663" s="22">
        <f ca="1">IFERROR(__xludf.DUMMYFUNCTION("""COMPUTED_VALUE"""),0)</f>
        <v>0</v>
      </c>
      <c r="H4663" s="7">
        <f ca="1">IFERROR(__xludf.DUMMYFUNCTION("""COMPUTED_VALUE"""),500000)</f>
        <v>500000</v>
      </c>
    </row>
    <row r="4664" spans="1:8" ht="13" x14ac:dyDescent="0.15">
      <c r="A4664" s="5" t="str">
        <f ca="1">IFERROR(__xludf.DUMMYFUNCTION("""COMPUTED_VALUE"""),"79521")</f>
        <v>79521</v>
      </c>
      <c r="B4664" s="51">
        <f ca="1">IFERROR(__xludf.DUMMYFUNCTION("""COMPUTED_VALUE"""),44611)</f>
        <v>44611</v>
      </c>
      <c r="C4664" s="22">
        <f ca="1">IFERROR(__xludf.DUMMYFUNCTION("""COMPUTED_VALUE"""),500000)</f>
        <v>500000</v>
      </c>
      <c r="D4664" s="22">
        <f ca="1">IFERROR(__xludf.DUMMYFUNCTION("""COMPUTED_VALUE"""),0)</f>
        <v>0</v>
      </c>
      <c r="E4664" s="22">
        <f ca="1">IFERROR(__xludf.DUMMYFUNCTION("""COMPUTED_VALUE"""),500000)</f>
        <v>500000</v>
      </c>
      <c r="F4664" s="22">
        <f ca="1">IFERROR(__xludf.DUMMYFUNCTION("""COMPUTED_VALUE"""),500000)</f>
        <v>500000</v>
      </c>
      <c r="G4664" s="22">
        <f ca="1">IFERROR(__xludf.DUMMYFUNCTION("""COMPUTED_VALUE"""),0)</f>
        <v>0</v>
      </c>
      <c r="H4664" s="7">
        <f ca="1">IFERROR(__xludf.DUMMYFUNCTION("""COMPUTED_VALUE"""),500000)</f>
        <v>500000</v>
      </c>
    </row>
    <row r="4665" spans="1:8" ht="13" x14ac:dyDescent="0.15">
      <c r="A4665" s="5" t="str">
        <f ca="1">IFERROR(__xludf.DUMMYFUNCTION("""COMPUTED_VALUE"""),"79521")</f>
        <v>79521</v>
      </c>
      <c r="B4665" s="51">
        <f ca="1">IFERROR(__xludf.DUMMYFUNCTION("""COMPUTED_VALUE"""),44612)</f>
        <v>44612</v>
      </c>
      <c r="C4665" s="22">
        <f ca="1">IFERROR(__xludf.DUMMYFUNCTION("""COMPUTED_VALUE"""),500000)</f>
        <v>500000</v>
      </c>
      <c r="D4665" s="22">
        <f ca="1">IFERROR(__xludf.DUMMYFUNCTION("""COMPUTED_VALUE"""),0)</f>
        <v>0</v>
      </c>
      <c r="E4665" s="22">
        <f ca="1">IFERROR(__xludf.DUMMYFUNCTION("""COMPUTED_VALUE"""),500000)</f>
        <v>500000</v>
      </c>
      <c r="F4665" s="22">
        <f ca="1">IFERROR(__xludf.DUMMYFUNCTION("""COMPUTED_VALUE"""),500000)</f>
        <v>500000</v>
      </c>
      <c r="G4665" s="22">
        <f ca="1">IFERROR(__xludf.DUMMYFUNCTION("""COMPUTED_VALUE"""),0)</f>
        <v>0</v>
      </c>
      <c r="H4665" s="7">
        <f ca="1">IFERROR(__xludf.DUMMYFUNCTION("""COMPUTED_VALUE"""),500000)</f>
        <v>500000</v>
      </c>
    </row>
    <row r="4666" spans="1:8" ht="13" x14ac:dyDescent="0.15">
      <c r="A4666" s="5" t="str">
        <f ca="1">IFERROR(__xludf.DUMMYFUNCTION("""COMPUTED_VALUE"""),"79521")</f>
        <v>79521</v>
      </c>
      <c r="B4666" s="51">
        <f ca="1">IFERROR(__xludf.DUMMYFUNCTION("""COMPUTED_VALUE"""),44613)</f>
        <v>44613</v>
      </c>
      <c r="C4666" s="22">
        <f ca="1">IFERROR(__xludf.DUMMYFUNCTION("""COMPUTED_VALUE"""),500000)</f>
        <v>500000</v>
      </c>
      <c r="D4666" s="22">
        <f ca="1">IFERROR(__xludf.DUMMYFUNCTION("""COMPUTED_VALUE"""),0)</f>
        <v>0</v>
      </c>
      <c r="E4666" s="22">
        <f ca="1">IFERROR(__xludf.DUMMYFUNCTION("""COMPUTED_VALUE"""),500000)</f>
        <v>500000</v>
      </c>
      <c r="F4666" s="22">
        <f ca="1">IFERROR(__xludf.DUMMYFUNCTION("""COMPUTED_VALUE"""),500000)</f>
        <v>500000</v>
      </c>
      <c r="G4666" s="22">
        <f ca="1">IFERROR(__xludf.DUMMYFUNCTION("""COMPUTED_VALUE"""),0)</f>
        <v>0</v>
      </c>
      <c r="H4666" s="7">
        <f ca="1">IFERROR(__xludf.DUMMYFUNCTION("""COMPUTED_VALUE"""),500000)</f>
        <v>500000</v>
      </c>
    </row>
    <row r="4667" spans="1:8" ht="13" x14ac:dyDescent="0.15">
      <c r="A4667" s="5" t="str">
        <f ca="1">IFERROR(__xludf.DUMMYFUNCTION("""COMPUTED_VALUE"""),"79521")</f>
        <v>79521</v>
      </c>
      <c r="B4667" s="51">
        <f ca="1">IFERROR(__xludf.DUMMYFUNCTION("""COMPUTED_VALUE"""),44614)</f>
        <v>44614</v>
      </c>
      <c r="C4667" s="22">
        <f ca="1">IFERROR(__xludf.DUMMYFUNCTION("""COMPUTED_VALUE"""),500000)</f>
        <v>500000</v>
      </c>
      <c r="D4667" s="22">
        <f ca="1">IFERROR(__xludf.DUMMYFUNCTION("""COMPUTED_VALUE"""),0)</f>
        <v>0</v>
      </c>
      <c r="E4667" s="22">
        <f ca="1">IFERROR(__xludf.DUMMYFUNCTION("""COMPUTED_VALUE"""),500000)</f>
        <v>500000</v>
      </c>
      <c r="F4667" s="22">
        <f ca="1">IFERROR(__xludf.DUMMYFUNCTION("""COMPUTED_VALUE"""),500000)</f>
        <v>500000</v>
      </c>
      <c r="G4667" s="22">
        <f ca="1">IFERROR(__xludf.DUMMYFUNCTION("""COMPUTED_VALUE"""),0)</f>
        <v>0</v>
      </c>
      <c r="H4667" s="7">
        <f ca="1">IFERROR(__xludf.DUMMYFUNCTION("""COMPUTED_VALUE"""),500000)</f>
        <v>500000</v>
      </c>
    </row>
    <row r="4668" spans="1:8" ht="13" x14ac:dyDescent="0.15">
      <c r="A4668" s="5" t="str">
        <f ca="1">IFERROR(__xludf.DUMMYFUNCTION("""COMPUTED_VALUE"""),"79521")</f>
        <v>79521</v>
      </c>
      <c r="B4668" s="51">
        <f ca="1">IFERROR(__xludf.DUMMYFUNCTION("""COMPUTED_VALUE"""),44615)</f>
        <v>44615</v>
      </c>
      <c r="C4668" s="22">
        <f ca="1">IFERROR(__xludf.DUMMYFUNCTION("""COMPUTED_VALUE"""),500000)</f>
        <v>500000</v>
      </c>
      <c r="D4668" s="22">
        <f ca="1">IFERROR(__xludf.DUMMYFUNCTION("""COMPUTED_VALUE"""),0)</f>
        <v>0</v>
      </c>
      <c r="E4668" s="22">
        <f ca="1">IFERROR(__xludf.DUMMYFUNCTION("""COMPUTED_VALUE"""),500000)</f>
        <v>500000</v>
      </c>
      <c r="F4668" s="22">
        <f ca="1">IFERROR(__xludf.DUMMYFUNCTION("""COMPUTED_VALUE"""),500000)</f>
        <v>500000</v>
      </c>
      <c r="G4668" s="22">
        <f ca="1">IFERROR(__xludf.DUMMYFUNCTION("""COMPUTED_VALUE"""),0)</f>
        <v>0</v>
      </c>
      <c r="H4668" s="7">
        <f ca="1">IFERROR(__xludf.DUMMYFUNCTION("""COMPUTED_VALUE"""),500000)</f>
        <v>500000</v>
      </c>
    </row>
    <row r="4669" spans="1:8" ht="13" x14ac:dyDescent="0.15">
      <c r="A4669" s="5" t="str">
        <f ca="1">IFERROR(__xludf.DUMMYFUNCTION("""COMPUTED_VALUE"""),"79521")</f>
        <v>79521</v>
      </c>
      <c r="B4669" s="51">
        <f ca="1">IFERROR(__xludf.DUMMYFUNCTION("""COMPUTED_VALUE"""),44616)</f>
        <v>44616</v>
      </c>
      <c r="C4669" s="22">
        <f ca="1">IFERROR(__xludf.DUMMYFUNCTION("""COMPUTED_VALUE"""),500000)</f>
        <v>500000</v>
      </c>
      <c r="D4669" s="22">
        <f ca="1">IFERROR(__xludf.DUMMYFUNCTION("""COMPUTED_VALUE"""),0)</f>
        <v>0</v>
      </c>
      <c r="E4669" s="22">
        <f ca="1">IFERROR(__xludf.DUMMYFUNCTION("""COMPUTED_VALUE"""),500000)</f>
        <v>500000</v>
      </c>
      <c r="F4669" s="22">
        <f ca="1">IFERROR(__xludf.DUMMYFUNCTION("""COMPUTED_VALUE"""),500000)</f>
        <v>500000</v>
      </c>
      <c r="G4669" s="22">
        <f ca="1">IFERROR(__xludf.DUMMYFUNCTION("""COMPUTED_VALUE"""),0)</f>
        <v>0</v>
      </c>
      <c r="H4669" s="7">
        <f ca="1">IFERROR(__xludf.DUMMYFUNCTION("""COMPUTED_VALUE"""),500000)</f>
        <v>500000</v>
      </c>
    </row>
    <row r="4670" spans="1:8" ht="13" x14ac:dyDescent="0.15">
      <c r="A4670" s="5" t="str">
        <f ca="1">IFERROR(__xludf.DUMMYFUNCTION("""COMPUTED_VALUE"""),"79521")</f>
        <v>79521</v>
      </c>
      <c r="B4670" s="51">
        <f ca="1">IFERROR(__xludf.DUMMYFUNCTION("""COMPUTED_VALUE"""),44617)</f>
        <v>44617</v>
      </c>
      <c r="C4670" s="22">
        <f ca="1">IFERROR(__xludf.DUMMYFUNCTION("""COMPUTED_VALUE"""),500000)</f>
        <v>500000</v>
      </c>
      <c r="D4670" s="22">
        <f ca="1">IFERROR(__xludf.DUMMYFUNCTION("""COMPUTED_VALUE"""),0)</f>
        <v>0</v>
      </c>
      <c r="E4670" s="22">
        <f ca="1">IFERROR(__xludf.DUMMYFUNCTION("""COMPUTED_VALUE"""),500000)</f>
        <v>500000</v>
      </c>
      <c r="F4670" s="22">
        <f ca="1">IFERROR(__xludf.DUMMYFUNCTION("""COMPUTED_VALUE"""),500000)</f>
        <v>500000</v>
      </c>
      <c r="G4670" s="22">
        <f ca="1">IFERROR(__xludf.DUMMYFUNCTION("""COMPUTED_VALUE"""),0)</f>
        <v>0</v>
      </c>
      <c r="H4670" s="7">
        <f ca="1">IFERROR(__xludf.DUMMYFUNCTION("""COMPUTED_VALUE"""),500000)</f>
        <v>500000</v>
      </c>
    </row>
    <row r="4671" spans="1:8" ht="13" x14ac:dyDescent="0.15">
      <c r="A4671" s="5" t="str">
        <f ca="1">IFERROR(__xludf.DUMMYFUNCTION("""COMPUTED_VALUE"""),"79521")</f>
        <v>79521</v>
      </c>
      <c r="B4671" s="51">
        <f ca="1">IFERROR(__xludf.DUMMYFUNCTION("""COMPUTED_VALUE"""),44618)</f>
        <v>44618</v>
      </c>
      <c r="C4671" s="22">
        <f ca="1">IFERROR(__xludf.DUMMYFUNCTION("""COMPUTED_VALUE"""),500000)</f>
        <v>500000</v>
      </c>
      <c r="D4671" s="22">
        <f ca="1">IFERROR(__xludf.DUMMYFUNCTION("""COMPUTED_VALUE"""),0)</f>
        <v>0</v>
      </c>
      <c r="E4671" s="22">
        <f ca="1">IFERROR(__xludf.DUMMYFUNCTION("""COMPUTED_VALUE"""),500000)</f>
        <v>500000</v>
      </c>
      <c r="F4671" s="22">
        <f ca="1">IFERROR(__xludf.DUMMYFUNCTION("""COMPUTED_VALUE"""),500000)</f>
        <v>500000</v>
      </c>
      <c r="G4671" s="22">
        <f ca="1">IFERROR(__xludf.DUMMYFUNCTION("""COMPUTED_VALUE"""),0)</f>
        <v>0</v>
      </c>
      <c r="H4671" s="7">
        <f ca="1">IFERROR(__xludf.DUMMYFUNCTION("""COMPUTED_VALUE"""),500000)</f>
        <v>500000</v>
      </c>
    </row>
    <row r="4672" spans="1:8" ht="13" x14ac:dyDescent="0.15">
      <c r="A4672" s="5" t="str">
        <f ca="1">IFERROR(__xludf.DUMMYFUNCTION("""COMPUTED_VALUE"""),"79521")</f>
        <v>79521</v>
      </c>
      <c r="B4672" s="51">
        <f ca="1">IFERROR(__xludf.DUMMYFUNCTION("""COMPUTED_VALUE"""),44619)</f>
        <v>44619</v>
      </c>
      <c r="C4672" s="22">
        <f ca="1">IFERROR(__xludf.DUMMYFUNCTION("""COMPUTED_VALUE"""),500000)</f>
        <v>500000</v>
      </c>
      <c r="D4672" s="22">
        <f ca="1">IFERROR(__xludf.DUMMYFUNCTION("""COMPUTED_VALUE"""),0)</f>
        <v>0</v>
      </c>
      <c r="E4672" s="22">
        <f ca="1">IFERROR(__xludf.DUMMYFUNCTION("""COMPUTED_VALUE"""),500000)</f>
        <v>500000</v>
      </c>
      <c r="F4672" s="22">
        <f ca="1">IFERROR(__xludf.DUMMYFUNCTION("""COMPUTED_VALUE"""),500000)</f>
        <v>500000</v>
      </c>
      <c r="G4672" s="22">
        <f ca="1">IFERROR(__xludf.DUMMYFUNCTION("""COMPUTED_VALUE"""),0)</f>
        <v>0</v>
      </c>
      <c r="H4672" s="7">
        <f ca="1">IFERROR(__xludf.DUMMYFUNCTION("""COMPUTED_VALUE"""),500000)</f>
        <v>500000</v>
      </c>
    </row>
    <row r="4673" spans="1:8" ht="13" x14ac:dyDescent="0.15">
      <c r="A4673" s="5" t="str">
        <f ca="1">IFERROR(__xludf.DUMMYFUNCTION("""COMPUTED_VALUE"""),"79521")</f>
        <v>79521</v>
      </c>
      <c r="B4673" s="51">
        <f ca="1">IFERROR(__xludf.DUMMYFUNCTION("""COMPUTED_VALUE"""),44620)</f>
        <v>44620</v>
      </c>
      <c r="C4673" s="22">
        <f ca="1">IFERROR(__xludf.DUMMYFUNCTION("""COMPUTED_VALUE"""),500000)</f>
        <v>500000</v>
      </c>
      <c r="D4673" s="22">
        <f ca="1">IFERROR(__xludf.DUMMYFUNCTION("""COMPUTED_VALUE"""),0)</f>
        <v>0</v>
      </c>
      <c r="E4673" s="22">
        <f ca="1">IFERROR(__xludf.DUMMYFUNCTION("""COMPUTED_VALUE"""),500000)</f>
        <v>500000</v>
      </c>
      <c r="F4673" s="22">
        <f ca="1">IFERROR(__xludf.DUMMYFUNCTION("""COMPUTED_VALUE"""),500000)</f>
        <v>500000</v>
      </c>
      <c r="G4673" s="22">
        <f ca="1">IFERROR(__xludf.DUMMYFUNCTION("""COMPUTED_VALUE"""),0)</f>
        <v>0</v>
      </c>
      <c r="H4673" s="7">
        <f ca="1">IFERROR(__xludf.DUMMYFUNCTION("""COMPUTED_VALUE"""),500000)</f>
        <v>500000</v>
      </c>
    </row>
    <row r="4674" spans="1:8" ht="13" x14ac:dyDescent="0.15">
      <c r="A4674" s="5" t="str">
        <f ca="1">IFERROR(__xludf.DUMMYFUNCTION("""COMPUTED_VALUE"""),"79521")</f>
        <v>79521</v>
      </c>
      <c r="B4674" s="51">
        <f ca="1">IFERROR(__xludf.DUMMYFUNCTION("""COMPUTED_VALUE"""),44621)</f>
        <v>44621</v>
      </c>
      <c r="C4674" s="22">
        <f ca="1">IFERROR(__xludf.DUMMYFUNCTION("""COMPUTED_VALUE"""),500000)</f>
        <v>500000</v>
      </c>
      <c r="D4674" s="22">
        <f ca="1">IFERROR(__xludf.DUMMYFUNCTION("""COMPUTED_VALUE"""),0)</f>
        <v>0</v>
      </c>
      <c r="E4674" s="22">
        <f ca="1">IFERROR(__xludf.DUMMYFUNCTION("""COMPUTED_VALUE"""),500000)</f>
        <v>500000</v>
      </c>
      <c r="F4674" s="22">
        <f ca="1">IFERROR(__xludf.DUMMYFUNCTION("""COMPUTED_VALUE"""),500000)</f>
        <v>500000</v>
      </c>
      <c r="G4674" s="22">
        <f ca="1">IFERROR(__xludf.DUMMYFUNCTION("""COMPUTED_VALUE"""),0)</f>
        <v>0</v>
      </c>
      <c r="H4674" s="7">
        <f ca="1">IFERROR(__xludf.DUMMYFUNCTION("""COMPUTED_VALUE"""),500000)</f>
        <v>500000</v>
      </c>
    </row>
    <row r="4675" spans="1:8" ht="13" x14ac:dyDescent="0.15">
      <c r="A4675" s="5" t="str">
        <f ca="1">IFERROR(__xludf.DUMMYFUNCTION("""COMPUTED_VALUE"""),"79521")</f>
        <v>79521</v>
      </c>
      <c r="B4675" s="51">
        <f ca="1">IFERROR(__xludf.DUMMYFUNCTION("""COMPUTED_VALUE"""),44622)</f>
        <v>44622</v>
      </c>
      <c r="C4675" s="22">
        <f ca="1">IFERROR(__xludf.DUMMYFUNCTION("""COMPUTED_VALUE"""),500000)</f>
        <v>500000</v>
      </c>
      <c r="D4675" s="22">
        <f ca="1">IFERROR(__xludf.DUMMYFUNCTION("""COMPUTED_VALUE"""),0)</f>
        <v>0</v>
      </c>
      <c r="E4675" s="22">
        <f ca="1">IFERROR(__xludf.DUMMYFUNCTION("""COMPUTED_VALUE"""),500000)</f>
        <v>500000</v>
      </c>
      <c r="F4675" s="22">
        <f ca="1">IFERROR(__xludf.DUMMYFUNCTION("""COMPUTED_VALUE"""),500000)</f>
        <v>500000</v>
      </c>
      <c r="G4675" s="22">
        <f ca="1">IFERROR(__xludf.DUMMYFUNCTION("""COMPUTED_VALUE"""),0)</f>
        <v>0</v>
      </c>
      <c r="H4675" s="7">
        <f ca="1">IFERROR(__xludf.DUMMYFUNCTION("""COMPUTED_VALUE"""),500000)</f>
        <v>500000</v>
      </c>
    </row>
    <row r="4676" spans="1:8" ht="13" x14ac:dyDescent="0.15">
      <c r="A4676" s="5" t="str">
        <f ca="1">IFERROR(__xludf.DUMMYFUNCTION("""COMPUTED_VALUE"""),"79521")</f>
        <v>79521</v>
      </c>
      <c r="B4676" s="51">
        <f ca="1">IFERROR(__xludf.DUMMYFUNCTION("""COMPUTED_VALUE"""),44623)</f>
        <v>44623</v>
      </c>
      <c r="C4676" s="22">
        <f ca="1">IFERROR(__xludf.DUMMYFUNCTION("""COMPUTED_VALUE"""),500000)</f>
        <v>500000</v>
      </c>
      <c r="D4676" s="22">
        <f ca="1">IFERROR(__xludf.DUMMYFUNCTION("""COMPUTED_VALUE"""),0)</f>
        <v>0</v>
      </c>
      <c r="E4676" s="22">
        <f ca="1">IFERROR(__xludf.DUMMYFUNCTION("""COMPUTED_VALUE"""),500000)</f>
        <v>500000</v>
      </c>
      <c r="F4676" s="22">
        <f ca="1">IFERROR(__xludf.DUMMYFUNCTION("""COMPUTED_VALUE"""),500000)</f>
        <v>500000</v>
      </c>
      <c r="G4676" s="22">
        <f ca="1">IFERROR(__xludf.DUMMYFUNCTION("""COMPUTED_VALUE"""),0)</f>
        <v>0</v>
      </c>
      <c r="H4676" s="7">
        <f ca="1">IFERROR(__xludf.DUMMYFUNCTION("""COMPUTED_VALUE"""),500000)</f>
        <v>500000</v>
      </c>
    </row>
    <row r="4677" spans="1:8" ht="13" x14ac:dyDescent="0.15">
      <c r="A4677" s="5" t="str">
        <f ca="1">IFERROR(__xludf.DUMMYFUNCTION("""COMPUTED_VALUE"""),"79521")</f>
        <v>79521</v>
      </c>
      <c r="B4677" s="51">
        <f ca="1">IFERROR(__xludf.DUMMYFUNCTION("""COMPUTED_VALUE"""),44624)</f>
        <v>44624</v>
      </c>
      <c r="C4677" s="22">
        <f ca="1">IFERROR(__xludf.DUMMYFUNCTION("""COMPUTED_VALUE"""),500000)</f>
        <v>500000</v>
      </c>
      <c r="D4677" s="22">
        <f ca="1">IFERROR(__xludf.DUMMYFUNCTION("""COMPUTED_VALUE"""),0)</f>
        <v>0</v>
      </c>
      <c r="E4677" s="22">
        <f ca="1">IFERROR(__xludf.DUMMYFUNCTION("""COMPUTED_VALUE"""),500000)</f>
        <v>500000</v>
      </c>
      <c r="F4677" s="22">
        <f ca="1">IFERROR(__xludf.DUMMYFUNCTION("""COMPUTED_VALUE"""),500000)</f>
        <v>500000</v>
      </c>
      <c r="G4677" s="22">
        <f ca="1">IFERROR(__xludf.DUMMYFUNCTION("""COMPUTED_VALUE"""),0)</f>
        <v>0</v>
      </c>
      <c r="H4677" s="7">
        <f ca="1">IFERROR(__xludf.DUMMYFUNCTION("""COMPUTED_VALUE"""),500000)</f>
        <v>500000</v>
      </c>
    </row>
    <row r="4678" spans="1:8" ht="13" x14ac:dyDescent="0.15">
      <c r="A4678" s="5" t="str">
        <f ca="1">IFERROR(__xludf.DUMMYFUNCTION("""COMPUTED_VALUE"""),"79521")</f>
        <v>79521</v>
      </c>
      <c r="B4678" s="51">
        <f ca="1">IFERROR(__xludf.DUMMYFUNCTION("""COMPUTED_VALUE"""),44625)</f>
        <v>44625</v>
      </c>
      <c r="C4678" s="22">
        <f ca="1">IFERROR(__xludf.DUMMYFUNCTION("""COMPUTED_VALUE"""),500000)</f>
        <v>500000</v>
      </c>
      <c r="D4678" s="22">
        <f ca="1">IFERROR(__xludf.DUMMYFUNCTION("""COMPUTED_VALUE"""),0)</f>
        <v>0</v>
      </c>
      <c r="E4678" s="22">
        <f ca="1">IFERROR(__xludf.DUMMYFUNCTION("""COMPUTED_VALUE"""),500000)</f>
        <v>500000</v>
      </c>
      <c r="F4678" s="22">
        <f ca="1">IFERROR(__xludf.DUMMYFUNCTION("""COMPUTED_VALUE"""),500000)</f>
        <v>500000</v>
      </c>
      <c r="G4678" s="22">
        <f ca="1">IFERROR(__xludf.DUMMYFUNCTION("""COMPUTED_VALUE"""),0)</f>
        <v>0</v>
      </c>
      <c r="H4678" s="7">
        <f ca="1">IFERROR(__xludf.DUMMYFUNCTION("""COMPUTED_VALUE"""),500000)</f>
        <v>500000</v>
      </c>
    </row>
    <row r="4679" spans="1:8" ht="13" x14ac:dyDescent="0.15">
      <c r="A4679" s="5" t="str">
        <f ca="1">IFERROR(__xludf.DUMMYFUNCTION("""COMPUTED_VALUE"""),"79521")</f>
        <v>79521</v>
      </c>
      <c r="B4679" s="51">
        <f ca="1">IFERROR(__xludf.DUMMYFUNCTION("""COMPUTED_VALUE"""),44626)</f>
        <v>44626</v>
      </c>
      <c r="C4679" s="22">
        <f ca="1">IFERROR(__xludf.DUMMYFUNCTION("""COMPUTED_VALUE"""),500000)</f>
        <v>500000</v>
      </c>
      <c r="D4679" s="22">
        <f ca="1">IFERROR(__xludf.DUMMYFUNCTION("""COMPUTED_VALUE"""),0)</f>
        <v>0</v>
      </c>
      <c r="E4679" s="22">
        <f ca="1">IFERROR(__xludf.DUMMYFUNCTION("""COMPUTED_VALUE"""),500000)</f>
        <v>500000</v>
      </c>
      <c r="F4679" s="22">
        <f ca="1">IFERROR(__xludf.DUMMYFUNCTION("""COMPUTED_VALUE"""),500000)</f>
        <v>500000</v>
      </c>
      <c r="G4679" s="22">
        <f ca="1">IFERROR(__xludf.DUMMYFUNCTION("""COMPUTED_VALUE"""),0)</f>
        <v>0</v>
      </c>
      <c r="H4679" s="7">
        <f ca="1">IFERROR(__xludf.DUMMYFUNCTION("""COMPUTED_VALUE"""),500000)</f>
        <v>500000</v>
      </c>
    </row>
    <row r="4680" spans="1:8" ht="13" x14ac:dyDescent="0.15">
      <c r="A4680" s="5" t="str">
        <f ca="1">IFERROR(__xludf.DUMMYFUNCTION("""COMPUTED_VALUE"""),"79521")</f>
        <v>79521</v>
      </c>
      <c r="B4680" s="51">
        <f ca="1">IFERROR(__xludf.DUMMYFUNCTION("""COMPUTED_VALUE"""),44627)</f>
        <v>44627</v>
      </c>
      <c r="C4680" s="22">
        <f ca="1">IFERROR(__xludf.DUMMYFUNCTION("""COMPUTED_VALUE"""),8098.34337499996)</f>
        <v>8098.3433749999604</v>
      </c>
      <c r="D4680" s="22">
        <f ca="1">IFERROR(__xludf.DUMMYFUNCTION("""COMPUTED_VALUE"""),491901.656625)</f>
        <v>491901.656625</v>
      </c>
      <c r="E4680" s="22">
        <f ca="1">IFERROR(__xludf.DUMMYFUNCTION("""COMPUTED_VALUE"""),500000)</f>
        <v>500000</v>
      </c>
      <c r="F4680" s="22">
        <f ca="1">IFERROR(__xludf.DUMMYFUNCTION("""COMPUTED_VALUE"""),8098.34337500002)</f>
        <v>8098.3433750000204</v>
      </c>
      <c r="G4680" s="22">
        <f ca="1">IFERROR(__xludf.DUMMYFUNCTION("""COMPUTED_VALUE"""),0)</f>
        <v>0</v>
      </c>
      <c r="H4680" s="7">
        <f ca="1">IFERROR(__xludf.DUMMYFUNCTION("""COMPUTED_VALUE"""),500000)</f>
        <v>500000</v>
      </c>
    </row>
    <row r="4681" spans="1:8" ht="13" x14ac:dyDescent="0.15">
      <c r="A4681" s="5" t="str">
        <f ca="1">IFERROR(__xludf.DUMMYFUNCTION("""COMPUTED_VALUE"""),"79521")</f>
        <v>79521</v>
      </c>
      <c r="B4681" s="51">
        <f ca="1">IFERROR(__xludf.DUMMYFUNCTION("""COMPUTED_VALUE"""),44628)</f>
        <v>44628</v>
      </c>
      <c r="C4681" s="22">
        <f ca="1">IFERROR(__xludf.DUMMYFUNCTION("""COMPUTED_VALUE"""),8098.34337499996)</f>
        <v>8098.3433749999604</v>
      </c>
      <c r="D4681" s="22">
        <f ca="1">IFERROR(__xludf.DUMMYFUNCTION("""COMPUTED_VALUE"""),462348.8118)</f>
        <v>462348.81180000002</v>
      </c>
      <c r="E4681" s="22">
        <f ca="1">IFERROR(__xludf.DUMMYFUNCTION("""COMPUTED_VALUE"""),470447.155174999)</f>
        <v>470447.15517499897</v>
      </c>
      <c r="F4681" s="22">
        <f ca="1">IFERROR(__xludf.DUMMYFUNCTION("""COMPUTED_VALUE"""),8098.34337500002)</f>
        <v>8098.3433750000204</v>
      </c>
      <c r="G4681" s="22">
        <f ca="1">IFERROR(__xludf.DUMMYFUNCTION("""COMPUTED_VALUE"""),0)</f>
        <v>0</v>
      </c>
      <c r="H4681" s="7">
        <f ca="1">IFERROR(__xludf.DUMMYFUNCTION("""COMPUTED_VALUE"""),470447.155174999)</f>
        <v>470447.15517499897</v>
      </c>
    </row>
    <row r="4682" spans="1:8" ht="13" x14ac:dyDescent="0.15">
      <c r="A4682" s="5" t="str">
        <f ca="1">IFERROR(__xludf.DUMMYFUNCTION("""COMPUTED_VALUE"""),"79521")</f>
        <v>79521</v>
      </c>
      <c r="B4682" s="51">
        <f ca="1">IFERROR(__xludf.DUMMYFUNCTION("""COMPUTED_VALUE"""),44629)</f>
        <v>44629</v>
      </c>
      <c r="C4682" s="22">
        <f ca="1">IFERROR(__xludf.DUMMYFUNCTION("""COMPUTED_VALUE"""),8098.34337499996)</f>
        <v>8098.3433749999604</v>
      </c>
      <c r="D4682" s="22">
        <f ca="1">IFERROR(__xludf.DUMMYFUNCTION("""COMPUTED_VALUE"""),435165.11285)</f>
        <v>435165.11284999998</v>
      </c>
      <c r="E4682" s="22">
        <f ca="1">IFERROR(__xludf.DUMMYFUNCTION("""COMPUTED_VALUE"""),443263.456225)</f>
        <v>443263.45622499997</v>
      </c>
      <c r="F4682" s="22">
        <f ca="1">IFERROR(__xludf.DUMMYFUNCTION("""COMPUTED_VALUE"""),8098.34337500002)</f>
        <v>8098.3433750000204</v>
      </c>
      <c r="G4682" s="22">
        <f ca="1">IFERROR(__xludf.DUMMYFUNCTION("""COMPUTED_VALUE"""),0)</f>
        <v>0</v>
      </c>
      <c r="H4682" s="7">
        <f ca="1">IFERROR(__xludf.DUMMYFUNCTION("""COMPUTED_VALUE"""),443263.456225)</f>
        <v>443263.45622499997</v>
      </c>
    </row>
    <row r="4683" spans="1:8" ht="13" x14ac:dyDescent="0.15">
      <c r="A4683" s="5" t="str">
        <f ca="1">IFERROR(__xludf.DUMMYFUNCTION("""COMPUTED_VALUE"""),"79521")</f>
        <v>79521</v>
      </c>
      <c r="B4683" s="51">
        <f ca="1">IFERROR(__xludf.DUMMYFUNCTION("""COMPUTED_VALUE"""),44630)</f>
        <v>44630</v>
      </c>
      <c r="C4683" s="22">
        <f ca="1">IFERROR(__xludf.DUMMYFUNCTION("""COMPUTED_VALUE"""),8098.34337499996)</f>
        <v>8098.3433749999604</v>
      </c>
      <c r="D4683" s="22">
        <f ca="1">IFERROR(__xludf.DUMMYFUNCTION("""COMPUTED_VALUE"""),450367.0159)</f>
        <v>450367.0159</v>
      </c>
      <c r="E4683" s="22">
        <f ca="1">IFERROR(__xludf.DUMMYFUNCTION("""COMPUTED_VALUE"""),458465.359274999)</f>
        <v>458465.35927499901</v>
      </c>
      <c r="F4683" s="22">
        <f ca="1">IFERROR(__xludf.DUMMYFUNCTION("""COMPUTED_VALUE"""),8098.34337500002)</f>
        <v>8098.3433750000204</v>
      </c>
      <c r="G4683" s="22">
        <f ca="1">IFERROR(__xludf.DUMMYFUNCTION("""COMPUTED_VALUE"""),0)</f>
        <v>0</v>
      </c>
      <c r="H4683" s="7">
        <f ca="1">IFERROR(__xludf.DUMMYFUNCTION("""COMPUTED_VALUE"""),458465.359274999)</f>
        <v>458465.35927499901</v>
      </c>
    </row>
    <row r="4684" spans="1:8" ht="13" x14ac:dyDescent="0.15">
      <c r="A4684" s="5" t="str">
        <f ca="1">IFERROR(__xludf.DUMMYFUNCTION("""COMPUTED_VALUE"""),"79521")</f>
        <v>79521</v>
      </c>
      <c r="B4684" s="51">
        <f ca="1">IFERROR(__xludf.DUMMYFUNCTION("""COMPUTED_VALUE"""),44631)</f>
        <v>44631</v>
      </c>
      <c r="C4684" s="22">
        <f ca="1">IFERROR(__xludf.DUMMYFUNCTION("""COMPUTED_VALUE"""),8098.34337499996)</f>
        <v>8098.3433749999604</v>
      </c>
      <c r="D4684" s="22">
        <f ca="1">IFERROR(__xludf.DUMMYFUNCTION("""COMPUTED_VALUE"""),429538.9098)</f>
        <v>429538.90980000002</v>
      </c>
      <c r="E4684" s="22">
        <f ca="1">IFERROR(__xludf.DUMMYFUNCTION("""COMPUTED_VALUE"""),437637.253174999)</f>
        <v>437637.25317499897</v>
      </c>
      <c r="F4684" s="22">
        <f ca="1">IFERROR(__xludf.DUMMYFUNCTION("""COMPUTED_VALUE"""),8098.34337500002)</f>
        <v>8098.3433750000204</v>
      </c>
      <c r="G4684" s="22">
        <f ca="1">IFERROR(__xludf.DUMMYFUNCTION("""COMPUTED_VALUE"""),0)</f>
        <v>0</v>
      </c>
      <c r="H4684" s="7">
        <f ca="1">IFERROR(__xludf.DUMMYFUNCTION("""COMPUTED_VALUE"""),437637.253174999)</f>
        <v>437637.25317499897</v>
      </c>
    </row>
    <row r="4685" spans="1:8" ht="13" x14ac:dyDescent="0.15">
      <c r="A4685" s="5" t="str">
        <f ca="1">IFERROR(__xludf.DUMMYFUNCTION("""COMPUTED_VALUE"""),"79521")</f>
        <v>79521</v>
      </c>
      <c r="B4685" s="51">
        <f ca="1">IFERROR(__xludf.DUMMYFUNCTION("""COMPUTED_VALUE"""),44632)</f>
        <v>44632</v>
      </c>
      <c r="C4685" s="22">
        <f ca="1">IFERROR(__xludf.DUMMYFUNCTION("""COMPUTED_VALUE"""),8098.34337499996)</f>
        <v>8098.3433749999604</v>
      </c>
      <c r="D4685" s="22">
        <f ca="1">IFERROR(__xludf.DUMMYFUNCTION("""COMPUTED_VALUE"""),429538.9098)</f>
        <v>429538.90980000002</v>
      </c>
      <c r="E4685" s="22">
        <f ca="1">IFERROR(__xludf.DUMMYFUNCTION("""COMPUTED_VALUE"""),437637.253174999)</f>
        <v>437637.25317499897</v>
      </c>
      <c r="F4685" s="22">
        <f ca="1">IFERROR(__xludf.DUMMYFUNCTION("""COMPUTED_VALUE"""),8098.34337500002)</f>
        <v>8098.3433750000204</v>
      </c>
      <c r="G4685" s="22">
        <f ca="1">IFERROR(__xludf.DUMMYFUNCTION("""COMPUTED_VALUE"""),0)</f>
        <v>0</v>
      </c>
      <c r="H4685" s="7">
        <f ca="1">IFERROR(__xludf.DUMMYFUNCTION("""COMPUTED_VALUE"""),437637.253174999)</f>
        <v>437637.25317499897</v>
      </c>
    </row>
    <row r="4686" spans="1:8" ht="13" x14ac:dyDescent="0.15">
      <c r="A4686" s="5" t="str">
        <f ca="1">IFERROR(__xludf.DUMMYFUNCTION("""COMPUTED_VALUE"""),"79521")</f>
        <v>79521</v>
      </c>
      <c r="B4686" s="51">
        <f ca="1">IFERROR(__xludf.DUMMYFUNCTION("""COMPUTED_VALUE"""),44633)</f>
        <v>44633</v>
      </c>
      <c r="C4686" s="22">
        <f ca="1">IFERROR(__xludf.DUMMYFUNCTION("""COMPUTED_VALUE"""),8098.34337499996)</f>
        <v>8098.3433749999604</v>
      </c>
      <c r="D4686" s="22">
        <f ca="1">IFERROR(__xludf.DUMMYFUNCTION("""COMPUTED_VALUE"""),430660.5394)</f>
        <v>430660.53940000001</v>
      </c>
      <c r="E4686" s="22">
        <f ca="1">IFERROR(__xludf.DUMMYFUNCTION("""COMPUTED_VALUE"""),438758.882774999)</f>
        <v>438758.88277499902</v>
      </c>
      <c r="F4686" s="22">
        <f ca="1">IFERROR(__xludf.DUMMYFUNCTION("""COMPUTED_VALUE"""),8098.34337500002)</f>
        <v>8098.3433750000204</v>
      </c>
      <c r="G4686" s="22">
        <f ca="1">IFERROR(__xludf.DUMMYFUNCTION("""COMPUTED_VALUE"""),0)</f>
        <v>0</v>
      </c>
      <c r="H4686" s="7">
        <f ca="1">IFERROR(__xludf.DUMMYFUNCTION("""COMPUTED_VALUE"""),438758.882774999)</f>
        <v>438758.88277499902</v>
      </c>
    </row>
    <row r="4687" spans="1:8" ht="13" x14ac:dyDescent="0.15">
      <c r="A4687" s="5" t="str">
        <f ca="1">IFERROR(__xludf.DUMMYFUNCTION("""COMPUTED_VALUE"""),"79521")</f>
        <v>79521</v>
      </c>
      <c r="B4687" s="51">
        <f ca="1">IFERROR(__xludf.DUMMYFUNCTION("""COMPUTED_VALUE"""),44634)</f>
        <v>44634</v>
      </c>
      <c r="C4687" s="22">
        <f ca="1">IFERROR(__xludf.DUMMYFUNCTION("""COMPUTED_VALUE"""),8098.34337499996)</f>
        <v>8098.3433749999604</v>
      </c>
      <c r="D4687" s="22">
        <f ca="1">IFERROR(__xludf.DUMMYFUNCTION("""COMPUTED_VALUE"""),426118.1025)</f>
        <v>426118.10249999998</v>
      </c>
      <c r="E4687" s="22">
        <f ca="1">IFERROR(__xludf.DUMMYFUNCTION("""COMPUTED_VALUE"""),434216.445875)</f>
        <v>434216.44587499998</v>
      </c>
      <c r="F4687" s="22">
        <f ca="1">IFERROR(__xludf.DUMMYFUNCTION("""COMPUTED_VALUE"""),8098.34337500002)</f>
        <v>8098.3433750000204</v>
      </c>
      <c r="G4687" s="22">
        <f ca="1">IFERROR(__xludf.DUMMYFUNCTION("""COMPUTED_VALUE"""),0)</f>
        <v>0</v>
      </c>
      <c r="H4687" s="7">
        <f ca="1">IFERROR(__xludf.DUMMYFUNCTION("""COMPUTED_VALUE"""),434216.445875)</f>
        <v>434216.44587499998</v>
      </c>
    </row>
    <row r="4688" spans="1:8" ht="13" x14ac:dyDescent="0.15">
      <c r="A4688" s="5" t="str">
        <f ca="1">IFERROR(__xludf.DUMMYFUNCTION("""COMPUTED_VALUE"""),"79521")</f>
        <v>79521</v>
      </c>
      <c r="B4688" s="51">
        <f ca="1">IFERROR(__xludf.DUMMYFUNCTION("""COMPUTED_VALUE"""),44635)</f>
        <v>44635</v>
      </c>
      <c r="C4688" s="22">
        <f ca="1">IFERROR(__xludf.DUMMYFUNCTION("""COMPUTED_VALUE"""),8098.34337499996)</f>
        <v>8098.3433749999604</v>
      </c>
      <c r="D4688" s="22">
        <f ca="1">IFERROR(__xludf.DUMMYFUNCTION("""COMPUTED_VALUE"""),405171.3556)</f>
        <v>405171.35560000001</v>
      </c>
      <c r="E4688" s="22">
        <f ca="1">IFERROR(__xludf.DUMMYFUNCTION("""COMPUTED_VALUE"""),413269.698974999)</f>
        <v>413269.69897499902</v>
      </c>
      <c r="F4688" s="22">
        <f ca="1">IFERROR(__xludf.DUMMYFUNCTION("""COMPUTED_VALUE"""),8098.34337500002)</f>
        <v>8098.3433750000204</v>
      </c>
      <c r="G4688" s="22">
        <f ca="1">IFERROR(__xludf.DUMMYFUNCTION("""COMPUTED_VALUE"""),0)</f>
        <v>0</v>
      </c>
      <c r="H4688" s="7">
        <f ca="1">IFERROR(__xludf.DUMMYFUNCTION("""COMPUTED_VALUE"""),413269.698974999)</f>
        <v>413269.69897499902</v>
      </c>
    </row>
    <row r="4689" spans="1:8" ht="13" x14ac:dyDescent="0.15">
      <c r="A4689" s="5" t="str">
        <f ca="1">IFERROR(__xludf.DUMMYFUNCTION("""COMPUTED_VALUE"""),"79521")</f>
        <v>79521</v>
      </c>
      <c r="B4689" s="51">
        <f ca="1">IFERROR(__xludf.DUMMYFUNCTION("""COMPUTED_VALUE"""),44636)</f>
        <v>44636</v>
      </c>
      <c r="C4689" s="22">
        <f ca="1">IFERROR(__xludf.DUMMYFUNCTION("""COMPUTED_VALUE"""),8098.34337499996)</f>
        <v>8098.3433749999604</v>
      </c>
      <c r="D4689" s="22">
        <f ca="1">IFERROR(__xludf.DUMMYFUNCTION("""COMPUTED_VALUE"""),421457.119875)</f>
        <v>421457.11987499997</v>
      </c>
      <c r="E4689" s="22">
        <f ca="1">IFERROR(__xludf.DUMMYFUNCTION("""COMPUTED_VALUE"""),429555.46325)</f>
        <v>429555.46324999997</v>
      </c>
      <c r="F4689" s="22">
        <f ca="1">IFERROR(__xludf.DUMMYFUNCTION("""COMPUTED_VALUE"""),8098.34337500002)</f>
        <v>8098.3433750000204</v>
      </c>
      <c r="G4689" s="22">
        <f ca="1">IFERROR(__xludf.DUMMYFUNCTION("""COMPUTED_VALUE"""),0)</f>
        <v>0</v>
      </c>
      <c r="H4689" s="7">
        <f ca="1">IFERROR(__xludf.DUMMYFUNCTION("""COMPUTED_VALUE"""),429555.46325)</f>
        <v>429555.46324999997</v>
      </c>
    </row>
    <row r="4690" spans="1:8" ht="13" x14ac:dyDescent="0.15">
      <c r="A4690" s="5" t="str">
        <f ca="1">IFERROR(__xludf.DUMMYFUNCTION("""COMPUTED_VALUE"""),"79521")</f>
        <v>79521</v>
      </c>
      <c r="B4690" s="51">
        <f ca="1">IFERROR(__xludf.DUMMYFUNCTION("""COMPUTED_VALUE"""),44637)</f>
        <v>44637</v>
      </c>
      <c r="C4690" s="22">
        <f ca="1">IFERROR(__xludf.DUMMYFUNCTION("""COMPUTED_VALUE"""),432833.880425)</f>
        <v>432833.88042499998</v>
      </c>
      <c r="D4690" s="22">
        <f ca="1">IFERROR(__xludf.DUMMYFUNCTION("""COMPUTED_VALUE"""),0)</f>
        <v>0</v>
      </c>
      <c r="E4690" s="22">
        <f ca="1">IFERROR(__xludf.DUMMYFUNCTION("""COMPUTED_VALUE"""),432833.880425)</f>
        <v>432833.88042499998</v>
      </c>
      <c r="F4690" s="22">
        <f ca="1">IFERROR(__xludf.DUMMYFUNCTION("""COMPUTED_VALUE"""),432833.880425)</f>
        <v>432833.88042499998</v>
      </c>
      <c r="G4690" s="22">
        <f ca="1">IFERROR(__xludf.DUMMYFUNCTION("""COMPUTED_VALUE"""),0)</f>
        <v>0</v>
      </c>
      <c r="H4690" s="7">
        <f ca="1">IFERROR(__xludf.DUMMYFUNCTION("""COMPUTED_VALUE"""),432833.880425)</f>
        <v>432833.88042499998</v>
      </c>
    </row>
    <row r="4691" spans="1:8" ht="13" x14ac:dyDescent="0.15">
      <c r="A4691" s="5" t="str">
        <f ca="1">IFERROR(__xludf.DUMMYFUNCTION("""COMPUTED_VALUE"""),"79521")</f>
        <v>79521</v>
      </c>
      <c r="B4691" s="51">
        <f ca="1">IFERROR(__xludf.DUMMYFUNCTION("""COMPUTED_VALUE"""),44638)</f>
        <v>44638</v>
      </c>
      <c r="C4691" s="22">
        <f ca="1">IFERROR(__xludf.DUMMYFUNCTION("""COMPUTED_VALUE"""),-23987.987125)</f>
        <v>-23987.987125</v>
      </c>
      <c r="D4691" s="22">
        <f ca="1">IFERROR(__xludf.DUMMYFUNCTION("""COMPUTED_VALUE"""),456874.6296)</f>
        <v>456874.62959999999</v>
      </c>
      <c r="E4691" s="22">
        <f ca="1">IFERROR(__xludf.DUMMYFUNCTION("""COMPUTED_VALUE"""),432886.642475)</f>
        <v>432886.642475</v>
      </c>
      <c r="F4691" s="22">
        <f ca="1">IFERROR(__xludf.DUMMYFUNCTION("""COMPUTED_VALUE"""),-23987.987125)</f>
        <v>-23987.987125</v>
      </c>
      <c r="G4691" s="22">
        <f ca="1">IFERROR(__xludf.DUMMYFUNCTION("""COMPUTED_VALUE"""),23987.987125)</f>
        <v>23987.987125</v>
      </c>
      <c r="H4691" s="7">
        <f ca="1">IFERROR(__xludf.DUMMYFUNCTION("""COMPUTED_VALUE"""),432886.642475)</f>
        <v>432886.642475</v>
      </c>
    </row>
    <row r="4692" spans="1:8" ht="13" x14ac:dyDescent="0.15">
      <c r="A4692" s="5" t="str">
        <f ca="1">IFERROR(__xludf.DUMMYFUNCTION("""COMPUTED_VALUE"""),"79521")</f>
        <v>79521</v>
      </c>
      <c r="B4692" s="51">
        <f ca="1">IFERROR(__xludf.DUMMYFUNCTION("""COMPUTED_VALUE"""),44639)</f>
        <v>44639</v>
      </c>
      <c r="C4692" s="22">
        <f ca="1">IFERROR(__xludf.DUMMYFUNCTION("""COMPUTED_VALUE"""),-23987.987125)</f>
        <v>-23987.987125</v>
      </c>
      <c r="D4692" s="22">
        <f ca="1">IFERROR(__xludf.DUMMYFUNCTION("""COMPUTED_VALUE"""),456874.6296)</f>
        <v>456874.62959999999</v>
      </c>
      <c r="E4692" s="22">
        <f ca="1">IFERROR(__xludf.DUMMYFUNCTION("""COMPUTED_VALUE"""),432886.642475)</f>
        <v>432886.642475</v>
      </c>
      <c r="F4692" s="22">
        <f ca="1">IFERROR(__xludf.DUMMYFUNCTION("""COMPUTED_VALUE"""),-23987.987125)</f>
        <v>-23987.987125</v>
      </c>
      <c r="G4692" s="22">
        <f ca="1">IFERROR(__xludf.DUMMYFUNCTION("""COMPUTED_VALUE"""),23987.987125)</f>
        <v>23987.987125</v>
      </c>
      <c r="H4692" s="7">
        <f ca="1">IFERROR(__xludf.DUMMYFUNCTION("""COMPUTED_VALUE"""),432886.642475)</f>
        <v>432886.642475</v>
      </c>
    </row>
    <row r="4693" spans="1:8" ht="13" x14ac:dyDescent="0.15">
      <c r="A4693" s="5" t="str">
        <f ca="1">IFERROR(__xludf.DUMMYFUNCTION("""COMPUTED_VALUE"""),"79521")</f>
        <v>79521</v>
      </c>
      <c r="B4693" s="51">
        <f ca="1">IFERROR(__xludf.DUMMYFUNCTION("""COMPUTED_VALUE"""),44640)</f>
        <v>44640</v>
      </c>
      <c r="C4693" s="22">
        <f ca="1">IFERROR(__xludf.DUMMYFUNCTION("""COMPUTED_VALUE"""),-23987.987125)</f>
        <v>-23987.987125</v>
      </c>
      <c r="D4693" s="22">
        <f ca="1">IFERROR(__xludf.DUMMYFUNCTION("""COMPUTED_VALUE"""),456874.6296)</f>
        <v>456874.62959999999</v>
      </c>
      <c r="E4693" s="22">
        <f ca="1">IFERROR(__xludf.DUMMYFUNCTION("""COMPUTED_VALUE"""),432886.642475)</f>
        <v>432886.642475</v>
      </c>
      <c r="F4693" s="22">
        <f ca="1">IFERROR(__xludf.DUMMYFUNCTION("""COMPUTED_VALUE"""),-23987.987125)</f>
        <v>-23987.987125</v>
      </c>
      <c r="G4693" s="22">
        <f ca="1">IFERROR(__xludf.DUMMYFUNCTION("""COMPUTED_VALUE"""),23987.987125)</f>
        <v>23987.987125</v>
      </c>
      <c r="H4693" s="7">
        <f ca="1">IFERROR(__xludf.DUMMYFUNCTION("""COMPUTED_VALUE"""),432668.701675)</f>
        <v>432668.70167500002</v>
      </c>
    </row>
    <row r="4694" spans="1:8" ht="13" x14ac:dyDescent="0.15">
      <c r="A4694" s="5" t="str">
        <f ca="1">IFERROR(__xludf.DUMMYFUNCTION("""COMPUTED_VALUE"""),"79521")</f>
        <v>79521</v>
      </c>
      <c r="B4694" s="51">
        <f ca="1">IFERROR(__xludf.DUMMYFUNCTION("""COMPUTED_VALUE"""),44641)</f>
        <v>44641</v>
      </c>
      <c r="C4694" s="22">
        <f ca="1">IFERROR(__xludf.DUMMYFUNCTION("""COMPUTED_VALUE"""),348412.012875)</f>
        <v>348412.01287500001</v>
      </c>
      <c r="D4694" s="22">
        <f ca="1">IFERROR(__xludf.DUMMYFUNCTION("""COMPUTED_VALUE"""),79285.094)</f>
        <v>79285.093999999997</v>
      </c>
      <c r="E4694" s="22">
        <f ca="1">IFERROR(__xludf.DUMMYFUNCTION("""COMPUTED_VALUE"""),427697.106875)</f>
        <v>427697.106875</v>
      </c>
      <c r="F4694" s="22">
        <f ca="1">IFERROR(__xludf.DUMMYFUNCTION("""COMPUTED_VALUE"""),348412.012875)</f>
        <v>348412.01287500001</v>
      </c>
      <c r="G4694" s="22">
        <f ca="1">IFERROR(__xludf.DUMMYFUNCTION("""COMPUTED_VALUE"""),0)</f>
        <v>0</v>
      </c>
      <c r="H4694" s="7">
        <f ca="1">IFERROR(__xludf.DUMMYFUNCTION("""COMPUTED_VALUE"""),427697.106875)</f>
        <v>427697.106875</v>
      </c>
    </row>
    <row r="4695" spans="1:8" ht="13" x14ac:dyDescent="0.15">
      <c r="A4695" s="5" t="str">
        <f ca="1">IFERROR(__xludf.DUMMYFUNCTION("""COMPUTED_VALUE"""),"79521")</f>
        <v>79521</v>
      </c>
      <c r="B4695" s="51">
        <f ca="1">IFERROR(__xludf.DUMMYFUNCTION("""COMPUTED_VALUE"""),44642)</f>
        <v>44642</v>
      </c>
      <c r="C4695" s="22">
        <f ca="1">IFERROR(__xludf.DUMMYFUNCTION("""COMPUTED_VALUE"""),348412.012875)</f>
        <v>348412.01287500001</v>
      </c>
      <c r="D4695" s="22">
        <f ca="1">IFERROR(__xludf.DUMMYFUNCTION("""COMPUTED_VALUE"""),92800.7935999999)</f>
        <v>92800.793599999903</v>
      </c>
      <c r="E4695" s="22">
        <f ca="1">IFERROR(__xludf.DUMMYFUNCTION("""COMPUTED_VALUE"""),441212.806475)</f>
        <v>441212.80647499999</v>
      </c>
      <c r="F4695" s="22">
        <f ca="1">IFERROR(__xludf.DUMMYFUNCTION("""COMPUTED_VALUE"""),348412.012875)</f>
        <v>348412.01287500001</v>
      </c>
      <c r="G4695" s="22">
        <f ca="1">IFERROR(__xludf.DUMMYFUNCTION("""COMPUTED_VALUE"""),0)</f>
        <v>0</v>
      </c>
      <c r="H4695" s="7">
        <f ca="1">IFERROR(__xludf.DUMMYFUNCTION("""COMPUTED_VALUE"""),425612.806475)</f>
        <v>425612.80647499999</v>
      </c>
    </row>
    <row r="4696" spans="1:8" ht="13" x14ac:dyDescent="0.15">
      <c r="A4696" s="5" t="str">
        <f ca="1">IFERROR(__xludf.DUMMYFUNCTION("""COMPUTED_VALUE"""),"82124")</f>
        <v>82124</v>
      </c>
      <c r="B4696" s="51">
        <f ca="1">IFERROR(__xludf.DUMMYFUNCTION("""COMPUTED_VALUE"""),44597)</f>
        <v>44597</v>
      </c>
      <c r="C4696" s="22">
        <f ca="1">IFERROR(__xludf.DUMMYFUNCTION("""COMPUTED_VALUE"""),500000)</f>
        <v>500000</v>
      </c>
      <c r="D4696" s="22">
        <f ca="1">IFERROR(__xludf.DUMMYFUNCTION("""COMPUTED_VALUE"""),0)</f>
        <v>0</v>
      </c>
      <c r="E4696" s="22">
        <f ca="1">IFERROR(__xludf.DUMMYFUNCTION("""COMPUTED_VALUE"""),500000)</f>
        <v>500000</v>
      </c>
      <c r="F4696" s="22">
        <f ca="1">IFERROR(__xludf.DUMMYFUNCTION("""COMPUTED_VALUE"""),500000)</f>
        <v>500000</v>
      </c>
      <c r="G4696" s="22">
        <f ca="1">IFERROR(__xludf.DUMMYFUNCTION("""COMPUTED_VALUE"""),0)</f>
        <v>0</v>
      </c>
      <c r="H4696" s="7">
        <f ca="1">IFERROR(__xludf.DUMMYFUNCTION("""COMPUTED_VALUE"""),500000)</f>
        <v>500000</v>
      </c>
    </row>
    <row r="4697" spans="1:8" ht="13" x14ac:dyDescent="0.15">
      <c r="A4697" s="5" t="str">
        <f ca="1">IFERROR(__xludf.DUMMYFUNCTION("""COMPUTED_VALUE"""),"82124")</f>
        <v>82124</v>
      </c>
      <c r="B4697" s="51">
        <f ca="1">IFERROR(__xludf.DUMMYFUNCTION("""COMPUTED_VALUE"""),44598)</f>
        <v>44598</v>
      </c>
      <c r="C4697" s="22">
        <f ca="1">IFERROR(__xludf.DUMMYFUNCTION("""COMPUTED_VALUE"""),500000)</f>
        <v>500000</v>
      </c>
      <c r="D4697" s="22">
        <f ca="1">IFERROR(__xludf.DUMMYFUNCTION("""COMPUTED_VALUE"""),0)</f>
        <v>0</v>
      </c>
      <c r="E4697" s="22">
        <f ca="1">IFERROR(__xludf.DUMMYFUNCTION("""COMPUTED_VALUE"""),500000)</f>
        <v>500000</v>
      </c>
      <c r="F4697" s="22">
        <f ca="1">IFERROR(__xludf.DUMMYFUNCTION("""COMPUTED_VALUE"""),500000)</f>
        <v>500000</v>
      </c>
      <c r="G4697" s="22">
        <f ca="1">IFERROR(__xludf.DUMMYFUNCTION("""COMPUTED_VALUE"""),0)</f>
        <v>0</v>
      </c>
      <c r="H4697" s="7">
        <f ca="1">IFERROR(__xludf.DUMMYFUNCTION("""COMPUTED_VALUE"""),500000)</f>
        <v>500000</v>
      </c>
    </row>
    <row r="4698" spans="1:8" ht="13" x14ac:dyDescent="0.15">
      <c r="A4698" s="5" t="str">
        <f ca="1">IFERROR(__xludf.DUMMYFUNCTION("""COMPUTED_VALUE"""),"82124")</f>
        <v>82124</v>
      </c>
      <c r="B4698" s="51">
        <f ca="1">IFERROR(__xludf.DUMMYFUNCTION("""COMPUTED_VALUE"""),44599)</f>
        <v>44599</v>
      </c>
      <c r="C4698" s="22">
        <f ca="1">IFERROR(__xludf.DUMMYFUNCTION("""COMPUTED_VALUE"""),500000)</f>
        <v>500000</v>
      </c>
      <c r="D4698" s="22">
        <f ca="1">IFERROR(__xludf.DUMMYFUNCTION("""COMPUTED_VALUE"""),0)</f>
        <v>0</v>
      </c>
      <c r="E4698" s="22">
        <f ca="1">IFERROR(__xludf.DUMMYFUNCTION("""COMPUTED_VALUE"""),500000)</f>
        <v>500000</v>
      </c>
      <c r="F4698" s="22">
        <f ca="1">IFERROR(__xludf.DUMMYFUNCTION("""COMPUTED_VALUE"""),500000)</f>
        <v>500000</v>
      </c>
      <c r="G4698" s="22">
        <f ca="1">IFERROR(__xludf.DUMMYFUNCTION("""COMPUTED_VALUE"""),0)</f>
        <v>0</v>
      </c>
      <c r="H4698" s="7">
        <f ca="1">IFERROR(__xludf.DUMMYFUNCTION("""COMPUTED_VALUE"""),500000)</f>
        <v>500000</v>
      </c>
    </row>
    <row r="4699" spans="1:8" ht="13" x14ac:dyDescent="0.15">
      <c r="A4699" s="5" t="str">
        <f ca="1">IFERROR(__xludf.DUMMYFUNCTION("""COMPUTED_VALUE"""),"82124")</f>
        <v>82124</v>
      </c>
      <c r="B4699" s="51">
        <f ca="1">IFERROR(__xludf.DUMMYFUNCTION("""COMPUTED_VALUE"""),44600)</f>
        <v>44600</v>
      </c>
      <c r="C4699" s="22">
        <f ca="1">IFERROR(__xludf.DUMMYFUNCTION("""COMPUTED_VALUE"""),500000)</f>
        <v>500000</v>
      </c>
      <c r="D4699" s="22">
        <f ca="1">IFERROR(__xludf.DUMMYFUNCTION("""COMPUTED_VALUE"""),0)</f>
        <v>0</v>
      </c>
      <c r="E4699" s="22">
        <f ca="1">IFERROR(__xludf.DUMMYFUNCTION("""COMPUTED_VALUE"""),500000)</f>
        <v>500000</v>
      </c>
      <c r="F4699" s="22">
        <f ca="1">IFERROR(__xludf.DUMMYFUNCTION("""COMPUTED_VALUE"""),500000)</f>
        <v>500000</v>
      </c>
      <c r="G4699" s="22">
        <f ca="1">IFERROR(__xludf.DUMMYFUNCTION("""COMPUTED_VALUE"""),0)</f>
        <v>0</v>
      </c>
      <c r="H4699" s="7">
        <f ca="1">IFERROR(__xludf.DUMMYFUNCTION("""COMPUTED_VALUE"""),500000)</f>
        <v>500000</v>
      </c>
    </row>
    <row r="4700" spans="1:8" ht="13" x14ac:dyDescent="0.15">
      <c r="A4700" s="5" t="str">
        <f ca="1">IFERROR(__xludf.DUMMYFUNCTION("""COMPUTED_VALUE"""),"82124")</f>
        <v>82124</v>
      </c>
      <c r="B4700" s="51">
        <f ca="1">IFERROR(__xludf.DUMMYFUNCTION("""COMPUTED_VALUE"""),44601)</f>
        <v>44601</v>
      </c>
      <c r="C4700" s="22">
        <f ca="1">IFERROR(__xludf.DUMMYFUNCTION("""COMPUTED_VALUE"""),500000)</f>
        <v>500000</v>
      </c>
      <c r="D4700" s="22">
        <f ca="1">IFERROR(__xludf.DUMMYFUNCTION("""COMPUTED_VALUE"""),0)</f>
        <v>0</v>
      </c>
      <c r="E4700" s="22">
        <f ca="1">IFERROR(__xludf.DUMMYFUNCTION("""COMPUTED_VALUE"""),500000)</f>
        <v>500000</v>
      </c>
      <c r="F4700" s="22">
        <f ca="1">IFERROR(__xludf.DUMMYFUNCTION("""COMPUTED_VALUE"""),500000)</f>
        <v>500000</v>
      </c>
      <c r="G4700" s="22">
        <f ca="1">IFERROR(__xludf.DUMMYFUNCTION("""COMPUTED_VALUE"""),0)</f>
        <v>0</v>
      </c>
      <c r="H4700" s="7">
        <f ca="1">IFERROR(__xludf.DUMMYFUNCTION("""COMPUTED_VALUE"""),500000)</f>
        <v>500000</v>
      </c>
    </row>
    <row r="4701" spans="1:8" ht="13" x14ac:dyDescent="0.15">
      <c r="A4701" s="5" t="str">
        <f ca="1">IFERROR(__xludf.DUMMYFUNCTION("""COMPUTED_VALUE"""),"82124")</f>
        <v>82124</v>
      </c>
      <c r="B4701" s="51">
        <f ca="1">IFERROR(__xludf.DUMMYFUNCTION("""COMPUTED_VALUE"""),44602)</f>
        <v>44602</v>
      </c>
      <c r="C4701" s="22">
        <f ca="1">IFERROR(__xludf.DUMMYFUNCTION("""COMPUTED_VALUE"""),500000)</f>
        <v>500000</v>
      </c>
      <c r="D4701" s="22">
        <f ca="1">IFERROR(__xludf.DUMMYFUNCTION("""COMPUTED_VALUE"""),0)</f>
        <v>0</v>
      </c>
      <c r="E4701" s="22">
        <f ca="1">IFERROR(__xludf.DUMMYFUNCTION("""COMPUTED_VALUE"""),500000)</f>
        <v>500000</v>
      </c>
      <c r="F4701" s="22">
        <f ca="1">IFERROR(__xludf.DUMMYFUNCTION("""COMPUTED_VALUE"""),500000)</f>
        <v>500000</v>
      </c>
      <c r="G4701" s="22">
        <f ca="1">IFERROR(__xludf.DUMMYFUNCTION("""COMPUTED_VALUE"""),0)</f>
        <v>0</v>
      </c>
      <c r="H4701" s="7">
        <f ca="1">IFERROR(__xludf.DUMMYFUNCTION("""COMPUTED_VALUE"""),500000)</f>
        <v>500000</v>
      </c>
    </row>
    <row r="4702" spans="1:8" ht="13" x14ac:dyDescent="0.15">
      <c r="A4702" s="5" t="str">
        <f ca="1">IFERROR(__xludf.DUMMYFUNCTION("""COMPUTED_VALUE"""),"82124")</f>
        <v>82124</v>
      </c>
      <c r="B4702" s="51">
        <f ca="1">IFERROR(__xludf.DUMMYFUNCTION("""COMPUTED_VALUE"""),44603)</f>
        <v>44603</v>
      </c>
      <c r="C4702" s="22">
        <f ca="1">IFERROR(__xludf.DUMMYFUNCTION("""COMPUTED_VALUE"""),500000)</f>
        <v>500000</v>
      </c>
      <c r="D4702" s="22">
        <f ca="1">IFERROR(__xludf.DUMMYFUNCTION("""COMPUTED_VALUE"""),0)</f>
        <v>0</v>
      </c>
      <c r="E4702" s="22">
        <f ca="1">IFERROR(__xludf.DUMMYFUNCTION("""COMPUTED_VALUE"""),500000)</f>
        <v>500000</v>
      </c>
      <c r="F4702" s="22">
        <f ca="1">IFERROR(__xludf.DUMMYFUNCTION("""COMPUTED_VALUE"""),500000)</f>
        <v>500000</v>
      </c>
      <c r="G4702" s="22">
        <f ca="1">IFERROR(__xludf.DUMMYFUNCTION("""COMPUTED_VALUE"""),0)</f>
        <v>0</v>
      </c>
      <c r="H4702" s="7">
        <f ca="1">IFERROR(__xludf.DUMMYFUNCTION("""COMPUTED_VALUE"""),500000)</f>
        <v>500000</v>
      </c>
    </row>
    <row r="4703" spans="1:8" ht="13" x14ac:dyDescent="0.15">
      <c r="A4703" s="5" t="str">
        <f ca="1">IFERROR(__xludf.DUMMYFUNCTION("""COMPUTED_VALUE"""),"82124")</f>
        <v>82124</v>
      </c>
      <c r="B4703" s="51">
        <f ca="1">IFERROR(__xludf.DUMMYFUNCTION("""COMPUTED_VALUE"""),44604)</f>
        <v>44604</v>
      </c>
      <c r="C4703" s="22">
        <f ca="1">IFERROR(__xludf.DUMMYFUNCTION("""COMPUTED_VALUE"""),500000)</f>
        <v>500000</v>
      </c>
      <c r="D4703" s="22">
        <f ca="1">IFERROR(__xludf.DUMMYFUNCTION("""COMPUTED_VALUE"""),0)</f>
        <v>0</v>
      </c>
      <c r="E4703" s="22">
        <f ca="1">IFERROR(__xludf.DUMMYFUNCTION("""COMPUTED_VALUE"""),500000)</f>
        <v>500000</v>
      </c>
      <c r="F4703" s="22">
        <f ca="1">IFERROR(__xludf.DUMMYFUNCTION("""COMPUTED_VALUE"""),500000)</f>
        <v>500000</v>
      </c>
      <c r="G4703" s="22">
        <f ca="1">IFERROR(__xludf.DUMMYFUNCTION("""COMPUTED_VALUE"""),0)</f>
        <v>0</v>
      </c>
      <c r="H4703" s="7">
        <f ca="1">IFERROR(__xludf.DUMMYFUNCTION("""COMPUTED_VALUE"""),500000)</f>
        <v>500000</v>
      </c>
    </row>
    <row r="4704" spans="1:8" ht="13" x14ac:dyDescent="0.15">
      <c r="A4704" s="5" t="str">
        <f ca="1">IFERROR(__xludf.DUMMYFUNCTION("""COMPUTED_VALUE"""),"82124")</f>
        <v>82124</v>
      </c>
      <c r="B4704" s="51">
        <f ca="1">IFERROR(__xludf.DUMMYFUNCTION("""COMPUTED_VALUE"""),44605)</f>
        <v>44605</v>
      </c>
      <c r="C4704" s="22">
        <f ca="1">IFERROR(__xludf.DUMMYFUNCTION("""COMPUTED_VALUE"""),500000)</f>
        <v>500000</v>
      </c>
      <c r="D4704" s="22">
        <f ca="1">IFERROR(__xludf.DUMMYFUNCTION("""COMPUTED_VALUE"""),0)</f>
        <v>0</v>
      </c>
      <c r="E4704" s="22">
        <f ca="1">IFERROR(__xludf.DUMMYFUNCTION("""COMPUTED_VALUE"""),500000)</f>
        <v>500000</v>
      </c>
      <c r="F4704" s="22">
        <f ca="1">IFERROR(__xludf.DUMMYFUNCTION("""COMPUTED_VALUE"""),500000)</f>
        <v>500000</v>
      </c>
      <c r="G4704" s="22">
        <f ca="1">IFERROR(__xludf.DUMMYFUNCTION("""COMPUTED_VALUE"""),0)</f>
        <v>0</v>
      </c>
      <c r="H4704" s="7">
        <f ca="1">IFERROR(__xludf.DUMMYFUNCTION("""COMPUTED_VALUE"""),500000)</f>
        <v>500000</v>
      </c>
    </row>
    <row r="4705" spans="1:8" ht="13" x14ac:dyDescent="0.15">
      <c r="A4705" s="5" t="str">
        <f ca="1">IFERROR(__xludf.DUMMYFUNCTION("""COMPUTED_VALUE"""),"82124")</f>
        <v>82124</v>
      </c>
      <c r="B4705" s="51">
        <f ca="1">IFERROR(__xludf.DUMMYFUNCTION("""COMPUTED_VALUE"""),44606)</f>
        <v>44606</v>
      </c>
      <c r="C4705" s="22">
        <f ca="1">IFERROR(__xludf.DUMMYFUNCTION("""COMPUTED_VALUE"""),500000)</f>
        <v>500000</v>
      </c>
      <c r="D4705" s="22">
        <f ca="1">IFERROR(__xludf.DUMMYFUNCTION("""COMPUTED_VALUE"""),0)</f>
        <v>0</v>
      </c>
      <c r="E4705" s="22">
        <f ca="1">IFERROR(__xludf.DUMMYFUNCTION("""COMPUTED_VALUE"""),500000)</f>
        <v>500000</v>
      </c>
      <c r="F4705" s="22">
        <f ca="1">IFERROR(__xludf.DUMMYFUNCTION("""COMPUTED_VALUE"""),500000)</f>
        <v>500000</v>
      </c>
      <c r="G4705" s="22">
        <f ca="1">IFERROR(__xludf.DUMMYFUNCTION("""COMPUTED_VALUE"""),0)</f>
        <v>0</v>
      </c>
      <c r="H4705" s="7">
        <f ca="1">IFERROR(__xludf.DUMMYFUNCTION("""COMPUTED_VALUE"""),500000)</f>
        <v>500000</v>
      </c>
    </row>
    <row r="4706" spans="1:8" ht="13" x14ac:dyDescent="0.15">
      <c r="A4706" s="5" t="str">
        <f ca="1">IFERROR(__xludf.DUMMYFUNCTION("""COMPUTED_VALUE"""),"82124")</f>
        <v>82124</v>
      </c>
      <c r="B4706" s="51">
        <f ca="1">IFERROR(__xludf.DUMMYFUNCTION("""COMPUTED_VALUE"""),44607)</f>
        <v>44607</v>
      </c>
      <c r="C4706" s="22">
        <f ca="1">IFERROR(__xludf.DUMMYFUNCTION("""COMPUTED_VALUE"""),500000)</f>
        <v>500000</v>
      </c>
      <c r="D4706" s="22">
        <f ca="1">IFERROR(__xludf.DUMMYFUNCTION("""COMPUTED_VALUE"""),0)</f>
        <v>0</v>
      </c>
      <c r="E4706" s="22">
        <f ca="1">IFERROR(__xludf.DUMMYFUNCTION("""COMPUTED_VALUE"""),500000)</f>
        <v>500000</v>
      </c>
      <c r="F4706" s="22">
        <f ca="1">IFERROR(__xludf.DUMMYFUNCTION("""COMPUTED_VALUE"""),500000)</f>
        <v>500000</v>
      </c>
      <c r="G4706" s="22">
        <f ca="1">IFERROR(__xludf.DUMMYFUNCTION("""COMPUTED_VALUE"""),0)</f>
        <v>0</v>
      </c>
      <c r="H4706" s="7">
        <f ca="1">IFERROR(__xludf.DUMMYFUNCTION("""COMPUTED_VALUE"""),500000)</f>
        <v>500000</v>
      </c>
    </row>
    <row r="4707" spans="1:8" ht="13" x14ac:dyDescent="0.15">
      <c r="A4707" s="5" t="str">
        <f ca="1">IFERROR(__xludf.DUMMYFUNCTION("""COMPUTED_VALUE"""),"82124")</f>
        <v>82124</v>
      </c>
      <c r="B4707" s="51">
        <f ca="1">IFERROR(__xludf.DUMMYFUNCTION("""COMPUTED_VALUE"""),44608)</f>
        <v>44608</v>
      </c>
      <c r="C4707" s="22">
        <f ca="1">IFERROR(__xludf.DUMMYFUNCTION("""COMPUTED_VALUE"""),475500)</f>
        <v>475500</v>
      </c>
      <c r="D4707" s="22">
        <f ca="1">IFERROR(__xludf.DUMMYFUNCTION("""COMPUTED_VALUE"""),24500)</f>
        <v>24500</v>
      </c>
      <c r="E4707" s="22">
        <f ca="1">IFERROR(__xludf.DUMMYFUNCTION("""COMPUTED_VALUE"""),500000)</f>
        <v>500000</v>
      </c>
      <c r="F4707" s="22">
        <f ca="1">IFERROR(__xludf.DUMMYFUNCTION("""COMPUTED_VALUE"""),475500)</f>
        <v>475500</v>
      </c>
      <c r="G4707" s="22">
        <f ca="1">IFERROR(__xludf.DUMMYFUNCTION("""COMPUTED_VALUE"""),0)</f>
        <v>0</v>
      </c>
      <c r="H4707" s="7">
        <f ca="1">IFERROR(__xludf.DUMMYFUNCTION("""COMPUTED_VALUE"""),500000)</f>
        <v>500000</v>
      </c>
    </row>
    <row r="4708" spans="1:8" ht="13" x14ac:dyDescent="0.15">
      <c r="A4708" s="5" t="str">
        <f ca="1">IFERROR(__xludf.DUMMYFUNCTION("""COMPUTED_VALUE"""),"82124")</f>
        <v>82124</v>
      </c>
      <c r="B4708" s="51">
        <f ca="1">IFERROR(__xludf.DUMMYFUNCTION("""COMPUTED_VALUE"""),44609)</f>
        <v>44609</v>
      </c>
      <c r="C4708" s="22">
        <f ca="1">IFERROR(__xludf.DUMMYFUNCTION("""COMPUTED_VALUE"""),475500)</f>
        <v>475500</v>
      </c>
      <c r="D4708" s="22">
        <f ca="1">IFERROR(__xludf.DUMMYFUNCTION("""COMPUTED_VALUE"""),24500)</f>
        <v>24500</v>
      </c>
      <c r="E4708" s="22">
        <f ca="1">IFERROR(__xludf.DUMMYFUNCTION("""COMPUTED_VALUE"""),500000)</f>
        <v>500000</v>
      </c>
      <c r="F4708" s="22">
        <f ca="1">IFERROR(__xludf.DUMMYFUNCTION("""COMPUTED_VALUE"""),475500)</f>
        <v>475500</v>
      </c>
      <c r="G4708" s="22">
        <f ca="1">IFERROR(__xludf.DUMMYFUNCTION("""COMPUTED_VALUE"""),0)</f>
        <v>0</v>
      </c>
      <c r="H4708" s="7">
        <f ca="1">IFERROR(__xludf.DUMMYFUNCTION("""COMPUTED_VALUE"""),500100)</f>
        <v>500100</v>
      </c>
    </row>
    <row r="4709" spans="1:8" ht="13" x14ac:dyDescent="0.15">
      <c r="A4709" s="5" t="str">
        <f ca="1">IFERROR(__xludf.DUMMYFUNCTION("""COMPUTED_VALUE"""),"82124")</f>
        <v>82124</v>
      </c>
      <c r="B4709" s="51">
        <f ca="1">IFERROR(__xludf.DUMMYFUNCTION("""COMPUTED_VALUE"""),44610)</f>
        <v>44610</v>
      </c>
      <c r="C4709" s="22">
        <f ca="1">IFERROR(__xludf.DUMMYFUNCTION("""COMPUTED_VALUE"""),475500)</f>
        <v>475500</v>
      </c>
      <c r="D4709" s="22">
        <f ca="1">IFERROR(__xludf.DUMMYFUNCTION("""COMPUTED_VALUE"""),24500)</f>
        <v>24500</v>
      </c>
      <c r="E4709" s="22">
        <f ca="1">IFERROR(__xludf.DUMMYFUNCTION("""COMPUTED_VALUE"""),500000)</f>
        <v>500000</v>
      </c>
      <c r="F4709" s="22">
        <f ca="1">IFERROR(__xludf.DUMMYFUNCTION("""COMPUTED_VALUE"""),475500)</f>
        <v>475500</v>
      </c>
      <c r="G4709" s="22">
        <f ca="1">IFERROR(__xludf.DUMMYFUNCTION("""COMPUTED_VALUE"""),0)</f>
        <v>0</v>
      </c>
      <c r="H4709" s="7">
        <f ca="1">IFERROR(__xludf.DUMMYFUNCTION("""COMPUTED_VALUE"""),499400)</f>
        <v>499400</v>
      </c>
    </row>
    <row r="4710" spans="1:8" ht="13" x14ac:dyDescent="0.15">
      <c r="A4710" s="5" t="str">
        <f ca="1">IFERROR(__xludf.DUMMYFUNCTION("""COMPUTED_VALUE"""),"82124")</f>
        <v>82124</v>
      </c>
      <c r="B4710" s="51">
        <f ca="1">IFERROR(__xludf.DUMMYFUNCTION("""COMPUTED_VALUE"""),44611)</f>
        <v>44611</v>
      </c>
      <c r="C4710" s="22">
        <f ca="1">IFERROR(__xludf.DUMMYFUNCTION("""COMPUTED_VALUE"""),475500)</f>
        <v>475500</v>
      </c>
      <c r="D4710" s="22">
        <f ca="1">IFERROR(__xludf.DUMMYFUNCTION("""COMPUTED_VALUE"""),24500)</f>
        <v>24500</v>
      </c>
      <c r="E4710" s="22">
        <f ca="1">IFERROR(__xludf.DUMMYFUNCTION("""COMPUTED_VALUE"""),500000)</f>
        <v>500000</v>
      </c>
      <c r="F4710" s="22">
        <f ca="1">IFERROR(__xludf.DUMMYFUNCTION("""COMPUTED_VALUE"""),475500)</f>
        <v>475500</v>
      </c>
      <c r="G4710" s="22">
        <f ca="1">IFERROR(__xludf.DUMMYFUNCTION("""COMPUTED_VALUE"""),0)</f>
        <v>0</v>
      </c>
      <c r="H4710" s="7">
        <f ca="1">IFERROR(__xludf.DUMMYFUNCTION("""COMPUTED_VALUE"""),499400)</f>
        <v>499400</v>
      </c>
    </row>
    <row r="4711" spans="1:8" ht="13" x14ac:dyDescent="0.15">
      <c r="A4711" s="5" t="str">
        <f ca="1">IFERROR(__xludf.DUMMYFUNCTION("""COMPUTED_VALUE"""),"82124")</f>
        <v>82124</v>
      </c>
      <c r="B4711" s="51">
        <f ca="1">IFERROR(__xludf.DUMMYFUNCTION("""COMPUTED_VALUE"""),44612)</f>
        <v>44612</v>
      </c>
      <c r="C4711" s="22">
        <f ca="1">IFERROR(__xludf.DUMMYFUNCTION("""COMPUTED_VALUE"""),475500)</f>
        <v>475500</v>
      </c>
      <c r="D4711" s="22">
        <f ca="1">IFERROR(__xludf.DUMMYFUNCTION("""COMPUTED_VALUE"""),24500)</f>
        <v>24500</v>
      </c>
      <c r="E4711" s="22">
        <f ca="1">IFERROR(__xludf.DUMMYFUNCTION("""COMPUTED_VALUE"""),500000)</f>
        <v>500000</v>
      </c>
      <c r="F4711" s="22">
        <f ca="1">IFERROR(__xludf.DUMMYFUNCTION("""COMPUTED_VALUE"""),475500)</f>
        <v>475500</v>
      </c>
      <c r="G4711" s="22">
        <f ca="1">IFERROR(__xludf.DUMMYFUNCTION("""COMPUTED_VALUE"""),0)</f>
        <v>0</v>
      </c>
      <c r="H4711" s="7">
        <f ca="1">IFERROR(__xludf.DUMMYFUNCTION("""COMPUTED_VALUE"""),499400)</f>
        <v>499400</v>
      </c>
    </row>
    <row r="4712" spans="1:8" ht="13" x14ac:dyDescent="0.15">
      <c r="A4712" s="5" t="str">
        <f ca="1">IFERROR(__xludf.DUMMYFUNCTION("""COMPUTED_VALUE"""),"82124")</f>
        <v>82124</v>
      </c>
      <c r="B4712" s="51">
        <f ca="1">IFERROR(__xludf.DUMMYFUNCTION("""COMPUTED_VALUE"""),44613)</f>
        <v>44613</v>
      </c>
      <c r="C4712" s="22">
        <f ca="1">IFERROR(__xludf.DUMMYFUNCTION("""COMPUTED_VALUE"""),419600)</f>
        <v>419600</v>
      </c>
      <c r="D4712" s="22">
        <f ca="1">IFERROR(__xludf.DUMMYFUNCTION("""COMPUTED_VALUE"""),78880)</f>
        <v>78880</v>
      </c>
      <c r="E4712" s="22">
        <f ca="1">IFERROR(__xludf.DUMMYFUNCTION("""COMPUTED_VALUE"""),498480)</f>
        <v>498480</v>
      </c>
      <c r="F4712" s="22">
        <f ca="1">IFERROR(__xludf.DUMMYFUNCTION("""COMPUTED_VALUE"""),419600)</f>
        <v>419600</v>
      </c>
      <c r="G4712" s="22">
        <f ca="1">IFERROR(__xludf.DUMMYFUNCTION("""COMPUTED_VALUE"""),0)</f>
        <v>0</v>
      </c>
      <c r="H4712" s="7">
        <f ca="1">IFERROR(__xludf.DUMMYFUNCTION("""COMPUTED_VALUE"""),498480)</f>
        <v>498480</v>
      </c>
    </row>
    <row r="4713" spans="1:8" ht="13" x14ac:dyDescent="0.15">
      <c r="A4713" s="5" t="str">
        <f ca="1">IFERROR(__xludf.DUMMYFUNCTION("""COMPUTED_VALUE"""),"82124")</f>
        <v>82124</v>
      </c>
      <c r="B4713" s="51">
        <f ca="1">IFERROR(__xludf.DUMMYFUNCTION("""COMPUTED_VALUE"""),44614)</f>
        <v>44614</v>
      </c>
      <c r="C4713" s="22">
        <f ca="1">IFERROR(__xludf.DUMMYFUNCTION("""COMPUTED_VALUE"""),419600)</f>
        <v>419600</v>
      </c>
      <c r="D4713" s="22">
        <f ca="1">IFERROR(__xludf.DUMMYFUNCTION("""COMPUTED_VALUE"""),78180)</f>
        <v>78180</v>
      </c>
      <c r="E4713" s="22">
        <f ca="1">IFERROR(__xludf.DUMMYFUNCTION("""COMPUTED_VALUE"""),497780)</f>
        <v>497780</v>
      </c>
      <c r="F4713" s="22">
        <f ca="1">IFERROR(__xludf.DUMMYFUNCTION("""COMPUTED_VALUE"""),419600)</f>
        <v>419600</v>
      </c>
      <c r="G4713" s="22">
        <f ca="1">IFERROR(__xludf.DUMMYFUNCTION("""COMPUTED_VALUE"""),0)</f>
        <v>0</v>
      </c>
      <c r="H4713" s="7">
        <f ca="1">IFERROR(__xludf.DUMMYFUNCTION("""COMPUTED_VALUE"""),497180)</f>
        <v>497180</v>
      </c>
    </row>
    <row r="4714" spans="1:8" ht="13" x14ac:dyDescent="0.15">
      <c r="A4714" s="5" t="str">
        <f ca="1">IFERROR(__xludf.DUMMYFUNCTION("""COMPUTED_VALUE"""),"82124")</f>
        <v>82124</v>
      </c>
      <c r="B4714" s="51">
        <f ca="1">IFERROR(__xludf.DUMMYFUNCTION("""COMPUTED_VALUE"""),44615)</f>
        <v>44615</v>
      </c>
      <c r="C4714" s="22">
        <f ca="1">IFERROR(__xludf.DUMMYFUNCTION("""COMPUTED_VALUE"""),419600)</f>
        <v>419600</v>
      </c>
      <c r="D4714" s="22">
        <f ca="1">IFERROR(__xludf.DUMMYFUNCTION("""COMPUTED_VALUE"""),78380)</f>
        <v>78380</v>
      </c>
      <c r="E4714" s="22">
        <f ca="1">IFERROR(__xludf.DUMMYFUNCTION("""COMPUTED_VALUE"""),497980)</f>
        <v>497980</v>
      </c>
      <c r="F4714" s="22">
        <f ca="1">IFERROR(__xludf.DUMMYFUNCTION("""COMPUTED_VALUE"""),419600)</f>
        <v>419600</v>
      </c>
      <c r="G4714" s="22">
        <f ca="1">IFERROR(__xludf.DUMMYFUNCTION("""COMPUTED_VALUE"""),0)</f>
        <v>0</v>
      </c>
      <c r="H4714" s="7">
        <f ca="1">IFERROR(__xludf.DUMMYFUNCTION("""COMPUTED_VALUE"""),496980)</f>
        <v>496980</v>
      </c>
    </row>
    <row r="4715" spans="1:8" ht="13" x14ac:dyDescent="0.15">
      <c r="A4715" s="5" t="str">
        <f ca="1">IFERROR(__xludf.DUMMYFUNCTION("""COMPUTED_VALUE"""),"82124")</f>
        <v>82124</v>
      </c>
      <c r="B4715" s="51">
        <f ca="1">IFERROR(__xludf.DUMMYFUNCTION("""COMPUTED_VALUE"""),44616)</f>
        <v>44616</v>
      </c>
      <c r="C4715" s="22">
        <f ca="1">IFERROR(__xludf.DUMMYFUNCTION("""COMPUTED_VALUE"""),419600)</f>
        <v>419600</v>
      </c>
      <c r="D4715" s="22">
        <f ca="1">IFERROR(__xludf.DUMMYFUNCTION("""COMPUTED_VALUE"""),76880)</f>
        <v>76880</v>
      </c>
      <c r="E4715" s="22">
        <f ca="1">IFERROR(__xludf.DUMMYFUNCTION("""COMPUTED_VALUE"""),496480)</f>
        <v>496480</v>
      </c>
      <c r="F4715" s="22">
        <f ca="1">IFERROR(__xludf.DUMMYFUNCTION("""COMPUTED_VALUE"""),419600)</f>
        <v>419600</v>
      </c>
      <c r="G4715" s="22">
        <f ca="1">IFERROR(__xludf.DUMMYFUNCTION("""COMPUTED_VALUE"""),0)</f>
        <v>0</v>
      </c>
      <c r="H4715" s="7">
        <f ca="1">IFERROR(__xludf.DUMMYFUNCTION("""COMPUTED_VALUE"""),494580)</f>
        <v>494580</v>
      </c>
    </row>
    <row r="4716" spans="1:8" ht="13" x14ac:dyDescent="0.15">
      <c r="A4716" s="5" t="str">
        <f ca="1">IFERROR(__xludf.DUMMYFUNCTION("""COMPUTED_VALUE"""),"82124")</f>
        <v>82124</v>
      </c>
      <c r="B4716" s="51">
        <f ca="1">IFERROR(__xludf.DUMMYFUNCTION("""COMPUTED_VALUE"""),44617)</f>
        <v>44617</v>
      </c>
      <c r="C4716" s="22">
        <f ca="1">IFERROR(__xludf.DUMMYFUNCTION("""COMPUTED_VALUE"""),419600)</f>
        <v>419600</v>
      </c>
      <c r="D4716" s="22">
        <f ca="1">IFERROR(__xludf.DUMMYFUNCTION("""COMPUTED_VALUE"""),76960)</f>
        <v>76960</v>
      </c>
      <c r="E4716" s="22">
        <f ca="1">IFERROR(__xludf.DUMMYFUNCTION("""COMPUTED_VALUE"""),496560)</f>
        <v>496560</v>
      </c>
      <c r="F4716" s="22">
        <f ca="1">IFERROR(__xludf.DUMMYFUNCTION("""COMPUTED_VALUE"""),419600)</f>
        <v>419600</v>
      </c>
      <c r="G4716" s="22">
        <f ca="1">IFERROR(__xludf.DUMMYFUNCTION("""COMPUTED_VALUE"""),0)</f>
        <v>0</v>
      </c>
      <c r="H4716" s="7">
        <f ca="1">IFERROR(__xludf.DUMMYFUNCTION("""COMPUTED_VALUE"""),493810)</f>
        <v>493810</v>
      </c>
    </row>
    <row r="4717" spans="1:8" ht="13" x14ac:dyDescent="0.15">
      <c r="A4717" s="5" t="str">
        <f ca="1">IFERROR(__xludf.DUMMYFUNCTION("""COMPUTED_VALUE"""),"82124")</f>
        <v>82124</v>
      </c>
      <c r="B4717" s="51">
        <f ca="1">IFERROR(__xludf.DUMMYFUNCTION("""COMPUTED_VALUE"""),44618)</f>
        <v>44618</v>
      </c>
      <c r="C4717" s="22">
        <f ca="1">IFERROR(__xludf.DUMMYFUNCTION("""COMPUTED_VALUE"""),419600)</f>
        <v>419600</v>
      </c>
      <c r="D4717" s="22">
        <f ca="1">IFERROR(__xludf.DUMMYFUNCTION("""COMPUTED_VALUE"""),76960)</f>
        <v>76960</v>
      </c>
      <c r="E4717" s="22">
        <f ca="1">IFERROR(__xludf.DUMMYFUNCTION("""COMPUTED_VALUE"""),496560)</f>
        <v>496560</v>
      </c>
      <c r="F4717" s="22">
        <f ca="1">IFERROR(__xludf.DUMMYFUNCTION("""COMPUTED_VALUE"""),419600)</f>
        <v>419600</v>
      </c>
      <c r="G4717" s="22">
        <f ca="1">IFERROR(__xludf.DUMMYFUNCTION("""COMPUTED_VALUE"""),0)</f>
        <v>0</v>
      </c>
      <c r="H4717" s="7">
        <f ca="1">IFERROR(__xludf.DUMMYFUNCTION("""COMPUTED_VALUE"""),493810)</f>
        <v>493810</v>
      </c>
    </row>
    <row r="4718" spans="1:8" ht="13" x14ac:dyDescent="0.15">
      <c r="A4718" s="5" t="str">
        <f ca="1">IFERROR(__xludf.DUMMYFUNCTION("""COMPUTED_VALUE"""),"82124")</f>
        <v>82124</v>
      </c>
      <c r="B4718" s="51">
        <f ca="1">IFERROR(__xludf.DUMMYFUNCTION("""COMPUTED_VALUE"""),44619)</f>
        <v>44619</v>
      </c>
      <c r="C4718" s="22">
        <f ca="1">IFERROR(__xludf.DUMMYFUNCTION("""COMPUTED_VALUE"""),419600)</f>
        <v>419600</v>
      </c>
      <c r="D4718" s="22">
        <f ca="1">IFERROR(__xludf.DUMMYFUNCTION("""COMPUTED_VALUE"""),76960)</f>
        <v>76960</v>
      </c>
      <c r="E4718" s="22">
        <f ca="1">IFERROR(__xludf.DUMMYFUNCTION("""COMPUTED_VALUE"""),496560)</f>
        <v>496560</v>
      </c>
      <c r="F4718" s="22">
        <f ca="1">IFERROR(__xludf.DUMMYFUNCTION("""COMPUTED_VALUE"""),419600)</f>
        <v>419600</v>
      </c>
      <c r="G4718" s="22">
        <f ca="1">IFERROR(__xludf.DUMMYFUNCTION("""COMPUTED_VALUE"""),0)</f>
        <v>0</v>
      </c>
      <c r="H4718" s="7">
        <f ca="1">IFERROR(__xludf.DUMMYFUNCTION("""COMPUTED_VALUE"""),493810)</f>
        <v>493810</v>
      </c>
    </row>
    <row r="4719" spans="1:8" ht="13" x14ac:dyDescent="0.15">
      <c r="A4719" s="5" t="str">
        <f ca="1">IFERROR(__xludf.DUMMYFUNCTION("""COMPUTED_VALUE"""),"82124")</f>
        <v>82124</v>
      </c>
      <c r="B4719" s="51">
        <f ca="1">IFERROR(__xludf.DUMMYFUNCTION("""COMPUTED_VALUE"""),44620)</f>
        <v>44620</v>
      </c>
      <c r="C4719" s="22">
        <f ca="1">IFERROR(__xludf.DUMMYFUNCTION("""COMPUTED_VALUE"""),419600)</f>
        <v>419600</v>
      </c>
      <c r="D4719" s="22">
        <f ca="1">IFERROR(__xludf.DUMMYFUNCTION("""COMPUTED_VALUE"""),76740)</f>
        <v>76740</v>
      </c>
      <c r="E4719" s="22">
        <f ca="1">IFERROR(__xludf.DUMMYFUNCTION("""COMPUTED_VALUE"""),496340)</f>
        <v>496340</v>
      </c>
      <c r="F4719" s="22">
        <f ca="1">IFERROR(__xludf.DUMMYFUNCTION("""COMPUTED_VALUE"""),419600)</f>
        <v>419600</v>
      </c>
      <c r="G4719" s="22">
        <f ca="1">IFERROR(__xludf.DUMMYFUNCTION("""COMPUTED_VALUE"""),0)</f>
        <v>0</v>
      </c>
      <c r="H4719" s="7">
        <f ca="1">IFERROR(__xludf.DUMMYFUNCTION("""COMPUTED_VALUE"""),493240)</f>
        <v>493240</v>
      </c>
    </row>
    <row r="4720" spans="1:8" ht="13" x14ac:dyDescent="0.15">
      <c r="A4720" s="5" t="str">
        <f ca="1">IFERROR(__xludf.DUMMYFUNCTION("""COMPUTED_VALUE"""),"82124")</f>
        <v>82124</v>
      </c>
      <c r="B4720" s="51">
        <f ca="1">IFERROR(__xludf.DUMMYFUNCTION("""COMPUTED_VALUE"""),44621)</f>
        <v>44621</v>
      </c>
      <c r="C4720" s="22">
        <f ca="1">IFERROR(__xludf.DUMMYFUNCTION("""COMPUTED_VALUE"""),419600)</f>
        <v>419600</v>
      </c>
      <c r="D4720" s="22">
        <f ca="1">IFERROR(__xludf.DUMMYFUNCTION("""COMPUTED_VALUE"""),73910)</f>
        <v>73910</v>
      </c>
      <c r="E4720" s="22">
        <f ca="1">IFERROR(__xludf.DUMMYFUNCTION("""COMPUTED_VALUE"""),493510)</f>
        <v>493510</v>
      </c>
      <c r="F4720" s="22">
        <f ca="1">IFERROR(__xludf.DUMMYFUNCTION("""COMPUTED_VALUE"""),419600)</f>
        <v>419600</v>
      </c>
      <c r="G4720" s="22">
        <f ca="1">IFERROR(__xludf.DUMMYFUNCTION("""COMPUTED_VALUE"""),0)</f>
        <v>0</v>
      </c>
      <c r="H4720" s="7">
        <f ca="1">IFERROR(__xludf.DUMMYFUNCTION("""COMPUTED_VALUE"""),493510)</f>
        <v>493510</v>
      </c>
    </row>
    <row r="4721" spans="1:8" ht="13" x14ac:dyDescent="0.15">
      <c r="A4721" s="5" t="str">
        <f ca="1">IFERROR(__xludf.DUMMYFUNCTION("""COMPUTED_VALUE"""),"82124")</f>
        <v>82124</v>
      </c>
      <c r="B4721" s="51">
        <f ca="1">IFERROR(__xludf.DUMMYFUNCTION("""COMPUTED_VALUE"""),44622)</f>
        <v>44622</v>
      </c>
      <c r="C4721" s="22">
        <f ca="1">IFERROR(__xludf.DUMMYFUNCTION("""COMPUTED_VALUE"""),419600)</f>
        <v>419600</v>
      </c>
      <c r="D4721" s="22">
        <f ca="1">IFERROR(__xludf.DUMMYFUNCTION("""COMPUTED_VALUE"""),73030)</f>
        <v>73030</v>
      </c>
      <c r="E4721" s="22">
        <f ca="1">IFERROR(__xludf.DUMMYFUNCTION("""COMPUTED_VALUE"""),492630)</f>
        <v>492630</v>
      </c>
      <c r="F4721" s="22">
        <f ca="1">IFERROR(__xludf.DUMMYFUNCTION("""COMPUTED_VALUE"""),419600)</f>
        <v>419600</v>
      </c>
      <c r="G4721" s="22">
        <f ca="1">IFERROR(__xludf.DUMMYFUNCTION("""COMPUTED_VALUE"""),0)</f>
        <v>0</v>
      </c>
      <c r="H4721" s="7">
        <f ca="1">IFERROR(__xludf.DUMMYFUNCTION("""COMPUTED_VALUE"""),492630)</f>
        <v>492630</v>
      </c>
    </row>
    <row r="4722" spans="1:8" ht="13" x14ac:dyDescent="0.15">
      <c r="A4722" s="5" t="str">
        <f ca="1">IFERROR(__xludf.DUMMYFUNCTION("""COMPUTED_VALUE"""),"82124")</f>
        <v>82124</v>
      </c>
      <c r="B4722" s="51">
        <f ca="1">IFERROR(__xludf.DUMMYFUNCTION("""COMPUTED_VALUE"""),44623)</f>
        <v>44623</v>
      </c>
      <c r="C4722" s="22">
        <f ca="1">IFERROR(__xludf.DUMMYFUNCTION("""COMPUTED_VALUE"""),343000)</f>
        <v>343000</v>
      </c>
      <c r="D4722" s="22">
        <f ca="1">IFERROR(__xludf.DUMMYFUNCTION("""COMPUTED_VALUE"""),150330)</f>
        <v>150330</v>
      </c>
      <c r="E4722" s="22">
        <f ca="1">IFERROR(__xludf.DUMMYFUNCTION("""COMPUTED_VALUE"""),493330)</f>
        <v>493330</v>
      </c>
      <c r="F4722" s="22">
        <f ca="1">IFERROR(__xludf.DUMMYFUNCTION("""COMPUTED_VALUE"""),343000)</f>
        <v>343000</v>
      </c>
      <c r="G4722" s="22">
        <f ca="1">IFERROR(__xludf.DUMMYFUNCTION("""COMPUTED_VALUE"""),0)</f>
        <v>0</v>
      </c>
      <c r="H4722" s="7">
        <f ca="1">IFERROR(__xludf.DUMMYFUNCTION("""COMPUTED_VALUE"""),493330)</f>
        <v>493330</v>
      </c>
    </row>
    <row r="4723" spans="1:8" ht="13" x14ac:dyDescent="0.15">
      <c r="A4723" s="5" t="str">
        <f ca="1">IFERROR(__xludf.DUMMYFUNCTION("""COMPUTED_VALUE"""),"82124")</f>
        <v>82124</v>
      </c>
      <c r="B4723" s="51">
        <f ca="1">IFERROR(__xludf.DUMMYFUNCTION("""COMPUTED_VALUE"""),44624)</f>
        <v>44624</v>
      </c>
      <c r="C4723" s="22">
        <f ca="1">IFERROR(__xludf.DUMMYFUNCTION("""COMPUTED_VALUE"""),302680)</f>
        <v>302680</v>
      </c>
      <c r="D4723" s="22">
        <f ca="1">IFERROR(__xludf.DUMMYFUNCTION("""COMPUTED_VALUE"""),185990)</f>
        <v>185990</v>
      </c>
      <c r="E4723" s="22">
        <f ca="1">IFERROR(__xludf.DUMMYFUNCTION("""COMPUTED_VALUE"""),488670)</f>
        <v>488670</v>
      </c>
      <c r="F4723" s="22">
        <f ca="1">IFERROR(__xludf.DUMMYFUNCTION("""COMPUTED_VALUE"""),302680)</f>
        <v>302680</v>
      </c>
      <c r="G4723" s="22">
        <f ca="1">IFERROR(__xludf.DUMMYFUNCTION("""COMPUTED_VALUE"""),0)</f>
        <v>0</v>
      </c>
      <c r="H4723" s="7">
        <f ca="1">IFERROR(__xludf.DUMMYFUNCTION("""COMPUTED_VALUE"""),488670)</f>
        <v>488670</v>
      </c>
    </row>
    <row r="4724" spans="1:8" ht="13" x14ac:dyDescent="0.15">
      <c r="A4724" s="5" t="str">
        <f ca="1">IFERROR(__xludf.DUMMYFUNCTION("""COMPUTED_VALUE"""),"82124")</f>
        <v>82124</v>
      </c>
      <c r="B4724" s="51">
        <f ca="1">IFERROR(__xludf.DUMMYFUNCTION("""COMPUTED_VALUE"""),44625)</f>
        <v>44625</v>
      </c>
      <c r="C4724" s="22">
        <f ca="1">IFERROR(__xludf.DUMMYFUNCTION("""COMPUTED_VALUE"""),302680)</f>
        <v>302680</v>
      </c>
      <c r="D4724" s="22">
        <f ca="1">IFERROR(__xludf.DUMMYFUNCTION("""COMPUTED_VALUE"""),185990)</f>
        <v>185990</v>
      </c>
      <c r="E4724" s="22">
        <f ca="1">IFERROR(__xludf.DUMMYFUNCTION("""COMPUTED_VALUE"""),488670)</f>
        <v>488670</v>
      </c>
      <c r="F4724" s="22">
        <f ca="1">IFERROR(__xludf.DUMMYFUNCTION("""COMPUTED_VALUE"""),302680)</f>
        <v>302680</v>
      </c>
      <c r="G4724" s="22">
        <f ca="1">IFERROR(__xludf.DUMMYFUNCTION("""COMPUTED_VALUE"""),0)</f>
        <v>0</v>
      </c>
      <c r="H4724" s="7">
        <f ca="1">IFERROR(__xludf.DUMMYFUNCTION("""COMPUTED_VALUE"""),488670)</f>
        <v>488670</v>
      </c>
    </row>
    <row r="4725" spans="1:8" ht="13" x14ac:dyDescent="0.15">
      <c r="A4725" s="5" t="str">
        <f ca="1">IFERROR(__xludf.DUMMYFUNCTION("""COMPUTED_VALUE"""),"82124")</f>
        <v>82124</v>
      </c>
      <c r="B4725" s="51">
        <f ca="1">IFERROR(__xludf.DUMMYFUNCTION("""COMPUTED_VALUE"""),44626)</f>
        <v>44626</v>
      </c>
      <c r="C4725" s="22">
        <f ca="1">IFERROR(__xludf.DUMMYFUNCTION("""COMPUTED_VALUE"""),302680)</f>
        <v>302680</v>
      </c>
      <c r="D4725" s="22">
        <f ca="1">IFERROR(__xludf.DUMMYFUNCTION("""COMPUTED_VALUE"""),185990)</f>
        <v>185990</v>
      </c>
      <c r="E4725" s="22">
        <f ca="1">IFERROR(__xludf.DUMMYFUNCTION("""COMPUTED_VALUE"""),488670)</f>
        <v>488670</v>
      </c>
      <c r="F4725" s="22">
        <f ca="1">IFERROR(__xludf.DUMMYFUNCTION("""COMPUTED_VALUE"""),302680)</f>
        <v>302680</v>
      </c>
      <c r="G4725" s="22">
        <f ca="1">IFERROR(__xludf.DUMMYFUNCTION("""COMPUTED_VALUE"""),0)</f>
        <v>0</v>
      </c>
      <c r="H4725" s="7">
        <f ca="1">IFERROR(__xludf.DUMMYFUNCTION("""COMPUTED_VALUE"""),488670)</f>
        <v>488670</v>
      </c>
    </row>
    <row r="4726" spans="1:8" ht="13" x14ac:dyDescent="0.15">
      <c r="A4726" s="5" t="str">
        <f ca="1">IFERROR(__xludf.DUMMYFUNCTION("""COMPUTED_VALUE"""),"82124")</f>
        <v>82124</v>
      </c>
      <c r="B4726" s="51">
        <f ca="1">IFERROR(__xludf.DUMMYFUNCTION("""COMPUTED_VALUE"""),44627)</f>
        <v>44627</v>
      </c>
      <c r="C4726" s="22">
        <f ca="1">IFERROR(__xludf.DUMMYFUNCTION("""COMPUTED_VALUE"""),260240)</f>
        <v>260240</v>
      </c>
      <c r="D4726" s="22">
        <f ca="1">IFERROR(__xludf.DUMMYFUNCTION("""COMPUTED_VALUE"""),223280)</f>
        <v>223280</v>
      </c>
      <c r="E4726" s="22">
        <f ca="1">IFERROR(__xludf.DUMMYFUNCTION("""COMPUTED_VALUE"""),483520)</f>
        <v>483520</v>
      </c>
      <c r="F4726" s="22">
        <f ca="1">IFERROR(__xludf.DUMMYFUNCTION("""COMPUTED_VALUE"""),260240)</f>
        <v>260240</v>
      </c>
      <c r="G4726" s="22">
        <f ca="1">IFERROR(__xludf.DUMMYFUNCTION("""COMPUTED_VALUE"""),0)</f>
        <v>0</v>
      </c>
      <c r="H4726" s="7">
        <f ca="1">IFERROR(__xludf.DUMMYFUNCTION("""COMPUTED_VALUE"""),483520)</f>
        <v>483520</v>
      </c>
    </row>
    <row r="4727" spans="1:8" ht="13" x14ac:dyDescent="0.15">
      <c r="A4727" s="5" t="str">
        <f ca="1">IFERROR(__xludf.DUMMYFUNCTION("""COMPUTED_VALUE"""),"82124")</f>
        <v>82124</v>
      </c>
      <c r="B4727" s="51">
        <f ca="1">IFERROR(__xludf.DUMMYFUNCTION("""COMPUTED_VALUE"""),44628)</f>
        <v>44628</v>
      </c>
      <c r="C4727" s="22">
        <f ca="1">IFERROR(__xludf.DUMMYFUNCTION("""COMPUTED_VALUE"""),260240)</f>
        <v>260240</v>
      </c>
      <c r="D4727" s="22">
        <f ca="1">IFERROR(__xludf.DUMMYFUNCTION("""COMPUTED_VALUE"""),222120)</f>
        <v>222120</v>
      </c>
      <c r="E4727" s="22">
        <f ca="1">IFERROR(__xludf.DUMMYFUNCTION("""COMPUTED_VALUE"""),482360)</f>
        <v>482360</v>
      </c>
      <c r="F4727" s="22">
        <f ca="1">IFERROR(__xludf.DUMMYFUNCTION("""COMPUTED_VALUE"""),260240)</f>
        <v>260240</v>
      </c>
      <c r="G4727" s="22">
        <f ca="1">IFERROR(__xludf.DUMMYFUNCTION("""COMPUTED_VALUE"""),0)</f>
        <v>0</v>
      </c>
      <c r="H4727" s="7">
        <f ca="1">IFERROR(__xludf.DUMMYFUNCTION("""COMPUTED_VALUE"""),481680)</f>
        <v>481680</v>
      </c>
    </row>
    <row r="4728" spans="1:8" ht="13" x14ac:dyDescent="0.15">
      <c r="A4728" s="5" t="str">
        <f ca="1">IFERROR(__xludf.DUMMYFUNCTION("""COMPUTED_VALUE"""),"82124")</f>
        <v>82124</v>
      </c>
      <c r="B4728" s="51">
        <f ca="1">IFERROR(__xludf.DUMMYFUNCTION("""COMPUTED_VALUE"""),44629)</f>
        <v>44629</v>
      </c>
      <c r="C4728" s="22">
        <f ca="1">IFERROR(__xludf.DUMMYFUNCTION("""COMPUTED_VALUE"""),260240)</f>
        <v>260240</v>
      </c>
      <c r="D4728" s="22">
        <f ca="1">IFERROR(__xludf.DUMMYFUNCTION("""COMPUTED_VALUE"""),221605)</f>
        <v>221605</v>
      </c>
      <c r="E4728" s="22">
        <f ca="1">IFERROR(__xludf.DUMMYFUNCTION("""COMPUTED_VALUE"""),481845)</f>
        <v>481845</v>
      </c>
      <c r="F4728" s="22">
        <f ca="1">IFERROR(__xludf.DUMMYFUNCTION("""COMPUTED_VALUE"""),260240)</f>
        <v>260240</v>
      </c>
      <c r="G4728" s="22">
        <f ca="1">IFERROR(__xludf.DUMMYFUNCTION("""COMPUTED_VALUE"""),0)</f>
        <v>0</v>
      </c>
      <c r="H4728" s="7">
        <f ca="1">IFERROR(__xludf.DUMMYFUNCTION("""COMPUTED_VALUE"""),480965)</f>
        <v>480965</v>
      </c>
    </row>
    <row r="4729" spans="1:8" ht="13" x14ac:dyDescent="0.15">
      <c r="A4729" s="5" t="str">
        <f ca="1">IFERROR(__xludf.DUMMYFUNCTION("""COMPUTED_VALUE"""),"82124")</f>
        <v>82124</v>
      </c>
      <c r="B4729" s="51">
        <f ca="1">IFERROR(__xludf.DUMMYFUNCTION("""COMPUTED_VALUE"""),44630)</f>
        <v>44630</v>
      </c>
      <c r="C4729" s="22">
        <f ca="1">IFERROR(__xludf.DUMMYFUNCTION("""COMPUTED_VALUE"""),194440)</f>
        <v>194440</v>
      </c>
      <c r="D4729" s="22">
        <f ca="1">IFERROR(__xludf.DUMMYFUNCTION("""COMPUTED_VALUE"""),288500)</f>
        <v>288500</v>
      </c>
      <c r="E4729" s="22">
        <f ca="1">IFERROR(__xludf.DUMMYFUNCTION("""COMPUTED_VALUE"""),482940)</f>
        <v>482940</v>
      </c>
      <c r="F4729" s="22">
        <f ca="1">IFERROR(__xludf.DUMMYFUNCTION("""COMPUTED_VALUE"""),194440)</f>
        <v>194440</v>
      </c>
      <c r="G4729" s="22">
        <f ca="1">IFERROR(__xludf.DUMMYFUNCTION("""COMPUTED_VALUE"""),0)</f>
        <v>0</v>
      </c>
      <c r="H4729" s="7">
        <f ca="1">IFERROR(__xludf.DUMMYFUNCTION("""COMPUTED_VALUE"""),484740)</f>
        <v>484740</v>
      </c>
    </row>
    <row r="4730" spans="1:8" ht="13" x14ac:dyDescent="0.15">
      <c r="A4730" s="5" t="str">
        <f ca="1">IFERROR(__xludf.DUMMYFUNCTION("""COMPUTED_VALUE"""),"82124")</f>
        <v>82124</v>
      </c>
      <c r="B4730" s="51">
        <f ca="1">IFERROR(__xludf.DUMMYFUNCTION("""COMPUTED_VALUE"""),44631)</f>
        <v>44631</v>
      </c>
      <c r="C4730" s="22">
        <f ca="1">IFERROR(__xludf.DUMMYFUNCTION("""COMPUTED_VALUE"""),149040)</f>
        <v>149040</v>
      </c>
      <c r="D4730" s="22">
        <f ca="1">IFERROR(__xludf.DUMMYFUNCTION("""COMPUTED_VALUE"""),331650)</f>
        <v>331650</v>
      </c>
      <c r="E4730" s="22">
        <f ca="1">IFERROR(__xludf.DUMMYFUNCTION("""COMPUTED_VALUE"""),480690)</f>
        <v>480690</v>
      </c>
      <c r="F4730" s="22">
        <f ca="1">IFERROR(__xludf.DUMMYFUNCTION("""COMPUTED_VALUE"""),149040)</f>
        <v>149040</v>
      </c>
      <c r="G4730" s="22">
        <f ca="1">IFERROR(__xludf.DUMMYFUNCTION("""COMPUTED_VALUE"""),0)</f>
        <v>0</v>
      </c>
      <c r="H4730" s="7">
        <f ca="1">IFERROR(__xludf.DUMMYFUNCTION("""COMPUTED_VALUE"""),480690)</f>
        <v>480690</v>
      </c>
    </row>
    <row r="4731" spans="1:8" ht="13" x14ac:dyDescent="0.15">
      <c r="A4731" s="5" t="str">
        <f ca="1">IFERROR(__xludf.DUMMYFUNCTION("""COMPUTED_VALUE"""),"82124")</f>
        <v>82124</v>
      </c>
      <c r="B4731" s="51">
        <f ca="1">IFERROR(__xludf.DUMMYFUNCTION("""COMPUTED_VALUE"""),44632)</f>
        <v>44632</v>
      </c>
      <c r="C4731" s="22">
        <f ca="1">IFERROR(__xludf.DUMMYFUNCTION("""COMPUTED_VALUE"""),149040)</f>
        <v>149040</v>
      </c>
      <c r="D4731" s="22">
        <f ca="1">IFERROR(__xludf.DUMMYFUNCTION("""COMPUTED_VALUE"""),331650)</f>
        <v>331650</v>
      </c>
      <c r="E4731" s="22">
        <f ca="1">IFERROR(__xludf.DUMMYFUNCTION("""COMPUTED_VALUE"""),480690)</f>
        <v>480690</v>
      </c>
      <c r="F4731" s="22">
        <f ca="1">IFERROR(__xludf.DUMMYFUNCTION("""COMPUTED_VALUE"""),149040)</f>
        <v>149040</v>
      </c>
      <c r="G4731" s="22">
        <f ca="1">IFERROR(__xludf.DUMMYFUNCTION("""COMPUTED_VALUE"""),0)</f>
        <v>0</v>
      </c>
      <c r="H4731" s="7">
        <f ca="1">IFERROR(__xludf.DUMMYFUNCTION("""COMPUTED_VALUE"""),480690)</f>
        <v>480690</v>
      </c>
    </row>
    <row r="4732" spans="1:8" ht="13" x14ac:dyDescent="0.15">
      <c r="A4732" s="5" t="str">
        <f ca="1">IFERROR(__xludf.DUMMYFUNCTION("""COMPUTED_VALUE"""),"82124")</f>
        <v>82124</v>
      </c>
      <c r="B4732" s="51">
        <f ca="1">IFERROR(__xludf.DUMMYFUNCTION("""COMPUTED_VALUE"""),44633)</f>
        <v>44633</v>
      </c>
      <c r="C4732" s="22">
        <f ca="1">IFERROR(__xludf.DUMMYFUNCTION("""COMPUTED_VALUE"""),149040)</f>
        <v>149040</v>
      </c>
      <c r="D4732" s="22">
        <f ca="1">IFERROR(__xludf.DUMMYFUNCTION("""COMPUTED_VALUE"""),331650)</f>
        <v>331650</v>
      </c>
      <c r="E4732" s="22">
        <f ca="1">IFERROR(__xludf.DUMMYFUNCTION("""COMPUTED_VALUE"""),480690)</f>
        <v>480690</v>
      </c>
      <c r="F4732" s="22">
        <f ca="1">IFERROR(__xludf.DUMMYFUNCTION("""COMPUTED_VALUE"""),149040)</f>
        <v>149040</v>
      </c>
      <c r="G4732" s="22">
        <f ca="1">IFERROR(__xludf.DUMMYFUNCTION("""COMPUTED_VALUE"""),0)</f>
        <v>0</v>
      </c>
      <c r="H4732" s="7">
        <f ca="1">IFERROR(__xludf.DUMMYFUNCTION("""COMPUTED_VALUE"""),480690)</f>
        <v>480690</v>
      </c>
    </row>
    <row r="4733" spans="1:8" ht="13" x14ac:dyDescent="0.15">
      <c r="A4733" s="5" t="str">
        <f ca="1">IFERROR(__xludf.DUMMYFUNCTION("""COMPUTED_VALUE"""),"82124")</f>
        <v>82124</v>
      </c>
      <c r="B4733" s="51">
        <f ca="1">IFERROR(__xludf.DUMMYFUNCTION("""COMPUTED_VALUE"""),44634)</f>
        <v>44634</v>
      </c>
      <c r="C4733" s="22">
        <f ca="1">IFERROR(__xludf.DUMMYFUNCTION("""COMPUTED_VALUE"""),149040)</f>
        <v>149040</v>
      </c>
      <c r="D4733" s="22">
        <f ca="1">IFERROR(__xludf.DUMMYFUNCTION("""COMPUTED_VALUE"""),315460)</f>
        <v>315460</v>
      </c>
      <c r="E4733" s="22">
        <f ca="1">IFERROR(__xludf.DUMMYFUNCTION("""COMPUTED_VALUE"""),464500)</f>
        <v>464500</v>
      </c>
      <c r="F4733" s="22">
        <f ca="1">IFERROR(__xludf.DUMMYFUNCTION("""COMPUTED_VALUE"""),149040)</f>
        <v>149040</v>
      </c>
      <c r="G4733" s="22">
        <f ca="1">IFERROR(__xludf.DUMMYFUNCTION("""COMPUTED_VALUE"""),0)</f>
        <v>0</v>
      </c>
      <c r="H4733" s="7">
        <f ca="1">IFERROR(__xludf.DUMMYFUNCTION("""COMPUTED_VALUE"""),459550)</f>
        <v>459550</v>
      </c>
    </row>
    <row r="4734" spans="1:8" ht="13" x14ac:dyDescent="0.15">
      <c r="A4734" s="5" t="str">
        <f ca="1">IFERROR(__xludf.DUMMYFUNCTION("""COMPUTED_VALUE"""),"82124")</f>
        <v>82124</v>
      </c>
      <c r="B4734" s="51">
        <f ca="1">IFERROR(__xludf.DUMMYFUNCTION("""COMPUTED_VALUE"""),44635)</f>
        <v>44635</v>
      </c>
      <c r="C4734" s="22">
        <f ca="1">IFERROR(__xludf.DUMMYFUNCTION("""COMPUTED_VALUE"""),149040)</f>
        <v>149040</v>
      </c>
      <c r="D4734" s="22">
        <f ca="1">IFERROR(__xludf.DUMMYFUNCTION("""COMPUTED_VALUE"""),298205)</f>
        <v>298205</v>
      </c>
      <c r="E4734" s="22">
        <f ca="1">IFERROR(__xludf.DUMMYFUNCTION("""COMPUTED_VALUE"""),447245)</f>
        <v>447245</v>
      </c>
      <c r="F4734" s="22">
        <f ca="1">IFERROR(__xludf.DUMMYFUNCTION("""COMPUTED_VALUE"""),149040)</f>
        <v>149040</v>
      </c>
      <c r="G4734" s="22">
        <f ca="1">IFERROR(__xludf.DUMMYFUNCTION("""COMPUTED_VALUE"""),0)</f>
        <v>0</v>
      </c>
      <c r="H4734" s="7">
        <f ca="1">IFERROR(__xludf.DUMMYFUNCTION("""COMPUTED_VALUE"""),437470)</f>
        <v>437470</v>
      </c>
    </row>
    <row r="4735" spans="1:8" ht="13" x14ac:dyDescent="0.15">
      <c r="A4735" s="5" t="str">
        <f ca="1">IFERROR(__xludf.DUMMYFUNCTION("""COMPUTED_VALUE"""),"82124")</f>
        <v>82124</v>
      </c>
      <c r="B4735" s="51">
        <f ca="1">IFERROR(__xludf.DUMMYFUNCTION("""COMPUTED_VALUE"""),44636)</f>
        <v>44636</v>
      </c>
      <c r="C4735" s="22">
        <f ca="1">IFERROR(__xludf.DUMMYFUNCTION("""COMPUTED_VALUE"""),149040)</f>
        <v>149040</v>
      </c>
      <c r="D4735" s="22">
        <f ca="1">IFERROR(__xludf.DUMMYFUNCTION("""COMPUTED_VALUE"""),330690)</f>
        <v>330690</v>
      </c>
      <c r="E4735" s="22">
        <f ca="1">IFERROR(__xludf.DUMMYFUNCTION("""COMPUTED_VALUE"""),479730)</f>
        <v>479730</v>
      </c>
      <c r="F4735" s="22">
        <f ca="1">IFERROR(__xludf.DUMMYFUNCTION("""COMPUTED_VALUE"""),149040)</f>
        <v>149040</v>
      </c>
      <c r="G4735" s="22">
        <f ca="1">IFERROR(__xludf.DUMMYFUNCTION("""COMPUTED_VALUE"""),0)</f>
        <v>0</v>
      </c>
      <c r="H4735" s="7">
        <f ca="1">IFERROR(__xludf.DUMMYFUNCTION("""COMPUTED_VALUE"""),479680)</f>
        <v>479680</v>
      </c>
    </row>
    <row r="4736" spans="1:8" ht="13" x14ac:dyDescent="0.15">
      <c r="A4736" s="5" t="str">
        <f ca="1">IFERROR(__xludf.DUMMYFUNCTION("""COMPUTED_VALUE"""),"82124")</f>
        <v>82124</v>
      </c>
      <c r="B4736" s="51">
        <f ca="1">IFERROR(__xludf.DUMMYFUNCTION("""COMPUTED_VALUE"""),44637)</f>
        <v>44637</v>
      </c>
      <c r="C4736" s="22">
        <f ca="1">IFERROR(__xludf.DUMMYFUNCTION("""COMPUTED_VALUE"""),149040)</f>
        <v>149040</v>
      </c>
      <c r="D4736" s="22">
        <f ca="1">IFERROR(__xludf.DUMMYFUNCTION("""COMPUTED_VALUE"""),350140)</f>
        <v>350140</v>
      </c>
      <c r="E4736" s="22">
        <f ca="1">IFERROR(__xludf.DUMMYFUNCTION("""COMPUTED_VALUE"""),499180)</f>
        <v>499180</v>
      </c>
      <c r="F4736" s="22">
        <f ca="1">IFERROR(__xludf.DUMMYFUNCTION("""COMPUTED_VALUE"""),149040)</f>
        <v>149040</v>
      </c>
      <c r="G4736" s="22">
        <f ca="1">IFERROR(__xludf.DUMMYFUNCTION("""COMPUTED_VALUE"""),0)</f>
        <v>0</v>
      </c>
      <c r="H4736" s="7">
        <f ca="1">IFERROR(__xludf.DUMMYFUNCTION("""COMPUTED_VALUE"""),504780)</f>
        <v>504780</v>
      </c>
    </row>
    <row r="4737" spans="1:8" ht="13" x14ac:dyDescent="0.15">
      <c r="A4737" s="5" t="str">
        <f ca="1">IFERROR(__xludf.DUMMYFUNCTION("""COMPUTED_VALUE"""),"82124")</f>
        <v>82124</v>
      </c>
      <c r="B4737" s="51">
        <f ca="1">IFERROR(__xludf.DUMMYFUNCTION("""COMPUTED_VALUE"""),44638)</f>
        <v>44638</v>
      </c>
      <c r="C4737" s="22">
        <f ca="1">IFERROR(__xludf.DUMMYFUNCTION("""COMPUTED_VALUE"""),149040)</f>
        <v>149040</v>
      </c>
      <c r="D4737" s="22">
        <f ca="1">IFERROR(__xludf.DUMMYFUNCTION("""COMPUTED_VALUE"""),347935)</f>
        <v>347935</v>
      </c>
      <c r="E4737" s="22">
        <f ca="1">IFERROR(__xludf.DUMMYFUNCTION("""COMPUTED_VALUE"""),496975)</f>
        <v>496975</v>
      </c>
      <c r="F4737" s="22">
        <f ca="1">IFERROR(__xludf.DUMMYFUNCTION("""COMPUTED_VALUE"""),149040)</f>
        <v>149040</v>
      </c>
      <c r="G4737" s="22">
        <f ca="1">IFERROR(__xludf.DUMMYFUNCTION("""COMPUTED_VALUE"""),0)</f>
        <v>0</v>
      </c>
      <c r="H4737" s="7">
        <f ca="1">IFERROR(__xludf.DUMMYFUNCTION("""COMPUTED_VALUE"""),500750)</f>
        <v>500750</v>
      </c>
    </row>
    <row r="4738" spans="1:8" ht="13" x14ac:dyDescent="0.15">
      <c r="A4738" s="5" t="str">
        <f ca="1">IFERROR(__xludf.DUMMYFUNCTION("""COMPUTED_VALUE"""),"82124")</f>
        <v>82124</v>
      </c>
      <c r="B4738" s="51">
        <f ca="1">IFERROR(__xludf.DUMMYFUNCTION("""COMPUTED_VALUE"""),44639)</f>
        <v>44639</v>
      </c>
      <c r="C4738" s="22">
        <f ca="1">IFERROR(__xludf.DUMMYFUNCTION("""COMPUTED_VALUE"""),149040)</f>
        <v>149040</v>
      </c>
      <c r="D4738" s="22">
        <f ca="1">IFERROR(__xludf.DUMMYFUNCTION("""COMPUTED_VALUE"""),347935)</f>
        <v>347935</v>
      </c>
      <c r="E4738" s="22">
        <f ca="1">IFERROR(__xludf.DUMMYFUNCTION("""COMPUTED_VALUE"""),496975)</f>
        <v>496975</v>
      </c>
      <c r="F4738" s="22">
        <f ca="1">IFERROR(__xludf.DUMMYFUNCTION("""COMPUTED_VALUE"""),149040)</f>
        <v>149040</v>
      </c>
      <c r="G4738" s="22">
        <f ca="1">IFERROR(__xludf.DUMMYFUNCTION("""COMPUTED_VALUE"""),0)</f>
        <v>0</v>
      </c>
      <c r="H4738" s="7">
        <f ca="1">IFERROR(__xludf.DUMMYFUNCTION("""COMPUTED_VALUE"""),500750)</f>
        <v>500750</v>
      </c>
    </row>
    <row r="4739" spans="1:8" ht="13" x14ac:dyDescent="0.15">
      <c r="A4739" s="5" t="str">
        <f ca="1">IFERROR(__xludf.DUMMYFUNCTION("""COMPUTED_VALUE"""),"82124")</f>
        <v>82124</v>
      </c>
      <c r="B4739" s="51">
        <f ca="1">IFERROR(__xludf.DUMMYFUNCTION("""COMPUTED_VALUE"""),44640)</f>
        <v>44640</v>
      </c>
      <c r="C4739" s="22">
        <f ca="1">IFERROR(__xludf.DUMMYFUNCTION("""COMPUTED_VALUE"""),149040)</f>
        <v>149040</v>
      </c>
      <c r="D4739" s="22">
        <f ca="1">IFERROR(__xludf.DUMMYFUNCTION("""COMPUTED_VALUE"""),347935)</f>
        <v>347935</v>
      </c>
      <c r="E4739" s="22">
        <f ca="1">IFERROR(__xludf.DUMMYFUNCTION("""COMPUTED_VALUE"""),496975)</f>
        <v>496975</v>
      </c>
      <c r="F4739" s="22">
        <f ca="1">IFERROR(__xludf.DUMMYFUNCTION("""COMPUTED_VALUE"""),149040)</f>
        <v>149040</v>
      </c>
      <c r="G4739" s="22">
        <f ca="1">IFERROR(__xludf.DUMMYFUNCTION("""COMPUTED_VALUE"""),0)</f>
        <v>0</v>
      </c>
      <c r="H4739" s="7">
        <f ca="1">IFERROR(__xludf.DUMMYFUNCTION("""COMPUTED_VALUE"""),500750)</f>
        <v>500750</v>
      </c>
    </row>
    <row r="4740" spans="1:8" ht="13" x14ac:dyDescent="0.15">
      <c r="A4740" s="5" t="str">
        <f ca="1">IFERROR(__xludf.DUMMYFUNCTION("""COMPUTED_VALUE"""),"82124")</f>
        <v>82124</v>
      </c>
      <c r="B4740" s="51">
        <f ca="1">IFERROR(__xludf.DUMMYFUNCTION("""COMPUTED_VALUE"""),44641)</f>
        <v>44641</v>
      </c>
      <c r="C4740" s="22">
        <f ca="1">IFERROR(__xludf.DUMMYFUNCTION("""COMPUTED_VALUE"""),149040)</f>
        <v>149040</v>
      </c>
      <c r="D4740" s="22">
        <f ca="1">IFERROR(__xludf.DUMMYFUNCTION("""COMPUTED_VALUE"""),345680)</f>
        <v>345680</v>
      </c>
      <c r="E4740" s="22">
        <f ca="1">IFERROR(__xludf.DUMMYFUNCTION("""COMPUTED_VALUE"""),494720)</f>
        <v>494720</v>
      </c>
      <c r="F4740" s="22">
        <f ca="1">IFERROR(__xludf.DUMMYFUNCTION("""COMPUTED_VALUE"""),149040)</f>
        <v>149040</v>
      </c>
      <c r="G4740" s="22">
        <f ca="1">IFERROR(__xludf.DUMMYFUNCTION("""COMPUTED_VALUE"""),0)</f>
        <v>0</v>
      </c>
      <c r="H4740" s="7">
        <f ca="1">IFERROR(__xludf.DUMMYFUNCTION("""COMPUTED_VALUE"""),498870)</f>
        <v>498870</v>
      </c>
    </row>
    <row r="4741" spans="1:8" ht="13" x14ac:dyDescent="0.15">
      <c r="A4741" s="5" t="str">
        <f ca="1">IFERROR(__xludf.DUMMYFUNCTION("""COMPUTED_VALUE"""),"82124")</f>
        <v>82124</v>
      </c>
      <c r="B4741" s="51">
        <f ca="1">IFERROR(__xludf.DUMMYFUNCTION("""COMPUTED_VALUE"""),44642)</f>
        <v>44642</v>
      </c>
      <c r="C4741" s="22">
        <f ca="1">IFERROR(__xludf.DUMMYFUNCTION("""COMPUTED_VALUE"""),127000)</f>
        <v>127000</v>
      </c>
      <c r="D4741" s="22">
        <f ca="1">IFERROR(__xludf.DUMMYFUNCTION("""COMPUTED_VALUE"""),389460)</f>
        <v>389460</v>
      </c>
      <c r="E4741" s="22">
        <f ca="1">IFERROR(__xludf.DUMMYFUNCTION("""COMPUTED_VALUE"""),516460)</f>
        <v>516460</v>
      </c>
      <c r="F4741" s="22">
        <f ca="1">IFERROR(__xludf.DUMMYFUNCTION("""COMPUTED_VALUE"""),127000)</f>
        <v>127000</v>
      </c>
      <c r="G4741" s="22">
        <f ca="1">IFERROR(__xludf.DUMMYFUNCTION("""COMPUTED_VALUE"""),0)</f>
        <v>0</v>
      </c>
      <c r="H4741" s="7">
        <f ca="1">IFERROR(__xludf.DUMMYFUNCTION("""COMPUTED_VALUE"""),516460)</f>
        <v>516460</v>
      </c>
    </row>
    <row r="4742" spans="1:8" ht="13" x14ac:dyDescent="0.15">
      <c r="A4742" s="5" t="str">
        <f ca="1">IFERROR(__xludf.DUMMYFUNCTION("""COMPUTED_VALUE"""),"82458")</f>
        <v>82458</v>
      </c>
      <c r="B4742" s="51">
        <f ca="1">IFERROR(__xludf.DUMMYFUNCTION("""COMPUTED_VALUE"""),44597)</f>
        <v>44597</v>
      </c>
      <c r="C4742" s="22">
        <f ca="1">IFERROR(__xludf.DUMMYFUNCTION("""COMPUTED_VALUE"""),500000)</f>
        <v>500000</v>
      </c>
      <c r="D4742" s="22">
        <f ca="1">IFERROR(__xludf.DUMMYFUNCTION("""COMPUTED_VALUE"""),0)</f>
        <v>0</v>
      </c>
      <c r="E4742" s="22">
        <f ca="1">IFERROR(__xludf.DUMMYFUNCTION("""COMPUTED_VALUE"""),500000)</f>
        <v>500000</v>
      </c>
      <c r="F4742" s="22">
        <f ca="1">IFERROR(__xludf.DUMMYFUNCTION("""COMPUTED_VALUE"""),500000)</f>
        <v>500000</v>
      </c>
      <c r="G4742" s="22">
        <f ca="1">IFERROR(__xludf.DUMMYFUNCTION("""COMPUTED_VALUE"""),0)</f>
        <v>0</v>
      </c>
      <c r="H4742" s="7">
        <f ca="1">IFERROR(__xludf.DUMMYFUNCTION("""COMPUTED_VALUE"""),500000)</f>
        <v>500000</v>
      </c>
    </row>
    <row r="4743" spans="1:8" ht="13" x14ac:dyDescent="0.15">
      <c r="A4743" s="5" t="str">
        <f ca="1">IFERROR(__xludf.DUMMYFUNCTION("""COMPUTED_VALUE"""),"82458")</f>
        <v>82458</v>
      </c>
      <c r="B4743" s="51">
        <f ca="1">IFERROR(__xludf.DUMMYFUNCTION("""COMPUTED_VALUE"""),44598)</f>
        <v>44598</v>
      </c>
      <c r="C4743" s="22">
        <f ca="1">IFERROR(__xludf.DUMMYFUNCTION("""COMPUTED_VALUE"""),500000)</f>
        <v>500000</v>
      </c>
      <c r="D4743" s="22">
        <f ca="1">IFERROR(__xludf.DUMMYFUNCTION("""COMPUTED_VALUE"""),0)</f>
        <v>0</v>
      </c>
      <c r="E4743" s="22">
        <f ca="1">IFERROR(__xludf.DUMMYFUNCTION("""COMPUTED_VALUE"""),500000)</f>
        <v>500000</v>
      </c>
      <c r="F4743" s="22">
        <f ca="1">IFERROR(__xludf.DUMMYFUNCTION("""COMPUTED_VALUE"""),500000)</f>
        <v>500000</v>
      </c>
      <c r="G4743" s="22">
        <f ca="1">IFERROR(__xludf.DUMMYFUNCTION("""COMPUTED_VALUE"""),0)</f>
        <v>0</v>
      </c>
      <c r="H4743" s="7">
        <f ca="1">IFERROR(__xludf.DUMMYFUNCTION("""COMPUTED_VALUE"""),500000)</f>
        <v>500000</v>
      </c>
    </row>
    <row r="4744" spans="1:8" ht="13" x14ac:dyDescent="0.15">
      <c r="A4744" s="5" t="str">
        <f ca="1">IFERROR(__xludf.DUMMYFUNCTION("""COMPUTED_VALUE"""),"82458")</f>
        <v>82458</v>
      </c>
      <c r="B4744" s="51">
        <f ca="1">IFERROR(__xludf.DUMMYFUNCTION("""COMPUTED_VALUE"""),44599)</f>
        <v>44599</v>
      </c>
      <c r="C4744" s="22">
        <f ca="1">IFERROR(__xludf.DUMMYFUNCTION("""COMPUTED_VALUE"""),500000)</f>
        <v>500000</v>
      </c>
      <c r="D4744" s="22">
        <f ca="1">IFERROR(__xludf.DUMMYFUNCTION("""COMPUTED_VALUE"""),0)</f>
        <v>0</v>
      </c>
      <c r="E4744" s="22">
        <f ca="1">IFERROR(__xludf.DUMMYFUNCTION("""COMPUTED_VALUE"""),500000)</f>
        <v>500000</v>
      </c>
      <c r="F4744" s="22">
        <f ca="1">IFERROR(__xludf.DUMMYFUNCTION("""COMPUTED_VALUE"""),500000)</f>
        <v>500000</v>
      </c>
      <c r="G4744" s="22">
        <f ca="1">IFERROR(__xludf.DUMMYFUNCTION("""COMPUTED_VALUE"""),0)</f>
        <v>0</v>
      </c>
      <c r="H4744" s="7">
        <f ca="1">IFERROR(__xludf.DUMMYFUNCTION("""COMPUTED_VALUE"""),500000)</f>
        <v>500000</v>
      </c>
    </row>
    <row r="4745" spans="1:8" ht="13" x14ac:dyDescent="0.15">
      <c r="A4745" s="5" t="str">
        <f ca="1">IFERROR(__xludf.DUMMYFUNCTION("""COMPUTED_VALUE"""),"82458")</f>
        <v>82458</v>
      </c>
      <c r="B4745" s="51">
        <f ca="1">IFERROR(__xludf.DUMMYFUNCTION("""COMPUTED_VALUE"""),44600)</f>
        <v>44600</v>
      </c>
      <c r="C4745" s="22">
        <f ca="1">IFERROR(__xludf.DUMMYFUNCTION("""COMPUTED_VALUE"""),500000)</f>
        <v>500000</v>
      </c>
      <c r="D4745" s="22">
        <f ca="1">IFERROR(__xludf.DUMMYFUNCTION("""COMPUTED_VALUE"""),0)</f>
        <v>0</v>
      </c>
      <c r="E4745" s="22">
        <f ca="1">IFERROR(__xludf.DUMMYFUNCTION("""COMPUTED_VALUE"""),500000)</f>
        <v>500000</v>
      </c>
      <c r="F4745" s="22">
        <f ca="1">IFERROR(__xludf.DUMMYFUNCTION("""COMPUTED_VALUE"""),500000)</f>
        <v>500000</v>
      </c>
      <c r="G4745" s="22">
        <f ca="1">IFERROR(__xludf.DUMMYFUNCTION("""COMPUTED_VALUE"""),0)</f>
        <v>0</v>
      </c>
      <c r="H4745" s="7">
        <f ca="1">IFERROR(__xludf.DUMMYFUNCTION("""COMPUTED_VALUE"""),500000)</f>
        <v>500000</v>
      </c>
    </row>
    <row r="4746" spans="1:8" ht="13" x14ac:dyDescent="0.15">
      <c r="A4746" s="5" t="str">
        <f ca="1">IFERROR(__xludf.DUMMYFUNCTION("""COMPUTED_VALUE"""),"82458")</f>
        <v>82458</v>
      </c>
      <c r="B4746" s="51">
        <f ca="1">IFERROR(__xludf.DUMMYFUNCTION("""COMPUTED_VALUE"""),44601)</f>
        <v>44601</v>
      </c>
      <c r="C4746" s="22">
        <f ca="1">IFERROR(__xludf.DUMMYFUNCTION("""COMPUTED_VALUE"""),500000)</f>
        <v>500000</v>
      </c>
      <c r="D4746" s="22">
        <f ca="1">IFERROR(__xludf.DUMMYFUNCTION("""COMPUTED_VALUE"""),0)</f>
        <v>0</v>
      </c>
      <c r="E4746" s="22">
        <f ca="1">IFERROR(__xludf.DUMMYFUNCTION("""COMPUTED_VALUE"""),500000)</f>
        <v>500000</v>
      </c>
      <c r="F4746" s="22">
        <f ca="1">IFERROR(__xludf.DUMMYFUNCTION("""COMPUTED_VALUE"""),500000)</f>
        <v>500000</v>
      </c>
      <c r="G4746" s="22">
        <f ca="1">IFERROR(__xludf.DUMMYFUNCTION("""COMPUTED_VALUE"""),0)</f>
        <v>0</v>
      </c>
      <c r="H4746" s="7">
        <f ca="1">IFERROR(__xludf.DUMMYFUNCTION("""COMPUTED_VALUE"""),500000)</f>
        <v>500000</v>
      </c>
    </row>
    <row r="4747" spans="1:8" ht="13" x14ac:dyDescent="0.15">
      <c r="A4747" s="5" t="str">
        <f ca="1">IFERROR(__xludf.DUMMYFUNCTION("""COMPUTED_VALUE"""),"82458")</f>
        <v>82458</v>
      </c>
      <c r="B4747" s="51">
        <f ca="1">IFERROR(__xludf.DUMMYFUNCTION("""COMPUTED_VALUE"""),44602)</f>
        <v>44602</v>
      </c>
      <c r="C4747" s="22">
        <f ca="1">IFERROR(__xludf.DUMMYFUNCTION("""COMPUTED_VALUE"""),500000)</f>
        <v>500000</v>
      </c>
      <c r="D4747" s="22">
        <f ca="1">IFERROR(__xludf.DUMMYFUNCTION("""COMPUTED_VALUE"""),0)</f>
        <v>0</v>
      </c>
      <c r="E4747" s="22">
        <f ca="1">IFERROR(__xludf.DUMMYFUNCTION("""COMPUTED_VALUE"""),500000)</f>
        <v>500000</v>
      </c>
      <c r="F4747" s="22">
        <f ca="1">IFERROR(__xludf.DUMMYFUNCTION("""COMPUTED_VALUE"""),500000)</f>
        <v>500000</v>
      </c>
      <c r="G4747" s="22">
        <f ca="1">IFERROR(__xludf.DUMMYFUNCTION("""COMPUTED_VALUE"""),0)</f>
        <v>0</v>
      </c>
      <c r="H4747" s="7">
        <f ca="1">IFERROR(__xludf.DUMMYFUNCTION("""COMPUTED_VALUE"""),500000)</f>
        <v>500000</v>
      </c>
    </row>
    <row r="4748" spans="1:8" ht="13" x14ac:dyDescent="0.15">
      <c r="A4748" s="5" t="str">
        <f ca="1">IFERROR(__xludf.DUMMYFUNCTION("""COMPUTED_VALUE"""),"82458")</f>
        <v>82458</v>
      </c>
      <c r="B4748" s="51">
        <f ca="1">IFERROR(__xludf.DUMMYFUNCTION("""COMPUTED_VALUE"""),44603)</f>
        <v>44603</v>
      </c>
      <c r="C4748" s="22">
        <f ca="1">IFERROR(__xludf.DUMMYFUNCTION("""COMPUTED_VALUE"""),500000)</f>
        <v>500000</v>
      </c>
      <c r="D4748" s="22">
        <f ca="1">IFERROR(__xludf.DUMMYFUNCTION("""COMPUTED_VALUE"""),0)</f>
        <v>0</v>
      </c>
      <c r="E4748" s="22">
        <f ca="1">IFERROR(__xludf.DUMMYFUNCTION("""COMPUTED_VALUE"""),500000)</f>
        <v>500000</v>
      </c>
      <c r="F4748" s="22">
        <f ca="1">IFERROR(__xludf.DUMMYFUNCTION("""COMPUTED_VALUE"""),500000)</f>
        <v>500000</v>
      </c>
      <c r="G4748" s="22">
        <f ca="1">IFERROR(__xludf.DUMMYFUNCTION("""COMPUTED_VALUE"""),0)</f>
        <v>0</v>
      </c>
      <c r="H4748" s="7">
        <f ca="1">IFERROR(__xludf.DUMMYFUNCTION("""COMPUTED_VALUE"""),500000)</f>
        <v>500000</v>
      </c>
    </row>
    <row r="4749" spans="1:8" ht="13" x14ac:dyDescent="0.15">
      <c r="A4749" s="5" t="str">
        <f ca="1">IFERROR(__xludf.DUMMYFUNCTION("""COMPUTED_VALUE"""),"82458")</f>
        <v>82458</v>
      </c>
      <c r="B4749" s="51">
        <f ca="1">IFERROR(__xludf.DUMMYFUNCTION("""COMPUTED_VALUE"""),44604)</f>
        <v>44604</v>
      </c>
      <c r="C4749" s="22">
        <f ca="1">IFERROR(__xludf.DUMMYFUNCTION("""COMPUTED_VALUE"""),500000)</f>
        <v>500000</v>
      </c>
      <c r="D4749" s="22">
        <f ca="1">IFERROR(__xludf.DUMMYFUNCTION("""COMPUTED_VALUE"""),0)</f>
        <v>0</v>
      </c>
      <c r="E4749" s="22">
        <f ca="1">IFERROR(__xludf.DUMMYFUNCTION("""COMPUTED_VALUE"""),500000)</f>
        <v>500000</v>
      </c>
      <c r="F4749" s="22">
        <f ca="1">IFERROR(__xludf.DUMMYFUNCTION("""COMPUTED_VALUE"""),500000)</f>
        <v>500000</v>
      </c>
      <c r="G4749" s="22">
        <f ca="1">IFERROR(__xludf.DUMMYFUNCTION("""COMPUTED_VALUE"""),0)</f>
        <v>0</v>
      </c>
      <c r="H4749" s="7">
        <f ca="1">IFERROR(__xludf.DUMMYFUNCTION("""COMPUTED_VALUE"""),500000)</f>
        <v>500000</v>
      </c>
    </row>
    <row r="4750" spans="1:8" ht="13" x14ac:dyDescent="0.15">
      <c r="A4750" s="5" t="str">
        <f ca="1">IFERROR(__xludf.DUMMYFUNCTION("""COMPUTED_VALUE"""),"82458")</f>
        <v>82458</v>
      </c>
      <c r="B4750" s="51">
        <f ca="1">IFERROR(__xludf.DUMMYFUNCTION("""COMPUTED_VALUE"""),44605)</f>
        <v>44605</v>
      </c>
      <c r="C4750" s="22">
        <f ca="1">IFERROR(__xludf.DUMMYFUNCTION("""COMPUTED_VALUE"""),500000)</f>
        <v>500000</v>
      </c>
      <c r="D4750" s="22">
        <f ca="1">IFERROR(__xludf.DUMMYFUNCTION("""COMPUTED_VALUE"""),0)</f>
        <v>0</v>
      </c>
      <c r="E4750" s="22">
        <f ca="1">IFERROR(__xludf.DUMMYFUNCTION("""COMPUTED_VALUE"""),500000)</f>
        <v>500000</v>
      </c>
      <c r="F4750" s="22">
        <f ca="1">IFERROR(__xludf.DUMMYFUNCTION("""COMPUTED_VALUE"""),500000)</f>
        <v>500000</v>
      </c>
      <c r="G4750" s="22">
        <f ca="1">IFERROR(__xludf.DUMMYFUNCTION("""COMPUTED_VALUE"""),0)</f>
        <v>0</v>
      </c>
      <c r="H4750" s="7">
        <f ca="1">IFERROR(__xludf.DUMMYFUNCTION("""COMPUTED_VALUE"""),500000)</f>
        <v>500000</v>
      </c>
    </row>
    <row r="4751" spans="1:8" ht="13" x14ac:dyDescent="0.15">
      <c r="A4751" s="5" t="str">
        <f ca="1">IFERROR(__xludf.DUMMYFUNCTION("""COMPUTED_VALUE"""),"82458")</f>
        <v>82458</v>
      </c>
      <c r="B4751" s="51">
        <f ca="1">IFERROR(__xludf.DUMMYFUNCTION("""COMPUTED_VALUE"""),44606)</f>
        <v>44606</v>
      </c>
      <c r="C4751" s="22">
        <f ca="1">IFERROR(__xludf.DUMMYFUNCTION("""COMPUTED_VALUE"""),500000)</f>
        <v>500000</v>
      </c>
      <c r="D4751" s="22">
        <f ca="1">IFERROR(__xludf.DUMMYFUNCTION("""COMPUTED_VALUE"""),0)</f>
        <v>0</v>
      </c>
      <c r="E4751" s="22">
        <f ca="1">IFERROR(__xludf.DUMMYFUNCTION("""COMPUTED_VALUE"""),500000)</f>
        <v>500000</v>
      </c>
      <c r="F4751" s="22">
        <f ca="1">IFERROR(__xludf.DUMMYFUNCTION("""COMPUTED_VALUE"""),500000)</f>
        <v>500000</v>
      </c>
      <c r="G4751" s="22">
        <f ca="1">IFERROR(__xludf.DUMMYFUNCTION("""COMPUTED_VALUE"""),0)</f>
        <v>0</v>
      </c>
      <c r="H4751" s="7">
        <f ca="1">IFERROR(__xludf.DUMMYFUNCTION("""COMPUTED_VALUE"""),500000)</f>
        <v>500000</v>
      </c>
    </row>
    <row r="4752" spans="1:8" ht="13" x14ac:dyDescent="0.15">
      <c r="A4752" s="5" t="str">
        <f ca="1">IFERROR(__xludf.DUMMYFUNCTION("""COMPUTED_VALUE"""),"82458")</f>
        <v>82458</v>
      </c>
      <c r="B4752" s="51">
        <f ca="1">IFERROR(__xludf.DUMMYFUNCTION("""COMPUTED_VALUE"""),44607)</f>
        <v>44607</v>
      </c>
      <c r="C4752" s="22">
        <f ca="1">IFERROR(__xludf.DUMMYFUNCTION("""COMPUTED_VALUE"""),500000)</f>
        <v>500000</v>
      </c>
      <c r="D4752" s="22">
        <f ca="1">IFERROR(__xludf.DUMMYFUNCTION("""COMPUTED_VALUE"""),0)</f>
        <v>0</v>
      </c>
      <c r="E4752" s="22">
        <f ca="1">IFERROR(__xludf.DUMMYFUNCTION("""COMPUTED_VALUE"""),500000)</f>
        <v>500000</v>
      </c>
      <c r="F4752" s="22">
        <f ca="1">IFERROR(__xludf.DUMMYFUNCTION("""COMPUTED_VALUE"""),500000)</f>
        <v>500000</v>
      </c>
      <c r="G4752" s="22">
        <f ca="1">IFERROR(__xludf.DUMMYFUNCTION("""COMPUTED_VALUE"""),0)</f>
        <v>0</v>
      </c>
      <c r="H4752" s="7">
        <f ca="1">IFERROR(__xludf.DUMMYFUNCTION("""COMPUTED_VALUE"""),500000)</f>
        <v>500000</v>
      </c>
    </row>
    <row r="4753" spans="1:8" ht="13" x14ac:dyDescent="0.15">
      <c r="A4753" s="5" t="str">
        <f ca="1">IFERROR(__xludf.DUMMYFUNCTION("""COMPUTED_VALUE"""),"82458")</f>
        <v>82458</v>
      </c>
      <c r="B4753" s="51">
        <f ca="1">IFERROR(__xludf.DUMMYFUNCTION("""COMPUTED_VALUE"""),44608)</f>
        <v>44608</v>
      </c>
      <c r="C4753" s="22">
        <f ca="1">IFERROR(__xludf.DUMMYFUNCTION("""COMPUTED_VALUE"""),500000)</f>
        <v>500000</v>
      </c>
      <c r="D4753" s="22">
        <f ca="1">IFERROR(__xludf.DUMMYFUNCTION("""COMPUTED_VALUE"""),0)</f>
        <v>0</v>
      </c>
      <c r="E4753" s="22">
        <f ca="1">IFERROR(__xludf.DUMMYFUNCTION("""COMPUTED_VALUE"""),500000)</f>
        <v>500000</v>
      </c>
      <c r="F4753" s="22">
        <f ca="1">IFERROR(__xludf.DUMMYFUNCTION("""COMPUTED_VALUE"""),500000)</f>
        <v>500000</v>
      </c>
      <c r="G4753" s="22">
        <f ca="1">IFERROR(__xludf.DUMMYFUNCTION("""COMPUTED_VALUE"""),0)</f>
        <v>0</v>
      </c>
      <c r="H4753" s="7">
        <f ca="1">IFERROR(__xludf.DUMMYFUNCTION("""COMPUTED_VALUE"""),500000)</f>
        <v>500000</v>
      </c>
    </row>
    <row r="4754" spans="1:8" ht="13" x14ac:dyDescent="0.15">
      <c r="A4754" s="5" t="str">
        <f ca="1">IFERROR(__xludf.DUMMYFUNCTION("""COMPUTED_VALUE"""),"82458")</f>
        <v>82458</v>
      </c>
      <c r="B4754" s="51">
        <f ca="1">IFERROR(__xludf.DUMMYFUNCTION("""COMPUTED_VALUE"""),44609)</f>
        <v>44609</v>
      </c>
      <c r="C4754" s="22">
        <f ca="1">IFERROR(__xludf.DUMMYFUNCTION("""COMPUTED_VALUE"""),500000)</f>
        <v>500000</v>
      </c>
      <c r="D4754" s="22">
        <f ca="1">IFERROR(__xludf.DUMMYFUNCTION("""COMPUTED_VALUE"""),0)</f>
        <v>0</v>
      </c>
      <c r="E4754" s="22">
        <f ca="1">IFERROR(__xludf.DUMMYFUNCTION("""COMPUTED_VALUE"""),500000)</f>
        <v>500000</v>
      </c>
      <c r="F4754" s="22">
        <f ca="1">IFERROR(__xludf.DUMMYFUNCTION("""COMPUTED_VALUE"""),500000)</f>
        <v>500000</v>
      </c>
      <c r="G4754" s="22">
        <f ca="1">IFERROR(__xludf.DUMMYFUNCTION("""COMPUTED_VALUE"""),0)</f>
        <v>0</v>
      </c>
      <c r="H4754" s="7">
        <f ca="1">IFERROR(__xludf.DUMMYFUNCTION("""COMPUTED_VALUE"""),500000)</f>
        <v>500000</v>
      </c>
    </row>
    <row r="4755" spans="1:8" ht="13" x14ac:dyDescent="0.15">
      <c r="A4755" s="5" t="str">
        <f ca="1">IFERROR(__xludf.DUMMYFUNCTION("""COMPUTED_VALUE"""),"82458")</f>
        <v>82458</v>
      </c>
      <c r="B4755" s="51">
        <f ca="1">IFERROR(__xludf.DUMMYFUNCTION("""COMPUTED_VALUE"""),44610)</f>
        <v>44610</v>
      </c>
      <c r="C4755" s="22">
        <f ca="1">IFERROR(__xludf.DUMMYFUNCTION("""COMPUTED_VALUE"""),500000)</f>
        <v>500000</v>
      </c>
      <c r="D4755" s="22">
        <f ca="1">IFERROR(__xludf.DUMMYFUNCTION("""COMPUTED_VALUE"""),0)</f>
        <v>0</v>
      </c>
      <c r="E4755" s="22">
        <f ca="1">IFERROR(__xludf.DUMMYFUNCTION("""COMPUTED_VALUE"""),500000)</f>
        <v>500000</v>
      </c>
      <c r="F4755" s="22">
        <f ca="1">IFERROR(__xludf.DUMMYFUNCTION("""COMPUTED_VALUE"""),500000)</f>
        <v>500000</v>
      </c>
      <c r="G4755" s="22">
        <f ca="1">IFERROR(__xludf.DUMMYFUNCTION("""COMPUTED_VALUE"""),0)</f>
        <v>0</v>
      </c>
      <c r="H4755" s="7">
        <f ca="1">IFERROR(__xludf.DUMMYFUNCTION("""COMPUTED_VALUE"""),500000)</f>
        <v>500000</v>
      </c>
    </row>
    <row r="4756" spans="1:8" ht="13" x14ac:dyDescent="0.15">
      <c r="A4756" s="5" t="str">
        <f ca="1">IFERROR(__xludf.DUMMYFUNCTION("""COMPUTED_VALUE"""),"82458")</f>
        <v>82458</v>
      </c>
      <c r="B4756" s="51">
        <f ca="1">IFERROR(__xludf.DUMMYFUNCTION("""COMPUTED_VALUE"""),44611)</f>
        <v>44611</v>
      </c>
      <c r="C4756" s="22">
        <f ca="1">IFERROR(__xludf.DUMMYFUNCTION("""COMPUTED_VALUE"""),500000)</f>
        <v>500000</v>
      </c>
      <c r="D4756" s="22">
        <f ca="1">IFERROR(__xludf.DUMMYFUNCTION("""COMPUTED_VALUE"""),0)</f>
        <v>0</v>
      </c>
      <c r="E4756" s="22">
        <f ca="1">IFERROR(__xludf.DUMMYFUNCTION("""COMPUTED_VALUE"""),500000)</f>
        <v>500000</v>
      </c>
      <c r="F4756" s="22">
        <f ca="1">IFERROR(__xludf.DUMMYFUNCTION("""COMPUTED_VALUE"""),500000)</f>
        <v>500000</v>
      </c>
      <c r="G4756" s="22">
        <f ca="1">IFERROR(__xludf.DUMMYFUNCTION("""COMPUTED_VALUE"""),0)</f>
        <v>0</v>
      </c>
      <c r="H4756" s="7">
        <f ca="1">IFERROR(__xludf.DUMMYFUNCTION("""COMPUTED_VALUE"""),500000)</f>
        <v>500000</v>
      </c>
    </row>
    <row r="4757" spans="1:8" ht="13" x14ac:dyDescent="0.15">
      <c r="A4757" s="5" t="str">
        <f ca="1">IFERROR(__xludf.DUMMYFUNCTION("""COMPUTED_VALUE"""),"82458")</f>
        <v>82458</v>
      </c>
      <c r="B4757" s="51">
        <f ca="1">IFERROR(__xludf.DUMMYFUNCTION("""COMPUTED_VALUE"""),44612)</f>
        <v>44612</v>
      </c>
      <c r="C4757" s="22">
        <f ca="1">IFERROR(__xludf.DUMMYFUNCTION("""COMPUTED_VALUE"""),500000)</f>
        <v>500000</v>
      </c>
      <c r="D4757" s="22">
        <f ca="1">IFERROR(__xludf.DUMMYFUNCTION("""COMPUTED_VALUE"""),0)</f>
        <v>0</v>
      </c>
      <c r="E4757" s="22">
        <f ca="1">IFERROR(__xludf.DUMMYFUNCTION("""COMPUTED_VALUE"""),500000)</f>
        <v>500000</v>
      </c>
      <c r="F4757" s="22">
        <f ca="1">IFERROR(__xludf.DUMMYFUNCTION("""COMPUTED_VALUE"""),500000)</f>
        <v>500000</v>
      </c>
      <c r="G4757" s="22">
        <f ca="1">IFERROR(__xludf.DUMMYFUNCTION("""COMPUTED_VALUE"""),0)</f>
        <v>0</v>
      </c>
      <c r="H4757" s="7">
        <f ca="1">IFERROR(__xludf.DUMMYFUNCTION("""COMPUTED_VALUE"""),500000)</f>
        <v>500000</v>
      </c>
    </row>
    <row r="4758" spans="1:8" ht="13" x14ac:dyDescent="0.15">
      <c r="A4758" s="5" t="str">
        <f ca="1">IFERROR(__xludf.DUMMYFUNCTION("""COMPUTED_VALUE"""),"82458")</f>
        <v>82458</v>
      </c>
      <c r="B4758" s="51">
        <f ca="1">IFERROR(__xludf.DUMMYFUNCTION("""COMPUTED_VALUE"""),44613)</f>
        <v>44613</v>
      </c>
      <c r="C4758" s="22">
        <f ca="1">IFERROR(__xludf.DUMMYFUNCTION("""COMPUTED_VALUE"""),500000)</f>
        <v>500000</v>
      </c>
      <c r="D4758" s="22">
        <f ca="1">IFERROR(__xludf.DUMMYFUNCTION("""COMPUTED_VALUE"""),0)</f>
        <v>0</v>
      </c>
      <c r="E4758" s="22">
        <f ca="1">IFERROR(__xludf.DUMMYFUNCTION("""COMPUTED_VALUE"""),500000)</f>
        <v>500000</v>
      </c>
      <c r="F4758" s="22">
        <f ca="1">IFERROR(__xludf.DUMMYFUNCTION("""COMPUTED_VALUE"""),500000)</f>
        <v>500000</v>
      </c>
      <c r="G4758" s="22">
        <f ca="1">IFERROR(__xludf.DUMMYFUNCTION("""COMPUTED_VALUE"""),0)</f>
        <v>0</v>
      </c>
      <c r="H4758" s="7">
        <f ca="1">IFERROR(__xludf.DUMMYFUNCTION("""COMPUTED_VALUE"""),500000)</f>
        <v>500000</v>
      </c>
    </row>
    <row r="4759" spans="1:8" ht="13" x14ac:dyDescent="0.15">
      <c r="A4759" s="5" t="str">
        <f ca="1">IFERROR(__xludf.DUMMYFUNCTION("""COMPUTED_VALUE"""),"82458")</f>
        <v>82458</v>
      </c>
      <c r="B4759" s="51">
        <f ca="1">IFERROR(__xludf.DUMMYFUNCTION("""COMPUTED_VALUE"""),44614)</f>
        <v>44614</v>
      </c>
      <c r="C4759" s="22">
        <f ca="1">IFERROR(__xludf.DUMMYFUNCTION("""COMPUTED_VALUE"""),500000)</f>
        <v>500000</v>
      </c>
      <c r="D4759" s="22">
        <f ca="1">IFERROR(__xludf.DUMMYFUNCTION("""COMPUTED_VALUE"""),0)</f>
        <v>0</v>
      </c>
      <c r="E4759" s="22">
        <f ca="1">IFERROR(__xludf.DUMMYFUNCTION("""COMPUTED_VALUE"""),500000)</f>
        <v>500000</v>
      </c>
      <c r="F4759" s="22">
        <f ca="1">IFERROR(__xludf.DUMMYFUNCTION("""COMPUTED_VALUE"""),500000)</f>
        <v>500000</v>
      </c>
      <c r="G4759" s="22">
        <f ca="1">IFERROR(__xludf.DUMMYFUNCTION("""COMPUTED_VALUE"""),0)</f>
        <v>0</v>
      </c>
      <c r="H4759" s="7">
        <f ca="1">IFERROR(__xludf.DUMMYFUNCTION("""COMPUTED_VALUE"""),500000)</f>
        <v>500000</v>
      </c>
    </row>
    <row r="4760" spans="1:8" ht="13" x14ac:dyDescent="0.15">
      <c r="A4760" s="5" t="str">
        <f ca="1">IFERROR(__xludf.DUMMYFUNCTION("""COMPUTED_VALUE"""),"82458")</f>
        <v>82458</v>
      </c>
      <c r="B4760" s="51">
        <f ca="1">IFERROR(__xludf.DUMMYFUNCTION("""COMPUTED_VALUE"""),44615)</f>
        <v>44615</v>
      </c>
      <c r="C4760" s="22">
        <f ca="1">IFERROR(__xludf.DUMMYFUNCTION("""COMPUTED_VALUE"""),500000)</f>
        <v>500000</v>
      </c>
      <c r="D4760" s="22">
        <f ca="1">IFERROR(__xludf.DUMMYFUNCTION("""COMPUTED_VALUE"""),0)</f>
        <v>0</v>
      </c>
      <c r="E4760" s="22">
        <f ca="1">IFERROR(__xludf.DUMMYFUNCTION("""COMPUTED_VALUE"""),500000)</f>
        <v>500000</v>
      </c>
      <c r="F4760" s="22">
        <f ca="1">IFERROR(__xludf.DUMMYFUNCTION("""COMPUTED_VALUE"""),500000)</f>
        <v>500000</v>
      </c>
      <c r="G4760" s="22">
        <f ca="1">IFERROR(__xludf.DUMMYFUNCTION("""COMPUTED_VALUE"""),0)</f>
        <v>0</v>
      </c>
      <c r="H4760" s="7">
        <f ca="1">IFERROR(__xludf.DUMMYFUNCTION("""COMPUTED_VALUE"""),500000)</f>
        <v>500000</v>
      </c>
    </row>
    <row r="4761" spans="1:8" ht="13" x14ac:dyDescent="0.15">
      <c r="A4761" s="5" t="str">
        <f ca="1">IFERROR(__xludf.DUMMYFUNCTION("""COMPUTED_VALUE"""),"82458")</f>
        <v>82458</v>
      </c>
      <c r="B4761" s="51">
        <f ca="1">IFERROR(__xludf.DUMMYFUNCTION("""COMPUTED_VALUE"""),44616)</f>
        <v>44616</v>
      </c>
      <c r="C4761" s="22">
        <f ca="1">IFERROR(__xludf.DUMMYFUNCTION("""COMPUTED_VALUE"""),500000)</f>
        <v>500000</v>
      </c>
      <c r="D4761" s="22">
        <f ca="1">IFERROR(__xludf.DUMMYFUNCTION("""COMPUTED_VALUE"""),0)</f>
        <v>0</v>
      </c>
      <c r="E4761" s="22">
        <f ca="1">IFERROR(__xludf.DUMMYFUNCTION("""COMPUTED_VALUE"""),500000)</f>
        <v>500000</v>
      </c>
      <c r="F4761" s="22">
        <f ca="1">IFERROR(__xludf.DUMMYFUNCTION("""COMPUTED_VALUE"""),500000)</f>
        <v>500000</v>
      </c>
      <c r="G4761" s="22">
        <f ca="1">IFERROR(__xludf.DUMMYFUNCTION("""COMPUTED_VALUE"""),0)</f>
        <v>0</v>
      </c>
      <c r="H4761" s="7">
        <f ca="1">IFERROR(__xludf.DUMMYFUNCTION("""COMPUTED_VALUE"""),500000)</f>
        <v>500000</v>
      </c>
    </row>
    <row r="4762" spans="1:8" ht="13" x14ac:dyDescent="0.15">
      <c r="A4762" s="5" t="str">
        <f ca="1">IFERROR(__xludf.DUMMYFUNCTION("""COMPUTED_VALUE"""),"82458")</f>
        <v>82458</v>
      </c>
      <c r="B4762" s="51">
        <f ca="1">IFERROR(__xludf.DUMMYFUNCTION("""COMPUTED_VALUE"""),44617)</f>
        <v>44617</v>
      </c>
      <c r="C4762" s="22">
        <f ca="1">IFERROR(__xludf.DUMMYFUNCTION("""COMPUTED_VALUE"""),500000)</f>
        <v>500000</v>
      </c>
      <c r="D4762" s="22">
        <f ca="1">IFERROR(__xludf.DUMMYFUNCTION("""COMPUTED_VALUE"""),0)</f>
        <v>0</v>
      </c>
      <c r="E4762" s="22">
        <f ca="1">IFERROR(__xludf.DUMMYFUNCTION("""COMPUTED_VALUE"""),500000)</f>
        <v>500000</v>
      </c>
      <c r="F4762" s="22">
        <f ca="1">IFERROR(__xludf.DUMMYFUNCTION("""COMPUTED_VALUE"""),500000)</f>
        <v>500000</v>
      </c>
      <c r="G4762" s="22">
        <f ca="1">IFERROR(__xludf.DUMMYFUNCTION("""COMPUTED_VALUE"""),0)</f>
        <v>0</v>
      </c>
      <c r="H4762" s="7">
        <f ca="1">IFERROR(__xludf.DUMMYFUNCTION("""COMPUTED_VALUE"""),500000)</f>
        <v>500000</v>
      </c>
    </row>
    <row r="4763" spans="1:8" ht="13" x14ac:dyDescent="0.15">
      <c r="A4763" s="5" t="str">
        <f ca="1">IFERROR(__xludf.DUMMYFUNCTION("""COMPUTED_VALUE"""),"82458")</f>
        <v>82458</v>
      </c>
      <c r="B4763" s="51">
        <f ca="1">IFERROR(__xludf.DUMMYFUNCTION("""COMPUTED_VALUE"""),44618)</f>
        <v>44618</v>
      </c>
      <c r="C4763" s="22">
        <f ca="1">IFERROR(__xludf.DUMMYFUNCTION("""COMPUTED_VALUE"""),500000)</f>
        <v>500000</v>
      </c>
      <c r="D4763" s="22">
        <f ca="1">IFERROR(__xludf.DUMMYFUNCTION("""COMPUTED_VALUE"""),0)</f>
        <v>0</v>
      </c>
      <c r="E4763" s="22">
        <f ca="1">IFERROR(__xludf.DUMMYFUNCTION("""COMPUTED_VALUE"""),500000)</f>
        <v>500000</v>
      </c>
      <c r="F4763" s="22">
        <f ca="1">IFERROR(__xludf.DUMMYFUNCTION("""COMPUTED_VALUE"""),500000)</f>
        <v>500000</v>
      </c>
      <c r="G4763" s="22">
        <f ca="1">IFERROR(__xludf.DUMMYFUNCTION("""COMPUTED_VALUE"""),0)</f>
        <v>0</v>
      </c>
      <c r="H4763" s="7">
        <f ca="1">IFERROR(__xludf.DUMMYFUNCTION("""COMPUTED_VALUE"""),500000)</f>
        <v>500000</v>
      </c>
    </row>
    <row r="4764" spans="1:8" ht="13" x14ac:dyDescent="0.15">
      <c r="A4764" s="5" t="str">
        <f ca="1">IFERROR(__xludf.DUMMYFUNCTION("""COMPUTED_VALUE"""),"82458")</f>
        <v>82458</v>
      </c>
      <c r="B4764" s="51">
        <f ca="1">IFERROR(__xludf.DUMMYFUNCTION("""COMPUTED_VALUE"""),44619)</f>
        <v>44619</v>
      </c>
      <c r="C4764" s="22">
        <f ca="1">IFERROR(__xludf.DUMMYFUNCTION("""COMPUTED_VALUE"""),500000)</f>
        <v>500000</v>
      </c>
      <c r="D4764" s="22">
        <f ca="1">IFERROR(__xludf.DUMMYFUNCTION("""COMPUTED_VALUE"""),0)</f>
        <v>0</v>
      </c>
      <c r="E4764" s="22">
        <f ca="1">IFERROR(__xludf.DUMMYFUNCTION("""COMPUTED_VALUE"""),500000)</f>
        <v>500000</v>
      </c>
      <c r="F4764" s="22">
        <f ca="1">IFERROR(__xludf.DUMMYFUNCTION("""COMPUTED_VALUE"""),500000)</f>
        <v>500000</v>
      </c>
      <c r="G4764" s="22">
        <f ca="1">IFERROR(__xludf.DUMMYFUNCTION("""COMPUTED_VALUE"""),0)</f>
        <v>0</v>
      </c>
      <c r="H4764" s="7">
        <f ca="1">IFERROR(__xludf.DUMMYFUNCTION("""COMPUTED_VALUE"""),500000)</f>
        <v>500000</v>
      </c>
    </row>
    <row r="4765" spans="1:8" ht="13" x14ac:dyDescent="0.15">
      <c r="A4765" s="5" t="str">
        <f ca="1">IFERROR(__xludf.DUMMYFUNCTION("""COMPUTED_VALUE"""),"82458")</f>
        <v>82458</v>
      </c>
      <c r="B4765" s="51">
        <f ca="1">IFERROR(__xludf.DUMMYFUNCTION("""COMPUTED_VALUE"""),44620)</f>
        <v>44620</v>
      </c>
      <c r="C4765" s="22">
        <f ca="1">IFERROR(__xludf.DUMMYFUNCTION("""COMPUTED_VALUE"""),500000)</f>
        <v>500000</v>
      </c>
      <c r="D4765" s="22">
        <f ca="1">IFERROR(__xludf.DUMMYFUNCTION("""COMPUTED_VALUE"""),0)</f>
        <v>0</v>
      </c>
      <c r="E4765" s="22">
        <f ca="1">IFERROR(__xludf.DUMMYFUNCTION("""COMPUTED_VALUE"""),500000)</f>
        <v>500000</v>
      </c>
      <c r="F4765" s="22">
        <f ca="1">IFERROR(__xludf.DUMMYFUNCTION("""COMPUTED_VALUE"""),500000)</f>
        <v>500000</v>
      </c>
      <c r="G4765" s="22">
        <f ca="1">IFERROR(__xludf.DUMMYFUNCTION("""COMPUTED_VALUE"""),0)</f>
        <v>0</v>
      </c>
      <c r="H4765" s="7">
        <f ca="1">IFERROR(__xludf.DUMMYFUNCTION("""COMPUTED_VALUE"""),500000)</f>
        <v>500000</v>
      </c>
    </row>
    <row r="4766" spans="1:8" ht="13" x14ac:dyDescent="0.15">
      <c r="A4766" s="5" t="str">
        <f ca="1">IFERROR(__xludf.DUMMYFUNCTION("""COMPUTED_VALUE"""),"82458")</f>
        <v>82458</v>
      </c>
      <c r="B4766" s="51">
        <f ca="1">IFERROR(__xludf.DUMMYFUNCTION("""COMPUTED_VALUE"""),44621)</f>
        <v>44621</v>
      </c>
      <c r="C4766" s="22">
        <f ca="1">IFERROR(__xludf.DUMMYFUNCTION("""COMPUTED_VALUE"""),500000)</f>
        <v>500000</v>
      </c>
      <c r="D4766" s="22">
        <f ca="1">IFERROR(__xludf.DUMMYFUNCTION("""COMPUTED_VALUE"""),0)</f>
        <v>0</v>
      </c>
      <c r="E4766" s="22">
        <f ca="1">IFERROR(__xludf.DUMMYFUNCTION("""COMPUTED_VALUE"""),500000)</f>
        <v>500000</v>
      </c>
      <c r="F4766" s="22">
        <f ca="1">IFERROR(__xludf.DUMMYFUNCTION("""COMPUTED_VALUE"""),500000)</f>
        <v>500000</v>
      </c>
      <c r="G4766" s="22">
        <f ca="1">IFERROR(__xludf.DUMMYFUNCTION("""COMPUTED_VALUE"""),0)</f>
        <v>0</v>
      </c>
      <c r="H4766" s="7">
        <f ca="1">IFERROR(__xludf.DUMMYFUNCTION("""COMPUTED_VALUE"""),500000)</f>
        <v>500000</v>
      </c>
    </row>
    <row r="4767" spans="1:8" ht="13" x14ac:dyDescent="0.15">
      <c r="A4767" s="5" t="str">
        <f ca="1">IFERROR(__xludf.DUMMYFUNCTION("""COMPUTED_VALUE"""),"82458")</f>
        <v>82458</v>
      </c>
      <c r="B4767" s="51">
        <f ca="1">IFERROR(__xludf.DUMMYFUNCTION("""COMPUTED_VALUE"""),44622)</f>
        <v>44622</v>
      </c>
      <c r="C4767" s="22">
        <f ca="1">IFERROR(__xludf.DUMMYFUNCTION("""COMPUTED_VALUE"""),500000)</f>
        <v>500000</v>
      </c>
      <c r="D4767" s="22">
        <f ca="1">IFERROR(__xludf.DUMMYFUNCTION("""COMPUTED_VALUE"""),0)</f>
        <v>0</v>
      </c>
      <c r="E4767" s="22">
        <f ca="1">IFERROR(__xludf.DUMMYFUNCTION("""COMPUTED_VALUE"""),500000)</f>
        <v>500000</v>
      </c>
      <c r="F4767" s="22">
        <f ca="1">IFERROR(__xludf.DUMMYFUNCTION("""COMPUTED_VALUE"""),500000)</f>
        <v>500000</v>
      </c>
      <c r="G4767" s="22">
        <f ca="1">IFERROR(__xludf.DUMMYFUNCTION("""COMPUTED_VALUE"""),0)</f>
        <v>0</v>
      </c>
      <c r="H4767" s="7">
        <f ca="1">IFERROR(__xludf.DUMMYFUNCTION("""COMPUTED_VALUE"""),500000)</f>
        <v>500000</v>
      </c>
    </row>
    <row r="4768" spans="1:8" ht="13" x14ac:dyDescent="0.15">
      <c r="A4768" s="5" t="str">
        <f ca="1">IFERROR(__xludf.DUMMYFUNCTION("""COMPUTED_VALUE"""),"82458")</f>
        <v>82458</v>
      </c>
      <c r="B4768" s="51">
        <f ca="1">IFERROR(__xludf.DUMMYFUNCTION("""COMPUTED_VALUE"""),44623)</f>
        <v>44623</v>
      </c>
      <c r="C4768" s="22">
        <f ca="1">IFERROR(__xludf.DUMMYFUNCTION("""COMPUTED_VALUE"""),500000)</f>
        <v>500000</v>
      </c>
      <c r="D4768" s="22">
        <f ca="1">IFERROR(__xludf.DUMMYFUNCTION("""COMPUTED_VALUE"""),0)</f>
        <v>0</v>
      </c>
      <c r="E4768" s="22">
        <f ca="1">IFERROR(__xludf.DUMMYFUNCTION("""COMPUTED_VALUE"""),500000)</f>
        <v>500000</v>
      </c>
      <c r="F4768" s="22">
        <f ca="1">IFERROR(__xludf.DUMMYFUNCTION("""COMPUTED_VALUE"""),500000)</f>
        <v>500000</v>
      </c>
      <c r="G4768" s="22">
        <f ca="1">IFERROR(__xludf.DUMMYFUNCTION("""COMPUTED_VALUE"""),0)</f>
        <v>0</v>
      </c>
      <c r="H4768" s="7">
        <f ca="1">IFERROR(__xludf.DUMMYFUNCTION("""COMPUTED_VALUE"""),500000)</f>
        <v>500000</v>
      </c>
    </row>
    <row r="4769" spans="1:8" ht="13" x14ac:dyDescent="0.15">
      <c r="A4769" s="5" t="str">
        <f ca="1">IFERROR(__xludf.DUMMYFUNCTION("""COMPUTED_VALUE"""),"82458")</f>
        <v>82458</v>
      </c>
      <c r="B4769" s="51">
        <f ca="1">IFERROR(__xludf.DUMMYFUNCTION("""COMPUTED_VALUE"""),44624)</f>
        <v>44624</v>
      </c>
      <c r="C4769" s="22">
        <f ca="1">IFERROR(__xludf.DUMMYFUNCTION("""COMPUTED_VALUE"""),500000)</f>
        <v>500000</v>
      </c>
      <c r="D4769" s="22">
        <f ca="1">IFERROR(__xludf.DUMMYFUNCTION("""COMPUTED_VALUE"""),0)</f>
        <v>0</v>
      </c>
      <c r="E4769" s="22">
        <f ca="1">IFERROR(__xludf.DUMMYFUNCTION("""COMPUTED_VALUE"""),500000)</f>
        <v>500000</v>
      </c>
      <c r="F4769" s="22">
        <f ca="1">IFERROR(__xludf.DUMMYFUNCTION("""COMPUTED_VALUE"""),500000)</f>
        <v>500000</v>
      </c>
      <c r="G4769" s="22">
        <f ca="1">IFERROR(__xludf.DUMMYFUNCTION("""COMPUTED_VALUE"""),0)</f>
        <v>0</v>
      </c>
      <c r="H4769" s="7">
        <f ca="1">IFERROR(__xludf.DUMMYFUNCTION("""COMPUTED_VALUE"""),500000)</f>
        <v>500000</v>
      </c>
    </row>
    <row r="4770" spans="1:8" ht="13" x14ac:dyDescent="0.15">
      <c r="A4770" s="5" t="str">
        <f ca="1">IFERROR(__xludf.DUMMYFUNCTION("""COMPUTED_VALUE"""),"82458")</f>
        <v>82458</v>
      </c>
      <c r="B4770" s="51">
        <f ca="1">IFERROR(__xludf.DUMMYFUNCTION("""COMPUTED_VALUE"""),44625)</f>
        <v>44625</v>
      </c>
      <c r="C4770" s="22">
        <f ca="1">IFERROR(__xludf.DUMMYFUNCTION("""COMPUTED_VALUE"""),500000)</f>
        <v>500000</v>
      </c>
      <c r="D4770" s="22">
        <f ca="1">IFERROR(__xludf.DUMMYFUNCTION("""COMPUTED_VALUE"""),0)</f>
        <v>0</v>
      </c>
      <c r="E4770" s="22">
        <f ca="1">IFERROR(__xludf.DUMMYFUNCTION("""COMPUTED_VALUE"""),500000)</f>
        <v>500000</v>
      </c>
      <c r="F4770" s="22">
        <f ca="1">IFERROR(__xludf.DUMMYFUNCTION("""COMPUTED_VALUE"""),500000)</f>
        <v>500000</v>
      </c>
      <c r="G4770" s="22">
        <f ca="1">IFERROR(__xludf.DUMMYFUNCTION("""COMPUTED_VALUE"""),0)</f>
        <v>0</v>
      </c>
      <c r="H4770" s="7">
        <f ca="1">IFERROR(__xludf.DUMMYFUNCTION("""COMPUTED_VALUE"""),500000)</f>
        <v>500000</v>
      </c>
    </row>
    <row r="4771" spans="1:8" ht="13" x14ac:dyDescent="0.15">
      <c r="A4771" s="5" t="str">
        <f ca="1">IFERROR(__xludf.DUMMYFUNCTION("""COMPUTED_VALUE"""),"82458")</f>
        <v>82458</v>
      </c>
      <c r="B4771" s="51">
        <f ca="1">IFERROR(__xludf.DUMMYFUNCTION("""COMPUTED_VALUE"""),44626)</f>
        <v>44626</v>
      </c>
      <c r="C4771" s="22">
        <f ca="1">IFERROR(__xludf.DUMMYFUNCTION("""COMPUTED_VALUE"""),500000)</f>
        <v>500000</v>
      </c>
      <c r="D4771" s="22">
        <f ca="1">IFERROR(__xludf.DUMMYFUNCTION("""COMPUTED_VALUE"""),0)</f>
        <v>0</v>
      </c>
      <c r="E4771" s="22">
        <f ca="1">IFERROR(__xludf.DUMMYFUNCTION("""COMPUTED_VALUE"""),500000)</f>
        <v>500000</v>
      </c>
      <c r="F4771" s="22">
        <f ca="1">IFERROR(__xludf.DUMMYFUNCTION("""COMPUTED_VALUE"""),500000)</f>
        <v>500000</v>
      </c>
      <c r="G4771" s="22">
        <f ca="1">IFERROR(__xludf.DUMMYFUNCTION("""COMPUTED_VALUE"""),0)</f>
        <v>0</v>
      </c>
      <c r="H4771" s="7">
        <f ca="1">IFERROR(__xludf.DUMMYFUNCTION("""COMPUTED_VALUE"""),500000)</f>
        <v>500000</v>
      </c>
    </row>
    <row r="4772" spans="1:8" ht="13" x14ac:dyDescent="0.15">
      <c r="A4772" s="5" t="str">
        <f ca="1">IFERROR(__xludf.DUMMYFUNCTION("""COMPUTED_VALUE"""),"82458")</f>
        <v>82458</v>
      </c>
      <c r="B4772" s="51">
        <f ca="1">IFERROR(__xludf.DUMMYFUNCTION("""COMPUTED_VALUE"""),44627)</f>
        <v>44627</v>
      </c>
      <c r="C4772" s="22">
        <f ca="1">IFERROR(__xludf.DUMMYFUNCTION("""COMPUTED_VALUE"""),500000)</f>
        <v>500000</v>
      </c>
      <c r="D4772" s="22">
        <f ca="1">IFERROR(__xludf.DUMMYFUNCTION("""COMPUTED_VALUE"""),0)</f>
        <v>0</v>
      </c>
      <c r="E4772" s="22">
        <f ca="1">IFERROR(__xludf.DUMMYFUNCTION("""COMPUTED_VALUE"""),500000)</f>
        <v>500000</v>
      </c>
      <c r="F4772" s="22">
        <f ca="1">IFERROR(__xludf.DUMMYFUNCTION("""COMPUTED_VALUE"""),500000)</f>
        <v>500000</v>
      </c>
      <c r="G4772" s="22">
        <f ca="1">IFERROR(__xludf.DUMMYFUNCTION("""COMPUTED_VALUE"""),0)</f>
        <v>0</v>
      </c>
      <c r="H4772" s="7">
        <f ca="1">IFERROR(__xludf.DUMMYFUNCTION("""COMPUTED_VALUE"""),500000)</f>
        <v>500000</v>
      </c>
    </row>
    <row r="4773" spans="1:8" ht="13" x14ac:dyDescent="0.15">
      <c r="A4773" s="5" t="str">
        <f ca="1">IFERROR(__xludf.DUMMYFUNCTION("""COMPUTED_VALUE"""),"82458")</f>
        <v>82458</v>
      </c>
      <c r="B4773" s="51">
        <f ca="1">IFERROR(__xludf.DUMMYFUNCTION("""COMPUTED_VALUE"""),44628)</f>
        <v>44628</v>
      </c>
      <c r="C4773" s="22">
        <f ca="1">IFERROR(__xludf.DUMMYFUNCTION("""COMPUTED_VALUE"""),500000)</f>
        <v>500000</v>
      </c>
      <c r="D4773" s="22">
        <f ca="1">IFERROR(__xludf.DUMMYFUNCTION("""COMPUTED_VALUE"""),0)</f>
        <v>0</v>
      </c>
      <c r="E4773" s="22">
        <f ca="1">IFERROR(__xludf.DUMMYFUNCTION("""COMPUTED_VALUE"""),500000)</f>
        <v>500000</v>
      </c>
      <c r="F4773" s="22">
        <f ca="1">IFERROR(__xludf.DUMMYFUNCTION("""COMPUTED_VALUE"""),500000)</f>
        <v>500000</v>
      </c>
      <c r="G4773" s="22">
        <f ca="1">IFERROR(__xludf.DUMMYFUNCTION("""COMPUTED_VALUE"""),0)</f>
        <v>0</v>
      </c>
      <c r="H4773" s="7">
        <f ca="1">IFERROR(__xludf.DUMMYFUNCTION("""COMPUTED_VALUE"""),500000)</f>
        <v>500000</v>
      </c>
    </row>
    <row r="4774" spans="1:8" ht="13" x14ac:dyDescent="0.15">
      <c r="A4774" s="5" t="str">
        <f ca="1">IFERROR(__xludf.DUMMYFUNCTION("""COMPUTED_VALUE"""),"82458")</f>
        <v>82458</v>
      </c>
      <c r="B4774" s="51">
        <f ca="1">IFERROR(__xludf.DUMMYFUNCTION("""COMPUTED_VALUE"""),44629)</f>
        <v>44629</v>
      </c>
      <c r="C4774" s="22">
        <f ca="1">IFERROR(__xludf.DUMMYFUNCTION("""COMPUTED_VALUE"""),500000)</f>
        <v>500000</v>
      </c>
      <c r="D4774" s="22">
        <f ca="1">IFERROR(__xludf.DUMMYFUNCTION("""COMPUTED_VALUE"""),0)</f>
        <v>0</v>
      </c>
      <c r="E4774" s="22">
        <f ca="1">IFERROR(__xludf.DUMMYFUNCTION("""COMPUTED_VALUE"""),500000)</f>
        <v>500000</v>
      </c>
      <c r="F4774" s="22">
        <f ca="1">IFERROR(__xludf.DUMMYFUNCTION("""COMPUTED_VALUE"""),500000)</f>
        <v>500000</v>
      </c>
      <c r="G4774" s="22">
        <f ca="1">IFERROR(__xludf.DUMMYFUNCTION("""COMPUTED_VALUE"""),0)</f>
        <v>0</v>
      </c>
      <c r="H4774" s="7">
        <f ca="1">IFERROR(__xludf.DUMMYFUNCTION("""COMPUTED_VALUE"""),500000)</f>
        <v>500000</v>
      </c>
    </row>
    <row r="4775" spans="1:8" ht="13" x14ac:dyDescent="0.15">
      <c r="A4775" s="5" t="str">
        <f ca="1">IFERROR(__xludf.DUMMYFUNCTION("""COMPUTED_VALUE"""),"82458")</f>
        <v>82458</v>
      </c>
      <c r="B4775" s="51">
        <f ca="1">IFERROR(__xludf.DUMMYFUNCTION("""COMPUTED_VALUE"""),44630)</f>
        <v>44630</v>
      </c>
      <c r="C4775" s="22">
        <f ca="1">IFERROR(__xludf.DUMMYFUNCTION("""COMPUTED_VALUE"""),500000)</f>
        <v>500000</v>
      </c>
      <c r="D4775" s="22">
        <f ca="1">IFERROR(__xludf.DUMMYFUNCTION("""COMPUTED_VALUE"""),0)</f>
        <v>0</v>
      </c>
      <c r="E4775" s="22">
        <f ca="1">IFERROR(__xludf.DUMMYFUNCTION("""COMPUTED_VALUE"""),500000)</f>
        <v>500000</v>
      </c>
      <c r="F4775" s="22">
        <f ca="1">IFERROR(__xludf.DUMMYFUNCTION("""COMPUTED_VALUE"""),500000)</f>
        <v>500000</v>
      </c>
      <c r="G4775" s="22">
        <f ca="1">IFERROR(__xludf.DUMMYFUNCTION("""COMPUTED_VALUE"""),0)</f>
        <v>0</v>
      </c>
      <c r="H4775" s="7">
        <f ca="1">IFERROR(__xludf.DUMMYFUNCTION("""COMPUTED_VALUE"""),500000)</f>
        <v>500000</v>
      </c>
    </row>
    <row r="4776" spans="1:8" ht="13" x14ac:dyDescent="0.15">
      <c r="A4776" s="5" t="str">
        <f ca="1">IFERROR(__xludf.DUMMYFUNCTION("""COMPUTED_VALUE"""),"82458")</f>
        <v>82458</v>
      </c>
      <c r="B4776" s="51">
        <f ca="1">IFERROR(__xludf.DUMMYFUNCTION("""COMPUTED_VALUE"""),44631)</f>
        <v>44631</v>
      </c>
      <c r="C4776" s="22">
        <f ca="1">IFERROR(__xludf.DUMMYFUNCTION("""COMPUTED_VALUE"""),500000)</f>
        <v>500000</v>
      </c>
      <c r="D4776" s="22">
        <f ca="1">IFERROR(__xludf.DUMMYFUNCTION("""COMPUTED_VALUE"""),0)</f>
        <v>0</v>
      </c>
      <c r="E4776" s="22">
        <f ca="1">IFERROR(__xludf.DUMMYFUNCTION("""COMPUTED_VALUE"""),500000)</f>
        <v>500000</v>
      </c>
      <c r="F4776" s="22">
        <f ca="1">IFERROR(__xludf.DUMMYFUNCTION("""COMPUTED_VALUE"""),500000)</f>
        <v>500000</v>
      </c>
      <c r="G4776" s="22">
        <f ca="1">IFERROR(__xludf.DUMMYFUNCTION("""COMPUTED_VALUE"""),0)</f>
        <v>0</v>
      </c>
      <c r="H4776" s="7">
        <f ca="1">IFERROR(__xludf.DUMMYFUNCTION("""COMPUTED_VALUE"""),500000)</f>
        <v>500000</v>
      </c>
    </row>
    <row r="4777" spans="1:8" ht="13" x14ac:dyDescent="0.15">
      <c r="A4777" s="5" t="str">
        <f ca="1">IFERROR(__xludf.DUMMYFUNCTION("""COMPUTED_VALUE"""),"82458")</f>
        <v>82458</v>
      </c>
      <c r="B4777" s="51">
        <f ca="1">IFERROR(__xludf.DUMMYFUNCTION("""COMPUTED_VALUE"""),44632)</f>
        <v>44632</v>
      </c>
      <c r="C4777" s="22">
        <f ca="1">IFERROR(__xludf.DUMMYFUNCTION("""COMPUTED_VALUE"""),500000)</f>
        <v>500000</v>
      </c>
      <c r="D4777" s="22">
        <f ca="1">IFERROR(__xludf.DUMMYFUNCTION("""COMPUTED_VALUE"""),0)</f>
        <v>0</v>
      </c>
      <c r="E4777" s="22">
        <f ca="1">IFERROR(__xludf.DUMMYFUNCTION("""COMPUTED_VALUE"""),500000)</f>
        <v>500000</v>
      </c>
      <c r="F4777" s="22">
        <f ca="1">IFERROR(__xludf.DUMMYFUNCTION("""COMPUTED_VALUE"""),500000)</f>
        <v>500000</v>
      </c>
      <c r="G4777" s="22">
        <f ca="1">IFERROR(__xludf.DUMMYFUNCTION("""COMPUTED_VALUE"""),0)</f>
        <v>0</v>
      </c>
      <c r="H4777" s="7">
        <f ca="1">IFERROR(__xludf.DUMMYFUNCTION("""COMPUTED_VALUE"""),500000)</f>
        <v>500000</v>
      </c>
    </row>
    <row r="4778" spans="1:8" ht="13" x14ac:dyDescent="0.15">
      <c r="A4778" s="5" t="str">
        <f ca="1">IFERROR(__xludf.DUMMYFUNCTION("""COMPUTED_VALUE"""),"82458")</f>
        <v>82458</v>
      </c>
      <c r="B4778" s="51">
        <f ca="1">IFERROR(__xludf.DUMMYFUNCTION("""COMPUTED_VALUE"""),44633)</f>
        <v>44633</v>
      </c>
      <c r="C4778" s="22">
        <f ca="1">IFERROR(__xludf.DUMMYFUNCTION("""COMPUTED_VALUE"""),500000)</f>
        <v>500000</v>
      </c>
      <c r="D4778" s="22">
        <f ca="1">IFERROR(__xludf.DUMMYFUNCTION("""COMPUTED_VALUE"""),0)</f>
        <v>0</v>
      </c>
      <c r="E4778" s="22">
        <f ca="1">IFERROR(__xludf.DUMMYFUNCTION("""COMPUTED_VALUE"""),500000)</f>
        <v>500000</v>
      </c>
      <c r="F4778" s="22">
        <f ca="1">IFERROR(__xludf.DUMMYFUNCTION("""COMPUTED_VALUE"""),500000)</f>
        <v>500000</v>
      </c>
      <c r="G4778" s="22">
        <f ca="1">IFERROR(__xludf.DUMMYFUNCTION("""COMPUTED_VALUE"""),0)</f>
        <v>0</v>
      </c>
      <c r="H4778" s="7">
        <f ca="1">IFERROR(__xludf.DUMMYFUNCTION("""COMPUTED_VALUE"""),500000)</f>
        <v>500000</v>
      </c>
    </row>
    <row r="4779" spans="1:8" ht="13" x14ac:dyDescent="0.15">
      <c r="A4779" s="5" t="str">
        <f ca="1">IFERROR(__xludf.DUMMYFUNCTION("""COMPUTED_VALUE"""),"82458")</f>
        <v>82458</v>
      </c>
      <c r="B4779" s="51">
        <f ca="1">IFERROR(__xludf.DUMMYFUNCTION("""COMPUTED_VALUE"""),44634)</f>
        <v>44634</v>
      </c>
      <c r="C4779" s="22">
        <f ca="1">IFERROR(__xludf.DUMMYFUNCTION("""COMPUTED_VALUE"""),500000)</f>
        <v>500000</v>
      </c>
      <c r="D4779" s="22">
        <f ca="1">IFERROR(__xludf.DUMMYFUNCTION("""COMPUTED_VALUE"""),0)</f>
        <v>0</v>
      </c>
      <c r="E4779" s="22">
        <f ca="1">IFERROR(__xludf.DUMMYFUNCTION("""COMPUTED_VALUE"""),500000)</f>
        <v>500000</v>
      </c>
      <c r="F4779" s="22">
        <f ca="1">IFERROR(__xludf.DUMMYFUNCTION("""COMPUTED_VALUE"""),500000)</f>
        <v>500000</v>
      </c>
      <c r="G4779" s="22">
        <f ca="1">IFERROR(__xludf.DUMMYFUNCTION("""COMPUTED_VALUE"""),0)</f>
        <v>0</v>
      </c>
      <c r="H4779" s="7">
        <f ca="1">IFERROR(__xludf.DUMMYFUNCTION("""COMPUTED_VALUE"""),500000)</f>
        <v>500000</v>
      </c>
    </row>
    <row r="4780" spans="1:8" ht="13" x14ac:dyDescent="0.15">
      <c r="A4780" s="5" t="str">
        <f ca="1">IFERROR(__xludf.DUMMYFUNCTION("""COMPUTED_VALUE"""),"82458")</f>
        <v>82458</v>
      </c>
      <c r="B4780" s="51">
        <f ca="1">IFERROR(__xludf.DUMMYFUNCTION("""COMPUTED_VALUE"""),44635)</f>
        <v>44635</v>
      </c>
      <c r="C4780" s="22">
        <f ca="1">IFERROR(__xludf.DUMMYFUNCTION("""COMPUTED_VALUE"""),500000)</f>
        <v>500000</v>
      </c>
      <c r="D4780" s="22">
        <f ca="1">IFERROR(__xludf.DUMMYFUNCTION("""COMPUTED_VALUE"""),0)</f>
        <v>0</v>
      </c>
      <c r="E4780" s="22">
        <f ca="1">IFERROR(__xludf.DUMMYFUNCTION("""COMPUTED_VALUE"""),500000)</f>
        <v>500000</v>
      </c>
      <c r="F4780" s="22">
        <f ca="1">IFERROR(__xludf.DUMMYFUNCTION("""COMPUTED_VALUE"""),500000)</f>
        <v>500000</v>
      </c>
      <c r="G4780" s="22">
        <f ca="1">IFERROR(__xludf.DUMMYFUNCTION("""COMPUTED_VALUE"""),0)</f>
        <v>0</v>
      </c>
      <c r="H4780" s="7">
        <f ca="1">IFERROR(__xludf.DUMMYFUNCTION("""COMPUTED_VALUE"""),500000)</f>
        <v>500000</v>
      </c>
    </row>
    <row r="4781" spans="1:8" ht="13" x14ac:dyDescent="0.15">
      <c r="A4781" s="5" t="str">
        <f ca="1">IFERROR(__xludf.DUMMYFUNCTION("""COMPUTED_VALUE"""),"82458")</f>
        <v>82458</v>
      </c>
      <c r="B4781" s="51">
        <f ca="1">IFERROR(__xludf.DUMMYFUNCTION("""COMPUTED_VALUE"""),44636)</f>
        <v>44636</v>
      </c>
      <c r="C4781" s="22">
        <f ca="1">IFERROR(__xludf.DUMMYFUNCTION("""COMPUTED_VALUE"""),500000)</f>
        <v>500000</v>
      </c>
      <c r="D4781" s="22">
        <f ca="1">IFERROR(__xludf.DUMMYFUNCTION("""COMPUTED_VALUE"""),0)</f>
        <v>0</v>
      </c>
      <c r="E4781" s="22">
        <f ca="1">IFERROR(__xludf.DUMMYFUNCTION("""COMPUTED_VALUE"""),500000)</f>
        <v>500000</v>
      </c>
      <c r="F4781" s="22">
        <f ca="1">IFERROR(__xludf.DUMMYFUNCTION("""COMPUTED_VALUE"""),500000)</f>
        <v>500000</v>
      </c>
      <c r="G4781" s="22">
        <f ca="1">IFERROR(__xludf.DUMMYFUNCTION("""COMPUTED_VALUE"""),0)</f>
        <v>0</v>
      </c>
      <c r="H4781" s="7">
        <f ca="1">IFERROR(__xludf.DUMMYFUNCTION("""COMPUTED_VALUE"""),500000)</f>
        <v>500000</v>
      </c>
    </row>
    <row r="4782" spans="1:8" ht="13" x14ac:dyDescent="0.15">
      <c r="A4782" s="5" t="str">
        <f ca="1">IFERROR(__xludf.DUMMYFUNCTION("""COMPUTED_VALUE"""),"82458")</f>
        <v>82458</v>
      </c>
      <c r="B4782" s="51">
        <f ca="1">IFERROR(__xludf.DUMMYFUNCTION("""COMPUTED_VALUE"""),44637)</f>
        <v>44637</v>
      </c>
      <c r="C4782" s="22">
        <f ca="1">IFERROR(__xludf.DUMMYFUNCTION("""COMPUTED_VALUE"""),500000)</f>
        <v>500000</v>
      </c>
      <c r="D4782" s="22">
        <f ca="1">IFERROR(__xludf.DUMMYFUNCTION("""COMPUTED_VALUE"""),0)</f>
        <v>0</v>
      </c>
      <c r="E4782" s="22">
        <f ca="1">IFERROR(__xludf.DUMMYFUNCTION("""COMPUTED_VALUE"""),500000)</f>
        <v>500000</v>
      </c>
      <c r="F4782" s="22">
        <f ca="1">IFERROR(__xludf.DUMMYFUNCTION("""COMPUTED_VALUE"""),500000)</f>
        <v>500000</v>
      </c>
      <c r="G4782" s="22">
        <f ca="1">IFERROR(__xludf.DUMMYFUNCTION("""COMPUTED_VALUE"""),0)</f>
        <v>0</v>
      </c>
      <c r="H4782" s="7">
        <f ca="1">IFERROR(__xludf.DUMMYFUNCTION("""COMPUTED_VALUE"""),500000)</f>
        <v>500000</v>
      </c>
    </row>
    <row r="4783" spans="1:8" ht="13" x14ac:dyDescent="0.15">
      <c r="A4783" s="5" t="str">
        <f ca="1">IFERROR(__xludf.DUMMYFUNCTION("""COMPUTED_VALUE"""),"82458")</f>
        <v>82458</v>
      </c>
      <c r="B4783" s="51">
        <f ca="1">IFERROR(__xludf.DUMMYFUNCTION("""COMPUTED_VALUE"""),44638)</f>
        <v>44638</v>
      </c>
      <c r="C4783" s="22">
        <f ca="1">IFERROR(__xludf.DUMMYFUNCTION("""COMPUTED_VALUE"""),500000)</f>
        <v>500000</v>
      </c>
      <c r="D4783" s="22">
        <f ca="1">IFERROR(__xludf.DUMMYFUNCTION("""COMPUTED_VALUE"""),0)</f>
        <v>0</v>
      </c>
      <c r="E4783" s="22">
        <f ca="1">IFERROR(__xludf.DUMMYFUNCTION("""COMPUTED_VALUE"""),500000)</f>
        <v>500000</v>
      </c>
      <c r="F4783" s="22">
        <f ca="1">IFERROR(__xludf.DUMMYFUNCTION("""COMPUTED_VALUE"""),500000)</f>
        <v>500000</v>
      </c>
      <c r="G4783" s="22">
        <f ca="1">IFERROR(__xludf.DUMMYFUNCTION("""COMPUTED_VALUE"""),0)</f>
        <v>0</v>
      </c>
      <c r="H4783" s="7">
        <f ca="1">IFERROR(__xludf.DUMMYFUNCTION("""COMPUTED_VALUE"""),500000)</f>
        <v>500000</v>
      </c>
    </row>
    <row r="4784" spans="1:8" ht="13" x14ac:dyDescent="0.15">
      <c r="A4784" s="5" t="str">
        <f ca="1">IFERROR(__xludf.DUMMYFUNCTION("""COMPUTED_VALUE"""),"82458")</f>
        <v>82458</v>
      </c>
      <c r="B4784" s="51">
        <f ca="1">IFERROR(__xludf.DUMMYFUNCTION("""COMPUTED_VALUE"""),44639)</f>
        <v>44639</v>
      </c>
      <c r="C4784" s="22">
        <f ca="1">IFERROR(__xludf.DUMMYFUNCTION("""COMPUTED_VALUE"""),500000)</f>
        <v>500000</v>
      </c>
      <c r="D4784" s="22">
        <f ca="1">IFERROR(__xludf.DUMMYFUNCTION("""COMPUTED_VALUE"""),0)</f>
        <v>0</v>
      </c>
      <c r="E4784" s="22">
        <f ca="1">IFERROR(__xludf.DUMMYFUNCTION("""COMPUTED_VALUE"""),500000)</f>
        <v>500000</v>
      </c>
      <c r="F4784" s="22">
        <f ca="1">IFERROR(__xludf.DUMMYFUNCTION("""COMPUTED_VALUE"""),500000)</f>
        <v>500000</v>
      </c>
      <c r="G4784" s="22">
        <f ca="1">IFERROR(__xludf.DUMMYFUNCTION("""COMPUTED_VALUE"""),0)</f>
        <v>0</v>
      </c>
      <c r="H4784" s="7">
        <f ca="1">IFERROR(__xludf.DUMMYFUNCTION("""COMPUTED_VALUE"""),500000)</f>
        <v>500000</v>
      </c>
    </row>
    <row r="4785" spans="1:8" ht="13" x14ac:dyDescent="0.15">
      <c r="A4785" s="5" t="str">
        <f ca="1">IFERROR(__xludf.DUMMYFUNCTION("""COMPUTED_VALUE"""),"82458")</f>
        <v>82458</v>
      </c>
      <c r="B4785" s="51">
        <f ca="1">IFERROR(__xludf.DUMMYFUNCTION("""COMPUTED_VALUE"""),44640)</f>
        <v>44640</v>
      </c>
      <c r="C4785" s="22">
        <f ca="1">IFERROR(__xludf.DUMMYFUNCTION("""COMPUTED_VALUE"""),500000)</f>
        <v>500000</v>
      </c>
      <c r="D4785" s="22">
        <f ca="1">IFERROR(__xludf.DUMMYFUNCTION("""COMPUTED_VALUE"""),0)</f>
        <v>0</v>
      </c>
      <c r="E4785" s="22">
        <f ca="1">IFERROR(__xludf.DUMMYFUNCTION("""COMPUTED_VALUE"""),500000)</f>
        <v>500000</v>
      </c>
      <c r="F4785" s="22">
        <f ca="1">IFERROR(__xludf.DUMMYFUNCTION("""COMPUTED_VALUE"""),500000)</f>
        <v>500000</v>
      </c>
      <c r="G4785" s="22">
        <f ca="1">IFERROR(__xludf.DUMMYFUNCTION("""COMPUTED_VALUE"""),0)</f>
        <v>0</v>
      </c>
      <c r="H4785" s="7">
        <f ca="1">IFERROR(__xludf.DUMMYFUNCTION("""COMPUTED_VALUE"""),500000)</f>
        <v>500000</v>
      </c>
    </row>
    <row r="4786" spans="1:8" ht="13" x14ac:dyDescent="0.15">
      <c r="A4786" s="5" t="str">
        <f ca="1">IFERROR(__xludf.DUMMYFUNCTION("""COMPUTED_VALUE"""),"82458")</f>
        <v>82458</v>
      </c>
      <c r="B4786" s="51">
        <f ca="1">IFERROR(__xludf.DUMMYFUNCTION("""COMPUTED_VALUE"""),44641)</f>
        <v>44641</v>
      </c>
      <c r="C4786" s="22">
        <f ca="1">IFERROR(__xludf.DUMMYFUNCTION("""COMPUTED_VALUE"""),500000)</f>
        <v>500000</v>
      </c>
      <c r="D4786" s="22">
        <f ca="1">IFERROR(__xludf.DUMMYFUNCTION("""COMPUTED_VALUE"""),0)</f>
        <v>0</v>
      </c>
      <c r="E4786" s="22">
        <f ca="1">IFERROR(__xludf.DUMMYFUNCTION("""COMPUTED_VALUE"""),500000)</f>
        <v>500000</v>
      </c>
      <c r="F4786" s="22">
        <f ca="1">IFERROR(__xludf.DUMMYFUNCTION("""COMPUTED_VALUE"""),500000)</f>
        <v>500000</v>
      </c>
      <c r="G4786" s="22">
        <f ca="1">IFERROR(__xludf.DUMMYFUNCTION("""COMPUTED_VALUE"""),0)</f>
        <v>0</v>
      </c>
      <c r="H4786" s="7">
        <f ca="1">IFERROR(__xludf.DUMMYFUNCTION("""COMPUTED_VALUE"""),500000)</f>
        <v>500000</v>
      </c>
    </row>
    <row r="4787" spans="1:8" ht="13" x14ac:dyDescent="0.15">
      <c r="A4787" s="5" t="str">
        <f ca="1">IFERROR(__xludf.DUMMYFUNCTION("""COMPUTED_VALUE"""),"82458")</f>
        <v>82458</v>
      </c>
      <c r="B4787" s="51">
        <f ca="1">IFERROR(__xludf.DUMMYFUNCTION("""COMPUTED_VALUE"""),44642)</f>
        <v>44642</v>
      </c>
      <c r="C4787" s="22">
        <f ca="1">IFERROR(__xludf.DUMMYFUNCTION("""COMPUTED_VALUE"""),500000)</f>
        <v>500000</v>
      </c>
      <c r="D4787" s="22">
        <f ca="1">IFERROR(__xludf.DUMMYFUNCTION("""COMPUTED_VALUE"""),0)</f>
        <v>0</v>
      </c>
      <c r="E4787" s="22">
        <f ca="1">IFERROR(__xludf.DUMMYFUNCTION("""COMPUTED_VALUE"""),500000)</f>
        <v>500000</v>
      </c>
      <c r="F4787" s="22">
        <f ca="1">IFERROR(__xludf.DUMMYFUNCTION("""COMPUTED_VALUE"""),500000)</f>
        <v>500000</v>
      </c>
      <c r="G4787" s="22">
        <f ca="1">IFERROR(__xludf.DUMMYFUNCTION("""COMPUTED_VALUE"""),0)</f>
        <v>0</v>
      </c>
      <c r="H4787" s="7">
        <f ca="1">IFERROR(__xludf.DUMMYFUNCTION("""COMPUTED_VALUE"""),500000)</f>
        <v>500000</v>
      </c>
    </row>
    <row r="4788" spans="1:8" ht="13" x14ac:dyDescent="0.15">
      <c r="A4788" s="5" t="str">
        <f ca="1">IFERROR(__xludf.DUMMYFUNCTION("""COMPUTED_VALUE"""),"82533")</f>
        <v>82533</v>
      </c>
      <c r="B4788" s="51">
        <f ca="1">IFERROR(__xludf.DUMMYFUNCTION("""COMPUTED_VALUE"""),44597)</f>
        <v>44597</v>
      </c>
      <c r="C4788" s="22">
        <f ca="1">IFERROR(__xludf.DUMMYFUNCTION("""COMPUTED_VALUE"""),500000)</f>
        <v>500000</v>
      </c>
      <c r="D4788" s="22">
        <f ca="1">IFERROR(__xludf.DUMMYFUNCTION("""COMPUTED_VALUE"""),0)</f>
        <v>0</v>
      </c>
      <c r="E4788" s="22">
        <f ca="1">IFERROR(__xludf.DUMMYFUNCTION("""COMPUTED_VALUE"""),500000)</f>
        <v>500000</v>
      </c>
      <c r="F4788" s="22">
        <f ca="1">IFERROR(__xludf.DUMMYFUNCTION("""COMPUTED_VALUE"""),500000)</f>
        <v>500000</v>
      </c>
      <c r="G4788" s="22">
        <f ca="1">IFERROR(__xludf.DUMMYFUNCTION("""COMPUTED_VALUE"""),0)</f>
        <v>0</v>
      </c>
      <c r="H4788" s="7">
        <f ca="1">IFERROR(__xludf.DUMMYFUNCTION("""COMPUTED_VALUE"""),500000)</f>
        <v>500000</v>
      </c>
    </row>
    <row r="4789" spans="1:8" ht="13" x14ac:dyDescent="0.15">
      <c r="A4789" s="5" t="str">
        <f ca="1">IFERROR(__xludf.DUMMYFUNCTION("""COMPUTED_VALUE"""),"82533")</f>
        <v>82533</v>
      </c>
      <c r="B4789" s="51">
        <f ca="1">IFERROR(__xludf.DUMMYFUNCTION("""COMPUTED_VALUE"""),44598)</f>
        <v>44598</v>
      </c>
      <c r="C4789" s="22">
        <f ca="1">IFERROR(__xludf.DUMMYFUNCTION("""COMPUTED_VALUE"""),500000)</f>
        <v>500000</v>
      </c>
      <c r="D4789" s="22">
        <f ca="1">IFERROR(__xludf.DUMMYFUNCTION("""COMPUTED_VALUE"""),0)</f>
        <v>0</v>
      </c>
      <c r="E4789" s="22">
        <f ca="1">IFERROR(__xludf.DUMMYFUNCTION("""COMPUTED_VALUE"""),500000)</f>
        <v>500000</v>
      </c>
      <c r="F4789" s="22">
        <f ca="1">IFERROR(__xludf.DUMMYFUNCTION("""COMPUTED_VALUE"""),500000)</f>
        <v>500000</v>
      </c>
      <c r="G4789" s="22">
        <f ca="1">IFERROR(__xludf.DUMMYFUNCTION("""COMPUTED_VALUE"""),0)</f>
        <v>0</v>
      </c>
      <c r="H4789" s="7">
        <f ca="1">IFERROR(__xludf.DUMMYFUNCTION("""COMPUTED_VALUE"""),500000)</f>
        <v>500000</v>
      </c>
    </row>
    <row r="4790" spans="1:8" ht="13" x14ac:dyDescent="0.15">
      <c r="A4790" s="5" t="str">
        <f ca="1">IFERROR(__xludf.DUMMYFUNCTION("""COMPUTED_VALUE"""),"82533")</f>
        <v>82533</v>
      </c>
      <c r="B4790" s="51">
        <f ca="1">IFERROR(__xludf.DUMMYFUNCTION("""COMPUTED_VALUE"""),44599)</f>
        <v>44599</v>
      </c>
      <c r="C4790" s="22">
        <f ca="1">IFERROR(__xludf.DUMMYFUNCTION("""COMPUTED_VALUE"""),500000)</f>
        <v>500000</v>
      </c>
      <c r="D4790" s="22">
        <f ca="1">IFERROR(__xludf.DUMMYFUNCTION("""COMPUTED_VALUE"""),0)</f>
        <v>0</v>
      </c>
      <c r="E4790" s="22">
        <f ca="1">IFERROR(__xludf.DUMMYFUNCTION("""COMPUTED_VALUE"""),500000)</f>
        <v>500000</v>
      </c>
      <c r="F4790" s="22">
        <f ca="1">IFERROR(__xludf.DUMMYFUNCTION("""COMPUTED_VALUE"""),500000)</f>
        <v>500000</v>
      </c>
      <c r="G4790" s="22">
        <f ca="1">IFERROR(__xludf.DUMMYFUNCTION("""COMPUTED_VALUE"""),0)</f>
        <v>0</v>
      </c>
      <c r="H4790" s="7">
        <f ca="1">IFERROR(__xludf.DUMMYFUNCTION("""COMPUTED_VALUE"""),500000)</f>
        <v>500000</v>
      </c>
    </row>
    <row r="4791" spans="1:8" ht="13" x14ac:dyDescent="0.15">
      <c r="A4791" s="5" t="str">
        <f ca="1">IFERROR(__xludf.DUMMYFUNCTION("""COMPUTED_VALUE"""),"82533")</f>
        <v>82533</v>
      </c>
      <c r="B4791" s="51">
        <f ca="1">IFERROR(__xludf.DUMMYFUNCTION("""COMPUTED_VALUE"""),44600)</f>
        <v>44600</v>
      </c>
      <c r="C4791" s="22">
        <f ca="1">IFERROR(__xludf.DUMMYFUNCTION("""COMPUTED_VALUE"""),500000)</f>
        <v>500000</v>
      </c>
      <c r="D4791" s="22">
        <f ca="1">IFERROR(__xludf.DUMMYFUNCTION("""COMPUTED_VALUE"""),0)</f>
        <v>0</v>
      </c>
      <c r="E4791" s="22">
        <f ca="1">IFERROR(__xludf.DUMMYFUNCTION("""COMPUTED_VALUE"""),500000)</f>
        <v>500000</v>
      </c>
      <c r="F4791" s="22">
        <f ca="1">IFERROR(__xludf.DUMMYFUNCTION("""COMPUTED_VALUE"""),500000)</f>
        <v>500000</v>
      </c>
      <c r="G4791" s="22">
        <f ca="1">IFERROR(__xludf.DUMMYFUNCTION("""COMPUTED_VALUE"""),0)</f>
        <v>0</v>
      </c>
      <c r="H4791" s="7">
        <f ca="1">IFERROR(__xludf.DUMMYFUNCTION("""COMPUTED_VALUE"""),500000)</f>
        <v>500000</v>
      </c>
    </row>
    <row r="4792" spans="1:8" ht="13" x14ac:dyDescent="0.15">
      <c r="A4792" s="5" t="str">
        <f ca="1">IFERROR(__xludf.DUMMYFUNCTION("""COMPUTED_VALUE"""),"82533")</f>
        <v>82533</v>
      </c>
      <c r="B4792" s="51">
        <f ca="1">IFERROR(__xludf.DUMMYFUNCTION("""COMPUTED_VALUE"""),44601)</f>
        <v>44601</v>
      </c>
      <c r="C4792" s="22">
        <f ca="1">IFERROR(__xludf.DUMMYFUNCTION("""COMPUTED_VALUE"""),500000)</f>
        <v>500000</v>
      </c>
      <c r="D4792" s="22">
        <f ca="1">IFERROR(__xludf.DUMMYFUNCTION("""COMPUTED_VALUE"""),0)</f>
        <v>0</v>
      </c>
      <c r="E4792" s="22">
        <f ca="1">IFERROR(__xludf.DUMMYFUNCTION("""COMPUTED_VALUE"""),500000)</f>
        <v>500000</v>
      </c>
      <c r="F4792" s="22">
        <f ca="1">IFERROR(__xludf.DUMMYFUNCTION("""COMPUTED_VALUE"""),500000)</f>
        <v>500000</v>
      </c>
      <c r="G4792" s="22">
        <f ca="1">IFERROR(__xludf.DUMMYFUNCTION("""COMPUTED_VALUE"""),0)</f>
        <v>0</v>
      </c>
      <c r="H4792" s="7">
        <f ca="1">IFERROR(__xludf.DUMMYFUNCTION("""COMPUTED_VALUE"""),500000)</f>
        <v>500000</v>
      </c>
    </row>
    <row r="4793" spans="1:8" ht="13" x14ac:dyDescent="0.15">
      <c r="A4793" s="5" t="str">
        <f ca="1">IFERROR(__xludf.DUMMYFUNCTION("""COMPUTED_VALUE"""),"82533")</f>
        <v>82533</v>
      </c>
      <c r="B4793" s="51">
        <f ca="1">IFERROR(__xludf.DUMMYFUNCTION("""COMPUTED_VALUE"""),44602)</f>
        <v>44602</v>
      </c>
      <c r="C4793" s="22">
        <f ca="1">IFERROR(__xludf.DUMMYFUNCTION("""COMPUTED_VALUE"""),500000)</f>
        <v>500000</v>
      </c>
      <c r="D4793" s="22">
        <f ca="1">IFERROR(__xludf.DUMMYFUNCTION("""COMPUTED_VALUE"""),0)</f>
        <v>0</v>
      </c>
      <c r="E4793" s="22">
        <f ca="1">IFERROR(__xludf.DUMMYFUNCTION("""COMPUTED_VALUE"""),500000)</f>
        <v>500000</v>
      </c>
      <c r="F4793" s="22">
        <f ca="1">IFERROR(__xludf.DUMMYFUNCTION("""COMPUTED_VALUE"""),500000)</f>
        <v>500000</v>
      </c>
      <c r="G4793" s="22">
        <f ca="1">IFERROR(__xludf.DUMMYFUNCTION("""COMPUTED_VALUE"""),0)</f>
        <v>0</v>
      </c>
      <c r="H4793" s="7">
        <f ca="1">IFERROR(__xludf.DUMMYFUNCTION("""COMPUTED_VALUE"""),500000)</f>
        <v>500000</v>
      </c>
    </row>
    <row r="4794" spans="1:8" ht="13" x14ac:dyDescent="0.15">
      <c r="A4794" s="5" t="str">
        <f ca="1">IFERROR(__xludf.DUMMYFUNCTION("""COMPUTED_VALUE"""),"82533")</f>
        <v>82533</v>
      </c>
      <c r="B4794" s="51">
        <f ca="1">IFERROR(__xludf.DUMMYFUNCTION("""COMPUTED_VALUE"""),44603)</f>
        <v>44603</v>
      </c>
      <c r="C4794" s="22">
        <f ca="1">IFERROR(__xludf.DUMMYFUNCTION("""COMPUTED_VALUE"""),500000)</f>
        <v>500000</v>
      </c>
      <c r="D4794" s="22">
        <f ca="1">IFERROR(__xludf.DUMMYFUNCTION("""COMPUTED_VALUE"""),0)</f>
        <v>0</v>
      </c>
      <c r="E4794" s="22">
        <f ca="1">IFERROR(__xludf.DUMMYFUNCTION("""COMPUTED_VALUE"""),500000)</f>
        <v>500000</v>
      </c>
      <c r="F4794" s="22">
        <f ca="1">IFERROR(__xludf.DUMMYFUNCTION("""COMPUTED_VALUE"""),500000)</f>
        <v>500000</v>
      </c>
      <c r="G4794" s="22">
        <f ca="1">IFERROR(__xludf.DUMMYFUNCTION("""COMPUTED_VALUE"""),0)</f>
        <v>0</v>
      </c>
      <c r="H4794" s="7">
        <f ca="1">IFERROR(__xludf.DUMMYFUNCTION("""COMPUTED_VALUE"""),500000)</f>
        <v>500000</v>
      </c>
    </row>
    <row r="4795" spans="1:8" ht="13" x14ac:dyDescent="0.15">
      <c r="A4795" s="5" t="str">
        <f ca="1">IFERROR(__xludf.DUMMYFUNCTION("""COMPUTED_VALUE"""),"82533")</f>
        <v>82533</v>
      </c>
      <c r="B4795" s="51">
        <f ca="1">IFERROR(__xludf.DUMMYFUNCTION("""COMPUTED_VALUE"""),44604)</f>
        <v>44604</v>
      </c>
      <c r="C4795" s="22">
        <f ca="1">IFERROR(__xludf.DUMMYFUNCTION("""COMPUTED_VALUE"""),500000)</f>
        <v>500000</v>
      </c>
      <c r="D4795" s="22">
        <f ca="1">IFERROR(__xludf.DUMMYFUNCTION("""COMPUTED_VALUE"""),0)</f>
        <v>0</v>
      </c>
      <c r="E4795" s="22">
        <f ca="1">IFERROR(__xludf.DUMMYFUNCTION("""COMPUTED_VALUE"""),500000)</f>
        <v>500000</v>
      </c>
      <c r="F4795" s="22">
        <f ca="1">IFERROR(__xludf.DUMMYFUNCTION("""COMPUTED_VALUE"""),500000)</f>
        <v>500000</v>
      </c>
      <c r="G4795" s="22">
        <f ca="1">IFERROR(__xludf.DUMMYFUNCTION("""COMPUTED_VALUE"""),0)</f>
        <v>0</v>
      </c>
      <c r="H4795" s="7">
        <f ca="1">IFERROR(__xludf.DUMMYFUNCTION("""COMPUTED_VALUE"""),500000)</f>
        <v>500000</v>
      </c>
    </row>
    <row r="4796" spans="1:8" ht="13" x14ac:dyDescent="0.15">
      <c r="A4796" s="5" t="str">
        <f ca="1">IFERROR(__xludf.DUMMYFUNCTION("""COMPUTED_VALUE"""),"82533")</f>
        <v>82533</v>
      </c>
      <c r="B4796" s="51">
        <f ca="1">IFERROR(__xludf.DUMMYFUNCTION("""COMPUTED_VALUE"""),44605)</f>
        <v>44605</v>
      </c>
      <c r="C4796" s="22">
        <f ca="1">IFERROR(__xludf.DUMMYFUNCTION("""COMPUTED_VALUE"""),500000)</f>
        <v>500000</v>
      </c>
      <c r="D4796" s="22">
        <f ca="1">IFERROR(__xludf.DUMMYFUNCTION("""COMPUTED_VALUE"""),0)</f>
        <v>0</v>
      </c>
      <c r="E4796" s="22">
        <f ca="1">IFERROR(__xludf.DUMMYFUNCTION("""COMPUTED_VALUE"""),500000)</f>
        <v>500000</v>
      </c>
      <c r="F4796" s="22">
        <f ca="1">IFERROR(__xludf.DUMMYFUNCTION("""COMPUTED_VALUE"""),500000)</f>
        <v>500000</v>
      </c>
      <c r="G4796" s="22">
        <f ca="1">IFERROR(__xludf.DUMMYFUNCTION("""COMPUTED_VALUE"""),0)</f>
        <v>0</v>
      </c>
      <c r="H4796" s="7">
        <f ca="1">IFERROR(__xludf.DUMMYFUNCTION("""COMPUTED_VALUE"""),500000)</f>
        <v>500000</v>
      </c>
    </row>
    <row r="4797" spans="1:8" ht="13" x14ac:dyDescent="0.15">
      <c r="A4797" s="5" t="str">
        <f ca="1">IFERROR(__xludf.DUMMYFUNCTION("""COMPUTED_VALUE"""),"82533")</f>
        <v>82533</v>
      </c>
      <c r="B4797" s="51">
        <f ca="1">IFERROR(__xludf.DUMMYFUNCTION("""COMPUTED_VALUE"""),44606)</f>
        <v>44606</v>
      </c>
      <c r="C4797" s="22">
        <f ca="1">IFERROR(__xludf.DUMMYFUNCTION("""COMPUTED_VALUE"""),500000)</f>
        <v>500000</v>
      </c>
      <c r="D4797" s="22">
        <f ca="1">IFERROR(__xludf.DUMMYFUNCTION("""COMPUTED_VALUE"""),0)</f>
        <v>0</v>
      </c>
      <c r="E4797" s="22">
        <f ca="1">IFERROR(__xludf.DUMMYFUNCTION("""COMPUTED_VALUE"""),500000)</f>
        <v>500000</v>
      </c>
      <c r="F4797" s="22">
        <f ca="1">IFERROR(__xludf.DUMMYFUNCTION("""COMPUTED_VALUE"""),500000)</f>
        <v>500000</v>
      </c>
      <c r="G4797" s="22">
        <f ca="1">IFERROR(__xludf.DUMMYFUNCTION("""COMPUTED_VALUE"""),0)</f>
        <v>0</v>
      </c>
      <c r="H4797" s="7">
        <f ca="1">IFERROR(__xludf.DUMMYFUNCTION("""COMPUTED_VALUE"""),500000)</f>
        <v>500000</v>
      </c>
    </row>
    <row r="4798" spans="1:8" ht="13" x14ac:dyDescent="0.15">
      <c r="A4798" s="5" t="str">
        <f ca="1">IFERROR(__xludf.DUMMYFUNCTION("""COMPUTED_VALUE"""),"82533")</f>
        <v>82533</v>
      </c>
      <c r="B4798" s="51">
        <f ca="1">IFERROR(__xludf.DUMMYFUNCTION("""COMPUTED_VALUE"""),44607)</f>
        <v>44607</v>
      </c>
      <c r="C4798" s="22">
        <f ca="1">IFERROR(__xludf.DUMMYFUNCTION("""COMPUTED_VALUE"""),500000)</f>
        <v>500000</v>
      </c>
      <c r="D4798" s="22">
        <f ca="1">IFERROR(__xludf.DUMMYFUNCTION("""COMPUTED_VALUE"""),0)</f>
        <v>0</v>
      </c>
      <c r="E4798" s="22">
        <f ca="1">IFERROR(__xludf.DUMMYFUNCTION("""COMPUTED_VALUE"""),500000)</f>
        <v>500000</v>
      </c>
      <c r="F4798" s="22">
        <f ca="1">IFERROR(__xludf.DUMMYFUNCTION("""COMPUTED_VALUE"""),500000)</f>
        <v>500000</v>
      </c>
      <c r="G4798" s="22">
        <f ca="1">IFERROR(__xludf.DUMMYFUNCTION("""COMPUTED_VALUE"""),0)</f>
        <v>0</v>
      </c>
      <c r="H4798" s="7">
        <f ca="1">IFERROR(__xludf.DUMMYFUNCTION("""COMPUTED_VALUE"""),500000)</f>
        <v>500000</v>
      </c>
    </row>
    <row r="4799" spans="1:8" ht="13" x14ac:dyDescent="0.15">
      <c r="A4799" s="5" t="str">
        <f ca="1">IFERROR(__xludf.DUMMYFUNCTION("""COMPUTED_VALUE"""),"82533")</f>
        <v>82533</v>
      </c>
      <c r="B4799" s="51">
        <f ca="1">IFERROR(__xludf.DUMMYFUNCTION("""COMPUTED_VALUE"""),44608)</f>
        <v>44608</v>
      </c>
      <c r="C4799" s="22">
        <f ca="1">IFERROR(__xludf.DUMMYFUNCTION("""COMPUTED_VALUE"""),500000)</f>
        <v>500000</v>
      </c>
      <c r="D4799" s="22">
        <f ca="1">IFERROR(__xludf.DUMMYFUNCTION("""COMPUTED_VALUE"""),0)</f>
        <v>0</v>
      </c>
      <c r="E4799" s="22">
        <f ca="1">IFERROR(__xludf.DUMMYFUNCTION("""COMPUTED_VALUE"""),500000)</f>
        <v>500000</v>
      </c>
      <c r="F4799" s="22">
        <f ca="1">IFERROR(__xludf.DUMMYFUNCTION("""COMPUTED_VALUE"""),500000)</f>
        <v>500000</v>
      </c>
      <c r="G4799" s="22">
        <f ca="1">IFERROR(__xludf.DUMMYFUNCTION("""COMPUTED_VALUE"""),0)</f>
        <v>0</v>
      </c>
      <c r="H4799" s="7">
        <f ca="1">IFERROR(__xludf.DUMMYFUNCTION("""COMPUTED_VALUE"""),500000)</f>
        <v>500000</v>
      </c>
    </row>
    <row r="4800" spans="1:8" ht="13" x14ac:dyDescent="0.15">
      <c r="A4800" s="5" t="str">
        <f ca="1">IFERROR(__xludf.DUMMYFUNCTION("""COMPUTED_VALUE"""),"82533")</f>
        <v>82533</v>
      </c>
      <c r="B4800" s="51">
        <f ca="1">IFERROR(__xludf.DUMMYFUNCTION("""COMPUTED_VALUE"""),44609)</f>
        <v>44609</v>
      </c>
      <c r="C4800" s="22">
        <f ca="1">IFERROR(__xludf.DUMMYFUNCTION("""COMPUTED_VALUE"""),500000)</f>
        <v>500000</v>
      </c>
      <c r="D4800" s="22">
        <f ca="1">IFERROR(__xludf.DUMMYFUNCTION("""COMPUTED_VALUE"""),0)</f>
        <v>0</v>
      </c>
      <c r="E4800" s="22">
        <f ca="1">IFERROR(__xludf.DUMMYFUNCTION("""COMPUTED_VALUE"""),500000)</f>
        <v>500000</v>
      </c>
      <c r="F4800" s="22">
        <f ca="1">IFERROR(__xludf.DUMMYFUNCTION("""COMPUTED_VALUE"""),500000)</f>
        <v>500000</v>
      </c>
      <c r="G4800" s="22">
        <f ca="1">IFERROR(__xludf.DUMMYFUNCTION("""COMPUTED_VALUE"""),0)</f>
        <v>0</v>
      </c>
      <c r="H4800" s="7">
        <f ca="1">IFERROR(__xludf.DUMMYFUNCTION("""COMPUTED_VALUE"""),500000)</f>
        <v>500000</v>
      </c>
    </row>
    <row r="4801" spans="1:8" ht="13" x14ac:dyDescent="0.15">
      <c r="A4801" s="5" t="str">
        <f ca="1">IFERROR(__xludf.DUMMYFUNCTION("""COMPUTED_VALUE"""),"82533")</f>
        <v>82533</v>
      </c>
      <c r="B4801" s="51">
        <f ca="1">IFERROR(__xludf.DUMMYFUNCTION("""COMPUTED_VALUE"""),44610)</f>
        <v>44610</v>
      </c>
      <c r="C4801" s="22">
        <f ca="1">IFERROR(__xludf.DUMMYFUNCTION("""COMPUTED_VALUE"""),500000)</f>
        <v>500000</v>
      </c>
      <c r="D4801" s="22">
        <f ca="1">IFERROR(__xludf.DUMMYFUNCTION("""COMPUTED_VALUE"""),0)</f>
        <v>0</v>
      </c>
      <c r="E4801" s="22">
        <f ca="1">IFERROR(__xludf.DUMMYFUNCTION("""COMPUTED_VALUE"""),500000)</f>
        <v>500000</v>
      </c>
      <c r="F4801" s="22">
        <f ca="1">IFERROR(__xludf.DUMMYFUNCTION("""COMPUTED_VALUE"""),500000)</f>
        <v>500000</v>
      </c>
      <c r="G4801" s="22">
        <f ca="1">IFERROR(__xludf.DUMMYFUNCTION("""COMPUTED_VALUE"""),0)</f>
        <v>0</v>
      </c>
      <c r="H4801" s="7">
        <f ca="1">IFERROR(__xludf.DUMMYFUNCTION("""COMPUTED_VALUE"""),500000)</f>
        <v>500000</v>
      </c>
    </row>
    <row r="4802" spans="1:8" ht="13" x14ac:dyDescent="0.15">
      <c r="A4802" s="5" t="str">
        <f ca="1">IFERROR(__xludf.DUMMYFUNCTION("""COMPUTED_VALUE"""),"82533")</f>
        <v>82533</v>
      </c>
      <c r="B4802" s="51">
        <f ca="1">IFERROR(__xludf.DUMMYFUNCTION("""COMPUTED_VALUE"""),44611)</f>
        <v>44611</v>
      </c>
      <c r="C4802" s="22">
        <f ca="1">IFERROR(__xludf.DUMMYFUNCTION("""COMPUTED_VALUE"""),500000)</f>
        <v>500000</v>
      </c>
      <c r="D4802" s="22">
        <f ca="1">IFERROR(__xludf.DUMMYFUNCTION("""COMPUTED_VALUE"""),0)</f>
        <v>0</v>
      </c>
      <c r="E4802" s="22">
        <f ca="1">IFERROR(__xludf.DUMMYFUNCTION("""COMPUTED_VALUE"""),500000)</f>
        <v>500000</v>
      </c>
      <c r="F4802" s="22">
        <f ca="1">IFERROR(__xludf.DUMMYFUNCTION("""COMPUTED_VALUE"""),500000)</f>
        <v>500000</v>
      </c>
      <c r="G4802" s="22">
        <f ca="1">IFERROR(__xludf.DUMMYFUNCTION("""COMPUTED_VALUE"""),0)</f>
        <v>0</v>
      </c>
      <c r="H4802" s="7">
        <f ca="1">IFERROR(__xludf.DUMMYFUNCTION("""COMPUTED_VALUE"""),500000)</f>
        <v>500000</v>
      </c>
    </row>
    <row r="4803" spans="1:8" ht="13" x14ac:dyDescent="0.15">
      <c r="A4803" s="5" t="str">
        <f ca="1">IFERROR(__xludf.DUMMYFUNCTION("""COMPUTED_VALUE"""),"82533")</f>
        <v>82533</v>
      </c>
      <c r="B4803" s="51">
        <f ca="1">IFERROR(__xludf.DUMMYFUNCTION("""COMPUTED_VALUE"""),44612)</f>
        <v>44612</v>
      </c>
      <c r="C4803" s="22">
        <f ca="1">IFERROR(__xludf.DUMMYFUNCTION("""COMPUTED_VALUE"""),500000)</f>
        <v>500000</v>
      </c>
      <c r="D4803" s="22">
        <f ca="1">IFERROR(__xludf.DUMMYFUNCTION("""COMPUTED_VALUE"""),0)</f>
        <v>0</v>
      </c>
      <c r="E4803" s="22">
        <f ca="1">IFERROR(__xludf.DUMMYFUNCTION("""COMPUTED_VALUE"""),500000)</f>
        <v>500000</v>
      </c>
      <c r="F4803" s="22">
        <f ca="1">IFERROR(__xludf.DUMMYFUNCTION("""COMPUTED_VALUE"""),500000)</f>
        <v>500000</v>
      </c>
      <c r="G4803" s="22">
        <f ca="1">IFERROR(__xludf.DUMMYFUNCTION("""COMPUTED_VALUE"""),0)</f>
        <v>0</v>
      </c>
      <c r="H4803" s="7">
        <f ca="1">IFERROR(__xludf.DUMMYFUNCTION("""COMPUTED_VALUE"""),500000)</f>
        <v>500000</v>
      </c>
    </row>
    <row r="4804" spans="1:8" ht="13" x14ac:dyDescent="0.15">
      <c r="A4804" s="5" t="str">
        <f ca="1">IFERROR(__xludf.DUMMYFUNCTION("""COMPUTED_VALUE"""),"82533")</f>
        <v>82533</v>
      </c>
      <c r="B4804" s="51">
        <f ca="1">IFERROR(__xludf.DUMMYFUNCTION("""COMPUTED_VALUE"""),44613)</f>
        <v>44613</v>
      </c>
      <c r="C4804" s="22">
        <f ca="1">IFERROR(__xludf.DUMMYFUNCTION("""COMPUTED_VALUE"""),500000)</f>
        <v>500000</v>
      </c>
      <c r="D4804" s="22">
        <f ca="1">IFERROR(__xludf.DUMMYFUNCTION("""COMPUTED_VALUE"""),0)</f>
        <v>0</v>
      </c>
      <c r="E4804" s="22">
        <f ca="1">IFERROR(__xludf.DUMMYFUNCTION("""COMPUTED_VALUE"""),500000)</f>
        <v>500000</v>
      </c>
      <c r="F4804" s="22">
        <f ca="1">IFERROR(__xludf.DUMMYFUNCTION("""COMPUTED_VALUE"""),500000)</f>
        <v>500000</v>
      </c>
      <c r="G4804" s="22">
        <f ca="1">IFERROR(__xludf.DUMMYFUNCTION("""COMPUTED_VALUE"""),0)</f>
        <v>0</v>
      </c>
      <c r="H4804" s="7">
        <f ca="1">IFERROR(__xludf.DUMMYFUNCTION("""COMPUTED_VALUE"""),500000)</f>
        <v>500000</v>
      </c>
    </row>
    <row r="4805" spans="1:8" ht="13" x14ac:dyDescent="0.15">
      <c r="A4805" s="5" t="str">
        <f ca="1">IFERROR(__xludf.DUMMYFUNCTION("""COMPUTED_VALUE"""),"82533")</f>
        <v>82533</v>
      </c>
      <c r="B4805" s="51">
        <f ca="1">IFERROR(__xludf.DUMMYFUNCTION("""COMPUTED_VALUE"""),44614)</f>
        <v>44614</v>
      </c>
      <c r="C4805" s="22">
        <f ca="1">IFERROR(__xludf.DUMMYFUNCTION("""COMPUTED_VALUE"""),500000)</f>
        <v>500000</v>
      </c>
      <c r="D4805" s="22">
        <f ca="1">IFERROR(__xludf.DUMMYFUNCTION("""COMPUTED_VALUE"""),0)</f>
        <v>0</v>
      </c>
      <c r="E4805" s="22">
        <f ca="1">IFERROR(__xludf.DUMMYFUNCTION("""COMPUTED_VALUE"""),500000)</f>
        <v>500000</v>
      </c>
      <c r="F4805" s="22">
        <f ca="1">IFERROR(__xludf.DUMMYFUNCTION("""COMPUTED_VALUE"""),500000)</f>
        <v>500000</v>
      </c>
      <c r="G4805" s="22">
        <f ca="1">IFERROR(__xludf.DUMMYFUNCTION("""COMPUTED_VALUE"""),0)</f>
        <v>0</v>
      </c>
      <c r="H4805" s="7">
        <f ca="1">IFERROR(__xludf.DUMMYFUNCTION("""COMPUTED_VALUE"""),500000)</f>
        <v>500000</v>
      </c>
    </row>
    <row r="4806" spans="1:8" ht="13" x14ac:dyDescent="0.15">
      <c r="A4806" s="5" t="str">
        <f ca="1">IFERROR(__xludf.DUMMYFUNCTION("""COMPUTED_VALUE"""),"82533")</f>
        <v>82533</v>
      </c>
      <c r="B4806" s="51">
        <f ca="1">IFERROR(__xludf.DUMMYFUNCTION("""COMPUTED_VALUE"""),44615)</f>
        <v>44615</v>
      </c>
      <c r="C4806" s="22">
        <f ca="1">IFERROR(__xludf.DUMMYFUNCTION("""COMPUTED_VALUE"""),500000)</f>
        <v>500000</v>
      </c>
      <c r="D4806" s="22">
        <f ca="1">IFERROR(__xludf.DUMMYFUNCTION("""COMPUTED_VALUE"""),0)</f>
        <v>0</v>
      </c>
      <c r="E4806" s="22">
        <f ca="1">IFERROR(__xludf.DUMMYFUNCTION("""COMPUTED_VALUE"""),500000)</f>
        <v>500000</v>
      </c>
      <c r="F4806" s="22">
        <f ca="1">IFERROR(__xludf.DUMMYFUNCTION("""COMPUTED_VALUE"""),500000)</f>
        <v>500000</v>
      </c>
      <c r="G4806" s="22">
        <f ca="1">IFERROR(__xludf.DUMMYFUNCTION("""COMPUTED_VALUE"""),0)</f>
        <v>0</v>
      </c>
      <c r="H4806" s="7">
        <f ca="1">IFERROR(__xludf.DUMMYFUNCTION("""COMPUTED_VALUE"""),500000)</f>
        <v>500000</v>
      </c>
    </row>
    <row r="4807" spans="1:8" ht="13" x14ac:dyDescent="0.15">
      <c r="A4807" s="5" t="str">
        <f ca="1">IFERROR(__xludf.DUMMYFUNCTION("""COMPUTED_VALUE"""),"82533")</f>
        <v>82533</v>
      </c>
      <c r="B4807" s="51">
        <f ca="1">IFERROR(__xludf.DUMMYFUNCTION("""COMPUTED_VALUE"""),44616)</f>
        <v>44616</v>
      </c>
      <c r="C4807" s="22">
        <f ca="1">IFERROR(__xludf.DUMMYFUNCTION("""COMPUTED_VALUE"""),500000)</f>
        <v>500000</v>
      </c>
      <c r="D4807" s="22">
        <f ca="1">IFERROR(__xludf.DUMMYFUNCTION("""COMPUTED_VALUE"""),0)</f>
        <v>0</v>
      </c>
      <c r="E4807" s="22">
        <f ca="1">IFERROR(__xludf.DUMMYFUNCTION("""COMPUTED_VALUE"""),500000)</f>
        <v>500000</v>
      </c>
      <c r="F4807" s="22">
        <f ca="1">IFERROR(__xludf.DUMMYFUNCTION("""COMPUTED_VALUE"""),500000)</f>
        <v>500000</v>
      </c>
      <c r="G4807" s="22">
        <f ca="1">IFERROR(__xludf.DUMMYFUNCTION("""COMPUTED_VALUE"""),0)</f>
        <v>0</v>
      </c>
      <c r="H4807" s="7">
        <f ca="1">IFERROR(__xludf.DUMMYFUNCTION("""COMPUTED_VALUE"""),500000)</f>
        <v>500000</v>
      </c>
    </row>
    <row r="4808" spans="1:8" ht="13" x14ac:dyDescent="0.15">
      <c r="A4808" s="5" t="str">
        <f ca="1">IFERROR(__xludf.DUMMYFUNCTION("""COMPUTED_VALUE"""),"82533")</f>
        <v>82533</v>
      </c>
      <c r="B4808" s="51">
        <f ca="1">IFERROR(__xludf.DUMMYFUNCTION("""COMPUTED_VALUE"""),44617)</f>
        <v>44617</v>
      </c>
      <c r="C4808" s="22">
        <f ca="1">IFERROR(__xludf.DUMMYFUNCTION("""COMPUTED_VALUE"""),500000)</f>
        <v>500000</v>
      </c>
      <c r="D4808" s="22">
        <f ca="1">IFERROR(__xludf.DUMMYFUNCTION("""COMPUTED_VALUE"""),0)</f>
        <v>0</v>
      </c>
      <c r="E4808" s="22">
        <f ca="1">IFERROR(__xludf.DUMMYFUNCTION("""COMPUTED_VALUE"""),500000)</f>
        <v>500000</v>
      </c>
      <c r="F4808" s="22">
        <f ca="1">IFERROR(__xludf.DUMMYFUNCTION("""COMPUTED_VALUE"""),500000)</f>
        <v>500000</v>
      </c>
      <c r="G4808" s="22">
        <f ca="1">IFERROR(__xludf.DUMMYFUNCTION("""COMPUTED_VALUE"""),0)</f>
        <v>0</v>
      </c>
      <c r="H4808" s="7">
        <f ca="1">IFERROR(__xludf.DUMMYFUNCTION("""COMPUTED_VALUE"""),500000)</f>
        <v>500000</v>
      </c>
    </row>
    <row r="4809" spans="1:8" ht="13" x14ac:dyDescent="0.15">
      <c r="A4809" s="5" t="str">
        <f ca="1">IFERROR(__xludf.DUMMYFUNCTION("""COMPUTED_VALUE"""),"82533")</f>
        <v>82533</v>
      </c>
      <c r="B4809" s="51">
        <f ca="1">IFERROR(__xludf.DUMMYFUNCTION("""COMPUTED_VALUE"""),44618)</f>
        <v>44618</v>
      </c>
      <c r="C4809" s="22">
        <f ca="1">IFERROR(__xludf.DUMMYFUNCTION("""COMPUTED_VALUE"""),500000)</f>
        <v>500000</v>
      </c>
      <c r="D4809" s="22">
        <f ca="1">IFERROR(__xludf.DUMMYFUNCTION("""COMPUTED_VALUE"""),0)</f>
        <v>0</v>
      </c>
      <c r="E4809" s="22">
        <f ca="1">IFERROR(__xludf.DUMMYFUNCTION("""COMPUTED_VALUE"""),500000)</f>
        <v>500000</v>
      </c>
      <c r="F4809" s="22">
        <f ca="1">IFERROR(__xludf.DUMMYFUNCTION("""COMPUTED_VALUE"""),500000)</f>
        <v>500000</v>
      </c>
      <c r="G4809" s="22">
        <f ca="1">IFERROR(__xludf.DUMMYFUNCTION("""COMPUTED_VALUE"""),0)</f>
        <v>0</v>
      </c>
      <c r="H4809" s="7">
        <f ca="1">IFERROR(__xludf.DUMMYFUNCTION("""COMPUTED_VALUE"""),500000)</f>
        <v>500000</v>
      </c>
    </row>
    <row r="4810" spans="1:8" ht="13" x14ac:dyDescent="0.15">
      <c r="A4810" s="5" t="str">
        <f ca="1">IFERROR(__xludf.DUMMYFUNCTION("""COMPUTED_VALUE"""),"82533")</f>
        <v>82533</v>
      </c>
      <c r="B4810" s="51">
        <f ca="1">IFERROR(__xludf.DUMMYFUNCTION("""COMPUTED_VALUE"""),44619)</f>
        <v>44619</v>
      </c>
      <c r="C4810" s="22">
        <f ca="1">IFERROR(__xludf.DUMMYFUNCTION("""COMPUTED_VALUE"""),500000)</f>
        <v>500000</v>
      </c>
      <c r="D4810" s="22">
        <f ca="1">IFERROR(__xludf.DUMMYFUNCTION("""COMPUTED_VALUE"""),0)</f>
        <v>0</v>
      </c>
      <c r="E4810" s="22">
        <f ca="1">IFERROR(__xludf.DUMMYFUNCTION("""COMPUTED_VALUE"""),500000)</f>
        <v>500000</v>
      </c>
      <c r="F4810" s="22">
        <f ca="1">IFERROR(__xludf.DUMMYFUNCTION("""COMPUTED_VALUE"""),500000)</f>
        <v>500000</v>
      </c>
      <c r="G4810" s="22">
        <f ca="1">IFERROR(__xludf.DUMMYFUNCTION("""COMPUTED_VALUE"""),0)</f>
        <v>0</v>
      </c>
      <c r="H4810" s="7">
        <f ca="1">IFERROR(__xludf.DUMMYFUNCTION("""COMPUTED_VALUE"""),500000)</f>
        <v>500000</v>
      </c>
    </row>
    <row r="4811" spans="1:8" ht="13" x14ac:dyDescent="0.15">
      <c r="A4811" s="5" t="str">
        <f ca="1">IFERROR(__xludf.DUMMYFUNCTION("""COMPUTED_VALUE"""),"82533")</f>
        <v>82533</v>
      </c>
      <c r="B4811" s="51">
        <f ca="1">IFERROR(__xludf.DUMMYFUNCTION("""COMPUTED_VALUE"""),44620)</f>
        <v>44620</v>
      </c>
      <c r="C4811" s="22">
        <f ca="1">IFERROR(__xludf.DUMMYFUNCTION("""COMPUTED_VALUE"""),500000)</f>
        <v>500000</v>
      </c>
      <c r="D4811" s="22">
        <f ca="1">IFERROR(__xludf.DUMMYFUNCTION("""COMPUTED_VALUE"""),0)</f>
        <v>0</v>
      </c>
      <c r="E4811" s="22">
        <f ca="1">IFERROR(__xludf.DUMMYFUNCTION("""COMPUTED_VALUE"""),500000)</f>
        <v>500000</v>
      </c>
      <c r="F4811" s="22">
        <f ca="1">IFERROR(__xludf.DUMMYFUNCTION("""COMPUTED_VALUE"""),500000)</f>
        <v>500000</v>
      </c>
      <c r="G4811" s="22">
        <f ca="1">IFERROR(__xludf.DUMMYFUNCTION("""COMPUTED_VALUE"""),0)</f>
        <v>0</v>
      </c>
      <c r="H4811" s="7">
        <f ca="1">IFERROR(__xludf.DUMMYFUNCTION("""COMPUTED_VALUE"""),500000)</f>
        <v>500000</v>
      </c>
    </row>
    <row r="4812" spans="1:8" ht="13" x14ac:dyDescent="0.15">
      <c r="A4812" s="5" t="str">
        <f ca="1">IFERROR(__xludf.DUMMYFUNCTION("""COMPUTED_VALUE"""),"82533")</f>
        <v>82533</v>
      </c>
      <c r="B4812" s="51">
        <f ca="1">IFERROR(__xludf.DUMMYFUNCTION("""COMPUTED_VALUE"""),44621)</f>
        <v>44621</v>
      </c>
      <c r="C4812" s="22">
        <f ca="1">IFERROR(__xludf.DUMMYFUNCTION("""COMPUTED_VALUE"""),500000)</f>
        <v>500000</v>
      </c>
      <c r="D4812" s="22">
        <f ca="1">IFERROR(__xludf.DUMMYFUNCTION("""COMPUTED_VALUE"""),0)</f>
        <v>0</v>
      </c>
      <c r="E4812" s="22">
        <f ca="1">IFERROR(__xludf.DUMMYFUNCTION("""COMPUTED_VALUE"""),500000)</f>
        <v>500000</v>
      </c>
      <c r="F4812" s="22">
        <f ca="1">IFERROR(__xludf.DUMMYFUNCTION("""COMPUTED_VALUE"""),500000)</f>
        <v>500000</v>
      </c>
      <c r="G4812" s="22">
        <f ca="1">IFERROR(__xludf.DUMMYFUNCTION("""COMPUTED_VALUE"""),0)</f>
        <v>0</v>
      </c>
      <c r="H4812" s="7">
        <f ca="1">IFERROR(__xludf.DUMMYFUNCTION("""COMPUTED_VALUE"""),500000)</f>
        <v>500000</v>
      </c>
    </row>
    <row r="4813" spans="1:8" ht="13" x14ac:dyDescent="0.15">
      <c r="A4813" s="5" t="str">
        <f ca="1">IFERROR(__xludf.DUMMYFUNCTION("""COMPUTED_VALUE"""),"82533")</f>
        <v>82533</v>
      </c>
      <c r="B4813" s="51">
        <f ca="1">IFERROR(__xludf.DUMMYFUNCTION("""COMPUTED_VALUE"""),44622)</f>
        <v>44622</v>
      </c>
      <c r="C4813" s="22">
        <f ca="1">IFERROR(__xludf.DUMMYFUNCTION("""COMPUTED_VALUE"""),500000)</f>
        <v>500000</v>
      </c>
      <c r="D4813" s="22">
        <f ca="1">IFERROR(__xludf.DUMMYFUNCTION("""COMPUTED_VALUE"""),0)</f>
        <v>0</v>
      </c>
      <c r="E4813" s="22">
        <f ca="1">IFERROR(__xludf.DUMMYFUNCTION("""COMPUTED_VALUE"""),500000)</f>
        <v>500000</v>
      </c>
      <c r="F4813" s="22">
        <f ca="1">IFERROR(__xludf.DUMMYFUNCTION("""COMPUTED_VALUE"""),500000)</f>
        <v>500000</v>
      </c>
      <c r="G4813" s="22">
        <f ca="1">IFERROR(__xludf.DUMMYFUNCTION("""COMPUTED_VALUE"""),0)</f>
        <v>0</v>
      </c>
      <c r="H4813" s="7">
        <f ca="1">IFERROR(__xludf.DUMMYFUNCTION("""COMPUTED_VALUE"""),500000)</f>
        <v>500000</v>
      </c>
    </row>
    <row r="4814" spans="1:8" ht="13" x14ac:dyDescent="0.15">
      <c r="A4814" s="5" t="str">
        <f ca="1">IFERROR(__xludf.DUMMYFUNCTION("""COMPUTED_VALUE"""),"82533")</f>
        <v>82533</v>
      </c>
      <c r="B4814" s="51">
        <f ca="1">IFERROR(__xludf.DUMMYFUNCTION("""COMPUTED_VALUE"""),44623)</f>
        <v>44623</v>
      </c>
      <c r="C4814" s="22">
        <f ca="1">IFERROR(__xludf.DUMMYFUNCTION("""COMPUTED_VALUE"""),500000)</f>
        <v>500000</v>
      </c>
      <c r="D4814" s="22">
        <f ca="1">IFERROR(__xludf.DUMMYFUNCTION("""COMPUTED_VALUE"""),0)</f>
        <v>0</v>
      </c>
      <c r="E4814" s="22">
        <f ca="1">IFERROR(__xludf.DUMMYFUNCTION("""COMPUTED_VALUE"""),500000)</f>
        <v>500000</v>
      </c>
      <c r="F4814" s="22">
        <f ca="1">IFERROR(__xludf.DUMMYFUNCTION("""COMPUTED_VALUE"""),500000)</f>
        <v>500000</v>
      </c>
      <c r="G4814" s="22">
        <f ca="1">IFERROR(__xludf.DUMMYFUNCTION("""COMPUTED_VALUE"""),0)</f>
        <v>0</v>
      </c>
      <c r="H4814" s="7">
        <f ca="1">IFERROR(__xludf.DUMMYFUNCTION("""COMPUTED_VALUE"""),500000)</f>
        <v>500000</v>
      </c>
    </row>
    <row r="4815" spans="1:8" ht="13" x14ac:dyDescent="0.15">
      <c r="A4815" s="5" t="str">
        <f ca="1">IFERROR(__xludf.DUMMYFUNCTION("""COMPUTED_VALUE"""),"82533")</f>
        <v>82533</v>
      </c>
      <c r="B4815" s="51">
        <f ca="1">IFERROR(__xludf.DUMMYFUNCTION("""COMPUTED_VALUE"""),44624)</f>
        <v>44624</v>
      </c>
      <c r="C4815" s="22">
        <f ca="1">IFERROR(__xludf.DUMMYFUNCTION("""COMPUTED_VALUE"""),500000)</f>
        <v>500000</v>
      </c>
      <c r="D4815" s="22">
        <f ca="1">IFERROR(__xludf.DUMMYFUNCTION("""COMPUTED_VALUE"""),0)</f>
        <v>0</v>
      </c>
      <c r="E4815" s="22">
        <f ca="1">IFERROR(__xludf.DUMMYFUNCTION("""COMPUTED_VALUE"""),500000)</f>
        <v>500000</v>
      </c>
      <c r="F4815" s="22">
        <f ca="1">IFERROR(__xludf.DUMMYFUNCTION("""COMPUTED_VALUE"""),500000)</f>
        <v>500000</v>
      </c>
      <c r="G4815" s="22">
        <f ca="1">IFERROR(__xludf.DUMMYFUNCTION("""COMPUTED_VALUE"""),0)</f>
        <v>0</v>
      </c>
      <c r="H4815" s="7">
        <f ca="1">IFERROR(__xludf.DUMMYFUNCTION("""COMPUTED_VALUE"""),500000)</f>
        <v>500000</v>
      </c>
    </row>
    <row r="4816" spans="1:8" ht="13" x14ac:dyDescent="0.15">
      <c r="A4816" s="5" t="str">
        <f ca="1">IFERROR(__xludf.DUMMYFUNCTION("""COMPUTED_VALUE"""),"82533")</f>
        <v>82533</v>
      </c>
      <c r="B4816" s="51">
        <f ca="1">IFERROR(__xludf.DUMMYFUNCTION("""COMPUTED_VALUE"""),44625)</f>
        <v>44625</v>
      </c>
      <c r="C4816" s="22">
        <f ca="1">IFERROR(__xludf.DUMMYFUNCTION("""COMPUTED_VALUE"""),500000)</f>
        <v>500000</v>
      </c>
      <c r="D4816" s="22">
        <f ca="1">IFERROR(__xludf.DUMMYFUNCTION("""COMPUTED_VALUE"""),0)</f>
        <v>0</v>
      </c>
      <c r="E4816" s="22">
        <f ca="1">IFERROR(__xludf.DUMMYFUNCTION("""COMPUTED_VALUE"""),500000)</f>
        <v>500000</v>
      </c>
      <c r="F4816" s="22">
        <f ca="1">IFERROR(__xludf.DUMMYFUNCTION("""COMPUTED_VALUE"""),500000)</f>
        <v>500000</v>
      </c>
      <c r="G4816" s="22">
        <f ca="1">IFERROR(__xludf.DUMMYFUNCTION("""COMPUTED_VALUE"""),0)</f>
        <v>0</v>
      </c>
      <c r="H4816" s="7">
        <f ca="1">IFERROR(__xludf.DUMMYFUNCTION("""COMPUTED_VALUE"""),500000)</f>
        <v>500000</v>
      </c>
    </row>
    <row r="4817" spans="1:8" ht="13" x14ac:dyDescent="0.15">
      <c r="A4817" s="5" t="str">
        <f ca="1">IFERROR(__xludf.DUMMYFUNCTION("""COMPUTED_VALUE"""),"82533")</f>
        <v>82533</v>
      </c>
      <c r="B4817" s="51">
        <f ca="1">IFERROR(__xludf.DUMMYFUNCTION("""COMPUTED_VALUE"""),44626)</f>
        <v>44626</v>
      </c>
      <c r="C4817" s="22">
        <f ca="1">IFERROR(__xludf.DUMMYFUNCTION("""COMPUTED_VALUE"""),500000)</f>
        <v>500000</v>
      </c>
      <c r="D4817" s="22">
        <f ca="1">IFERROR(__xludf.DUMMYFUNCTION("""COMPUTED_VALUE"""),0)</f>
        <v>0</v>
      </c>
      <c r="E4817" s="22">
        <f ca="1">IFERROR(__xludf.DUMMYFUNCTION("""COMPUTED_VALUE"""),500000)</f>
        <v>500000</v>
      </c>
      <c r="F4817" s="22">
        <f ca="1">IFERROR(__xludf.DUMMYFUNCTION("""COMPUTED_VALUE"""),500000)</f>
        <v>500000</v>
      </c>
      <c r="G4817" s="22">
        <f ca="1">IFERROR(__xludf.DUMMYFUNCTION("""COMPUTED_VALUE"""),0)</f>
        <v>0</v>
      </c>
      <c r="H4817" s="7">
        <f ca="1">IFERROR(__xludf.DUMMYFUNCTION("""COMPUTED_VALUE"""),500000)</f>
        <v>500000</v>
      </c>
    </row>
    <row r="4818" spans="1:8" ht="13" x14ac:dyDescent="0.15">
      <c r="A4818" s="5" t="str">
        <f ca="1">IFERROR(__xludf.DUMMYFUNCTION("""COMPUTED_VALUE"""),"82533")</f>
        <v>82533</v>
      </c>
      <c r="B4818" s="51">
        <f ca="1">IFERROR(__xludf.DUMMYFUNCTION("""COMPUTED_VALUE"""),44627)</f>
        <v>44627</v>
      </c>
      <c r="C4818" s="22">
        <f ca="1">IFERROR(__xludf.DUMMYFUNCTION("""COMPUTED_VALUE"""),500000)</f>
        <v>500000</v>
      </c>
      <c r="D4818" s="22">
        <f ca="1">IFERROR(__xludf.DUMMYFUNCTION("""COMPUTED_VALUE"""),0)</f>
        <v>0</v>
      </c>
      <c r="E4818" s="22">
        <f ca="1">IFERROR(__xludf.DUMMYFUNCTION("""COMPUTED_VALUE"""),500000)</f>
        <v>500000</v>
      </c>
      <c r="F4818" s="22">
        <f ca="1">IFERROR(__xludf.DUMMYFUNCTION("""COMPUTED_VALUE"""),500000)</f>
        <v>500000</v>
      </c>
      <c r="G4818" s="22">
        <f ca="1">IFERROR(__xludf.DUMMYFUNCTION("""COMPUTED_VALUE"""),0)</f>
        <v>0</v>
      </c>
      <c r="H4818" s="7">
        <f ca="1">IFERROR(__xludf.DUMMYFUNCTION("""COMPUTED_VALUE"""),500000)</f>
        <v>500000</v>
      </c>
    </row>
    <row r="4819" spans="1:8" ht="13" x14ac:dyDescent="0.15">
      <c r="A4819" s="5" t="str">
        <f ca="1">IFERROR(__xludf.DUMMYFUNCTION("""COMPUTED_VALUE"""),"82533")</f>
        <v>82533</v>
      </c>
      <c r="B4819" s="51">
        <f ca="1">IFERROR(__xludf.DUMMYFUNCTION("""COMPUTED_VALUE"""),44628)</f>
        <v>44628</v>
      </c>
      <c r="C4819" s="22">
        <f ca="1">IFERROR(__xludf.DUMMYFUNCTION("""COMPUTED_VALUE"""),500000)</f>
        <v>500000</v>
      </c>
      <c r="D4819" s="22">
        <f ca="1">IFERROR(__xludf.DUMMYFUNCTION("""COMPUTED_VALUE"""),0)</f>
        <v>0</v>
      </c>
      <c r="E4819" s="22">
        <f ca="1">IFERROR(__xludf.DUMMYFUNCTION("""COMPUTED_VALUE"""),500000)</f>
        <v>500000</v>
      </c>
      <c r="F4819" s="22">
        <f ca="1">IFERROR(__xludf.DUMMYFUNCTION("""COMPUTED_VALUE"""),500000)</f>
        <v>500000</v>
      </c>
      <c r="G4819" s="22">
        <f ca="1">IFERROR(__xludf.DUMMYFUNCTION("""COMPUTED_VALUE"""),0)</f>
        <v>0</v>
      </c>
      <c r="H4819" s="7">
        <f ca="1">IFERROR(__xludf.DUMMYFUNCTION("""COMPUTED_VALUE"""),500000)</f>
        <v>500000</v>
      </c>
    </row>
    <row r="4820" spans="1:8" ht="13" x14ac:dyDescent="0.15">
      <c r="A4820" s="5" t="str">
        <f ca="1">IFERROR(__xludf.DUMMYFUNCTION("""COMPUTED_VALUE"""),"82533")</f>
        <v>82533</v>
      </c>
      <c r="B4820" s="51">
        <f ca="1">IFERROR(__xludf.DUMMYFUNCTION("""COMPUTED_VALUE"""),44629)</f>
        <v>44629</v>
      </c>
      <c r="C4820" s="22">
        <f ca="1">IFERROR(__xludf.DUMMYFUNCTION("""COMPUTED_VALUE"""),500000)</f>
        <v>500000</v>
      </c>
      <c r="D4820" s="22">
        <f ca="1">IFERROR(__xludf.DUMMYFUNCTION("""COMPUTED_VALUE"""),0)</f>
        <v>0</v>
      </c>
      <c r="E4820" s="22">
        <f ca="1">IFERROR(__xludf.DUMMYFUNCTION("""COMPUTED_VALUE"""),500000)</f>
        <v>500000</v>
      </c>
      <c r="F4820" s="22">
        <f ca="1">IFERROR(__xludf.DUMMYFUNCTION("""COMPUTED_VALUE"""),500000)</f>
        <v>500000</v>
      </c>
      <c r="G4820" s="22">
        <f ca="1">IFERROR(__xludf.DUMMYFUNCTION("""COMPUTED_VALUE"""),0)</f>
        <v>0</v>
      </c>
      <c r="H4820" s="7">
        <f ca="1">IFERROR(__xludf.DUMMYFUNCTION("""COMPUTED_VALUE"""),500000)</f>
        <v>500000</v>
      </c>
    </row>
    <row r="4821" spans="1:8" ht="13" x14ac:dyDescent="0.15">
      <c r="A4821" s="5" t="str">
        <f ca="1">IFERROR(__xludf.DUMMYFUNCTION("""COMPUTED_VALUE"""),"82533")</f>
        <v>82533</v>
      </c>
      <c r="B4821" s="51">
        <f ca="1">IFERROR(__xludf.DUMMYFUNCTION("""COMPUTED_VALUE"""),44630)</f>
        <v>44630</v>
      </c>
      <c r="C4821" s="22">
        <f ca="1">IFERROR(__xludf.DUMMYFUNCTION("""COMPUTED_VALUE"""),500000)</f>
        <v>500000</v>
      </c>
      <c r="D4821" s="22">
        <f ca="1">IFERROR(__xludf.DUMMYFUNCTION("""COMPUTED_VALUE"""),0)</f>
        <v>0</v>
      </c>
      <c r="E4821" s="22">
        <f ca="1">IFERROR(__xludf.DUMMYFUNCTION("""COMPUTED_VALUE"""),500000)</f>
        <v>500000</v>
      </c>
      <c r="F4821" s="22">
        <f ca="1">IFERROR(__xludf.DUMMYFUNCTION("""COMPUTED_VALUE"""),500000)</f>
        <v>500000</v>
      </c>
      <c r="G4821" s="22">
        <f ca="1">IFERROR(__xludf.DUMMYFUNCTION("""COMPUTED_VALUE"""),0)</f>
        <v>0</v>
      </c>
      <c r="H4821" s="7">
        <f ca="1">IFERROR(__xludf.DUMMYFUNCTION("""COMPUTED_VALUE"""),500000)</f>
        <v>500000</v>
      </c>
    </row>
    <row r="4822" spans="1:8" ht="13" x14ac:dyDescent="0.15">
      <c r="A4822" s="5" t="str">
        <f ca="1">IFERROR(__xludf.DUMMYFUNCTION("""COMPUTED_VALUE"""),"82533")</f>
        <v>82533</v>
      </c>
      <c r="B4822" s="51">
        <f ca="1">IFERROR(__xludf.DUMMYFUNCTION("""COMPUTED_VALUE"""),44631)</f>
        <v>44631</v>
      </c>
      <c r="C4822" s="22">
        <f ca="1">IFERROR(__xludf.DUMMYFUNCTION("""COMPUTED_VALUE"""),500000)</f>
        <v>500000</v>
      </c>
      <c r="D4822" s="22">
        <f ca="1">IFERROR(__xludf.DUMMYFUNCTION("""COMPUTED_VALUE"""),0)</f>
        <v>0</v>
      </c>
      <c r="E4822" s="22">
        <f ca="1">IFERROR(__xludf.DUMMYFUNCTION("""COMPUTED_VALUE"""),500000)</f>
        <v>500000</v>
      </c>
      <c r="F4822" s="22">
        <f ca="1">IFERROR(__xludf.DUMMYFUNCTION("""COMPUTED_VALUE"""),500000)</f>
        <v>500000</v>
      </c>
      <c r="G4822" s="22">
        <f ca="1">IFERROR(__xludf.DUMMYFUNCTION("""COMPUTED_VALUE"""),0)</f>
        <v>0</v>
      </c>
      <c r="H4822" s="7">
        <f ca="1">IFERROR(__xludf.DUMMYFUNCTION("""COMPUTED_VALUE"""),500000)</f>
        <v>500000</v>
      </c>
    </row>
    <row r="4823" spans="1:8" ht="13" x14ac:dyDescent="0.15">
      <c r="A4823" s="5" t="str">
        <f ca="1">IFERROR(__xludf.DUMMYFUNCTION("""COMPUTED_VALUE"""),"82533")</f>
        <v>82533</v>
      </c>
      <c r="B4823" s="51">
        <f ca="1">IFERROR(__xludf.DUMMYFUNCTION("""COMPUTED_VALUE"""),44632)</f>
        <v>44632</v>
      </c>
      <c r="C4823" s="22">
        <f ca="1">IFERROR(__xludf.DUMMYFUNCTION("""COMPUTED_VALUE"""),500000)</f>
        <v>500000</v>
      </c>
      <c r="D4823" s="22">
        <f ca="1">IFERROR(__xludf.DUMMYFUNCTION("""COMPUTED_VALUE"""),0)</f>
        <v>0</v>
      </c>
      <c r="E4823" s="22">
        <f ca="1">IFERROR(__xludf.DUMMYFUNCTION("""COMPUTED_VALUE"""),500000)</f>
        <v>500000</v>
      </c>
      <c r="F4823" s="22">
        <f ca="1">IFERROR(__xludf.DUMMYFUNCTION("""COMPUTED_VALUE"""),500000)</f>
        <v>500000</v>
      </c>
      <c r="G4823" s="22">
        <f ca="1">IFERROR(__xludf.DUMMYFUNCTION("""COMPUTED_VALUE"""),0)</f>
        <v>0</v>
      </c>
      <c r="H4823" s="7">
        <f ca="1">IFERROR(__xludf.DUMMYFUNCTION("""COMPUTED_VALUE"""),500000)</f>
        <v>500000</v>
      </c>
    </row>
    <row r="4824" spans="1:8" ht="13" x14ac:dyDescent="0.15">
      <c r="A4824" s="5" t="str">
        <f ca="1">IFERROR(__xludf.DUMMYFUNCTION("""COMPUTED_VALUE"""),"82533")</f>
        <v>82533</v>
      </c>
      <c r="B4824" s="51">
        <f ca="1">IFERROR(__xludf.DUMMYFUNCTION("""COMPUTED_VALUE"""),44633)</f>
        <v>44633</v>
      </c>
      <c r="C4824" s="22">
        <f ca="1">IFERROR(__xludf.DUMMYFUNCTION("""COMPUTED_VALUE"""),500000)</f>
        <v>500000</v>
      </c>
      <c r="D4824" s="22">
        <f ca="1">IFERROR(__xludf.DUMMYFUNCTION("""COMPUTED_VALUE"""),0)</f>
        <v>0</v>
      </c>
      <c r="E4824" s="22">
        <f ca="1">IFERROR(__xludf.DUMMYFUNCTION("""COMPUTED_VALUE"""),500000)</f>
        <v>500000</v>
      </c>
      <c r="F4824" s="22">
        <f ca="1">IFERROR(__xludf.DUMMYFUNCTION("""COMPUTED_VALUE"""),500000)</f>
        <v>500000</v>
      </c>
      <c r="G4824" s="22">
        <f ca="1">IFERROR(__xludf.DUMMYFUNCTION("""COMPUTED_VALUE"""),0)</f>
        <v>0</v>
      </c>
      <c r="H4824" s="7">
        <f ca="1">IFERROR(__xludf.DUMMYFUNCTION("""COMPUTED_VALUE"""),500000)</f>
        <v>500000</v>
      </c>
    </row>
    <row r="4825" spans="1:8" ht="13" x14ac:dyDescent="0.15">
      <c r="A4825" s="5" t="str">
        <f ca="1">IFERROR(__xludf.DUMMYFUNCTION("""COMPUTED_VALUE"""),"82533")</f>
        <v>82533</v>
      </c>
      <c r="B4825" s="51">
        <f ca="1">IFERROR(__xludf.DUMMYFUNCTION("""COMPUTED_VALUE"""),44634)</f>
        <v>44634</v>
      </c>
      <c r="C4825" s="22">
        <f ca="1">IFERROR(__xludf.DUMMYFUNCTION("""COMPUTED_VALUE"""),309592.64)</f>
        <v>309592.64</v>
      </c>
      <c r="D4825" s="22">
        <f ca="1">IFERROR(__xludf.DUMMYFUNCTION("""COMPUTED_VALUE"""),190407.36)</f>
        <v>190407.36</v>
      </c>
      <c r="E4825" s="22">
        <f ca="1">IFERROR(__xludf.DUMMYFUNCTION("""COMPUTED_VALUE"""),500000)</f>
        <v>500000</v>
      </c>
      <c r="F4825" s="22">
        <f ca="1">IFERROR(__xludf.DUMMYFUNCTION("""COMPUTED_VALUE"""),309592.64)</f>
        <v>309592.64</v>
      </c>
      <c r="G4825" s="22">
        <f ca="1">IFERROR(__xludf.DUMMYFUNCTION("""COMPUTED_VALUE"""),0)</f>
        <v>0</v>
      </c>
      <c r="H4825" s="7">
        <f ca="1">IFERROR(__xludf.DUMMYFUNCTION("""COMPUTED_VALUE"""),500000)</f>
        <v>500000</v>
      </c>
    </row>
    <row r="4826" spans="1:8" ht="13" x14ac:dyDescent="0.15">
      <c r="A4826" s="5" t="str">
        <f ca="1">IFERROR(__xludf.DUMMYFUNCTION("""COMPUTED_VALUE"""),"82533")</f>
        <v>82533</v>
      </c>
      <c r="B4826" s="51">
        <f ca="1">IFERROR(__xludf.DUMMYFUNCTION("""COMPUTED_VALUE"""),44635)</f>
        <v>44635</v>
      </c>
      <c r="C4826" s="22">
        <f ca="1">IFERROR(__xludf.DUMMYFUNCTION("""COMPUTED_VALUE"""),9157545.50375)</f>
        <v>9157545.5037500001</v>
      </c>
      <c r="D4826" s="22">
        <f ca="1">IFERROR(__xludf.DUMMYFUNCTION("""COMPUTED_VALUE"""),-8652670.46125)</f>
        <v>-8652670.4612499997</v>
      </c>
      <c r="E4826" s="22">
        <f ca="1">IFERROR(__xludf.DUMMYFUNCTION("""COMPUTED_VALUE"""),504875.0425)</f>
        <v>504875.04249999998</v>
      </c>
      <c r="F4826" s="22">
        <f ca="1">IFERROR(__xludf.DUMMYFUNCTION("""COMPUTED_VALUE"""),9157545.50375)</f>
        <v>9157545.5037500001</v>
      </c>
      <c r="G4826" s="22">
        <f ca="1">IFERROR(__xludf.DUMMYFUNCTION("""COMPUTED_VALUE"""),0)</f>
        <v>0</v>
      </c>
      <c r="H4826" s="7">
        <f ca="1">IFERROR(__xludf.DUMMYFUNCTION("""COMPUTED_VALUE"""),507474.307)</f>
        <v>507474.30699999997</v>
      </c>
    </row>
    <row r="4827" spans="1:8" ht="13" x14ac:dyDescent="0.15">
      <c r="A4827" s="5" t="str">
        <f ca="1">IFERROR(__xludf.DUMMYFUNCTION("""COMPUTED_VALUE"""),"82533")</f>
        <v>82533</v>
      </c>
      <c r="B4827" s="51">
        <f ca="1">IFERROR(__xludf.DUMMYFUNCTION("""COMPUTED_VALUE"""),44636)</f>
        <v>44636</v>
      </c>
      <c r="C4827" s="22">
        <f ca="1">IFERROR(__xludf.DUMMYFUNCTION("""COMPUTED_VALUE"""),309592.64)</f>
        <v>309592.64</v>
      </c>
      <c r="D4827" s="22">
        <f ca="1">IFERROR(__xludf.DUMMYFUNCTION("""COMPUTED_VALUE"""),200675.313)</f>
        <v>200675.31299999999</v>
      </c>
      <c r="E4827" s="22">
        <f ca="1">IFERROR(__xludf.DUMMYFUNCTION("""COMPUTED_VALUE"""),510267.953)</f>
        <v>510267.95299999998</v>
      </c>
      <c r="F4827" s="22">
        <f ca="1">IFERROR(__xludf.DUMMYFUNCTION("""COMPUTED_VALUE"""),309592.64)</f>
        <v>309592.64</v>
      </c>
      <c r="G4827" s="22">
        <f ca="1">IFERROR(__xludf.DUMMYFUNCTION("""COMPUTED_VALUE"""),0)</f>
        <v>0</v>
      </c>
      <c r="H4827" s="7">
        <f ca="1">IFERROR(__xludf.DUMMYFUNCTION("""COMPUTED_VALUE"""),510267.953)</f>
        <v>510267.95299999998</v>
      </c>
    </row>
    <row r="4828" spans="1:8" ht="13" x14ac:dyDescent="0.15">
      <c r="A4828" s="5" t="str">
        <f ca="1">IFERROR(__xludf.DUMMYFUNCTION("""COMPUTED_VALUE"""),"82533")</f>
        <v>82533</v>
      </c>
      <c r="B4828" s="51">
        <f ca="1">IFERROR(__xludf.DUMMYFUNCTION("""COMPUTED_VALUE"""),44637)</f>
        <v>44637</v>
      </c>
      <c r="C4828" s="22">
        <f ca="1">IFERROR(__xludf.DUMMYFUNCTION("""COMPUTED_VALUE"""),309592.64)</f>
        <v>309592.64</v>
      </c>
      <c r="D4828" s="22">
        <f ca="1">IFERROR(__xludf.DUMMYFUNCTION("""COMPUTED_VALUE"""),200504.7675)</f>
        <v>200504.76749999999</v>
      </c>
      <c r="E4828" s="22">
        <f ca="1">IFERROR(__xludf.DUMMYFUNCTION("""COMPUTED_VALUE"""),510097.4075)</f>
        <v>510097.40749999997</v>
      </c>
      <c r="F4828" s="22">
        <f ca="1">IFERROR(__xludf.DUMMYFUNCTION("""COMPUTED_VALUE"""),309592.64)</f>
        <v>309592.64</v>
      </c>
      <c r="G4828" s="22">
        <f ca="1">IFERROR(__xludf.DUMMYFUNCTION("""COMPUTED_VALUE"""),0)</f>
        <v>0</v>
      </c>
      <c r="H4828" s="7">
        <f ca="1">IFERROR(__xludf.DUMMYFUNCTION("""COMPUTED_VALUE"""),510097.4075)</f>
        <v>510097.40749999997</v>
      </c>
    </row>
    <row r="4829" spans="1:8" ht="13" x14ac:dyDescent="0.15">
      <c r="A4829" s="5" t="str">
        <f ca="1">IFERROR(__xludf.DUMMYFUNCTION("""COMPUTED_VALUE"""),"82533")</f>
        <v>82533</v>
      </c>
      <c r="B4829" s="51">
        <f ca="1">IFERROR(__xludf.DUMMYFUNCTION("""COMPUTED_VALUE"""),44638)</f>
        <v>44638</v>
      </c>
      <c r="C4829" s="22">
        <f ca="1">IFERROR(__xludf.DUMMYFUNCTION("""COMPUTED_VALUE"""),309592.64)</f>
        <v>309592.64</v>
      </c>
      <c r="D4829" s="22">
        <f ca="1">IFERROR(__xludf.DUMMYFUNCTION("""COMPUTED_VALUE"""),206813.4285)</f>
        <v>206813.42850000001</v>
      </c>
      <c r="E4829" s="22">
        <f ca="1">IFERROR(__xludf.DUMMYFUNCTION("""COMPUTED_VALUE"""),516406.0685)</f>
        <v>516406.06849999999</v>
      </c>
      <c r="F4829" s="22">
        <f ca="1">IFERROR(__xludf.DUMMYFUNCTION("""COMPUTED_VALUE"""),309592.64)</f>
        <v>309592.64</v>
      </c>
      <c r="G4829" s="22">
        <f ca="1">IFERROR(__xludf.DUMMYFUNCTION("""COMPUTED_VALUE"""),0)</f>
        <v>0</v>
      </c>
      <c r="H4829" s="7">
        <f ca="1">IFERROR(__xludf.DUMMYFUNCTION("""COMPUTED_VALUE"""),516406.0685)</f>
        <v>516406.06849999999</v>
      </c>
    </row>
    <row r="4830" spans="1:8" ht="13" x14ac:dyDescent="0.15">
      <c r="A4830" s="5" t="str">
        <f ca="1">IFERROR(__xludf.DUMMYFUNCTION("""COMPUTED_VALUE"""),"82533")</f>
        <v>82533</v>
      </c>
      <c r="B4830" s="51">
        <f ca="1">IFERROR(__xludf.DUMMYFUNCTION("""COMPUTED_VALUE"""),44639)</f>
        <v>44639</v>
      </c>
      <c r="C4830" s="22">
        <f ca="1">IFERROR(__xludf.DUMMYFUNCTION("""COMPUTED_VALUE"""),309592.64)</f>
        <v>309592.64</v>
      </c>
      <c r="D4830" s="22">
        <f ca="1">IFERROR(__xludf.DUMMYFUNCTION("""COMPUTED_VALUE"""),206813.4285)</f>
        <v>206813.42850000001</v>
      </c>
      <c r="E4830" s="22">
        <f ca="1">IFERROR(__xludf.DUMMYFUNCTION("""COMPUTED_VALUE"""),516406.0685)</f>
        <v>516406.06849999999</v>
      </c>
      <c r="F4830" s="22">
        <f ca="1">IFERROR(__xludf.DUMMYFUNCTION("""COMPUTED_VALUE"""),309592.64)</f>
        <v>309592.64</v>
      </c>
      <c r="G4830" s="22">
        <f ca="1">IFERROR(__xludf.DUMMYFUNCTION("""COMPUTED_VALUE"""),0)</f>
        <v>0</v>
      </c>
      <c r="H4830" s="7">
        <f ca="1">IFERROR(__xludf.DUMMYFUNCTION("""COMPUTED_VALUE"""),516406.0685)</f>
        <v>516406.06849999999</v>
      </c>
    </row>
    <row r="4831" spans="1:8" ht="13" x14ac:dyDescent="0.15">
      <c r="A4831" s="5" t="str">
        <f ca="1">IFERROR(__xludf.DUMMYFUNCTION("""COMPUTED_VALUE"""),"82533")</f>
        <v>82533</v>
      </c>
      <c r="B4831" s="51">
        <f ca="1">IFERROR(__xludf.DUMMYFUNCTION("""COMPUTED_VALUE"""),44640)</f>
        <v>44640</v>
      </c>
      <c r="C4831" s="22">
        <f ca="1">IFERROR(__xludf.DUMMYFUNCTION("""COMPUTED_VALUE"""),309592.64)</f>
        <v>309592.64</v>
      </c>
      <c r="D4831" s="22">
        <f ca="1">IFERROR(__xludf.DUMMYFUNCTION("""COMPUTED_VALUE"""),206768.36535)</f>
        <v>206768.36535000001</v>
      </c>
      <c r="E4831" s="22">
        <f ca="1">IFERROR(__xludf.DUMMYFUNCTION("""COMPUTED_VALUE"""),516361.00535)</f>
        <v>516361.00534999999</v>
      </c>
      <c r="F4831" s="22">
        <f ca="1">IFERROR(__xludf.DUMMYFUNCTION("""COMPUTED_VALUE"""),309592.64)</f>
        <v>309592.64</v>
      </c>
      <c r="G4831" s="22">
        <f ca="1">IFERROR(__xludf.DUMMYFUNCTION("""COMPUTED_VALUE"""),0)</f>
        <v>0</v>
      </c>
      <c r="H4831" s="7">
        <f ca="1">IFERROR(__xludf.DUMMYFUNCTION("""COMPUTED_VALUE"""),516361.00535)</f>
        <v>516361.00534999999</v>
      </c>
    </row>
    <row r="4832" spans="1:8" ht="13" x14ac:dyDescent="0.15">
      <c r="A4832" s="5" t="str">
        <f ca="1">IFERROR(__xludf.DUMMYFUNCTION("""COMPUTED_VALUE"""),"82533")</f>
        <v>82533</v>
      </c>
      <c r="B4832" s="51">
        <f ca="1">IFERROR(__xludf.DUMMYFUNCTION("""COMPUTED_VALUE"""),44641)</f>
        <v>44641</v>
      </c>
      <c r="C4832" s="22">
        <f ca="1">IFERROR(__xludf.DUMMYFUNCTION("""COMPUTED_VALUE"""),309592.64)</f>
        <v>309592.64</v>
      </c>
      <c r="D4832" s="22">
        <f ca="1">IFERROR(__xludf.DUMMYFUNCTION("""COMPUTED_VALUE"""),202287.8825)</f>
        <v>202287.88250000001</v>
      </c>
      <c r="E4832" s="22">
        <f ca="1">IFERROR(__xludf.DUMMYFUNCTION("""COMPUTED_VALUE"""),511880.5225)</f>
        <v>511880.52250000002</v>
      </c>
      <c r="F4832" s="22">
        <f ca="1">IFERROR(__xludf.DUMMYFUNCTION("""COMPUTED_VALUE"""),309592.64)</f>
        <v>309592.64</v>
      </c>
      <c r="G4832" s="22">
        <f ca="1">IFERROR(__xludf.DUMMYFUNCTION("""COMPUTED_VALUE"""),0)</f>
        <v>0</v>
      </c>
      <c r="H4832" s="7">
        <f ca="1">IFERROR(__xludf.DUMMYFUNCTION("""COMPUTED_VALUE"""),511880.5225)</f>
        <v>511880.52250000002</v>
      </c>
    </row>
    <row r="4833" spans="1:8" ht="13" x14ac:dyDescent="0.15">
      <c r="A4833" s="5" t="str">
        <f ca="1">IFERROR(__xludf.DUMMYFUNCTION("""COMPUTED_VALUE"""),"82533")</f>
        <v>82533</v>
      </c>
      <c r="B4833" s="51">
        <f ca="1">IFERROR(__xludf.DUMMYFUNCTION("""COMPUTED_VALUE"""),44642)</f>
        <v>44642</v>
      </c>
      <c r="C4833" s="22">
        <f ca="1">IFERROR(__xludf.DUMMYFUNCTION("""COMPUTED_VALUE"""),309592.64)</f>
        <v>309592.64</v>
      </c>
      <c r="D4833" s="22">
        <f ca="1">IFERROR(__xludf.DUMMYFUNCTION("""COMPUTED_VALUE"""),208040.330999999)</f>
        <v>208040.33099999899</v>
      </c>
      <c r="E4833" s="22">
        <f ca="1">IFERROR(__xludf.DUMMYFUNCTION("""COMPUTED_VALUE"""),517632.971)</f>
        <v>517632.97100000002</v>
      </c>
      <c r="F4833" s="22">
        <f ca="1">IFERROR(__xludf.DUMMYFUNCTION("""COMPUTED_VALUE"""),309592.64)</f>
        <v>309592.64</v>
      </c>
      <c r="G4833" s="22">
        <f ca="1">IFERROR(__xludf.DUMMYFUNCTION("""COMPUTED_VALUE"""),0)</f>
        <v>0</v>
      </c>
      <c r="H4833" s="7">
        <f ca="1">IFERROR(__xludf.DUMMYFUNCTION("""COMPUTED_VALUE"""),517632.971)</f>
        <v>517632.97100000002</v>
      </c>
    </row>
    <row r="4834" spans="1:8" ht="13" x14ac:dyDescent="0.15">
      <c r="A4834" s="5" t="str">
        <f ca="1">IFERROR(__xludf.DUMMYFUNCTION("""COMPUTED_VALUE"""),"83293")</f>
        <v>83293</v>
      </c>
      <c r="B4834" s="51">
        <f ca="1">IFERROR(__xludf.DUMMYFUNCTION("""COMPUTED_VALUE"""),44597)</f>
        <v>44597</v>
      </c>
      <c r="C4834" s="22">
        <f ca="1">IFERROR(__xludf.DUMMYFUNCTION("""COMPUTED_VALUE"""),500000)</f>
        <v>500000</v>
      </c>
      <c r="D4834" s="22">
        <f ca="1">IFERROR(__xludf.DUMMYFUNCTION("""COMPUTED_VALUE"""),0)</f>
        <v>0</v>
      </c>
      <c r="E4834" s="22">
        <f ca="1">IFERROR(__xludf.DUMMYFUNCTION("""COMPUTED_VALUE"""),500000)</f>
        <v>500000</v>
      </c>
      <c r="F4834" s="22">
        <f ca="1">IFERROR(__xludf.DUMMYFUNCTION("""COMPUTED_VALUE"""),500000)</f>
        <v>500000</v>
      </c>
      <c r="G4834" s="22">
        <f ca="1">IFERROR(__xludf.DUMMYFUNCTION("""COMPUTED_VALUE"""),0)</f>
        <v>0</v>
      </c>
      <c r="H4834" s="7">
        <f ca="1">IFERROR(__xludf.DUMMYFUNCTION("""COMPUTED_VALUE"""),500000)</f>
        <v>500000</v>
      </c>
    </row>
    <row r="4835" spans="1:8" ht="13" x14ac:dyDescent="0.15">
      <c r="A4835" s="5" t="str">
        <f ca="1">IFERROR(__xludf.DUMMYFUNCTION("""COMPUTED_VALUE"""),"83293")</f>
        <v>83293</v>
      </c>
      <c r="B4835" s="51">
        <f ca="1">IFERROR(__xludf.DUMMYFUNCTION("""COMPUTED_VALUE"""),44598)</f>
        <v>44598</v>
      </c>
      <c r="C4835" s="22">
        <f ca="1">IFERROR(__xludf.DUMMYFUNCTION("""COMPUTED_VALUE"""),500000)</f>
        <v>500000</v>
      </c>
      <c r="D4835" s="22">
        <f ca="1">IFERROR(__xludf.DUMMYFUNCTION("""COMPUTED_VALUE"""),0)</f>
        <v>0</v>
      </c>
      <c r="E4835" s="22">
        <f ca="1">IFERROR(__xludf.DUMMYFUNCTION("""COMPUTED_VALUE"""),500000)</f>
        <v>500000</v>
      </c>
      <c r="F4835" s="22">
        <f ca="1">IFERROR(__xludf.DUMMYFUNCTION("""COMPUTED_VALUE"""),500000)</f>
        <v>500000</v>
      </c>
      <c r="G4835" s="22">
        <f ca="1">IFERROR(__xludf.DUMMYFUNCTION("""COMPUTED_VALUE"""),0)</f>
        <v>0</v>
      </c>
      <c r="H4835" s="7">
        <f ca="1">IFERROR(__xludf.DUMMYFUNCTION("""COMPUTED_VALUE"""),500000)</f>
        <v>500000</v>
      </c>
    </row>
    <row r="4836" spans="1:8" ht="13" x14ac:dyDescent="0.15">
      <c r="A4836" s="5" t="str">
        <f ca="1">IFERROR(__xludf.DUMMYFUNCTION("""COMPUTED_VALUE"""),"83293")</f>
        <v>83293</v>
      </c>
      <c r="B4836" s="51">
        <f ca="1">IFERROR(__xludf.DUMMYFUNCTION("""COMPUTED_VALUE"""),44599)</f>
        <v>44599</v>
      </c>
      <c r="C4836" s="22">
        <f ca="1">IFERROR(__xludf.DUMMYFUNCTION("""COMPUTED_VALUE"""),500000)</f>
        <v>500000</v>
      </c>
      <c r="D4836" s="22">
        <f ca="1">IFERROR(__xludf.DUMMYFUNCTION("""COMPUTED_VALUE"""),0)</f>
        <v>0</v>
      </c>
      <c r="E4836" s="22">
        <f ca="1">IFERROR(__xludf.DUMMYFUNCTION("""COMPUTED_VALUE"""),500000)</f>
        <v>500000</v>
      </c>
      <c r="F4836" s="22">
        <f ca="1">IFERROR(__xludf.DUMMYFUNCTION("""COMPUTED_VALUE"""),500000)</f>
        <v>500000</v>
      </c>
      <c r="G4836" s="22">
        <f ca="1">IFERROR(__xludf.DUMMYFUNCTION("""COMPUTED_VALUE"""),0)</f>
        <v>0</v>
      </c>
      <c r="H4836" s="7">
        <f ca="1">IFERROR(__xludf.DUMMYFUNCTION("""COMPUTED_VALUE"""),500000)</f>
        <v>500000</v>
      </c>
    </row>
    <row r="4837" spans="1:8" ht="13" x14ac:dyDescent="0.15">
      <c r="A4837" s="5" t="str">
        <f ca="1">IFERROR(__xludf.DUMMYFUNCTION("""COMPUTED_VALUE"""),"83293")</f>
        <v>83293</v>
      </c>
      <c r="B4837" s="51">
        <f ca="1">IFERROR(__xludf.DUMMYFUNCTION("""COMPUTED_VALUE"""),44600)</f>
        <v>44600</v>
      </c>
      <c r="C4837" s="22">
        <f ca="1">IFERROR(__xludf.DUMMYFUNCTION("""COMPUTED_VALUE"""),500000)</f>
        <v>500000</v>
      </c>
      <c r="D4837" s="22">
        <f ca="1">IFERROR(__xludf.DUMMYFUNCTION("""COMPUTED_VALUE"""),0)</f>
        <v>0</v>
      </c>
      <c r="E4837" s="22">
        <f ca="1">IFERROR(__xludf.DUMMYFUNCTION("""COMPUTED_VALUE"""),500000)</f>
        <v>500000</v>
      </c>
      <c r="F4837" s="22">
        <f ca="1">IFERROR(__xludf.DUMMYFUNCTION("""COMPUTED_VALUE"""),500000)</f>
        <v>500000</v>
      </c>
      <c r="G4837" s="22">
        <f ca="1">IFERROR(__xludf.DUMMYFUNCTION("""COMPUTED_VALUE"""),0)</f>
        <v>0</v>
      </c>
      <c r="H4837" s="7">
        <f ca="1">IFERROR(__xludf.DUMMYFUNCTION("""COMPUTED_VALUE"""),500000)</f>
        <v>500000</v>
      </c>
    </row>
    <row r="4838" spans="1:8" ht="13" x14ac:dyDescent="0.15">
      <c r="A4838" s="5" t="str">
        <f ca="1">IFERROR(__xludf.DUMMYFUNCTION("""COMPUTED_VALUE"""),"83293")</f>
        <v>83293</v>
      </c>
      <c r="B4838" s="51">
        <f ca="1">IFERROR(__xludf.DUMMYFUNCTION("""COMPUTED_VALUE"""),44601)</f>
        <v>44601</v>
      </c>
      <c r="C4838" s="22">
        <f ca="1">IFERROR(__xludf.DUMMYFUNCTION("""COMPUTED_VALUE"""),500000)</f>
        <v>500000</v>
      </c>
      <c r="D4838" s="22">
        <f ca="1">IFERROR(__xludf.DUMMYFUNCTION("""COMPUTED_VALUE"""),0)</f>
        <v>0</v>
      </c>
      <c r="E4838" s="22">
        <f ca="1">IFERROR(__xludf.DUMMYFUNCTION("""COMPUTED_VALUE"""),500000)</f>
        <v>500000</v>
      </c>
      <c r="F4838" s="22">
        <f ca="1">IFERROR(__xludf.DUMMYFUNCTION("""COMPUTED_VALUE"""),500000)</f>
        <v>500000</v>
      </c>
      <c r="G4838" s="22">
        <f ca="1">IFERROR(__xludf.DUMMYFUNCTION("""COMPUTED_VALUE"""),0)</f>
        <v>0</v>
      </c>
      <c r="H4838" s="7">
        <f ca="1">IFERROR(__xludf.DUMMYFUNCTION("""COMPUTED_VALUE"""),500000)</f>
        <v>500000</v>
      </c>
    </row>
    <row r="4839" spans="1:8" ht="13" x14ac:dyDescent="0.15">
      <c r="A4839" s="5" t="str">
        <f ca="1">IFERROR(__xludf.DUMMYFUNCTION("""COMPUTED_VALUE"""),"83293")</f>
        <v>83293</v>
      </c>
      <c r="B4839" s="51">
        <f ca="1">IFERROR(__xludf.DUMMYFUNCTION("""COMPUTED_VALUE"""),44602)</f>
        <v>44602</v>
      </c>
      <c r="C4839" s="22">
        <f ca="1">IFERROR(__xludf.DUMMYFUNCTION("""COMPUTED_VALUE"""),500000)</f>
        <v>500000</v>
      </c>
      <c r="D4839" s="22">
        <f ca="1">IFERROR(__xludf.DUMMYFUNCTION("""COMPUTED_VALUE"""),0)</f>
        <v>0</v>
      </c>
      <c r="E4839" s="22">
        <f ca="1">IFERROR(__xludf.DUMMYFUNCTION("""COMPUTED_VALUE"""),500000)</f>
        <v>500000</v>
      </c>
      <c r="F4839" s="22">
        <f ca="1">IFERROR(__xludf.DUMMYFUNCTION("""COMPUTED_VALUE"""),500000)</f>
        <v>500000</v>
      </c>
      <c r="G4839" s="22">
        <f ca="1">IFERROR(__xludf.DUMMYFUNCTION("""COMPUTED_VALUE"""),0)</f>
        <v>0</v>
      </c>
      <c r="H4839" s="7">
        <f ca="1">IFERROR(__xludf.DUMMYFUNCTION("""COMPUTED_VALUE"""),500000)</f>
        <v>500000</v>
      </c>
    </row>
    <row r="4840" spans="1:8" ht="13" x14ac:dyDescent="0.15">
      <c r="A4840" s="5" t="str">
        <f ca="1">IFERROR(__xludf.DUMMYFUNCTION("""COMPUTED_VALUE"""),"83293")</f>
        <v>83293</v>
      </c>
      <c r="B4840" s="51">
        <f ca="1">IFERROR(__xludf.DUMMYFUNCTION("""COMPUTED_VALUE"""),44603)</f>
        <v>44603</v>
      </c>
      <c r="C4840" s="22">
        <f ca="1">IFERROR(__xludf.DUMMYFUNCTION("""COMPUTED_VALUE"""),500000)</f>
        <v>500000</v>
      </c>
      <c r="D4840" s="22">
        <f ca="1">IFERROR(__xludf.DUMMYFUNCTION("""COMPUTED_VALUE"""),0)</f>
        <v>0</v>
      </c>
      <c r="E4840" s="22">
        <f ca="1">IFERROR(__xludf.DUMMYFUNCTION("""COMPUTED_VALUE"""),500000)</f>
        <v>500000</v>
      </c>
      <c r="F4840" s="22">
        <f ca="1">IFERROR(__xludf.DUMMYFUNCTION("""COMPUTED_VALUE"""),500000)</f>
        <v>500000</v>
      </c>
      <c r="G4840" s="22">
        <f ca="1">IFERROR(__xludf.DUMMYFUNCTION("""COMPUTED_VALUE"""),0)</f>
        <v>0</v>
      </c>
      <c r="H4840" s="7">
        <f ca="1">IFERROR(__xludf.DUMMYFUNCTION("""COMPUTED_VALUE"""),500000)</f>
        <v>500000</v>
      </c>
    </row>
    <row r="4841" spans="1:8" ht="13" x14ac:dyDescent="0.15">
      <c r="A4841" s="5" t="str">
        <f ca="1">IFERROR(__xludf.DUMMYFUNCTION("""COMPUTED_VALUE"""),"83293")</f>
        <v>83293</v>
      </c>
      <c r="B4841" s="51">
        <f ca="1">IFERROR(__xludf.DUMMYFUNCTION("""COMPUTED_VALUE"""),44604)</f>
        <v>44604</v>
      </c>
      <c r="C4841" s="22">
        <f ca="1">IFERROR(__xludf.DUMMYFUNCTION("""COMPUTED_VALUE"""),500000)</f>
        <v>500000</v>
      </c>
      <c r="D4841" s="22">
        <f ca="1">IFERROR(__xludf.DUMMYFUNCTION("""COMPUTED_VALUE"""),0)</f>
        <v>0</v>
      </c>
      <c r="E4841" s="22">
        <f ca="1">IFERROR(__xludf.DUMMYFUNCTION("""COMPUTED_VALUE"""),500000)</f>
        <v>500000</v>
      </c>
      <c r="F4841" s="22">
        <f ca="1">IFERROR(__xludf.DUMMYFUNCTION("""COMPUTED_VALUE"""),500000)</f>
        <v>500000</v>
      </c>
      <c r="G4841" s="22">
        <f ca="1">IFERROR(__xludf.DUMMYFUNCTION("""COMPUTED_VALUE"""),0)</f>
        <v>0</v>
      </c>
      <c r="H4841" s="7">
        <f ca="1">IFERROR(__xludf.DUMMYFUNCTION("""COMPUTED_VALUE"""),500000)</f>
        <v>500000</v>
      </c>
    </row>
    <row r="4842" spans="1:8" ht="13" x14ac:dyDescent="0.15">
      <c r="A4842" s="5" t="str">
        <f ca="1">IFERROR(__xludf.DUMMYFUNCTION("""COMPUTED_VALUE"""),"83293")</f>
        <v>83293</v>
      </c>
      <c r="B4842" s="51">
        <f ca="1">IFERROR(__xludf.DUMMYFUNCTION("""COMPUTED_VALUE"""),44605)</f>
        <v>44605</v>
      </c>
      <c r="C4842" s="22">
        <f ca="1">IFERROR(__xludf.DUMMYFUNCTION("""COMPUTED_VALUE"""),500000)</f>
        <v>500000</v>
      </c>
      <c r="D4842" s="22">
        <f ca="1">IFERROR(__xludf.DUMMYFUNCTION("""COMPUTED_VALUE"""),0)</f>
        <v>0</v>
      </c>
      <c r="E4842" s="22">
        <f ca="1">IFERROR(__xludf.DUMMYFUNCTION("""COMPUTED_VALUE"""),500000)</f>
        <v>500000</v>
      </c>
      <c r="F4842" s="22">
        <f ca="1">IFERROR(__xludf.DUMMYFUNCTION("""COMPUTED_VALUE"""),500000)</f>
        <v>500000</v>
      </c>
      <c r="G4842" s="22">
        <f ca="1">IFERROR(__xludf.DUMMYFUNCTION("""COMPUTED_VALUE"""),0)</f>
        <v>0</v>
      </c>
      <c r="H4842" s="7">
        <f ca="1">IFERROR(__xludf.DUMMYFUNCTION("""COMPUTED_VALUE"""),500000)</f>
        <v>500000</v>
      </c>
    </row>
    <row r="4843" spans="1:8" ht="13" x14ac:dyDescent="0.15">
      <c r="A4843" s="5" t="str">
        <f ca="1">IFERROR(__xludf.DUMMYFUNCTION("""COMPUTED_VALUE"""),"83293")</f>
        <v>83293</v>
      </c>
      <c r="B4843" s="51">
        <f ca="1">IFERROR(__xludf.DUMMYFUNCTION("""COMPUTED_VALUE"""),44606)</f>
        <v>44606</v>
      </c>
      <c r="C4843" s="22">
        <f ca="1">IFERROR(__xludf.DUMMYFUNCTION("""COMPUTED_VALUE"""),500000)</f>
        <v>500000</v>
      </c>
      <c r="D4843" s="22">
        <f ca="1">IFERROR(__xludf.DUMMYFUNCTION("""COMPUTED_VALUE"""),0)</f>
        <v>0</v>
      </c>
      <c r="E4843" s="22">
        <f ca="1">IFERROR(__xludf.DUMMYFUNCTION("""COMPUTED_VALUE"""),500000)</f>
        <v>500000</v>
      </c>
      <c r="F4843" s="22">
        <f ca="1">IFERROR(__xludf.DUMMYFUNCTION("""COMPUTED_VALUE"""),500000)</f>
        <v>500000</v>
      </c>
      <c r="G4843" s="22">
        <f ca="1">IFERROR(__xludf.DUMMYFUNCTION("""COMPUTED_VALUE"""),0)</f>
        <v>0</v>
      </c>
      <c r="H4843" s="7">
        <f ca="1">IFERROR(__xludf.DUMMYFUNCTION("""COMPUTED_VALUE"""),500000)</f>
        <v>500000</v>
      </c>
    </row>
    <row r="4844" spans="1:8" ht="13" x14ac:dyDescent="0.15">
      <c r="A4844" s="5" t="str">
        <f ca="1">IFERROR(__xludf.DUMMYFUNCTION("""COMPUTED_VALUE"""),"83293")</f>
        <v>83293</v>
      </c>
      <c r="B4844" s="51">
        <f ca="1">IFERROR(__xludf.DUMMYFUNCTION("""COMPUTED_VALUE"""),44607)</f>
        <v>44607</v>
      </c>
      <c r="C4844" s="22">
        <f ca="1">IFERROR(__xludf.DUMMYFUNCTION("""COMPUTED_VALUE"""),500000)</f>
        <v>500000</v>
      </c>
      <c r="D4844" s="22">
        <f ca="1">IFERROR(__xludf.DUMMYFUNCTION("""COMPUTED_VALUE"""),0)</f>
        <v>0</v>
      </c>
      <c r="E4844" s="22">
        <f ca="1">IFERROR(__xludf.DUMMYFUNCTION("""COMPUTED_VALUE"""),500000)</f>
        <v>500000</v>
      </c>
      <c r="F4844" s="22">
        <f ca="1">IFERROR(__xludf.DUMMYFUNCTION("""COMPUTED_VALUE"""),500000)</f>
        <v>500000</v>
      </c>
      <c r="G4844" s="22">
        <f ca="1">IFERROR(__xludf.DUMMYFUNCTION("""COMPUTED_VALUE"""),0)</f>
        <v>0</v>
      </c>
      <c r="H4844" s="7">
        <f ca="1">IFERROR(__xludf.DUMMYFUNCTION("""COMPUTED_VALUE"""),500000)</f>
        <v>500000</v>
      </c>
    </row>
    <row r="4845" spans="1:8" ht="13" x14ac:dyDescent="0.15">
      <c r="A4845" s="5" t="str">
        <f ca="1">IFERROR(__xludf.DUMMYFUNCTION("""COMPUTED_VALUE"""),"83293")</f>
        <v>83293</v>
      </c>
      <c r="B4845" s="51">
        <f ca="1">IFERROR(__xludf.DUMMYFUNCTION("""COMPUTED_VALUE"""),44608)</f>
        <v>44608</v>
      </c>
      <c r="C4845" s="22">
        <f ca="1">IFERROR(__xludf.DUMMYFUNCTION("""COMPUTED_VALUE"""),500000)</f>
        <v>500000</v>
      </c>
      <c r="D4845" s="22">
        <f ca="1">IFERROR(__xludf.DUMMYFUNCTION("""COMPUTED_VALUE"""),0)</f>
        <v>0</v>
      </c>
      <c r="E4845" s="22">
        <f ca="1">IFERROR(__xludf.DUMMYFUNCTION("""COMPUTED_VALUE"""),500000)</f>
        <v>500000</v>
      </c>
      <c r="F4845" s="22">
        <f ca="1">IFERROR(__xludf.DUMMYFUNCTION("""COMPUTED_VALUE"""),500000)</f>
        <v>500000</v>
      </c>
      <c r="G4845" s="22">
        <f ca="1">IFERROR(__xludf.DUMMYFUNCTION("""COMPUTED_VALUE"""),0)</f>
        <v>0</v>
      </c>
      <c r="H4845" s="7">
        <f ca="1">IFERROR(__xludf.DUMMYFUNCTION("""COMPUTED_VALUE"""),500000)</f>
        <v>500000</v>
      </c>
    </row>
    <row r="4846" spans="1:8" ht="13" x14ac:dyDescent="0.15">
      <c r="A4846" s="5" t="str">
        <f ca="1">IFERROR(__xludf.DUMMYFUNCTION("""COMPUTED_VALUE"""),"83293")</f>
        <v>83293</v>
      </c>
      <c r="B4846" s="51">
        <f ca="1">IFERROR(__xludf.DUMMYFUNCTION("""COMPUTED_VALUE"""),44609)</f>
        <v>44609</v>
      </c>
      <c r="C4846" s="22">
        <f ca="1">IFERROR(__xludf.DUMMYFUNCTION("""COMPUTED_VALUE"""),500000)</f>
        <v>500000</v>
      </c>
      <c r="D4846" s="22">
        <f ca="1">IFERROR(__xludf.DUMMYFUNCTION("""COMPUTED_VALUE"""),0)</f>
        <v>0</v>
      </c>
      <c r="E4846" s="22">
        <f ca="1">IFERROR(__xludf.DUMMYFUNCTION("""COMPUTED_VALUE"""),500000)</f>
        <v>500000</v>
      </c>
      <c r="F4846" s="22">
        <f ca="1">IFERROR(__xludf.DUMMYFUNCTION("""COMPUTED_VALUE"""),500000)</f>
        <v>500000</v>
      </c>
      <c r="G4846" s="22">
        <f ca="1">IFERROR(__xludf.DUMMYFUNCTION("""COMPUTED_VALUE"""),0)</f>
        <v>0</v>
      </c>
      <c r="H4846" s="7">
        <f ca="1">IFERROR(__xludf.DUMMYFUNCTION("""COMPUTED_VALUE"""),500000)</f>
        <v>500000</v>
      </c>
    </row>
    <row r="4847" spans="1:8" ht="13" x14ac:dyDescent="0.15">
      <c r="A4847" s="5" t="str">
        <f ca="1">IFERROR(__xludf.DUMMYFUNCTION("""COMPUTED_VALUE"""),"83293")</f>
        <v>83293</v>
      </c>
      <c r="B4847" s="51">
        <f ca="1">IFERROR(__xludf.DUMMYFUNCTION("""COMPUTED_VALUE"""),44610)</f>
        <v>44610</v>
      </c>
      <c r="C4847" s="22">
        <f ca="1">IFERROR(__xludf.DUMMYFUNCTION("""COMPUTED_VALUE"""),500000)</f>
        <v>500000</v>
      </c>
      <c r="D4847" s="22">
        <f ca="1">IFERROR(__xludf.DUMMYFUNCTION("""COMPUTED_VALUE"""),0)</f>
        <v>0</v>
      </c>
      <c r="E4847" s="22">
        <f ca="1">IFERROR(__xludf.DUMMYFUNCTION("""COMPUTED_VALUE"""),500000)</f>
        <v>500000</v>
      </c>
      <c r="F4847" s="22">
        <f ca="1">IFERROR(__xludf.DUMMYFUNCTION("""COMPUTED_VALUE"""),500000)</f>
        <v>500000</v>
      </c>
      <c r="G4847" s="22">
        <f ca="1">IFERROR(__xludf.DUMMYFUNCTION("""COMPUTED_VALUE"""),0)</f>
        <v>0</v>
      </c>
      <c r="H4847" s="7">
        <f ca="1">IFERROR(__xludf.DUMMYFUNCTION("""COMPUTED_VALUE"""),500000)</f>
        <v>500000</v>
      </c>
    </row>
    <row r="4848" spans="1:8" ht="13" x14ac:dyDescent="0.15">
      <c r="A4848" s="5" t="str">
        <f ca="1">IFERROR(__xludf.DUMMYFUNCTION("""COMPUTED_VALUE"""),"83293")</f>
        <v>83293</v>
      </c>
      <c r="B4848" s="51">
        <f ca="1">IFERROR(__xludf.DUMMYFUNCTION("""COMPUTED_VALUE"""),44611)</f>
        <v>44611</v>
      </c>
      <c r="C4848" s="22">
        <f ca="1">IFERROR(__xludf.DUMMYFUNCTION("""COMPUTED_VALUE"""),500000)</f>
        <v>500000</v>
      </c>
      <c r="D4848" s="22">
        <f ca="1">IFERROR(__xludf.DUMMYFUNCTION("""COMPUTED_VALUE"""),0)</f>
        <v>0</v>
      </c>
      <c r="E4848" s="22">
        <f ca="1">IFERROR(__xludf.DUMMYFUNCTION("""COMPUTED_VALUE"""),500000)</f>
        <v>500000</v>
      </c>
      <c r="F4848" s="22">
        <f ca="1">IFERROR(__xludf.DUMMYFUNCTION("""COMPUTED_VALUE"""),500000)</f>
        <v>500000</v>
      </c>
      <c r="G4848" s="22">
        <f ca="1">IFERROR(__xludf.DUMMYFUNCTION("""COMPUTED_VALUE"""),0)</f>
        <v>0</v>
      </c>
      <c r="H4848" s="7">
        <f ca="1">IFERROR(__xludf.DUMMYFUNCTION("""COMPUTED_VALUE"""),500000)</f>
        <v>500000</v>
      </c>
    </row>
    <row r="4849" spans="1:8" ht="13" x14ac:dyDescent="0.15">
      <c r="A4849" s="5" t="str">
        <f ca="1">IFERROR(__xludf.DUMMYFUNCTION("""COMPUTED_VALUE"""),"83293")</f>
        <v>83293</v>
      </c>
      <c r="B4849" s="51">
        <f ca="1">IFERROR(__xludf.DUMMYFUNCTION("""COMPUTED_VALUE"""),44612)</f>
        <v>44612</v>
      </c>
      <c r="C4849" s="22">
        <f ca="1">IFERROR(__xludf.DUMMYFUNCTION("""COMPUTED_VALUE"""),500000)</f>
        <v>500000</v>
      </c>
      <c r="D4849" s="22">
        <f ca="1">IFERROR(__xludf.DUMMYFUNCTION("""COMPUTED_VALUE"""),0)</f>
        <v>0</v>
      </c>
      <c r="E4849" s="22">
        <f ca="1">IFERROR(__xludf.DUMMYFUNCTION("""COMPUTED_VALUE"""),500000)</f>
        <v>500000</v>
      </c>
      <c r="F4849" s="22">
        <f ca="1">IFERROR(__xludf.DUMMYFUNCTION("""COMPUTED_VALUE"""),500000)</f>
        <v>500000</v>
      </c>
      <c r="G4849" s="22">
        <f ca="1">IFERROR(__xludf.DUMMYFUNCTION("""COMPUTED_VALUE"""),0)</f>
        <v>0</v>
      </c>
      <c r="H4849" s="7">
        <f ca="1">IFERROR(__xludf.DUMMYFUNCTION("""COMPUTED_VALUE"""),500000)</f>
        <v>500000</v>
      </c>
    </row>
    <row r="4850" spans="1:8" ht="13" x14ac:dyDescent="0.15">
      <c r="A4850" s="5" t="str">
        <f ca="1">IFERROR(__xludf.DUMMYFUNCTION("""COMPUTED_VALUE"""),"83293")</f>
        <v>83293</v>
      </c>
      <c r="B4850" s="51">
        <f ca="1">IFERROR(__xludf.DUMMYFUNCTION("""COMPUTED_VALUE"""),44613)</f>
        <v>44613</v>
      </c>
      <c r="C4850" s="22">
        <f ca="1">IFERROR(__xludf.DUMMYFUNCTION("""COMPUTED_VALUE"""),500000)</f>
        <v>500000</v>
      </c>
      <c r="D4850" s="22">
        <f ca="1">IFERROR(__xludf.DUMMYFUNCTION("""COMPUTED_VALUE"""),0)</f>
        <v>0</v>
      </c>
      <c r="E4850" s="22">
        <f ca="1">IFERROR(__xludf.DUMMYFUNCTION("""COMPUTED_VALUE"""),500000)</f>
        <v>500000</v>
      </c>
      <c r="F4850" s="22">
        <f ca="1">IFERROR(__xludf.DUMMYFUNCTION("""COMPUTED_VALUE"""),500000)</f>
        <v>500000</v>
      </c>
      <c r="G4850" s="22">
        <f ca="1">IFERROR(__xludf.DUMMYFUNCTION("""COMPUTED_VALUE"""),0)</f>
        <v>0</v>
      </c>
      <c r="H4850" s="7">
        <f ca="1">IFERROR(__xludf.DUMMYFUNCTION("""COMPUTED_VALUE"""),500000)</f>
        <v>500000</v>
      </c>
    </row>
    <row r="4851" spans="1:8" ht="13" x14ac:dyDescent="0.15">
      <c r="A4851" s="5" t="str">
        <f ca="1">IFERROR(__xludf.DUMMYFUNCTION("""COMPUTED_VALUE"""),"83293")</f>
        <v>83293</v>
      </c>
      <c r="B4851" s="51">
        <f ca="1">IFERROR(__xludf.DUMMYFUNCTION("""COMPUTED_VALUE"""),44614)</f>
        <v>44614</v>
      </c>
      <c r="C4851" s="22">
        <f ca="1">IFERROR(__xludf.DUMMYFUNCTION("""COMPUTED_VALUE"""),500000)</f>
        <v>500000</v>
      </c>
      <c r="D4851" s="22">
        <f ca="1">IFERROR(__xludf.DUMMYFUNCTION("""COMPUTED_VALUE"""),0)</f>
        <v>0</v>
      </c>
      <c r="E4851" s="22">
        <f ca="1">IFERROR(__xludf.DUMMYFUNCTION("""COMPUTED_VALUE"""),500000)</f>
        <v>500000</v>
      </c>
      <c r="F4851" s="22">
        <f ca="1">IFERROR(__xludf.DUMMYFUNCTION("""COMPUTED_VALUE"""),500000)</f>
        <v>500000</v>
      </c>
      <c r="G4851" s="22">
        <f ca="1">IFERROR(__xludf.DUMMYFUNCTION("""COMPUTED_VALUE"""),0)</f>
        <v>0</v>
      </c>
      <c r="H4851" s="7">
        <f ca="1">IFERROR(__xludf.DUMMYFUNCTION("""COMPUTED_VALUE"""),500000)</f>
        <v>500000</v>
      </c>
    </row>
    <row r="4852" spans="1:8" ht="13" x14ac:dyDescent="0.15">
      <c r="A4852" s="5" t="str">
        <f ca="1">IFERROR(__xludf.DUMMYFUNCTION("""COMPUTED_VALUE"""),"83293")</f>
        <v>83293</v>
      </c>
      <c r="B4852" s="51">
        <f ca="1">IFERROR(__xludf.DUMMYFUNCTION("""COMPUTED_VALUE"""),44615)</f>
        <v>44615</v>
      </c>
      <c r="C4852" s="22">
        <f ca="1">IFERROR(__xludf.DUMMYFUNCTION("""COMPUTED_VALUE"""),500000)</f>
        <v>500000</v>
      </c>
      <c r="D4852" s="22">
        <f ca="1">IFERROR(__xludf.DUMMYFUNCTION("""COMPUTED_VALUE"""),0)</f>
        <v>0</v>
      </c>
      <c r="E4852" s="22">
        <f ca="1">IFERROR(__xludf.DUMMYFUNCTION("""COMPUTED_VALUE"""),500000)</f>
        <v>500000</v>
      </c>
      <c r="F4852" s="22">
        <f ca="1">IFERROR(__xludf.DUMMYFUNCTION("""COMPUTED_VALUE"""),500000)</f>
        <v>500000</v>
      </c>
      <c r="G4852" s="22">
        <f ca="1">IFERROR(__xludf.DUMMYFUNCTION("""COMPUTED_VALUE"""),0)</f>
        <v>0</v>
      </c>
      <c r="H4852" s="7">
        <f ca="1">IFERROR(__xludf.DUMMYFUNCTION("""COMPUTED_VALUE"""),500000)</f>
        <v>500000</v>
      </c>
    </row>
    <row r="4853" spans="1:8" ht="13" x14ac:dyDescent="0.15">
      <c r="A4853" s="5" t="str">
        <f ca="1">IFERROR(__xludf.DUMMYFUNCTION("""COMPUTED_VALUE"""),"83293")</f>
        <v>83293</v>
      </c>
      <c r="B4853" s="51">
        <f ca="1">IFERROR(__xludf.DUMMYFUNCTION("""COMPUTED_VALUE"""),44616)</f>
        <v>44616</v>
      </c>
      <c r="C4853" s="22">
        <f ca="1">IFERROR(__xludf.DUMMYFUNCTION("""COMPUTED_VALUE"""),500000)</f>
        <v>500000</v>
      </c>
      <c r="D4853" s="22">
        <f ca="1">IFERROR(__xludf.DUMMYFUNCTION("""COMPUTED_VALUE"""),0)</f>
        <v>0</v>
      </c>
      <c r="E4853" s="22">
        <f ca="1">IFERROR(__xludf.DUMMYFUNCTION("""COMPUTED_VALUE"""),500000)</f>
        <v>500000</v>
      </c>
      <c r="F4853" s="22">
        <f ca="1">IFERROR(__xludf.DUMMYFUNCTION("""COMPUTED_VALUE"""),500000)</f>
        <v>500000</v>
      </c>
      <c r="G4853" s="22">
        <f ca="1">IFERROR(__xludf.DUMMYFUNCTION("""COMPUTED_VALUE"""),0)</f>
        <v>0</v>
      </c>
      <c r="H4853" s="7">
        <f ca="1">IFERROR(__xludf.DUMMYFUNCTION("""COMPUTED_VALUE"""),500000)</f>
        <v>500000</v>
      </c>
    </row>
    <row r="4854" spans="1:8" ht="13" x14ac:dyDescent="0.15">
      <c r="A4854" s="5" t="str">
        <f ca="1">IFERROR(__xludf.DUMMYFUNCTION("""COMPUTED_VALUE"""),"83293")</f>
        <v>83293</v>
      </c>
      <c r="B4854" s="51">
        <f ca="1">IFERROR(__xludf.DUMMYFUNCTION("""COMPUTED_VALUE"""),44617)</f>
        <v>44617</v>
      </c>
      <c r="C4854" s="22">
        <f ca="1">IFERROR(__xludf.DUMMYFUNCTION("""COMPUTED_VALUE"""),500000)</f>
        <v>500000</v>
      </c>
      <c r="D4854" s="22">
        <f ca="1">IFERROR(__xludf.DUMMYFUNCTION("""COMPUTED_VALUE"""),0)</f>
        <v>0</v>
      </c>
      <c r="E4854" s="22">
        <f ca="1">IFERROR(__xludf.DUMMYFUNCTION("""COMPUTED_VALUE"""),500000)</f>
        <v>500000</v>
      </c>
      <c r="F4854" s="22">
        <f ca="1">IFERROR(__xludf.DUMMYFUNCTION("""COMPUTED_VALUE"""),500000)</f>
        <v>500000</v>
      </c>
      <c r="G4854" s="22">
        <f ca="1">IFERROR(__xludf.DUMMYFUNCTION("""COMPUTED_VALUE"""),0)</f>
        <v>0</v>
      </c>
      <c r="H4854" s="7">
        <f ca="1">IFERROR(__xludf.DUMMYFUNCTION("""COMPUTED_VALUE"""),500000)</f>
        <v>500000</v>
      </c>
    </row>
    <row r="4855" spans="1:8" ht="13" x14ac:dyDescent="0.15">
      <c r="A4855" s="5" t="str">
        <f ca="1">IFERROR(__xludf.DUMMYFUNCTION("""COMPUTED_VALUE"""),"83293")</f>
        <v>83293</v>
      </c>
      <c r="B4855" s="51">
        <f ca="1">IFERROR(__xludf.DUMMYFUNCTION("""COMPUTED_VALUE"""),44618)</f>
        <v>44618</v>
      </c>
      <c r="C4855" s="22">
        <f ca="1">IFERROR(__xludf.DUMMYFUNCTION("""COMPUTED_VALUE"""),500000)</f>
        <v>500000</v>
      </c>
      <c r="D4855" s="22">
        <f ca="1">IFERROR(__xludf.DUMMYFUNCTION("""COMPUTED_VALUE"""),0)</f>
        <v>0</v>
      </c>
      <c r="E4855" s="22">
        <f ca="1">IFERROR(__xludf.DUMMYFUNCTION("""COMPUTED_VALUE"""),500000)</f>
        <v>500000</v>
      </c>
      <c r="F4855" s="22">
        <f ca="1">IFERROR(__xludf.DUMMYFUNCTION("""COMPUTED_VALUE"""),500000)</f>
        <v>500000</v>
      </c>
      <c r="G4855" s="22">
        <f ca="1">IFERROR(__xludf.DUMMYFUNCTION("""COMPUTED_VALUE"""),0)</f>
        <v>0</v>
      </c>
      <c r="H4855" s="7">
        <f ca="1">IFERROR(__xludf.DUMMYFUNCTION("""COMPUTED_VALUE"""),500000)</f>
        <v>500000</v>
      </c>
    </row>
    <row r="4856" spans="1:8" ht="13" x14ac:dyDescent="0.15">
      <c r="A4856" s="5" t="str">
        <f ca="1">IFERROR(__xludf.DUMMYFUNCTION("""COMPUTED_VALUE"""),"83293")</f>
        <v>83293</v>
      </c>
      <c r="B4856" s="51">
        <f ca="1">IFERROR(__xludf.DUMMYFUNCTION("""COMPUTED_VALUE"""),44619)</f>
        <v>44619</v>
      </c>
      <c r="C4856" s="22">
        <f ca="1">IFERROR(__xludf.DUMMYFUNCTION("""COMPUTED_VALUE"""),500000)</f>
        <v>500000</v>
      </c>
      <c r="D4856" s="22">
        <f ca="1">IFERROR(__xludf.DUMMYFUNCTION("""COMPUTED_VALUE"""),0)</f>
        <v>0</v>
      </c>
      <c r="E4856" s="22">
        <f ca="1">IFERROR(__xludf.DUMMYFUNCTION("""COMPUTED_VALUE"""),500000)</f>
        <v>500000</v>
      </c>
      <c r="F4856" s="22">
        <f ca="1">IFERROR(__xludf.DUMMYFUNCTION("""COMPUTED_VALUE"""),500000)</f>
        <v>500000</v>
      </c>
      <c r="G4856" s="22">
        <f ca="1">IFERROR(__xludf.DUMMYFUNCTION("""COMPUTED_VALUE"""),0)</f>
        <v>0</v>
      </c>
      <c r="H4856" s="7">
        <f ca="1">IFERROR(__xludf.DUMMYFUNCTION("""COMPUTED_VALUE"""),500000)</f>
        <v>500000</v>
      </c>
    </row>
    <row r="4857" spans="1:8" ht="13" x14ac:dyDescent="0.15">
      <c r="A4857" s="5" t="str">
        <f ca="1">IFERROR(__xludf.DUMMYFUNCTION("""COMPUTED_VALUE"""),"83293")</f>
        <v>83293</v>
      </c>
      <c r="B4857" s="51">
        <f ca="1">IFERROR(__xludf.DUMMYFUNCTION("""COMPUTED_VALUE"""),44620)</f>
        <v>44620</v>
      </c>
      <c r="C4857" s="22">
        <f ca="1">IFERROR(__xludf.DUMMYFUNCTION("""COMPUTED_VALUE"""),500000)</f>
        <v>500000</v>
      </c>
      <c r="D4857" s="22">
        <f ca="1">IFERROR(__xludf.DUMMYFUNCTION("""COMPUTED_VALUE"""),0)</f>
        <v>0</v>
      </c>
      <c r="E4857" s="22">
        <f ca="1">IFERROR(__xludf.DUMMYFUNCTION("""COMPUTED_VALUE"""),500000)</f>
        <v>500000</v>
      </c>
      <c r="F4857" s="22">
        <f ca="1">IFERROR(__xludf.DUMMYFUNCTION("""COMPUTED_VALUE"""),500000)</f>
        <v>500000</v>
      </c>
      <c r="G4857" s="22">
        <f ca="1">IFERROR(__xludf.DUMMYFUNCTION("""COMPUTED_VALUE"""),0)</f>
        <v>0</v>
      </c>
      <c r="H4857" s="7">
        <f ca="1">IFERROR(__xludf.DUMMYFUNCTION("""COMPUTED_VALUE"""),500000)</f>
        <v>500000</v>
      </c>
    </row>
    <row r="4858" spans="1:8" ht="13" x14ac:dyDescent="0.15">
      <c r="A4858" s="5" t="str">
        <f ca="1">IFERROR(__xludf.DUMMYFUNCTION("""COMPUTED_VALUE"""),"83293")</f>
        <v>83293</v>
      </c>
      <c r="B4858" s="51">
        <f ca="1">IFERROR(__xludf.DUMMYFUNCTION("""COMPUTED_VALUE"""),44621)</f>
        <v>44621</v>
      </c>
      <c r="C4858" s="22">
        <f ca="1">IFERROR(__xludf.DUMMYFUNCTION("""COMPUTED_VALUE"""),500000)</f>
        <v>500000</v>
      </c>
      <c r="D4858" s="22">
        <f ca="1">IFERROR(__xludf.DUMMYFUNCTION("""COMPUTED_VALUE"""),0)</f>
        <v>0</v>
      </c>
      <c r="E4858" s="22">
        <f ca="1">IFERROR(__xludf.DUMMYFUNCTION("""COMPUTED_VALUE"""),500000)</f>
        <v>500000</v>
      </c>
      <c r="F4858" s="22">
        <f ca="1">IFERROR(__xludf.DUMMYFUNCTION("""COMPUTED_VALUE"""),500000)</f>
        <v>500000</v>
      </c>
      <c r="G4858" s="22">
        <f ca="1">IFERROR(__xludf.DUMMYFUNCTION("""COMPUTED_VALUE"""),0)</f>
        <v>0</v>
      </c>
      <c r="H4858" s="7">
        <f ca="1">IFERROR(__xludf.DUMMYFUNCTION("""COMPUTED_VALUE"""),500000)</f>
        <v>500000</v>
      </c>
    </row>
    <row r="4859" spans="1:8" ht="13" x14ac:dyDescent="0.15">
      <c r="A4859" s="5" t="str">
        <f ca="1">IFERROR(__xludf.DUMMYFUNCTION("""COMPUTED_VALUE"""),"83293")</f>
        <v>83293</v>
      </c>
      <c r="B4859" s="51">
        <f ca="1">IFERROR(__xludf.DUMMYFUNCTION("""COMPUTED_VALUE"""),44622)</f>
        <v>44622</v>
      </c>
      <c r="C4859" s="22">
        <f ca="1">IFERROR(__xludf.DUMMYFUNCTION("""COMPUTED_VALUE"""),500000)</f>
        <v>500000</v>
      </c>
      <c r="D4859" s="22">
        <f ca="1">IFERROR(__xludf.DUMMYFUNCTION("""COMPUTED_VALUE"""),0)</f>
        <v>0</v>
      </c>
      <c r="E4859" s="22">
        <f ca="1">IFERROR(__xludf.DUMMYFUNCTION("""COMPUTED_VALUE"""),500000)</f>
        <v>500000</v>
      </c>
      <c r="F4859" s="22">
        <f ca="1">IFERROR(__xludf.DUMMYFUNCTION("""COMPUTED_VALUE"""),500000)</f>
        <v>500000</v>
      </c>
      <c r="G4859" s="22">
        <f ca="1">IFERROR(__xludf.DUMMYFUNCTION("""COMPUTED_VALUE"""),0)</f>
        <v>0</v>
      </c>
      <c r="H4859" s="7">
        <f ca="1">IFERROR(__xludf.DUMMYFUNCTION("""COMPUTED_VALUE"""),500000)</f>
        <v>500000</v>
      </c>
    </row>
    <row r="4860" spans="1:8" ht="13" x14ac:dyDescent="0.15">
      <c r="A4860" s="5" t="str">
        <f ca="1">IFERROR(__xludf.DUMMYFUNCTION("""COMPUTED_VALUE"""),"83293")</f>
        <v>83293</v>
      </c>
      <c r="B4860" s="51">
        <f ca="1">IFERROR(__xludf.DUMMYFUNCTION("""COMPUTED_VALUE"""),44623)</f>
        <v>44623</v>
      </c>
      <c r="C4860" s="22">
        <f ca="1">IFERROR(__xludf.DUMMYFUNCTION("""COMPUTED_VALUE"""),500000)</f>
        <v>500000</v>
      </c>
      <c r="D4860" s="22">
        <f ca="1">IFERROR(__xludf.DUMMYFUNCTION("""COMPUTED_VALUE"""),0)</f>
        <v>0</v>
      </c>
      <c r="E4860" s="22">
        <f ca="1">IFERROR(__xludf.DUMMYFUNCTION("""COMPUTED_VALUE"""),500000)</f>
        <v>500000</v>
      </c>
      <c r="F4860" s="22">
        <f ca="1">IFERROR(__xludf.DUMMYFUNCTION("""COMPUTED_VALUE"""),500000)</f>
        <v>500000</v>
      </c>
      <c r="G4860" s="22">
        <f ca="1">IFERROR(__xludf.DUMMYFUNCTION("""COMPUTED_VALUE"""),0)</f>
        <v>0</v>
      </c>
      <c r="H4860" s="7">
        <f ca="1">IFERROR(__xludf.DUMMYFUNCTION("""COMPUTED_VALUE"""),500000)</f>
        <v>500000</v>
      </c>
    </row>
    <row r="4861" spans="1:8" ht="13" x14ac:dyDescent="0.15">
      <c r="A4861" s="5" t="str">
        <f ca="1">IFERROR(__xludf.DUMMYFUNCTION("""COMPUTED_VALUE"""),"83293")</f>
        <v>83293</v>
      </c>
      <c r="B4861" s="51">
        <f ca="1">IFERROR(__xludf.DUMMYFUNCTION("""COMPUTED_VALUE"""),44624)</f>
        <v>44624</v>
      </c>
      <c r="C4861" s="22">
        <f ca="1">IFERROR(__xludf.DUMMYFUNCTION("""COMPUTED_VALUE"""),500000)</f>
        <v>500000</v>
      </c>
      <c r="D4861" s="22">
        <f ca="1">IFERROR(__xludf.DUMMYFUNCTION("""COMPUTED_VALUE"""),0)</f>
        <v>0</v>
      </c>
      <c r="E4861" s="22">
        <f ca="1">IFERROR(__xludf.DUMMYFUNCTION("""COMPUTED_VALUE"""),500000)</f>
        <v>500000</v>
      </c>
      <c r="F4861" s="22">
        <f ca="1">IFERROR(__xludf.DUMMYFUNCTION("""COMPUTED_VALUE"""),500000)</f>
        <v>500000</v>
      </c>
      <c r="G4861" s="22">
        <f ca="1">IFERROR(__xludf.DUMMYFUNCTION("""COMPUTED_VALUE"""),0)</f>
        <v>0</v>
      </c>
      <c r="H4861" s="7">
        <f ca="1">IFERROR(__xludf.DUMMYFUNCTION("""COMPUTED_VALUE"""),500000)</f>
        <v>500000</v>
      </c>
    </row>
    <row r="4862" spans="1:8" ht="13" x14ac:dyDescent="0.15">
      <c r="A4862" s="5" t="str">
        <f ca="1">IFERROR(__xludf.DUMMYFUNCTION("""COMPUTED_VALUE"""),"83293")</f>
        <v>83293</v>
      </c>
      <c r="B4862" s="51">
        <f ca="1">IFERROR(__xludf.DUMMYFUNCTION("""COMPUTED_VALUE"""),44625)</f>
        <v>44625</v>
      </c>
      <c r="C4862" s="22">
        <f ca="1">IFERROR(__xludf.DUMMYFUNCTION("""COMPUTED_VALUE"""),500000)</f>
        <v>500000</v>
      </c>
      <c r="D4862" s="22">
        <f ca="1">IFERROR(__xludf.DUMMYFUNCTION("""COMPUTED_VALUE"""),0)</f>
        <v>0</v>
      </c>
      <c r="E4862" s="22">
        <f ca="1">IFERROR(__xludf.DUMMYFUNCTION("""COMPUTED_VALUE"""),500000)</f>
        <v>500000</v>
      </c>
      <c r="F4862" s="22">
        <f ca="1">IFERROR(__xludf.DUMMYFUNCTION("""COMPUTED_VALUE"""),500000)</f>
        <v>500000</v>
      </c>
      <c r="G4862" s="22">
        <f ca="1">IFERROR(__xludf.DUMMYFUNCTION("""COMPUTED_VALUE"""),0)</f>
        <v>0</v>
      </c>
      <c r="H4862" s="7">
        <f ca="1">IFERROR(__xludf.DUMMYFUNCTION("""COMPUTED_VALUE"""),500000)</f>
        <v>500000</v>
      </c>
    </row>
    <row r="4863" spans="1:8" ht="13" x14ac:dyDescent="0.15">
      <c r="A4863" s="5" t="str">
        <f ca="1">IFERROR(__xludf.DUMMYFUNCTION("""COMPUTED_VALUE"""),"83293")</f>
        <v>83293</v>
      </c>
      <c r="B4863" s="51">
        <f ca="1">IFERROR(__xludf.DUMMYFUNCTION("""COMPUTED_VALUE"""),44626)</f>
        <v>44626</v>
      </c>
      <c r="C4863" s="22">
        <f ca="1">IFERROR(__xludf.DUMMYFUNCTION("""COMPUTED_VALUE"""),500000)</f>
        <v>500000</v>
      </c>
      <c r="D4863" s="22">
        <f ca="1">IFERROR(__xludf.DUMMYFUNCTION("""COMPUTED_VALUE"""),0)</f>
        <v>0</v>
      </c>
      <c r="E4863" s="22">
        <f ca="1">IFERROR(__xludf.DUMMYFUNCTION("""COMPUTED_VALUE"""),500000)</f>
        <v>500000</v>
      </c>
      <c r="F4863" s="22">
        <f ca="1">IFERROR(__xludf.DUMMYFUNCTION("""COMPUTED_VALUE"""),500000)</f>
        <v>500000</v>
      </c>
      <c r="G4863" s="22">
        <f ca="1">IFERROR(__xludf.DUMMYFUNCTION("""COMPUTED_VALUE"""),0)</f>
        <v>0</v>
      </c>
      <c r="H4863" s="7">
        <f ca="1">IFERROR(__xludf.DUMMYFUNCTION("""COMPUTED_VALUE"""),500000)</f>
        <v>500000</v>
      </c>
    </row>
    <row r="4864" spans="1:8" ht="13" x14ac:dyDescent="0.15">
      <c r="A4864" s="5" t="str">
        <f ca="1">IFERROR(__xludf.DUMMYFUNCTION("""COMPUTED_VALUE"""),"83293")</f>
        <v>83293</v>
      </c>
      <c r="B4864" s="51">
        <f ca="1">IFERROR(__xludf.DUMMYFUNCTION("""COMPUTED_VALUE"""),44627)</f>
        <v>44627</v>
      </c>
      <c r="C4864" s="22">
        <f ca="1">IFERROR(__xludf.DUMMYFUNCTION("""COMPUTED_VALUE"""),500000)</f>
        <v>500000</v>
      </c>
      <c r="D4864" s="22">
        <f ca="1">IFERROR(__xludf.DUMMYFUNCTION("""COMPUTED_VALUE"""),0)</f>
        <v>0</v>
      </c>
      <c r="E4864" s="22">
        <f ca="1">IFERROR(__xludf.DUMMYFUNCTION("""COMPUTED_VALUE"""),500000)</f>
        <v>500000</v>
      </c>
      <c r="F4864" s="22">
        <f ca="1">IFERROR(__xludf.DUMMYFUNCTION("""COMPUTED_VALUE"""),500000)</f>
        <v>500000</v>
      </c>
      <c r="G4864" s="22">
        <f ca="1">IFERROR(__xludf.DUMMYFUNCTION("""COMPUTED_VALUE"""),0)</f>
        <v>0</v>
      </c>
      <c r="H4864" s="7">
        <f ca="1">IFERROR(__xludf.DUMMYFUNCTION("""COMPUTED_VALUE"""),500000)</f>
        <v>500000</v>
      </c>
    </row>
    <row r="4865" spans="1:8" ht="13" x14ac:dyDescent="0.15">
      <c r="A4865" s="5" t="str">
        <f ca="1">IFERROR(__xludf.DUMMYFUNCTION("""COMPUTED_VALUE"""),"83293")</f>
        <v>83293</v>
      </c>
      <c r="B4865" s="51">
        <f ca="1">IFERROR(__xludf.DUMMYFUNCTION("""COMPUTED_VALUE"""),44628)</f>
        <v>44628</v>
      </c>
      <c r="C4865" s="22">
        <f ca="1">IFERROR(__xludf.DUMMYFUNCTION("""COMPUTED_VALUE"""),500000)</f>
        <v>500000</v>
      </c>
      <c r="D4865" s="22">
        <f ca="1">IFERROR(__xludf.DUMMYFUNCTION("""COMPUTED_VALUE"""),0)</f>
        <v>0</v>
      </c>
      <c r="E4865" s="22">
        <f ca="1">IFERROR(__xludf.DUMMYFUNCTION("""COMPUTED_VALUE"""),500000)</f>
        <v>500000</v>
      </c>
      <c r="F4865" s="22">
        <f ca="1">IFERROR(__xludf.DUMMYFUNCTION("""COMPUTED_VALUE"""),500000)</f>
        <v>500000</v>
      </c>
      <c r="G4865" s="22">
        <f ca="1">IFERROR(__xludf.DUMMYFUNCTION("""COMPUTED_VALUE"""),0)</f>
        <v>0</v>
      </c>
      <c r="H4865" s="7">
        <f ca="1">IFERROR(__xludf.DUMMYFUNCTION("""COMPUTED_VALUE"""),500000)</f>
        <v>500000</v>
      </c>
    </row>
    <row r="4866" spans="1:8" ht="13" x14ac:dyDescent="0.15">
      <c r="A4866" s="5" t="str">
        <f ca="1">IFERROR(__xludf.DUMMYFUNCTION("""COMPUTED_VALUE"""),"83293")</f>
        <v>83293</v>
      </c>
      <c r="B4866" s="51">
        <f ca="1">IFERROR(__xludf.DUMMYFUNCTION("""COMPUTED_VALUE"""),44629)</f>
        <v>44629</v>
      </c>
      <c r="C4866" s="22">
        <f ca="1">IFERROR(__xludf.DUMMYFUNCTION("""COMPUTED_VALUE"""),500000)</f>
        <v>500000</v>
      </c>
      <c r="D4866" s="22">
        <f ca="1">IFERROR(__xludf.DUMMYFUNCTION("""COMPUTED_VALUE"""),0)</f>
        <v>0</v>
      </c>
      <c r="E4866" s="22">
        <f ca="1">IFERROR(__xludf.DUMMYFUNCTION("""COMPUTED_VALUE"""),500000)</f>
        <v>500000</v>
      </c>
      <c r="F4866" s="22">
        <f ca="1">IFERROR(__xludf.DUMMYFUNCTION("""COMPUTED_VALUE"""),500000)</f>
        <v>500000</v>
      </c>
      <c r="G4866" s="22">
        <f ca="1">IFERROR(__xludf.DUMMYFUNCTION("""COMPUTED_VALUE"""),0)</f>
        <v>0</v>
      </c>
      <c r="H4866" s="7">
        <f ca="1">IFERROR(__xludf.DUMMYFUNCTION("""COMPUTED_VALUE"""),500000)</f>
        <v>500000</v>
      </c>
    </row>
    <row r="4867" spans="1:8" ht="13" x14ac:dyDescent="0.15">
      <c r="A4867" s="5" t="str">
        <f ca="1">IFERROR(__xludf.DUMMYFUNCTION("""COMPUTED_VALUE"""),"83293")</f>
        <v>83293</v>
      </c>
      <c r="B4867" s="51">
        <f ca="1">IFERROR(__xludf.DUMMYFUNCTION("""COMPUTED_VALUE"""),44630)</f>
        <v>44630</v>
      </c>
      <c r="C4867" s="22">
        <f ca="1">IFERROR(__xludf.DUMMYFUNCTION("""COMPUTED_VALUE"""),500000)</f>
        <v>500000</v>
      </c>
      <c r="D4867" s="22">
        <f ca="1">IFERROR(__xludf.DUMMYFUNCTION("""COMPUTED_VALUE"""),0)</f>
        <v>0</v>
      </c>
      <c r="E4867" s="22">
        <f ca="1">IFERROR(__xludf.DUMMYFUNCTION("""COMPUTED_VALUE"""),500000)</f>
        <v>500000</v>
      </c>
      <c r="F4867" s="22">
        <f ca="1">IFERROR(__xludf.DUMMYFUNCTION("""COMPUTED_VALUE"""),500000)</f>
        <v>500000</v>
      </c>
      <c r="G4867" s="22">
        <f ca="1">IFERROR(__xludf.DUMMYFUNCTION("""COMPUTED_VALUE"""),0)</f>
        <v>0</v>
      </c>
      <c r="H4867" s="7">
        <f ca="1">IFERROR(__xludf.DUMMYFUNCTION("""COMPUTED_VALUE"""),500000)</f>
        <v>500000</v>
      </c>
    </row>
    <row r="4868" spans="1:8" ht="13" x14ac:dyDescent="0.15">
      <c r="A4868" s="5" t="str">
        <f ca="1">IFERROR(__xludf.DUMMYFUNCTION("""COMPUTED_VALUE"""),"83293")</f>
        <v>83293</v>
      </c>
      <c r="B4868" s="51">
        <f ca="1">IFERROR(__xludf.DUMMYFUNCTION("""COMPUTED_VALUE"""),44631)</f>
        <v>44631</v>
      </c>
      <c r="C4868" s="22">
        <f ca="1">IFERROR(__xludf.DUMMYFUNCTION("""COMPUTED_VALUE"""),500000)</f>
        <v>500000</v>
      </c>
      <c r="D4868" s="22">
        <f ca="1">IFERROR(__xludf.DUMMYFUNCTION("""COMPUTED_VALUE"""),0)</f>
        <v>0</v>
      </c>
      <c r="E4868" s="22">
        <f ca="1">IFERROR(__xludf.DUMMYFUNCTION("""COMPUTED_VALUE"""),500000)</f>
        <v>500000</v>
      </c>
      <c r="F4868" s="22">
        <f ca="1">IFERROR(__xludf.DUMMYFUNCTION("""COMPUTED_VALUE"""),500000)</f>
        <v>500000</v>
      </c>
      <c r="G4868" s="22">
        <f ca="1">IFERROR(__xludf.DUMMYFUNCTION("""COMPUTED_VALUE"""),0)</f>
        <v>0</v>
      </c>
      <c r="H4868" s="7">
        <f ca="1">IFERROR(__xludf.DUMMYFUNCTION("""COMPUTED_VALUE"""),500000)</f>
        <v>500000</v>
      </c>
    </row>
    <row r="4869" spans="1:8" ht="13" x14ac:dyDescent="0.15">
      <c r="A4869" s="5" t="str">
        <f ca="1">IFERROR(__xludf.DUMMYFUNCTION("""COMPUTED_VALUE"""),"83293")</f>
        <v>83293</v>
      </c>
      <c r="B4869" s="51">
        <f ca="1">IFERROR(__xludf.DUMMYFUNCTION("""COMPUTED_VALUE"""),44632)</f>
        <v>44632</v>
      </c>
      <c r="C4869" s="22">
        <f ca="1">IFERROR(__xludf.DUMMYFUNCTION("""COMPUTED_VALUE"""),500000)</f>
        <v>500000</v>
      </c>
      <c r="D4869" s="22">
        <f ca="1">IFERROR(__xludf.DUMMYFUNCTION("""COMPUTED_VALUE"""),0)</f>
        <v>0</v>
      </c>
      <c r="E4869" s="22">
        <f ca="1">IFERROR(__xludf.DUMMYFUNCTION("""COMPUTED_VALUE"""),500000)</f>
        <v>500000</v>
      </c>
      <c r="F4869" s="22">
        <f ca="1">IFERROR(__xludf.DUMMYFUNCTION("""COMPUTED_VALUE"""),500000)</f>
        <v>500000</v>
      </c>
      <c r="G4869" s="22">
        <f ca="1">IFERROR(__xludf.DUMMYFUNCTION("""COMPUTED_VALUE"""),0)</f>
        <v>0</v>
      </c>
      <c r="H4869" s="7">
        <f ca="1">IFERROR(__xludf.DUMMYFUNCTION("""COMPUTED_VALUE"""),500000)</f>
        <v>500000</v>
      </c>
    </row>
    <row r="4870" spans="1:8" ht="13" x14ac:dyDescent="0.15">
      <c r="A4870" s="5" t="str">
        <f ca="1">IFERROR(__xludf.DUMMYFUNCTION("""COMPUTED_VALUE"""),"83293")</f>
        <v>83293</v>
      </c>
      <c r="B4870" s="51">
        <f ca="1">IFERROR(__xludf.DUMMYFUNCTION("""COMPUTED_VALUE"""),44633)</f>
        <v>44633</v>
      </c>
      <c r="C4870" s="22">
        <f ca="1">IFERROR(__xludf.DUMMYFUNCTION("""COMPUTED_VALUE"""),500000)</f>
        <v>500000</v>
      </c>
      <c r="D4870" s="22">
        <f ca="1">IFERROR(__xludf.DUMMYFUNCTION("""COMPUTED_VALUE"""),0)</f>
        <v>0</v>
      </c>
      <c r="E4870" s="22">
        <f ca="1">IFERROR(__xludf.DUMMYFUNCTION("""COMPUTED_VALUE"""),500000)</f>
        <v>500000</v>
      </c>
      <c r="F4870" s="22">
        <f ca="1">IFERROR(__xludf.DUMMYFUNCTION("""COMPUTED_VALUE"""),500000)</f>
        <v>500000</v>
      </c>
      <c r="G4870" s="22">
        <f ca="1">IFERROR(__xludf.DUMMYFUNCTION("""COMPUTED_VALUE"""),0)</f>
        <v>0</v>
      </c>
      <c r="H4870" s="7">
        <f ca="1">IFERROR(__xludf.DUMMYFUNCTION("""COMPUTED_VALUE"""),500000)</f>
        <v>500000</v>
      </c>
    </row>
    <row r="4871" spans="1:8" ht="13" x14ac:dyDescent="0.15">
      <c r="A4871" s="5" t="str">
        <f ca="1">IFERROR(__xludf.DUMMYFUNCTION("""COMPUTED_VALUE"""),"83293")</f>
        <v>83293</v>
      </c>
      <c r="B4871" s="51">
        <f ca="1">IFERROR(__xludf.DUMMYFUNCTION("""COMPUTED_VALUE"""),44634)</f>
        <v>44634</v>
      </c>
      <c r="C4871" s="22">
        <f ca="1">IFERROR(__xludf.DUMMYFUNCTION("""COMPUTED_VALUE"""),500000)</f>
        <v>500000</v>
      </c>
      <c r="D4871" s="22">
        <f ca="1">IFERROR(__xludf.DUMMYFUNCTION("""COMPUTED_VALUE"""),0)</f>
        <v>0</v>
      </c>
      <c r="E4871" s="22">
        <f ca="1">IFERROR(__xludf.DUMMYFUNCTION("""COMPUTED_VALUE"""),500000)</f>
        <v>500000</v>
      </c>
      <c r="F4871" s="22">
        <f ca="1">IFERROR(__xludf.DUMMYFUNCTION("""COMPUTED_VALUE"""),500000)</f>
        <v>500000</v>
      </c>
      <c r="G4871" s="22">
        <f ca="1">IFERROR(__xludf.DUMMYFUNCTION("""COMPUTED_VALUE"""),0)</f>
        <v>0</v>
      </c>
      <c r="H4871" s="7">
        <f ca="1">IFERROR(__xludf.DUMMYFUNCTION("""COMPUTED_VALUE"""),500000)</f>
        <v>500000</v>
      </c>
    </row>
    <row r="4872" spans="1:8" ht="13" x14ac:dyDescent="0.15">
      <c r="A4872" s="5" t="str">
        <f ca="1">IFERROR(__xludf.DUMMYFUNCTION("""COMPUTED_VALUE"""),"83293")</f>
        <v>83293</v>
      </c>
      <c r="B4872" s="51">
        <f ca="1">IFERROR(__xludf.DUMMYFUNCTION("""COMPUTED_VALUE"""),44635)</f>
        <v>44635</v>
      </c>
      <c r="C4872" s="22">
        <f ca="1">IFERROR(__xludf.DUMMYFUNCTION("""COMPUTED_VALUE"""),500000)</f>
        <v>500000</v>
      </c>
      <c r="D4872" s="22">
        <f ca="1">IFERROR(__xludf.DUMMYFUNCTION("""COMPUTED_VALUE"""),0)</f>
        <v>0</v>
      </c>
      <c r="E4872" s="22">
        <f ca="1">IFERROR(__xludf.DUMMYFUNCTION("""COMPUTED_VALUE"""),500000)</f>
        <v>500000</v>
      </c>
      <c r="F4872" s="22">
        <f ca="1">IFERROR(__xludf.DUMMYFUNCTION("""COMPUTED_VALUE"""),500000)</f>
        <v>500000</v>
      </c>
      <c r="G4872" s="22">
        <f ca="1">IFERROR(__xludf.DUMMYFUNCTION("""COMPUTED_VALUE"""),0)</f>
        <v>0</v>
      </c>
      <c r="H4872" s="7">
        <f ca="1">IFERROR(__xludf.DUMMYFUNCTION("""COMPUTED_VALUE"""),500000)</f>
        <v>500000</v>
      </c>
    </row>
    <row r="4873" spans="1:8" ht="13" x14ac:dyDescent="0.15">
      <c r="A4873" s="5" t="str">
        <f ca="1">IFERROR(__xludf.DUMMYFUNCTION("""COMPUTED_VALUE"""),"83293")</f>
        <v>83293</v>
      </c>
      <c r="B4873" s="51">
        <f ca="1">IFERROR(__xludf.DUMMYFUNCTION("""COMPUTED_VALUE"""),44636)</f>
        <v>44636</v>
      </c>
      <c r="C4873" s="22">
        <f ca="1">IFERROR(__xludf.DUMMYFUNCTION("""COMPUTED_VALUE"""),500000)</f>
        <v>500000</v>
      </c>
      <c r="D4873" s="22">
        <f ca="1">IFERROR(__xludf.DUMMYFUNCTION("""COMPUTED_VALUE"""),0)</f>
        <v>0</v>
      </c>
      <c r="E4873" s="22">
        <f ca="1">IFERROR(__xludf.DUMMYFUNCTION("""COMPUTED_VALUE"""),500000)</f>
        <v>500000</v>
      </c>
      <c r="F4873" s="22">
        <f ca="1">IFERROR(__xludf.DUMMYFUNCTION("""COMPUTED_VALUE"""),500000)</f>
        <v>500000</v>
      </c>
      <c r="G4873" s="22">
        <f ca="1">IFERROR(__xludf.DUMMYFUNCTION("""COMPUTED_VALUE"""),0)</f>
        <v>0</v>
      </c>
      <c r="H4873" s="7">
        <f ca="1">IFERROR(__xludf.DUMMYFUNCTION("""COMPUTED_VALUE"""),500000)</f>
        <v>500000</v>
      </c>
    </row>
    <row r="4874" spans="1:8" ht="13" x14ac:dyDescent="0.15">
      <c r="A4874" s="5" t="str">
        <f ca="1">IFERROR(__xludf.DUMMYFUNCTION("""COMPUTED_VALUE"""),"83293")</f>
        <v>83293</v>
      </c>
      <c r="B4874" s="51">
        <f ca="1">IFERROR(__xludf.DUMMYFUNCTION("""COMPUTED_VALUE"""),44637)</f>
        <v>44637</v>
      </c>
      <c r="C4874" s="22">
        <f ca="1">IFERROR(__xludf.DUMMYFUNCTION("""COMPUTED_VALUE"""),500000)</f>
        <v>500000</v>
      </c>
      <c r="D4874" s="22">
        <f ca="1">IFERROR(__xludf.DUMMYFUNCTION("""COMPUTED_VALUE"""),0)</f>
        <v>0</v>
      </c>
      <c r="E4874" s="22">
        <f ca="1">IFERROR(__xludf.DUMMYFUNCTION("""COMPUTED_VALUE"""),500000)</f>
        <v>500000</v>
      </c>
      <c r="F4874" s="22">
        <f ca="1">IFERROR(__xludf.DUMMYFUNCTION("""COMPUTED_VALUE"""),500000)</f>
        <v>500000</v>
      </c>
      <c r="G4874" s="22">
        <f ca="1">IFERROR(__xludf.DUMMYFUNCTION("""COMPUTED_VALUE"""),0)</f>
        <v>0</v>
      </c>
      <c r="H4874" s="7">
        <f ca="1">IFERROR(__xludf.DUMMYFUNCTION("""COMPUTED_VALUE"""),500000)</f>
        <v>500000</v>
      </c>
    </row>
    <row r="4875" spans="1:8" ht="13" x14ac:dyDescent="0.15">
      <c r="A4875" s="5" t="str">
        <f ca="1">IFERROR(__xludf.DUMMYFUNCTION("""COMPUTED_VALUE"""),"83293")</f>
        <v>83293</v>
      </c>
      <c r="B4875" s="51">
        <f ca="1">IFERROR(__xludf.DUMMYFUNCTION("""COMPUTED_VALUE"""),44638)</f>
        <v>44638</v>
      </c>
      <c r="C4875" s="22">
        <f ca="1">IFERROR(__xludf.DUMMYFUNCTION("""COMPUTED_VALUE"""),500000)</f>
        <v>500000</v>
      </c>
      <c r="D4875" s="22">
        <f ca="1">IFERROR(__xludf.DUMMYFUNCTION("""COMPUTED_VALUE"""),0)</f>
        <v>0</v>
      </c>
      <c r="E4875" s="22">
        <f ca="1">IFERROR(__xludf.DUMMYFUNCTION("""COMPUTED_VALUE"""),500000)</f>
        <v>500000</v>
      </c>
      <c r="F4875" s="22">
        <f ca="1">IFERROR(__xludf.DUMMYFUNCTION("""COMPUTED_VALUE"""),500000)</f>
        <v>500000</v>
      </c>
      <c r="G4875" s="22">
        <f ca="1">IFERROR(__xludf.DUMMYFUNCTION("""COMPUTED_VALUE"""),0)</f>
        <v>0</v>
      </c>
      <c r="H4875" s="7">
        <f ca="1">IFERROR(__xludf.DUMMYFUNCTION("""COMPUTED_VALUE"""),500000)</f>
        <v>500000</v>
      </c>
    </row>
    <row r="4876" spans="1:8" ht="13" x14ac:dyDescent="0.15">
      <c r="A4876" s="5" t="str">
        <f ca="1">IFERROR(__xludf.DUMMYFUNCTION("""COMPUTED_VALUE"""),"83293")</f>
        <v>83293</v>
      </c>
      <c r="B4876" s="51">
        <f ca="1">IFERROR(__xludf.DUMMYFUNCTION("""COMPUTED_VALUE"""),44639)</f>
        <v>44639</v>
      </c>
      <c r="C4876" s="22">
        <f ca="1">IFERROR(__xludf.DUMMYFUNCTION("""COMPUTED_VALUE"""),500000)</f>
        <v>500000</v>
      </c>
      <c r="D4876" s="22">
        <f ca="1">IFERROR(__xludf.DUMMYFUNCTION("""COMPUTED_VALUE"""),0)</f>
        <v>0</v>
      </c>
      <c r="E4876" s="22">
        <f ca="1">IFERROR(__xludf.DUMMYFUNCTION("""COMPUTED_VALUE"""),500000)</f>
        <v>500000</v>
      </c>
      <c r="F4876" s="22">
        <f ca="1">IFERROR(__xludf.DUMMYFUNCTION("""COMPUTED_VALUE"""),500000)</f>
        <v>500000</v>
      </c>
      <c r="G4876" s="22">
        <f ca="1">IFERROR(__xludf.DUMMYFUNCTION("""COMPUTED_VALUE"""),0)</f>
        <v>0</v>
      </c>
      <c r="H4876" s="7">
        <f ca="1">IFERROR(__xludf.DUMMYFUNCTION("""COMPUTED_VALUE"""),500000)</f>
        <v>500000</v>
      </c>
    </row>
    <row r="4877" spans="1:8" ht="13" x14ac:dyDescent="0.15">
      <c r="A4877" s="5" t="str">
        <f ca="1">IFERROR(__xludf.DUMMYFUNCTION("""COMPUTED_VALUE"""),"83293")</f>
        <v>83293</v>
      </c>
      <c r="B4877" s="51">
        <f ca="1">IFERROR(__xludf.DUMMYFUNCTION("""COMPUTED_VALUE"""),44640)</f>
        <v>44640</v>
      </c>
      <c r="C4877" s="22">
        <f ca="1">IFERROR(__xludf.DUMMYFUNCTION("""COMPUTED_VALUE"""),500000)</f>
        <v>500000</v>
      </c>
      <c r="D4877" s="22">
        <f ca="1">IFERROR(__xludf.DUMMYFUNCTION("""COMPUTED_VALUE"""),0)</f>
        <v>0</v>
      </c>
      <c r="E4877" s="22">
        <f ca="1">IFERROR(__xludf.DUMMYFUNCTION("""COMPUTED_VALUE"""),500000)</f>
        <v>500000</v>
      </c>
      <c r="F4877" s="22">
        <f ca="1">IFERROR(__xludf.DUMMYFUNCTION("""COMPUTED_VALUE"""),500000)</f>
        <v>500000</v>
      </c>
      <c r="G4877" s="22">
        <f ca="1">IFERROR(__xludf.DUMMYFUNCTION("""COMPUTED_VALUE"""),0)</f>
        <v>0</v>
      </c>
      <c r="H4877" s="7">
        <f ca="1">IFERROR(__xludf.DUMMYFUNCTION("""COMPUTED_VALUE"""),500000)</f>
        <v>500000</v>
      </c>
    </row>
    <row r="4878" spans="1:8" ht="13" x14ac:dyDescent="0.15">
      <c r="A4878" s="5" t="str">
        <f ca="1">IFERROR(__xludf.DUMMYFUNCTION("""COMPUTED_VALUE"""),"83293")</f>
        <v>83293</v>
      </c>
      <c r="B4878" s="51">
        <f ca="1">IFERROR(__xludf.DUMMYFUNCTION("""COMPUTED_VALUE"""),44641)</f>
        <v>44641</v>
      </c>
      <c r="C4878" s="22">
        <f ca="1">IFERROR(__xludf.DUMMYFUNCTION("""COMPUTED_VALUE"""),500000)</f>
        <v>500000</v>
      </c>
      <c r="D4878" s="22">
        <f ca="1">IFERROR(__xludf.DUMMYFUNCTION("""COMPUTED_VALUE"""),0)</f>
        <v>0</v>
      </c>
      <c r="E4878" s="22">
        <f ca="1">IFERROR(__xludf.DUMMYFUNCTION("""COMPUTED_VALUE"""),500000)</f>
        <v>500000</v>
      </c>
      <c r="F4878" s="22">
        <f ca="1">IFERROR(__xludf.DUMMYFUNCTION("""COMPUTED_VALUE"""),500000)</f>
        <v>500000</v>
      </c>
      <c r="G4878" s="22">
        <f ca="1">IFERROR(__xludf.DUMMYFUNCTION("""COMPUTED_VALUE"""),0)</f>
        <v>0</v>
      </c>
      <c r="H4878" s="7">
        <f ca="1">IFERROR(__xludf.DUMMYFUNCTION("""COMPUTED_VALUE"""),500000)</f>
        <v>500000</v>
      </c>
    </row>
    <row r="4879" spans="1:8" ht="13" x14ac:dyDescent="0.15">
      <c r="A4879" s="5" t="str">
        <f ca="1">IFERROR(__xludf.DUMMYFUNCTION("""COMPUTED_VALUE"""),"83293")</f>
        <v>83293</v>
      </c>
      <c r="B4879" s="51">
        <f ca="1">IFERROR(__xludf.DUMMYFUNCTION("""COMPUTED_VALUE"""),44642)</f>
        <v>44642</v>
      </c>
      <c r="C4879" s="22">
        <f ca="1">IFERROR(__xludf.DUMMYFUNCTION("""COMPUTED_VALUE"""),500000)</f>
        <v>500000</v>
      </c>
      <c r="D4879" s="22">
        <f ca="1">IFERROR(__xludf.DUMMYFUNCTION("""COMPUTED_VALUE"""),0)</f>
        <v>0</v>
      </c>
      <c r="E4879" s="22">
        <f ca="1">IFERROR(__xludf.DUMMYFUNCTION("""COMPUTED_VALUE"""),500000)</f>
        <v>500000</v>
      </c>
      <c r="F4879" s="22">
        <f ca="1">IFERROR(__xludf.DUMMYFUNCTION("""COMPUTED_VALUE"""),500000)</f>
        <v>500000</v>
      </c>
      <c r="G4879" s="22">
        <f ca="1">IFERROR(__xludf.DUMMYFUNCTION("""COMPUTED_VALUE"""),0)</f>
        <v>0</v>
      </c>
      <c r="H4879" s="7">
        <f ca="1">IFERROR(__xludf.DUMMYFUNCTION("""COMPUTED_VALUE"""),500000)</f>
        <v>500000</v>
      </c>
    </row>
    <row r="4880" spans="1:8" ht="13" x14ac:dyDescent="0.15">
      <c r="A4880" s="5" t="str">
        <f ca="1">IFERROR(__xludf.DUMMYFUNCTION("""COMPUTED_VALUE"""),"83314")</f>
        <v>83314</v>
      </c>
      <c r="B4880" s="51">
        <f ca="1">IFERROR(__xludf.DUMMYFUNCTION("""COMPUTED_VALUE"""),44597)</f>
        <v>44597</v>
      </c>
      <c r="C4880" s="22">
        <f ca="1">IFERROR(__xludf.DUMMYFUNCTION("""COMPUTED_VALUE"""),500000)</f>
        <v>500000</v>
      </c>
      <c r="D4880" s="22">
        <f ca="1">IFERROR(__xludf.DUMMYFUNCTION("""COMPUTED_VALUE"""),0)</f>
        <v>0</v>
      </c>
      <c r="E4880" s="22">
        <f ca="1">IFERROR(__xludf.DUMMYFUNCTION("""COMPUTED_VALUE"""),500000)</f>
        <v>500000</v>
      </c>
      <c r="F4880" s="22">
        <f ca="1">IFERROR(__xludf.DUMMYFUNCTION("""COMPUTED_VALUE"""),500000)</f>
        <v>500000</v>
      </c>
      <c r="G4880" s="22">
        <f ca="1">IFERROR(__xludf.DUMMYFUNCTION("""COMPUTED_VALUE"""),0)</f>
        <v>0</v>
      </c>
      <c r="H4880" s="7">
        <f ca="1">IFERROR(__xludf.DUMMYFUNCTION("""COMPUTED_VALUE"""),500000)</f>
        <v>500000</v>
      </c>
    </row>
    <row r="4881" spans="1:8" ht="13" x14ac:dyDescent="0.15">
      <c r="A4881" s="5" t="str">
        <f ca="1">IFERROR(__xludf.DUMMYFUNCTION("""COMPUTED_VALUE"""),"83314")</f>
        <v>83314</v>
      </c>
      <c r="B4881" s="51">
        <f ca="1">IFERROR(__xludf.DUMMYFUNCTION("""COMPUTED_VALUE"""),44598)</f>
        <v>44598</v>
      </c>
      <c r="C4881" s="22">
        <f ca="1">IFERROR(__xludf.DUMMYFUNCTION("""COMPUTED_VALUE"""),500000)</f>
        <v>500000</v>
      </c>
      <c r="D4881" s="22">
        <f ca="1">IFERROR(__xludf.DUMMYFUNCTION("""COMPUTED_VALUE"""),0)</f>
        <v>0</v>
      </c>
      <c r="E4881" s="22">
        <f ca="1">IFERROR(__xludf.DUMMYFUNCTION("""COMPUTED_VALUE"""),500000)</f>
        <v>500000</v>
      </c>
      <c r="F4881" s="22">
        <f ca="1">IFERROR(__xludf.DUMMYFUNCTION("""COMPUTED_VALUE"""),500000)</f>
        <v>500000</v>
      </c>
      <c r="G4881" s="22">
        <f ca="1">IFERROR(__xludf.DUMMYFUNCTION("""COMPUTED_VALUE"""),0)</f>
        <v>0</v>
      </c>
      <c r="H4881" s="7">
        <f ca="1">IFERROR(__xludf.DUMMYFUNCTION("""COMPUTED_VALUE"""),500000)</f>
        <v>500000</v>
      </c>
    </row>
    <row r="4882" spans="1:8" ht="13" x14ac:dyDescent="0.15">
      <c r="A4882" s="5" t="str">
        <f ca="1">IFERROR(__xludf.DUMMYFUNCTION("""COMPUTED_VALUE"""),"83314")</f>
        <v>83314</v>
      </c>
      <c r="B4882" s="51">
        <f ca="1">IFERROR(__xludf.DUMMYFUNCTION("""COMPUTED_VALUE"""),44599)</f>
        <v>44599</v>
      </c>
      <c r="C4882" s="22">
        <f ca="1">IFERROR(__xludf.DUMMYFUNCTION("""COMPUTED_VALUE"""),500000)</f>
        <v>500000</v>
      </c>
      <c r="D4882" s="22">
        <f ca="1">IFERROR(__xludf.DUMMYFUNCTION("""COMPUTED_VALUE"""),0)</f>
        <v>0</v>
      </c>
      <c r="E4882" s="22">
        <f ca="1">IFERROR(__xludf.DUMMYFUNCTION("""COMPUTED_VALUE"""),500000)</f>
        <v>500000</v>
      </c>
      <c r="F4882" s="22">
        <f ca="1">IFERROR(__xludf.DUMMYFUNCTION("""COMPUTED_VALUE"""),500000)</f>
        <v>500000</v>
      </c>
      <c r="G4882" s="22">
        <f ca="1">IFERROR(__xludf.DUMMYFUNCTION("""COMPUTED_VALUE"""),0)</f>
        <v>0</v>
      </c>
      <c r="H4882" s="7">
        <f ca="1">IFERROR(__xludf.DUMMYFUNCTION("""COMPUTED_VALUE"""),500000)</f>
        <v>500000</v>
      </c>
    </row>
    <row r="4883" spans="1:8" ht="13" x14ac:dyDescent="0.15">
      <c r="A4883" s="5" t="str">
        <f ca="1">IFERROR(__xludf.DUMMYFUNCTION("""COMPUTED_VALUE"""),"83314")</f>
        <v>83314</v>
      </c>
      <c r="B4883" s="51">
        <f ca="1">IFERROR(__xludf.DUMMYFUNCTION("""COMPUTED_VALUE"""),44600)</f>
        <v>44600</v>
      </c>
      <c r="C4883" s="22">
        <f ca="1">IFERROR(__xludf.DUMMYFUNCTION("""COMPUTED_VALUE"""),500000)</f>
        <v>500000</v>
      </c>
      <c r="D4883" s="22">
        <f ca="1">IFERROR(__xludf.DUMMYFUNCTION("""COMPUTED_VALUE"""),0)</f>
        <v>0</v>
      </c>
      <c r="E4883" s="22">
        <f ca="1">IFERROR(__xludf.DUMMYFUNCTION("""COMPUTED_VALUE"""),500000)</f>
        <v>500000</v>
      </c>
      <c r="F4883" s="22">
        <f ca="1">IFERROR(__xludf.DUMMYFUNCTION("""COMPUTED_VALUE"""),500000)</f>
        <v>500000</v>
      </c>
      <c r="G4883" s="22">
        <f ca="1">IFERROR(__xludf.DUMMYFUNCTION("""COMPUTED_VALUE"""),0)</f>
        <v>0</v>
      </c>
      <c r="H4883" s="7">
        <f ca="1">IFERROR(__xludf.DUMMYFUNCTION("""COMPUTED_VALUE"""),500000)</f>
        <v>500000</v>
      </c>
    </row>
    <row r="4884" spans="1:8" ht="13" x14ac:dyDescent="0.15">
      <c r="A4884" s="5" t="str">
        <f ca="1">IFERROR(__xludf.DUMMYFUNCTION("""COMPUTED_VALUE"""),"83314")</f>
        <v>83314</v>
      </c>
      <c r="B4884" s="51">
        <f ca="1">IFERROR(__xludf.DUMMYFUNCTION("""COMPUTED_VALUE"""),44601)</f>
        <v>44601</v>
      </c>
      <c r="C4884" s="22">
        <f ca="1">IFERROR(__xludf.DUMMYFUNCTION("""COMPUTED_VALUE"""),500000)</f>
        <v>500000</v>
      </c>
      <c r="D4884" s="22">
        <f ca="1">IFERROR(__xludf.DUMMYFUNCTION("""COMPUTED_VALUE"""),0)</f>
        <v>0</v>
      </c>
      <c r="E4884" s="22">
        <f ca="1">IFERROR(__xludf.DUMMYFUNCTION("""COMPUTED_VALUE"""),500000)</f>
        <v>500000</v>
      </c>
      <c r="F4884" s="22">
        <f ca="1">IFERROR(__xludf.DUMMYFUNCTION("""COMPUTED_VALUE"""),500000)</f>
        <v>500000</v>
      </c>
      <c r="G4884" s="22">
        <f ca="1">IFERROR(__xludf.DUMMYFUNCTION("""COMPUTED_VALUE"""),0)</f>
        <v>0</v>
      </c>
      <c r="H4884" s="7">
        <f ca="1">IFERROR(__xludf.DUMMYFUNCTION("""COMPUTED_VALUE"""),500000)</f>
        <v>500000</v>
      </c>
    </row>
    <row r="4885" spans="1:8" ht="13" x14ac:dyDescent="0.15">
      <c r="A4885" s="5" t="str">
        <f ca="1">IFERROR(__xludf.DUMMYFUNCTION("""COMPUTED_VALUE"""),"83314")</f>
        <v>83314</v>
      </c>
      <c r="B4885" s="51">
        <f ca="1">IFERROR(__xludf.DUMMYFUNCTION("""COMPUTED_VALUE"""),44602)</f>
        <v>44602</v>
      </c>
      <c r="C4885" s="22">
        <f ca="1">IFERROR(__xludf.DUMMYFUNCTION("""COMPUTED_VALUE"""),500000)</f>
        <v>500000</v>
      </c>
      <c r="D4885" s="22">
        <f ca="1">IFERROR(__xludf.DUMMYFUNCTION("""COMPUTED_VALUE"""),0)</f>
        <v>0</v>
      </c>
      <c r="E4885" s="22">
        <f ca="1">IFERROR(__xludf.DUMMYFUNCTION("""COMPUTED_VALUE"""),500000)</f>
        <v>500000</v>
      </c>
      <c r="F4885" s="22">
        <f ca="1">IFERROR(__xludf.DUMMYFUNCTION("""COMPUTED_VALUE"""),500000)</f>
        <v>500000</v>
      </c>
      <c r="G4885" s="22">
        <f ca="1">IFERROR(__xludf.DUMMYFUNCTION("""COMPUTED_VALUE"""),0)</f>
        <v>0</v>
      </c>
      <c r="H4885" s="7">
        <f ca="1">IFERROR(__xludf.DUMMYFUNCTION("""COMPUTED_VALUE"""),500000)</f>
        <v>500000</v>
      </c>
    </row>
    <row r="4886" spans="1:8" ht="13" x14ac:dyDescent="0.15">
      <c r="A4886" s="5" t="str">
        <f ca="1">IFERROR(__xludf.DUMMYFUNCTION("""COMPUTED_VALUE"""),"83314")</f>
        <v>83314</v>
      </c>
      <c r="B4886" s="51">
        <f ca="1">IFERROR(__xludf.DUMMYFUNCTION("""COMPUTED_VALUE"""),44603)</f>
        <v>44603</v>
      </c>
      <c r="C4886" s="22">
        <f ca="1">IFERROR(__xludf.DUMMYFUNCTION("""COMPUTED_VALUE"""),500000)</f>
        <v>500000</v>
      </c>
      <c r="D4886" s="22">
        <f ca="1">IFERROR(__xludf.DUMMYFUNCTION("""COMPUTED_VALUE"""),0)</f>
        <v>0</v>
      </c>
      <c r="E4886" s="22">
        <f ca="1">IFERROR(__xludf.DUMMYFUNCTION("""COMPUTED_VALUE"""),500000)</f>
        <v>500000</v>
      </c>
      <c r="F4886" s="22">
        <f ca="1">IFERROR(__xludf.DUMMYFUNCTION("""COMPUTED_VALUE"""),500000)</f>
        <v>500000</v>
      </c>
      <c r="G4886" s="22">
        <f ca="1">IFERROR(__xludf.DUMMYFUNCTION("""COMPUTED_VALUE"""),0)</f>
        <v>0</v>
      </c>
      <c r="H4886" s="7">
        <f ca="1">IFERROR(__xludf.DUMMYFUNCTION("""COMPUTED_VALUE"""),500000)</f>
        <v>500000</v>
      </c>
    </row>
    <row r="4887" spans="1:8" ht="13" x14ac:dyDescent="0.15">
      <c r="A4887" s="5" t="str">
        <f ca="1">IFERROR(__xludf.DUMMYFUNCTION("""COMPUTED_VALUE"""),"83314")</f>
        <v>83314</v>
      </c>
      <c r="B4887" s="51">
        <f ca="1">IFERROR(__xludf.DUMMYFUNCTION("""COMPUTED_VALUE"""),44604)</f>
        <v>44604</v>
      </c>
      <c r="C4887" s="22">
        <f ca="1">IFERROR(__xludf.DUMMYFUNCTION("""COMPUTED_VALUE"""),500000)</f>
        <v>500000</v>
      </c>
      <c r="D4887" s="22">
        <f ca="1">IFERROR(__xludf.DUMMYFUNCTION("""COMPUTED_VALUE"""),0)</f>
        <v>0</v>
      </c>
      <c r="E4887" s="22">
        <f ca="1">IFERROR(__xludf.DUMMYFUNCTION("""COMPUTED_VALUE"""),500000)</f>
        <v>500000</v>
      </c>
      <c r="F4887" s="22">
        <f ca="1">IFERROR(__xludf.DUMMYFUNCTION("""COMPUTED_VALUE"""),500000)</f>
        <v>500000</v>
      </c>
      <c r="G4887" s="22">
        <f ca="1">IFERROR(__xludf.DUMMYFUNCTION("""COMPUTED_VALUE"""),0)</f>
        <v>0</v>
      </c>
      <c r="H4887" s="7">
        <f ca="1">IFERROR(__xludf.DUMMYFUNCTION("""COMPUTED_VALUE"""),500000)</f>
        <v>500000</v>
      </c>
    </row>
    <row r="4888" spans="1:8" ht="13" x14ac:dyDescent="0.15">
      <c r="A4888" s="5" t="str">
        <f ca="1">IFERROR(__xludf.DUMMYFUNCTION("""COMPUTED_VALUE"""),"83314")</f>
        <v>83314</v>
      </c>
      <c r="B4888" s="51">
        <f ca="1">IFERROR(__xludf.DUMMYFUNCTION("""COMPUTED_VALUE"""),44605)</f>
        <v>44605</v>
      </c>
      <c r="C4888" s="22">
        <f ca="1">IFERROR(__xludf.DUMMYFUNCTION("""COMPUTED_VALUE"""),500000)</f>
        <v>500000</v>
      </c>
      <c r="D4888" s="22">
        <f ca="1">IFERROR(__xludf.DUMMYFUNCTION("""COMPUTED_VALUE"""),0)</f>
        <v>0</v>
      </c>
      <c r="E4888" s="22">
        <f ca="1">IFERROR(__xludf.DUMMYFUNCTION("""COMPUTED_VALUE"""),500000)</f>
        <v>500000</v>
      </c>
      <c r="F4888" s="22">
        <f ca="1">IFERROR(__xludf.DUMMYFUNCTION("""COMPUTED_VALUE"""),500000)</f>
        <v>500000</v>
      </c>
      <c r="G4888" s="22">
        <f ca="1">IFERROR(__xludf.DUMMYFUNCTION("""COMPUTED_VALUE"""),0)</f>
        <v>0</v>
      </c>
      <c r="H4888" s="7">
        <f ca="1">IFERROR(__xludf.DUMMYFUNCTION("""COMPUTED_VALUE"""),500000)</f>
        <v>500000</v>
      </c>
    </row>
    <row r="4889" spans="1:8" ht="13" x14ac:dyDescent="0.15">
      <c r="A4889" s="5" t="str">
        <f ca="1">IFERROR(__xludf.DUMMYFUNCTION("""COMPUTED_VALUE"""),"83314")</f>
        <v>83314</v>
      </c>
      <c r="B4889" s="51">
        <f ca="1">IFERROR(__xludf.DUMMYFUNCTION("""COMPUTED_VALUE"""),44606)</f>
        <v>44606</v>
      </c>
      <c r="C4889" s="22">
        <f ca="1">IFERROR(__xludf.DUMMYFUNCTION("""COMPUTED_VALUE"""),500000)</f>
        <v>500000</v>
      </c>
      <c r="D4889" s="22">
        <f ca="1">IFERROR(__xludf.DUMMYFUNCTION("""COMPUTED_VALUE"""),0)</f>
        <v>0</v>
      </c>
      <c r="E4889" s="22">
        <f ca="1">IFERROR(__xludf.DUMMYFUNCTION("""COMPUTED_VALUE"""),500000)</f>
        <v>500000</v>
      </c>
      <c r="F4889" s="22">
        <f ca="1">IFERROR(__xludf.DUMMYFUNCTION("""COMPUTED_VALUE"""),500000)</f>
        <v>500000</v>
      </c>
      <c r="G4889" s="22">
        <f ca="1">IFERROR(__xludf.DUMMYFUNCTION("""COMPUTED_VALUE"""),0)</f>
        <v>0</v>
      </c>
      <c r="H4889" s="7">
        <f ca="1">IFERROR(__xludf.DUMMYFUNCTION("""COMPUTED_VALUE"""),500000)</f>
        <v>500000</v>
      </c>
    </row>
    <row r="4890" spans="1:8" ht="13" x14ac:dyDescent="0.15">
      <c r="A4890" s="5" t="str">
        <f ca="1">IFERROR(__xludf.DUMMYFUNCTION("""COMPUTED_VALUE"""),"83314")</f>
        <v>83314</v>
      </c>
      <c r="B4890" s="51">
        <f ca="1">IFERROR(__xludf.DUMMYFUNCTION("""COMPUTED_VALUE"""),44607)</f>
        <v>44607</v>
      </c>
      <c r="C4890" s="22">
        <f ca="1">IFERROR(__xludf.DUMMYFUNCTION("""COMPUTED_VALUE"""),500000)</f>
        <v>500000</v>
      </c>
      <c r="D4890" s="22">
        <f ca="1">IFERROR(__xludf.DUMMYFUNCTION("""COMPUTED_VALUE"""),0)</f>
        <v>0</v>
      </c>
      <c r="E4890" s="22">
        <f ca="1">IFERROR(__xludf.DUMMYFUNCTION("""COMPUTED_VALUE"""),500000)</f>
        <v>500000</v>
      </c>
      <c r="F4890" s="22">
        <f ca="1">IFERROR(__xludf.DUMMYFUNCTION("""COMPUTED_VALUE"""),500000)</f>
        <v>500000</v>
      </c>
      <c r="G4890" s="22">
        <f ca="1">IFERROR(__xludf.DUMMYFUNCTION("""COMPUTED_VALUE"""),0)</f>
        <v>0</v>
      </c>
      <c r="H4890" s="7">
        <f ca="1">IFERROR(__xludf.DUMMYFUNCTION("""COMPUTED_VALUE"""),500000)</f>
        <v>500000</v>
      </c>
    </row>
    <row r="4891" spans="1:8" ht="13" x14ac:dyDescent="0.15">
      <c r="A4891" s="5" t="str">
        <f ca="1">IFERROR(__xludf.DUMMYFUNCTION("""COMPUTED_VALUE"""),"83314")</f>
        <v>83314</v>
      </c>
      <c r="B4891" s="51">
        <f ca="1">IFERROR(__xludf.DUMMYFUNCTION("""COMPUTED_VALUE"""),44608)</f>
        <v>44608</v>
      </c>
      <c r="C4891" s="22">
        <f ca="1">IFERROR(__xludf.DUMMYFUNCTION("""COMPUTED_VALUE"""),500000)</f>
        <v>500000</v>
      </c>
      <c r="D4891" s="22">
        <f ca="1">IFERROR(__xludf.DUMMYFUNCTION("""COMPUTED_VALUE"""),0)</f>
        <v>0</v>
      </c>
      <c r="E4891" s="22">
        <f ca="1">IFERROR(__xludf.DUMMYFUNCTION("""COMPUTED_VALUE"""),500000)</f>
        <v>500000</v>
      </c>
      <c r="F4891" s="22">
        <f ca="1">IFERROR(__xludf.DUMMYFUNCTION("""COMPUTED_VALUE"""),500000)</f>
        <v>500000</v>
      </c>
      <c r="G4891" s="22">
        <f ca="1">IFERROR(__xludf.DUMMYFUNCTION("""COMPUTED_VALUE"""),0)</f>
        <v>0</v>
      </c>
      <c r="H4891" s="7">
        <f ca="1">IFERROR(__xludf.DUMMYFUNCTION("""COMPUTED_VALUE"""),500000)</f>
        <v>500000</v>
      </c>
    </row>
    <row r="4892" spans="1:8" ht="13" x14ac:dyDescent="0.15">
      <c r="A4892" s="5" t="str">
        <f ca="1">IFERROR(__xludf.DUMMYFUNCTION("""COMPUTED_VALUE"""),"83314")</f>
        <v>83314</v>
      </c>
      <c r="B4892" s="51">
        <f ca="1">IFERROR(__xludf.DUMMYFUNCTION("""COMPUTED_VALUE"""),44609)</f>
        <v>44609</v>
      </c>
      <c r="C4892" s="22">
        <f ca="1">IFERROR(__xludf.DUMMYFUNCTION("""COMPUTED_VALUE"""),500000)</f>
        <v>500000</v>
      </c>
      <c r="D4892" s="22">
        <f ca="1">IFERROR(__xludf.DUMMYFUNCTION("""COMPUTED_VALUE"""),0)</f>
        <v>0</v>
      </c>
      <c r="E4892" s="22">
        <f ca="1">IFERROR(__xludf.DUMMYFUNCTION("""COMPUTED_VALUE"""),500000)</f>
        <v>500000</v>
      </c>
      <c r="F4892" s="22">
        <f ca="1">IFERROR(__xludf.DUMMYFUNCTION("""COMPUTED_VALUE"""),500000)</f>
        <v>500000</v>
      </c>
      <c r="G4892" s="22">
        <f ca="1">IFERROR(__xludf.DUMMYFUNCTION("""COMPUTED_VALUE"""),0)</f>
        <v>0</v>
      </c>
      <c r="H4892" s="7">
        <f ca="1">IFERROR(__xludf.DUMMYFUNCTION("""COMPUTED_VALUE"""),500000)</f>
        <v>500000</v>
      </c>
    </row>
    <row r="4893" spans="1:8" ht="13" x14ac:dyDescent="0.15">
      <c r="A4893" s="5" t="str">
        <f ca="1">IFERROR(__xludf.DUMMYFUNCTION("""COMPUTED_VALUE"""),"83314")</f>
        <v>83314</v>
      </c>
      <c r="B4893" s="51">
        <f ca="1">IFERROR(__xludf.DUMMYFUNCTION("""COMPUTED_VALUE"""),44610)</f>
        <v>44610</v>
      </c>
      <c r="C4893" s="22">
        <f ca="1">IFERROR(__xludf.DUMMYFUNCTION("""COMPUTED_VALUE"""),500000)</f>
        <v>500000</v>
      </c>
      <c r="D4893" s="22">
        <f ca="1">IFERROR(__xludf.DUMMYFUNCTION("""COMPUTED_VALUE"""),0)</f>
        <v>0</v>
      </c>
      <c r="E4893" s="22">
        <f ca="1">IFERROR(__xludf.DUMMYFUNCTION("""COMPUTED_VALUE"""),500000)</f>
        <v>500000</v>
      </c>
      <c r="F4893" s="22">
        <f ca="1">IFERROR(__xludf.DUMMYFUNCTION("""COMPUTED_VALUE"""),500000)</f>
        <v>500000</v>
      </c>
      <c r="G4893" s="22">
        <f ca="1">IFERROR(__xludf.DUMMYFUNCTION("""COMPUTED_VALUE"""),0)</f>
        <v>0</v>
      </c>
      <c r="H4893" s="7">
        <f ca="1">IFERROR(__xludf.DUMMYFUNCTION("""COMPUTED_VALUE"""),500000)</f>
        <v>500000</v>
      </c>
    </row>
    <row r="4894" spans="1:8" ht="13" x14ac:dyDescent="0.15">
      <c r="A4894" s="5" t="str">
        <f ca="1">IFERROR(__xludf.DUMMYFUNCTION("""COMPUTED_VALUE"""),"83314")</f>
        <v>83314</v>
      </c>
      <c r="B4894" s="51">
        <f ca="1">IFERROR(__xludf.DUMMYFUNCTION("""COMPUTED_VALUE"""),44611)</f>
        <v>44611</v>
      </c>
      <c r="C4894" s="22">
        <f ca="1">IFERROR(__xludf.DUMMYFUNCTION("""COMPUTED_VALUE"""),500000)</f>
        <v>500000</v>
      </c>
      <c r="D4894" s="22">
        <f ca="1">IFERROR(__xludf.DUMMYFUNCTION("""COMPUTED_VALUE"""),0)</f>
        <v>0</v>
      </c>
      <c r="E4894" s="22">
        <f ca="1">IFERROR(__xludf.DUMMYFUNCTION("""COMPUTED_VALUE"""),500000)</f>
        <v>500000</v>
      </c>
      <c r="F4894" s="22">
        <f ca="1">IFERROR(__xludf.DUMMYFUNCTION("""COMPUTED_VALUE"""),500000)</f>
        <v>500000</v>
      </c>
      <c r="G4894" s="22">
        <f ca="1">IFERROR(__xludf.DUMMYFUNCTION("""COMPUTED_VALUE"""),0)</f>
        <v>0</v>
      </c>
      <c r="H4894" s="7">
        <f ca="1">IFERROR(__xludf.DUMMYFUNCTION("""COMPUTED_VALUE"""),500000)</f>
        <v>500000</v>
      </c>
    </row>
    <row r="4895" spans="1:8" ht="13" x14ac:dyDescent="0.15">
      <c r="A4895" s="5" t="str">
        <f ca="1">IFERROR(__xludf.DUMMYFUNCTION("""COMPUTED_VALUE"""),"83314")</f>
        <v>83314</v>
      </c>
      <c r="B4895" s="51">
        <f ca="1">IFERROR(__xludf.DUMMYFUNCTION("""COMPUTED_VALUE"""),44612)</f>
        <v>44612</v>
      </c>
      <c r="C4895" s="22">
        <f ca="1">IFERROR(__xludf.DUMMYFUNCTION("""COMPUTED_VALUE"""),500000)</f>
        <v>500000</v>
      </c>
      <c r="D4895" s="22">
        <f ca="1">IFERROR(__xludf.DUMMYFUNCTION("""COMPUTED_VALUE"""),0)</f>
        <v>0</v>
      </c>
      <c r="E4895" s="22">
        <f ca="1">IFERROR(__xludf.DUMMYFUNCTION("""COMPUTED_VALUE"""),500000)</f>
        <v>500000</v>
      </c>
      <c r="F4895" s="22">
        <f ca="1">IFERROR(__xludf.DUMMYFUNCTION("""COMPUTED_VALUE"""),500000)</f>
        <v>500000</v>
      </c>
      <c r="G4895" s="22">
        <f ca="1">IFERROR(__xludf.DUMMYFUNCTION("""COMPUTED_VALUE"""),0)</f>
        <v>0</v>
      </c>
      <c r="H4895" s="7">
        <f ca="1">IFERROR(__xludf.DUMMYFUNCTION("""COMPUTED_VALUE"""),500000)</f>
        <v>500000</v>
      </c>
    </row>
    <row r="4896" spans="1:8" ht="13" x14ac:dyDescent="0.15">
      <c r="A4896" s="5" t="str">
        <f ca="1">IFERROR(__xludf.DUMMYFUNCTION("""COMPUTED_VALUE"""),"83314")</f>
        <v>83314</v>
      </c>
      <c r="B4896" s="51">
        <f ca="1">IFERROR(__xludf.DUMMYFUNCTION("""COMPUTED_VALUE"""),44613)</f>
        <v>44613</v>
      </c>
      <c r="C4896" s="22">
        <f ca="1">IFERROR(__xludf.DUMMYFUNCTION("""COMPUTED_VALUE"""),500000)</f>
        <v>500000</v>
      </c>
      <c r="D4896" s="22">
        <f ca="1">IFERROR(__xludf.DUMMYFUNCTION("""COMPUTED_VALUE"""),0)</f>
        <v>0</v>
      </c>
      <c r="E4896" s="22">
        <f ca="1">IFERROR(__xludf.DUMMYFUNCTION("""COMPUTED_VALUE"""),500000)</f>
        <v>500000</v>
      </c>
      <c r="F4896" s="22">
        <f ca="1">IFERROR(__xludf.DUMMYFUNCTION("""COMPUTED_VALUE"""),500000)</f>
        <v>500000</v>
      </c>
      <c r="G4896" s="22">
        <f ca="1">IFERROR(__xludf.DUMMYFUNCTION("""COMPUTED_VALUE"""),0)</f>
        <v>0</v>
      </c>
      <c r="H4896" s="7">
        <f ca="1">IFERROR(__xludf.DUMMYFUNCTION("""COMPUTED_VALUE"""),500000)</f>
        <v>500000</v>
      </c>
    </row>
    <row r="4897" spans="1:8" ht="13" x14ac:dyDescent="0.15">
      <c r="A4897" s="5" t="str">
        <f ca="1">IFERROR(__xludf.DUMMYFUNCTION("""COMPUTED_VALUE"""),"83314")</f>
        <v>83314</v>
      </c>
      <c r="B4897" s="51">
        <f ca="1">IFERROR(__xludf.DUMMYFUNCTION("""COMPUTED_VALUE"""),44614)</f>
        <v>44614</v>
      </c>
      <c r="C4897" s="22">
        <f ca="1">IFERROR(__xludf.DUMMYFUNCTION("""COMPUTED_VALUE"""),500000)</f>
        <v>500000</v>
      </c>
      <c r="D4897" s="22">
        <f ca="1">IFERROR(__xludf.DUMMYFUNCTION("""COMPUTED_VALUE"""),0)</f>
        <v>0</v>
      </c>
      <c r="E4897" s="22">
        <f ca="1">IFERROR(__xludf.DUMMYFUNCTION("""COMPUTED_VALUE"""),500000)</f>
        <v>500000</v>
      </c>
      <c r="F4897" s="22">
        <f ca="1">IFERROR(__xludf.DUMMYFUNCTION("""COMPUTED_VALUE"""),500000)</f>
        <v>500000</v>
      </c>
      <c r="G4897" s="22">
        <f ca="1">IFERROR(__xludf.DUMMYFUNCTION("""COMPUTED_VALUE"""),0)</f>
        <v>0</v>
      </c>
      <c r="H4897" s="7">
        <f ca="1">IFERROR(__xludf.DUMMYFUNCTION("""COMPUTED_VALUE"""),500000)</f>
        <v>500000</v>
      </c>
    </row>
    <row r="4898" spans="1:8" ht="13" x14ac:dyDescent="0.15">
      <c r="A4898" s="5" t="str">
        <f ca="1">IFERROR(__xludf.DUMMYFUNCTION("""COMPUTED_VALUE"""),"83314")</f>
        <v>83314</v>
      </c>
      <c r="B4898" s="51">
        <f ca="1">IFERROR(__xludf.DUMMYFUNCTION("""COMPUTED_VALUE"""),44615)</f>
        <v>44615</v>
      </c>
      <c r="C4898" s="22">
        <f ca="1">IFERROR(__xludf.DUMMYFUNCTION("""COMPUTED_VALUE"""),500000)</f>
        <v>500000</v>
      </c>
      <c r="D4898" s="22">
        <f ca="1">IFERROR(__xludf.DUMMYFUNCTION("""COMPUTED_VALUE"""),0)</f>
        <v>0</v>
      </c>
      <c r="E4898" s="22">
        <f ca="1">IFERROR(__xludf.DUMMYFUNCTION("""COMPUTED_VALUE"""),500000)</f>
        <v>500000</v>
      </c>
      <c r="F4898" s="22">
        <f ca="1">IFERROR(__xludf.DUMMYFUNCTION("""COMPUTED_VALUE"""),500000)</f>
        <v>500000</v>
      </c>
      <c r="G4898" s="22">
        <f ca="1">IFERROR(__xludf.DUMMYFUNCTION("""COMPUTED_VALUE"""),0)</f>
        <v>0</v>
      </c>
      <c r="H4898" s="7">
        <f ca="1">IFERROR(__xludf.DUMMYFUNCTION("""COMPUTED_VALUE"""),500000)</f>
        <v>500000</v>
      </c>
    </row>
    <row r="4899" spans="1:8" ht="13" x14ac:dyDescent="0.15">
      <c r="A4899" s="5" t="str">
        <f ca="1">IFERROR(__xludf.DUMMYFUNCTION("""COMPUTED_VALUE"""),"83314")</f>
        <v>83314</v>
      </c>
      <c r="B4899" s="51">
        <f ca="1">IFERROR(__xludf.DUMMYFUNCTION("""COMPUTED_VALUE"""),44616)</f>
        <v>44616</v>
      </c>
      <c r="C4899" s="22">
        <f ca="1">IFERROR(__xludf.DUMMYFUNCTION("""COMPUTED_VALUE"""),500000)</f>
        <v>500000</v>
      </c>
      <c r="D4899" s="22">
        <f ca="1">IFERROR(__xludf.DUMMYFUNCTION("""COMPUTED_VALUE"""),0)</f>
        <v>0</v>
      </c>
      <c r="E4899" s="22">
        <f ca="1">IFERROR(__xludf.DUMMYFUNCTION("""COMPUTED_VALUE"""),500000)</f>
        <v>500000</v>
      </c>
      <c r="F4899" s="22">
        <f ca="1">IFERROR(__xludf.DUMMYFUNCTION("""COMPUTED_VALUE"""),500000)</f>
        <v>500000</v>
      </c>
      <c r="G4899" s="22">
        <f ca="1">IFERROR(__xludf.DUMMYFUNCTION("""COMPUTED_VALUE"""),0)</f>
        <v>0</v>
      </c>
      <c r="H4899" s="7">
        <f ca="1">IFERROR(__xludf.DUMMYFUNCTION("""COMPUTED_VALUE"""),500000)</f>
        <v>500000</v>
      </c>
    </row>
    <row r="4900" spans="1:8" ht="13" x14ac:dyDescent="0.15">
      <c r="A4900" s="5" t="str">
        <f ca="1">IFERROR(__xludf.DUMMYFUNCTION("""COMPUTED_VALUE"""),"83314")</f>
        <v>83314</v>
      </c>
      <c r="B4900" s="51">
        <f ca="1">IFERROR(__xludf.DUMMYFUNCTION("""COMPUTED_VALUE"""),44617)</f>
        <v>44617</v>
      </c>
      <c r="C4900" s="22">
        <f ca="1">IFERROR(__xludf.DUMMYFUNCTION("""COMPUTED_VALUE"""),500000)</f>
        <v>500000</v>
      </c>
      <c r="D4900" s="22">
        <f ca="1">IFERROR(__xludf.DUMMYFUNCTION("""COMPUTED_VALUE"""),0)</f>
        <v>0</v>
      </c>
      <c r="E4900" s="22">
        <f ca="1">IFERROR(__xludf.DUMMYFUNCTION("""COMPUTED_VALUE"""),500000)</f>
        <v>500000</v>
      </c>
      <c r="F4900" s="22">
        <f ca="1">IFERROR(__xludf.DUMMYFUNCTION("""COMPUTED_VALUE"""),500000)</f>
        <v>500000</v>
      </c>
      <c r="G4900" s="22">
        <f ca="1">IFERROR(__xludf.DUMMYFUNCTION("""COMPUTED_VALUE"""),0)</f>
        <v>0</v>
      </c>
      <c r="H4900" s="7">
        <f ca="1">IFERROR(__xludf.DUMMYFUNCTION("""COMPUTED_VALUE"""),500000)</f>
        <v>500000</v>
      </c>
    </row>
    <row r="4901" spans="1:8" ht="13" x14ac:dyDescent="0.15">
      <c r="A4901" s="5" t="str">
        <f ca="1">IFERROR(__xludf.DUMMYFUNCTION("""COMPUTED_VALUE"""),"83314")</f>
        <v>83314</v>
      </c>
      <c r="B4901" s="51">
        <f ca="1">IFERROR(__xludf.DUMMYFUNCTION("""COMPUTED_VALUE"""),44618)</f>
        <v>44618</v>
      </c>
      <c r="C4901" s="22">
        <f ca="1">IFERROR(__xludf.DUMMYFUNCTION("""COMPUTED_VALUE"""),500000)</f>
        <v>500000</v>
      </c>
      <c r="D4901" s="22">
        <f ca="1">IFERROR(__xludf.DUMMYFUNCTION("""COMPUTED_VALUE"""),0)</f>
        <v>0</v>
      </c>
      <c r="E4901" s="22">
        <f ca="1">IFERROR(__xludf.DUMMYFUNCTION("""COMPUTED_VALUE"""),500000)</f>
        <v>500000</v>
      </c>
      <c r="F4901" s="22">
        <f ca="1">IFERROR(__xludf.DUMMYFUNCTION("""COMPUTED_VALUE"""),500000)</f>
        <v>500000</v>
      </c>
      <c r="G4901" s="22">
        <f ca="1">IFERROR(__xludf.DUMMYFUNCTION("""COMPUTED_VALUE"""),0)</f>
        <v>0</v>
      </c>
      <c r="H4901" s="7">
        <f ca="1">IFERROR(__xludf.DUMMYFUNCTION("""COMPUTED_VALUE"""),500000)</f>
        <v>500000</v>
      </c>
    </row>
    <row r="4902" spans="1:8" ht="13" x14ac:dyDescent="0.15">
      <c r="A4902" s="5" t="str">
        <f ca="1">IFERROR(__xludf.DUMMYFUNCTION("""COMPUTED_VALUE"""),"83314")</f>
        <v>83314</v>
      </c>
      <c r="B4902" s="51">
        <f ca="1">IFERROR(__xludf.DUMMYFUNCTION("""COMPUTED_VALUE"""),44619)</f>
        <v>44619</v>
      </c>
      <c r="C4902" s="22">
        <f ca="1">IFERROR(__xludf.DUMMYFUNCTION("""COMPUTED_VALUE"""),500000)</f>
        <v>500000</v>
      </c>
      <c r="D4902" s="22">
        <f ca="1">IFERROR(__xludf.DUMMYFUNCTION("""COMPUTED_VALUE"""),0)</f>
        <v>0</v>
      </c>
      <c r="E4902" s="22">
        <f ca="1">IFERROR(__xludf.DUMMYFUNCTION("""COMPUTED_VALUE"""),500000)</f>
        <v>500000</v>
      </c>
      <c r="F4902" s="22">
        <f ca="1">IFERROR(__xludf.DUMMYFUNCTION("""COMPUTED_VALUE"""),500000)</f>
        <v>500000</v>
      </c>
      <c r="G4902" s="22">
        <f ca="1">IFERROR(__xludf.DUMMYFUNCTION("""COMPUTED_VALUE"""),0)</f>
        <v>0</v>
      </c>
      <c r="H4902" s="7">
        <f ca="1">IFERROR(__xludf.DUMMYFUNCTION("""COMPUTED_VALUE"""),500000)</f>
        <v>500000</v>
      </c>
    </row>
    <row r="4903" spans="1:8" ht="13" x14ac:dyDescent="0.15">
      <c r="A4903" s="5" t="str">
        <f ca="1">IFERROR(__xludf.DUMMYFUNCTION("""COMPUTED_VALUE"""),"83314")</f>
        <v>83314</v>
      </c>
      <c r="B4903" s="51">
        <f ca="1">IFERROR(__xludf.DUMMYFUNCTION("""COMPUTED_VALUE"""),44620)</f>
        <v>44620</v>
      </c>
      <c r="C4903" s="22">
        <f ca="1">IFERROR(__xludf.DUMMYFUNCTION("""COMPUTED_VALUE"""),500000)</f>
        <v>500000</v>
      </c>
      <c r="D4903" s="22">
        <f ca="1">IFERROR(__xludf.DUMMYFUNCTION("""COMPUTED_VALUE"""),0)</f>
        <v>0</v>
      </c>
      <c r="E4903" s="22">
        <f ca="1">IFERROR(__xludf.DUMMYFUNCTION("""COMPUTED_VALUE"""),500000)</f>
        <v>500000</v>
      </c>
      <c r="F4903" s="22">
        <f ca="1">IFERROR(__xludf.DUMMYFUNCTION("""COMPUTED_VALUE"""),500000)</f>
        <v>500000</v>
      </c>
      <c r="G4903" s="22">
        <f ca="1">IFERROR(__xludf.DUMMYFUNCTION("""COMPUTED_VALUE"""),0)</f>
        <v>0</v>
      </c>
      <c r="H4903" s="7">
        <f ca="1">IFERROR(__xludf.DUMMYFUNCTION("""COMPUTED_VALUE"""),500000)</f>
        <v>500000</v>
      </c>
    </row>
    <row r="4904" spans="1:8" ht="13" x14ac:dyDescent="0.15">
      <c r="A4904" s="5" t="str">
        <f ca="1">IFERROR(__xludf.DUMMYFUNCTION("""COMPUTED_VALUE"""),"83314")</f>
        <v>83314</v>
      </c>
      <c r="B4904" s="51">
        <f ca="1">IFERROR(__xludf.DUMMYFUNCTION("""COMPUTED_VALUE"""),44621)</f>
        <v>44621</v>
      </c>
      <c r="C4904" s="22">
        <f ca="1">IFERROR(__xludf.DUMMYFUNCTION("""COMPUTED_VALUE"""),500000)</f>
        <v>500000</v>
      </c>
      <c r="D4904" s="22">
        <f ca="1">IFERROR(__xludf.DUMMYFUNCTION("""COMPUTED_VALUE"""),0)</f>
        <v>0</v>
      </c>
      <c r="E4904" s="22">
        <f ca="1">IFERROR(__xludf.DUMMYFUNCTION("""COMPUTED_VALUE"""),500000)</f>
        <v>500000</v>
      </c>
      <c r="F4904" s="22">
        <f ca="1">IFERROR(__xludf.DUMMYFUNCTION("""COMPUTED_VALUE"""),500000)</f>
        <v>500000</v>
      </c>
      <c r="G4904" s="22">
        <f ca="1">IFERROR(__xludf.DUMMYFUNCTION("""COMPUTED_VALUE"""),0)</f>
        <v>0</v>
      </c>
      <c r="H4904" s="7">
        <f ca="1">IFERROR(__xludf.DUMMYFUNCTION("""COMPUTED_VALUE"""),500000)</f>
        <v>500000</v>
      </c>
    </row>
    <row r="4905" spans="1:8" ht="13" x14ac:dyDescent="0.15">
      <c r="A4905" s="5" t="str">
        <f ca="1">IFERROR(__xludf.DUMMYFUNCTION("""COMPUTED_VALUE"""),"83314")</f>
        <v>83314</v>
      </c>
      <c r="B4905" s="51">
        <f ca="1">IFERROR(__xludf.DUMMYFUNCTION("""COMPUTED_VALUE"""),44622)</f>
        <v>44622</v>
      </c>
      <c r="C4905" s="22">
        <f ca="1">IFERROR(__xludf.DUMMYFUNCTION("""COMPUTED_VALUE"""),500000)</f>
        <v>500000</v>
      </c>
      <c r="D4905" s="22">
        <f ca="1">IFERROR(__xludf.DUMMYFUNCTION("""COMPUTED_VALUE"""),0)</f>
        <v>0</v>
      </c>
      <c r="E4905" s="22">
        <f ca="1">IFERROR(__xludf.DUMMYFUNCTION("""COMPUTED_VALUE"""),500000)</f>
        <v>500000</v>
      </c>
      <c r="F4905" s="22">
        <f ca="1">IFERROR(__xludf.DUMMYFUNCTION("""COMPUTED_VALUE"""),500000)</f>
        <v>500000</v>
      </c>
      <c r="G4905" s="22">
        <f ca="1">IFERROR(__xludf.DUMMYFUNCTION("""COMPUTED_VALUE"""),0)</f>
        <v>0</v>
      </c>
      <c r="H4905" s="7">
        <f ca="1">IFERROR(__xludf.DUMMYFUNCTION("""COMPUTED_VALUE"""),500000)</f>
        <v>500000</v>
      </c>
    </row>
    <row r="4906" spans="1:8" ht="13" x14ac:dyDescent="0.15">
      <c r="A4906" s="5" t="str">
        <f ca="1">IFERROR(__xludf.DUMMYFUNCTION("""COMPUTED_VALUE"""),"83314")</f>
        <v>83314</v>
      </c>
      <c r="B4906" s="51">
        <f ca="1">IFERROR(__xludf.DUMMYFUNCTION("""COMPUTED_VALUE"""),44623)</f>
        <v>44623</v>
      </c>
      <c r="C4906" s="22">
        <f ca="1">IFERROR(__xludf.DUMMYFUNCTION("""COMPUTED_VALUE"""),500000)</f>
        <v>500000</v>
      </c>
      <c r="D4906" s="22">
        <f ca="1">IFERROR(__xludf.DUMMYFUNCTION("""COMPUTED_VALUE"""),0)</f>
        <v>0</v>
      </c>
      <c r="E4906" s="22">
        <f ca="1">IFERROR(__xludf.DUMMYFUNCTION("""COMPUTED_VALUE"""),500000)</f>
        <v>500000</v>
      </c>
      <c r="F4906" s="22">
        <f ca="1">IFERROR(__xludf.DUMMYFUNCTION("""COMPUTED_VALUE"""),500000)</f>
        <v>500000</v>
      </c>
      <c r="G4906" s="22">
        <f ca="1">IFERROR(__xludf.DUMMYFUNCTION("""COMPUTED_VALUE"""),0)</f>
        <v>0</v>
      </c>
      <c r="H4906" s="7">
        <f ca="1">IFERROR(__xludf.DUMMYFUNCTION("""COMPUTED_VALUE"""),500000)</f>
        <v>500000</v>
      </c>
    </row>
    <row r="4907" spans="1:8" ht="13" x14ac:dyDescent="0.15">
      <c r="A4907" s="5" t="str">
        <f ca="1">IFERROR(__xludf.DUMMYFUNCTION("""COMPUTED_VALUE"""),"83314")</f>
        <v>83314</v>
      </c>
      <c r="B4907" s="51">
        <f ca="1">IFERROR(__xludf.DUMMYFUNCTION("""COMPUTED_VALUE"""),44624)</f>
        <v>44624</v>
      </c>
      <c r="C4907" s="22">
        <f ca="1">IFERROR(__xludf.DUMMYFUNCTION("""COMPUTED_VALUE"""),500000)</f>
        <v>500000</v>
      </c>
      <c r="D4907" s="22">
        <f ca="1">IFERROR(__xludf.DUMMYFUNCTION("""COMPUTED_VALUE"""),0)</f>
        <v>0</v>
      </c>
      <c r="E4907" s="22">
        <f ca="1">IFERROR(__xludf.DUMMYFUNCTION("""COMPUTED_VALUE"""),500000)</f>
        <v>500000</v>
      </c>
      <c r="F4907" s="22">
        <f ca="1">IFERROR(__xludf.DUMMYFUNCTION("""COMPUTED_VALUE"""),500000)</f>
        <v>500000</v>
      </c>
      <c r="G4907" s="22">
        <f ca="1">IFERROR(__xludf.DUMMYFUNCTION("""COMPUTED_VALUE"""),0)</f>
        <v>0</v>
      </c>
      <c r="H4907" s="7">
        <f ca="1">IFERROR(__xludf.DUMMYFUNCTION("""COMPUTED_VALUE"""),500000)</f>
        <v>500000</v>
      </c>
    </row>
    <row r="4908" spans="1:8" ht="13" x14ac:dyDescent="0.15">
      <c r="A4908" s="5" t="str">
        <f ca="1">IFERROR(__xludf.DUMMYFUNCTION("""COMPUTED_VALUE"""),"83314")</f>
        <v>83314</v>
      </c>
      <c r="B4908" s="51">
        <f ca="1">IFERROR(__xludf.DUMMYFUNCTION("""COMPUTED_VALUE"""),44625)</f>
        <v>44625</v>
      </c>
      <c r="C4908" s="22">
        <f ca="1">IFERROR(__xludf.DUMMYFUNCTION("""COMPUTED_VALUE"""),500000)</f>
        <v>500000</v>
      </c>
      <c r="D4908" s="22">
        <f ca="1">IFERROR(__xludf.DUMMYFUNCTION("""COMPUTED_VALUE"""),0)</f>
        <v>0</v>
      </c>
      <c r="E4908" s="22">
        <f ca="1">IFERROR(__xludf.DUMMYFUNCTION("""COMPUTED_VALUE"""),500000)</f>
        <v>500000</v>
      </c>
      <c r="F4908" s="22">
        <f ca="1">IFERROR(__xludf.DUMMYFUNCTION("""COMPUTED_VALUE"""),500000)</f>
        <v>500000</v>
      </c>
      <c r="G4908" s="22">
        <f ca="1">IFERROR(__xludf.DUMMYFUNCTION("""COMPUTED_VALUE"""),0)</f>
        <v>0</v>
      </c>
      <c r="H4908" s="7">
        <f ca="1">IFERROR(__xludf.DUMMYFUNCTION("""COMPUTED_VALUE"""),500000)</f>
        <v>500000</v>
      </c>
    </row>
    <row r="4909" spans="1:8" ht="13" x14ac:dyDescent="0.15">
      <c r="A4909" s="5" t="str">
        <f ca="1">IFERROR(__xludf.DUMMYFUNCTION("""COMPUTED_VALUE"""),"83314")</f>
        <v>83314</v>
      </c>
      <c r="B4909" s="51">
        <f ca="1">IFERROR(__xludf.DUMMYFUNCTION("""COMPUTED_VALUE"""),44626)</f>
        <v>44626</v>
      </c>
      <c r="C4909" s="22">
        <f ca="1">IFERROR(__xludf.DUMMYFUNCTION("""COMPUTED_VALUE"""),500000)</f>
        <v>500000</v>
      </c>
      <c r="D4909" s="22">
        <f ca="1">IFERROR(__xludf.DUMMYFUNCTION("""COMPUTED_VALUE"""),0)</f>
        <v>0</v>
      </c>
      <c r="E4909" s="22">
        <f ca="1">IFERROR(__xludf.DUMMYFUNCTION("""COMPUTED_VALUE"""),500000)</f>
        <v>500000</v>
      </c>
      <c r="F4909" s="22">
        <f ca="1">IFERROR(__xludf.DUMMYFUNCTION("""COMPUTED_VALUE"""),500000)</f>
        <v>500000</v>
      </c>
      <c r="G4909" s="22">
        <f ca="1">IFERROR(__xludf.DUMMYFUNCTION("""COMPUTED_VALUE"""),0)</f>
        <v>0</v>
      </c>
      <c r="H4909" s="7">
        <f ca="1">IFERROR(__xludf.DUMMYFUNCTION("""COMPUTED_VALUE"""),500000)</f>
        <v>500000</v>
      </c>
    </row>
    <row r="4910" spans="1:8" ht="13" x14ac:dyDescent="0.15">
      <c r="A4910" s="5" t="str">
        <f ca="1">IFERROR(__xludf.DUMMYFUNCTION("""COMPUTED_VALUE"""),"83314")</f>
        <v>83314</v>
      </c>
      <c r="B4910" s="51">
        <f ca="1">IFERROR(__xludf.DUMMYFUNCTION("""COMPUTED_VALUE"""),44627)</f>
        <v>44627</v>
      </c>
      <c r="C4910" s="22">
        <f ca="1">IFERROR(__xludf.DUMMYFUNCTION("""COMPUTED_VALUE"""),500000)</f>
        <v>500000</v>
      </c>
      <c r="D4910" s="22">
        <f ca="1">IFERROR(__xludf.DUMMYFUNCTION("""COMPUTED_VALUE"""),0)</f>
        <v>0</v>
      </c>
      <c r="E4910" s="22">
        <f ca="1">IFERROR(__xludf.DUMMYFUNCTION("""COMPUTED_VALUE"""),500000)</f>
        <v>500000</v>
      </c>
      <c r="F4910" s="22">
        <f ca="1">IFERROR(__xludf.DUMMYFUNCTION("""COMPUTED_VALUE"""),500000)</f>
        <v>500000</v>
      </c>
      <c r="G4910" s="22">
        <f ca="1">IFERROR(__xludf.DUMMYFUNCTION("""COMPUTED_VALUE"""),0)</f>
        <v>0</v>
      </c>
      <c r="H4910" s="7">
        <f ca="1">IFERROR(__xludf.DUMMYFUNCTION("""COMPUTED_VALUE"""),500000)</f>
        <v>500000</v>
      </c>
    </row>
    <row r="4911" spans="1:8" ht="13" x14ac:dyDescent="0.15">
      <c r="A4911" s="5" t="str">
        <f ca="1">IFERROR(__xludf.DUMMYFUNCTION("""COMPUTED_VALUE"""),"83314")</f>
        <v>83314</v>
      </c>
      <c r="B4911" s="51">
        <f ca="1">IFERROR(__xludf.DUMMYFUNCTION("""COMPUTED_VALUE"""),44628)</f>
        <v>44628</v>
      </c>
      <c r="C4911" s="22">
        <f ca="1">IFERROR(__xludf.DUMMYFUNCTION("""COMPUTED_VALUE"""),500000)</f>
        <v>500000</v>
      </c>
      <c r="D4911" s="22">
        <f ca="1">IFERROR(__xludf.DUMMYFUNCTION("""COMPUTED_VALUE"""),0)</f>
        <v>0</v>
      </c>
      <c r="E4911" s="22">
        <f ca="1">IFERROR(__xludf.DUMMYFUNCTION("""COMPUTED_VALUE"""),500000)</f>
        <v>500000</v>
      </c>
      <c r="F4911" s="22">
        <f ca="1">IFERROR(__xludf.DUMMYFUNCTION("""COMPUTED_VALUE"""),500000)</f>
        <v>500000</v>
      </c>
      <c r="G4911" s="22">
        <f ca="1">IFERROR(__xludf.DUMMYFUNCTION("""COMPUTED_VALUE"""),0)</f>
        <v>0</v>
      </c>
      <c r="H4911" s="7">
        <f ca="1">IFERROR(__xludf.DUMMYFUNCTION("""COMPUTED_VALUE"""),500000)</f>
        <v>500000</v>
      </c>
    </row>
    <row r="4912" spans="1:8" ht="13" x14ac:dyDescent="0.15">
      <c r="A4912" s="5" t="str">
        <f ca="1">IFERROR(__xludf.DUMMYFUNCTION("""COMPUTED_VALUE"""),"83314")</f>
        <v>83314</v>
      </c>
      <c r="B4912" s="51">
        <f ca="1">IFERROR(__xludf.DUMMYFUNCTION("""COMPUTED_VALUE"""),44629)</f>
        <v>44629</v>
      </c>
      <c r="C4912" s="22">
        <f ca="1">IFERROR(__xludf.DUMMYFUNCTION("""COMPUTED_VALUE"""),500000)</f>
        <v>500000</v>
      </c>
      <c r="D4912" s="22">
        <f ca="1">IFERROR(__xludf.DUMMYFUNCTION("""COMPUTED_VALUE"""),0)</f>
        <v>0</v>
      </c>
      <c r="E4912" s="22">
        <f ca="1">IFERROR(__xludf.DUMMYFUNCTION("""COMPUTED_VALUE"""),500000)</f>
        <v>500000</v>
      </c>
      <c r="F4912" s="22">
        <f ca="1">IFERROR(__xludf.DUMMYFUNCTION("""COMPUTED_VALUE"""),500000)</f>
        <v>500000</v>
      </c>
      <c r="G4912" s="22">
        <f ca="1">IFERROR(__xludf.DUMMYFUNCTION("""COMPUTED_VALUE"""),0)</f>
        <v>0</v>
      </c>
      <c r="H4912" s="7">
        <f ca="1">IFERROR(__xludf.DUMMYFUNCTION("""COMPUTED_VALUE"""),500000)</f>
        <v>500000</v>
      </c>
    </row>
    <row r="4913" spans="1:8" ht="13" x14ac:dyDescent="0.15">
      <c r="A4913" s="5" t="str">
        <f ca="1">IFERROR(__xludf.DUMMYFUNCTION("""COMPUTED_VALUE"""),"83314")</f>
        <v>83314</v>
      </c>
      <c r="B4913" s="51">
        <f ca="1">IFERROR(__xludf.DUMMYFUNCTION("""COMPUTED_VALUE"""),44630)</f>
        <v>44630</v>
      </c>
      <c r="C4913" s="22">
        <f ca="1">IFERROR(__xludf.DUMMYFUNCTION("""COMPUTED_VALUE"""),500000)</f>
        <v>500000</v>
      </c>
      <c r="D4913" s="22">
        <f ca="1">IFERROR(__xludf.DUMMYFUNCTION("""COMPUTED_VALUE"""),0)</f>
        <v>0</v>
      </c>
      <c r="E4913" s="22">
        <f ca="1">IFERROR(__xludf.DUMMYFUNCTION("""COMPUTED_VALUE"""),500000)</f>
        <v>500000</v>
      </c>
      <c r="F4913" s="22">
        <f ca="1">IFERROR(__xludf.DUMMYFUNCTION("""COMPUTED_VALUE"""),500000)</f>
        <v>500000</v>
      </c>
      <c r="G4913" s="22">
        <f ca="1">IFERROR(__xludf.DUMMYFUNCTION("""COMPUTED_VALUE"""),0)</f>
        <v>0</v>
      </c>
      <c r="H4913" s="7">
        <f ca="1">IFERROR(__xludf.DUMMYFUNCTION("""COMPUTED_VALUE"""),500000)</f>
        <v>500000</v>
      </c>
    </row>
    <row r="4914" spans="1:8" ht="13" x14ac:dyDescent="0.15">
      <c r="A4914" s="5" t="str">
        <f ca="1">IFERROR(__xludf.DUMMYFUNCTION("""COMPUTED_VALUE"""),"83314")</f>
        <v>83314</v>
      </c>
      <c r="B4914" s="51">
        <f ca="1">IFERROR(__xludf.DUMMYFUNCTION("""COMPUTED_VALUE"""),44631)</f>
        <v>44631</v>
      </c>
      <c r="C4914" s="22">
        <f ca="1">IFERROR(__xludf.DUMMYFUNCTION("""COMPUTED_VALUE"""),500000)</f>
        <v>500000</v>
      </c>
      <c r="D4914" s="22">
        <f ca="1">IFERROR(__xludf.DUMMYFUNCTION("""COMPUTED_VALUE"""),0)</f>
        <v>0</v>
      </c>
      <c r="E4914" s="22">
        <f ca="1">IFERROR(__xludf.DUMMYFUNCTION("""COMPUTED_VALUE"""),500000)</f>
        <v>500000</v>
      </c>
      <c r="F4914" s="22">
        <f ca="1">IFERROR(__xludf.DUMMYFUNCTION("""COMPUTED_VALUE"""),500000)</f>
        <v>500000</v>
      </c>
      <c r="G4914" s="22">
        <f ca="1">IFERROR(__xludf.DUMMYFUNCTION("""COMPUTED_VALUE"""),0)</f>
        <v>0</v>
      </c>
      <c r="H4914" s="7">
        <f ca="1">IFERROR(__xludf.DUMMYFUNCTION("""COMPUTED_VALUE"""),500000)</f>
        <v>500000</v>
      </c>
    </row>
    <row r="4915" spans="1:8" ht="13" x14ac:dyDescent="0.15">
      <c r="A4915" s="5" t="str">
        <f ca="1">IFERROR(__xludf.DUMMYFUNCTION("""COMPUTED_VALUE"""),"83314")</f>
        <v>83314</v>
      </c>
      <c r="B4915" s="51">
        <f ca="1">IFERROR(__xludf.DUMMYFUNCTION("""COMPUTED_VALUE"""),44632)</f>
        <v>44632</v>
      </c>
      <c r="C4915" s="22">
        <f ca="1">IFERROR(__xludf.DUMMYFUNCTION("""COMPUTED_VALUE"""),500000)</f>
        <v>500000</v>
      </c>
      <c r="D4915" s="22">
        <f ca="1">IFERROR(__xludf.DUMMYFUNCTION("""COMPUTED_VALUE"""),0)</f>
        <v>0</v>
      </c>
      <c r="E4915" s="22">
        <f ca="1">IFERROR(__xludf.DUMMYFUNCTION("""COMPUTED_VALUE"""),500000)</f>
        <v>500000</v>
      </c>
      <c r="F4915" s="22">
        <f ca="1">IFERROR(__xludf.DUMMYFUNCTION("""COMPUTED_VALUE"""),500000)</f>
        <v>500000</v>
      </c>
      <c r="G4915" s="22">
        <f ca="1">IFERROR(__xludf.DUMMYFUNCTION("""COMPUTED_VALUE"""),0)</f>
        <v>0</v>
      </c>
      <c r="H4915" s="7">
        <f ca="1">IFERROR(__xludf.DUMMYFUNCTION("""COMPUTED_VALUE"""),500000)</f>
        <v>500000</v>
      </c>
    </row>
    <row r="4916" spans="1:8" ht="13" x14ac:dyDescent="0.15">
      <c r="A4916" s="5" t="str">
        <f ca="1">IFERROR(__xludf.DUMMYFUNCTION("""COMPUTED_VALUE"""),"83314")</f>
        <v>83314</v>
      </c>
      <c r="B4916" s="51">
        <f ca="1">IFERROR(__xludf.DUMMYFUNCTION("""COMPUTED_VALUE"""),44633)</f>
        <v>44633</v>
      </c>
      <c r="C4916" s="22">
        <f ca="1">IFERROR(__xludf.DUMMYFUNCTION("""COMPUTED_VALUE"""),500000)</f>
        <v>500000</v>
      </c>
      <c r="D4916" s="22">
        <f ca="1">IFERROR(__xludf.DUMMYFUNCTION("""COMPUTED_VALUE"""),0)</f>
        <v>0</v>
      </c>
      <c r="E4916" s="22">
        <f ca="1">IFERROR(__xludf.DUMMYFUNCTION("""COMPUTED_VALUE"""),500000)</f>
        <v>500000</v>
      </c>
      <c r="F4916" s="22">
        <f ca="1">IFERROR(__xludf.DUMMYFUNCTION("""COMPUTED_VALUE"""),500000)</f>
        <v>500000</v>
      </c>
      <c r="G4916" s="22">
        <f ca="1">IFERROR(__xludf.DUMMYFUNCTION("""COMPUTED_VALUE"""),0)</f>
        <v>0</v>
      </c>
      <c r="H4916" s="7">
        <f ca="1">IFERROR(__xludf.DUMMYFUNCTION("""COMPUTED_VALUE"""),500000)</f>
        <v>500000</v>
      </c>
    </row>
    <row r="4917" spans="1:8" ht="13" x14ac:dyDescent="0.15">
      <c r="A4917" s="5" t="str">
        <f ca="1">IFERROR(__xludf.DUMMYFUNCTION("""COMPUTED_VALUE"""),"83314")</f>
        <v>83314</v>
      </c>
      <c r="B4917" s="51">
        <f ca="1">IFERROR(__xludf.DUMMYFUNCTION("""COMPUTED_VALUE"""),44634)</f>
        <v>44634</v>
      </c>
      <c r="C4917" s="22">
        <f ca="1">IFERROR(__xludf.DUMMYFUNCTION("""COMPUTED_VALUE"""),500000)</f>
        <v>500000</v>
      </c>
      <c r="D4917" s="22">
        <f ca="1">IFERROR(__xludf.DUMMYFUNCTION("""COMPUTED_VALUE"""),0)</f>
        <v>0</v>
      </c>
      <c r="E4917" s="22">
        <f ca="1">IFERROR(__xludf.DUMMYFUNCTION("""COMPUTED_VALUE"""),500000)</f>
        <v>500000</v>
      </c>
      <c r="F4917" s="22">
        <f ca="1">IFERROR(__xludf.DUMMYFUNCTION("""COMPUTED_VALUE"""),500000)</f>
        <v>500000</v>
      </c>
      <c r="G4917" s="22">
        <f ca="1">IFERROR(__xludf.DUMMYFUNCTION("""COMPUTED_VALUE"""),0)</f>
        <v>0</v>
      </c>
      <c r="H4917" s="7">
        <f ca="1">IFERROR(__xludf.DUMMYFUNCTION("""COMPUTED_VALUE"""),500000)</f>
        <v>500000</v>
      </c>
    </row>
    <row r="4918" spans="1:8" ht="13" x14ac:dyDescent="0.15">
      <c r="A4918" s="5" t="str">
        <f ca="1">IFERROR(__xludf.DUMMYFUNCTION("""COMPUTED_VALUE"""),"83314")</f>
        <v>83314</v>
      </c>
      <c r="B4918" s="51">
        <f ca="1">IFERROR(__xludf.DUMMYFUNCTION("""COMPUTED_VALUE"""),44635)</f>
        <v>44635</v>
      </c>
      <c r="C4918" s="22">
        <f ca="1">IFERROR(__xludf.DUMMYFUNCTION("""COMPUTED_VALUE"""),500000)</f>
        <v>500000</v>
      </c>
      <c r="D4918" s="22">
        <f ca="1">IFERROR(__xludf.DUMMYFUNCTION("""COMPUTED_VALUE"""),0)</f>
        <v>0</v>
      </c>
      <c r="E4918" s="22">
        <f ca="1">IFERROR(__xludf.DUMMYFUNCTION("""COMPUTED_VALUE"""),500000)</f>
        <v>500000</v>
      </c>
      <c r="F4918" s="22">
        <f ca="1">IFERROR(__xludf.DUMMYFUNCTION("""COMPUTED_VALUE"""),500000)</f>
        <v>500000</v>
      </c>
      <c r="G4918" s="22">
        <f ca="1">IFERROR(__xludf.DUMMYFUNCTION("""COMPUTED_VALUE"""),0)</f>
        <v>0</v>
      </c>
      <c r="H4918" s="7">
        <f ca="1">IFERROR(__xludf.DUMMYFUNCTION("""COMPUTED_VALUE"""),500000)</f>
        <v>500000</v>
      </c>
    </row>
    <row r="4919" spans="1:8" ht="13" x14ac:dyDescent="0.15">
      <c r="A4919" s="5" t="str">
        <f ca="1">IFERROR(__xludf.DUMMYFUNCTION("""COMPUTED_VALUE"""),"83314")</f>
        <v>83314</v>
      </c>
      <c r="B4919" s="51">
        <f ca="1">IFERROR(__xludf.DUMMYFUNCTION("""COMPUTED_VALUE"""),44636)</f>
        <v>44636</v>
      </c>
      <c r="C4919" s="22">
        <f ca="1">IFERROR(__xludf.DUMMYFUNCTION("""COMPUTED_VALUE"""),500000)</f>
        <v>500000</v>
      </c>
      <c r="D4919" s="22">
        <f ca="1">IFERROR(__xludf.DUMMYFUNCTION("""COMPUTED_VALUE"""),0)</f>
        <v>0</v>
      </c>
      <c r="E4919" s="22">
        <f ca="1">IFERROR(__xludf.DUMMYFUNCTION("""COMPUTED_VALUE"""),500000)</f>
        <v>500000</v>
      </c>
      <c r="F4919" s="22">
        <f ca="1">IFERROR(__xludf.DUMMYFUNCTION("""COMPUTED_VALUE"""),500000)</f>
        <v>500000</v>
      </c>
      <c r="G4919" s="22">
        <f ca="1">IFERROR(__xludf.DUMMYFUNCTION("""COMPUTED_VALUE"""),0)</f>
        <v>0</v>
      </c>
      <c r="H4919" s="7">
        <f ca="1">IFERROR(__xludf.DUMMYFUNCTION("""COMPUTED_VALUE"""),500000)</f>
        <v>500000</v>
      </c>
    </row>
    <row r="4920" spans="1:8" ht="13" x14ac:dyDescent="0.15">
      <c r="A4920" s="5" t="str">
        <f ca="1">IFERROR(__xludf.DUMMYFUNCTION("""COMPUTED_VALUE"""),"83314")</f>
        <v>83314</v>
      </c>
      <c r="B4920" s="51">
        <f ca="1">IFERROR(__xludf.DUMMYFUNCTION("""COMPUTED_VALUE"""),44637)</f>
        <v>44637</v>
      </c>
      <c r="C4920" s="22">
        <f ca="1">IFERROR(__xludf.DUMMYFUNCTION("""COMPUTED_VALUE"""),500000)</f>
        <v>500000</v>
      </c>
      <c r="D4920" s="22">
        <f ca="1">IFERROR(__xludf.DUMMYFUNCTION("""COMPUTED_VALUE"""),0)</f>
        <v>0</v>
      </c>
      <c r="E4920" s="22">
        <f ca="1">IFERROR(__xludf.DUMMYFUNCTION("""COMPUTED_VALUE"""),500000)</f>
        <v>500000</v>
      </c>
      <c r="F4920" s="22">
        <f ca="1">IFERROR(__xludf.DUMMYFUNCTION("""COMPUTED_VALUE"""),500000)</f>
        <v>500000</v>
      </c>
      <c r="G4920" s="22">
        <f ca="1">IFERROR(__xludf.DUMMYFUNCTION("""COMPUTED_VALUE"""),0)</f>
        <v>0</v>
      </c>
      <c r="H4920" s="7">
        <f ca="1">IFERROR(__xludf.DUMMYFUNCTION("""COMPUTED_VALUE"""),500000)</f>
        <v>500000</v>
      </c>
    </row>
    <row r="4921" spans="1:8" ht="13" x14ac:dyDescent="0.15">
      <c r="A4921" s="5" t="str">
        <f ca="1">IFERROR(__xludf.DUMMYFUNCTION("""COMPUTED_VALUE"""),"83314")</f>
        <v>83314</v>
      </c>
      <c r="B4921" s="51">
        <f ca="1">IFERROR(__xludf.DUMMYFUNCTION("""COMPUTED_VALUE"""),44638)</f>
        <v>44638</v>
      </c>
      <c r="C4921" s="22">
        <f ca="1">IFERROR(__xludf.DUMMYFUNCTION("""COMPUTED_VALUE"""),500000)</f>
        <v>500000</v>
      </c>
      <c r="D4921" s="22">
        <f ca="1">IFERROR(__xludf.DUMMYFUNCTION("""COMPUTED_VALUE"""),0)</f>
        <v>0</v>
      </c>
      <c r="E4921" s="22">
        <f ca="1">IFERROR(__xludf.DUMMYFUNCTION("""COMPUTED_VALUE"""),500000)</f>
        <v>500000</v>
      </c>
      <c r="F4921" s="22">
        <f ca="1">IFERROR(__xludf.DUMMYFUNCTION("""COMPUTED_VALUE"""),500000)</f>
        <v>500000</v>
      </c>
      <c r="G4921" s="22">
        <f ca="1">IFERROR(__xludf.DUMMYFUNCTION("""COMPUTED_VALUE"""),0)</f>
        <v>0</v>
      </c>
      <c r="H4921" s="7">
        <f ca="1">IFERROR(__xludf.DUMMYFUNCTION("""COMPUTED_VALUE"""),500000)</f>
        <v>500000</v>
      </c>
    </row>
    <row r="4922" spans="1:8" ht="13" x14ac:dyDescent="0.15">
      <c r="A4922" s="5" t="str">
        <f ca="1">IFERROR(__xludf.DUMMYFUNCTION("""COMPUTED_VALUE"""),"83314")</f>
        <v>83314</v>
      </c>
      <c r="B4922" s="51">
        <f ca="1">IFERROR(__xludf.DUMMYFUNCTION("""COMPUTED_VALUE"""),44639)</f>
        <v>44639</v>
      </c>
      <c r="C4922" s="22">
        <f ca="1">IFERROR(__xludf.DUMMYFUNCTION("""COMPUTED_VALUE"""),500000)</f>
        <v>500000</v>
      </c>
      <c r="D4922" s="22">
        <f ca="1">IFERROR(__xludf.DUMMYFUNCTION("""COMPUTED_VALUE"""),0)</f>
        <v>0</v>
      </c>
      <c r="E4922" s="22">
        <f ca="1">IFERROR(__xludf.DUMMYFUNCTION("""COMPUTED_VALUE"""),500000)</f>
        <v>500000</v>
      </c>
      <c r="F4922" s="22">
        <f ca="1">IFERROR(__xludf.DUMMYFUNCTION("""COMPUTED_VALUE"""),500000)</f>
        <v>500000</v>
      </c>
      <c r="G4922" s="22">
        <f ca="1">IFERROR(__xludf.DUMMYFUNCTION("""COMPUTED_VALUE"""),0)</f>
        <v>0</v>
      </c>
      <c r="H4922" s="7">
        <f ca="1">IFERROR(__xludf.DUMMYFUNCTION("""COMPUTED_VALUE"""),500000)</f>
        <v>500000</v>
      </c>
    </row>
    <row r="4923" spans="1:8" ht="13" x14ac:dyDescent="0.15">
      <c r="A4923" s="5" t="str">
        <f ca="1">IFERROR(__xludf.DUMMYFUNCTION("""COMPUTED_VALUE"""),"83314")</f>
        <v>83314</v>
      </c>
      <c r="B4923" s="51">
        <f ca="1">IFERROR(__xludf.DUMMYFUNCTION("""COMPUTED_VALUE"""),44640)</f>
        <v>44640</v>
      </c>
      <c r="C4923" s="22">
        <f ca="1">IFERROR(__xludf.DUMMYFUNCTION("""COMPUTED_VALUE"""),500000)</f>
        <v>500000</v>
      </c>
      <c r="D4923" s="22">
        <f ca="1">IFERROR(__xludf.DUMMYFUNCTION("""COMPUTED_VALUE"""),0)</f>
        <v>0</v>
      </c>
      <c r="E4923" s="22">
        <f ca="1">IFERROR(__xludf.DUMMYFUNCTION("""COMPUTED_VALUE"""),500000)</f>
        <v>500000</v>
      </c>
      <c r="F4923" s="22">
        <f ca="1">IFERROR(__xludf.DUMMYFUNCTION("""COMPUTED_VALUE"""),500000)</f>
        <v>500000</v>
      </c>
      <c r="G4923" s="22">
        <f ca="1">IFERROR(__xludf.DUMMYFUNCTION("""COMPUTED_VALUE"""),0)</f>
        <v>0</v>
      </c>
      <c r="H4923" s="7">
        <f ca="1">IFERROR(__xludf.DUMMYFUNCTION("""COMPUTED_VALUE"""),500000)</f>
        <v>500000</v>
      </c>
    </row>
    <row r="4924" spans="1:8" ht="13" x14ac:dyDescent="0.15">
      <c r="A4924" s="5" t="str">
        <f ca="1">IFERROR(__xludf.DUMMYFUNCTION("""COMPUTED_VALUE"""),"83314")</f>
        <v>83314</v>
      </c>
      <c r="B4924" s="51">
        <f ca="1">IFERROR(__xludf.DUMMYFUNCTION("""COMPUTED_VALUE"""),44641)</f>
        <v>44641</v>
      </c>
      <c r="C4924" s="22">
        <f ca="1">IFERROR(__xludf.DUMMYFUNCTION("""COMPUTED_VALUE"""),500000)</f>
        <v>500000</v>
      </c>
      <c r="D4924" s="22">
        <f ca="1">IFERROR(__xludf.DUMMYFUNCTION("""COMPUTED_VALUE"""),0)</f>
        <v>0</v>
      </c>
      <c r="E4924" s="22">
        <f ca="1">IFERROR(__xludf.DUMMYFUNCTION("""COMPUTED_VALUE"""),500000)</f>
        <v>500000</v>
      </c>
      <c r="F4924" s="22">
        <f ca="1">IFERROR(__xludf.DUMMYFUNCTION("""COMPUTED_VALUE"""),500000)</f>
        <v>500000</v>
      </c>
      <c r="G4924" s="22">
        <f ca="1">IFERROR(__xludf.DUMMYFUNCTION("""COMPUTED_VALUE"""),0)</f>
        <v>0</v>
      </c>
      <c r="H4924" s="7">
        <f ca="1">IFERROR(__xludf.DUMMYFUNCTION("""COMPUTED_VALUE"""),500000)</f>
        <v>500000</v>
      </c>
    </row>
    <row r="4925" spans="1:8" ht="13" x14ac:dyDescent="0.15">
      <c r="A4925" s="5" t="str">
        <f ca="1">IFERROR(__xludf.DUMMYFUNCTION("""COMPUTED_VALUE"""),"83314")</f>
        <v>83314</v>
      </c>
      <c r="B4925" s="51">
        <f ca="1">IFERROR(__xludf.DUMMYFUNCTION("""COMPUTED_VALUE"""),44642)</f>
        <v>44642</v>
      </c>
      <c r="C4925" s="22">
        <f ca="1">IFERROR(__xludf.DUMMYFUNCTION("""COMPUTED_VALUE"""),500000)</f>
        <v>500000</v>
      </c>
      <c r="D4925" s="22">
        <f ca="1">IFERROR(__xludf.DUMMYFUNCTION("""COMPUTED_VALUE"""),0)</f>
        <v>0</v>
      </c>
      <c r="E4925" s="22">
        <f ca="1">IFERROR(__xludf.DUMMYFUNCTION("""COMPUTED_VALUE"""),500000)</f>
        <v>500000</v>
      </c>
      <c r="F4925" s="22">
        <f ca="1">IFERROR(__xludf.DUMMYFUNCTION("""COMPUTED_VALUE"""),500000)</f>
        <v>500000</v>
      </c>
      <c r="G4925" s="22">
        <f ca="1">IFERROR(__xludf.DUMMYFUNCTION("""COMPUTED_VALUE"""),0)</f>
        <v>0</v>
      </c>
      <c r="H4925" s="7">
        <f ca="1">IFERROR(__xludf.DUMMYFUNCTION("""COMPUTED_VALUE"""),500000)</f>
        <v>500000</v>
      </c>
    </row>
    <row r="4926" spans="1:8" ht="13" x14ac:dyDescent="0.15">
      <c r="A4926" s="5" t="str">
        <f ca="1">IFERROR(__xludf.DUMMYFUNCTION("""COMPUTED_VALUE"""),"84216")</f>
        <v>84216</v>
      </c>
      <c r="B4926" s="51">
        <f ca="1">IFERROR(__xludf.DUMMYFUNCTION("""COMPUTED_VALUE"""),44597)</f>
        <v>44597</v>
      </c>
      <c r="C4926" s="22">
        <f ca="1">IFERROR(__xludf.DUMMYFUNCTION("""COMPUTED_VALUE"""),500000)</f>
        <v>500000</v>
      </c>
      <c r="D4926" s="22">
        <f ca="1">IFERROR(__xludf.DUMMYFUNCTION("""COMPUTED_VALUE"""),0)</f>
        <v>0</v>
      </c>
      <c r="E4926" s="22">
        <f ca="1">IFERROR(__xludf.DUMMYFUNCTION("""COMPUTED_VALUE"""),500000)</f>
        <v>500000</v>
      </c>
      <c r="F4926" s="22">
        <f ca="1">IFERROR(__xludf.DUMMYFUNCTION("""COMPUTED_VALUE"""),500000)</f>
        <v>500000</v>
      </c>
      <c r="G4926" s="22">
        <f ca="1">IFERROR(__xludf.DUMMYFUNCTION("""COMPUTED_VALUE"""),0)</f>
        <v>0</v>
      </c>
      <c r="H4926" s="7">
        <f ca="1">IFERROR(__xludf.DUMMYFUNCTION("""COMPUTED_VALUE"""),500000)</f>
        <v>500000</v>
      </c>
    </row>
    <row r="4927" spans="1:8" ht="13" x14ac:dyDescent="0.15">
      <c r="A4927" s="5" t="str">
        <f ca="1">IFERROR(__xludf.DUMMYFUNCTION("""COMPUTED_VALUE"""),"84216")</f>
        <v>84216</v>
      </c>
      <c r="B4927" s="51">
        <f ca="1">IFERROR(__xludf.DUMMYFUNCTION("""COMPUTED_VALUE"""),44598)</f>
        <v>44598</v>
      </c>
      <c r="C4927" s="22">
        <f ca="1">IFERROR(__xludf.DUMMYFUNCTION("""COMPUTED_VALUE"""),500000)</f>
        <v>500000</v>
      </c>
      <c r="D4927" s="22">
        <f ca="1">IFERROR(__xludf.DUMMYFUNCTION("""COMPUTED_VALUE"""),0)</f>
        <v>0</v>
      </c>
      <c r="E4927" s="22">
        <f ca="1">IFERROR(__xludf.DUMMYFUNCTION("""COMPUTED_VALUE"""),500000)</f>
        <v>500000</v>
      </c>
      <c r="F4927" s="22">
        <f ca="1">IFERROR(__xludf.DUMMYFUNCTION("""COMPUTED_VALUE"""),500000)</f>
        <v>500000</v>
      </c>
      <c r="G4927" s="22">
        <f ca="1">IFERROR(__xludf.DUMMYFUNCTION("""COMPUTED_VALUE"""),0)</f>
        <v>0</v>
      </c>
      <c r="H4927" s="7">
        <f ca="1">IFERROR(__xludf.DUMMYFUNCTION("""COMPUTED_VALUE"""),500000)</f>
        <v>500000</v>
      </c>
    </row>
    <row r="4928" spans="1:8" ht="13" x14ac:dyDescent="0.15">
      <c r="A4928" s="5" t="str">
        <f ca="1">IFERROR(__xludf.DUMMYFUNCTION("""COMPUTED_VALUE"""),"84216")</f>
        <v>84216</v>
      </c>
      <c r="B4928" s="51">
        <f ca="1">IFERROR(__xludf.DUMMYFUNCTION("""COMPUTED_VALUE"""),44599)</f>
        <v>44599</v>
      </c>
      <c r="C4928" s="22">
        <f ca="1">IFERROR(__xludf.DUMMYFUNCTION("""COMPUTED_VALUE"""),500000)</f>
        <v>500000</v>
      </c>
      <c r="D4928" s="22">
        <f ca="1">IFERROR(__xludf.DUMMYFUNCTION("""COMPUTED_VALUE"""),0)</f>
        <v>0</v>
      </c>
      <c r="E4928" s="22">
        <f ca="1">IFERROR(__xludf.DUMMYFUNCTION("""COMPUTED_VALUE"""),500000)</f>
        <v>500000</v>
      </c>
      <c r="F4928" s="22">
        <f ca="1">IFERROR(__xludf.DUMMYFUNCTION("""COMPUTED_VALUE"""),500000)</f>
        <v>500000</v>
      </c>
      <c r="G4928" s="22">
        <f ca="1">IFERROR(__xludf.DUMMYFUNCTION("""COMPUTED_VALUE"""),0)</f>
        <v>0</v>
      </c>
      <c r="H4928" s="7">
        <f ca="1">IFERROR(__xludf.DUMMYFUNCTION("""COMPUTED_VALUE"""),500000)</f>
        <v>500000</v>
      </c>
    </row>
    <row r="4929" spans="1:8" ht="13" x14ac:dyDescent="0.15">
      <c r="A4929" s="5" t="str">
        <f ca="1">IFERROR(__xludf.DUMMYFUNCTION("""COMPUTED_VALUE"""),"84216")</f>
        <v>84216</v>
      </c>
      <c r="B4929" s="51">
        <f ca="1">IFERROR(__xludf.DUMMYFUNCTION("""COMPUTED_VALUE"""),44600)</f>
        <v>44600</v>
      </c>
      <c r="C4929" s="22">
        <f ca="1">IFERROR(__xludf.DUMMYFUNCTION("""COMPUTED_VALUE"""),500000)</f>
        <v>500000</v>
      </c>
      <c r="D4929" s="22">
        <f ca="1">IFERROR(__xludf.DUMMYFUNCTION("""COMPUTED_VALUE"""),0)</f>
        <v>0</v>
      </c>
      <c r="E4929" s="22">
        <f ca="1">IFERROR(__xludf.DUMMYFUNCTION("""COMPUTED_VALUE"""),500000)</f>
        <v>500000</v>
      </c>
      <c r="F4929" s="22">
        <f ca="1">IFERROR(__xludf.DUMMYFUNCTION("""COMPUTED_VALUE"""),500000)</f>
        <v>500000</v>
      </c>
      <c r="G4929" s="22">
        <f ca="1">IFERROR(__xludf.DUMMYFUNCTION("""COMPUTED_VALUE"""),0)</f>
        <v>0</v>
      </c>
      <c r="H4929" s="7">
        <f ca="1">IFERROR(__xludf.DUMMYFUNCTION("""COMPUTED_VALUE"""),500000)</f>
        <v>500000</v>
      </c>
    </row>
    <row r="4930" spans="1:8" ht="13" x14ac:dyDescent="0.15">
      <c r="A4930" s="5" t="str">
        <f ca="1">IFERROR(__xludf.DUMMYFUNCTION("""COMPUTED_VALUE"""),"84216")</f>
        <v>84216</v>
      </c>
      <c r="B4930" s="51">
        <f ca="1">IFERROR(__xludf.DUMMYFUNCTION("""COMPUTED_VALUE"""),44601)</f>
        <v>44601</v>
      </c>
      <c r="C4930" s="22">
        <f ca="1">IFERROR(__xludf.DUMMYFUNCTION("""COMPUTED_VALUE"""),500000)</f>
        <v>500000</v>
      </c>
      <c r="D4930" s="22">
        <f ca="1">IFERROR(__xludf.DUMMYFUNCTION("""COMPUTED_VALUE"""),0)</f>
        <v>0</v>
      </c>
      <c r="E4930" s="22">
        <f ca="1">IFERROR(__xludf.DUMMYFUNCTION("""COMPUTED_VALUE"""),500000)</f>
        <v>500000</v>
      </c>
      <c r="F4930" s="22">
        <f ca="1">IFERROR(__xludf.DUMMYFUNCTION("""COMPUTED_VALUE"""),500000)</f>
        <v>500000</v>
      </c>
      <c r="G4930" s="22">
        <f ca="1">IFERROR(__xludf.DUMMYFUNCTION("""COMPUTED_VALUE"""),0)</f>
        <v>0</v>
      </c>
      <c r="H4930" s="7">
        <f ca="1">IFERROR(__xludf.DUMMYFUNCTION("""COMPUTED_VALUE"""),500000)</f>
        <v>500000</v>
      </c>
    </row>
    <row r="4931" spans="1:8" ht="13" x14ac:dyDescent="0.15">
      <c r="A4931" s="5" t="str">
        <f ca="1">IFERROR(__xludf.DUMMYFUNCTION("""COMPUTED_VALUE"""),"84216")</f>
        <v>84216</v>
      </c>
      <c r="B4931" s="51">
        <f ca="1">IFERROR(__xludf.DUMMYFUNCTION("""COMPUTED_VALUE"""),44602)</f>
        <v>44602</v>
      </c>
      <c r="C4931" s="22">
        <f ca="1">IFERROR(__xludf.DUMMYFUNCTION("""COMPUTED_VALUE"""),500000)</f>
        <v>500000</v>
      </c>
      <c r="D4931" s="22">
        <f ca="1">IFERROR(__xludf.DUMMYFUNCTION("""COMPUTED_VALUE"""),0)</f>
        <v>0</v>
      </c>
      <c r="E4931" s="22">
        <f ca="1">IFERROR(__xludf.DUMMYFUNCTION("""COMPUTED_VALUE"""),500000)</f>
        <v>500000</v>
      </c>
      <c r="F4931" s="22">
        <f ca="1">IFERROR(__xludf.DUMMYFUNCTION("""COMPUTED_VALUE"""),500000)</f>
        <v>500000</v>
      </c>
      <c r="G4931" s="22">
        <f ca="1">IFERROR(__xludf.DUMMYFUNCTION("""COMPUTED_VALUE"""),0)</f>
        <v>0</v>
      </c>
      <c r="H4931" s="7">
        <f ca="1">IFERROR(__xludf.DUMMYFUNCTION("""COMPUTED_VALUE"""),500000)</f>
        <v>500000</v>
      </c>
    </row>
    <row r="4932" spans="1:8" ht="13" x14ac:dyDescent="0.15">
      <c r="A4932" s="5" t="str">
        <f ca="1">IFERROR(__xludf.DUMMYFUNCTION("""COMPUTED_VALUE"""),"84216")</f>
        <v>84216</v>
      </c>
      <c r="B4932" s="51">
        <f ca="1">IFERROR(__xludf.DUMMYFUNCTION("""COMPUTED_VALUE"""),44603)</f>
        <v>44603</v>
      </c>
      <c r="C4932" s="22">
        <f ca="1">IFERROR(__xludf.DUMMYFUNCTION("""COMPUTED_VALUE"""),500000)</f>
        <v>500000</v>
      </c>
      <c r="D4932" s="22">
        <f ca="1">IFERROR(__xludf.DUMMYFUNCTION("""COMPUTED_VALUE"""),0)</f>
        <v>0</v>
      </c>
      <c r="E4932" s="22">
        <f ca="1">IFERROR(__xludf.DUMMYFUNCTION("""COMPUTED_VALUE"""),500000)</f>
        <v>500000</v>
      </c>
      <c r="F4932" s="22">
        <f ca="1">IFERROR(__xludf.DUMMYFUNCTION("""COMPUTED_VALUE"""),500000)</f>
        <v>500000</v>
      </c>
      <c r="G4932" s="22">
        <f ca="1">IFERROR(__xludf.DUMMYFUNCTION("""COMPUTED_VALUE"""),0)</f>
        <v>0</v>
      </c>
      <c r="H4932" s="7">
        <f ca="1">IFERROR(__xludf.DUMMYFUNCTION("""COMPUTED_VALUE"""),500000)</f>
        <v>500000</v>
      </c>
    </row>
    <row r="4933" spans="1:8" ht="13" x14ac:dyDescent="0.15">
      <c r="A4933" s="5" t="str">
        <f ca="1">IFERROR(__xludf.DUMMYFUNCTION("""COMPUTED_VALUE"""),"84216")</f>
        <v>84216</v>
      </c>
      <c r="B4933" s="51">
        <f ca="1">IFERROR(__xludf.DUMMYFUNCTION("""COMPUTED_VALUE"""),44604)</f>
        <v>44604</v>
      </c>
      <c r="C4933" s="22">
        <f ca="1">IFERROR(__xludf.DUMMYFUNCTION("""COMPUTED_VALUE"""),500000)</f>
        <v>500000</v>
      </c>
      <c r="D4933" s="22">
        <f ca="1">IFERROR(__xludf.DUMMYFUNCTION("""COMPUTED_VALUE"""),0)</f>
        <v>0</v>
      </c>
      <c r="E4933" s="22">
        <f ca="1">IFERROR(__xludf.DUMMYFUNCTION("""COMPUTED_VALUE"""),500000)</f>
        <v>500000</v>
      </c>
      <c r="F4933" s="22">
        <f ca="1">IFERROR(__xludf.DUMMYFUNCTION("""COMPUTED_VALUE"""),500000)</f>
        <v>500000</v>
      </c>
      <c r="G4933" s="22">
        <f ca="1">IFERROR(__xludf.DUMMYFUNCTION("""COMPUTED_VALUE"""),0)</f>
        <v>0</v>
      </c>
      <c r="H4933" s="7">
        <f ca="1">IFERROR(__xludf.DUMMYFUNCTION("""COMPUTED_VALUE"""),500000)</f>
        <v>500000</v>
      </c>
    </row>
    <row r="4934" spans="1:8" ht="13" x14ac:dyDescent="0.15">
      <c r="A4934" s="5" t="str">
        <f ca="1">IFERROR(__xludf.DUMMYFUNCTION("""COMPUTED_VALUE"""),"84216")</f>
        <v>84216</v>
      </c>
      <c r="B4934" s="51">
        <f ca="1">IFERROR(__xludf.DUMMYFUNCTION("""COMPUTED_VALUE"""),44605)</f>
        <v>44605</v>
      </c>
      <c r="C4934" s="22">
        <f ca="1">IFERROR(__xludf.DUMMYFUNCTION("""COMPUTED_VALUE"""),500000)</f>
        <v>500000</v>
      </c>
      <c r="D4934" s="22">
        <f ca="1">IFERROR(__xludf.DUMMYFUNCTION("""COMPUTED_VALUE"""),0)</f>
        <v>0</v>
      </c>
      <c r="E4934" s="22">
        <f ca="1">IFERROR(__xludf.DUMMYFUNCTION("""COMPUTED_VALUE"""),500000)</f>
        <v>500000</v>
      </c>
      <c r="F4934" s="22">
        <f ca="1">IFERROR(__xludf.DUMMYFUNCTION("""COMPUTED_VALUE"""),500000)</f>
        <v>500000</v>
      </c>
      <c r="G4934" s="22">
        <f ca="1">IFERROR(__xludf.DUMMYFUNCTION("""COMPUTED_VALUE"""),0)</f>
        <v>0</v>
      </c>
      <c r="H4934" s="7">
        <f ca="1">IFERROR(__xludf.DUMMYFUNCTION("""COMPUTED_VALUE"""),500000)</f>
        <v>500000</v>
      </c>
    </row>
    <row r="4935" spans="1:8" ht="13" x14ac:dyDescent="0.15">
      <c r="A4935" s="5" t="str">
        <f ca="1">IFERROR(__xludf.DUMMYFUNCTION("""COMPUTED_VALUE"""),"84216")</f>
        <v>84216</v>
      </c>
      <c r="B4935" s="51">
        <f ca="1">IFERROR(__xludf.DUMMYFUNCTION("""COMPUTED_VALUE"""),44606)</f>
        <v>44606</v>
      </c>
      <c r="C4935" s="22">
        <f ca="1">IFERROR(__xludf.DUMMYFUNCTION("""COMPUTED_VALUE"""),500000)</f>
        <v>500000</v>
      </c>
      <c r="D4935" s="22">
        <f ca="1">IFERROR(__xludf.DUMMYFUNCTION("""COMPUTED_VALUE"""),0)</f>
        <v>0</v>
      </c>
      <c r="E4935" s="22">
        <f ca="1">IFERROR(__xludf.DUMMYFUNCTION("""COMPUTED_VALUE"""),500000)</f>
        <v>500000</v>
      </c>
      <c r="F4935" s="22">
        <f ca="1">IFERROR(__xludf.DUMMYFUNCTION("""COMPUTED_VALUE"""),500000)</f>
        <v>500000</v>
      </c>
      <c r="G4935" s="22">
        <f ca="1">IFERROR(__xludf.DUMMYFUNCTION("""COMPUTED_VALUE"""),0)</f>
        <v>0</v>
      </c>
      <c r="H4935" s="7">
        <f ca="1">IFERROR(__xludf.DUMMYFUNCTION("""COMPUTED_VALUE"""),500000)</f>
        <v>500000</v>
      </c>
    </row>
    <row r="4936" spans="1:8" ht="13" x14ac:dyDescent="0.15">
      <c r="A4936" s="5" t="str">
        <f ca="1">IFERROR(__xludf.DUMMYFUNCTION("""COMPUTED_VALUE"""),"84216")</f>
        <v>84216</v>
      </c>
      <c r="B4936" s="51">
        <f ca="1">IFERROR(__xludf.DUMMYFUNCTION("""COMPUTED_VALUE"""),44607)</f>
        <v>44607</v>
      </c>
      <c r="C4936" s="22">
        <f ca="1">IFERROR(__xludf.DUMMYFUNCTION("""COMPUTED_VALUE"""),500000)</f>
        <v>500000</v>
      </c>
      <c r="D4936" s="22">
        <f ca="1">IFERROR(__xludf.DUMMYFUNCTION("""COMPUTED_VALUE"""),0)</f>
        <v>0</v>
      </c>
      <c r="E4936" s="22">
        <f ca="1">IFERROR(__xludf.DUMMYFUNCTION("""COMPUTED_VALUE"""),500000)</f>
        <v>500000</v>
      </c>
      <c r="F4936" s="22">
        <f ca="1">IFERROR(__xludf.DUMMYFUNCTION("""COMPUTED_VALUE"""),500000)</f>
        <v>500000</v>
      </c>
      <c r="G4936" s="22">
        <f ca="1">IFERROR(__xludf.DUMMYFUNCTION("""COMPUTED_VALUE"""),0)</f>
        <v>0</v>
      </c>
      <c r="H4936" s="7">
        <f ca="1">IFERROR(__xludf.DUMMYFUNCTION("""COMPUTED_VALUE"""),500000)</f>
        <v>500000</v>
      </c>
    </row>
    <row r="4937" spans="1:8" ht="13" x14ac:dyDescent="0.15">
      <c r="A4937" s="5" t="str">
        <f ca="1">IFERROR(__xludf.DUMMYFUNCTION("""COMPUTED_VALUE"""),"84216")</f>
        <v>84216</v>
      </c>
      <c r="B4937" s="51">
        <f ca="1">IFERROR(__xludf.DUMMYFUNCTION("""COMPUTED_VALUE"""),44608)</f>
        <v>44608</v>
      </c>
      <c r="C4937" s="22">
        <f ca="1">IFERROR(__xludf.DUMMYFUNCTION("""COMPUTED_VALUE"""),500000)</f>
        <v>500000</v>
      </c>
      <c r="D4937" s="22">
        <f ca="1">IFERROR(__xludf.DUMMYFUNCTION("""COMPUTED_VALUE"""),0)</f>
        <v>0</v>
      </c>
      <c r="E4937" s="22">
        <f ca="1">IFERROR(__xludf.DUMMYFUNCTION("""COMPUTED_VALUE"""),500000)</f>
        <v>500000</v>
      </c>
      <c r="F4937" s="22">
        <f ca="1">IFERROR(__xludf.DUMMYFUNCTION("""COMPUTED_VALUE"""),500000)</f>
        <v>500000</v>
      </c>
      <c r="G4937" s="22">
        <f ca="1">IFERROR(__xludf.DUMMYFUNCTION("""COMPUTED_VALUE"""),0)</f>
        <v>0</v>
      </c>
      <c r="H4937" s="7">
        <f ca="1">IFERROR(__xludf.DUMMYFUNCTION("""COMPUTED_VALUE"""),500000)</f>
        <v>500000</v>
      </c>
    </row>
    <row r="4938" spans="1:8" ht="13" x14ac:dyDescent="0.15">
      <c r="A4938" s="5" t="str">
        <f ca="1">IFERROR(__xludf.DUMMYFUNCTION("""COMPUTED_VALUE"""),"84216")</f>
        <v>84216</v>
      </c>
      <c r="B4938" s="51">
        <f ca="1">IFERROR(__xludf.DUMMYFUNCTION("""COMPUTED_VALUE"""),44609)</f>
        <v>44609</v>
      </c>
      <c r="C4938" s="22">
        <f ca="1">IFERROR(__xludf.DUMMYFUNCTION("""COMPUTED_VALUE"""),500000)</f>
        <v>500000</v>
      </c>
      <c r="D4938" s="22">
        <f ca="1">IFERROR(__xludf.DUMMYFUNCTION("""COMPUTED_VALUE"""),0)</f>
        <v>0</v>
      </c>
      <c r="E4938" s="22">
        <f ca="1">IFERROR(__xludf.DUMMYFUNCTION("""COMPUTED_VALUE"""),500000)</f>
        <v>500000</v>
      </c>
      <c r="F4938" s="22">
        <f ca="1">IFERROR(__xludf.DUMMYFUNCTION("""COMPUTED_VALUE"""),500000)</f>
        <v>500000</v>
      </c>
      <c r="G4938" s="22">
        <f ca="1">IFERROR(__xludf.DUMMYFUNCTION("""COMPUTED_VALUE"""),0)</f>
        <v>0</v>
      </c>
      <c r="H4938" s="7">
        <f ca="1">IFERROR(__xludf.DUMMYFUNCTION("""COMPUTED_VALUE"""),500000)</f>
        <v>500000</v>
      </c>
    </row>
    <row r="4939" spans="1:8" ht="13" x14ac:dyDescent="0.15">
      <c r="A4939" s="5" t="str">
        <f ca="1">IFERROR(__xludf.DUMMYFUNCTION("""COMPUTED_VALUE"""),"84216")</f>
        <v>84216</v>
      </c>
      <c r="B4939" s="51">
        <f ca="1">IFERROR(__xludf.DUMMYFUNCTION("""COMPUTED_VALUE"""),44610)</f>
        <v>44610</v>
      </c>
      <c r="C4939" s="22">
        <f ca="1">IFERROR(__xludf.DUMMYFUNCTION("""COMPUTED_VALUE"""),500000)</f>
        <v>500000</v>
      </c>
      <c r="D4939" s="22">
        <f ca="1">IFERROR(__xludf.DUMMYFUNCTION("""COMPUTED_VALUE"""),0)</f>
        <v>0</v>
      </c>
      <c r="E4939" s="22">
        <f ca="1">IFERROR(__xludf.DUMMYFUNCTION("""COMPUTED_VALUE"""),500000)</f>
        <v>500000</v>
      </c>
      <c r="F4939" s="22">
        <f ca="1">IFERROR(__xludf.DUMMYFUNCTION("""COMPUTED_VALUE"""),500000)</f>
        <v>500000</v>
      </c>
      <c r="G4939" s="22">
        <f ca="1">IFERROR(__xludf.DUMMYFUNCTION("""COMPUTED_VALUE"""),0)</f>
        <v>0</v>
      </c>
      <c r="H4939" s="7">
        <f ca="1">IFERROR(__xludf.DUMMYFUNCTION("""COMPUTED_VALUE"""),500000)</f>
        <v>500000</v>
      </c>
    </row>
    <row r="4940" spans="1:8" ht="13" x14ac:dyDescent="0.15">
      <c r="A4940" s="5" t="str">
        <f ca="1">IFERROR(__xludf.DUMMYFUNCTION("""COMPUTED_VALUE"""),"84216")</f>
        <v>84216</v>
      </c>
      <c r="B4940" s="51">
        <f ca="1">IFERROR(__xludf.DUMMYFUNCTION("""COMPUTED_VALUE"""),44611)</f>
        <v>44611</v>
      </c>
      <c r="C4940" s="22">
        <f ca="1">IFERROR(__xludf.DUMMYFUNCTION("""COMPUTED_VALUE"""),500000)</f>
        <v>500000</v>
      </c>
      <c r="D4940" s="22">
        <f ca="1">IFERROR(__xludf.DUMMYFUNCTION("""COMPUTED_VALUE"""),0)</f>
        <v>0</v>
      </c>
      <c r="E4940" s="22">
        <f ca="1">IFERROR(__xludf.DUMMYFUNCTION("""COMPUTED_VALUE"""),500000)</f>
        <v>500000</v>
      </c>
      <c r="F4940" s="22">
        <f ca="1">IFERROR(__xludf.DUMMYFUNCTION("""COMPUTED_VALUE"""),500000)</f>
        <v>500000</v>
      </c>
      <c r="G4940" s="22">
        <f ca="1">IFERROR(__xludf.DUMMYFUNCTION("""COMPUTED_VALUE"""),0)</f>
        <v>0</v>
      </c>
      <c r="H4940" s="7">
        <f ca="1">IFERROR(__xludf.DUMMYFUNCTION("""COMPUTED_VALUE"""),500000)</f>
        <v>500000</v>
      </c>
    </row>
    <row r="4941" spans="1:8" ht="13" x14ac:dyDescent="0.15">
      <c r="A4941" s="5" t="str">
        <f ca="1">IFERROR(__xludf.DUMMYFUNCTION("""COMPUTED_VALUE"""),"84216")</f>
        <v>84216</v>
      </c>
      <c r="B4941" s="51">
        <f ca="1">IFERROR(__xludf.DUMMYFUNCTION("""COMPUTED_VALUE"""),44612)</f>
        <v>44612</v>
      </c>
      <c r="C4941" s="22">
        <f ca="1">IFERROR(__xludf.DUMMYFUNCTION("""COMPUTED_VALUE"""),500000)</f>
        <v>500000</v>
      </c>
      <c r="D4941" s="22">
        <f ca="1">IFERROR(__xludf.DUMMYFUNCTION("""COMPUTED_VALUE"""),0)</f>
        <v>0</v>
      </c>
      <c r="E4941" s="22">
        <f ca="1">IFERROR(__xludf.DUMMYFUNCTION("""COMPUTED_VALUE"""),500000)</f>
        <v>500000</v>
      </c>
      <c r="F4941" s="22">
        <f ca="1">IFERROR(__xludf.DUMMYFUNCTION("""COMPUTED_VALUE"""),500000)</f>
        <v>500000</v>
      </c>
      <c r="G4941" s="22">
        <f ca="1">IFERROR(__xludf.DUMMYFUNCTION("""COMPUTED_VALUE"""),0)</f>
        <v>0</v>
      </c>
      <c r="H4941" s="7">
        <f ca="1">IFERROR(__xludf.DUMMYFUNCTION("""COMPUTED_VALUE"""),500000)</f>
        <v>500000</v>
      </c>
    </row>
    <row r="4942" spans="1:8" ht="13" x14ac:dyDescent="0.15">
      <c r="A4942" s="5" t="str">
        <f ca="1">IFERROR(__xludf.DUMMYFUNCTION("""COMPUTED_VALUE"""),"84216")</f>
        <v>84216</v>
      </c>
      <c r="B4942" s="51">
        <f ca="1">IFERROR(__xludf.DUMMYFUNCTION("""COMPUTED_VALUE"""),44613)</f>
        <v>44613</v>
      </c>
      <c r="C4942" s="22">
        <f ca="1">IFERROR(__xludf.DUMMYFUNCTION("""COMPUTED_VALUE"""),500000)</f>
        <v>500000</v>
      </c>
      <c r="D4942" s="22">
        <f ca="1">IFERROR(__xludf.DUMMYFUNCTION("""COMPUTED_VALUE"""),0)</f>
        <v>0</v>
      </c>
      <c r="E4942" s="22">
        <f ca="1">IFERROR(__xludf.DUMMYFUNCTION("""COMPUTED_VALUE"""),500000)</f>
        <v>500000</v>
      </c>
      <c r="F4942" s="22">
        <f ca="1">IFERROR(__xludf.DUMMYFUNCTION("""COMPUTED_VALUE"""),500000)</f>
        <v>500000</v>
      </c>
      <c r="G4942" s="22">
        <f ca="1">IFERROR(__xludf.DUMMYFUNCTION("""COMPUTED_VALUE"""),0)</f>
        <v>0</v>
      </c>
      <c r="H4942" s="7">
        <f ca="1">IFERROR(__xludf.DUMMYFUNCTION("""COMPUTED_VALUE"""),500000)</f>
        <v>500000</v>
      </c>
    </row>
    <row r="4943" spans="1:8" ht="13" x14ac:dyDescent="0.15">
      <c r="A4943" s="5" t="str">
        <f ca="1">IFERROR(__xludf.DUMMYFUNCTION("""COMPUTED_VALUE"""),"84216")</f>
        <v>84216</v>
      </c>
      <c r="B4943" s="51">
        <f ca="1">IFERROR(__xludf.DUMMYFUNCTION("""COMPUTED_VALUE"""),44614)</f>
        <v>44614</v>
      </c>
      <c r="C4943" s="22">
        <f ca="1">IFERROR(__xludf.DUMMYFUNCTION("""COMPUTED_VALUE"""),500000)</f>
        <v>500000</v>
      </c>
      <c r="D4943" s="22">
        <f ca="1">IFERROR(__xludf.DUMMYFUNCTION("""COMPUTED_VALUE"""),0)</f>
        <v>0</v>
      </c>
      <c r="E4943" s="22">
        <f ca="1">IFERROR(__xludf.DUMMYFUNCTION("""COMPUTED_VALUE"""),500000)</f>
        <v>500000</v>
      </c>
      <c r="F4943" s="22">
        <f ca="1">IFERROR(__xludf.DUMMYFUNCTION("""COMPUTED_VALUE"""),500000)</f>
        <v>500000</v>
      </c>
      <c r="G4943" s="22">
        <f ca="1">IFERROR(__xludf.DUMMYFUNCTION("""COMPUTED_VALUE"""),0)</f>
        <v>0</v>
      </c>
      <c r="H4943" s="7">
        <f ca="1">IFERROR(__xludf.DUMMYFUNCTION("""COMPUTED_VALUE"""),500000)</f>
        <v>500000</v>
      </c>
    </row>
    <row r="4944" spans="1:8" ht="13" x14ac:dyDescent="0.15">
      <c r="A4944" s="5" t="str">
        <f ca="1">IFERROR(__xludf.DUMMYFUNCTION("""COMPUTED_VALUE"""),"84216")</f>
        <v>84216</v>
      </c>
      <c r="B4944" s="51">
        <f ca="1">IFERROR(__xludf.DUMMYFUNCTION("""COMPUTED_VALUE"""),44615)</f>
        <v>44615</v>
      </c>
      <c r="C4944" s="22">
        <f ca="1">IFERROR(__xludf.DUMMYFUNCTION("""COMPUTED_VALUE"""),500000)</f>
        <v>500000</v>
      </c>
      <c r="D4944" s="22">
        <f ca="1">IFERROR(__xludf.DUMMYFUNCTION("""COMPUTED_VALUE"""),0)</f>
        <v>0</v>
      </c>
      <c r="E4944" s="22">
        <f ca="1">IFERROR(__xludf.DUMMYFUNCTION("""COMPUTED_VALUE"""),500000)</f>
        <v>500000</v>
      </c>
      <c r="F4944" s="22">
        <f ca="1">IFERROR(__xludf.DUMMYFUNCTION("""COMPUTED_VALUE"""),500000)</f>
        <v>500000</v>
      </c>
      <c r="G4944" s="22">
        <f ca="1">IFERROR(__xludf.DUMMYFUNCTION("""COMPUTED_VALUE"""),0)</f>
        <v>0</v>
      </c>
      <c r="H4944" s="7">
        <f ca="1">IFERROR(__xludf.DUMMYFUNCTION("""COMPUTED_VALUE"""),500000)</f>
        <v>500000</v>
      </c>
    </row>
    <row r="4945" spans="1:8" ht="13" x14ac:dyDescent="0.15">
      <c r="A4945" s="5" t="str">
        <f ca="1">IFERROR(__xludf.DUMMYFUNCTION("""COMPUTED_VALUE"""),"84216")</f>
        <v>84216</v>
      </c>
      <c r="B4945" s="51">
        <f ca="1">IFERROR(__xludf.DUMMYFUNCTION("""COMPUTED_VALUE"""),44616)</f>
        <v>44616</v>
      </c>
      <c r="C4945" s="22">
        <f ca="1">IFERROR(__xludf.DUMMYFUNCTION("""COMPUTED_VALUE"""),500000)</f>
        <v>500000</v>
      </c>
      <c r="D4945" s="22">
        <f ca="1">IFERROR(__xludf.DUMMYFUNCTION("""COMPUTED_VALUE"""),0)</f>
        <v>0</v>
      </c>
      <c r="E4945" s="22">
        <f ca="1">IFERROR(__xludf.DUMMYFUNCTION("""COMPUTED_VALUE"""),500000)</f>
        <v>500000</v>
      </c>
      <c r="F4945" s="22">
        <f ca="1">IFERROR(__xludf.DUMMYFUNCTION("""COMPUTED_VALUE"""),500000)</f>
        <v>500000</v>
      </c>
      <c r="G4945" s="22">
        <f ca="1">IFERROR(__xludf.DUMMYFUNCTION("""COMPUTED_VALUE"""),0)</f>
        <v>0</v>
      </c>
      <c r="H4945" s="7">
        <f ca="1">IFERROR(__xludf.DUMMYFUNCTION("""COMPUTED_VALUE"""),500000)</f>
        <v>500000</v>
      </c>
    </row>
    <row r="4946" spans="1:8" ht="13" x14ac:dyDescent="0.15">
      <c r="A4946" s="5" t="str">
        <f ca="1">IFERROR(__xludf.DUMMYFUNCTION("""COMPUTED_VALUE"""),"84216")</f>
        <v>84216</v>
      </c>
      <c r="B4946" s="51">
        <f ca="1">IFERROR(__xludf.DUMMYFUNCTION("""COMPUTED_VALUE"""),44617)</f>
        <v>44617</v>
      </c>
      <c r="C4946" s="22">
        <f ca="1">IFERROR(__xludf.DUMMYFUNCTION("""COMPUTED_VALUE"""),500000)</f>
        <v>500000</v>
      </c>
      <c r="D4946" s="22">
        <f ca="1">IFERROR(__xludf.DUMMYFUNCTION("""COMPUTED_VALUE"""),0)</f>
        <v>0</v>
      </c>
      <c r="E4946" s="22">
        <f ca="1">IFERROR(__xludf.DUMMYFUNCTION("""COMPUTED_VALUE"""),500000)</f>
        <v>500000</v>
      </c>
      <c r="F4946" s="22">
        <f ca="1">IFERROR(__xludf.DUMMYFUNCTION("""COMPUTED_VALUE"""),500000)</f>
        <v>500000</v>
      </c>
      <c r="G4946" s="22">
        <f ca="1">IFERROR(__xludf.DUMMYFUNCTION("""COMPUTED_VALUE"""),0)</f>
        <v>0</v>
      </c>
      <c r="H4946" s="7">
        <f ca="1">IFERROR(__xludf.DUMMYFUNCTION("""COMPUTED_VALUE"""),500000)</f>
        <v>500000</v>
      </c>
    </row>
    <row r="4947" spans="1:8" ht="13" x14ac:dyDescent="0.15">
      <c r="A4947" s="5" t="str">
        <f ca="1">IFERROR(__xludf.DUMMYFUNCTION("""COMPUTED_VALUE"""),"84216")</f>
        <v>84216</v>
      </c>
      <c r="B4947" s="51">
        <f ca="1">IFERROR(__xludf.DUMMYFUNCTION("""COMPUTED_VALUE"""),44618)</f>
        <v>44618</v>
      </c>
      <c r="C4947" s="22">
        <f ca="1">IFERROR(__xludf.DUMMYFUNCTION("""COMPUTED_VALUE"""),500000)</f>
        <v>500000</v>
      </c>
      <c r="D4947" s="22">
        <f ca="1">IFERROR(__xludf.DUMMYFUNCTION("""COMPUTED_VALUE"""),0)</f>
        <v>0</v>
      </c>
      <c r="E4947" s="22">
        <f ca="1">IFERROR(__xludf.DUMMYFUNCTION("""COMPUTED_VALUE"""),500000)</f>
        <v>500000</v>
      </c>
      <c r="F4947" s="22">
        <f ca="1">IFERROR(__xludf.DUMMYFUNCTION("""COMPUTED_VALUE"""),500000)</f>
        <v>500000</v>
      </c>
      <c r="G4947" s="22">
        <f ca="1">IFERROR(__xludf.DUMMYFUNCTION("""COMPUTED_VALUE"""),0)</f>
        <v>0</v>
      </c>
      <c r="H4947" s="7">
        <f ca="1">IFERROR(__xludf.DUMMYFUNCTION("""COMPUTED_VALUE"""),500000)</f>
        <v>500000</v>
      </c>
    </row>
    <row r="4948" spans="1:8" ht="13" x14ac:dyDescent="0.15">
      <c r="A4948" s="5" t="str">
        <f ca="1">IFERROR(__xludf.DUMMYFUNCTION("""COMPUTED_VALUE"""),"84216")</f>
        <v>84216</v>
      </c>
      <c r="B4948" s="51">
        <f ca="1">IFERROR(__xludf.DUMMYFUNCTION("""COMPUTED_VALUE"""),44619)</f>
        <v>44619</v>
      </c>
      <c r="C4948" s="22">
        <f ca="1">IFERROR(__xludf.DUMMYFUNCTION("""COMPUTED_VALUE"""),500000)</f>
        <v>500000</v>
      </c>
      <c r="D4948" s="22">
        <f ca="1">IFERROR(__xludf.DUMMYFUNCTION("""COMPUTED_VALUE"""),0)</f>
        <v>0</v>
      </c>
      <c r="E4948" s="22">
        <f ca="1">IFERROR(__xludf.DUMMYFUNCTION("""COMPUTED_VALUE"""),500000)</f>
        <v>500000</v>
      </c>
      <c r="F4948" s="22">
        <f ca="1">IFERROR(__xludf.DUMMYFUNCTION("""COMPUTED_VALUE"""),500000)</f>
        <v>500000</v>
      </c>
      <c r="G4948" s="22">
        <f ca="1">IFERROR(__xludf.DUMMYFUNCTION("""COMPUTED_VALUE"""),0)</f>
        <v>0</v>
      </c>
      <c r="H4948" s="7">
        <f ca="1">IFERROR(__xludf.DUMMYFUNCTION("""COMPUTED_VALUE"""),500000)</f>
        <v>500000</v>
      </c>
    </row>
    <row r="4949" spans="1:8" ht="13" x14ac:dyDescent="0.15">
      <c r="A4949" s="5" t="str">
        <f ca="1">IFERROR(__xludf.DUMMYFUNCTION("""COMPUTED_VALUE"""),"84216")</f>
        <v>84216</v>
      </c>
      <c r="B4949" s="51">
        <f ca="1">IFERROR(__xludf.DUMMYFUNCTION("""COMPUTED_VALUE"""),44620)</f>
        <v>44620</v>
      </c>
      <c r="C4949" s="22">
        <f ca="1">IFERROR(__xludf.DUMMYFUNCTION("""COMPUTED_VALUE"""),500000)</f>
        <v>500000</v>
      </c>
      <c r="D4949" s="22">
        <f ca="1">IFERROR(__xludf.DUMMYFUNCTION("""COMPUTED_VALUE"""),0)</f>
        <v>0</v>
      </c>
      <c r="E4949" s="22">
        <f ca="1">IFERROR(__xludf.DUMMYFUNCTION("""COMPUTED_VALUE"""),500000)</f>
        <v>500000</v>
      </c>
      <c r="F4949" s="22">
        <f ca="1">IFERROR(__xludf.DUMMYFUNCTION("""COMPUTED_VALUE"""),500000)</f>
        <v>500000</v>
      </c>
      <c r="G4949" s="22">
        <f ca="1">IFERROR(__xludf.DUMMYFUNCTION("""COMPUTED_VALUE"""),0)</f>
        <v>0</v>
      </c>
      <c r="H4949" s="7">
        <f ca="1">IFERROR(__xludf.DUMMYFUNCTION("""COMPUTED_VALUE"""),500000)</f>
        <v>500000</v>
      </c>
    </row>
    <row r="4950" spans="1:8" ht="13" x14ac:dyDescent="0.15">
      <c r="A4950" s="5" t="str">
        <f ca="1">IFERROR(__xludf.DUMMYFUNCTION("""COMPUTED_VALUE"""),"84216")</f>
        <v>84216</v>
      </c>
      <c r="B4950" s="51">
        <f ca="1">IFERROR(__xludf.DUMMYFUNCTION("""COMPUTED_VALUE"""),44621)</f>
        <v>44621</v>
      </c>
      <c r="C4950" s="22">
        <f ca="1">IFERROR(__xludf.DUMMYFUNCTION("""COMPUTED_VALUE"""),500000)</f>
        <v>500000</v>
      </c>
      <c r="D4950" s="22">
        <f ca="1">IFERROR(__xludf.DUMMYFUNCTION("""COMPUTED_VALUE"""),0)</f>
        <v>0</v>
      </c>
      <c r="E4950" s="22">
        <f ca="1">IFERROR(__xludf.DUMMYFUNCTION("""COMPUTED_VALUE"""),500000)</f>
        <v>500000</v>
      </c>
      <c r="F4950" s="22">
        <f ca="1">IFERROR(__xludf.DUMMYFUNCTION("""COMPUTED_VALUE"""),500000)</f>
        <v>500000</v>
      </c>
      <c r="G4950" s="22">
        <f ca="1">IFERROR(__xludf.DUMMYFUNCTION("""COMPUTED_VALUE"""),0)</f>
        <v>0</v>
      </c>
      <c r="H4950" s="7">
        <f ca="1">IFERROR(__xludf.DUMMYFUNCTION("""COMPUTED_VALUE"""),500000)</f>
        <v>500000</v>
      </c>
    </row>
    <row r="4951" spans="1:8" ht="13" x14ac:dyDescent="0.15">
      <c r="A4951" s="5" t="str">
        <f ca="1">IFERROR(__xludf.DUMMYFUNCTION("""COMPUTED_VALUE"""),"84216")</f>
        <v>84216</v>
      </c>
      <c r="B4951" s="51">
        <f ca="1">IFERROR(__xludf.DUMMYFUNCTION("""COMPUTED_VALUE"""),44622)</f>
        <v>44622</v>
      </c>
      <c r="C4951" s="22">
        <f ca="1">IFERROR(__xludf.DUMMYFUNCTION("""COMPUTED_VALUE"""),500000)</f>
        <v>500000</v>
      </c>
      <c r="D4951" s="22">
        <f ca="1">IFERROR(__xludf.DUMMYFUNCTION("""COMPUTED_VALUE"""),0)</f>
        <v>0</v>
      </c>
      <c r="E4951" s="22">
        <f ca="1">IFERROR(__xludf.DUMMYFUNCTION("""COMPUTED_VALUE"""),500000)</f>
        <v>500000</v>
      </c>
      <c r="F4951" s="22">
        <f ca="1">IFERROR(__xludf.DUMMYFUNCTION("""COMPUTED_VALUE"""),500000)</f>
        <v>500000</v>
      </c>
      <c r="G4951" s="22">
        <f ca="1">IFERROR(__xludf.DUMMYFUNCTION("""COMPUTED_VALUE"""),0)</f>
        <v>0</v>
      </c>
      <c r="H4951" s="7">
        <f ca="1">IFERROR(__xludf.DUMMYFUNCTION("""COMPUTED_VALUE"""),500000)</f>
        <v>500000</v>
      </c>
    </row>
    <row r="4952" spans="1:8" ht="13" x14ac:dyDescent="0.15">
      <c r="A4952" s="5" t="str">
        <f ca="1">IFERROR(__xludf.DUMMYFUNCTION("""COMPUTED_VALUE"""),"84216")</f>
        <v>84216</v>
      </c>
      <c r="B4952" s="51">
        <f ca="1">IFERROR(__xludf.DUMMYFUNCTION("""COMPUTED_VALUE"""),44623)</f>
        <v>44623</v>
      </c>
      <c r="C4952" s="22">
        <f ca="1">IFERROR(__xludf.DUMMYFUNCTION("""COMPUTED_VALUE"""),500000)</f>
        <v>500000</v>
      </c>
      <c r="D4952" s="22">
        <f ca="1">IFERROR(__xludf.DUMMYFUNCTION("""COMPUTED_VALUE"""),0)</f>
        <v>0</v>
      </c>
      <c r="E4952" s="22">
        <f ca="1">IFERROR(__xludf.DUMMYFUNCTION("""COMPUTED_VALUE"""),500000)</f>
        <v>500000</v>
      </c>
      <c r="F4952" s="22">
        <f ca="1">IFERROR(__xludf.DUMMYFUNCTION("""COMPUTED_VALUE"""),500000)</f>
        <v>500000</v>
      </c>
      <c r="G4952" s="22">
        <f ca="1">IFERROR(__xludf.DUMMYFUNCTION("""COMPUTED_VALUE"""),0)</f>
        <v>0</v>
      </c>
      <c r="H4952" s="7">
        <f ca="1">IFERROR(__xludf.DUMMYFUNCTION("""COMPUTED_VALUE"""),500000)</f>
        <v>500000</v>
      </c>
    </row>
    <row r="4953" spans="1:8" ht="13" x14ac:dyDescent="0.15">
      <c r="A4953" s="5" t="str">
        <f ca="1">IFERROR(__xludf.DUMMYFUNCTION("""COMPUTED_VALUE"""),"84216")</f>
        <v>84216</v>
      </c>
      <c r="B4953" s="51">
        <f ca="1">IFERROR(__xludf.DUMMYFUNCTION("""COMPUTED_VALUE"""),44624)</f>
        <v>44624</v>
      </c>
      <c r="C4953" s="22">
        <f ca="1">IFERROR(__xludf.DUMMYFUNCTION("""COMPUTED_VALUE"""),500000)</f>
        <v>500000</v>
      </c>
      <c r="D4953" s="22">
        <f ca="1">IFERROR(__xludf.DUMMYFUNCTION("""COMPUTED_VALUE"""),0)</f>
        <v>0</v>
      </c>
      <c r="E4953" s="22">
        <f ca="1">IFERROR(__xludf.DUMMYFUNCTION("""COMPUTED_VALUE"""),500000)</f>
        <v>500000</v>
      </c>
      <c r="F4953" s="22">
        <f ca="1">IFERROR(__xludf.DUMMYFUNCTION("""COMPUTED_VALUE"""),500000)</f>
        <v>500000</v>
      </c>
      <c r="G4953" s="22">
        <f ca="1">IFERROR(__xludf.DUMMYFUNCTION("""COMPUTED_VALUE"""),0)</f>
        <v>0</v>
      </c>
      <c r="H4953" s="7">
        <f ca="1">IFERROR(__xludf.DUMMYFUNCTION("""COMPUTED_VALUE"""),500000)</f>
        <v>500000</v>
      </c>
    </row>
    <row r="4954" spans="1:8" ht="13" x14ac:dyDescent="0.15">
      <c r="A4954" s="5" t="str">
        <f ca="1">IFERROR(__xludf.DUMMYFUNCTION("""COMPUTED_VALUE"""),"84216")</f>
        <v>84216</v>
      </c>
      <c r="B4954" s="51">
        <f ca="1">IFERROR(__xludf.DUMMYFUNCTION("""COMPUTED_VALUE"""),44625)</f>
        <v>44625</v>
      </c>
      <c r="C4954" s="22">
        <f ca="1">IFERROR(__xludf.DUMMYFUNCTION("""COMPUTED_VALUE"""),500000)</f>
        <v>500000</v>
      </c>
      <c r="D4954" s="22">
        <f ca="1">IFERROR(__xludf.DUMMYFUNCTION("""COMPUTED_VALUE"""),0)</f>
        <v>0</v>
      </c>
      <c r="E4954" s="22">
        <f ca="1">IFERROR(__xludf.DUMMYFUNCTION("""COMPUTED_VALUE"""),500000)</f>
        <v>500000</v>
      </c>
      <c r="F4954" s="22">
        <f ca="1">IFERROR(__xludf.DUMMYFUNCTION("""COMPUTED_VALUE"""),500000)</f>
        <v>500000</v>
      </c>
      <c r="G4954" s="22">
        <f ca="1">IFERROR(__xludf.DUMMYFUNCTION("""COMPUTED_VALUE"""),0)</f>
        <v>0</v>
      </c>
      <c r="H4954" s="7">
        <f ca="1">IFERROR(__xludf.DUMMYFUNCTION("""COMPUTED_VALUE"""),500000)</f>
        <v>500000</v>
      </c>
    </row>
    <row r="4955" spans="1:8" ht="13" x14ac:dyDescent="0.15">
      <c r="A4955" s="5" t="str">
        <f ca="1">IFERROR(__xludf.DUMMYFUNCTION("""COMPUTED_VALUE"""),"84216")</f>
        <v>84216</v>
      </c>
      <c r="B4955" s="51">
        <f ca="1">IFERROR(__xludf.DUMMYFUNCTION("""COMPUTED_VALUE"""),44626)</f>
        <v>44626</v>
      </c>
      <c r="C4955" s="22">
        <f ca="1">IFERROR(__xludf.DUMMYFUNCTION("""COMPUTED_VALUE"""),500000)</f>
        <v>500000</v>
      </c>
      <c r="D4955" s="22">
        <f ca="1">IFERROR(__xludf.DUMMYFUNCTION("""COMPUTED_VALUE"""),0)</f>
        <v>0</v>
      </c>
      <c r="E4955" s="22">
        <f ca="1">IFERROR(__xludf.DUMMYFUNCTION("""COMPUTED_VALUE"""),500000)</f>
        <v>500000</v>
      </c>
      <c r="F4955" s="22">
        <f ca="1">IFERROR(__xludf.DUMMYFUNCTION("""COMPUTED_VALUE"""),500000)</f>
        <v>500000</v>
      </c>
      <c r="G4955" s="22">
        <f ca="1">IFERROR(__xludf.DUMMYFUNCTION("""COMPUTED_VALUE"""),0)</f>
        <v>0</v>
      </c>
      <c r="H4955" s="7">
        <f ca="1">IFERROR(__xludf.DUMMYFUNCTION("""COMPUTED_VALUE"""),500000)</f>
        <v>500000</v>
      </c>
    </row>
    <row r="4956" spans="1:8" ht="13" x14ac:dyDescent="0.15">
      <c r="A4956" s="5" t="str">
        <f ca="1">IFERROR(__xludf.DUMMYFUNCTION("""COMPUTED_VALUE"""),"84216")</f>
        <v>84216</v>
      </c>
      <c r="B4956" s="51">
        <f ca="1">IFERROR(__xludf.DUMMYFUNCTION("""COMPUTED_VALUE"""),44627)</f>
        <v>44627</v>
      </c>
      <c r="C4956" s="22">
        <f ca="1">IFERROR(__xludf.DUMMYFUNCTION("""COMPUTED_VALUE"""),500000)</f>
        <v>500000</v>
      </c>
      <c r="D4956" s="22">
        <f ca="1">IFERROR(__xludf.DUMMYFUNCTION("""COMPUTED_VALUE"""),0)</f>
        <v>0</v>
      </c>
      <c r="E4956" s="22">
        <f ca="1">IFERROR(__xludf.DUMMYFUNCTION("""COMPUTED_VALUE"""),500000)</f>
        <v>500000</v>
      </c>
      <c r="F4956" s="22">
        <f ca="1">IFERROR(__xludf.DUMMYFUNCTION("""COMPUTED_VALUE"""),500000)</f>
        <v>500000</v>
      </c>
      <c r="G4956" s="22">
        <f ca="1">IFERROR(__xludf.DUMMYFUNCTION("""COMPUTED_VALUE"""),0)</f>
        <v>0</v>
      </c>
      <c r="H4956" s="7">
        <f ca="1">IFERROR(__xludf.DUMMYFUNCTION("""COMPUTED_VALUE"""),500000)</f>
        <v>500000</v>
      </c>
    </row>
    <row r="4957" spans="1:8" ht="13" x14ac:dyDescent="0.15">
      <c r="A4957" s="5" t="str">
        <f ca="1">IFERROR(__xludf.DUMMYFUNCTION("""COMPUTED_VALUE"""),"84216")</f>
        <v>84216</v>
      </c>
      <c r="B4957" s="51">
        <f ca="1">IFERROR(__xludf.DUMMYFUNCTION("""COMPUTED_VALUE"""),44628)</f>
        <v>44628</v>
      </c>
      <c r="C4957" s="22">
        <f ca="1">IFERROR(__xludf.DUMMYFUNCTION("""COMPUTED_VALUE"""),500000)</f>
        <v>500000</v>
      </c>
      <c r="D4957" s="22">
        <f ca="1">IFERROR(__xludf.DUMMYFUNCTION("""COMPUTED_VALUE"""),0)</f>
        <v>0</v>
      </c>
      <c r="E4957" s="22">
        <f ca="1">IFERROR(__xludf.DUMMYFUNCTION("""COMPUTED_VALUE"""),500000)</f>
        <v>500000</v>
      </c>
      <c r="F4957" s="22">
        <f ca="1">IFERROR(__xludf.DUMMYFUNCTION("""COMPUTED_VALUE"""),500000)</f>
        <v>500000</v>
      </c>
      <c r="G4957" s="22">
        <f ca="1">IFERROR(__xludf.DUMMYFUNCTION("""COMPUTED_VALUE"""),0)</f>
        <v>0</v>
      </c>
      <c r="H4957" s="7">
        <f ca="1">IFERROR(__xludf.DUMMYFUNCTION("""COMPUTED_VALUE"""),500000)</f>
        <v>500000</v>
      </c>
    </row>
    <row r="4958" spans="1:8" ht="13" x14ac:dyDescent="0.15">
      <c r="A4958" s="5" t="str">
        <f ca="1">IFERROR(__xludf.DUMMYFUNCTION("""COMPUTED_VALUE"""),"84216")</f>
        <v>84216</v>
      </c>
      <c r="B4958" s="51">
        <f ca="1">IFERROR(__xludf.DUMMYFUNCTION("""COMPUTED_VALUE"""),44629)</f>
        <v>44629</v>
      </c>
      <c r="C4958" s="22">
        <f ca="1">IFERROR(__xludf.DUMMYFUNCTION("""COMPUTED_VALUE"""),500000)</f>
        <v>500000</v>
      </c>
      <c r="D4958" s="22">
        <f ca="1">IFERROR(__xludf.DUMMYFUNCTION("""COMPUTED_VALUE"""),0)</f>
        <v>0</v>
      </c>
      <c r="E4958" s="22">
        <f ca="1">IFERROR(__xludf.DUMMYFUNCTION("""COMPUTED_VALUE"""),500000)</f>
        <v>500000</v>
      </c>
      <c r="F4958" s="22">
        <f ca="1">IFERROR(__xludf.DUMMYFUNCTION("""COMPUTED_VALUE"""),500000)</f>
        <v>500000</v>
      </c>
      <c r="G4958" s="22">
        <f ca="1">IFERROR(__xludf.DUMMYFUNCTION("""COMPUTED_VALUE"""),0)</f>
        <v>0</v>
      </c>
      <c r="H4958" s="7">
        <f ca="1">IFERROR(__xludf.DUMMYFUNCTION("""COMPUTED_VALUE"""),500000)</f>
        <v>500000</v>
      </c>
    </row>
    <row r="4959" spans="1:8" ht="13" x14ac:dyDescent="0.15">
      <c r="A4959" s="5" t="str">
        <f ca="1">IFERROR(__xludf.DUMMYFUNCTION("""COMPUTED_VALUE"""),"84216")</f>
        <v>84216</v>
      </c>
      <c r="B4959" s="51">
        <f ca="1">IFERROR(__xludf.DUMMYFUNCTION("""COMPUTED_VALUE"""),44630)</f>
        <v>44630</v>
      </c>
      <c r="C4959" s="22">
        <f ca="1">IFERROR(__xludf.DUMMYFUNCTION("""COMPUTED_VALUE"""),500000)</f>
        <v>500000</v>
      </c>
      <c r="D4959" s="22">
        <f ca="1">IFERROR(__xludf.DUMMYFUNCTION("""COMPUTED_VALUE"""),0)</f>
        <v>0</v>
      </c>
      <c r="E4959" s="22">
        <f ca="1">IFERROR(__xludf.DUMMYFUNCTION("""COMPUTED_VALUE"""),500000)</f>
        <v>500000</v>
      </c>
      <c r="F4959" s="22">
        <f ca="1">IFERROR(__xludf.DUMMYFUNCTION("""COMPUTED_VALUE"""),500000)</f>
        <v>500000</v>
      </c>
      <c r="G4959" s="22">
        <f ca="1">IFERROR(__xludf.DUMMYFUNCTION("""COMPUTED_VALUE"""),0)</f>
        <v>0</v>
      </c>
      <c r="H4959" s="7">
        <f ca="1">IFERROR(__xludf.DUMMYFUNCTION("""COMPUTED_VALUE"""),500000)</f>
        <v>500000</v>
      </c>
    </row>
    <row r="4960" spans="1:8" ht="13" x14ac:dyDescent="0.15">
      <c r="A4960" s="5" t="str">
        <f ca="1">IFERROR(__xludf.DUMMYFUNCTION("""COMPUTED_VALUE"""),"84216")</f>
        <v>84216</v>
      </c>
      <c r="B4960" s="51">
        <f ca="1">IFERROR(__xludf.DUMMYFUNCTION("""COMPUTED_VALUE"""),44631)</f>
        <v>44631</v>
      </c>
      <c r="C4960" s="22">
        <f ca="1">IFERROR(__xludf.DUMMYFUNCTION("""COMPUTED_VALUE"""),500000)</f>
        <v>500000</v>
      </c>
      <c r="D4960" s="22">
        <f ca="1">IFERROR(__xludf.DUMMYFUNCTION("""COMPUTED_VALUE"""),0)</f>
        <v>0</v>
      </c>
      <c r="E4960" s="22">
        <f ca="1">IFERROR(__xludf.DUMMYFUNCTION("""COMPUTED_VALUE"""),500000)</f>
        <v>500000</v>
      </c>
      <c r="F4960" s="22">
        <f ca="1">IFERROR(__xludf.DUMMYFUNCTION("""COMPUTED_VALUE"""),500000)</f>
        <v>500000</v>
      </c>
      <c r="G4960" s="22">
        <f ca="1">IFERROR(__xludf.DUMMYFUNCTION("""COMPUTED_VALUE"""),0)</f>
        <v>0</v>
      </c>
      <c r="H4960" s="7">
        <f ca="1">IFERROR(__xludf.DUMMYFUNCTION("""COMPUTED_VALUE"""),500000)</f>
        <v>500000</v>
      </c>
    </row>
    <row r="4961" spans="1:8" ht="13" x14ac:dyDescent="0.15">
      <c r="A4961" s="5" t="str">
        <f ca="1">IFERROR(__xludf.DUMMYFUNCTION("""COMPUTED_VALUE"""),"84216")</f>
        <v>84216</v>
      </c>
      <c r="B4961" s="51">
        <f ca="1">IFERROR(__xludf.DUMMYFUNCTION("""COMPUTED_VALUE"""),44632)</f>
        <v>44632</v>
      </c>
      <c r="C4961" s="22">
        <f ca="1">IFERROR(__xludf.DUMMYFUNCTION("""COMPUTED_VALUE"""),500000)</f>
        <v>500000</v>
      </c>
      <c r="D4961" s="22">
        <f ca="1">IFERROR(__xludf.DUMMYFUNCTION("""COMPUTED_VALUE"""),0)</f>
        <v>0</v>
      </c>
      <c r="E4961" s="22">
        <f ca="1">IFERROR(__xludf.DUMMYFUNCTION("""COMPUTED_VALUE"""),500000)</f>
        <v>500000</v>
      </c>
      <c r="F4961" s="22">
        <f ca="1">IFERROR(__xludf.DUMMYFUNCTION("""COMPUTED_VALUE"""),500000)</f>
        <v>500000</v>
      </c>
      <c r="G4961" s="22">
        <f ca="1">IFERROR(__xludf.DUMMYFUNCTION("""COMPUTED_VALUE"""),0)</f>
        <v>0</v>
      </c>
      <c r="H4961" s="7">
        <f ca="1">IFERROR(__xludf.DUMMYFUNCTION("""COMPUTED_VALUE"""),500000)</f>
        <v>500000</v>
      </c>
    </row>
    <row r="4962" spans="1:8" ht="13" x14ac:dyDescent="0.15">
      <c r="A4962" s="5" t="str">
        <f ca="1">IFERROR(__xludf.DUMMYFUNCTION("""COMPUTED_VALUE"""),"84216")</f>
        <v>84216</v>
      </c>
      <c r="B4962" s="51">
        <f ca="1">IFERROR(__xludf.DUMMYFUNCTION("""COMPUTED_VALUE"""),44633)</f>
        <v>44633</v>
      </c>
      <c r="C4962" s="22">
        <f ca="1">IFERROR(__xludf.DUMMYFUNCTION("""COMPUTED_VALUE"""),500000)</f>
        <v>500000</v>
      </c>
      <c r="D4962" s="22">
        <f ca="1">IFERROR(__xludf.DUMMYFUNCTION("""COMPUTED_VALUE"""),0)</f>
        <v>0</v>
      </c>
      <c r="E4962" s="22">
        <f ca="1">IFERROR(__xludf.DUMMYFUNCTION("""COMPUTED_VALUE"""),500000)</f>
        <v>500000</v>
      </c>
      <c r="F4962" s="22">
        <f ca="1">IFERROR(__xludf.DUMMYFUNCTION("""COMPUTED_VALUE"""),500000)</f>
        <v>500000</v>
      </c>
      <c r="G4962" s="22">
        <f ca="1">IFERROR(__xludf.DUMMYFUNCTION("""COMPUTED_VALUE"""),0)</f>
        <v>0</v>
      </c>
      <c r="H4962" s="7">
        <f ca="1">IFERROR(__xludf.DUMMYFUNCTION("""COMPUTED_VALUE"""),500000)</f>
        <v>500000</v>
      </c>
    </row>
    <row r="4963" spans="1:8" ht="13" x14ac:dyDescent="0.15">
      <c r="A4963" s="5" t="str">
        <f ca="1">IFERROR(__xludf.DUMMYFUNCTION("""COMPUTED_VALUE"""),"84216")</f>
        <v>84216</v>
      </c>
      <c r="B4963" s="51">
        <f ca="1">IFERROR(__xludf.DUMMYFUNCTION("""COMPUTED_VALUE"""),44634)</f>
        <v>44634</v>
      </c>
      <c r="C4963" s="22">
        <f ca="1">IFERROR(__xludf.DUMMYFUNCTION("""COMPUTED_VALUE"""),500000)</f>
        <v>500000</v>
      </c>
      <c r="D4963" s="22">
        <f ca="1">IFERROR(__xludf.DUMMYFUNCTION("""COMPUTED_VALUE"""),0)</f>
        <v>0</v>
      </c>
      <c r="E4963" s="22">
        <f ca="1">IFERROR(__xludf.DUMMYFUNCTION("""COMPUTED_VALUE"""),500000)</f>
        <v>500000</v>
      </c>
      <c r="F4963" s="22">
        <f ca="1">IFERROR(__xludf.DUMMYFUNCTION("""COMPUTED_VALUE"""),500000)</f>
        <v>500000</v>
      </c>
      <c r="G4963" s="22">
        <f ca="1">IFERROR(__xludf.DUMMYFUNCTION("""COMPUTED_VALUE"""),0)</f>
        <v>0</v>
      </c>
      <c r="H4963" s="7">
        <f ca="1">IFERROR(__xludf.DUMMYFUNCTION("""COMPUTED_VALUE"""),500000)</f>
        <v>500000</v>
      </c>
    </row>
    <row r="4964" spans="1:8" ht="13" x14ac:dyDescent="0.15">
      <c r="A4964" s="5" t="str">
        <f ca="1">IFERROR(__xludf.DUMMYFUNCTION("""COMPUTED_VALUE"""),"84216")</f>
        <v>84216</v>
      </c>
      <c r="B4964" s="51">
        <f ca="1">IFERROR(__xludf.DUMMYFUNCTION("""COMPUTED_VALUE"""),44635)</f>
        <v>44635</v>
      </c>
      <c r="C4964" s="22">
        <f ca="1">IFERROR(__xludf.DUMMYFUNCTION("""COMPUTED_VALUE"""),500000)</f>
        <v>500000</v>
      </c>
      <c r="D4964" s="22">
        <f ca="1">IFERROR(__xludf.DUMMYFUNCTION("""COMPUTED_VALUE"""),0)</f>
        <v>0</v>
      </c>
      <c r="E4964" s="22">
        <f ca="1">IFERROR(__xludf.DUMMYFUNCTION("""COMPUTED_VALUE"""),500000)</f>
        <v>500000</v>
      </c>
      <c r="F4964" s="22">
        <f ca="1">IFERROR(__xludf.DUMMYFUNCTION("""COMPUTED_VALUE"""),500000)</f>
        <v>500000</v>
      </c>
      <c r="G4964" s="22">
        <f ca="1">IFERROR(__xludf.DUMMYFUNCTION("""COMPUTED_VALUE"""),0)</f>
        <v>0</v>
      </c>
      <c r="H4964" s="7">
        <f ca="1">IFERROR(__xludf.DUMMYFUNCTION("""COMPUTED_VALUE"""),500000)</f>
        <v>500000</v>
      </c>
    </row>
    <row r="4965" spans="1:8" ht="13" x14ac:dyDescent="0.15">
      <c r="A4965" s="5" t="str">
        <f ca="1">IFERROR(__xludf.DUMMYFUNCTION("""COMPUTED_VALUE"""),"84216")</f>
        <v>84216</v>
      </c>
      <c r="B4965" s="51">
        <f ca="1">IFERROR(__xludf.DUMMYFUNCTION("""COMPUTED_VALUE"""),44636)</f>
        <v>44636</v>
      </c>
      <c r="C4965" s="22">
        <f ca="1">IFERROR(__xludf.DUMMYFUNCTION("""COMPUTED_VALUE"""),500000)</f>
        <v>500000</v>
      </c>
      <c r="D4965" s="22">
        <f ca="1">IFERROR(__xludf.DUMMYFUNCTION("""COMPUTED_VALUE"""),0)</f>
        <v>0</v>
      </c>
      <c r="E4965" s="22">
        <f ca="1">IFERROR(__xludf.DUMMYFUNCTION("""COMPUTED_VALUE"""),500000)</f>
        <v>500000</v>
      </c>
      <c r="F4965" s="22">
        <f ca="1">IFERROR(__xludf.DUMMYFUNCTION("""COMPUTED_VALUE"""),500000)</f>
        <v>500000</v>
      </c>
      <c r="G4965" s="22">
        <f ca="1">IFERROR(__xludf.DUMMYFUNCTION("""COMPUTED_VALUE"""),0)</f>
        <v>0</v>
      </c>
      <c r="H4965" s="7">
        <f ca="1">IFERROR(__xludf.DUMMYFUNCTION("""COMPUTED_VALUE"""),500000)</f>
        <v>500000</v>
      </c>
    </row>
    <row r="4966" spans="1:8" ht="13" x14ac:dyDescent="0.15">
      <c r="A4966" s="5" t="str">
        <f ca="1">IFERROR(__xludf.DUMMYFUNCTION("""COMPUTED_VALUE"""),"84216")</f>
        <v>84216</v>
      </c>
      <c r="B4966" s="51">
        <f ca="1">IFERROR(__xludf.DUMMYFUNCTION("""COMPUTED_VALUE"""),44637)</f>
        <v>44637</v>
      </c>
      <c r="C4966" s="22">
        <f ca="1">IFERROR(__xludf.DUMMYFUNCTION("""COMPUTED_VALUE"""),500000)</f>
        <v>500000</v>
      </c>
      <c r="D4966" s="22">
        <f ca="1">IFERROR(__xludf.DUMMYFUNCTION("""COMPUTED_VALUE"""),0)</f>
        <v>0</v>
      </c>
      <c r="E4966" s="22">
        <f ca="1">IFERROR(__xludf.DUMMYFUNCTION("""COMPUTED_VALUE"""),500000)</f>
        <v>500000</v>
      </c>
      <c r="F4966" s="22">
        <f ca="1">IFERROR(__xludf.DUMMYFUNCTION("""COMPUTED_VALUE"""),500000)</f>
        <v>500000</v>
      </c>
      <c r="G4966" s="22">
        <f ca="1">IFERROR(__xludf.DUMMYFUNCTION("""COMPUTED_VALUE"""),0)</f>
        <v>0</v>
      </c>
      <c r="H4966" s="7">
        <f ca="1">IFERROR(__xludf.DUMMYFUNCTION("""COMPUTED_VALUE"""),500000)</f>
        <v>500000</v>
      </c>
    </row>
    <row r="4967" spans="1:8" ht="13" x14ac:dyDescent="0.15">
      <c r="A4967" s="5" t="str">
        <f ca="1">IFERROR(__xludf.DUMMYFUNCTION("""COMPUTED_VALUE"""),"84216")</f>
        <v>84216</v>
      </c>
      <c r="B4967" s="51">
        <f ca="1">IFERROR(__xludf.DUMMYFUNCTION("""COMPUTED_VALUE"""),44638)</f>
        <v>44638</v>
      </c>
      <c r="C4967" s="22">
        <f ca="1">IFERROR(__xludf.DUMMYFUNCTION("""COMPUTED_VALUE"""),500000)</f>
        <v>500000</v>
      </c>
      <c r="D4967" s="22">
        <f ca="1">IFERROR(__xludf.DUMMYFUNCTION("""COMPUTED_VALUE"""),0)</f>
        <v>0</v>
      </c>
      <c r="E4967" s="22">
        <f ca="1">IFERROR(__xludf.DUMMYFUNCTION("""COMPUTED_VALUE"""),500000)</f>
        <v>500000</v>
      </c>
      <c r="F4967" s="22">
        <f ca="1">IFERROR(__xludf.DUMMYFUNCTION("""COMPUTED_VALUE"""),500000)</f>
        <v>500000</v>
      </c>
      <c r="G4967" s="22">
        <f ca="1">IFERROR(__xludf.DUMMYFUNCTION("""COMPUTED_VALUE"""),0)</f>
        <v>0</v>
      </c>
      <c r="H4967" s="7">
        <f ca="1">IFERROR(__xludf.DUMMYFUNCTION("""COMPUTED_VALUE"""),500000)</f>
        <v>500000</v>
      </c>
    </row>
    <row r="4968" spans="1:8" ht="13" x14ac:dyDescent="0.15">
      <c r="A4968" s="5" t="str">
        <f ca="1">IFERROR(__xludf.DUMMYFUNCTION("""COMPUTED_VALUE"""),"84216")</f>
        <v>84216</v>
      </c>
      <c r="B4968" s="51">
        <f ca="1">IFERROR(__xludf.DUMMYFUNCTION("""COMPUTED_VALUE"""),44639)</f>
        <v>44639</v>
      </c>
      <c r="C4968" s="22">
        <f ca="1">IFERROR(__xludf.DUMMYFUNCTION("""COMPUTED_VALUE"""),500000)</f>
        <v>500000</v>
      </c>
      <c r="D4968" s="22">
        <f ca="1">IFERROR(__xludf.DUMMYFUNCTION("""COMPUTED_VALUE"""),0)</f>
        <v>0</v>
      </c>
      <c r="E4968" s="22">
        <f ca="1">IFERROR(__xludf.DUMMYFUNCTION("""COMPUTED_VALUE"""),500000)</f>
        <v>500000</v>
      </c>
      <c r="F4968" s="22">
        <f ca="1">IFERROR(__xludf.DUMMYFUNCTION("""COMPUTED_VALUE"""),500000)</f>
        <v>500000</v>
      </c>
      <c r="G4968" s="22">
        <f ca="1">IFERROR(__xludf.DUMMYFUNCTION("""COMPUTED_VALUE"""),0)</f>
        <v>0</v>
      </c>
      <c r="H4968" s="7">
        <f ca="1">IFERROR(__xludf.DUMMYFUNCTION("""COMPUTED_VALUE"""),500000)</f>
        <v>500000</v>
      </c>
    </row>
    <row r="4969" spans="1:8" ht="13" x14ac:dyDescent="0.15">
      <c r="A4969" s="5" t="str">
        <f ca="1">IFERROR(__xludf.DUMMYFUNCTION("""COMPUTED_VALUE"""),"84216")</f>
        <v>84216</v>
      </c>
      <c r="B4969" s="51">
        <f ca="1">IFERROR(__xludf.DUMMYFUNCTION("""COMPUTED_VALUE"""),44640)</f>
        <v>44640</v>
      </c>
      <c r="C4969" s="22">
        <f ca="1">IFERROR(__xludf.DUMMYFUNCTION("""COMPUTED_VALUE"""),500000)</f>
        <v>500000</v>
      </c>
      <c r="D4969" s="22">
        <f ca="1">IFERROR(__xludf.DUMMYFUNCTION("""COMPUTED_VALUE"""),0)</f>
        <v>0</v>
      </c>
      <c r="E4969" s="22">
        <f ca="1">IFERROR(__xludf.DUMMYFUNCTION("""COMPUTED_VALUE"""),500000)</f>
        <v>500000</v>
      </c>
      <c r="F4969" s="22">
        <f ca="1">IFERROR(__xludf.DUMMYFUNCTION("""COMPUTED_VALUE"""),500000)</f>
        <v>500000</v>
      </c>
      <c r="G4969" s="22">
        <f ca="1">IFERROR(__xludf.DUMMYFUNCTION("""COMPUTED_VALUE"""),0)</f>
        <v>0</v>
      </c>
      <c r="H4969" s="7">
        <f ca="1">IFERROR(__xludf.DUMMYFUNCTION("""COMPUTED_VALUE"""),500000)</f>
        <v>500000</v>
      </c>
    </row>
    <row r="4970" spans="1:8" ht="13" x14ac:dyDescent="0.15">
      <c r="A4970" s="5" t="str">
        <f ca="1">IFERROR(__xludf.DUMMYFUNCTION("""COMPUTED_VALUE"""),"84216")</f>
        <v>84216</v>
      </c>
      <c r="B4970" s="51">
        <f ca="1">IFERROR(__xludf.DUMMYFUNCTION("""COMPUTED_VALUE"""),44641)</f>
        <v>44641</v>
      </c>
      <c r="C4970" s="22">
        <f ca="1">IFERROR(__xludf.DUMMYFUNCTION("""COMPUTED_VALUE"""),500000)</f>
        <v>500000</v>
      </c>
      <c r="D4970" s="22">
        <f ca="1">IFERROR(__xludf.DUMMYFUNCTION("""COMPUTED_VALUE"""),0)</f>
        <v>0</v>
      </c>
      <c r="E4970" s="22">
        <f ca="1">IFERROR(__xludf.DUMMYFUNCTION("""COMPUTED_VALUE"""),500000)</f>
        <v>500000</v>
      </c>
      <c r="F4970" s="22">
        <f ca="1">IFERROR(__xludf.DUMMYFUNCTION("""COMPUTED_VALUE"""),500000)</f>
        <v>500000</v>
      </c>
      <c r="G4970" s="22">
        <f ca="1">IFERROR(__xludf.DUMMYFUNCTION("""COMPUTED_VALUE"""),0)</f>
        <v>0</v>
      </c>
      <c r="H4970" s="7">
        <f ca="1">IFERROR(__xludf.DUMMYFUNCTION("""COMPUTED_VALUE"""),500000)</f>
        <v>500000</v>
      </c>
    </row>
    <row r="4971" spans="1:8" ht="13" x14ac:dyDescent="0.15">
      <c r="A4971" s="5" t="str">
        <f ca="1">IFERROR(__xludf.DUMMYFUNCTION("""COMPUTED_VALUE"""),"84216")</f>
        <v>84216</v>
      </c>
      <c r="B4971" s="51">
        <f ca="1">IFERROR(__xludf.DUMMYFUNCTION("""COMPUTED_VALUE"""),44642)</f>
        <v>44642</v>
      </c>
      <c r="C4971" s="22">
        <f ca="1">IFERROR(__xludf.DUMMYFUNCTION("""COMPUTED_VALUE"""),500000)</f>
        <v>500000</v>
      </c>
      <c r="D4971" s="22">
        <f ca="1">IFERROR(__xludf.DUMMYFUNCTION("""COMPUTED_VALUE"""),0)</f>
        <v>0</v>
      </c>
      <c r="E4971" s="22">
        <f ca="1">IFERROR(__xludf.DUMMYFUNCTION("""COMPUTED_VALUE"""),500000)</f>
        <v>500000</v>
      </c>
      <c r="F4971" s="22">
        <f ca="1">IFERROR(__xludf.DUMMYFUNCTION("""COMPUTED_VALUE"""),500000)</f>
        <v>500000</v>
      </c>
      <c r="G4971" s="22">
        <f ca="1">IFERROR(__xludf.DUMMYFUNCTION("""COMPUTED_VALUE"""),0)</f>
        <v>0</v>
      </c>
      <c r="H4971" s="7">
        <f ca="1">IFERROR(__xludf.DUMMYFUNCTION("""COMPUTED_VALUE"""),500000)</f>
        <v>500000</v>
      </c>
    </row>
    <row r="4972" spans="1:8" ht="13" x14ac:dyDescent="0.15">
      <c r="A4972" s="5" t="str">
        <f ca="1">IFERROR(__xludf.DUMMYFUNCTION("""COMPUTED_VALUE"""),"89651")</f>
        <v>89651</v>
      </c>
      <c r="B4972" s="51">
        <f ca="1">IFERROR(__xludf.DUMMYFUNCTION("""COMPUTED_VALUE"""),44597)</f>
        <v>44597</v>
      </c>
      <c r="C4972" s="22">
        <f ca="1">IFERROR(__xludf.DUMMYFUNCTION("""COMPUTED_VALUE"""),500000)</f>
        <v>500000</v>
      </c>
      <c r="D4972" s="22">
        <f ca="1">IFERROR(__xludf.DUMMYFUNCTION("""COMPUTED_VALUE"""),0)</f>
        <v>0</v>
      </c>
      <c r="E4972" s="22">
        <f ca="1">IFERROR(__xludf.DUMMYFUNCTION("""COMPUTED_VALUE"""),500000)</f>
        <v>500000</v>
      </c>
      <c r="F4972" s="22">
        <f ca="1">IFERROR(__xludf.DUMMYFUNCTION("""COMPUTED_VALUE"""),500000)</f>
        <v>500000</v>
      </c>
      <c r="G4972" s="22">
        <f ca="1">IFERROR(__xludf.DUMMYFUNCTION("""COMPUTED_VALUE"""),0)</f>
        <v>0</v>
      </c>
      <c r="H4972" s="7">
        <f ca="1">IFERROR(__xludf.DUMMYFUNCTION("""COMPUTED_VALUE"""),500000)</f>
        <v>500000</v>
      </c>
    </row>
    <row r="4973" spans="1:8" ht="13" x14ac:dyDescent="0.15">
      <c r="A4973" s="5" t="str">
        <f ca="1">IFERROR(__xludf.DUMMYFUNCTION("""COMPUTED_VALUE"""),"89651")</f>
        <v>89651</v>
      </c>
      <c r="B4973" s="51">
        <f ca="1">IFERROR(__xludf.DUMMYFUNCTION("""COMPUTED_VALUE"""),44598)</f>
        <v>44598</v>
      </c>
      <c r="C4973" s="22">
        <f ca="1">IFERROR(__xludf.DUMMYFUNCTION("""COMPUTED_VALUE"""),500000)</f>
        <v>500000</v>
      </c>
      <c r="D4973" s="22">
        <f ca="1">IFERROR(__xludf.DUMMYFUNCTION("""COMPUTED_VALUE"""),0)</f>
        <v>0</v>
      </c>
      <c r="E4973" s="22">
        <f ca="1">IFERROR(__xludf.DUMMYFUNCTION("""COMPUTED_VALUE"""),500000)</f>
        <v>500000</v>
      </c>
      <c r="F4973" s="22">
        <f ca="1">IFERROR(__xludf.DUMMYFUNCTION("""COMPUTED_VALUE"""),500000)</f>
        <v>500000</v>
      </c>
      <c r="G4973" s="22">
        <f ca="1">IFERROR(__xludf.DUMMYFUNCTION("""COMPUTED_VALUE"""),0)</f>
        <v>0</v>
      </c>
      <c r="H4973" s="7">
        <f ca="1">IFERROR(__xludf.DUMMYFUNCTION("""COMPUTED_VALUE"""),500000)</f>
        <v>500000</v>
      </c>
    </row>
    <row r="4974" spans="1:8" ht="13" x14ac:dyDescent="0.15">
      <c r="A4974" s="5" t="str">
        <f ca="1">IFERROR(__xludf.DUMMYFUNCTION("""COMPUTED_VALUE"""),"89651")</f>
        <v>89651</v>
      </c>
      <c r="B4974" s="51">
        <f ca="1">IFERROR(__xludf.DUMMYFUNCTION("""COMPUTED_VALUE"""),44599)</f>
        <v>44599</v>
      </c>
      <c r="C4974" s="22">
        <f ca="1">IFERROR(__xludf.DUMMYFUNCTION("""COMPUTED_VALUE"""),500000)</f>
        <v>500000</v>
      </c>
      <c r="D4974" s="22">
        <f ca="1">IFERROR(__xludf.DUMMYFUNCTION("""COMPUTED_VALUE"""),0)</f>
        <v>0</v>
      </c>
      <c r="E4974" s="22">
        <f ca="1">IFERROR(__xludf.DUMMYFUNCTION("""COMPUTED_VALUE"""),500000)</f>
        <v>500000</v>
      </c>
      <c r="F4974" s="22">
        <f ca="1">IFERROR(__xludf.DUMMYFUNCTION("""COMPUTED_VALUE"""),500000)</f>
        <v>500000</v>
      </c>
      <c r="G4974" s="22">
        <f ca="1">IFERROR(__xludf.DUMMYFUNCTION("""COMPUTED_VALUE"""),0)</f>
        <v>0</v>
      </c>
      <c r="H4974" s="7">
        <f ca="1">IFERROR(__xludf.DUMMYFUNCTION("""COMPUTED_VALUE"""),500000)</f>
        <v>500000</v>
      </c>
    </row>
    <row r="4975" spans="1:8" ht="13" x14ac:dyDescent="0.15">
      <c r="A4975" s="5" t="str">
        <f ca="1">IFERROR(__xludf.DUMMYFUNCTION("""COMPUTED_VALUE"""),"89651")</f>
        <v>89651</v>
      </c>
      <c r="B4975" s="51">
        <f ca="1">IFERROR(__xludf.DUMMYFUNCTION("""COMPUTED_VALUE"""),44600)</f>
        <v>44600</v>
      </c>
      <c r="C4975" s="22">
        <f ca="1">IFERROR(__xludf.DUMMYFUNCTION("""COMPUTED_VALUE"""),500000)</f>
        <v>500000</v>
      </c>
      <c r="D4975" s="22">
        <f ca="1">IFERROR(__xludf.DUMMYFUNCTION("""COMPUTED_VALUE"""),0)</f>
        <v>0</v>
      </c>
      <c r="E4975" s="22">
        <f ca="1">IFERROR(__xludf.DUMMYFUNCTION("""COMPUTED_VALUE"""),500000)</f>
        <v>500000</v>
      </c>
      <c r="F4975" s="22">
        <f ca="1">IFERROR(__xludf.DUMMYFUNCTION("""COMPUTED_VALUE"""),500000)</f>
        <v>500000</v>
      </c>
      <c r="G4975" s="22">
        <f ca="1">IFERROR(__xludf.DUMMYFUNCTION("""COMPUTED_VALUE"""),0)</f>
        <v>0</v>
      </c>
      <c r="H4975" s="7">
        <f ca="1">IFERROR(__xludf.DUMMYFUNCTION("""COMPUTED_VALUE"""),500000)</f>
        <v>500000</v>
      </c>
    </row>
    <row r="4976" spans="1:8" ht="13" x14ac:dyDescent="0.15">
      <c r="A4976" s="5" t="str">
        <f ca="1">IFERROR(__xludf.DUMMYFUNCTION("""COMPUTED_VALUE"""),"89651")</f>
        <v>89651</v>
      </c>
      <c r="B4976" s="51">
        <f ca="1">IFERROR(__xludf.DUMMYFUNCTION("""COMPUTED_VALUE"""),44601)</f>
        <v>44601</v>
      </c>
      <c r="C4976" s="22">
        <f ca="1">IFERROR(__xludf.DUMMYFUNCTION("""COMPUTED_VALUE"""),500000)</f>
        <v>500000</v>
      </c>
      <c r="D4976" s="22">
        <f ca="1">IFERROR(__xludf.DUMMYFUNCTION("""COMPUTED_VALUE"""),0)</f>
        <v>0</v>
      </c>
      <c r="E4976" s="22">
        <f ca="1">IFERROR(__xludf.DUMMYFUNCTION("""COMPUTED_VALUE"""),500000)</f>
        <v>500000</v>
      </c>
      <c r="F4976" s="22">
        <f ca="1">IFERROR(__xludf.DUMMYFUNCTION("""COMPUTED_VALUE"""),500000)</f>
        <v>500000</v>
      </c>
      <c r="G4976" s="22">
        <f ca="1">IFERROR(__xludf.DUMMYFUNCTION("""COMPUTED_VALUE"""),0)</f>
        <v>0</v>
      </c>
      <c r="H4976" s="7">
        <f ca="1">IFERROR(__xludf.DUMMYFUNCTION("""COMPUTED_VALUE"""),500000)</f>
        <v>500000</v>
      </c>
    </row>
    <row r="4977" spans="1:8" ht="13" x14ac:dyDescent="0.15">
      <c r="A4977" s="5" t="str">
        <f ca="1">IFERROR(__xludf.DUMMYFUNCTION("""COMPUTED_VALUE"""),"89651")</f>
        <v>89651</v>
      </c>
      <c r="B4977" s="51">
        <f ca="1">IFERROR(__xludf.DUMMYFUNCTION("""COMPUTED_VALUE"""),44602)</f>
        <v>44602</v>
      </c>
      <c r="C4977" s="22">
        <f ca="1">IFERROR(__xludf.DUMMYFUNCTION("""COMPUTED_VALUE"""),500000)</f>
        <v>500000</v>
      </c>
      <c r="D4977" s="22">
        <f ca="1">IFERROR(__xludf.DUMMYFUNCTION("""COMPUTED_VALUE"""),0)</f>
        <v>0</v>
      </c>
      <c r="E4977" s="22">
        <f ca="1">IFERROR(__xludf.DUMMYFUNCTION("""COMPUTED_VALUE"""),500000)</f>
        <v>500000</v>
      </c>
      <c r="F4977" s="22">
        <f ca="1">IFERROR(__xludf.DUMMYFUNCTION("""COMPUTED_VALUE"""),500000)</f>
        <v>500000</v>
      </c>
      <c r="G4977" s="22">
        <f ca="1">IFERROR(__xludf.DUMMYFUNCTION("""COMPUTED_VALUE"""),0)</f>
        <v>0</v>
      </c>
      <c r="H4977" s="7">
        <f ca="1">IFERROR(__xludf.DUMMYFUNCTION("""COMPUTED_VALUE"""),500000)</f>
        <v>500000</v>
      </c>
    </row>
    <row r="4978" spans="1:8" ht="13" x14ac:dyDescent="0.15">
      <c r="A4978" s="5" t="str">
        <f ca="1">IFERROR(__xludf.DUMMYFUNCTION("""COMPUTED_VALUE"""),"89651")</f>
        <v>89651</v>
      </c>
      <c r="B4978" s="51">
        <f ca="1">IFERROR(__xludf.DUMMYFUNCTION("""COMPUTED_VALUE"""),44603)</f>
        <v>44603</v>
      </c>
      <c r="C4978" s="22">
        <f ca="1">IFERROR(__xludf.DUMMYFUNCTION("""COMPUTED_VALUE"""),500000)</f>
        <v>500000</v>
      </c>
      <c r="D4978" s="22">
        <f ca="1">IFERROR(__xludf.DUMMYFUNCTION("""COMPUTED_VALUE"""),0)</f>
        <v>0</v>
      </c>
      <c r="E4978" s="22">
        <f ca="1">IFERROR(__xludf.DUMMYFUNCTION("""COMPUTED_VALUE"""),500000)</f>
        <v>500000</v>
      </c>
      <c r="F4978" s="22">
        <f ca="1">IFERROR(__xludf.DUMMYFUNCTION("""COMPUTED_VALUE"""),500000)</f>
        <v>500000</v>
      </c>
      <c r="G4978" s="22">
        <f ca="1">IFERROR(__xludf.DUMMYFUNCTION("""COMPUTED_VALUE"""),0)</f>
        <v>0</v>
      </c>
      <c r="H4978" s="7">
        <f ca="1">IFERROR(__xludf.DUMMYFUNCTION("""COMPUTED_VALUE"""),500000)</f>
        <v>500000</v>
      </c>
    </row>
    <row r="4979" spans="1:8" ht="13" x14ac:dyDescent="0.15">
      <c r="A4979" s="5" t="str">
        <f ca="1">IFERROR(__xludf.DUMMYFUNCTION("""COMPUTED_VALUE"""),"89651")</f>
        <v>89651</v>
      </c>
      <c r="B4979" s="51">
        <f ca="1">IFERROR(__xludf.DUMMYFUNCTION("""COMPUTED_VALUE"""),44604)</f>
        <v>44604</v>
      </c>
      <c r="C4979" s="22">
        <f ca="1">IFERROR(__xludf.DUMMYFUNCTION("""COMPUTED_VALUE"""),500000)</f>
        <v>500000</v>
      </c>
      <c r="D4979" s="22">
        <f ca="1">IFERROR(__xludf.DUMMYFUNCTION("""COMPUTED_VALUE"""),0)</f>
        <v>0</v>
      </c>
      <c r="E4979" s="22">
        <f ca="1">IFERROR(__xludf.DUMMYFUNCTION("""COMPUTED_VALUE"""),500000)</f>
        <v>500000</v>
      </c>
      <c r="F4979" s="22">
        <f ca="1">IFERROR(__xludf.DUMMYFUNCTION("""COMPUTED_VALUE"""),500000)</f>
        <v>500000</v>
      </c>
      <c r="G4979" s="22">
        <f ca="1">IFERROR(__xludf.DUMMYFUNCTION("""COMPUTED_VALUE"""),0)</f>
        <v>0</v>
      </c>
      <c r="H4979" s="7">
        <f ca="1">IFERROR(__xludf.DUMMYFUNCTION("""COMPUTED_VALUE"""),500000)</f>
        <v>500000</v>
      </c>
    </row>
    <row r="4980" spans="1:8" ht="13" x14ac:dyDescent="0.15">
      <c r="A4980" s="5" t="str">
        <f ca="1">IFERROR(__xludf.DUMMYFUNCTION("""COMPUTED_VALUE"""),"89651")</f>
        <v>89651</v>
      </c>
      <c r="B4980" s="51">
        <f ca="1">IFERROR(__xludf.DUMMYFUNCTION("""COMPUTED_VALUE"""),44605)</f>
        <v>44605</v>
      </c>
      <c r="C4980" s="22">
        <f ca="1">IFERROR(__xludf.DUMMYFUNCTION("""COMPUTED_VALUE"""),500000)</f>
        <v>500000</v>
      </c>
      <c r="D4980" s="22">
        <f ca="1">IFERROR(__xludf.DUMMYFUNCTION("""COMPUTED_VALUE"""),0)</f>
        <v>0</v>
      </c>
      <c r="E4980" s="22">
        <f ca="1">IFERROR(__xludf.DUMMYFUNCTION("""COMPUTED_VALUE"""),500000)</f>
        <v>500000</v>
      </c>
      <c r="F4980" s="22">
        <f ca="1">IFERROR(__xludf.DUMMYFUNCTION("""COMPUTED_VALUE"""),500000)</f>
        <v>500000</v>
      </c>
      <c r="G4980" s="22">
        <f ca="1">IFERROR(__xludf.DUMMYFUNCTION("""COMPUTED_VALUE"""),0)</f>
        <v>0</v>
      </c>
      <c r="H4980" s="7">
        <f ca="1">IFERROR(__xludf.DUMMYFUNCTION("""COMPUTED_VALUE"""),500000)</f>
        <v>500000</v>
      </c>
    </row>
    <row r="4981" spans="1:8" ht="13" x14ac:dyDescent="0.15">
      <c r="A4981" s="5" t="str">
        <f ca="1">IFERROR(__xludf.DUMMYFUNCTION("""COMPUTED_VALUE"""),"89651")</f>
        <v>89651</v>
      </c>
      <c r="B4981" s="51">
        <f ca="1">IFERROR(__xludf.DUMMYFUNCTION("""COMPUTED_VALUE"""),44606)</f>
        <v>44606</v>
      </c>
      <c r="C4981" s="22">
        <f ca="1">IFERROR(__xludf.DUMMYFUNCTION("""COMPUTED_VALUE"""),500000)</f>
        <v>500000</v>
      </c>
      <c r="D4981" s="22">
        <f ca="1">IFERROR(__xludf.DUMMYFUNCTION("""COMPUTED_VALUE"""),0)</f>
        <v>0</v>
      </c>
      <c r="E4981" s="22">
        <f ca="1">IFERROR(__xludf.DUMMYFUNCTION("""COMPUTED_VALUE"""),500000)</f>
        <v>500000</v>
      </c>
      <c r="F4981" s="22">
        <f ca="1">IFERROR(__xludf.DUMMYFUNCTION("""COMPUTED_VALUE"""),500000)</f>
        <v>500000</v>
      </c>
      <c r="G4981" s="22">
        <f ca="1">IFERROR(__xludf.DUMMYFUNCTION("""COMPUTED_VALUE"""),0)</f>
        <v>0</v>
      </c>
      <c r="H4981" s="7">
        <f ca="1">IFERROR(__xludf.DUMMYFUNCTION("""COMPUTED_VALUE"""),500000)</f>
        <v>500000</v>
      </c>
    </row>
    <row r="4982" spans="1:8" ht="13" x14ac:dyDescent="0.15">
      <c r="A4982" s="5" t="str">
        <f ca="1">IFERROR(__xludf.DUMMYFUNCTION("""COMPUTED_VALUE"""),"89651")</f>
        <v>89651</v>
      </c>
      <c r="B4982" s="51">
        <f ca="1">IFERROR(__xludf.DUMMYFUNCTION("""COMPUTED_VALUE"""),44607)</f>
        <v>44607</v>
      </c>
      <c r="C4982" s="22">
        <f ca="1">IFERROR(__xludf.DUMMYFUNCTION("""COMPUTED_VALUE"""),500000)</f>
        <v>500000</v>
      </c>
      <c r="D4982" s="22">
        <f ca="1">IFERROR(__xludf.DUMMYFUNCTION("""COMPUTED_VALUE"""),0)</f>
        <v>0</v>
      </c>
      <c r="E4982" s="22">
        <f ca="1">IFERROR(__xludf.DUMMYFUNCTION("""COMPUTED_VALUE"""),500000)</f>
        <v>500000</v>
      </c>
      <c r="F4982" s="22">
        <f ca="1">IFERROR(__xludf.DUMMYFUNCTION("""COMPUTED_VALUE"""),500000)</f>
        <v>500000</v>
      </c>
      <c r="G4982" s="22">
        <f ca="1">IFERROR(__xludf.DUMMYFUNCTION("""COMPUTED_VALUE"""),0)</f>
        <v>0</v>
      </c>
      <c r="H4982" s="7">
        <f ca="1">IFERROR(__xludf.DUMMYFUNCTION("""COMPUTED_VALUE"""),500000)</f>
        <v>500000</v>
      </c>
    </row>
    <row r="4983" spans="1:8" ht="13" x14ac:dyDescent="0.15">
      <c r="A4983" s="5" t="str">
        <f ca="1">IFERROR(__xludf.DUMMYFUNCTION("""COMPUTED_VALUE"""),"89651")</f>
        <v>89651</v>
      </c>
      <c r="B4983" s="51">
        <f ca="1">IFERROR(__xludf.DUMMYFUNCTION("""COMPUTED_VALUE"""),44608)</f>
        <v>44608</v>
      </c>
      <c r="C4983" s="22">
        <f ca="1">IFERROR(__xludf.DUMMYFUNCTION("""COMPUTED_VALUE"""),500000)</f>
        <v>500000</v>
      </c>
      <c r="D4983" s="22">
        <f ca="1">IFERROR(__xludf.DUMMYFUNCTION("""COMPUTED_VALUE"""),0)</f>
        <v>0</v>
      </c>
      <c r="E4983" s="22">
        <f ca="1">IFERROR(__xludf.DUMMYFUNCTION("""COMPUTED_VALUE"""),500000)</f>
        <v>500000</v>
      </c>
      <c r="F4983" s="22">
        <f ca="1">IFERROR(__xludf.DUMMYFUNCTION("""COMPUTED_VALUE"""),500000)</f>
        <v>500000</v>
      </c>
      <c r="G4983" s="22">
        <f ca="1">IFERROR(__xludf.DUMMYFUNCTION("""COMPUTED_VALUE"""),0)</f>
        <v>0</v>
      </c>
      <c r="H4983" s="7">
        <f ca="1">IFERROR(__xludf.DUMMYFUNCTION("""COMPUTED_VALUE"""),500000)</f>
        <v>500000</v>
      </c>
    </row>
    <row r="4984" spans="1:8" ht="13" x14ac:dyDescent="0.15">
      <c r="A4984" s="5" t="str">
        <f ca="1">IFERROR(__xludf.DUMMYFUNCTION("""COMPUTED_VALUE"""),"89651")</f>
        <v>89651</v>
      </c>
      <c r="B4984" s="51">
        <f ca="1">IFERROR(__xludf.DUMMYFUNCTION("""COMPUTED_VALUE"""),44609)</f>
        <v>44609</v>
      </c>
      <c r="C4984" s="22">
        <f ca="1">IFERROR(__xludf.DUMMYFUNCTION("""COMPUTED_VALUE"""),500000)</f>
        <v>500000</v>
      </c>
      <c r="D4984" s="22">
        <f ca="1">IFERROR(__xludf.DUMMYFUNCTION("""COMPUTED_VALUE"""),0)</f>
        <v>0</v>
      </c>
      <c r="E4984" s="22">
        <f ca="1">IFERROR(__xludf.DUMMYFUNCTION("""COMPUTED_VALUE"""),500000)</f>
        <v>500000</v>
      </c>
      <c r="F4984" s="22">
        <f ca="1">IFERROR(__xludf.DUMMYFUNCTION("""COMPUTED_VALUE"""),500000)</f>
        <v>500000</v>
      </c>
      <c r="G4984" s="22">
        <f ca="1">IFERROR(__xludf.DUMMYFUNCTION("""COMPUTED_VALUE"""),0)</f>
        <v>0</v>
      </c>
      <c r="H4984" s="7">
        <f ca="1">IFERROR(__xludf.DUMMYFUNCTION("""COMPUTED_VALUE"""),500000)</f>
        <v>500000</v>
      </c>
    </row>
    <row r="4985" spans="1:8" ht="13" x14ac:dyDescent="0.15">
      <c r="A4985" s="5" t="str">
        <f ca="1">IFERROR(__xludf.DUMMYFUNCTION("""COMPUTED_VALUE"""),"89651")</f>
        <v>89651</v>
      </c>
      <c r="B4985" s="51">
        <f ca="1">IFERROR(__xludf.DUMMYFUNCTION("""COMPUTED_VALUE"""),44610)</f>
        <v>44610</v>
      </c>
      <c r="C4985" s="22">
        <f ca="1">IFERROR(__xludf.DUMMYFUNCTION("""COMPUTED_VALUE"""),500000)</f>
        <v>500000</v>
      </c>
      <c r="D4985" s="22">
        <f ca="1">IFERROR(__xludf.DUMMYFUNCTION("""COMPUTED_VALUE"""),0)</f>
        <v>0</v>
      </c>
      <c r="E4985" s="22">
        <f ca="1">IFERROR(__xludf.DUMMYFUNCTION("""COMPUTED_VALUE"""),500000)</f>
        <v>500000</v>
      </c>
      <c r="F4985" s="22">
        <f ca="1">IFERROR(__xludf.DUMMYFUNCTION("""COMPUTED_VALUE"""),500000)</f>
        <v>500000</v>
      </c>
      <c r="G4985" s="22">
        <f ca="1">IFERROR(__xludf.DUMMYFUNCTION("""COMPUTED_VALUE"""),0)</f>
        <v>0</v>
      </c>
      <c r="H4985" s="7">
        <f ca="1">IFERROR(__xludf.DUMMYFUNCTION("""COMPUTED_VALUE"""),500000)</f>
        <v>500000</v>
      </c>
    </row>
    <row r="4986" spans="1:8" ht="13" x14ac:dyDescent="0.15">
      <c r="A4986" s="5" t="str">
        <f ca="1">IFERROR(__xludf.DUMMYFUNCTION("""COMPUTED_VALUE"""),"89651")</f>
        <v>89651</v>
      </c>
      <c r="B4986" s="51">
        <f ca="1">IFERROR(__xludf.DUMMYFUNCTION("""COMPUTED_VALUE"""),44611)</f>
        <v>44611</v>
      </c>
      <c r="C4986" s="22">
        <f ca="1">IFERROR(__xludf.DUMMYFUNCTION("""COMPUTED_VALUE"""),500000)</f>
        <v>500000</v>
      </c>
      <c r="D4986" s="22">
        <f ca="1">IFERROR(__xludf.DUMMYFUNCTION("""COMPUTED_VALUE"""),0)</f>
        <v>0</v>
      </c>
      <c r="E4986" s="22">
        <f ca="1">IFERROR(__xludf.DUMMYFUNCTION("""COMPUTED_VALUE"""),500000)</f>
        <v>500000</v>
      </c>
      <c r="F4986" s="22">
        <f ca="1">IFERROR(__xludf.DUMMYFUNCTION("""COMPUTED_VALUE"""),500000)</f>
        <v>500000</v>
      </c>
      <c r="G4986" s="22">
        <f ca="1">IFERROR(__xludf.DUMMYFUNCTION("""COMPUTED_VALUE"""),0)</f>
        <v>0</v>
      </c>
      <c r="H4986" s="7">
        <f ca="1">IFERROR(__xludf.DUMMYFUNCTION("""COMPUTED_VALUE"""),500000)</f>
        <v>500000</v>
      </c>
    </row>
    <row r="4987" spans="1:8" ht="13" x14ac:dyDescent="0.15">
      <c r="A4987" s="5" t="str">
        <f ca="1">IFERROR(__xludf.DUMMYFUNCTION("""COMPUTED_VALUE"""),"89651")</f>
        <v>89651</v>
      </c>
      <c r="B4987" s="51">
        <f ca="1">IFERROR(__xludf.DUMMYFUNCTION("""COMPUTED_VALUE"""),44612)</f>
        <v>44612</v>
      </c>
      <c r="C4987" s="22">
        <f ca="1">IFERROR(__xludf.DUMMYFUNCTION("""COMPUTED_VALUE"""),500000)</f>
        <v>500000</v>
      </c>
      <c r="D4987" s="22">
        <f ca="1">IFERROR(__xludf.DUMMYFUNCTION("""COMPUTED_VALUE"""),0)</f>
        <v>0</v>
      </c>
      <c r="E4987" s="22">
        <f ca="1">IFERROR(__xludf.DUMMYFUNCTION("""COMPUTED_VALUE"""),500000)</f>
        <v>500000</v>
      </c>
      <c r="F4987" s="22">
        <f ca="1">IFERROR(__xludf.DUMMYFUNCTION("""COMPUTED_VALUE"""),500000)</f>
        <v>500000</v>
      </c>
      <c r="G4987" s="22">
        <f ca="1">IFERROR(__xludf.DUMMYFUNCTION("""COMPUTED_VALUE"""),0)</f>
        <v>0</v>
      </c>
      <c r="H4987" s="7">
        <f ca="1">IFERROR(__xludf.DUMMYFUNCTION("""COMPUTED_VALUE"""),500000)</f>
        <v>500000</v>
      </c>
    </row>
    <row r="4988" spans="1:8" ht="13" x14ac:dyDescent="0.15">
      <c r="A4988" s="5" t="str">
        <f ca="1">IFERROR(__xludf.DUMMYFUNCTION("""COMPUTED_VALUE"""),"89651")</f>
        <v>89651</v>
      </c>
      <c r="B4988" s="51">
        <f ca="1">IFERROR(__xludf.DUMMYFUNCTION("""COMPUTED_VALUE"""),44613)</f>
        <v>44613</v>
      </c>
      <c r="C4988" s="22">
        <f ca="1">IFERROR(__xludf.DUMMYFUNCTION("""COMPUTED_VALUE"""),500000)</f>
        <v>500000</v>
      </c>
      <c r="D4988" s="22">
        <f ca="1">IFERROR(__xludf.DUMMYFUNCTION("""COMPUTED_VALUE"""),0)</f>
        <v>0</v>
      </c>
      <c r="E4988" s="22">
        <f ca="1">IFERROR(__xludf.DUMMYFUNCTION("""COMPUTED_VALUE"""),500000)</f>
        <v>500000</v>
      </c>
      <c r="F4988" s="22">
        <f ca="1">IFERROR(__xludf.DUMMYFUNCTION("""COMPUTED_VALUE"""),500000)</f>
        <v>500000</v>
      </c>
      <c r="G4988" s="22">
        <f ca="1">IFERROR(__xludf.DUMMYFUNCTION("""COMPUTED_VALUE"""),0)</f>
        <v>0</v>
      </c>
      <c r="H4988" s="7">
        <f ca="1">IFERROR(__xludf.DUMMYFUNCTION("""COMPUTED_VALUE"""),500000)</f>
        <v>500000</v>
      </c>
    </row>
    <row r="4989" spans="1:8" ht="13" x14ac:dyDescent="0.15">
      <c r="A4989" s="5" t="str">
        <f ca="1">IFERROR(__xludf.DUMMYFUNCTION("""COMPUTED_VALUE"""),"89651")</f>
        <v>89651</v>
      </c>
      <c r="B4989" s="51">
        <f ca="1">IFERROR(__xludf.DUMMYFUNCTION("""COMPUTED_VALUE"""),44614)</f>
        <v>44614</v>
      </c>
      <c r="C4989" s="22">
        <f ca="1">IFERROR(__xludf.DUMMYFUNCTION("""COMPUTED_VALUE"""),500000)</f>
        <v>500000</v>
      </c>
      <c r="D4989" s="22">
        <f ca="1">IFERROR(__xludf.DUMMYFUNCTION("""COMPUTED_VALUE"""),0)</f>
        <v>0</v>
      </c>
      <c r="E4989" s="22">
        <f ca="1">IFERROR(__xludf.DUMMYFUNCTION("""COMPUTED_VALUE"""),500000)</f>
        <v>500000</v>
      </c>
      <c r="F4989" s="22">
        <f ca="1">IFERROR(__xludf.DUMMYFUNCTION("""COMPUTED_VALUE"""),500000)</f>
        <v>500000</v>
      </c>
      <c r="G4989" s="22">
        <f ca="1">IFERROR(__xludf.DUMMYFUNCTION("""COMPUTED_VALUE"""),0)</f>
        <v>0</v>
      </c>
      <c r="H4989" s="7">
        <f ca="1">IFERROR(__xludf.DUMMYFUNCTION("""COMPUTED_VALUE"""),500000)</f>
        <v>500000</v>
      </c>
    </row>
    <row r="4990" spans="1:8" ht="13" x14ac:dyDescent="0.15">
      <c r="A4990" s="5" t="str">
        <f ca="1">IFERROR(__xludf.DUMMYFUNCTION("""COMPUTED_VALUE"""),"89651")</f>
        <v>89651</v>
      </c>
      <c r="B4990" s="51">
        <f ca="1">IFERROR(__xludf.DUMMYFUNCTION("""COMPUTED_VALUE"""),44615)</f>
        <v>44615</v>
      </c>
      <c r="C4990" s="22">
        <f ca="1">IFERROR(__xludf.DUMMYFUNCTION("""COMPUTED_VALUE"""),500000)</f>
        <v>500000</v>
      </c>
      <c r="D4990" s="22">
        <f ca="1">IFERROR(__xludf.DUMMYFUNCTION("""COMPUTED_VALUE"""),0)</f>
        <v>0</v>
      </c>
      <c r="E4990" s="22">
        <f ca="1">IFERROR(__xludf.DUMMYFUNCTION("""COMPUTED_VALUE"""),500000)</f>
        <v>500000</v>
      </c>
      <c r="F4990" s="22">
        <f ca="1">IFERROR(__xludf.DUMMYFUNCTION("""COMPUTED_VALUE"""),500000)</f>
        <v>500000</v>
      </c>
      <c r="G4990" s="22">
        <f ca="1">IFERROR(__xludf.DUMMYFUNCTION("""COMPUTED_VALUE"""),0)</f>
        <v>0</v>
      </c>
      <c r="H4990" s="7">
        <f ca="1">IFERROR(__xludf.DUMMYFUNCTION("""COMPUTED_VALUE"""),500000)</f>
        <v>500000</v>
      </c>
    </row>
    <row r="4991" spans="1:8" ht="13" x14ac:dyDescent="0.15">
      <c r="A4991" s="5" t="str">
        <f ca="1">IFERROR(__xludf.DUMMYFUNCTION("""COMPUTED_VALUE"""),"89651")</f>
        <v>89651</v>
      </c>
      <c r="B4991" s="51">
        <f ca="1">IFERROR(__xludf.DUMMYFUNCTION("""COMPUTED_VALUE"""),44616)</f>
        <v>44616</v>
      </c>
      <c r="C4991" s="22">
        <f ca="1">IFERROR(__xludf.DUMMYFUNCTION("""COMPUTED_VALUE"""),500000)</f>
        <v>500000</v>
      </c>
      <c r="D4991" s="22">
        <f ca="1">IFERROR(__xludf.DUMMYFUNCTION("""COMPUTED_VALUE"""),0)</f>
        <v>0</v>
      </c>
      <c r="E4991" s="22">
        <f ca="1">IFERROR(__xludf.DUMMYFUNCTION("""COMPUTED_VALUE"""),500000)</f>
        <v>500000</v>
      </c>
      <c r="F4991" s="22">
        <f ca="1">IFERROR(__xludf.DUMMYFUNCTION("""COMPUTED_VALUE"""),500000)</f>
        <v>500000</v>
      </c>
      <c r="G4991" s="22">
        <f ca="1">IFERROR(__xludf.DUMMYFUNCTION("""COMPUTED_VALUE"""),0)</f>
        <v>0</v>
      </c>
      <c r="H4991" s="7">
        <f ca="1">IFERROR(__xludf.DUMMYFUNCTION("""COMPUTED_VALUE"""),500000)</f>
        <v>500000</v>
      </c>
    </row>
    <row r="4992" spans="1:8" ht="13" x14ac:dyDescent="0.15">
      <c r="A4992" s="5" t="str">
        <f ca="1">IFERROR(__xludf.DUMMYFUNCTION("""COMPUTED_VALUE"""),"89651")</f>
        <v>89651</v>
      </c>
      <c r="B4992" s="51">
        <f ca="1">IFERROR(__xludf.DUMMYFUNCTION("""COMPUTED_VALUE"""),44617)</f>
        <v>44617</v>
      </c>
      <c r="C4992" s="22">
        <f ca="1">IFERROR(__xludf.DUMMYFUNCTION("""COMPUTED_VALUE"""),500000)</f>
        <v>500000</v>
      </c>
      <c r="D4992" s="22">
        <f ca="1">IFERROR(__xludf.DUMMYFUNCTION("""COMPUTED_VALUE"""),0)</f>
        <v>0</v>
      </c>
      <c r="E4992" s="22">
        <f ca="1">IFERROR(__xludf.DUMMYFUNCTION("""COMPUTED_VALUE"""),500000)</f>
        <v>500000</v>
      </c>
      <c r="F4992" s="22">
        <f ca="1">IFERROR(__xludf.DUMMYFUNCTION("""COMPUTED_VALUE"""),500000)</f>
        <v>500000</v>
      </c>
      <c r="G4992" s="22">
        <f ca="1">IFERROR(__xludf.DUMMYFUNCTION("""COMPUTED_VALUE"""),0)</f>
        <v>0</v>
      </c>
      <c r="H4992" s="7">
        <f ca="1">IFERROR(__xludf.DUMMYFUNCTION("""COMPUTED_VALUE"""),500000)</f>
        <v>500000</v>
      </c>
    </row>
    <row r="4993" spans="1:8" ht="13" x14ac:dyDescent="0.15">
      <c r="A4993" s="5" t="str">
        <f ca="1">IFERROR(__xludf.DUMMYFUNCTION("""COMPUTED_VALUE"""),"89651")</f>
        <v>89651</v>
      </c>
      <c r="B4993" s="51">
        <f ca="1">IFERROR(__xludf.DUMMYFUNCTION("""COMPUTED_VALUE"""),44618)</f>
        <v>44618</v>
      </c>
      <c r="C4993" s="22">
        <f ca="1">IFERROR(__xludf.DUMMYFUNCTION("""COMPUTED_VALUE"""),500000)</f>
        <v>500000</v>
      </c>
      <c r="D4993" s="22">
        <f ca="1">IFERROR(__xludf.DUMMYFUNCTION("""COMPUTED_VALUE"""),0)</f>
        <v>0</v>
      </c>
      <c r="E4993" s="22">
        <f ca="1">IFERROR(__xludf.DUMMYFUNCTION("""COMPUTED_VALUE"""),500000)</f>
        <v>500000</v>
      </c>
      <c r="F4993" s="22">
        <f ca="1">IFERROR(__xludf.DUMMYFUNCTION("""COMPUTED_VALUE"""),500000)</f>
        <v>500000</v>
      </c>
      <c r="G4993" s="22">
        <f ca="1">IFERROR(__xludf.DUMMYFUNCTION("""COMPUTED_VALUE"""),0)</f>
        <v>0</v>
      </c>
      <c r="H4993" s="7">
        <f ca="1">IFERROR(__xludf.DUMMYFUNCTION("""COMPUTED_VALUE"""),500000)</f>
        <v>500000</v>
      </c>
    </row>
    <row r="4994" spans="1:8" ht="13" x14ac:dyDescent="0.15">
      <c r="A4994" s="5" t="str">
        <f ca="1">IFERROR(__xludf.DUMMYFUNCTION("""COMPUTED_VALUE"""),"89651")</f>
        <v>89651</v>
      </c>
      <c r="B4994" s="51">
        <f ca="1">IFERROR(__xludf.DUMMYFUNCTION("""COMPUTED_VALUE"""),44619)</f>
        <v>44619</v>
      </c>
      <c r="C4994" s="22">
        <f ca="1">IFERROR(__xludf.DUMMYFUNCTION("""COMPUTED_VALUE"""),500000)</f>
        <v>500000</v>
      </c>
      <c r="D4994" s="22">
        <f ca="1">IFERROR(__xludf.DUMMYFUNCTION("""COMPUTED_VALUE"""),0)</f>
        <v>0</v>
      </c>
      <c r="E4994" s="22">
        <f ca="1">IFERROR(__xludf.DUMMYFUNCTION("""COMPUTED_VALUE"""),500000)</f>
        <v>500000</v>
      </c>
      <c r="F4994" s="22">
        <f ca="1">IFERROR(__xludf.DUMMYFUNCTION("""COMPUTED_VALUE"""),500000)</f>
        <v>500000</v>
      </c>
      <c r="G4994" s="22">
        <f ca="1">IFERROR(__xludf.DUMMYFUNCTION("""COMPUTED_VALUE"""),0)</f>
        <v>0</v>
      </c>
      <c r="H4994" s="7">
        <f ca="1">IFERROR(__xludf.DUMMYFUNCTION("""COMPUTED_VALUE"""),500000)</f>
        <v>500000</v>
      </c>
    </row>
    <row r="4995" spans="1:8" ht="13" x14ac:dyDescent="0.15">
      <c r="A4995" s="5" t="str">
        <f ca="1">IFERROR(__xludf.DUMMYFUNCTION("""COMPUTED_VALUE"""),"89651")</f>
        <v>89651</v>
      </c>
      <c r="B4995" s="51">
        <f ca="1">IFERROR(__xludf.DUMMYFUNCTION("""COMPUTED_VALUE"""),44620)</f>
        <v>44620</v>
      </c>
      <c r="C4995" s="22">
        <f ca="1">IFERROR(__xludf.DUMMYFUNCTION("""COMPUTED_VALUE"""),500000)</f>
        <v>500000</v>
      </c>
      <c r="D4995" s="22">
        <f ca="1">IFERROR(__xludf.DUMMYFUNCTION("""COMPUTED_VALUE"""),0)</f>
        <v>0</v>
      </c>
      <c r="E4995" s="22">
        <f ca="1">IFERROR(__xludf.DUMMYFUNCTION("""COMPUTED_VALUE"""),500000)</f>
        <v>500000</v>
      </c>
      <c r="F4995" s="22">
        <f ca="1">IFERROR(__xludf.DUMMYFUNCTION("""COMPUTED_VALUE"""),500000)</f>
        <v>500000</v>
      </c>
      <c r="G4995" s="22">
        <f ca="1">IFERROR(__xludf.DUMMYFUNCTION("""COMPUTED_VALUE"""),0)</f>
        <v>0</v>
      </c>
      <c r="H4995" s="7">
        <f ca="1">IFERROR(__xludf.DUMMYFUNCTION("""COMPUTED_VALUE"""),500000)</f>
        <v>500000</v>
      </c>
    </row>
    <row r="4996" spans="1:8" ht="13" x14ac:dyDescent="0.15">
      <c r="A4996" s="5" t="str">
        <f ca="1">IFERROR(__xludf.DUMMYFUNCTION("""COMPUTED_VALUE"""),"89651")</f>
        <v>89651</v>
      </c>
      <c r="B4996" s="51">
        <f ca="1">IFERROR(__xludf.DUMMYFUNCTION("""COMPUTED_VALUE"""),44621)</f>
        <v>44621</v>
      </c>
      <c r="C4996" s="22">
        <f ca="1">IFERROR(__xludf.DUMMYFUNCTION("""COMPUTED_VALUE"""),500000)</f>
        <v>500000</v>
      </c>
      <c r="D4996" s="22">
        <f ca="1">IFERROR(__xludf.DUMMYFUNCTION("""COMPUTED_VALUE"""),0)</f>
        <v>0</v>
      </c>
      <c r="E4996" s="22">
        <f ca="1">IFERROR(__xludf.DUMMYFUNCTION("""COMPUTED_VALUE"""),500000)</f>
        <v>500000</v>
      </c>
      <c r="F4996" s="22">
        <f ca="1">IFERROR(__xludf.DUMMYFUNCTION("""COMPUTED_VALUE"""),500000)</f>
        <v>500000</v>
      </c>
      <c r="G4996" s="22">
        <f ca="1">IFERROR(__xludf.DUMMYFUNCTION("""COMPUTED_VALUE"""),0)</f>
        <v>0</v>
      </c>
      <c r="H4996" s="7">
        <f ca="1">IFERROR(__xludf.DUMMYFUNCTION("""COMPUTED_VALUE"""),500000)</f>
        <v>500000</v>
      </c>
    </row>
    <row r="4997" spans="1:8" ht="13" x14ac:dyDescent="0.15">
      <c r="A4997" s="5" t="str">
        <f ca="1">IFERROR(__xludf.DUMMYFUNCTION("""COMPUTED_VALUE"""),"89651")</f>
        <v>89651</v>
      </c>
      <c r="B4997" s="51">
        <f ca="1">IFERROR(__xludf.DUMMYFUNCTION("""COMPUTED_VALUE"""),44622)</f>
        <v>44622</v>
      </c>
      <c r="C4997" s="22">
        <f ca="1">IFERROR(__xludf.DUMMYFUNCTION("""COMPUTED_VALUE"""),500000)</f>
        <v>500000</v>
      </c>
      <c r="D4997" s="22">
        <f ca="1">IFERROR(__xludf.DUMMYFUNCTION("""COMPUTED_VALUE"""),0)</f>
        <v>0</v>
      </c>
      <c r="E4997" s="22">
        <f ca="1">IFERROR(__xludf.DUMMYFUNCTION("""COMPUTED_VALUE"""),500000)</f>
        <v>500000</v>
      </c>
      <c r="F4997" s="22">
        <f ca="1">IFERROR(__xludf.DUMMYFUNCTION("""COMPUTED_VALUE"""),500000)</f>
        <v>500000</v>
      </c>
      <c r="G4997" s="22">
        <f ca="1">IFERROR(__xludf.DUMMYFUNCTION("""COMPUTED_VALUE"""),0)</f>
        <v>0</v>
      </c>
      <c r="H4997" s="7">
        <f ca="1">IFERROR(__xludf.DUMMYFUNCTION("""COMPUTED_VALUE"""),500000)</f>
        <v>500000</v>
      </c>
    </row>
    <row r="4998" spans="1:8" ht="13" x14ac:dyDescent="0.15">
      <c r="A4998" s="5" t="str">
        <f ca="1">IFERROR(__xludf.DUMMYFUNCTION("""COMPUTED_VALUE"""),"89651")</f>
        <v>89651</v>
      </c>
      <c r="B4998" s="51">
        <f ca="1">IFERROR(__xludf.DUMMYFUNCTION("""COMPUTED_VALUE"""),44623)</f>
        <v>44623</v>
      </c>
      <c r="C4998" s="22">
        <f ca="1">IFERROR(__xludf.DUMMYFUNCTION("""COMPUTED_VALUE"""),500000)</f>
        <v>500000</v>
      </c>
      <c r="D4998" s="22">
        <f ca="1">IFERROR(__xludf.DUMMYFUNCTION("""COMPUTED_VALUE"""),0)</f>
        <v>0</v>
      </c>
      <c r="E4998" s="22">
        <f ca="1">IFERROR(__xludf.DUMMYFUNCTION("""COMPUTED_VALUE"""),500000)</f>
        <v>500000</v>
      </c>
      <c r="F4998" s="22">
        <f ca="1">IFERROR(__xludf.DUMMYFUNCTION("""COMPUTED_VALUE"""),500000)</f>
        <v>500000</v>
      </c>
      <c r="G4998" s="22">
        <f ca="1">IFERROR(__xludf.DUMMYFUNCTION("""COMPUTED_VALUE"""),0)</f>
        <v>0</v>
      </c>
      <c r="H4998" s="7">
        <f ca="1">IFERROR(__xludf.DUMMYFUNCTION("""COMPUTED_VALUE"""),500000)</f>
        <v>500000</v>
      </c>
    </row>
    <row r="4999" spans="1:8" ht="13" x14ac:dyDescent="0.15">
      <c r="A4999" s="5" t="str">
        <f ca="1">IFERROR(__xludf.DUMMYFUNCTION("""COMPUTED_VALUE"""),"89651")</f>
        <v>89651</v>
      </c>
      <c r="B4999" s="51">
        <f ca="1">IFERROR(__xludf.DUMMYFUNCTION("""COMPUTED_VALUE"""),44624)</f>
        <v>44624</v>
      </c>
      <c r="C4999" s="22">
        <f ca="1">IFERROR(__xludf.DUMMYFUNCTION("""COMPUTED_VALUE"""),500000)</f>
        <v>500000</v>
      </c>
      <c r="D4999" s="22">
        <f ca="1">IFERROR(__xludf.DUMMYFUNCTION("""COMPUTED_VALUE"""),0)</f>
        <v>0</v>
      </c>
      <c r="E4999" s="22">
        <f ca="1">IFERROR(__xludf.DUMMYFUNCTION("""COMPUTED_VALUE"""),500000)</f>
        <v>500000</v>
      </c>
      <c r="F4999" s="22">
        <f ca="1">IFERROR(__xludf.DUMMYFUNCTION("""COMPUTED_VALUE"""),500000)</f>
        <v>500000</v>
      </c>
      <c r="G4999" s="22">
        <f ca="1">IFERROR(__xludf.DUMMYFUNCTION("""COMPUTED_VALUE"""),0)</f>
        <v>0</v>
      </c>
      <c r="H4999" s="7">
        <f ca="1">IFERROR(__xludf.DUMMYFUNCTION("""COMPUTED_VALUE"""),500000)</f>
        <v>500000</v>
      </c>
    </row>
    <row r="5000" spans="1:8" ht="13" x14ac:dyDescent="0.15">
      <c r="A5000" s="5" t="str">
        <f ca="1">IFERROR(__xludf.DUMMYFUNCTION("""COMPUTED_VALUE"""),"89651")</f>
        <v>89651</v>
      </c>
      <c r="B5000" s="51">
        <f ca="1">IFERROR(__xludf.DUMMYFUNCTION("""COMPUTED_VALUE"""),44625)</f>
        <v>44625</v>
      </c>
      <c r="C5000" s="22">
        <f ca="1">IFERROR(__xludf.DUMMYFUNCTION("""COMPUTED_VALUE"""),500000)</f>
        <v>500000</v>
      </c>
      <c r="D5000" s="22">
        <f ca="1">IFERROR(__xludf.DUMMYFUNCTION("""COMPUTED_VALUE"""),0)</f>
        <v>0</v>
      </c>
      <c r="E5000" s="22">
        <f ca="1">IFERROR(__xludf.DUMMYFUNCTION("""COMPUTED_VALUE"""),500000)</f>
        <v>500000</v>
      </c>
      <c r="F5000" s="22">
        <f ca="1">IFERROR(__xludf.DUMMYFUNCTION("""COMPUTED_VALUE"""),500000)</f>
        <v>500000</v>
      </c>
      <c r="G5000" s="22">
        <f ca="1">IFERROR(__xludf.DUMMYFUNCTION("""COMPUTED_VALUE"""),0)</f>
        <v>0</v>
      </c>
      <c r="H5000" s="7">
        <f ca="1">IFERROR(__xludf.DUMMYFUNCTION("""COMPUTED_VALUE"""),500000)</f>
        <v>500000</v>
      </c>
    </row>
    <row r="5001" spans="1:8" ht="13" x14ac:dyDescent="0.15">
      <c r="A5001" s="5" t="str">
        <f ca="1">IFERROR(__xludf.DUMMYFUNCTION("""COMPUTED_VALUE"""),"89651")</f>
        <v>89651</v>
      </c>
      <c r="B5001" s="51">
        <f ca="1">IFERROR(__xludf.DUMMYFUNCTION("""COMPUTED_VALUE"""),44626)</f>
        <v>44626</v>
      </c>
      <c r="C5001" s="22">
        <f ca="1">IFERROR(__xludf.DUMMYFUNCTION("""COMPUTED_VALUE"""),500000)</f>
        <v>500000</v>
      </c>
      <c r="D5001" s="22">
        <f ca="1">IFERROR(__xludf.DUMMYFUNCTION("""COMPUTED_VALUE"""),0)</f>
        <v>0</v>
      </c>
      <c r="E5001" s="22">
        <f ca="1">IFERROR(__xludf.DUMMYFUNCTION("""COMPUTED_VALUE"""),500000)</f>
        <v>500000</v>
      </c>
      <c r="F5001" s="22">
        <f ca="1">IFERROR(__xludf.DUMMYFUNCTION("""COMPUTED_VALUE"""),500000)</f>
        <v>500000</v>
      </c>
      <c r="G5001" s="22">
        <f ca="1">IFERROR(__xludf.DUMMYFUNCTION("""COMPUTED_VALUE"""),0)</f>
        <v>0</v>
      </c>
      <c r="H5001" s="7">
        <f ca="1">IFERROR(__xludf.DUMMYFUNCTION("""COMPUTED_VALUE"""),500000)</f>
        <v>500000</v>
      </c>
    </row>
    <row r="5002" spans="1:8" ht="13" x14ac:dyDescent="0.15">
      <c r="A5002" s="5" t="str">
        <f ca="1">IFERROR(__xludf.DUMMYFUNCTION("""COMPUTED_VALUE"""),"89651")</f>
        <v>89651</v>
      </c>
      <c r="B5002" s="51">
        <f ca="1">IFERROR(__xludf.DUMMYFUNCTION("""COMPUTED_VALUE"""),44627)</f>
        <v>44627</v>
      </c>
      <c r="C5002" s="22">
        <f ca="1">IFERROR(__xludf.DUMMYFUNCTION("""COMPUTED_VALUE"""),500000)</f>
        <v>500000</v>
      </c>
      <c r="D5002" s="22">
        <f ca="1">IFERROR(__xludf.DUMMYFUNCTION("""COMPUTED_VALUE"""),0)</f>
        <v>0</v>
      </c>
      <c r="E5002" s="22">
        <f ca="1">IFERROR(__xludf.DUMMYFUNCTION("""COMPUTED_VALUE"""),500000)</f>
        <v>500000</v>
      </c>
      <c r="F5002" s="22">
        <f ca="1">IFERROR(__xludf.DUMMYFUNCTION("""COMPUTED_VALUE"""),500000)</f>
        <v>500000</v>
      </c>
      <c r="G5002" s="22">
        <f ca="1">IFERROR(__xludf.DUMMYFUNCTION("""COMPUTED_VALUE"""),0)</f>
        <v>0</v>
      </c>
      <c r="H5002" s="7">
        <f ca="1">IFERROR(__xludf.DUMMYFUNCTION("""COMPUTED_VALUE"""),500000)</f>
        <v>500000</v>
      </c>
    </row>
    <row r="5003" spans="1:8" ht="13" x14ac:dyDescent="0.15">
      <c r="A5003" s="5" t="str">
        <f ca="1">IFERROR(__xludf.DUMMYFUNCTION("""COMPUTED_VALUE"""),"89651")</f>
        <v>89651</v>
      </c>
      <c r="B5003" s="51">
        <f ca="1">IFERROR(__xludf.DUMMYFUNCTION("""COMPUTED_VALUE"""),44628)</f>
        <v>44628</v>
      </c>
      <c r="C5003" s="22">
        <f ca="1">IFERROR(__xludf.DUMMYFUNCTION("""COMPUTED_VALUE"""),500000)</f>
        <v>500000</v>
      </c>
      <c r="D5003" s="22">
        <f ca="1">IFERROR(__xludf.DUMMYFUNCTION("""COMPUTED_VALUE"""),0)</f>
        <v>0</v>
      </c>
      <c r="E5003" s="22">
        <f ca="1">IFERROR(__xludf.DUMMYFUNCTION("""COMPUTED_VALUE"""),500000)</f>
        <v>500000</v>
      </c>
      <c r="F5003" s="22">
        <f ca="1">IFERROR(__xludf.DUMMYFUNCTION("""COMPUTED_VALUE"""),500000)</f>
        <v>500000</v>
      </c>
      <c r="G5003" s="22">
        <f ca="1">IFERROR(__xludf.DUMMYFUNCTION("""COMPUTED_VALUE"""),0)</f>
        <v>0</v>
      </c>
      <c r="H5003" s="7">
        <f ca="1">IFERROR(__xludf.DUMMYFUNCTION("""COMPUTED_VALUE"""),500000)</f>
        <v>500000</v>
      </c>
    </row>
    <row r="5004" spans="1:8" ht="13" x14ac:dyDescent="0.15">
      <c r="A5004" s="5" t="str">
        <f ca="1">IFERROR(__xludf.DUMMYFUNCTION("""COMPUTED_VALUE"""),"89651")</f>
        <v>89651</v>
      </c>
      <c r="B5004" s="51">
        <f ca="1">IFERROR(__xludf.DUMMYFUNCTION("""COMPUTED_VALUE"""),44629)</f>
        <v>44629</v>
      </c>
      <c r="C5004" s="22">
        <f ca="1">IFERROR(__xludf.DUMMYFUNCTION("""COMPUTED_VALUE"""),500000)</f>
        <v>500000</v>
      </c>
      <c r="D5004" s="22">
        <f ca="1">IFERROR(__xludf.DUMMYFUNCTION("""COMPUTED_VALUE"""),0)</f>
        <v>0</v>
      </c>
      <c r="E5004" s="22">
        <f ca="1">IFERROR(__xludf.DUMMYFUNCTION("""COMPUTED_VALUE"""),500000)</f>
        <v>500000</v>
      </c>
      <c r="F5004" s="22">
        <f ca="1">IFERROR(__xludf.DUMMYFUNCTION("""COMPUTED_VALUE"""),500000)</f>
        <v>500000</v>
      </c>
      <c r="G5004" s="22">
        <f ca="1">IFERROR(__xludf.DUMMYFUNCTION("""COMPUTED_VALUE"""),0)</f>
        <v>0</v>
      </c>
      <c r="H5004" s="7">
        <f ca="1">IFERROR(__xludf.DUMMYFUNCTION("""COMPUTED_VALUE"""),500000)</f>
        <v>500000</v>
      </c>
    </row>
    <row r="5005" spans="1:8" ht="13" x14ac:dyDescent="0.15">
      <c r="A5005" s="5" t="str">
        <f ca="1">IFERROR(__xludf.DUMMYFUNCTION("""COMPUTED_VALUE"""),"89651")</f>
        <v>89651</v>
      </c>
      <c r="B5005" s="51">
        <f ca="1">IFERROR(__xludf.DUMMYFUNCTION("""COMPUTED_VALUE"""),44630)</f>
        <v>44630</v>
      </c>
      <c r="C5005" s="22">
        <f ca="1">IFERROR(__xludf.DUMMYFUNCTION("""COMPUTED_VALUE"""),500000)</f>
        <v>500000</v>
      </c>
      <c r="D5005" s="22">
        <f ca="1">IFERROR(__xludf.DUMMYFUNCTION("""COMPUTED_VALUE"""),0)</f>
        <v>0</v>
      </c>
      <c r="E5005" s="22">
        <f ca="1">IFERROR(__xludf.DUMMYFUNCTION("""COMPUTED_VALUE"""),500000)</f>
        <v>500000</v>
      </c>
      <c r="F5005" s="22">
        <f ca="1">IFERROR(__xludf.DUMMYFUNCTION("""COMPUTED_VALUE"""),500000)</f>
        <v>500000</v>
      </c>
      <c r="G5005" s="22">
        <f ca="1">IFERROR(__xludf.DUMMYFUNCTION("""COMPUTED_VALUE"""),0)</f>
        <v>0</v>
      </c>
      <c r="H5005" s="7">
        <f ca="1">IFERROR(__xludf.DUMMYFUNCTION("""COMPUTED_VALUE"""),500000)</f>
        <v>500000</v>
      </c>
    </row>
    <row r="5006" spans="1:8" ht="13" x14ac:dyDescent="0.15">
      <c r="A5006" s="5" t="str">
        <f ca="1">IFERROR(__xludf.DUMMYFUNCTION("""COMPUTED_VALUE"""),"89651")</f>
        <v>89651</v>
      </c>
      <c r="B5006" s="51">
        <f ca="1">IFERROR(__xludf.DUMMYFUNCTION("""COMPUTED_VALUE"""),44631)</f>
        <v>44631</v>
      </c>
      <c r="C5006" s="22">
        <f ca="1">IFERROR(__xludf.DUMMYFUNCTION("""COMPUTED_VALUE"""),500000)</f>
        <v>500000</v>
      </c>
      <c r="D5006" s="22">
        <f ca="1">IFERROR(__xludf.DUMMYFUNCTION("""COMPUTED_VALUE"""),0)</f>
        <v>0</v>
      </c>
      <c r="E5006" s="22">
        <f ca="1">IFERROR(__xludf.DUMMYFUNCTION("""COMPUTED_VALUE"""),500000)</f>
        <v>500000</v>
      </c>
      <c r="F5006" s="22">
        <f ca="1">IFERROR(__xludf.DUMMYFUNCTION("""COMPUTED_VALUE"""),500000)</f>
        <v>500000</v>
      </c>
      <c r="G5006" s="22">
        <f ca="1">IFERROR(__xludf.DUMMYFUNCTION("""COMPUTED_VALUE"""),0)</f>
        <v>0</v>
      </c>
      <c r="H5006" s="7">
        <f ca="1">IFERROR(__xludf.DUMMYFUNCTION("""COMPUTED_VALUE"""),500000)</f>
        <v>500000</v>
      </c>
    </row>
    <row r="5007" spans="1:8" ht="13" x14ac:dyDescent="0.15">
      <c r="A5007" s="5" t="str">
        <f ca="1">IFERROR(__xludf.DUMMYFUNCTION("""COMPUTED_VALUE"""),"89651")</f>
        <v>89651</v>
      </c>
      <c r="B5007" s="51">
        <f ca="1">IFERROR(__xludf.DUMMYFUNCTION("""COMPUTED_VALUE"""),44632)</f>
        <v>44632</v>
      </c>
      <c r="C5007" s="22">
        <f ca="1">IFERROR(__xludf.DUMMYFUNCTION("""COMPUTED_VALUE"""),500000)</f>
        <v>500000</v>
      </c>
      <c r="D5007" s="22">
        <f ca="1">IFERROR(__xludf.DUMMYFUNCTION("""COMPUTED_VALUE"""),0)</f>
        <v>0</v>
      </c>
      <c r="E5007" s="22">
        <f ca="1">IFERROR(__xludf.DUMMYFUNCTION("""COMPUTED_VALUE"""),500000)</f>
        <v>500000</v>
      </c>
      <c r="F5007" s="22">
        <f ca="1">IFERROR(__xludf.DUMMYFUNCTION("""COMPUTED_VALUE"""),500000)</f>
        <v>500000</v>
      </c>
      <c r="G5007" s="22">
        <f ca="1">IFERROR(__xludf.DUMMYFUNCTION("""COMPUTED_VALUE"""),0)</f>
        <v>0</v>
      </c>
      <c r="H5007" s="7">
        <f ca="1">IFERROR(__xludf.DUMMYFUNCTION("""COMPUTED_VALUE"""),500000)</f>
        <v>500000</v>
      </c>
    </row>
    <row r="5008" spans="1:8" ht="13" x14ac:dyDescent="0.15">
      <c r="A5008" s="5" t="str">
        <f ca="1">IFERROR(__xludf.DUMMYFUNCTION("""COMPUTED_VALUE"""),"89651")</f>
        <v>89651</v>
      </c>
      <c r="B5008" s="51">
        <f ca="1">IFERROR(__xludf.DUMMYFUNCTION("""COMPUTED_VALUE"""),44633)</f>
        <v>44633</v>
      </c>
      <c r="C5008" s="22">
        <f ca="1">IFERROR(__xludf.DUMMYFUNCTION("""COMPUTED_VALUE"""),500000)</f>
        <v>500000</v>
      </c>
      <c r="D5008" s="22">
        <f ca="1">IFERROR(__xludf.DUMMYFUNCTION("""COMPUTED_VALUE"""),0)</f>
        <v>0</v>
      </c>
      <c r="E5008" s="22">
        <f ca="1">IFERROR(__xludf.DUMMYFUNCTION("""COMPUTED_VALUE"""),500000)</f>
        <v>500000</v>
      </c>
      <c r="F5008" s="22">
        <f ca="1">IFERROR(__xludf.DUMMYFUNCTION("""COMPUTED_VALUE"""),500000)</f>
        <v>500000</v>
      </c>
      <c r="G5008" s="22">
        <f ca="1">IFERROR(__xludf.DUMMYFUNCTION("""COMPUTED_VALUE"""),0)</f>
        <v>0</v>
      </c>
      <c r="H5008" s="7">
        <f ca="1">IFERROR(__xludf.DUMMYFUNCTION("""COMPUTED_VALUE"""),500000)</f>
        <v>500000</v>
      </c>
    </row>
    <row r="5009" spans="1:8" ht="13" x14ac:dyDescent="0.15">
      <c r="A5009" s="5" t="str">
        <f ca="1">IFERROR(__xludf.DUMMYFUNCTION("""COMPUTED_VALUE"""),"89651")</f>
        <v>89651</v>
      </c>
      <c r="B5009" s="51">
        <f ca="1">IFERROR(__xludf.DUMMYFUNCTION("""COMPUTED_VALUE"""),44634)</f>
        <v>44634</v>
      </c>
      <c r="C5009" s="22">
        <f ca="1">IFERROR(__xludf.DUMMYFUNCTION("""COMPUTED_VALUE"""),500000)</f>
        <v>500000</v>
      </c>
      <c r="D5009" s="22">
        <f ca="1">IFERROR(__xludf.DUMMYFUNCTION("""COMPUTED_VALUE"""),0)</f>
        <v>0</v>
      </c>
      <c r="E5009" s="22">
        <f ca="1">IFERROR(__xludf.DUMMYFUNCTION("""COMPUTED_VALUE"""),500000)</f>
        <v>500000</v>
      </c>
      <c r="F5009" s="22">
        <f ca="1">IFERROR(__xludf.DUMMYFUNCTION("""COMPUTED_VALUE"""),500000)</f>
        <v>500000</v>
      </c>
      <c r="G5009" s="22">
        <f ca="1">IFERROR(__xludf.DUMMYFUNCTION("""COMPUTED_VALUE"""),0)</f>
        <v>0</v>
      </c>
      <c r="H5009" s="7">
        <f ca="1">IFERROR(__xludf.DUMMYFUNCTION("""COMPUTED_VALUE"""),500000)</f>
        <v>500000</v>
      </c>
    </row>
    <row r="5010" spans="1:8" ht="13" x14ac:dyDescent="0.15">
      <c r="A5010" s="5" t="str">
        <f ca="1">IFERROR(__xludf.DUMMYFUNCTION("""COMPUTED_VALUE"""),"89651")</f>
        <v>89651</v>
      </c>
      <c r="B5010" s="51">
        <f ca="1">IFERROR(__xludf.DUMMYFUNCTION("""COMPUTED_VALUE"""),44635)</f>
        <v>44635</v>
      </c>
      <c r="C5010" s="22">
        <f ca="1">IFERROR(__xludf.DUMMYFUNCTION("""COMPUTED_VALUE"""),500000)</f>
        <v>500000</v>
      </c>
      <c r="D5010" s="22">
        <f ca="1">IFERROR(__xludf.DUMMYFUNCTION("""COMPUTED_VALUE"""),0)</f>
        <v>0</v>
      </c>
      <c r="E5010" s="22">
        <f ca="1">IFERROR(__xludf.DUMMYFUNCTION("""COMPUTED_VALUE"""),500000)</f>
        <v>500000</v>
      </c>
      <c r="F5010" s="22">
        <f ca="1">IFERROR(__xludf.DUMMYFUNCTION("""COMPUTED_VALUE"""),500000)</f>
        <v>500000</v>
      </c>
      <c r="G5010" s="22">
        <f ca="1">IFERROR(__xludf.DUMMYFUNCTION("""COMPUTED_VALUE"""),0)</f>
        <v>0</v>
      </c>
      <c r="H5010" s="7">
        <f ca="1">IFERROR(__xludf.DUMMYFUNCTION("""COMPUTED_VALUE"""),500000)</f>
        <v>500000</v>
      </c>
    </row>
    <row r="5011" spans="1:8" ht="13" x14ac:dyDescent="0.15">
      <c r="A5011" s="5" t="str">
        <f ca="1">IFERROR(__xludf.DUMMYFUNCTION("""COMPUTED_VALUE"""),"89651")</f>
        <v>89651</v>
      </c>
      <c r="B5011" s="51">
        <f ca="1">IFERROR(__xludf.DUMMYFUNCTION("""COMPUTED_VALUE"""),44636)</f>
        <v>44636</v>
      </c>
      <c r="C5011" s="22">
        <f ca="1">IFERROR(__xludf.DUMMYFUNCTION("""COMPUTED_VALUE"""),500000)</f>
        <v>500000</v>
      </c>
      <c r="D5011" s="22">
        <f ca="1">IFERROR(__xludf.DUMMYFUNCTION("""COMPUTED_VALUE"""),0)</f>
        <v>0</v>
      </c>
      <c r="E5011" s="22">
        <f ca="1">IFERROR(__xludf.DUMMYFUNCTION("""COMPUTED_VALUE"""),500000)</f>
        <v>500000</v>
      </c>
      <c r="F5011" s="22">
        <f ca="1">IFERROR(__xludf.DUMMYFUNCTION("""COMPUTED_VALUE"""),500000)</f>
        <v>500000</v>
      </c>
      <c r="G5011" s="22">
        <f ca="1">IFERROR(__xludf.DUMMYFUNCTION("""COMPUTED_VALUE"""),0)</f>
        <v>0</v>
      </c>
      <c r="H5011" s="7">
        <f ca="1">IFERROR(__xludf.DUMMYFUNCTION("""COMPUTED_VALUE"""),500000)</f>
        <v>500000</v>
      </c>
    </row>
    <row r="5012" spans="1:8" ht="13" x14ac:dyDescent="0.15">
      <c r="A5012" s="5" t="str">
        <f ca="1">IFERROR(__xludf.DUMMYFUNCTION("""COMPUTED_VALUE"""),"89651")</f>
        <v>89651</v>
      </c>
      <c r="B5012" s="51">
        <f ca="1">IFERROR(__xludf.DUMMYFUNCTION("""COMPUTED_VALUE"""),44637)</f>
        <v>44637</v>
      </c>
      <c r="C5012" s="22">
        <f ca="1">IFERROR(__xludf.DUMMYFUNCTION("""COMPUTED_VALUE"""),500000)</f>
        <v>500000</v>
      </c>
      <c r="D5012" s="22">
        <f ca="1">IFERROR(__xludf.DUMMYFUNCTION("""COMPUTED_VALUE"""),0)</f>
        <v>0</v>
      </c>
      <c r="E5012" s="22">
        <f ca="1">IFERROR(__xludf.DUMMYFUNCTION("""COMPUTED_VALUE"""),500000)</f>
        <v>500000</v>
      </c>
      <c r="F5012" s="22">
        <f ca="1">IFERROR(__xludf.DUMMYFUNCTION("""COMPUTED_VALUE"""),500000)</f>
        <v>500000</v>
      </c>
      <c r="G5012" s="22">
        <f ca="1">IFERROR(__xludf.DUMMYFUNCTION("""COMPUTED_VALUE"""),0)</f>
        <v>0</v>
      </c>
      <c r="H5012" s="7">
        <f ca="1">IFERROR(__xludf.DUMMYFUNCTION("""COMPUTED_VALUE"""),500000)</f>
        <v>500000</v>
      </c>
    </row>
    <row r="5013" spans="1:8" ht="13" x14ac:dyDescent="0.15">
      <c r="A5013" s="5" t="str">
        <f ca="1">IFERROR(__xludf.DUMMYFUNCTION("""COMPUTED_VALUE"""),"89651")</f>
        <v>89651</v>
      </c>
      <c r="B5013" s="51">
        <f ca="1">IFERROR(__xludf.DUMMYFUNCTION("""COMPUTED_VALUE"""),44638)</f>
        <v>44638</v>
      </c>
      <c r="C5013" s="22">
        <f ca="1">IFERROR(__xludf.DUMMYFUNCTION("""COMPUTED_VALUE"""),500000)</f>
        <v>500000</v>
      </c>
      <c r="D5013" s="22">
        <f ca="1">IFERROR(__xludf.DUMMYFUNCTION("""COMPUTED_VALUE"""),0)</f>
        <v>0</v>
      </c>
      <c r="E5013" s="22">
        <f ca="1">IFERROR(__xludf.DUMMYFUNCTION("""COMPUTED_VALUE"""),500000)</f>
        <v>500000</v>
      </c>
      <c r="F5013" s="22">
        <f ca="1">IFERROR(__xludf.DUMMYFUNCTION("""COMPUTED_VALUE"""),500000)</f>
        <v>500000</v>
      </c>
      <c r="G5013" s="22">
        <f ca="1">IFERROR(__xludf.DUMMYFUNCTION("""COMPUTED_VALUE"""),0)</f>
        <v>0</v>
      </c>
      <c r="H5013" s="7">
        <f ca="1">IFERROR(__xludf.DUMMYFUNCTION("""COMPUTED_VALUE"""),500000)</f>
        <v>500000</v>
      </c>
    </row>
    <row r="5014" spans="1:8" ht="13" x14ac:dyDescent="0.15">
      <c r="A5014" s="5" t="str">
        <f ca="1">IFERROR(__xludf.DUMMYFUNCTION("""COMPUTED_VALUE"""),"89651")</f>
        <v>89651</v>
      </c>
      <c r="B5014" s="51">
        <f ca="1">IFERROR(__xludf.DUMMYFUNCTION("""COMPUTED_VALUE"""),44639)</f>
        <v>44639</v>
      </c>
      <c r="C5014" s="22">
        <f ca="1">IFERROR(__xludf.DUMMYFUNCTION("""COMPUTED_VALUE"""),500000)</f>
        <v>500000</v>
      </c>
      <c r="D5014" s="22">
        <f ca="1">IFERROR(__xludf.DUMMYFUNCTION("""COMPUTED_VALUE"""),0)</f>
        <v>0</v>
      </c>
      <c r="E5014" s="22">
        <f ca="1">IFERROR(__xludf.DUMMYFUNCTION("""COMPUTED_VALUE"""),500000)</f>
        <v>500000</v>
      </c>
      <c r="F5014" s="22">
        <f ca="1">IFERROR(__xludf.DUMMYFUNCTION("""COMPUTED_VALUE"""),500000)</f>
        <v>500000</v>
      </c>
      <c r="G5014" s="22">
        <f ca="1">IFERROR(__xludf.DUMMYFUNCTION("""COMPUTED_VALUE"""),0)</f>
        <v>0</v>
      </c>
      <c r="H5014" s="7">
        <f ca="1">IFERROR(__xludf.DUMMYFUNCTION("""COMPUTED_VALUE"""),500000)</f>
        <v>500000</v>
      </c>
    </row>
    <row r="5015" spans="1:8" ht="13" x14ac:dyDescent="0.15">
      <c r="A5015" s="5" t="str">
        <f ca="1">IFERROR(__xludf.DUMMYFUNCTION("""COMPUTED_VALUE"""),"89651")</f>
        <v>89651</v>
      </c>
      <c r="B5015" s="51">
        <f ca="1">IFERROR(__xludf.DUMMYFUNCTION("""COMPUTED_VALUE"""),44640)</f>
        <v>44640</v>
      </c>
      <c r="C5015" s="22">
        <f ca="1">IFERROR(__xludf.DUMMYFUNCTION("""COMPUTED_VALUE"""),500000)</f>
        <v>500000</v>
      </c>
      <c r="D5015" s="22">
        <f ca="1">IFERROR(__xludf.DUMMYFUNCTION("""COMPUTED_VALUE"""),0)</f>
        <v>0</v>
      </c>
      <c r="E5015" s="22">
        <f ca="1">IFERROR(__xludf.DUMMYFUNCTION("""COMPUTED_VALUE"""),500000)</f>
        <v>500000</v>
      </c>
      <c r="F5015" s="22">
        <f ca="1">IFERROR(__xludf.DUMMYFUNCTION("""COMPUTED_VALUE"""),500000)</f>
        <v>500000</v>
      </c>
      <c r="G5015" s="22">
        <f ca="1">IFERROR(__xludf.DUMMYFUNCTION("""COMPUTED_VALUE"""),0)</f>
        <v>0</v>
      </c>
      <c r="H5015" s="7">
        <f ca="1">IFERROR(__xludf.DUMMYFUNCTION("""COMPUTED_VALUE"""),500000)</f>
        <v>500000</v>
      </c>
    </row>
    <row r="5016" spans="1:8" ht="13" x14ac:dyDescent="0.15">
      <c r="A5016" s="5" t="str">
        <f ca="1">IFERROR(__xludf.DUMMYFUNCTION("""COMPUTED_VALUE"""),"89651")</f>
        <v>89651</v>
      </c>
      <c r="B5016" s="51">
        <f ca="1">IFERROR(__xludf.DUMMYFUNCTION("""COMPUTED_VALUE"""),44641)</f>
        <v>44641</v>
      </c>
      <c r="C5016" s="22">
        <f ca="1">IFERROR(__xludf.DUMMYFUNCTION("""COMPUTED_VALUE"""),500000)</f>
        <v>500000</v>
      </c>
      <c r="D5016" s="22">
        <f ca="1">IFERROR(__xludf.DUMMYFUNCTION("""COMPUTED_VALUE"""),0)</f>
        <v>0</v>
      </c>
      <c r="E5016" s="22">
        <f ca="1">IFERROR(__xludf.DUMMYFUNCTION("""COMPUTED_VALUE"""),500000)</f>
        <v>500000</v>
      </c>
      <c r="F5016" s="22">
        <f ca="1">IFERROR(__xludf.DUMMYFUNCTION("""COMPUTED_VALUE"""),500000)</f>
        <v>500000</v>
      </c>
      <c r="G5016" s="22">
        <f ca="1">IFERROR(__xludf.DUMMYFUNCTION("""COMPUTED_VALUE"""),0)</f>
        <v>0</v>
      </c>
      <c r="H5016" s="7">
        <f ca="1">IFERROR(__xludf.DUMMYFUNCTION("""COMPUTED_VALUE"""),500000)</f>
        <v>500000</v>
      </c>
    </row>
    <row r="5017" spans="1:8" ht="13" x14ac:dyDescent="0.15">
      <c r="A5017" s="5" t="str">
        <f ca="1">IFERROR(__xludf.DUMMYFUNCTION("""COMPUTED_VALUE"""),"89651")</f>
        <v>89651</v>
      </c>
      <c r="B5017" s="51">
        <f ca="1">IFERROR(__xludf.DUMMYFUNCTION("""COMPUTED_VALUE"""),44642)</f>
        <v>44642</v>
      </c>
      <c r="C5017" s="22">
        <f ca="1">IFERROR(__xludf.DUMMYFUNCTION("""COMPUTED_VALUE"""),500000)</f>
        <v>500000</v>
      </c>
      <c r="D5017" s="22">
        <f ca="1">IFERROR(__xludf.DUMMYFUNCTION("""COMPUTED_VALUE"""),0)</f>
        <v>0</v>
      </c>
      <c r="E5017" s="22">
        <f ca="1">IFERROR(__xludf.DUMMYFUNCTION("""COMPUTED_VALUE"""),500000)</f>
        <v>500000</v>
      </c>
      <c r="F5017" s="22">
        <f ca="1">IFERROR(__xludf.DUMMYFUNCTION("""COMPUTED_VALUE"""),500000)</f>
        <v>500000</v>
      </c>
      <c r="G5017" s="22">
        <f ca="1">IFERROR(__xludf.DUMMYFUNCTION("""COMPUTED_VALUE"""),0)</f>
        <v>0</v>
      </c>
      <c r="H5017" s="7">
        <f ca="1">IFERROR(__xludf.DUMMYFUNCTION("""COMPUTED_VALUE"""),500000)</f>
        <v>500000</v>
      </c>
    </row>
    <row r="5018" spans="1:8" ht="13" x14ac:dyDescent="0.15">
      <c r="A5018" s="5" t="str">
        <f ca="1">IFERROR(__xludf.DUMMYFUNCTION("""COMPUTED_VALUE"""),"89750")</f>
        <v>89750</v>
      </c>
      <c r="B5018" s="51">
        <f ca="1">IFERROR(__xludf.DUMMYFUNCTION("""COMPUTED_VALUE"""),44597)</f>
        <v>44597</v>
      </c>
      <c r="C5018" s="22">
        <f ca="1">IFERROR(__xludf.DUMMYFUNCTION("""COMPUTED_VALUE"""),500000)</f>
        <v>500000</v>
      </c>
      <c r="D5018" s="22">
        <f ca="1">IFERROR(__xludf.DUMMYFUNCTION("""COMPUTED_VALUE"""),0)</f>
        <v>0</v>
      </c>
      <c r="E5018" s="22">
        <f ca="1">IFERROR(__xludf.DUMMYFUNCTION("""COMPUTED_VALUE"""),500000)</f>
        <v>500000</v>
      </c>
      <c r="F5018" s="22">
        <f ca="1">IFERROR(__xludf.DUMMYFUNCTION("""COMPUTED_VALUE"""),500000)</f>
        <v>500000</v>
      </c>
      <c r="G5018" s="22">
        <f ca="1">IFERROR(__xludf.DUMMYFUNCTION("""COMPUTED_VALUE"""),0)</f>
        <v>0</v>
      </c>
      <c r="H5018" s="7">
        <f ca="1">IFERROR(__xludf.DUMMYFUNCTION("""COMPUTED_VALUE"""),500000)</f>
        <v>500000</v>
      </c>
    </row>
    <row r="5019" spans="1:8" ht="13" x14ac:dyDescent="0.15">
      <c r="A5019" s="5" t="str">
        <f ca="1">IFERROR(__xludf.DUMMYFUNCTION("""COMPUTED_VALUE"""),"89750")</f>
        <v>89750</v>
      </c>
      <c r="B5019" s="51">
        <f ca="1">IFERROR(__xludf.DUMMYFUNCTION("""COMPUTED_VALUE"""),44598)</f>
        <v>44598</v>
      </c>
      <c r="C5019" s="22">
        <f ca="1">IFERROR(__xludf.DUMMYFUNCTION("""COMPUTED_VALUE"""),500000)</f>
        <v>500000</v>
      </c>
      <c r="D5019" s="22">
        <f ca="1">IFERROR(__xludf.DUMMYFUNCTION("""COMPUTED_VALUE"""),0)</f>
        <v>0</v>
      </c>
      <c r="E5019" s="22">
        <f ca="1">IFERROR(__xludf.DUMMYFUNCTION("""COMPUTED_VALUE"""),500000)</f>
        <v>500000</v>
      </c>
      <c r="F5019" s="22">
        <f ca="1">IFERROR(__xludf.DUMMYFUNCTION("""COMPUTED_VALUE"""),500000)</f>
        <v>500000</v>
      </c>
      <c r="G5019" s="22">
        <f ca="1">IFERROR(__xludf.DUMMYFUNCTION("""COMPUTED_VALUE"""),0)</f>
        <v>0</v>
      </c>
      <c r="H5019" s="7">
        <f ca="1">IFERROR(__xludf.DUMMYFUNCTION("""COMPUTED_VALUE"""),500000)</f>
        <v>500000</v>
      </c>
    </row>
    <row r="5020" spans="1:8" ht="13" x14ac:dyDescent="0.15">
      <c r="A5020" s="5" t="str">
        <f ca="1">IFERROR(__xludf.DUMMYFUNCTION("""COMPUTED_VALUE"""),"89750")</f>
        <v>89750</v>
      </c>
      <c r="B5020" s="51">
        <f ca="1">IFERROR(__xludf.DUMMYFUNCTION("""COMPUTED_VALUE"""),44599)</f>
        <v>44599</v>
      </c>
      <c r="C5020" s="22">
        <f ca="1">IFERROR(__xludf.DUMMYFUNCTION("""COMPUTED_VALUE"""),500000)</f>
        <v>500000</v>
      </c>
      <c r="D5020" s="22">
        <f ca="1">IFERROR(__xludf.DUMMYFUNCTION("""COMPUTED_VALUE"""),0)</f>
        <v>0</v>
      </c>
      <c r="E5020" s="22">
        <f ca="1">IFERROR(__xludf.DUMMYFUNCTION("""COMPUTED_VALUE"""),500000)</f>
        <v>500000</v>
      </c>
      <c r="F5020" s="22">
        <f ca="1">IFERROR(__xludf.DUMMYFUNCTION("""COMPUTED_VALUE"""),500000)</f>
        <v>500000</v>
      </c>
      <c r="G5020" s="22">
        <f ca="1">IFERROR(__xludf.DUMMYFUNCTION("""COMPUTED_VALUE"""),0)</f>
        <v>0</v>
      </c>
      <c r="H5020" s="7">
        <f ca="1">IFERROR(__xludf.DUMMYFUNCTION("""COMPUTED_VALUE"""),500000)</f>
        <v>500000</v>
      </c>
    </row>
    <row r="5021" spans="1:8" ht="13" x14ac:dyDescent="0.15">
      <c r="A5021" s="5" t="str">
        <f ca="1">IFERROR(__xludf.DUMMYFUNCTION("""COMPUTED_VALUE"""),"89750")</f>
        <v>89750</v>
      </c>
      <c r="B5021" s="51">
        <f ca="1">IFERROR(__xludf.DUMMYFUNCTION("""COMPUTED_VALUE"""),44600)</f>
        <v>44600</v>
      </c>
      <c r="C5021" s="22">
        <f ca="1">IFERROR(__xludf.DUMMYFUNCTION("""COMPUTED_VALUE"""),500000)</f>
        <v>500000</v>
      </c>
      <c r="D5021" s="22">
        <f ca="1">IFERROR(__xludf.DUMMYFUNCTION("""COMPUTED_VALUE"""),0)</f>
        <v>0</v>
      </c>
      <c r="E5021" s="22">
        <f ca="1">IFERROR(__xludf.DUMMYFUNCTION("""COMPUTED_VALUE"""),500000)</f>
        <v>500000</v>
      </c>
      <c r="F5021" s="22">
        <f ca="1">IFERROR(__xludf.DUMMYFUNCTION("""COMPUTED_VALUE"""),500000)</f>
        <v>500000</v>
      </c>
      <c r="G5021" s="22">
        <f ca="1">IFERROR(__xludf.DUMMYFUNCTION("""COMPUTED_VALUE"""),0)</f>
        <v>0</v>
      </c>
      <c r="H5021" s="7">
        <f ca="1">IFERROR(__xludf.DUMMYFUNCTION("""COMPUTED_VALUE"""),500000)</f>
        <v>500000</v>
      </c>
    </row>
    <row r="5022" spans="1:8" ht="13" x14ac:dyDescent="0.15">
      <c r="A5022" s="5" t="str">
        <f ca="1">IFERROR(__xludf.DUMMYFUNCTION("""COMPUTED_VALUE"""),"89750")</f>
        <v>89750</v>
      </c>
      <c r="B5022" s="51">
        <f ca="1">IFERROR(__xludf.DUMMYFUNCTION("""COMPUTED_VALUE"""),44601)</f>
        <v>44601</v>
      </c>
      <c r="C5022" s="22">
        <f ca="1">IFERROR(__xludf.DUMMYFUNCTION("""COMPUTED_VALUE"""),-2100)</f>
        <v>-2100</v>
      </c>
      <c r="D5022" s="22">
        <f ca="1">IFERROR(__xludf.DUMMYFUNCTION("""COMPUTED_VALUE"""),502100)</f>
        <v>502100</v>
      </c>
      <c r="E5022" s="22">
        <f ca="1">IFERROR(__xludf.DUMMYFUNCTION("""COMPUTED_VALUE"""),500000)</f>
        <v>500000</v>
      </c>
      <c r="F5022" s="22">
        <f ca="1">IFERROR(__xludf.DUMMYFUNCTION("""COMPUTED_VALUE"""),-2100)</f>
        <v>-2100</v>
      </c>
      <c r="G5022" s="22">
        <f ca="1">IFERROR(__xludf.DUMMYFUNCTION("""COMPUTED_VALUE"""),2100)</f>
        <v>2100</v>
      </c>
      <c r="H5022" s="7">
        <f ca="1">IFERROR(__xludf.DUMMYFUNCTION("""COMPUTED_VALUE"""),500000)</f>
        <v>500000</v>
      </c>
    </row>
    <row r="5023" spans="1:8" ht="13" x14ac:dyDescent="0.15">
      <c r="A5023" s="5" t="str">
        <f ca="1">IFERROR(__xludf.DUMMYFUNCTION("""COMPUTED_VALUE"""),"89750")</f>
        <v>89750</v>
      </c>
      <c r="B5023" s="51">
        <f ca="1">IFERROR(__xludf.DUMMYFUNCTION("""COMPUTED_VALUE"""),44602)</f>
        <v>44602</v>
      </c>
      <c r="C5023" s="22">
        <f ca="1">IFERROR(__xludf.DUMMYFUNCTION("""COMPUTED_VALUE"""),114400)</f>
        <v>114400</v>
      </c>
      <c r="D5023" s="22">
        <f ca="1">IFERROR(__xludf.DUMMYFUNCTION("""COMPUTED_VALUE"""),432000)</f>
        <v>432000</v>
      </c>
      <c r="E5023" s="22">
        <f ca="1">IFERROR(__xludf.DUMMYFUNCTION("""COMPUTED_VALUE"""),546400)</f>
        <v>546400</v>
      </c>
      <c r="F5023" s="22">
        <f ca="1">IFERROR(__xludf.DUMMYFUNCTION("""COMPUTED_VALUE"""),114400)</f>
        <v>114400</v>
      </c>
      <c r="G5023" s="22">
        <f ca="1">IFERROR(__xludf.DUMMYFUNCTION("""COMPUTED_VALUE"""),0)</f>
        <v>0</v>
      </c>
      <c r="H5023" s="7">
        <f ca="1">IFERROR(__xludf.DUMMYFUNCTION("""COMPUTED_VALUE"""),546400)</f>
        <v>546400</v>
      </c>
    </row>
    <row r="5024" spans="1:8" ht="13" x14ac:dyDescent="0.15">
      <c r="A5024" s="5" t="str">
        <f ca="1">IFERROR(__xludf.DUMMYFUNCTION("""COMPUTED_VALUE"""),"89750")</f>
        <v>89750</v>
      </c>
      <c r="B5024" s="51">
        <f ca="1">IFERROR(__xludf.DUMMYFUNCTION("""COMPUTED_VALUE"""),44603)</f>
        <v>44603</v>
      </c>
      <c r="C5024" s="22">
        <f ca="1">IFERROR(__xludf.DUMMYFUNCTION("""COMPUTED_VALUE"""),114400)</f>
        <v>114400</v>
      </c>
      <c r="D5024" s="22">
        <f ca="1">IFERROR(__xludf.DUMMYFUNCTION("""COMPUTED_VALUE"""),432000)</f>
        <v>432000</v>
      </c>
      <c r="E5024" s="22">
        <f ca="1">IFERROR(__xludf.DUMMYFUNCTION("""COMPUTED_VALUE"""),546400)</f>
        <v>546400</v>
      </c>
      <c r="F5024" s="22">
        <f ca="1">IFERROR(__xludf.DUMMYFUNCTION("""COMPUTED_VALUE"""),114400)</f>
        <v>114400</v>
      </c>
      <c r="G5024" s="22">
        <f ca="1">IFERROR(__xludf.DUMMYFUNCTION("""COMPUTED_VALUE"""),0)</f>
        <v>0</v>
      </c>
      <c r="H5024" s="7">
        <f ca="1">IFERROR(__xludf.DUMMYFUNCTION("""COMPUTED_VALUE"""),546400)</f>
        <v>546400</v>
      </c>
    </row>
    <row r="5025" spans="1:8" ht="13" x14ac:dyDescent="0.15">
      <c r="A5025" s="5" t="str">
        <f ca="1">IFERROR(__xludf.DUMMYFUNCTION("""COMPUTED_VALUE"""),"89750")</f>
        <v>89750</v>
      </c>
      <c r="B5025" s="51">
        <f ca="1">IFERROR(__xludf.DUMMYFUNCTION("""COMPUTED_VALUE"""),44604)</f>
        <v>44604</v>
      </c>
      <c r="C5025" s="22">
        <f ca="1">IFERROR(__xludf.DUMMYFUNCTION("""COMPUTED_VALUE"""),114400)</f>
        <v>114400</v>
      </c>
      <c r="D5025" s="22">
        <f ca="1">IFERROR(__xludf.DUMMYFUNCTION("""COMPUTED_VALUE"""),432000)</f>
        <v>432000</v>
      </c>
      <c r="E5025" s="22">
        <f ca="1">IFERROR(__xludf.DUMMYFUNCTION("""COMPUTED_VALUE"""),546400)</f>
        <v>546400</v>
      </c>
      <c r="F5025" s="22">
        <f ca="1">IFERROR(__xludf.DUMMYFUNCTION("""COMPUTED_VALUE"""),114400)</f>
        <v>114400</v>
      </c>
      <c r="G5025" s="22">
        <f ca="1">IFERROR(__xludf.DUMMYFUNCTION("""COMPUTED_VALUE"""),0)</f>
        <v>0</v>
      </c>
      <c r="H5025" s="7">
        <f ca="1">IFERROR(__xludf.DUMMYFUNCTION("""COMPUTED_VALUE"""),546400)</f>
        <v>546400</v>
      </c>
    </row>
    <row r="5026" spans="1:8" ht="13" x14ac:dyDescent="0.15">
      <c r="A5026" s="5" t="str">
        <f ca="1">IFERROR(__xludf.DUMMYFUNCTION("""COMPUTED_VALUE"""),"89750")</f>
        <v>89750</v>
      </c>
      <c r="B5026" s="51">
        <f ca="1">IFERROR(__xludf.DUMMYFUNCTION("""COMPUTED_VALUE"""),44605)</f>
        <v>44605</v>
      </c>
      <c r="C5026" s="22">
        <f ca="1">IFERROR(__xludf.DUMMYFUNCTION("""COMPUTED_VALUE"""),114400)</f>
        <v>114400</v>
      </c>
      <c r="D5026" s="22">
        <f ca="1">IFERROR(__xludf.DUMMYFUNCTION("""COMPUTED_VALUE"""),432000)</f>
        <v>432000</v>
      </c>
      <c r="E5026" s="22">
        <f ca="1">IFERROR(__xludf.DUMMYFUNCTION("""COMPUTED_VALUE"""),546400)</f>
        <v>546400</v>
      </c>
      <c r="F5026" s="22">
        <f ca="1">IFERROR(__xludf.DUMMYFUNCTION("""COMPUTED_VALUE"""),114400)</f>
        <v>114400</v>
      </c>
      <c r="G5026" s="22">
        <f ca="1">IFERROR(__xludf.DUMMYFUNCTION("""COMPUTED_VALUE"""),0)</f>
        <v>0</v>
      </c>
      <c r="H5026" s="7">
        <f ca="1">IFERROR(__xludf.DUMMYFUNCTION("""COMPUTED_VALUE"""),546400)</f>
        <v>546400</v>
      </c>
    </row>
    <row r="5027" spans="1:8" ht="13" x14ac:dyDescent="0.15">
      <c r="A5027" s="5" t="str">
        <f ca="1">IFERROR(__xludf.DUMMYFUNCTION("""COMPUTED_VALUE"""),"89750")</f>
        <v>89750</v>
      </c>
      <c r="B5027" s="51">
        <f ca="1">IFERROR(__xludf.DUMMYFUNCTION("""COMPUTED_VALUE"""),44606)</f>
        <v>44606</v>
      </c>
      <c r="C5027" s="22">
        <f ca="1">IFERROR(__xludf.DUMMYFUNCTION("""COMPUTED_VALUE"""),114400)</f>
        <v>114400</v>
      </c>
      <c r="D5027" s="22">
        <f ca="1">IFERROR(__xludf.DUMMYFUNCTION("""COMPUTED_VALUE"""),412500)</f>
        <v>412500</v>
      </c>
      <c r="E5027" s="22">
        <f ca="1">IFERROR(__xludf.DUMMYFUNCTION("""COMPUTED_VALUE"""),526900)</f>
        <v>526900</v>
      </c>
      <c r="F5027" s="22">
        <f ca="1">IFERROR(__xludf.DUMMYFUNCTION("""COMPUTED_VALUE"""),114400)</f>
        <v>114400</v>
      </c>
      <c r="G5027" s="22">
        <f ca="1">IFERROR(__xludf.DUMMYFUNCTION("""COMPUTED_VALUE"""),0)</f>
        <v>0</v>
      </c>
      <c r="H5027" s="7">
        <f ca="1">IFERROR(__xludf.DUMMYFUNCTION("""COMPUTED_VALUE"""),526900)</f>
        <v>526900</v>
      </c>
    </row>
    <row r="5028" spans="1:8" ht="13" x14ac:dyDescent="0.15">
      <c r="A5028" s="5" t="str">
        <f ca="1">IFERROR(__xludf.DUMMYFUNCTION("""COMPUTED_VALUE"""),"89750")</f>
        <v>89750</v>
      </c>
      <c r="B5028" s="51">
        <f ca="1">IFERROR(__xludf.DUMMYFUNCTION("""COMPUTED_VALUE"""),44607)</f>
        <v>44607</v>
      </c>
      <c r="C5028" s="22">
        <f ca="1">IFERROR(__xludf.DUMMYFUNCTION("""COMPUTED_VALUE"""),56318.912025)</f>
        <v>56318.912024999998</v>
      </c>
      <c r="D5028" s="22">
        <f ca="1">IFERROR(__xludf.DUMMYFUNCTION("""COMPUTED_VALUE"""),466081.087975)</f>
        <v>466081.08797499997</v>
      </c>
      <c r="E5028" s="22">
        <f ca="1">IFERROR(__xludf.DUMMYFUNCTION("""COMPUTED_VALUE"""),522400)</f>
        <v>522400</v>
      </c>
      <c r="F5028" s="22">
        <f ca="1">IFERROR(__xludf.DUMMYFUNCTION("""COMPUTED_VALUE"""),56318.912025)</f>
        <v>56318.912024999998</v>
      </c>
      <c r="G5028" s="22">
        <f ca="1">IFERROR(__xludf.DUMMYFUNCTION("""COMPUTED_VALUE"""),0)</f>
        <v>0</v>
      </c>
      <c r="H5028" s="7">
        <f ca="1">IFERROR(__xludf.DUMMYFUNCTION("""COMPUTED_VALUE"""),522400)</f>
        <v>522400</v>
      </c>
    </row>
    <row r="5029" spans="1:8" ht="13" x14ac:dyDescent="0.15">
      <c r="A5029" s="5" t="str">
        <f ca="1">IFERROR(__xludf.DUMMYFUNCTION("""COMPUTED_VALUE"""),"89750")</f>
        <v>89750</v>
      </c>
      <c r="B5029" s="51">
        <f ca="1">IFERROR(__xludf.DUMMYFUNCTION("""COMPUTED_VALUE"""),44608)</f>
        <v>44608</v>
      </c>
      <c r="C5029" s="22">
        <f ca="1">IFERROR(__xludf.DUMMYFUNCTION("""COMPUTED_VALUE"""),479068.912024999)</f>
        <v>479068.91202499898</v>
      </c>
      <c r="D5029" s="22">
        <f ca="1">IFERROR(__xludf.DUMMYFUNCTION("""COMPUTED_VALUE"""),76970.5075)</f>
        <v>76970.507500000007</v>
      </c>
      <c r="E5029" s="22">
        <f ca="1">IFERROR(__xludf.DUMMYFUNCTION("""COMPUTED_VALUE"""),556039.419525)</f>
        <v>556039.41952500003</v>
      </c>
      <c r="F5029" s="22">
        <f ca="1">IFERROR(__xludf.DUMMYFUNCTION("""COMPUTED_VALUE"""),479068.912024999)</f>
        <v>479068.91202499898</v>
      </c>
      <c r="G5029" s="22">
        <f ca="1">IFERROR(__xludf.DUMMYFUNCTION("""COMPUTED_VALUE"""),0)</f>
        <v>0</v>
      </c>
      <c r="H5029" s="7">
        <f ca="1">IFERROR(__xludf.DUMMYFUNCTION("""COMPUTED_VALUE"""),556039.419525)</f>
        <v>556039.41952500003</v>
      </c>
    </row>
    <row r="5030" spans="1:8" ht="13" x14ac:dyDescent="0.15">
      <c r="A5030" s="5" t="str">
        <f ca="1">IFERROR(__xludf.DUMMYFUNCTION("""COMPUTED_VALUE"""),"89750")</f>
        <v>89750</v>
      </c>
      <c r="B5030" s="51">
        <f ca="1">IFERROR(__xludf.DUMMYFUNCTION("""COMPUTED_VALUE"""),44609)</f>
        <v>44609</v>
      </c>
      <c r="C5030" s="22">
        <f ca="1">IFERROR(__xludf.DUMMYFUNCTION("""COMPUTED_VALUE"""),443068.912024999)</f>
        <v>443068.91202499898</v>
      </c>
      <c r="D5030" s="22">
        <f ca="1">IFERROR(__xludf.DUMMYFUNCTION("""COMPUTED_VALUE"""),121805.73415)</f>
        <v>121805.73415</v>
      </c>
      <c r="E5030" s="22">
        <f ca="1">IFERROR(__xludf.DUMMYFUNCTION("""COMPUTED_VALUE"""),564874.646175)</f>
        <v>564874.646175</v>
      </c>
      <c r="F5030" s="22">
        <f ca="1">IFERROR(__xludf.DUMMYFUNCTION("""COMPUTED_VALUE"""),443068.912024999)</f>
        <v>443068.91202499898</v>
      </c>
      <c r="G5030" s="22">
        <f ca="1">IFERROR(__xludf.DUMMYFUNCTION("""COMPUTED_VALUE"""),0)</f>
        <v>0</v>
      </c>
      <c r="H5030" s="7">
        <f ca="1">IFERROR(__xludf.DUMMYFUNCTION("""COMPUTED_VALUE"""),564874.646175)</f>
        <v>564874.646175</v>
      </c>
    </row>
    <row r="5031" spans="1:8" ht="13" x14ac:dyDescent="0.15">
      <c r="A5031" s="5" t="str">
        <f ca="1">IFERROR(__xludf.DUMMYFUNCTION("""COMPUTED_VALUE"""),"89750")</f>
        <v>89750</v>
      </c>
      <c r="B5031" s="51">
        <f ca="1">IFERROR(__xludf.DUMMYFUNCTION("""COMPUTED_VALUE"""),44610)</f>
        <v>44610</v>
      </c>
      <c r="C5031" s="22">
        <f ca="1">IFERROR(__xludf.DUMMYFUNCTION("""COMPUTED_VALUE"""),456635.290001499)</f>
        <v>456635.290001499</v>
      </c>
      <c r="D5031" s="22">
        <f ca="1">IFERROR(__xludf.DUMMYFUNCTION("""COMPUTED_VALUE"""),109332.4582985)</f>
        <v>109332.4582985</v>
      </c>
      <c r="E5031" s="22">
        <f ca="1">IFERROR(__xludf.DUMMYFUNCTION("""COMPUTED_VALUE"""),565967.7483)</f>
        <v>565967.74829999998</v>
      </c>
      <c r="F5031" s="22">
        <f ca="1">IFERROR(__xludf.DUMMYFUNCTION("""COMPUTED_VALUE"""),456635.290001499)</f>
        <v>456635.290001499</v>
      </c>
      <c r="G5031" s="22">
        <f ca="1">IFERROR(__xludf.DUMMYFUNCTION("""COMPUTED_VALUE"""),0)</f>
        <v>0</v>
      </c>
      <c r="H5031" s="7">
        <f ca="1">IFERROR(__xludf.DUMMYFUNCTION("""COMPUTED_VALUE"""),565967.7483)</f>
        <v>565967.74829999998</v>
      </c>
    </row>
    <row r="5032" spans="1:8" ht="13" x14ac:dyDescent="0.15">
      <c r="A5032" s="5" t="str">
        <f ca="1">IFERROR(__xludf.DUMMYFUNCTION("""COMPUTED_VALUE"""),"89750")</f>
        <v>89750</v>
      </c>
      <c r="B5032" s="51">
        <f ca="1">IFERROR(__xludf.DUMMYFUNCTION("""COMPUTED_VALUE"""),44611)</f>
        <v>44611</v>
      </c>
      <c r="C5032" s="22">
        <f ca="1">IFERROR(__xludf.DUMMYFUNCTION("""COMPUTED_VALUE"""),456635.290001499)</f>
        <v>456635.290001499</v>
      </c>
      <c r="D5032" s="22">
        <f ca="1">IFERROR(__xludf.DUMMYFUNCTION("""COMPUTED_VALUE"""),109332.4582985)</f>
        <v>109332.4582985</v>
      </c>
      <c r="E5032" s="22">
        <f ca="1">IFERROR(__xludf.DUMMYFUNCTION("""COMPUTED_VALUE"""),565967.7483)</f>
        <v>565967.74829999998</v>
      </c>
      <c r="F5032" s="22">
        <f ca="1">IFERROR(__xludf.DUMMYFUNCTION("""COMPUTED_VALUE"""),456635.290001499)</f>
        <v>456635.290001499</v>
      </c>
      <c r="G5032" s="22">
        <f ca="1">IFERROR(__xludf.DUMMYFUNCTION("""COMPUTED_VALUE"""),0)</f>
        <v>0</v>
      </c>
      <c r="H5032" s="7">
        <f ca="1">IFERROR(__xludf.DUMMYFUNCTION("""COMPUTED_VALUE"""),565967.7483)</f>
        <v>565967.74829999998</v>
      </c>
    </row>
    <row r="5033" spans="1:8" ht="13" x14ac:dyDescent="0.15">
      <c r="A5033" s="5" t="str">
        <f ca="1">IFERROR(__xludf.DUMMYFUNCTION("""COMPUTED_VALUE"""),"89750")</f>
        <v>89750</v>
      </c>
      <c r="B5033" s="51">
        <f ca="1">IFERROR(__xludf.DUMMYFUNCTION("""COMPUTED_VALUE"""),44612)</f>
        <v>44612</v>
      </c>
      <c r="C5033" s="22">
        <f ca="1">IFERROR(__xludf.DUMMYFUNCTION("""COMPUTED_VALUE"""),456635.290001499)</f>
        <v>456635.290001499</v>
      </c>
      <c r="D5033" s="22">
        <f ca="1">IFERROR(__xludf.DUMMYFUNCTION("""COMPUTED_VALUE"""),109332.08206475)</f>
        <v>109332.08206474999</v>
      </c>
      <c r="E5033" s="22">
        <f ca="1">IFERROR(__xludf.DUMMYFUNCTION("""COMPUTED_VALUE"""),565967.37206625)</f>
        <v>565967.37206624995</v>
      </c>
      <c r="F5033" s="22">
        <f ca="1">IFERROR(__xludf.DUMMYFUNCTION("""COMPUTED_VALUE"""),456635.290001499)</f>
        <v>456635.290001499</v>
      </c>
      <c r="G5033" s="22">
        <f ca="1">IFERROR(__xludf.DUMMYFUNCTION("""COMPUTED_VALUE"""),0)</f>
        <v>0</v>
      </c>
      <c r="H5033" s="7">
        <f ca="1">IFERROR(__xludf.DUMMYFUNCTION("""COMPUTED_VALUE"""),565967.162027249)</f>
        <v>565967.162027249</v>
      </c>
    </row>
    <row r="5034" spans="1:8" ht="13" x14ac:dyDescent="0.15">
      <c r="A5034" s="5" t="str">
        <f ca="1">IFERROR(__xludf.DUMMYFUNCTION("""COMPUTED_VALUE"""),"89750")</f>
        <v>89750</v>
      </c>
      <c r="B5034" s="51">
        <f ca="1">IFERROR(__xludf.DUMMYFUNCTION("""COMPUTED_VALUE"""),44613)</f>
        <v>44613</v>
      </c>
      <c r="C5034" s="22">
        <f ca="1">IFERROR(__xludf.DUMMYFUNCTION("""COMPUTED_VALUE"""),393260.290001499)</f>
        <v>393260.290001499</v>
      </c>
      <c r="D5034" s="22">
        <f ca="1">IFERROR(__xludf.DUMMYFUNCTION("""COMPUTED_VALUE"""),168958.55341175)</f>
        <v>168958.55341175001</v>
      </c>
      <c r="E5034" s="22">
        <f ca="1">IFERROR(__xludf.DUMMYFUNCTION("""COMPUTED_VALUE"""),562218.843413249)</f>
        <v>562218.84341324901</v>
      </c>
      <c r="F5034" s="22">
        <f ca="1">IFERROR(__xludf.DUMMYFUNCTION("""COMPUTED_VALUE"""),393260.290001499)</f>
        <v>393260.290001499</v>
      </c>
      <c r="G5034" s="22">
        <f ca="1">IFERROR(__xludf.DUMMYFUNCTION("""COMPUTED_VALUE"""),0)</f>
        <v>0</v>
      </c>
      <c r="H5034" s="7">
        <f ca="1">IFERROR(__xludf.DUMMYFUNCTION("""COMPUTED_VALUE"""),562218.843413249)</f>
        <v>562218.84341324901</v>
      </c>
    </row>
    <row r="5035" spans="1:8" ht="13" x14ac:dyDescent="0.15">
      <c r="A5035" s="5" t="str">
        <f ca="1">IFERROR(__xludf.DUMMYFUNCTION("""COMPUTED_VALUE"""),"89750")</f>
        <v>89750</v>
      </c>
      <c r="B5035" s="51">
        <f ca="1">IFERROR(__xludf.DUMMYFUNCTION("""COMPUTED_VALUE"""),44614)</f>
        <v>44614</v>
      </c>
      <c r="C5035" s="22">
        <f ca="1">IFERROR(__xludf.DUMMYFUNCTION("""COMPUTED_VALUE"""),116678.890401499)</f>
        <v>116678.890401499</v>
      </c>
      <c r="D5035" s="22">
        <f ca="1">IFERROR(__xludf.DUMMYFUNCTION("""COMPUTED_VALUE"""),444971.23045)</f>
        <v>444971.23044999997</v>
      </c>
      <c r="E5035" s="22">
        <f ca="1">IFERROR(__xludf.DUMMYFUNCTION("""COMPUTED_VALUE"""),561650.1208515)</f>
        <v>561650.12085149996</v>
      </c>
      <c r="F5035" s="22">
        <f ca="1">IFERROR(__xludf.DUMMYFUNCTION("""COMPUTED_VALUE"""),116678.890401499)</f>
        <v>116678.890401499</v>
      </c>
      <c r="G5035" s="22">
        <f ca="1">IFERROR(__xludf.DUMMYFUNCTION("""COMPUTED_VALUE"""),0)</f>
        <v>0</v>
      </c>
      <c r="H5035" s="7">
        <f ca="1">IFERROR(__xludf.DUMMYFUNCTION("""COMPUTED_VALUE"""),561650.1208515)</f>
        <v>561650.12085149996</v>
      </c>
    </row>
    <row r="5036" spans="1:8" ht="13" x14ac:dyDescent="0.15">
      <c r="A5036" s="5" t="str">
        <f ca="1">IFERROR(__xludf.DUMMYFUNCTION("""COMPUTED_VALUE"""),"89750")</f>
        <v>89750</v>
      </c>
      <c r="B5036" s="51">
        <f ca="1">IFERROR(__xludf.DUMMYFUNCTION("""COMPUTED_VALUE"""),44615)</f>
        <v>44615</v>
      </c>
      <c r="C5036" s="22">
        <f ca="1">IFERROR(__xludf.DUMMYFUNCTION("""COMPUTED_VALUE"""),154925.595401499)</f>
        <v>154925.59540149901</v>
      </c>
      <c r="D5036" s="22">
        <f ca="1">IFERROR(__xludf.DUMMYFUNCTION("""COMPUTED_VALUE"""),334450.9407)</f>
        <v>334450.94069999998</v>
      </c>
      <c r="E5036" s="22">
        <f ca="1">IFERROR(__xludf.DUMMYFUNCTION("""COMPUTED_VALUE"""),489376.536101499)</f>
        <v>489376.53610149899</v>
      </c>
      <c r="F5036" s="22">
        <f ca="1">IFERROR(__xludf.DUMMYFUNCTION("""COMPUTED_VALUE"""),218101.640401499)</f>
        <v>218101.640401499</v>
      </c>
      <c r="G5036" s="22">
        <f ca="1">IFERROR(__xludf.DUMMYFUNCTION("""COMPUTED_VALUE"""),0)</f>
        <v>0</v>
      </c>
      <c r="H5036" s="7">
        <f ca="1">IFERROR(__xludf.DUMMYFUNCTION("""COMPUTED_VALUE"""),489376.5361015)</f>
        <v>489376.53610149998</v>
      </c>
    </row>
    <row r="5037" spans="1:8" ht="13" x14ac:dyDescent="0.15">
      <c r="A5037" s="5" t="str">
        <f ca="1">IFERROR(__xludf.DUMMYFUNCTION("""COMPUTED_VALUE"""),"89750")</f>
        <v>89750</v>
      </c>
      <c r="B5037" s="51">
        <f ca="1">IFERROR(__xludf.DUMMYFUNCTION("""COMPUTED_VALUE"""),44616)</f>
        <v>44616</v>
      </c>
      <c r="C5037" s="22">
        <f ca="1">IFERROR(__xludf.DUMMYFUNCTION("""COMPUTED_VALUE"""),154925.595401499)</f>
        <v>154925.59540149901</v>
      </c>
      <c r="D5037" s="22">
        <f ca="1">IFERROR(__xludf.DUMMYFUNCTION("""COMPUTED_VALUE"""),314137.064175)</f>
        <v>314137.06417500001</v>
      </c>
      <c r="E5037" s="22">
        <f ca="1">IFERROR(__xludf.DUMMYFUNCTION("""COMPUTED_VALUE"""),469062.659576499)</f>
        <v>469062.65957649902</v>
      </c>
      <c r="F5037" s="22">
        <f ca="1">IFERROR(__xludf.DUMMYFUNCTION("""COMPUTED_VALUE"""),218101.640401499)</f>
        <v>218101.640401499</v>
      </c>
      <c r="G5037" s="22">
        <f ca="1">IFERROR(__xludf.DUMMYFUNCTION("""COMPUTED_VALUE"""),0)</f>
        <v>0</v>
      </c>
      <c r="H5037" s="7">
        <f ca="1">IFERROR(__xludf.DUMMYFUNCTION("""COMPUTED_VALUE"""),483886.114576499)</f>
        <v>483886.11457649898</v>
      </c>
    </row>
    <row r="5038" spans="1:8" ht="13" x14ac:dyDescent="0.15">
      <c r="A5038" s="5" t="str">
        <f ca="1">IFERROR(__xludf.DUMMYFUNCTION("""COMPUTED_VALUE"""),"89750")</f>
        <v>89750</v>
      </c>
      <c r="B5038" s="51">
        <f ca="1">IFERROR(__xludf.DUMMYFUNCTION("""COMPUTED_VALUE"""),44617)</f>
        <v>44617</v>
      </c>
      <c r="C5038" s="22">
        <f ca="1">IFERROR(__xludf.DUMMYFUNCTION("""COMPUTED_VALUE"""),9382.81533499992)</f>
        <v>9382.8153349999193</v>
      </c>
      <c r="D5038" s="22">
        <f ca="1">IFERROR(__xludf.DUMMYFUNCTION("""COMPUTED_VALUE"""),475101.734246)</f>
        <v>475101.73424600001</v>
      </c>
      <c r="E5038" s="22">
        <f ca="1">IFERROR(__xludf.DUMMYFUNCTION("""COMPUTED_VALUE"""),484484.549580999)</f>
        <v>484484.54958099901</v>
      </c>
      <c r="F5038" s="22">
        <f ca="1">IFERROR(__xludf.DUMMYFUNCTION("""COMPUTED_VALUE"""),72558.8603349999)</f>
        <v>72558.860334999903</v>
      </c>
      <c r="G5038" s="22">
        <f ca="1">IFERROR(__xludf.DUMMYFUNCTION("""COMPUTED_VALUE"""),0)</f>
        <v>0</v>
      </c>
      <c r="H5038" s="7">
        <f ca="1">IFERROR(__xludf.DUMMYFUNCTION("""COMPUTED_VALUE"""),484484.549580999)</f>
        <v>484484.54958099901</v>
      </c>
    </row>
    <row r="5039" spans="1:8" ht="13" x14ac:dyDescent="0.15">
      <c r="A5039" s="5" t="str">
        <f ca="1">IFERROR(__xludf.DUMMYFUNCTION("""COMPUTED_VALUE"""),"89750")</f>
        <v>89750</v>
      </c>
      <c r="B5039" s="51">
        <f ca="1">IFERROR(__xludf.DUMMYFUNCTION("""COMPUTED_VALUE"""),44618)</f>
        <v>44618</v>
      </c>
      <c r="C5039" s="22">
        <f ca="1">IFERROR(__xludf.DUMMYFUNCTION("""COMPUTED_VALUE"""),9382.81533499992)</f>
        <v>9382.8153349999193</v>
      </c>
      <c r="D5039" s="22">
        <f ca="1">IFERROR(__xludf.DUMMYFUNCTION("""COMPUTED_VALUE"""),475108.582765999)</f>
        <v>475108.58276599902</v>
      </c>
      <c r="E5039" s="22">
        <f ca="1">IFERROR(__xludf.DUMMYFUNCTION("""COMPUTED_VALUE"""),484491.398100999)</f>
        <v>484491.39810099901</v>
      </c>
      <c r="F5039" s="22">
        <f ca="1">IFERROR(__xludf.DUMMYFUNCTION("""COMPUTED_VALUE"""),72558.8603349999)</f>
        <v>72558.860334999903</v>
      </c>
      <c r="G5039" s="22">
        <f ca="1">IFERROR(__xludf.DUMMYFUNCTION("""COMPUTED_VALUE"""),0)</f>
        <v>0</v>
      </c>
      <c r="H5039" s="7">
        <f ca="1">IFERROR(__xludf.DUMMYFUNCTION("""COMPUTED_VALUE"""),484491.451800999)</f>
        <v>484491.451800999</v>
      </c>
    </row>
    <row r="5040" spans="1:8" ht="13" x14ac:dyDescent="0.15">
      <c r="A5040" s="5" t="str">
        <f ca="1">IFERROR(__xludf.DUMMYFUNCTION("""COMPUTED_VALUE"""),"89750")</f>
        <v>89750</v>
      </c>
      <c r="B5040" s="51">
        <f ca="1">IFERROR(__xludf.DUMMYFUNCTION("""COMPUTED_VALUE"""),44619)</f>
        <v>44619</v>
      </c>
      <c r="C5040" s="22">
        <f ca="1">IFERROR(__xludf.DUMMYFUNCTION("""COMPUTED_VALUE"""),9382.81533499992)</f>
        <v>9382.8153349999193</v>
      </c>
      <c r="D5040" s="22">
        <f ca="1">IFERROR(__xludf.DUMMYFUNCTION("""COMPUTED_VALUE"""),475092.831169999)</f>
        <v>475092.83116999897</v>
      </c>
      <c r="E5040" s="22">
        <f ca="1">IFERROR(__xludf.DUMMYFUNCTION("""COMPUTED_VALUE"""),484475.646504999)</f>
        <v>484475.64650499902</v>
      </c>
      <c r="F5040" s="22">
        <f ca="1">IFERROR(__xludf.DUMMYFUNCTION("""COMPUTED_VALUE"""),72558.8603349999)</f>
        <v>72558.860334999903</v>
      </c>
      <c r="G5040" s="22">
        <f ca="1">IFERROR(__xludf.DUMMYFUNCTION("""COMPUTED_VALUE"""),0)</f>
        <v>0</v>
      </c>
      <c r="H5040" s="7">
        <f ca="1">IFERROR(__xludf.DUMMYFUNCTION("""COMPUTED_VALUE"""),484475.576694999)</f>
        <v>484475.57669499901</v>
      </c>
    </row>
    <row r="5041" spans="1:8" ht="13" x14ac:dyDescent="0.15">
      <c r="A5041" s="5" t="str">
        <f ca="1">IFERROR(__xludf.DUMMYFUNCTION("""COMPUTED_VALUE"""),"89750")</f>
        <v>89750</v>
      </c>
      <c r="B5041" s="51">
        <f ca="1">IFERROR(__xludf.DUMMYFUNCTION("""COMPUTED_VALUE"""),44620)</f>
        <v>44620</v>
      </c>
      <c r="C5041" s="22">
        <f ca="1">IFERROR(__xludf.DUMMYFUNCTION("""COMPUTED_VALUE"""),-45309.771975)</f>
        <v>-45309.771975000003</v>
      </c>
      <c r="D5041" s="22">
        <f ca="1">IFERROR(__xludf.DUMMYFUNCTION("""COMPUTED_VALUE"""),544256.073125)</f>
        <v>544256.073125</v>
      </c>
      <c r="E5041" s="22">
        <f ca="1">IFERROR(__xludf.DUMMYFUNCTION("""COMPUTED_VALUE"""),498946.30115)</f>
        <v>498946.30115000001</v>
      </c>
      <c r="F5041" s="22">
        <f ca="1">IFERROR(__xludf.DUMMYFUNCTION("""COMPUTED_VALUE"""),-45309.771975)</f>
        <v>-45309.771975000003</v>
      </c>
      <c r="G5041" s="22">
        <f ca="1">IFERROR(__xludf.DUMMYFUNCTION("""COMPUTED_VALUE"""),45309.771975)</f>
        <v>45309.771975000003</v>
      </c>
      <c r="H5041" s="7">
        <f ca="1">IFERROR(__xludf.DUMMYFUNCTION("""COMPUTED_VALUE"""),498946.301149999)</f>
        <v>498946.30114999902</v>
      </c>
    </row>
    <row r="5042" spans="1:8" ht="13" x14ac:dyDescent="0.15">
      <c r="A5042" s="5" t="str">
        <f ca="1">IFERROR(__xludf.DUMMYFUNCTION("""COMPUTED_VALUE"""),"89750")</f>
        <v>89750</v>
      </c>
      <c r="B5042" s="51">
        <f ca="1">IFERROR(__xludf.DUMMYFUNCTION("""COMPUTED_VALUE"""),44621)</f>
        <v>44621</v>
      </c>
      <c r="C5042" s="22">
        <f ca="1">IFERROR(__xludf.DUMMYFUNCTION("""COMPUTED_VALUE"""),161143.153938999)</f>
        <v>161143.15393899899</v>
      </c>
      <c r="D5042" s="22">
        <f ca="1">IFERROR(__xludf.DUMMYFUNCTION("""COMPUTED_VALUE"""),387438.302775)</f>
        <v>387438.30277499999</v>
      </c>
      <c r="E5042" s="22">
        <f ca="1">IFERROR(__xludf.DUMMYFUNCTION("""COMPUTED_VALUE"""),548581.456714)</f>
        <v>548581.45671399997</v>
      </c>
      <c r="F5042" s="22">
        <f ca="1">IFERROR(__xludf.DUMMYFUNCTION("""COMPUTED_VALUE"""),161143.153938999)</f>
        <v>161143.15393899899</v>
      </c>
      <c r="G5042" s="22">
        <f ca="1">IFERROR(__xludf.DUMMYFUNCTION("""COMPUTED_VALUE"""),0)</f>
        <v>0</v>
      </c>
      <c r="H5042" s="7">
        <f ca="1">IFERROR(__xludf.DUMMYFUNCTION("""COMPUTED_VALUE"""),548581.456713999)</f>
        <v>548581.45671399904</v>
      </c>
    </row>
    <row r="5043" spans="1:8" ht="13" x14ac:dyDescent="0.15">
      <c r="A5043" s="5" t="str">
        <f ca="1">IFERROR(__xludf.DUMMYFUNCTION("""COMPUTED_VALUE"""),"89750")</f>
        <v>89750</v>
      </c>
      <c r="B5043" s="51">
        <f ca="1">IFERROR(__xludf.DUMMYFUNCTION("""COMPUTED_VALUE"""),44622)</f>
        <v>44622</v>
      </c>
      <c r="C5043" s="22">
        <f ca="1">IFERROR(__xludf.DUMMYFUNCTION("""COMPUTED_VALUE"""),132210.190238999)</f>
        <v>132210.190238999</v>
      </c>
      <c r="D5043" s="22">
        <f ca="1">IFERROR(__xludf.DUMMYFUNCTION("""COMPUTED_VALUE"""),425170.0462)</f>
        <v>425170.04619999998</v>
      </c>
      <c r="E5043" s="22">
        <f ca="1">IFERROR(__xludf.DUMMYFUNCTION("""COMPUTED_VALUE"""),557380.236439)</f>
        <v>557380.236439</v>
      </c>
      <c r="F5043" s="22">
        <f ca="1">IFERROR(__xludf.DUMMYFUNCTION("""COMPUTED_VALUE"""),132210.190238999)</f>
        <v>132210.190238999</v>
      </c>
      <c r="G5043" s="22">
        <f ca="1">IFERROR(__xludf.DUMMYFUNCTION("""COMPUTED_VALUE"""),0)</f>
        <v>0</v>
      </c>
      <c r="H5043" s="7">
        <f ca="1">IFERROR(__xludf.DUMMYFUNCTION("""COMPUTED_VALUE"""),557380.236439)</f>
        <v>557380.236439</v>
      </c>
    </row>
    <row r="5044" spans="1:8" ht="13" x14ac:dyDescent="0.15">
      <c r="A5044" s="5" t="str">
        <f ca="1">IFERROR(__xludf.DUMMYFUNCTION("""COMPUTED_VALUE"""),"89750")</f>
        <v>89750</v>
      </c>
      <c r="B5044" s="51">
        <f ca="1">IFERROR(__xludf.DUMMYFUNCTION("""COMPUTED_VALUE"""),44623)</f>
        <v>44623</v>
      </c>
      <c r="C5044" s="22">
        <f ca="1">IFERROR(__xludf.DUMMYFUNCTION("""COMPUTED_VALUE"""),-6677.46426100008)</f>
        <v>-6677.4642610000801</v>
      </c>
      <c r="D5044" s="22">
        <f ca="1">IFERROR(__xludf.DUMMYFUNCTION("""COMPUTED_VALUE"""),546991.29545)</f>
        <v>546991.29544999998</v>
      </c>
      <c r="E5044" s="22">
        <f ca="1">IFERROR(__xludf.DUMMYFUNCTION("""COMPUTED_VALUE"""),540313.831189)</f>
        <v>540313.83118900005</v>
      </c>
      <c r="F5044" s="22">
        <f ca="1">IFERROR(__xludf.DUMMYFUNCTION("""COMPUTED_VALUE"""),-6677.46426100009)</f>
        <v>-6677.4642610000901</v>
      </c>
      <c r="G5044" s="22">
        <f ca="1">IFERROR(__xludf.DUMMYFUNCTION("""COMPUTED_VALUE"""),6677.46426100009)</f>
        <v>6677.4642610000901</v>
      </c>
      <c r="H5044" s="7">
        <f ca="1">IFERROR(__xludf.DUMMYFUNCTION("""COMPUTED_VALUE"""),540313.831189)</f>
        <v>540313.83118900005</v>
      </c>
    </row>
    <row r="5045" spans="1:8" ht="13" x14ac:dyDescent="0.15">
      <c r="A5045" s="5" t="str">
        <f ca="1">IFERROR(__xludf.DUMMYFUNCTION("""COMPUTED_VALUE"""),"89750")</f>
        <v>89750</v>
      </c>
      <c r="B5045" s="51">
        <f ca="1">IFERROR(__xludf.DUMMYFUNCTION("""COMPUTED_VALUE"""),44624)</f>
        <v>44624</v>
      </c>
      <c r="C5045" s="22">
        <f ca="1">IFERROR(__xludf.DUMMYFUNCTION("""COMPUTED_VALUE"""),355.387738999917)</f>
        <v>355.38773899991702</v>
      </c>
      <c r="D5045" s="22">
        <f ca="1">IFERROR(__xludf.DUMMYFUNCTION("""COMPUTED_VALUE"""),564442.110459999)</f>
        <v>564442.11045999895</v>
      </c>
      <c r="E5045" s="22">
        <f ca="1">IFERROR(__xludf.DUMMYFUNCTION("""COMPUTED_VALUE"""),564797.498198999)</f>
        <v>564797.49819899898</v>
      </c>
      <c r="F5045" s="22">
        <f ca="1">IFERROR(__xludf.DUMMYFUNCTION("""COMPUTED_VALUE"""),355.387738999917)</f>
        <v>355.38773899991702</v>
      </c>
      <c r="G5045" s="22">
        <f ca="1">IFERROR(__xludf.DUMMYFUNCTION("""COMPUTED_VALUE"""),0)</f>
        <v>0</v>
      </c>
      <c r="H5045" s="7">
        <f ca="1">IFERROR(__xludf.DUMMYFUNCTION("""COMPUTED_VALUE"""),563234.642198999)</f>
        <v>563234.64219899895</v>
      </c>
    </row>
    <row r="5046" spans="1:8" ht="13" x14ac:dyDescent="0.15">
      <c r="A5046" s="5" t="str">
        <f ca="1">IFERROR(__xludf.DUMMYFUNCTION("""COMPUTED_VALUE"""),"89750")</f>
        <v>89750</v>
      </c>
      <c r="B5046" s="51">
        <f ca="1">IFERROR(__xludf.DUMMYFUNCTION("""COMPUTED_VALUE"""),44625)</f>
        <v>44625</v>
      </c>
      <c r="C5046" s="22">
        <f ca="1">IFERROR(__xludf.DUMMYFUNCTION("""COMPUTED_VALUE"""),355.387738999917)</f>
        <v>355.38773899991702</v>
      </c>
      <c r="D5046" s="22">
        <f ca="1">IFERROR(__xludf.DUMMYFUNCTION("""COMPUTED_VALUE"""),564442.110459999)</f>
        <v>564442.11045999895</v>
      </c>
      <c r="E5046" s="22">
        <f ca="1">IFERROR(__xludf.DUMMYFUNCTION("""COMPUTED_VALUE"""),564797.498198999)</f>
        <v>564797.49819899898</v>
      </c>
      <c r="F5046" s="22">
        <f ca="1">IFERROR(__xludf.DUMMYFUNCTION("""COMPUTED_VALUE"""),355.387738999917)</f>
        <v>355.38773899991702</v>
      </c>
      <c r="G5046" s="22">
        <f ca="1">IFERROR(__xludf.DUMMYFUNCTION("""COMPUTED_VALUE"""),0)</f>
        <v>0</v>
      </c>
      <c r="H5046" s="7">
        <f ca="1">IFERROR(__xludf.DUMMYFUNCTION("""COMPUTED_VALUE"""),563234.642198999)</f>
        <v>563234.64219899895</v>
      </c>
    </row>
    <row r="5047" spans="1:8" ht="13" x14ac:dyDescent="0.15">
      <c r="A5047" s="5" t="str">
        <f ca="1">IFERROR(__xludf.DUMMYFUNCTION("""COMPUTED_VALUE"""),"89750")</f>
        <v>89750</v>
      </c>
      <c r="B5047" s="51">
        <f ca="1">IFERROR(__xludf.DUMMYFUNCTION("""COMPUTED_VALUE"""),44626)</f>
        <v>44626</v>
      </c>
      <c r="C5047" s="22">
        <f ca="1">IFERROR(__xludf.DUMMYFUNCTION("""COMPUTED_VALUE"""),355.387738999917)</f>
        <v>355.38773899991702</v>
      </c>
      <c r="D5047" s="22">
        <f ca="1">IFERROR(__xludf.DUMMYFUNCTION("""COMPUTED_VALUE"""),564487.173922499)</f>
        <v>564487.17392249894</v>
      </c>
      <c r="E5047" s="22">
        <f ca="1">IFERROR(__xludf.DUMMYFUNCTION("""COMPUTED_VALUE"""),564842.561661499)</f>
        <v>564842.56166149897</v>
      </c>
      <c r="F5047" s="22">
        <f ca="1">IFERROR(__xludf.DUMMYFUNCTION("""COMPUTED_VALUE"""),355.387738999917)</f>
        <v>355.38773899991702</v>
      </c>
      <c r="G5047" s="22">
        <f ca="1">IFERROR(__xludf.DUMMYFUNCTION("""COMPUTED_VALUE"""),0)</f>
        <v>0</v>
      </c>
      <c r="H5047" s="7">
        <f ca="1">IFERROR(__xludf.DUMMYFUNCTION("""COMPUTED_VALUE"""),563284.8656615)</f>
        <v>563284.86566150002</v>
      </c>
    </row>
    <row r="5048" spans="1:8" ht="13" x14ac:dyDescent="0.15">
      <c r="A5048" s="5" t="str">
        <f ca="1">IFERROR(__xludf.DUMMYFUNCTION("""COMPUTED_VALUE"""),"89750")</f>
        <v>89750</v>
      </c>
      <c r="B5048" s="51">
        <f ca="1">IFERROR(__xludf.DUMMYFUNCTION("""COMPUTED_VALUE"""),44627)</f>
        <v>44627</v>
      </c>
      <c r="C5048" s="22">
        <f ca="1">IFERROR(__xludf.DUMMYFUNCTION("""COMPUTED_VALUE"""),159220.505188999)</f>
        <v>159220.505188999</v>
      </c>
      <c r="D5048" s="22">
        <f ca="1">IFERROR(__xludf.DUMMYFUNCTION("""COMPUTED_VALUE"""),439314.013124999)</f>
        <v>439314.01312499901</v>
      </c>
      <c r="E5048" s="22">
        <f ca="1">IFERROR(__xludf.DUMMYFUNCTION("""COMPUTED_VALUE"""),598534.518313999)</f>
        <v>598534.51831399905</v>
      </c>
      <c r="F5048" s="22">
        <f ca="1">IFERROR(__xludf.DUMMYFUNCTION("""COMPUTED_VALUE"""),159220.505188999)</f>
        <v>159220.505188999</v>
      </c>
      <c r="G5048" s="22">
        <f ca="1">IFERROR(__xludf.DUMMYFUNCTION("""COMPUTED_VALUE"""),0)</f>
        <v>0</v>
      </c>
      <c r="H5048" s="7">
        <f ca="1">IFERROR(__xludf.DUMMYFUNCTION("""COMPUTED_VALUE"""),598534.518314)</f>
        <v>598534.51831399999</v>
      </c>
    </row>
    <row r="5049" spans="1:8" ht="13" x14ac:dyDescent="0.15">
      <c r="A5049" s="5" t="str">
        <f ca="1">IFERROR(__xludf.DUMMYFUNCTION("""COMPUTED_VALUE"""),"89750")</f>
        <v>89750</v>
      </c>
      <c r="B5049" s="51">
        <f ca="1">IFERROR(__xludf.DUMMYFUNCTION("""COMPUTED_VALUE"""),44628)</f>
        <v>44628</v>
      </c>
      <c r="C5049" s="22">
        <f ca="1">IFERROR(__xludf.DUMMYFUNCTION("""COMPUTED_VALUE"""),14569.4676889999)</f>
        <v>14569.467688999899</v>
      </c>
      <c r="D5049" s="22">
        <f ca="1">IFERROR(__xludf.DUMMYFUNCTION("""COMPUTED_VALUE"""),592111.836374999)</f>
        <v>592111.83637499902</v>
      </c>
      <c r="E5049" s="22">
        <f ca="1">IFERROR(__xludf.DUMMYFUNCTION("""COMPUTED_VALUE"""),606681.304063999)</f>
        <v>606681.30406399898</v>
      </c>
      <c r="F5049" s="22">
        <f ca="1">IFERROR(__xludf.DUMMYFUNCTION("""COMPUTED_VALUE"""),14569.4676889999)</f>
        <v>14569.467688999899</v>
      </c>
      <c r="G5049" s="22">
        <f ca="1">IFERROR(__xludf.DUMMYFUNCTION("""COMPUTED_VALUE"""),0)</f>
        <v>0</v>
      </c>
      <c r="H5049" s="7">
        <f ca="1">IFERROR(__xludf.DUMMYFUNCTION("""COMPUTED_VALUE"""),606681.304063999)</f>
        <v>606681.30406399898</v>
      </c>
    </row>
    <row r="5050" spans="1:8" ht="13" x14ac:dyDescent="0.15">
      <c r="A5050" s="5" t="str">
        <f ca="1">IFERROR(__xludf.DUMMYFUNCTION("""COMPUTED_VALUE"""),"89750")</f>
        <v>89750</v>
      </c>
      <c r="B5050" s="51">
        <f ca="1">IFERROR(__xludf.DUMMYFUNCTION("""COMPUTED_VALUE"""),44629)</f>
        <v>44629</v>
      </c>
      <c r="C5050" s="22">
        <f ca="1">IFERROR(__xludf.DUMMYFUNCTION("""COMPUTED_VALUE"""),14569.4676889999)</f>
        <v>14569.467688999899</v>
      </c>
      <c r="D5050" s="22">
        <f ca="1">IFERROR(__xludf.DUMMYFUNCTION("""COMPUTED_VALUE"""),582753.202374999)</f>
        <v>582753.20237499895</v>
      </c>
      <c r="E5050" s="22">
        <f ca="1">IFERROR(__xludf.DUMMYFUNCTION("""COMPUTED_VALUE"""),597322.670063999)</f>
        <v>597322.67006399902</v>
      </c>
      <c r="F5050" s="22">
        <f ca="1">IFERROR(__xludf.DUMMYFUNCTION("""COMPUTED_VALUE"""),14569.4676889999)</f>
        <v>14569.467688999899</v>
      </c>
      <c r="G5050" s="22">
        <f ca="1">IFERROR(__xludf.DUMMYFUNCTION("""COMPUTED_VALUE"""),0)</f>
        <v>0</v>
      </c>
      <c r="H5050" s="7">
        <f ca="1">IFERROR(__xludf.DUMMYFUNCTION("""COMPUTED_VALUE"""),597329.607564)</f>
        <v>597329.60756399995</v>
      </c>
    </row>
    <row r="5051" spans="1:8" ht="13" x14ac:dyDescent="0.15">
      <c r="A5051" s="5" t="str">
        <f ca="1">IFERROR(__xludf.DUMMYFUNCTION("""COMPUTED_VALUE"""),"89750")</f>
        <v>89750</v>
      </c>
      <c r="B5051" s="51">
        <f ca="1">IFERROR(__xludf.DUMMYFUNCTION("""COMPUTED_VALUE"""),44630)</f>
        <v>44630</v>
      </c>
      <c r="C5051" s="22">
        <f ca="1">IFERROR(__xludf.DUMMYFUNCTION("""COMPUTED_VALUE"""),148532.061688999)</f>
        <v>148532.06168899901</v>
      </c>
      <c r="D5051" s="22">
        <f ca="1">IFERROR(__xludf.DUMMYFUNCTION("""COMPUTED_VALUE"""),458091.273624999)</f>
        <v>458091.27362499898</v>
      </c>
      <c r="E5051" s="22">
        <f ca="1">IFERROR(__xludf.DUMMYFUNCTION("""COMPUTED_VALUE"""),606623.335313999)</f>
        <v>606623.33531399898</v>
      </c>
      <c r="F5051" s="22">
        <f ca="1">IFERROR(__xludf.DUMMYFUNCTION("""COMPUTED_VALUE"""),148532.061688999)</f>
        <v>148532.06168899901</v>
      </c>
      <c r="G5051" s="22">
        <f ca="1">IFERROR(__xludf.DUMMYFUNCTION("""COMPUTED_VALUE"""),0)</f>
        <v>0</v>
      </c>
      <c r="H5051" s="7">
        <f ca="1">IFERROR(__xludf.DUMMYFUNCTION("""COMPUTED_VALUE"""),606623.335313999)</f>
        <v>606623.33531399898</v>
      </c>
    </row>
    <row r="5052" spans="1:8" ht="13" x14ac:dyDescent="0.15">
      <c r="A5052" s="5" t="str">
        <f ca="1">IFERROR(__xludf.DUMMYFUNCTION("""COMPUTED_VALUE"""),"89750")</f>
        <v>89750</v>
      </c>
      <c r="B5052" s="51">
        <f ca="1">IFERROR(__xludf.DUMMYFUNCTION("""COMPUTED_VALUE"""),44631)</f>
        <v>44631</v>
      </c>
      <c r="C5052" s="22">
        <f ca="1">IFERROR(__xludf.DUMMYFUNCTION("""COMPUTED_VALUE"""),148532.545688999)</f>
        <v>148532.545688999</v>
      </c>
      <c r="D5052" s="22">
        <f ca="1">IFERROR(__xludf.DUMMYFUNCTION("""COMPUTED_VALUE"""),463329.849)</f>
        <v>463329.84899999999</v>
      </c>
      <c r="E5052" s="22">
        <f ca="1">IFERROR(__xludf.DUMMYFUNCTION("""COMPUTED_VALUE"""),611862.394688999)</f>
        <v>611862.39468899905</v>
      </c>
      <c r="F5052" s="22">
        <f ca="1">IFERROR(__xludf.DUMMYFUNCTION("""COMPUTED_VALUE"""),148532.545688999)</f>
        <v>148532.545688999</v>
      </c>
      <c r="G5052" s="22">
        <f ca="1">IFERROR(__xludf.DUMMYFUNCTION("""COMPUTED_VALUE"""),0)</f>
        <v>0</v>
      </c>
      <c r="H5052" s="7">
        <f ca="1">IFERROR(__xludf.DUMMYFUNCTION("""COMPUTED_VALUE"""),611971.517688999)</f>
        <v>611971.51768899895</v>
      </c>
    </row>
    <row r="5053" spans="1:8" ht="13" x14ac:dyDescent="0.15">
      <c r="A5053" s="5" t="str">
        <f ca="1">IFERROR(__xludf.DUMMYFUNCTION("""COMPUTED_VALUE"""),"89750")</f>
        <v>89750</v>
      </c>
      <c r="B5053" s="51">
        <f ca="1">IFERROR(__xludf.DUMMYFUNCTION("""COMPUTED_VALUE"""),44632)</f>
        <v>44632</v>
      </c>
      <c r="C5053" s="22">
        <f ca="1">IFERROR(__xludf.DUMMYFUNCTION("""COMPUTED_VALUE"""),148532.545688999)</f>
        <v>148532.545688999</v>
      </c>
      <c r="D5053" s="22">
        <f ca="1">IFERROR(__xludf.DUMMYFUNCTION("""COMPUTED_VALUE"""),463329.849)</f>
        <v>463329.84899999999</v>
      </c>
      <c r="E5053" s="22">
        <f ca="1">IFERROR(__xludf.DUMMYFUNCTION("""COMPUTED_VALUE"""),611862.394688999)</f>
        <v>611862.39468899905</v>
      </c>
      <c r="F5053" s="22">
        <f ca="1">IFERROR(__xludf.DUMMYFUNCTION("""COMPUTED_VALUE"""),148532.545688999)</f>
        <v>148532.545688999</v>
      </c>
      <c r="G5053" s="22">
        <f ca="1">IFERROR(__xludf.DUMMYFUNCTION("""COMPUTED_VALUE"""),0)</f>
        <v>0</v>
      </c>
      <c r="H5053" s="7">
        <f ca="1">IFERROR(__xludf.DUMMYFUNCTION("""COMPUTED_VALUE"""),611971.517688999)</f>
        <v>611971.51768899895</v>
      </c>
    </row>
    <row r="5054" spans="1:8" ht="13" x14ac:dyDescent="0.15">
      <c r="A5054" s="5" t="str">
        <f ca="1">IFERROR(__xludf.DUMMYFUNCTION("""COMPUTED_VALUE"""),"89750")</f>
        <v>89750</v>
      </c>
      <c r="B5054" s="51">
        <f ca="1">IFERROR(__xludf.DUMMYFUNCTION("""COMPUTED_VALUE"""),44633)</f>
        <v>44633</v>
      </c>
      <c r="C5054" s="22">
        <f ca="1">IFERROR(__xludf.DUMMYFUNCTION("""COMPUTED_VALUE"""),148539.331278999)</f>
        <v>148539.33127899899</v>
      </c>
      <c r="D5054" s="22">
        <f ca="1">IFERROR(__xludf.DUMMYFUNCTION("""COMPUTED_VALUE"""),463308.43848)</f>
        <v>463308.43848000001</v>
      </c>
      <c r="E5054" s="22">
        <f ca="1">IFERROR(__xludf.DUMMYFUNCTION("""COMPUTED_VALUE"""),611847.769758999)</f>
        <v>611847.769758999</v>
      </c>
      <c r="F5054" s="22">
        <f ca="1">IFERROR(__xludf.DUMMYFUNCTION("""COMPUTED_VALUE"""),148539.331278999)</f>
        <v>148539.33127899899</v>
      </c>
      <c r="G5054" s="22">
        <f ca="1">IFERROR(__xludf.DUMMYFUNCTION("""COMPUTED_VALUE"""),0)</f>
        <v>0</v>
      </c>
      <c r="H5054" s="7">
        <f ca="1">IFERROR(__xludf.DUMMYFUNCTION("""COMPUTED_VALUE"""),611945.730558999)</f>
        <v>611945.730558999</v>
      </c>
    </row>
    <row r="5055" spans="1:8" ht="13" x14ac:dyDescent="0.15">
      <c r="A5055" s="5" t="str">
        <f ca="1">IFERROR(__xludf.DUMMYFUNCTION("""COMPUTED_VALUE"""),"89750")</f>
        <v>89750</v>
      </c>
      <c r="B5055" s="51">
        <f ca="1">IFERROR(__xludf.DUMMYFUNCTION("""COMPUTED_VALUE"""),44634)</f>
        <v>44634</v>
      </c>
      <c r="C5055" s="22">
        <f ca="1">IFERROR(__xludf.DUMMYFUNCTION("""COMPUTED_VALUE"""),527.308278999851)</f>
        <v>527.30827899985104</v>
      </c>
      <c r="D5055" s="22">
        <f ca="1">IFERROR(__xludf.DUMMYFUNCTION("""COMPUTED_VALUE"""),699875.661)</f>
        <v>699875.66099999996</v>
      </c>
      <c r="E5055" s="22">
        <f ca="1">IFERROR(__xludf.DUMMYFUNCTION("""COMPUTED_VALUE"""),700402.969278999)</f>
        <v>700402.96927899902</v>
      </c>
      <c r="F5055" s="22">
        <f ca="1">IFERROR(__xludf.DUMMYFUNCTION("""COMPUTED_VALUE"""),527.308278999851)</f>
        <v>527.30827899985104</v>
      </c>
      <c r="G5055" s="22">
        <f ca="1">IFERROR(__xludf.DUMMYFUNCTION("""COMPUTED_VALUE"""),0)</f>
        <v>0</v>
      </c>
      <c r="H5055" s="7">
        <f ca="1">IFERROR(__xludf.DUMMYFUNCTION("""COMPUTED_VALUE"""),700402.969278999)</f>
        <v>700402.96927899902</v>
      </c>
    </row>
    <row r="5056" spans="1:8" ht="13" x14ac:dyDescent="0.15">
      <c r="A5056" s="5" t="str">
        <f ca="1">IFERROR(__xludf.DUMMYFUNCTION("""COMPUTED_VALUE"""),"89750")</f>
        <v>89750</v>
      </c>
      <c r="B5056" s="51">
        <f ca="1">IFERROR(__xludf.DUMMYFUNCTION("""COMPUTED_VALUE"""),44635)</f>
        <v>44635</v>
      </c>
      <c r="C5056" s="22">
        <f ca="1">IFERROR(__xludf.DUMMYFUNCTION("""COMPUTED_VALUE"""),-19822.7617210001)</f>
        <v>-19822.761721000101</v>
      </c>
      <c r="D5056" s="22">
        <f ca="1">IFERROR(__xludf.DUMMYFUNCTION("""COMPUTED_VALUE"""),468468.585049999)</f>
        <v>468468.585049999</v>
      </c>
      <c r="E5056" s="22">
        <f ca="1">IFERROR(__xludf.DUMMYFUNCTION("""COMPUTED_VALUE"""),448645.823328999)</f>
        <v>448645.82332899899</v>
      </c>
      <c r="F5056" s="22">
        <f ca="1">IFERROR(__xludf.DUMMYFUNCTION("""COMPUTED_VALUE"""),-19822.7617210001)</f>
        <v>-19822.761721000101</v>
      </c>
      <c r="G5056" s="22">
        <f ca="1">IFERROR(__xludf.DUMMYFUNCTION("""COMPUTED_VALUE"""),19822.7617210001)</f>
        <v>19822.761721000101</v>
      </c>
      <c r="H5056" s="7">
        <f ca="1">IFERROR(__xludf.DUMMYFUNCTION("""COMPUTED_VALUE"""),449553.749528999)</f>
        <v>449553.74952899897</v>
      </c>
    </row>
    <row r="5057" spans="1:8" ht="13" x14ac:dyDescent="0.15">
      <c r="A5057" s="5" t="str">
        <f ca="1">IFERROR(__xludf.DUMMYFUNCTION("""COMPUTED_VALUE"""),"89750")</f>
        <v>89750</v>
      </c>
      <c r="B5057" s="51">
        <f ca="1">IFERROR(__xludf.DUMMYFUNCTION("""COMPUTED_VALUE"""),44636)</f>
        <v>44636</v>
      </c>
      <c r="C5057" s="22">
        <f ca="1">IFERROR(__xludf.DUMMYFUNCTION("""COMPUTED_VALUE"""),-158822.761721)</f>
        <v>-158822.76172099999</v>
      </c>
      <c r="D5057" s="22">
        <f ca="1">IFERROR(__xludf.DUMMYFUNCTION("""COMPUTED_VALUE"""),578945.240999999)</f>
        <v>578945.24099999899</v>
      </c>
      <c r="E5057" s="22">
        <f ca="1">IFERROR(__xludf.DUMMYFUNCTION("""COMPUTED_VALUE"""),420122.479278999)</f>
        <v>420122.47927899897</v>
      </c>
      <c r="F5057" s="22">
        <f ca="1">IFERROR(__xludf.DUMMYFUNCTION("""COMPUTED_VALUE"""),-158822.761721)</f>
        <v>-158822.76172099999</v>
      </c>
      <c r="G5057" s="22">
        <f ca="1">IFERROR(__xludf.DUMMYFUNCTION("""COMPUTED_VALUE"""),158822.761721)</f>
        <v>158822.76172099999</v>
      </c>
      <c r="H5057" s="7">
        <f ca="1">IFERROR(__xludf.DUMMYFUNCTION("""COMPUTED_VALUE"""),420122.479278999)</f>
        <v>420122.47927899897</v>
      </c>
    </row>
    <row r="5058" spans="1:8" ht="13" x14ac:dyDescent="0.15">
      <c r="A5058" s="5" t="str">
        <f ca="1">IFERROR(__xludf.DUMMYFUNCTION("""COMPUTED_VALUE"""),"89750")</f>
        <v>89750</v>
      </c>
      <c r="B5058" s="51">
        <f ca="1">IFERROR(__xludf.DUMMYFUNCTION("""COMPUTED_VALUE"""),44637)</f>
        <v>44637</v>
      </c>
      <c r="C5058" s="22">
        <f ca="1">IFERROR(__xludf.DUMMYFUNCTION("""COMPUTED_VALUE"""),51738.2010789998)</f>
        <v>51738.201078999802</v>
      </c>
      <c r="D5058" s="22">
        <f ca="1">IFERROR(__xludf.DUMMYFUNCTION("""COMPUTED_VALUE"""),575117.738449999)</f>
        <v>575117.73844999901</v>
      </c>
      <c r="E5058" s="22">
        <f ca="1">IFERROR(__xludf.DUMMYFUNCTION("""COMPUTED_VALUE"""),626855.939528999)</f>
        <v>626855.93952899904</v>
      </c>
      <c r="F5058" s="22">
        <f ca="1">IFERROR(__xludf.DUMMYFUNCTION("""COMPUTED_VALUE"""),51738.2010789998)</f>
        <v>51738.201078999802</v>
      </c>
      <c r="G5058" s="22">
        <f ca="1">IFERROR(__xludf.DUMMYFUNCTION("""COMPUTED_VALUE"""),0)</f>
        <v>0</v>
      </c>
      <c r="H5058" s="7">
        <f ca="1">IFERROR(__xludf.DUMMYFUNCTION("""COMPUTED_VALUE"""),626855.939529)</f>
        <v>626855.93952899997</v>
      </c>
    </row>
    <row r="5059" spans="1:8" ht="13" x14ac:dyDescent="0.15">
      <c r="A5059" s="5" t="str">
        <f ca="1">IFERROR(__xludf.DUMMYFUNCTION("""COMPUTED_VALUE"""),"89750")</f>
        <v>89750</v>
      </c>
      <c r="B5059" s="51">
        <f ca="1">IFERROR(__xludf.DUMMYFUNCTION("""COMPUTED_VALUE"""),44638)</f>
        <v>44638</v>
      </c>
      <c r="C5059" s="22">
        <f ca="1">IFERROR(__xludf.DUMMYFUNCTION("""COMPUTED_VALUE"""),51740.6337789998)</f>
        <v>51740.6337789998</v>
      </c>
      <c r="D5059" s="22">
        <f ca="1">IFERROR(__xludf.DUMMYFUNCTION("""COMPUTED_VALUE"""),586126.98905)</f>
        <v>586126.98904999997</v>
      </c>
      <c r="E5059" s="22">
        <f ca="1">IFERROR(__xludf.DUMMYFUNCTION("""COMPUTED_VALUE"""),637867.622828999)</f>
        <v>637867.62282899895</v>
      </c>
      <c r="F5059" s="22">
        <f ca="1">IFERROR(__xludf.DUMMYFUNCTION("""COMPUTED_VALUE"""),51740.6337789998)</f>
        <v>51740.6337789998</v>
      </c>
      <c r="G5059" s="22">
        <f ca="1">IFERROR(__xludf.DUMMYFUNCTION("""COMPUTED_VALUE"""),0)</f>
        <v>0</v>
      </c>
      <c r="H5059" s="7">
        <f ca="1">IFERROR(__xludf.DUMMYFUNCTION("""COMPUTED_VALUE"""),637857.815528999)</f>
        <v>637857.81552899897</v>
      </c>
    </row>
    <row r="5060" spans="1:8" ht="13" x14ac:dyDescent="0.15">
      <c r="A5060" s="5" t="str">
        <f ca="1">IFERROR(__xludf.DUMMYFUNCTION("""COMPUTED_VALUE"""),"89750")</f>
        <v>89750</v>
      </c>
      <c r="B5060" s="51">
        <f ca="1">IFERROR(__xludf.DUMMYFUNCTION("""COMPUTED_VALUE"""),44639)</f>
        <v>44639</v>
      </c>
      <c r="C5060" s="22">
        <f ca="1">IFERROR(__xludf.DUMMYFUNCTION("""COMPUTED_VALUE"""),51740.6337789998)</f>
        <v>51740.6337789998</v>
      </c>
      <c r="D5060" s="22">
        <f ca="1">IFERROR(__xludf.DUMMYFUNCTION("""COMPUTED_VALUE"""),586126.98905)</f>
        <v>586126.98904999997</v>
      </c>
      <c r="E5060" s="22">
        <f ca="1">IFERROR(__xludf.DUMMYFUNCTION("""COMPUTED_VALUE"""),637867.622828999)</f>
        <v>637867.62282899895</v>
      </c>
      <c r="F5060" s="22">
        <f ca="1">IFERROR(__xludf.DUMMYFUNCTION("""COMPUTED_VALUE"""),51740.6337789998)</f>
        <v>51740.6337789998</v>
      </c>
      <c r="G5060" s="22">
        <f ca="1">IFERROR(__xludf.DUMMYFUNCTION("""COMPUTED_VALUE"""),0)</f>
        <v>0</v>
      </c>
      <c r="H5060" s="7">
        <f ca="1">IFERROR(__xludf.DUMMYFUNCTION("""COMPUTED_VALUE"""),637857.815528999)</f>
        <v>637857.81552899897</v>
      </c>
    </row>
    <row r="5061" spans="1:8" ht="13" x14ac:dyDescent="0.15">
      <c r="A5061" s="5" t="str">
        <f ca="1">IFERROR(__xludf.DUMMYFUNCTION("""COMPUTED_VALUE"""),"89750")</f>
        <v>89750</v>
      </c>
      <c r="B5061" s="51">
        <f ca="1">IFERROR(__xludf.DUMMYFUNCTION("""COMPUTED_VALUE"""),44640)</f>
        <v>44640</v>
      </c>
      <c r="C5061" s="22">
        <f ca="1">IFERROR(__xludf.DUMMYFUNCTION("""COMPUTED_VALUE"""),51740.6337789998)</f>
        <v>51740.6337789998</v>
      </c>
      <c r="D5061" s="22">
        <f ca="1">IFERROR(__xludf.DUMMYFUNCTION("""COMPUTED_VALUE"""),586075.165574999)</f>
        <v>586075.16557499894</v>
      </c>
      <c r="E5061" s="22">
        <f ca="1">IFERROR(__xludf.DUMMYFUNCTION("""COMPUTED_VALUE"""),637815.799353999)</f>
        <v>637815.79935399897</v>
      </c>
      <c r="F5061" s="22">
        <f ca="1">IFERROR(__xludf.DUMMYFUNCTION("""COMPUTED_VALUE"""),51740.6337789998)</f>
        <v>51740.6337789998</v>
      </c>
      <c r="G5061" s="22">
        <f ca="1">IFERROR(__xludf.DUMMYFUNCTION("""COMPUTED_VALUE"""),0)</f>
        <v>0</v>
      </c>
      <c r="H5061" s="7">
        <f ca="1">IFERROR(__xludf.DUMMYFUNCTION("""COMPUTED_VALUE"""),637808.600704)</f>
        <v>637808.60070399998</v>
      </c>
    </row>
    <row r="5062" spans="1:8" ht="13" x14ac:dyDescent="0.15">
      <c r="A5062" s="5" t="str">
        <f ca="1">IFERROR(__xludf.DUMMYFUNCTION("""COMPUTED_VALUE"""),"89750")</f>
        <v>89750</v>
      </c>
      <c r="B5062" s="51">
        <f ca="1">IFERROR(__xludf.DUMMYFUNCTION("""COMPUTED_VALUE"""),44641)</f>
        <v>44641</v>
      </c>
      <c r="C5062" s="22">
        <f ca="1">IFERROR(__xludf.DUMMYFUNCTION("""COMPUTED_VALUE"""),51740.6337789998)</f>
        <v>51740.6337789998</v>
      </c>
      <c r="D5062" s="22">
        <f ca="1">IFERROR(__xludf.DUMMYFUNCTION("""COMPUTED_VALUE"""),568503.736325)</f>
        <v>568503.73632499995</v>
      </c>
      <c r="E5062" s="22">
        <f ca="1">IFERROR(__xludf.DUMMYFUNCTION("""COMPUTED_VALUE"""),620244.370103999)</f>
        <v>620244.37010399904</v>
      </c>
      <c r="F5062" s="22">
        <f ca="1">IFERROR(__xludf.DUMMYFUNCTION("""COMPUTED_VALUE"""),51740.6337789998)</f>
        <v>51740.6337789998</v>
      </c>
      <c r="G5062" s="22">
        <f ca="1">IFERROR(__xludf.DUMMYFUNCTION("""COMPUTED_VALUE"""),0)</f>
        <v>0</v>
      </c>
      <c r="H5062" s="7">
        <f ca="1">IFERROR(__xludf.DUMMYFUNCTION("""COMPUTED_VALUE"""),620233.797804)</f>
        <v>620233.79780399997</v>
      </c>
    </row>
    <row r="5063" spans="1:8" ht="13" x14ac:dyDescent="0.15">
      <c r="A5063" s="5" t="str">
        <f ca="1">IFERROR(__xludf.DUMMYFUNCTION("""COMPUTED_VALUE"""),"89750")</f>
        <v>89750</v>
      </c>
      <c r="B5063" s="51">
        <f ca="1">IFERROR(__xludf.DUMMYFUNCTION("""COMPUTED_VALUE"""),44642)</f>
        <v>44642</v>
      </c>
      <c r="C5063" s="22">
        <f ca="1">IFERROR(__xludf.DUMMYFUNCTION("""COMPUTED_VALUE"""),51740.6337789998)</f>
        <v>51740.6337789998</v>
      </c>
      <c r="D5063" s="22">
        <f ca="1">IFERROR(__xludf.DUMMYFUNCTION("""COMPUTED_VALUE"""),597076.929575)</f>
        <v>597076.92957499996</v>
      </c>
      <c r="E5063" s="22">
        <f ca="1">IFERROR(__xludf.DUMMYFUNCTION("""COMPUTED_VALUE"""),648817.563353999)</f>
        <v>648817.56335399905</v>
      </c>
      <c r="F5063" s="22">
        <f ca="1">IFERROR(__xludf.DUMMYFUNCTION("""COMPUTED_VALUE"""),51740.6337789998)</f>
        <v>51740.6337789998</v>
      </c>
      <c r="G5063" s="22">
        <f ca="1">IFERROR(__xludf.DUMMYFUNCTION("""COMPUTED_VALUE"""),0)</f>
        <v>0</v>
      </c>
      <c r="H5063" s="7">
        <f ca="1">IFERROR(__xludf.DUMMYFUNCTION("""COMPUTED_VALUE"""),648804.696054)</f>
        <v>648804.69605399994</v>
      </c>
    </row>
    <row r="5064" spans="1:8" ht="13" x14ac:dyDescent="0.15">
      <c r="A5064" s="5" t="str">
        <f ca="1">IFERROR(__xludf.DUMMYFUNCTION("""COMPUTED_VALUE"""),"89833")</f>
        <v>89833</v>
      </c>
      <c r="B5064" s="51">
        <f ca="1">IFERROR(__xludf.DUMMYFUNCTION("""COMPUTED_VALUE"""),44597)</f>
        <v>44597</v>
      </c>
      <c r="C5064" s="22">
        <f ca="1">IFERROR(__xludf.DUMMYFUNCTION("""COMPUTED_VALUE"""),500000)</f>
        <v>500000</v>
      </c>
      <c r="D5064" s="22">
        <f ca="1">IFERROR(__xludf.DUMMYFUNCTION("""COMPUTED_VALUE"""),0)</f>
        <v>0</v>
      </c>
      <c r="E5064" s="22">
        <f ca="1">IFERROR(__xludf.DUMMYFUNCTION("""COMPUTED_VALUE"""),500000)</f>
        <v>500000</v>
      </c>
      <c r="F5064" s="22">
        <f ca="1">IFERROR(__xludf.DUMMYFUNCTION("""COMPUTED_VALUE"""),500000)</f>
        <v>500000</v>
      </c>
      <c r="G5064" s="22">
        <f ca="1">IFERROR(__xludf.DUMMYFUNCTION("""COMPUTED_VALUE"""),0)</f>
        <v>0</v>
      </c>
      <c r="H5064" s="7">
        <f ca="1">IFERROR(__xludf.DUMMYFUNCTION("""COMPUTED_VALUE"""),500000)</f>
        <v>500000</v>
      </c>
    </row>
    <row r="5065" spans="1:8" ht="13" x14ac:dyDescent="0.15">
      <c r="A5065" s="5" t="str">
        <f ca="1">IFERROR(__xludf.DUMMYFUNCTION("""COMPUTED_VALUE"""),"89833")</f>
        <v>89833</v>
      </c>
      <c r="B5065" s="51">
        <f ca="1">IFERROR(__xludf.DUMMYFUNCTION("""COMPUTED_VALUE"""),44598)</f>
        <v>44598</v>
      </c>
      <c r="C5065" s="22">
        <f ca="1">IFERROR(__xludf.DUMMYFUNCTION("""COMPUTED_VALUE"""),500000)</f>
        <v>500000</v>
      </c>
      <c r="D5065" s="22">
        <f ca="1">IFERROR(__xludf.DUMMYFUNCTION("""COMPUTED_VALUE"""),0)</f>
        <v>0</v>
      </c>
      <c r="E5065" s="22">
        <f ca="1">IFERROR(__xludf.DUMMYFUNCTION("""COMPUTED_VALUE"""),500000)</f>
        <v>500000</v>
      </c>
      <c r="F5065" s="22">
        <f ca="1">IFERROR(__xludf.DUMMYFUNCTION("""COMPUTED_VALUE"""),500000)</f>
        <v>500000</v>
      </c>
      <c r="G5065" s="22">
        <f ca="1">IFERROR(__xludf.DUMMYFUNCTION("""COMPUTED_VALUE"""),0)</f>
        <v>0</v>
      </c>
      <c r="H5065" s="7">
        <f ca="1">IFERROR(__xludf.DUMMYFUNCTION("""COMPUTED_VALUE"""),500000)</f>
        <v>500000</v>
      </c>
    </row>
    <row r="5066" spans="1:8" ht="13" x14ac:dyDescent="0.15">
      <c r="A5066" s="5" t="str">
        <f ca="1">IFERROR(__xludf.DUMMYFUNCTION("""COMPUTED_VALUE"""),"89833")</f>
        <v>89833</v>
      </c>
      <c r="B5066" s="51">
        <f ca="1">IFERROR(__xludf.DUMMYFUNCTION("""COMPUTED_VALUE"""),44599)</f>
        <v>44599</v>
      </c>
      <c r="C5066" s="22">
        <f ca="1">IFERROR(__xludf.DUMMYFUNCTION("""COMPUTED_VALUE"""),500000)</f>
        <v>500000</v>
      </c>
      <c r="D5066" s="22">
        <f ca="1">IFERROR(__xludf.DUMMYFUNCTION("""COMPUTED_VALUE"""),0)</f>
        <v>0</v>
      </c>
      <c r="E5066" s="22">
        <f ca="1">IFERROR(__xludf.DUMMYFUNCTION("""COMPUTED_VALUE"""),500000)</f>
        <v>500000</v>
      </c>
      <c r="F5066" s="22">
        <f ca="1">IFERROR(__xludf.DUMMYFUNCTION("""COMPUTED_VALUE"""),500000)</f>
        <v>500000</v>
      </c>
      <c r="G5066" s="22">
        <f ca="1">IFERROR(__xludf.DUMMYFUNCTION("""COMPUTED_VALUE"""),0)</f>
        <v>0</v>
      </c>
      <c r="H5066" s="7">
        <f ca="1">IFERROR(__xludf.DUMMYFUNCTION("""COMPUTED_VALUE"""),500000)</f>
        <v>500000</v>
      </c>
    </row>
    <row r="5067" spans="1:8" ht="13" x14ac:dyDescent="0.15">
      <c r="A5067" s="5" t="str">
        <f ca="1">IFERROR(__xludf.DUMMYFUNCTION("""COMPUTED_VALUE"""),"89833")</f>
        <v>89833</v>
      </c>
      <c r="B5067" s="51">
        <f ca="1">IFERROR(__xludf.DUMMYFUNCTION("""COMPUTED_VALUE"""),44600)</f>
        <v>44600</v>
      </c>
      <c r="C5067" s="22">
        <f ca="1">IFERROR(__xludf.DUMMYFUNCTION("""COMPUTED_VALUE"""),500000)</f>
        <v>500000</v>
      </c>
      <c r="D5067" s="22">
        <f ca="1">IFERROR(__xludf.DUMMYFUNCTION("""COMPUTED_VALUE"""),0)</f>
        <v>0</v>
      </c>
      <c r="E5067" s="22">
        <f ca="1">IFERROR(__xludf.DUMMYFUNCTION("""COMPUTED_VALUE"""),500000)</f>
        <v>500000</v>
      </c>
      <c r="F5067" s="22">
        <f ca="1">IFERROR(__xludf.DUMMYFUNCTION("""COMPUTED_VALUE"""),500000)</f>
        <v>500000</v>
      </c>
      <c r="G5067" s="22">
        <f ca="1">IFERROR(__xludf.DUMMYFUNCTION("""COMPUTED_VALUE"""),0)</f>
        <v>0</v>
      </c>
      <c r="H5067" s="7">
        <f ca="1">IFERROR(__xludf.DUMMYFUNCTION("""COMPUTED_VALUE"""),500000)</f>
        <v>500000</v>
      </c>
    </row>
    <row r="5068" spans="1:8" ht="13" x14ac:dyDescent="0.15">
      <c r="A5068" s="5" t="str">
        <f ca="1">IFERROR(__xludf.DUMMYFUNCTION("""COMPUTED_VALUE"""),"89833")</f>
        <v>89833</v>
      </c>
      <c r="B5068" s="51">
        <f ca="1">IFERROR(__xludf.DUMMYFUNCTION("""COMPUTED_VALUE"""),44601)</f>
        <v>44601</v>
      </c>
      <c r="C5068" s="22">
        <f ca="1">IFERROR(__xludf.DUMMYFUNCTION("""COMPUTED_VALUE"""),500000)</f>
        <v>500000</v>
      </c>
      <c r="D5068" s="22">
        <f ca="1">IFERROR(__xludf.DUMMYFUNCTION("""COMPUTED_VALUE"""),0)</f>
        <v>0</v>
      </c>
      <c r="E5068" s="22">
        <f ca="1">IFERROR(__xludf.DUMMYFUNCTION("""COMPUTED_VALUE"""),500000)</f>
        <v>500000</v>
      </c>
      <c r="F5068" s="22">
        <f ca="1">IFERROR(__xludf.DUMMYFUNCTION("""COMPUTED_VALUE"""),500000)</f>
        <v>500000</v>
      </c>
      <c r="G5068" s="22">
        <f ca="1">IFERROR(__xludf.DUMMYFUNCTION("""COMPUTED_VALUE"""),0)</f>
        <v>0</v>
      </c>
      <c r="H5068" s="7">
        <f ca="1">IFERROR(__xludf.DUMMYFUNCTION("""COMPUTED_VALUE"""),500000)</f>
        <v>500000</v>
      </c>
    </row>
    <row r="5069" spans="1:8" ht="13" x14ac:dyDescent="0.15">
      <c r="A5069" s="5" t="str">
        <f ca="1">IFERROR(__xludf.DUMMYFUNCTION("""COMPUTED_VALUE"""),"89833")</f>
        <v>89833</v>
      </c>
      <c r="B5069" s="51">
        <f ca="1">IFERROR(__xludf.DUMMYFUNCTION("""COMPUTED_VALUE"""),44602)</f>
        <v>44602</v>
      </c>
      <c r="C5069" s="22">
        <f ca="1">IFERROR(__xludf.DUMMYFUNCTION("""COMPUTED_VALUE"""),500000)</f>
        <v>500000</v>
      </c>
      <c r="D5069" s="22">
        <f ca="1">IFERROR(__xludf.DUMMYFUNCTION("""COMPUTED_VALUE"""),0)</f>
        <v>0</v>
      </c>
      <c r="E5069" s="22">
        <f ca="1">IFERROR(__xludf.DUMMYFUNCTION("""COMPUTED_VALUE"""),500000)</f>
        <v>500000</v>
      </c>
      <c r="F5069" s="22">
        <f ca="1">IFERROR(__xludf.DUMMYFUNCTION("""COMPUTED_VALUE"""),500000)</f>
        <v>500000</v>
      </c>
      <c r="G5069" s="22">
        <f ca="1">IFERROR(__xludf.DUMMYFUNCTION("""COMPUTED_VALUE"""),0)</f>
        <v>0</v>
      </c>
      <c r="H5069" s="7">
        <f ca="1">IFERROR(__xludf.DUMMYFUNCTION("""COMPUTED_VALUE"""),500000)</f>
        <v>500000</v>
      </c>
    </row>
    <row r="5070" spans="1:8" ht="13" x14ac:dyDescent="0.15">
      <c r="A5070" s="5" t="str">
        <f ca="1">IFERROR(__xludf.DUMMYFUNCTION("""COMPUTED_VALUE"""),"89833")</f>
        <v>89833</v>
      </c>
      <c r="B5070" s="51">
        <f ca="1">IFERROR(__xludf.DUMMYFUNCTION("""COMPUTED_VALUE"""),44603)</f>
        <v>44603</v>
      </c>
      <c r="C5070" s="22">
        <f ca="1">IFERROR(__xludf.DUMMYFUNCTION("""COMPUTED_VALUE"""),500000)</f>
        <v>500000</v>
      </c>
      <c r="D5070" s="22">
        <f ca="1">IFERROR(__xludf.DUMMYFUNCTION("""COMPUTED_VALUE"""),0)</f>
        <v>0</v>
      </c>
      <c r="E5070" s="22">
        <f ca="1">IFERROR(__xludf.DUMMYFUNCTION("""COMPUTED_VALUE"""),500000)</f>
        <v>500000</v>
      </c>
      <c r="F5070" s="22">
        <f ca="1">IFERROR(__xludf.DUMMYFUNCTION("""COMPUTED_VALUE"""),500000)</f>
        <v>500000</v>
      </c>
      <c r="G5070" s="22">
        <f ca="1">IFERROR(__xludf.DUMMYFUNCTION("""COMPUTED_VALUE"""),0)</f>
        <v>0</v>
      </c>
      <c r="H5070" s="7">
        <f ca="1">IFERROR(__xludf.DUMMYFUNCTION("""COMPUTED_VALUE"""),500000)</f>
        <v>500000</v>
      </c>
    </row>
    <row r="5071" spans="1:8" ht="13" x14ac:dyDescent="0.15">
      <c r="A5071" s="5" t="str">
        <f ca="1">IFERROR(__xludf.DUMMYFUNCTION("""COMPUTED_VALUE"""),"89833")</f>
        <v>89833</v>
      </c>
      <c r="B5071" s="51">
        <f ca="1">IFERROR(__xludf.DUMMYFUNCTION("""COMPUTED_VALUE"""),44604)</f>
        <v>44604</v>
      </c>
      <c r="C5071" s="22">
        <f ca="1">IFERROR(__xludf.DUMMYFUNCTION("""COMPUTED_VALUE"""),500000)</f>
        <v>500000</v>
      </c>
      <c r="D5071" s="22">
        <f ca="1">IFERROR(__xludf.DUMMYFUNCTION("""COMPUTED_VALUE"""),0)</f>
        <v>0</v>
      </c>
      <c r="E5071" s="22">
        <f ca="1">IFERROR(__xludf.DUMMYFUNCTION("""COMPUTED_VALUE"""),500000)</f>
        <v>500000</v>
      </c>
      <c r="F5071" s="22">
        <f ca="1">IFERROR(__xludf.DUMMYFUNCTION("""COMPUTED_VALUE"""),500000)</f>
        <v>500000</v>
      </c>
      <c r="G5071" s="22">
        <f ca="1">IFERROR(__xludf.DUMMYFUNCTION("""COMPUTED_VALUE"""),0)</f>
        <v>0</v>
      </c>
      <c r="H5071" s="7">
        <f ca="1">IFERROR(__xludf.DUMMYFUNCTION("""COMPUTED_VALUE"""),500000)</f>
        <v>500000</v>
      </c>
    </row>
    <row r="5072" spans="1:8" ht="13" x14ac:dyDescent="0.15">
      <c r="A5072" s="5" t="str">
        <f ca="1">IFERROR(__xludf.DUMMYFUNCTION("""COMPUTED_VALUE"""),"89833")</f>
        <v>89833</v>
      </c>
      <c r="B5072" s="51">
        <f ca="1">IFERROR(__xludf.DUMMYFUNCTION("""COMPUTED_VALUE"""),44605)</f>
        <v>44605</v>
      </c>
      <c r="C5072" s="22">
        <f ca="1">IFERROR(__xludf.DUMMYFUNCTION("""COMPUTED_VALUE"""),500000)</f>
        <v>500000</v>
      </c>
      <c r="D5072" s="22">
        <f ca="1">IFERROR(__xludf.DUMMYFUNCTION("""COMPUTED_VALUE"""),0)</f>
        <v>0</v>
      </c>
      <c r="E5072" s="22">
        <f ca="1">IFERROR(__xludf.DUMMYFUNCTION("""COMPUTED_VALUE"""),500000)</f>
        <v>500000</v>
      </c>
      <c r="F5072" s="22">
        <f ca="1">IFERROR(__xludf.DUMMYFUNCTION("""COMPUTED_VALUE"""),500000)</f>
        <v>500000</v>
      </c>
      <c r="G5072" s="22">
        <f ca="1">IFERROR(__xludf.DUMMYFUNCTION("""COMPUTED_VALUE"""),0)</f>
        <v>0</v>
      </c>
      <c r="H5072" s="7">
        <f ca="1">IFERROR(__xludf.DUMMYFUNCTION("""COMPUTED_VALUE"""),500000)</f>
        <v>500000</v>
      </c>
    </row>
    <row r="5073" spans="1:8" ht="13" x14ac:dyDescent="0.15">
      <c r="A5073" s="5" t="str">
        <f ca="1">IFERROR(__xludf.DUMMYFUNCTION("""COMPUTED_VALUE"""),"89833")</f>
        <v>89833</v>
      </c>
      <c r="B5073" s="51">
        <f ca="1">IFERROR(__xludf.DUMMYFUNCTION("""COMPUTED_VALUE"""),44606)</f>
        <v>44606</v>
      </c>
      <c r="C5073" s="22">
        <f ca="1">IFERROR(__xludf.DUMMYFUNCTION("""COMPUTED_VALUE"""),500000)</f>
        <v>500000</v>
      </c>
      <c r="D5073" s="22">
        <f ca="1">IFERROR(__xludf.DUMMYFUNCTION("""COMPUTED_VALUE"""),0)</f>
        <v>0</v>
      </c>
      <c r="E5073" s="22">
        <f ca="1">IFERROR(__xludf.DUMMYFUNCTION("""COMPUTED_VALUE"""),500000)</f>
        <v>500000</v>
      </c>
      <c r="F5073" s="22">
        <f ca="1">IFERROR(__xludf.DUMMYFUNCTION("""COMPUTED_VALUE"""),500000)</f>
        <v>500000</v>
      </c>
      <c r="G5073" s="22">
        <f ca="1">IFERROR(__xludf.DUMMYFUNCTION("""COMPUTED_VALUE"""),0)</f>
        <v>0</v>
      </c>
      <c r="H5073" s="7">
        <f ca="1">IFERROR(__xludf.DUMMYFUNCTION("""COMPUTED_VALUE"""),500000)</f>
        <v>500000</v>
      </c>
    </row>
    <row r="5074" spans="1:8" ht="13" x14ac:dyDescent="0.15">
      <c r="A5074" s="5" t="str">
        <f ca="1">IFERROR(__xludf.DUMMYFUNCTION("""COMPUTED_VALUE"""),"89833")</f>
        <v>89833</v>
      </c>
      <c r="B5074" s="51">
        <f ca="1">IFERROR(__xludf.DUMMYFUNCTION("""COMPUTED_VALUE"""),44607)</f>
        <v>44607</v>
      </c>
      <c r="C5074" s="22">
        <f ca="1">IFERROR(__xludf.DUMMYFUNCTION("""COMPUTED_VALUE"""),500000)</f>
        <v>500000</v>
      </c>
      <c r="D5074" s="22">
        <f ca="1">IFERROR(__xludf.DUMMYFUNCTION("""COMPUTED_VALUE"""),0)</f>
        <v>0</v>
      </c>
      <c r="E5074" s="22">
        <f ca="1">IFERROR(__xludf.DUMMYFUNCTION("""COMPUTED_VALUE"""),500000)</f>
        <v>500000</v>
      </c>
      <c r="F5074" s="22">
        <f ca="1">IFERROR(__xludf.DUMMYFUNCTION("""COMPUTED_VALUE"""),500000)</f>
        <v>500000</v>
      </c>
      <c r="G5074" s="22">
        <f ca="1">IFERROR(__xludf.DUMMYFUNCTION("""COMPUTED_VALUE"""),0)</f>
        <v>0</v>
      </c>
      <c r="H5074" s="7">
        <f ca="1">IFERROR(__xludf.DUMMYFUNCTION("""COMPUTED_VALUE"""),500000)</f>
        <v>500000</v>
      </c>
    </row>
    <row r="5075" spans="1:8" ht="13" x14ac:dyDescent="0.15">
      <c r="A5075" s="5" t="str">
        <f ca="1">IFERROR(__xludf.DUMMYFUNCTION("""COMPUTED_VALUE"""),"89833")</f>
        <v>89833</v>
      </c>
      <c r="B5075" s="51">
        <f ca="1">IFERROR(__xludf.DUMMYFUNCTION("""COMPUTED_VALUE"""),44608)</f>
        <v>44608</v>
      </c>
      <c r="C5075" s="22">
        <f ca="1">IFERROR(__xludf.DUMMYFUNCTION("""COMPUTED_VALUE"""),500000)</f>
        <v>500000</v>
      </c>
      <c r="D5075" s="22">
        <f ca="1">IFERROR(__xludf.DUMMYFUNCTION("""COMPUTED_VALUE"""),0)</f>
        <v>0</v>
      </c>
      <c r="E5075" s="22">
        <f ca="1">IFERROR(__xludf.DUMMYFUNCTION("""COMPUTED_VALUE"""),500000)</f>
        <v>500000</v>
      </c>
      <c r="F5075" s="22">
        <f ca="1">IFERROR(__xludf.DUMMYFUNCTION("""COMPUTED_VALUE"""),500000)</f>
        <v>500000</v>
      </c>
      <c r="G5075" s="22">
        <f ca="1">IFERROR(__xludf.DUMMYFUNCTION("""COMPUTED_VALUE"""),0)</f>
        <v>0</v>
      </c>
      <c r="H5075" s="7">
        <f ca="1">IFERROR(__xludf.DUMMYFUNCTION("""COMPUTED_VALUE"""),500000)</f>
        <v>500000</v>
      </c>
    </row>
    <row r="5076" spans="1:8" ht="13" x14ac:dyDescent="0.15">
      <c r="A5076" s="5" t="str">
        <f ca="1">IFERROR(__xludf.DUMMYFUNCTION("""COMPUTED_VALUE"""),"89833")</f>
        <v>89833</v>
      </c>
      <c r="B5076" s="51">
        <f ca="1">IFERROR(__xludf.DUMMYFUNCTION("""COMPUTED_VALUE"""),44609)</f>
        <v>44609</v>
      </c>
      <c r="C5076" s="22">
        <f ca="1">IFERROR(__xludf.DUMMYFUNCTION("""COMPUTED_VALUE"""),500000)</f>
        <v>500000</v>
      </c>
      <c r="D5076" s="22">
        <f ca="1">IFERROR(__xludf.DUMMYFUNCTION("""COMPUTED_VALUE"""),0)</f>
        <v>0</v>
      </c>
      <c r="E5076" s="22">
        <f ca="1">IFERROR(__xludf.DUMMYFUNCTION("""COMPUTED_VALUE"""),500000)</f>
        <v>500000</v>
      </c>
      <c r="F5076" s="22">
        <f ca="1">IFERROR(__xludf.DUMMYFUNCTION("""COMPUTED_VALUE"""),500000)</f>
        <v>500000</v>
      </c>
      <c r="G5076" s="22">
        <f ca="1">IFERROR(__xludf.DUMMYFUNCTION("""COMPUTED_VALUE"""),0)</f>
        <v>0</v>
      </c>
      <c r="H5076" s="7">
        <f ca="1">IFERROR(__xludf.DUMMYFUNCTION("""COMPUTED_VALUE"""),500000)</f>
        <v>500000</v>
      </c>
    </row>
    <row r="5077" spans="1:8" ht="13" x14ac:dyDescent="0.15">
      <c r="A5077" s="5" t="str">
        <f ca="1">IFERROR(__xludf.DUMMYFUNCTION("""COMPUTED_VALUE"""),"89833")</f>
        <v>89833</v>
      </c>
      <c r="B5077" s="51">
        <f ca="1">IFERROR(__xludf.DUMMYFUNCTION("""COMPUTED_VALUE"""),44610)</f>
        <v>44610</v>
      </c>
      <c r="C5077" s="22">
        <f ca="1">IFERROR(__xludf.DUMMYFUNCTION("""COMPUTED_VALUE"""),500000)</f>
        <v>500000</v>
      </c>
      <c r="D5077" s="22">
        <f ca="1">IFERROR(__xludf.DUMMYFUNCTION("""COMPUTED_VALUE"""),0)</f>
        <v>0</v>
      </c>
      <c r="E5077" s="22">
        <f ca="1">IFERROR(__xludf.DUMMYFUNCTION("""COMPUTED_VALUE"""),500000)</f>
        <v>500000</v>
      </c>
      <c r="F5077" s="22">
        <f ca="1">IFERROR(__xludf.DUMMYFUNCTION("""COMPUTED_VALUE"""),500000)</f>
        <v>500000</v>
      </c>
      <c r="G5077" s="22">
        <f ca="1">IFERROR(__xludf.DUMMYFUNCTION("""COMPUTED_VALUE"""),0)</f>
        <v>0</v>
      </c>
      <c r="H5077" s="7">
        <f ca="1">IFERROR(__xludf.DUMMYFUNCTION("""COMPUTED_VALUE"""),500000)</f>
        <v>500000</v>
      </c>
    </row>
    <row r="5078" spans="1:8" ht="13" x14ac:dyDescent="0.15">
      <c r="A5078" s="5" t="str">
        <f ca="1">IFERROR(__xludf.DUMMYFUNCTION("""COMPUTED_VALUE"""),"89833")</f>
        <v>89833</v>
      </c>
      <c r="B5078" s="51">
        <f ca="1">IFERROR(__xludf.DUMMYFUNCTION("""COMPUTED_VALUE"""),44611)</f>
        <v>44611</v>
      </c>
      <c r="C5078" s="22">
        <f ca="1">IFERROR(__xludf.DUMMYFUNCTION("""COMPUTED_VALUE"""),500000)</f>
        <v>500000</v>
      </c>
      <c r="D5078" s="22">
        <f ca="1">IFERROR(__xludf.DUMMYFUNCTION("""COMPUTED_VALUE"""),0)</f>
        <v>0</v>
      </c>
      <c r="E5078" s="22">
        <f ca="1">IFERROR(__xludf.DUMMYFUNCTION("""COMPUTED_VALUE"""),500000)</f>
        <v>500000</v>
      </c>
      <c r="F5078" s="22">
        <f ca="1">IFERROR(__xludf.DUMMYFUNCTION("""COMPUTED_VALUE"""),500000)</f>
        <v>500000</v>
      </c>
      <c r="G5078" s="22">
        <f ca="1">IFERROR(__xludf.DUMMYFUNCTION("""COMPUTED_VALUE"""),0)</f>
        <v>0</v>
      </c>
      <c r="H5078" s="7">
        <f ca="1">IFERROR(__xludf.DUMMYFUNCTION("""COMPUTED_VALUE"""),500000)</f>
        <v>500000</v>
      </c>
    </row>
    <row r="5079" spans="1:8" ht="13" x14ac:dyDescent="0.15">
      <c r="A5079" s="5" t="str">
        <f ca="1">IFERROR(__xludf.DUMMYFUNCTION("""COMPUTED_VALUE"""),"89833")</f>
        <v>89833</v>
      </c>
      <c r="B5079" s="51">
        <f ca="1">IFERROR(__xludf.DUMMYFUNCTION("""COMPUTED_VALUE"""),44612)</f>
        <v>44612</v>
      </c>
      <c r="C5079" s="22">
        <f ca="1">IFERROR(__xludf.DUMMYFUNCTION("""COMPUTED_VALUE"""),500000)</f>
        <v>500000</v>
      </c>
      <c r="D5079" s="22">
        <f ca="1">IFERROR(__xludf.DUMMYFUNCTION("""COMPUTED_VALUE"""),0)</f>
        <v>0</v>
      </c>
      <c r="E5079" s="22">
        <f ca="1">IFERROR(__xludf.DUMMYFUNCTION("""COMPUTED_VALUE"""),500000)</f>
        <v>500000</v>
      </c>
      <c r="F5079" s="22">
        <f ca="1">IFERROR(__xludf.DUMMYFUNCTION("""COMPUTED_VALUE"""),500000)</f>
        <v>500000</v>
      </c>
      <c r="G5079" s="22">
        <f ca="1">IFERROR(__xludf.DUMMYFUNCTION("""COMPUTED_VALUE"""),0)</f>
        <v>0</v>
      </c>
      <c r="H5079" s="7">
        <f ca="1">IFERROR(__xludf.DUMMYFUNCTION("""COMPUTED_VALUE"""),500000)</f>
        <v>500000</v>
      </c>
    </row>
    <row r="5080" spans="1:8" ht="13" x14ac:dyDescent="0.15">
      <c r="A5080" s="5" t="str">
        <f ca="1">IFERROR(__xludf.DUMMYFUNCTION("""COMPUTED_VALUE"""),"89833")</f>
        <v>89833</v>
      </c>
      <c r="B5080" s="51">
        <f ca="1">IFERROR(__xludf.DUMMYFUNCTION("""COMPUTED_VALUE"""),44613)</f>
        <v>44613</v>
      </c>
      <c r="C5080" s="22">
        <f ca="1">IFERROR(__xludf.DUMMYFUNCTION("""COMPUTED_VALUE"""),500000)</f>
        <v>500000</v>
      </c>
      <c r="D5080" s="22">
        <f ca="1">IFERROR(__xludf.DUMMYFUNCTION("""COMPUTED_VALUE"""),0)</f>
        <v>0</v>
      </c>
      <c r="E5080" s="22">
        <f ca="1">IFERROR(__xludf.DUMMYFUNCTION("""COMPUTED_VALUE"""),500000)</f>
        <v>500000</v>
      </c>
      <c r="F5080" s="22">
        <f ca="1">IFERROR(__xludf.DUMMYFUNCTION("""COMPUTED_VALUE"""),500000)</f>
        <v>500000</v>
      </c>
      <c r="G5080" s="22">
        <f ca="1">IFERROR(__xludf.DUMMYFUNCTION("""COMPUTED_VALUE"""),0)</f>
        <v>0</v>
      </c>
      <c r="H5080" s="7">
        <f ca="1">IFERROR(__xludf.DUMMYFUNCTION("""COMPUTED_VALUE"""),500000)</f>
        <v>500000</v>
      </c>
    </row>
    <row r="5081" spans="1:8" ht="13" x14ac:dyDescent="0.15">
      <c r="A5081" s="5" t="str">
        <f ca="1">IFERROR(__xludf.DUMMYFUNCTION("""COMPUTED_VALUE"""),"89833")</f>
        <v>89833</v>
      </c>
      <c r="B5081" s="51">
        <f ca="1">IFERROR(__xludf.DUMMYFUNCTION("""COMPUTED_VALUE"""),44614)</f>
        <v>44614</v>
      </c>
      <c r="C5081" s="22">
        <f ca="1">IFERROR(__xludf.DUMMYFUNCTION("""COMPUTED_VALUE"""),500000)</f>
        <v>500000</v>
      </c>
      <c r="D5081" s="22">
        <f ca="1">IFERROR(__xludf.DUMMYFUNCTION("""COMPUTED_VALUE"""),0)</f>
        <v>0</v>
      </c>
      <c r="E5081" s="22">
        <f ca="1">IFERROR(__xludf.DUMMYFUNCTION("""COMPUTED_VALUE"""),500000)</f>
        <v>500000</v>
      </c>
      <c r="F5081" s="22">
        <f ca="1">IFERROR(__xludf.DUMMYFUNCTION("""COMPUTED_VALUE"""),500000)</f>
        <v>500000</v>
      </c>
      <c r="G5081" s="22">
        <f ca="1">IFERROR(__xludf.DUMMYFUNCTION("""COMPUTED_VALUE"""),0)</f>
        <v>0</v>
      </c>
      <c r="H5081" s="7">
        <f ca="1">IFERROR(__xludf.DUMMYFUNCTION("""COMPUTED_VALUE"""),500000)</f>
        <v>500000</v>
      </c>
    </row>
    <row r="5082" spans="1:8" ht="13" x14ac:dyDescent="0.15">
      <c r="A5082" s="5" t="str">
        <f ca="1">IFERROR(__xludf.DUMMYFUNCTION("""COMPUTED_VALUE"""),"89833")</f>
        <v>89833</v>
      </c>
      <c r="B5082" s="51">
        <f ca="1">IFERROR(__xludf.DUMMYFUNCTION("""COMPUTED_VALUE"""),44615)</f>
        <v>44615</v>
      </c>
      <c r="C5082" s="22">
        <f ca="1">IFERROR(__xludf.DUMMYFUNCTION("""COMPUTED_VALUE"""),500000)</f>
        <v>500000</v>
      </c>
      <c r="D5082" s="22">
        <f ca="1">IFERROR(__xludf.DUMMYFUNCTION("""COMPUTED_VALUE"""),0)</f>
        <v>0</v>
      </c>
      <c r="E5082" s="22">
        <f ca="1">IFERROR(__xludf.DUMMYFUNCTION("""COMPUTED_VALUE"""),500000)</f>
        <v>500000</v>
      </c>
      <c r="F5082" s="22">
        <f ca="1">IFERROR(__xludf.DUMMYFUNCTION("""COMPUTED_VALUE"""),500000)</f>
        <v>500000</v>
      </c>
      <c r="G5082" s="22">
        <f ca="1">IFERROR(__xludf.DUMMYFUNCTION("""COMPUTED_VALUE"""),0)</f>
        <v>0</v>
      </c>
      <c r="H5082" s="7">
        <f ca="1">IFERROR(__xludf.DUMMYFUNCTION("""COMPUTED_VALUE"""),500000)</f>
        <v>500000</v>
      </c>
    </row>
    <row r="5083" spans="1:8" ht="13" x14ac:dyDescent="0.15">
      <c r="A5083" s="5" t="str">
        <f ca="1">IFERROR(__xludf.DUMMYFUNCTION("""COMPUTED_VALUE"""),"89833")</f>
        <v>89833</v>
      </c>
      <c r="B5083" s="51">
        <f ca="1">IFERROR(__xludf.DUMMYFUNCTION("""COMPUTED_VALUE"""),44616)</f>
        <v>44616</v>
      </c>
      <c r="C5083" s="22">
        <f ca="1">IFERROR(__xludf.DUMMYFUNCTION("""COMPUTED_VALUE"""),500000)</f>
        <v>500000</v>
      </c>
      <c r="D5083" s="22">
        <f ca="1">IFERROR(__xludf.DUMMYFUNCTION("""COMPUTED_VALUE"""),0)</f>
        <v>0</v>
      </c>
      <c r="E5083" s="22">
        <f ca="1">IFERROR(__xludf.DUMMYFUNCTION("""COMPUTED_VALUE"""),500000)</f>
        <v>500000</v>
      </c>
      <c r="F5083" s="22">
        <f ca="1">IFERROR(__xludf.DUMMYFUNCTION("""COMPUTED_VALUE"""),500000)</f>
        <v>500000</v>
      </c>
      <c r="G5083" s="22">
        <f ca="1">IFERROR(__xludf.DUMMYFUNCTION("""COMPUTED_VALUE"""),0)</f>
        <v>0</v>
      </c>
      <c r="H5083" s="7">
        <f ca="1">IFERROR(__xludf.DUMMYFUNCTION("""COMPUTED_VALUE"""),500000)</f>
        <v>500000</v>
      </c>
    </row>
    <row r="5084" spans="1:8" ht="13" x14ac:dyDescent="0.15">
      <c r="A5084" s="5" t="str">
        <f ca="1">IFERROR(__xludf.DUMMYFUNCTION("""COMPUTED_VALUE"""),"89833")</f>
        <v>89833</v>
      </c>
      <c r="B5084" s="51">
        <f ca="1">IFERROR(__xludf.DUMMYFUNCTION("""COMPUTED_VALUE"""),44617)</f>
        <v>44617</v>
      </c>
      <c r="C5084" s="22">
        <f ca="1">IFERROR(__xludf.DUMMYFUNCTION("""COMPUTED_VALUE"""),500000)</f>
        <v>500000</v>
      </c>
      <c r="D5084" s="22">
        <f ca="1">IFERROR(__xludf.DUMMYFUNCTION("""COMPUTED_VALUE"""),0)</f>
        <v>0</v>
      </c>
      <c r="E5084" s="22">
        <f ca="1">IFERROR(__xludf.DUMMYFUNCTION("""COMPUTED_VALUE"""),500000)</f>
        <v>500000</v>
      </c>
      <c r="F5084" s="22">
        <f ca="1">IFERROR(__xludf.DUMMYFUNCTION("""COMPUTED_VALUE"""),500000)</f>
        <v>500000</v>
      </c>
      <c r="G5084" s="22">
        <f ca="1">IFERROR(__xludf.DUMMYFUNCTION("""COMPUTED_VALUE"""),0)</f>
        <v>0</v>
      </c>
      <c r="H5084" s="7">
        <f ca="1">IFERROR(__xludf.DUMMYFUNCTION("""COMPUTED_VALUE"""),500000)</f>
        <v>500000</v>
      </c>
    </row>
    <row r="5085" spans="1:8" ht="13" x14ac:dyDescent="0.15">
      <c r="A5085" s="5" t="str">
        <f ca="1">IFERROR(__xludf.DUMMYFUNCTION("""COMPUTED_VALUE"""),"89833")</f>
        <v>89833</v>
      </c>
      <c r="B5085" s="51">
        <f ca="1">IFERROR(__xludf.DUMMYFUNCTION("""COMPUTED_VALUE"""),44618)</f>
        <v>44618</v>
      </c>
      <c r="C5085" s="22">
        <f ca="1">IFERROR(__xludf.DUMMYFUNCTION("""COMPUTED_VALUE"""),500000)</f>
        <v>500000</v>
      </c>
      <c r="D5085" s="22">
        <f ca="1">IFERROR(__xludf.DUMMYFUNCTION("""COMPUTED_VALUE"""),0)</f>
        <v>0</v>
      </c>
      <c r="E5085" s="22">
        <f ca="1">IFERROR(__xludf.DUMMYFUNCTION("""COMPUTED_VALUE"""),500000)</f>
        <v>500000</v>
      </c>
      <c r="F5085" s="22">
        <f ca="1">IFERROR(__xludf.DUMMYFUNCTION("""COMPUTED_VALUE"""),500000)</f>
        <v>500000</v>
      </c>
      <c r="G5085" s="22">
        <f ca="1">IFERROR(__xludf.DUMMYFUNCTION("""COMPUTED_VALUE"""),0)</f>
        <v>0</v>
      </c>
      <c r="H5085" s="7">
        <f ca="1">IFERROR(__xludf.DUMMYFUNCTION("""COMPUTED_VALUE"""),500000)</f>
        <v>500000</v>
      </c>
    </row>
    <row r="5086" spans="1:8" ht="13" x14ac:dyDescent="0.15">
      <c r="A5086" s="5" t="str">
        <f ca="1">IFERROR(__xludf.DUMMYFUNCTION("""COMPUTED_VALUE"""),"89833")</f>
        <v>89833</v>
      </c>
      <c r="B5086" s="51">
        <f ca="1">IFERROR(__xludf.DUMMYFUNCTION("""COMPUTED_VALUE"""),44619)</f>
        <v>44619</v>
      </c>
      <c r="C5086" s="22">
        <f ca="1">IFERROR(__xludf.DUMMYFUNCTION("""COMPUTED_VALUE"""),500000)</f>
        <v>500000</v>
      </c>
      <c r="D5086" s="22">
        <f ca="1">IFERROR(__xludf.DUMMYFUNCTION("""COMPUTED_VALUE"""),0)</f>
        <v>0</v>
      </c>
      <c r="E5086" s="22">
        <f ca="1">IFERROR(__xludf.DUMMYFUNCTION("""COMPUTED_VALUE"""),500000)</f>
        <v>500000</v>
      </c>
      <c r="F5086" s="22">
        <f ca="1">IFERROR(__xludf.DUMMYFUNCTION("""COMPUTED_VALUE"""),500000)</f>
        <v>500000</v>
      </c>
      <c r="G5086" s="22">
        <f ca="1">IFERROR(__xludf.DUMMYFUNCTION("""COMPUTED_VALUE"""),0)</f>
        <v>0</v>
      </c>
      <c r="H5086" s="7">
        <f ca="1">IFERROR(__xludf.DUMMYFUNCTION("""COMPUTED_VALUE"""),500000)</f>
        <v>500000</v>
      </c>
    </row>
    <row r="5087" spans="1:8" ht="13" x14ac:dyDescent="0.15">
      <c r="A5087" s="5" t="str">
        <f ca="1">IFERROR(__xludf.DUMMYFUNCTION("""COMPUTED_VALUE"""),"89833")</f>
        <v>89833</v>
      </c>
      <c r="B5087" s="51">
        <f ca="1">IFERROR(__xludf.DUMMYFUNCTION("""COMPUTED_VALUE"""),44620)</f>
        <v>44620</v>
      </c>
      <c r="C5087" s="22">
        <f ca="1">IFERROR(__xludf.DUMMYFUNCTION("""COMPUTED_VALUE"""),500000)</f>
        <v>500000</v>
      </c>
      <c r="D5087" s="22">
        <f ca="1">IFERROR(__xludf.DUMMYFUNCTION("""COMPUTED_VALUE"""),0)</f>
        <v>0</v>
      </c>
      <c r="E5087" s="22">
        <f ca="1">IFERROR(__xludf.DUMMYFUNCTION("""COMPUTED_VALUE"""),500000)</f>
        <v>500000</v>
      </c>
      <c r="F5087" s="22">
        <f ca="1">IFERROR(__xludf.DUMMYFUNCTION("""COMPUTED_VALUE"""),500000)</f>
        <v>500000</v>
      </c>
      <c r="G5087" s="22">
        <f ca="1">IFERROR(__xludf.DUMMYFUNCTION("""COMPUTED_VALUE"""),0)</f>
        <v>0</v>
      </c>
      <c r="H5087" s="7">
        <f ca="1">IFERROR(__xludf.DUMMYFUNCTION("""COMPUTED_VALUE"""),500000)</f>
        <v>500000</v>
      </c>
    </row>
    <row r="5088" spans="1:8" ht="13" x14ac:dyDescent="0.15">
      <c r="A5088" s="5" t="str">
        <f ca="1">IFERROR(__xludf.DUMMYFUNCTION("""COMPUTED_VALUE"""),"89833")</f>
        <v>89833</v>
      </c>
      <c r="B5088" s="51">
        <f ca="1">IFERROR(__xludf.DUMMYFUNCTION("""COMPUTED_VALUE"""),44621)</f>
        <v>44621</v>
      </c>
      <c r="C5088" s="22">
        <f ca="1">IFERROR(__xludf.DUMMYFUNCTION("""COMPUTED_VALUE"""),500000)</f>
        <v>500000</v>
      </c>
      <c r="D5088" s="22">
        <f ca="1">IFERROR(__xludf.DUMMYFUNCTION("""COMPUTED_VALUE"""),0)</f>
        <v>0</v>
      </c>
      <c r="E5088" s="22">
        <f ca="1">IFERROR(__xludf.DUMMYFUNCTION("""COMPUTED_VALUE"""),500000)</f>
        <v>500000</v>
      </c>
      <c r="F5088" s="22">
        <f ca="1">IFERROR(__xludf.DUMMYFUNCTION("""COMPUTED_VALUE"""),500000)</f>
        <v>500000</v>
      </c>
      <c r="G5088" s="22">
        <f ca="1">IFERROR(__xludf.DUMMYFUNCTION("""COMPUTED_VALUE"""),0)</f>
        <v>0</v>
      </c>
      <c r="H5088" s="7">
        <f ca="1">IFERROR(__xludf.DUMMYFUNCTION("""COMPUTED_VALUE"""),500000)</f>
        <v>500000</v>
      </c>
    </row>
    <row r="5089" spans="1:8" ht="13" x14ac:dyDescent="0.15">
      <c r="A5089" s="5" t="str">
        <f ca="1">IFERROR(__xludf.DUMMYFUNCTION("""COMPUTED_VALUE"""),"89833")</f>
        <v>89833</v>
      </c>
      <c r="B5089" s="51">
        <f ca="1">IFERROR(__xludf.DUMMYFUNCTION("""COMPUTED_VALUE"""),44622)</f>
        <v>44622</v>
      </c>
      <c r="C5089" s="22">
        <f ca="1">IFERROR(__xludf.DUMMYFUNCTION("""COMPUTED_VALUE"""),500000)</f>
        <v>500000</v>
      </c>
      <c r="D5089" s="22">
        <f ca="1">IFERROR(__xludf.DUMMYFUNCTION("""COMPUTED_VALUE"""),0)</f>
        <v>0</v>
      </c>
      <c r="E5089" s="22">
        <f ca="1">IFERROR(__xludf.DUMMYFUNCTION("""COMPUTED_VALUE"""),500000)</f>
        <v>500000</v>
      </c>
      <c r="F5089" s="22">
        <f ca="1">IFERROR(__xludf.DUMMYFUNCTION("""COMPUTED_VALUE"""),500000)</f>
        <v>500000</v>
      </c>
      <c r="G5089" s="22">
        <f ca="1">IFERROR(__xludf.DUMMYFUNCTION("""COMPUTED_VALUE"""),0)</f>
        <v>0</v>
      </c>
      <c r="H5089" s="7">
        <f ca="1">IFERROR(__xludf.DUMMYFUNCTION("""COMPUTED_VALUE"""),500000)</f>
        <v>500000</v>
      </c>
    </row>
    <row r="5090" spans="1:8" ht="13" x14ac:dyDescent="0.15">
      <c r="A5090" s="5" t="str">
        <f ca="1">IFERROR(__xludf.DUMMYFUNCTION("""COMPUTED_VALUE"""),"89833")</f>
        <v>89833</v>
      </c>
      <c r="B5090" s="51">
        <f ca="1">IFERROR(__xludf.DUMMYFUNCTION("""COMPUTED_VALUE"""),44623)</f>
        <v>44623</v>
      </c>
      <c r="C5090" s="22">
        <f ca="1">IFERROR(__xludf.DUMMYFUNCTION("""COMPUTED_VALUE"""),500000)</f>
        <v>500000</v>
      </c>
      <c r="D5090" s="22">
        <f ca="1">IFERROR(__xludf.DUMMYFUNCTION("""COMPUTED_VALUE"""),0)</f>
        <v>0</v>
      </c>
      <c r="E5090" s="22">
        <f ca="1">IFERROR(__xludf.DUMMYFUNCTION("""COMPUTED_VALUE"""),500000)</f>
        <v>500000</v>
      </c>
      <c r="F5090" s="22">
        <f ca="1">IFERROR(__xludf.DUMMYFUNCTION("""COMPUTED_VALUE"""),500000)</f>
        <v>500000</v>
      </c>
      <c r="G5090" s="22">
        <f ca="1">IFERROR(__xludf.DUMMYFUNCTION("""COMPUTED_VALUE"""),0)</f>
        <v>0</v>
      </c>
      <c r="H5090" s="7">
        <f ca="1">IFERROR(__xludf.DUMMYFUNCTION("""COMPUTED_VALUE"""),500000)</f>
        <v>500000</v>
      </c>
    </row>
    <row r="5091" spans="1:8" ht="13" x14ac:dyDescent="0.15">
      <c r="A5091" s="5" t="str">
        <f ca="1">IFERROR(__xludf.DUMMYFUNCTION("""COMPUTED_VALUE"""),"89833")</f>
        <v>89833</v>
      </c>
      <c r="B5091" s="51">
        <f ca="1">IFERROR(__xludf.DUMMYFUNCTION("""COMPUTED_VALUE"""),44624)</f>
        <v>44624</v>
      </c>
      <c r="C5091" s="22">
        <f ca="1">IFERROR(__xludf.DUMMYFUNCTION("""COMPUTED_VALUE"""),500000)</f>
        <v>500000</v>
      </c>
      <c r="D5091" s="22">
        <f ca="1">IFERROR(__xludf.DUMMYFUNCTION("""COMPUTED_VALUE"""),0)</f>
        <v>0</v>
      </c>
      <c r="E5091" s="22">
        <f ca="1">IFERROR(__xludf.DUMMYFUNCTION("""COMPUTED_VALUE"""),500000)</f>
        <v>500000</v>
      </c>
      <c r="F5091" s="22">
        <f ca="1">IFERROR(__xludf.DUMMYFUNCTION("""COMPUTED_VALUE"""),500000)</f>
        <v>500000</v>
      </c>
      <c r="G5091" s="22">
        <f ca="1">IFERROR(__xludf.DUMMYFUNCTION("""COMPUTED_VALUE"""),0)</f>
        <v>0</v>
      </c>
      <c r="H5091" s="7">
        <f ca="1">IFERROR(__xludf.DUMMYFUNCTION("""COMPUTED_VALUE"""),500000)</f>
        <v>500000</v>
      </c>
    </row>
    <row r="5092" spans="1:8" ht="13" x14ac:dyDescent="0.15">
      <c r="A5092" s="5" t="str">
        <f ca="1">IFERROR(__xludf.DUMMYFUNCTION("""COMPUTED_VALUE"""),"89833")</f>
        <v>89833</v>
      </c>
      <c r="B5092" s="51">
        <f ca="1">IFERROR(__xludf.DUMMYFUNCTION("""COMPUTED_VALUE"""),44625)</f>
        <v>44625</v>
      </c>
      <c r="C5092" s="22">
        <f ca="1">IFERROR(__xludf.DUMMYFUNCTION("""COMPUTED_VALUE"""),500000)</f>
        <v>500000</v>
      </c>
      <c r="D5092" s="22">
        <f ca="1">IFERROR(__xludf.DUMMYFUNCTION("""COMPUTED_VALUE"""),0)</f>
        <v>0</v>
      </c>
      <c r="E5092" s="22">
        <f ca="1">IFERROR(__xludf.DUMMYFUNCTION("""COMPUTED_VALUE"""),500000)</f>
        <v>500000</v>
      </c>
      <c r="F5092" s="22">
        <f ca="1">IFERROR(__xludf.DUMMYFUNCTION("""COMPUTED_VALUE"""),500000)</f>
        <v>500000</v>
      </c>
      <c r="G5092" s="22">
        <f ca="1">IFERROR(__xludf.DUMMYFUNCTION("""COMPUTED_VALUE"""),0)</f>
        <v>0</v>
      </c>
      <c r="H5092" s="7">
        <f ca="1">IFERROR(__xludf.DUMMYFUNCTION("""COMPUTED_VALUE"""),500000)</f>
        <v>500000</v>
      </c>
    </row>
    <row r="5093" spans="1:8" ht="13" x14ac:dyDescent="0.15">
      <c r="A5093" s="5" t="str">
        <f ca="1">IFERROR(__xludf.DUMMYFUNCTION("""COMPUTED_VALUE"""),"89833")</f>
        <v>89833</v>
      </c>
      <c r="B5093" s="51">
        <f ca="1">IFERROR(__xludf.DUMMYFUNCTION("""COMPUTED_VALUE"""),44626)</f>
        <v>44626</v>
      </c>
      <c r="C5093" s="22">
        <f ca="1">IFERROR(__xludf.DUMMYFUNCTION("""COMPUTED_VALUE"""),500000)</f>
        <v>500000</v>
      </c>
      <c r="D5093" s="22">
        <f ca="1">IFERROR(__xludf.DUMMYFUNCTION("""COMPUTED_VALUE"""),0)</f>
        <v>0</v>
      </c>
      <c r="E5093" s="22">
        <f ca="1">IFERROR(__xludf.DUMMYFUNCTION("""COMPUTED_VALUE"""),500000)</f>
        <v>500000</v>
      </c>
      <c r="F5093" s="22">
        <f ca="1">IFERROR(__xludf.DUMMYFUNCTION("""COMPUTED_VALUE"""),500000)</f>
        <v>500000</v>
      </c>
      <c r="G5093" s="22">
        <f ca="1">IFERROR(__xludf.DUMMYFUNCTION("""COMPUTED_VALUE"""),0)</f>
        <v>0</v>
      </c>
      <c r="H5093" s="7">
        <f ca="1">IFERROR(__xludf.DUMMYFUNCTION("""COMPUTED_VALUE"""),500000)</f>
        <v>500000</v>
      </c>
    </row>
    <row r="5094" spans="1:8" ht="13" x14ac:dyDescent="0.15">
      <c r="A5094" s="5" t="str">
        <f ca="1">IFERROR(__xludf.DUMMYFUNCTION("""COMPUTED_VALUE"""),"89833")</f>
        <v>89833</v>
      </c>
      <c r="B5094" s="51">
        <f ca="1">IFERROR(__xludf.DUMMYFUNCTION("""COMPUTED_VALUE"""),44627)</f>
        <v>44627</v>
      </c>
      <c r="C5094" s="22">
        <f ca="1">IFERROR(__xludf.DUMMYFUNCTION("""COMPUTED_VALUE"""),500000)</f>
        <v>500000</v>
      </c>
      <c r="D5094" s="22">
        <f ca="1">IFERROR(__xludf.DUMMYFUNCTION("""COMPUTED_VALUE"""),0)</f>
        <v>0</v>
      </c>
      <c r="E5094" s="22">
        <f ca="1">IFERROR(__xludf.DUMMYFUNCTION("""COMPUTED_VALUE"""),500000)</f>
        <v>500000</v>
      </c>
      <c r="F5094" s="22">
        <f ca="1">IFERROR(__xludf.DUMMYFUNCTION("""COMPUTED_VALUE"""),500000)</f>
        <v>500000</v>
      </c>
      <c r="G5094" s="22">
        <f ca="1">IFERROR(__xludf.DUMMYFUNCTION("""COMPUTED_VALUE"""),0)</f>
        <v>0</v>
      </c>
      <c r="H5094" s="7">
        <f ca="1">IFERROR(__xludf.DUMMYFUNCTION("""COMPUTED_VALUE"""),500000)</f>
        <v>500000</v>
      </c>
    </row>
    <row r="5095" spans="1:8" ht="13" x14ac:dyDescent="0.15">
      <c r="A5095" s="5" t="str">
        <f ca="1">IFERROR(__xludf.DUMMYFUNCTION("""COMPUTED_VALUE"""),"89833")</f>
        <v>89833</v>
      </c>
      <c r="B5095" s="51">
        <f ca="1">IFERROR(__xludf.DUMMYFUNCTION("""COMPUTED_VALUE"""),44628)</f>
        <v>44628</v>
      </c>
      <c r="C5095" s="22">
        <f ca="1">IFERROR(__xludf.DUMMYFUNCTION("""COMPUTED_VALUE"""),500000)</f>
        <v>500000</v>
      </c>
      <c r="D5095" s="22">
        <f ca="1">IFERROR(__xludf.DUMMYFUNCTION("""COMPUTED_VALUE"""),0)</f>
        <v>0</v>
      </c>
      <c r="E5095" s="22">
        <f ca="1">IFERROR(__xludf.DUMMYFUNCTION("""COMPUTED_VALUE"""),500000)</f>
        <v>500000</v>
      </c>
      <c r="F5095" s="22">
        <f ca="1">IFERROR(__xludf.DUMMYFUNCTION("""COMPUTED_VALUE"""),500000)</f>
        <v>500000</v>
      </c>
      <c r="G5095" s="22">
        <f ca="1">IFERROR(__xludf.DUMMYFUNCTION("""COMPUTED_VALUE"""),0)</f>
        <v>0</v>
      </c>
      <c r="H5095" s="7">
        <f ca="1">IFERROR(__xludf.DUMMYFUNCTION("""COMPUTED_VALUE"""),500000)</f>
        <v>500000</v>
      </c>
    </row>
    <row r="5096" spans="1:8" ht="13" x14ac:dyDescent="0.15">
      <c r="A5096" s="5" t="str">
        <f ca="1">IFERROR(__xludf.DUMMYFUNCTION("""COMPUTED_VALUE"""),"89833")</f>
        <v>89833</v>
      </c>
      <c r="B5096" s="51">
        <f ca="1">IFERROR(__xludf.DUMMYFUNCTION("""COMPUTED_VALUE"""),44629)</f>
        <v>44629</v>
      </c>
      <c r="C5096" s="22">
        <f ca="1">IFERROR(__xludf.DUMMYFUNCTION("""COMPUTED_VALUE"""),500000)</f>
        <v>500000</v>
      </c>
      <c r="D5096" s="22">
        <f ca="1">IFERROR(__xludf.DUMMYFUNCTION("""COMPUTED_VALUE"""),0)</f>
        <v>0</v>
      </c>
      <c r="E5096" s="22">
        <f ca="1">IFERROR(__xludf.DUMMYFUNCTION("""COMPUTED_VALUE"""),500000)</f>
        <v>500000</v>
      </c>
      <c r="F5096" s="22">
        <f ca="1">IFERROR(__xludf.DUMMYFUNCTION("""COMPUTED_VALUE"""),500000)</f>
        <v>500000</v>
      </c>
      <c r="G5096" s="22">
        <f ca="1">IFERROR(__xludf.DUMMYFUNCTION("""COMPUTED_VALUE"""),0)</f>
        <v>0</v>
      </c>
      <c r="H5096" s="7">
        <f ca="1">IFERROR(__xludf.DUMMYFUNCTION("""COMPUTED_VALUE"""),500000)</f>
        <v>500000</v>
      </c>
    </row>
    <row r="5097" spans="1:8" ht="13" x14ac:dyDescent="0.15">
      <c r="A5097" s="5" t="str">
        <f ca="1">IFERROR(__xludf.DUMMYFUNCTION("""COMPUTED_VALUE"""),"89833")</f>
        <v>89833</v>
      </c>
      <c r="B5097" s="51">
        <f ca="1">IFERROR(__xludf.DUMMYFUNCTION("""COMPUTED_VALUE"""),44630)</f>
        <v>44630</v>
      </c>
      <c r="C5097" s="22">
        <f ca="1">IFERROR(__xludf.DUMMYFUNCTION("""COMPUTED_VALUE"""),500000)</f>
        <v>500000</v>
      </c>
      <c r="D5097" s="22">
        <f ca="1">IFERROR(__xludf.DUMMYFUNCTION("""COMPUTED_VALUE"""),0)</f>
        <v>0</v>
      </c>
      <c r="E5097" s="22">
        <f ca="1">IFERROR(__xludf.DUMMYFUNCTION("""COMPUTED_VALUE"""),500000)</f>
        <v>500000</v>
      </c>
      <c r="F5097" s="22">
        <f ca="1">IFERROR(__xludf.DUMMYFUNCTION("""COMPUTED_VALUE"""),500000)</f>
        <v>500000</v>
      </c>
      <c r="G5097" s="22">
        <f ca="1">IFERROR(__xludf.DUMMYFUNCTION("""COMPUTED_VALUE"""),0)</f>
        <v>0</v>
      </c>
      <c r="H5097" s="7">
        <f ca="1">IFERROR(__xludf.DUMMYFUNCTION("""COMPUTED_VALUE"""),500000)</f>
        <v>500000</v>
      </c>
    </row>
    <row r="5098" spans="1:8" ht="13" x14ac:dyDescent="0.15">
      <c r="A5098" s="5" t="str">
        <f ca="1">IFERROR(__xludf.DUMMYFUNCTION("""COMPUTED_VALUE"""),"89833")</f>
        <v>89833</v>
      </c>
      <c r="B5098" s="51">
        <f ca="1">IFERROR(__xludf.DUMMYFUNCTION("""COMPUTED_VALUE"""),44631)</f>
        <v>44631</v>
      </c>
      <c r="C5098" s="22">
        <f ca="1">IFERROR(__xludf.DUMMYFUNCTION("""COMPUTED_VALUE"""),500000)</f>
        <v>500000</v>
      </c>
      <c r="D5098" s="22">
        <f ca="1">IFERROR(__xludf.DUMMYFUNCTION("""COMPUTED_VALUE"""),0)</f>
        <v>0</v>
      </c>
      <c r="E5098" s="22">
        <f ca="1">IFERROR(__xludf.DUMMYFUNCTION("""COMPUTED_VALUE"""),500000)</f>
        <v>500000</v>
      </c>
      <c r="F5098" s="22">
        <f ca="1">IFERROR(__xludf.DUMMYFUNCTION("""COMPUTED_VALUE"""),500000)</f>
        <v>500000</v>
      </c>
      <c r="G5098" s="22">
        <f ca="1">IFERROR(__xludf.DUMMYFUNCTION("""COMPUTED_VALUE"""),0)</f>
        <v>0</v>
      </c>
      <c r="H5098" s="7">
        <f ca="1">IFERROR(__xludf.DUMMYFUNCTION("""COMPUTED_VALUE"""),500000)</f>
        <v>500000</v>
      </c>
    </row>
    <row r="5099" spans="1:8" ht="13" x14ac:dyDescent="0.15">
      <c r="A5099" s="5" t="str">
        <f ca="1">IFERROR(__xludf.DUMMYFUNCTION("""COMPUTED_VALUE"""),"89833")</f>
        <v>89833</v>
      </c>
      <c r="B5099" s="51">
        <f ca="1">IFERROR(__xludf.DUMMYFUNCTION("""COMPUTED_VALUE"""),44632)</f>
        <v>44632</v>
      </c>
      <c r="C5099" s="22">
        <f ca="1">IFERROR(__xludf.DUMMYFUNCTION("""COMPUTED_VALUE"""),500000)</f>
        <v>500000</v>
      </c>
      <c r="D5099" s="22">
        <f ca="1">IFERROR(__xludf.DUMMYFUNCTION("""COMPUTED_VALUE"""),0)</f>
        <v>0</v>
      </c>
      <c r="E5099" s="22">
        <f ca="1">IFERROR(__xludf.DUMMYFUNCTION("""COMPUTED_VALUE"""),500000)</f>
        <v>500000</v>
      </c>
      <c r="F5099" s="22">
        <f ca="1">IFERROR(__xludf.DUMMYFUNCTION("""COMPUTED_VALUE"""),500000)</f>
        <v>500000</v>
      </c>
      <c r="G5099" s="22">
        <f ca="1">IFERROR(__xludf.DUMMYFUNCTION("""COMPUTED_VALUE"""),0)</f>
        <v>0</v>
      </c>
      <c r="H5099" s="7">
        <f ca="1">IFERROR(__xludf.DUMMYFUNCTION("""COMPUTED_VALUE"""),500000)</f>
        <v>500000</v>
      </c>
    </row>
    <row r="5100" spans="1:8" ht="13" x14ac:dyDescent="0.15">
      <c r="A5100" s="5" t="str">
        <f ca="1">IFERROR(__xludf.DUMMYFUNCTION("""COMPUTED_VALUE"""),"89833")</f>
        <v>89833</v>
      </c>
      <c r="B5100" s="51">
        <f ca="1">IFERROR(__xludf.DUMMYFUNCTION("""COMPUTED_VALUE"""),44633)</f>
        <v>44633</v>
      </c>
      <c r="C5100" s="22">
        <f ca="1">IFERROR(__xludf.DUMMYFUNCTION("""COMPUTED_VALUE"""),500000)</f>
        <v>500000</v>
      </c>
      <c r="D5100" s="22">
        <f ca="1">IFERROR(__xludf.DUMMYFUNCTION("""COMPUTED_VALUE"""),0)</f>
        <v>0</v>
      </c>
      <c r="E5100" s="22">
        <f ca="1">IFERROR(__xludf.DUMMYFUNCTION("""COMPUTED_VALUE"""),500000)</f>
        <v>500000</v>
      </c>
      <c r="F5100" s="22">
        <f ca="1">IFERROR(__xludf.DUMMYFUNCTION("""COMPUTED_VALUE"""),500000)</f>
        <v>500000</v>
      </c>
      <c r="G5100" s="22">
        <f ca="1">IFERROR(__xludf.DUMMYFUNCTION("""COMPUTED_VALUE"""),0)</f>
        <v>0</v>
      </c>
      <c r="H5100" s="7">
        <f ca="1">IFERROR(__xludf.DUMMYFUNCTION("""COMPUTED_VALUE"""),500000)</f>
        <v>500000</v>
      </c>
    </row>
    <row r="5101" spans="1:8" ht="13" x14ac:dyDescent="0.15">
      <c r="A5101" s="5" t="str">
        <f ca="1">IFERROR(__xludf.DUMMYFUNCTION("""COMPUTED_VALUE"""),"89833")</f>
        <v>89833</v>
      </c>
      <c r="B5101" s="51">
        <f ca="1">IFERROR(__xludf.DUMMYFUNCTION("""COMPUTED_VALUE"""),44634)</f>
        <v>44634</v>
      </c>
      <c r="C5101" s="22">
        <f ca="1">IFERROR(__xludf.DUMMYFUNCTION("""COMPUTED_VALUE"""),500000)</f>
        <v>500000</v>
      </c>
      <c r="D5101" s="22">
        <f ca="1">IFERROR(__xludf.DUMMYFUNCTION("""COMPUTED_VALUE"""),0)</f>
        <v>0</v>
      </c>
      <c r="E5101" s="22">
        <f ca="1">IFERROR(__xludf.DUMMYFUNCTION("""COMPUTED_VALUE"""),500000)</f>
        <v>500000</v>
      </c>
      <c r="F5101" s="22">
        <f ca="1">IFERROR(__xludf.DUMMYFUNCTION("""COMPUTED_VALUE"""),500000)</f>
        <v>500000</v>
      </c>
      <c r="G5101" s="22">
        <f ca="1">IFERROR(__xludf.DUMMYFUNCTION("""COMPUTED_VALUE"""),0)</f>
        <v>0</v>
      </c>
      <c r="H5101" s="7">
        <f ca="1">IFERROR(__xludf.DUMMYFUNCTION("""COMPUTED_VALUE"""),500000)</f>
        <v>500000</v>
      </c>
    </row>
    <row r="5102" spans="1:8" ht="13" x14ac:dyDescent="0.15">
      <c r="A5102" s="5" t="str">
        <f ca="1">IFERROR(__xludf.DUMMYFUNCTION("""COMPUTED_VALUE"""),"89833")</f>
        <v>89833</v>
      </c>
      <c r="B5102" s="51">
        <f ca="1">IFERROR(__xludf.DUMMYFUNCTION("""COMPUTED_VALUE"""),44635)</f>
        <v>44635</v>
      </c>
      <c r="C5102" s="22">
        <f ca="1">IFERROR(__xludf.DUMMYFUNCTION("""COMPUTED_VALUE"""),500000)</f>
        <v>500000</v>
      </c>
      <c r="D5102" s="22">
        <f ca="1">IFERROR(__xludf.DUMMYFUNCTION("""COMPUTED_VALUE"""),0)</f>
        <v>0</v>
      </c>
      <c r="E5102" s="22">
        <f ca="1">IFERROR(__xludf.DUMMYFUNCTION("""COMPUTED_VALUE"""),500000)</f>
        <v>500000</v>
      </c>
      <c r="F5102" s="22">
        <f ca="1">IFERROR(__xludf.DUMMYFUNCTION("""COMPUTED_VALUE"""),500000)</f>
        <v>500000</v>
      </c>
      <c r="G5102" s="22">
        <f ca="1">IFERROR(__xludf.DUMMYFUNCTION("""COMPUTED_VALUE"""),0)</f>
        <v>0</v>
      </c>
      <c r="H5102" s="7">
        <f ca="1">IFERROR(__xludf.DUMMYFUNCTION("""COMPUTED_VALUE"""),500000)</f>
        <v>500000</v>
      </c>
    </row>
    <row r="5103" spans="1:8" ht="13" x14ac:dyDescent="0.15">
      <c r="A5103" s="5" t="str">
        <f ca="1">IFERROR(__xludf.DUMMYFUNCTION("""COMPUTED_VALUE"""),"89833")</f>
        <v>89833</v>
      </c>
      <c r="B5103" s="51">
        <f ca="1">IFERROR(__xludf.DUMMYFUNCTION("""COMPUTED_VALUE"""),44636)</f>
        <v>44636</v>
      </c>
      <c r="C5103" s="22">
        <f ca="1">IFERROR(__xludf.DUMMYFUNCTION("""COMPUTED_VALUE"""),500000)</f>
        <v>500000</v>
      </c>
      <c r="D5103" s="22">
        <f ca="1">IFERROR(__xludf.DUMMYFUNCTION("""COMPUTED_VALUE"""),0)</f>
        <v>0</v>
      </c>
      <c r="E5103" s="22">
        <f ca="1">IFERROR(__xludf.DUMMYFUNCTION("""COMPUTED_VALUE"""),500000)</f>
        <v>500000</v>
      </c>
      <c r="F5103" s="22">
        <f ca="1">IFERROR(__xludf.DUMMYFUNCTION("""COMPUTED_VALUE"""),500000)</f>
        <v>500000</v>
      </c>
      <c r="G5103" s="22">
        <f ca="1">IFERROR(__xludf.DUMMYFUNCTION("""COMPUTED_VALUE"""),0)</f>
        <v>0</v>
      </c>
      <c r="H5103" s="7">
        <f ca="1">IFERROR(__xludf.DUMMYFUNCTION("""COMPUTED_VALUE"""),500000)</f>
        <v>500000</v>
      </c>
    </row>
    <row r="5104" spans="1:8" ht="13" x14ac:dyDescent="0.15">
      <c r="A5104" s="5" t="str">
        <f ca="1">IFERROR(__xludf.DUMMYFUNCTION("""COMPUTED_VALUE"""),"89833")</f>
        <v>89833</v>
      </c>
      <c r="B5104" s="51">
        <f ca="1">IFERROR(__xludf.DUMMYFUNCTION("""COMPUTED_VALUE"""),44637)</f>
        <v>44637</v>
      </c>
      <c r="C5104" s="22">
        <f ca="1">IFERROR(__xludf.DUMMYFUNCTION("""COMPUTED_VALUE"""),500000)</f>
        <v>500000</v>
      </c>
      <c r="D5104" s="22">
        <f ca="1">IFERROR(__xludf.DUMMYFUNCTION("""COMPUTED_VALUE"""),0)</f>
        <v>0</v>
      </c>
      <c r="E5104" s="22">
        <f ca="1">IFERROR(__xludf.DUMMYFUNCTION("""COMPUTED_VALUE"""),500000)</f>
        <v>500000</v>
      </c>
      <c r="F5104" s="22">
        <f ca="1">IFERROR(__xludf.DUMMYFUNCTION("""COMPUTED_VALUE"""),500000)</f>
        <v>500000</v>
      </c>
      <c r="G5104" s="22">
        <f ca="1">IFERROR(__xludf.DUMMYFUNCTION("""COMPUTED_VALUE"""),0)</f>
        <v>0</v>
      </c>
      <c r="H5104" s="7">
        <f ca="1">IFERROR(__xludf.DUMMYFUNCTION("""COMPUTED_VALUE"""),500000)</f>
        <v>500000</v>
      </c>
    </row>
    <row r="5105" spans="1:8" ht="13" x14ac:dyDescent="0.15">
      <c r="A5105" s="5" t="str">
        <f ca="1">IFERROR(__xludf.DUMMYFUNCTION("""COMPUTED_VALUE"""),"89833")</f>
        <v>89833</v>
      </c>
      <c r="B5105" s="51">
        <f ca="1">IFERROR(__xludf.DUMMYFUNCTION("""COMPUTED_VALUE"""),44638)</f>
        <v>44638</v>
      </c>
      <c r="C5105" s="22">
        <f ca="1">IFERROR(__xludf.DUMMYFUNCTION("""COMPUTED_VALUE"""),500000)</f>
        <v>500000</v>
      </c>
      <c r="D5105" s="22">
        <f ca="1">IFERROR(__xludf.DUMMYFUNCTION("""COMPUTED_VALUE"""),0)</f>
        <v>0</v>
      </c>
      <c r="E5105" s="22">
        <f ca="1">IFERROR(__xludf.DUMMYFUNCTION("""COMPUTED_VALUE"""),500000)</f>
        <v>500000</v>
      </c>
      <c r="F5105" s="22">
        <f ca="1">IFERROR(__xludf.DUMMYFUNCTION("""COMPUTED_VALUE"""),500000)</f>
        <v>500000</v>
      </c>
      <c r="G5105" s="22">
        <f ca="1">IFERROR(__xludf.DUMMYFUNCTION("""COMPUTED_VALUE"""),0)</f>
        <v>0</v>
      </c>
      <c r="H5105" s="7">
        <f ca="1">IFERROR(__xludf.DUMMYFUNCTION("""COMPUTED_VALUE"""),500000)</f>
        <v>500000</v>
      </c>
    </row>
    <row r="5106" spans="1:8" ht="13" x14ac:dyDescent="0.15">
      <c r="A5106" s="5" t="str">
        <f ca="1">IFERROR(__xludf.DUMMYFUNCTION("""COMPUTED_VALUE"""),"89833")</f>
        <v>89833</v>
      </c>
      <c r="B5106" s="51">
        <f ca="1">IFERROR(__xludf.DUMMYFUNCTION("""COMPUTED_VALUE"""),44639)</f>
        <v>44639</v>
      </c>
      <c r="C5106" s="22">
        <f ca="1">IFERROR(__xludf.DUMMYFUNCTION("""COMPUTED_VALUE"""),500000)</f>
        <v>500000</v>
      </c>
      <c r="D5106" s="22">
        <f ca="1">IFERROR(__xludf.DUMMYFUNCTION("""COMPUTED_VALUE"""),0)</f>
        <v>0</v>
      </c>
      <c r="E5106" s="22">
        <f ca="1">IFERROR(__xludf.DUMMYFUNCTION("""COMPUTED_VALUE"""),500000)</f>
        <v>500000</v>
      </c>
      <c r="F5106" s="22">
        <f ca="1">IFERROR(__xludf.DUMMYFUNCTION("""COMPUTED_VALUE"""),500000)</f>
        <v>500000</v>
      </c>
      <c r="G5106" s="22">
        <f ca="1">IFERROR(__xludf.DUMMYFUNCTION("""COMPUTED_VALUE"""),0)</f>
        <v>0</v>
      </c>
      <c r="H5106" s="7">
        <f ca="1">IFERROR(__xludf.DUMMYFUNCTION("""COMPUTED_VALUE"""),500000)</f>
        <v>500000</v>
      </c>
    </row>
    <row r="5107" spans="1:8" ht="13" x14ac:dyDescent="0.15">
      <c r="A5107" s="5" t="str">
        <f ca="1">IFERROR(__xludf.DUMMYFUNCTION("""COMPUTED_VALUE"""),"89833")</f>
        <v>89833</v>
      </c>
      <c r="B5107" s="51">
        <f ca="1">IFERROR(__xludf.DUMMYFUNCTION("""COMPUTED_VALUE"""),44640)</f>
        <v>44640</v>
      </c>
      <c r="C5107" s="22">
        <f ca="1">IFERROR(__xludf.DUMMYFUNCTION("""COMPUTED_VALUE"""),500000)</f>
        <v>500000</v>
      </c>
      <c r="D5107" s="22">
        <f ca="1">IFERROR(__xludf.DUMMYFUNCTION("""COMPUTED_VALUE"""),0)</f>
        <v>0</v>
      </c>
      <c r="E5107" s="22">
        <f ca="1">IFERROR(__xludf.DUMMYFUNCTION("""COMPUTED_VALUE"""),500000)</f>
        <v>500000</v>
      </c>
      <c r="F5107" s="22">
        <f ca="1">IFERROR(__xludf.DUMMYFUNCTION("""COMPUTED_VALUE"""),500000)</f>
        <v>500000</v>
      </c>
      <c r="G5107" s="22">
        <f ca="1">IFERROR(__xludf.DUMMYFUNCTION("""COMPUTED_VALUE"""),0)</f>
        <v>0</v>
      </c>
      <c r="H5107" s="7">
        <f ca="1">IFERROR(__xludf.DUMMYFUNCTION("""COMPUTED_VALUE"""),500000)</f>
        <v>500000</v>
      </c>
    </row>
    <row r="5108" spans="1:8" ht="13" x14ac:dyDescent="0.15">
      <c r="A5108" s="5" t="str">
        <f ca="1">IFERROR(__xludf.DUMMYFUNCTION("""COMPUTED_VALUE"""),"89833")</f>
        <v>89833</v>
      </c>
      <c r="B5108" s="51">
        <f ca="1">IFERROR(__xludf.DUMMYFUNCTION("""COMPUTED_VALUE"""),44641)</f>
        <v>44641</v>
      </c>
      <c r="C5108" s="22">
        <f ca="1">IFERROR(__xludf.DUMMYFUNCTION("""COMPUTED_VALUE"""),500000)</f>
        <v>500000</v>
      </c>
      <c r="D5108" s="22">
        <f ca="1">IFERROR(__xludf.DUMMYFUNCTION("""COMPUTED_VALUE"""),0)</f>
        <v>0</v>
      </c>
      <c r="E5108" s="22">
        <f ca="1">IFERROR(__xludf.DUMMYFUNCTION("""COMPUTED_VALUE"""),500000)</f>
        <v>500000</v>
      </c>
      <c r="F5108" s="22">
        <f ca="1">IFERROR(__xludf.DUMMYFUNCTION("""COMPUTED_VALUE"""),500000)</f>
        <v>500000</v>
      </c>
      <c r="G5108" s="22">
        <f ca="1">IFERROR(__xludf.DUMMYFUNCTION("""COMPUTED_VALUE"""),0)</f>
        <v>0</v>
      </c>
      <c r="H5108" s="7">
        <f ca="1">IFERROR(__xludf.DUMMYFUNCTION("""COMPUTED_VALUE"""),500000)</f>
        <v>500000</v>
      </c>
    </row>
    <row r="5109" spans="1:8" ht="13" x14ac:dyDescent="0.15">
      <c r="A5109" s="5" t="str">
        <f ca="1">IFERROR(__xludf.DUMMYFUNCTION("""COMPUTED_VALUE"""),"89833")</f>
        <v>89833</v>
      </c>
      <c r="B5109" s="51">
        <f ca="1">IFERROR(__xludf.DUMMYFUNCTION("""COMPUTED_VALUE"""),44642)</f>
        <v>44642</v>
      </c>
      <c r="C5109" s="22">
        <f ca="1">IFERROR(__xludf.DUMMYFUNCTION("""COMPUTED_VALUE"""),500000)</f>
        <v>500000</v>
      </c>
      <c r="D5109" s="22">
        <f ca="1">IFERROR(__xludf.DUMMYFUNCTION("""COMPUTED_VALUE"""),0)</f>
        <v>0</v>
      </c>
      <c r="E5109" s="22">
        <f ca="1">IFERROR(__xludf.DUMMYFUNCTION("""COMPUTED_VALUE"""),500000)</f>
        <v>500000</v>
      </c>
      <c r="F5109" s="22">
        <f ca="1">IFERROR(__xludf.DUMMYFUNCTION("""COMPUTED_VALUE"""),500000)</f>
        <v>500000</v>
      </c>
      <c r="G5109" s="22">
        <f ca="1">IFERROR(__xludf.DUMMYFUNCTION("""COMPUTED_VALUE"""),0)</f>
        <v>0</v>
      </c>
      <c r="H5109" s="7">
        <f ca="1">IFERROR(__xludf.DUMMYFUNCTION("""COMPUTED_VALUE"""),500000)</f>
        <v>500000</v>
      </c>
    </row>
    <row r="5110" spans="1:8" ht="13" x14ac:dyDescent="0.15">
      <c r="A5110" s="5" t="str">
        <f ca="1">IFERROR(__xludf.DUMMYFUNCTION("""COMPUTED_VALUE"""),"89845")</f>
        <v>89845</v>
      </c>
      <c r="B5110" s="51">
        <f ca="1">IFERROR(__xludf.DUMMYFUNCTION("""COMPUTED_VALUE"""),44597)</f>
        <v>44597</v>
      </c>
      <c r="C5110" s="22">
        <f ca="1">IFERROR(__xludf.DUMMYFUNCTION("""COMPUTED_VALUE"""),500000)</f>
        <v>500000</v>
      </c>
      <c r="D5110" s="22">
        <f ca="1">IFERROR(__xludf.DUMMYFUNCTION("""COMPUTED_VALUE"""),0)</f>
        <v>0</v>
      </c>
      <c r="E5110" s="22">
        <f ca="1">IFERROR(__xludf.DUMMYFUNCTION("""COMPUTED_VALUE"""),500000)</f>
        <v>500000</v>
      </c>
      <c r="F5110" s="22">
        <f ca="1">IFERROR(__xludf.DUMMYFUNCTION("""COMPUTED_VALUE"""),500000)</f>
        <v>500000</v>
      </c>
      <c r="G5110" s="22">
        <f ca="1">IFERROR(__xludf.DUMMYFUNCTION("""COMPUTED_VALUE"""),0)</f>
        <v>0</v>
      </c>
      <c r="H5110" s="7">
        <f ca="1">IFERROR(__xludf.DUMMYFUNCTION("""COMPUTED_VALUE"""),500000)</f>
        <v>500000</v>
      </c>
    </row>
    <row r="5111" spans="1:8" ht="13" x14ac:dyDescent="0.15">
      <c r="A5111" s="5" t="str">
        <f ca="1">IFERROR(__xludf.DUMMYFUNCTION("""COMPUTED_VALUE"""),"89845")</f>
        <v>89845</v>
      </c>
      <c r="B5111" s="51">
        <f ca="1">IFERROR(__xludf.DUMMYFUNCTION("""COMPUTED_VALUE"""),44598)</f>
        <v>44598</v>
      </c>
      <c r="C5111" s="22">
        <f ca="1">IFERROR(__xludf.DUMMYFUNCTION("""COMPUTED_VALUE"""),500000)</f>
        <v>500000</v>
      </c>
      <c r="D5111" s="22">
        <f ca="1">IFERROR(__xludf.DUMMYFUNCTION("""COMPUTED_VALUE"""),0)</f>
        <v>0</v>
      </c>
      <c r="E5111" s="22">
        <f ca="1">IFERROR(__xludf.DUMMYFUNCTION("""COMPUTED_VALUE"""),500000)</f>
        <v>500000</v>
      </c>
      <c r="F5111" s="22">
        <f ca="1">IFERROR(__xludf.DUMMYFUNCTION("""COMPUTED_VALUE"""),500000)</f>
        <v>500000</v>
      </c>
      <c r="G5111" s="22">
        <f ca="1">IFERROR(__xludf.DUMMYFUNCTION("""COMPUTED_VALUE"""),0)</f>
        <v>0</v>
      </c>
      <c r="H5111" s="7">
        <f ca="1">IFERROR(__xludf.DUMMYFUNCTION("""COMPUTED_VALUE"""),500000)</f>
        <v>500000</v>
      </c>
    </row>
    <row r="5112" spans="1:8" ht="13" x14ac:dyDescent="0.15">
      <c r="A5112" s="5" t="str">
        <f ca="1">IFERROR(__xludf.DUMMYFUNCTION("""COMPUTED_VALUE"""),"89845")</f>
        <v>89845</v>
      </c>
      <c r="B5112" s="51">
        <f ca="1">IFERROR(__xludf.DUMMYFUNCTION("""COMPUTED_VALUE"""),44599)</f>
        <v>44599</v>
      </c>
      <c r="C5112" s="22">
        <f ca="1">IFERROR(__xludf.DUMMYFUNCTION("""COMPUTED_VALUE"""),500000)</f>
        <v>500000</v>
      </c>
      <c r="D5112" s="22">
        <f ca="1">IFERROR(__xludf.DUMMYFUNCTION("""COMPUTED_VALUE"""),0)</f>
        <v>0</v>
      </c>
      <c r="E5112" s="22">
        <f ca="1">IFERROR(__xludf.DUMMYFUNCTION("""COMPUTED_VALUE"""),500000)</f>
        <v>500000</v>
      </c>
      <c r="F5112" s="22">
        <f ca="1">IFERROR(__xludf.DUMMYFUNCTION("""COMPUTED_VALUE"""),500000)</f>
        <v>500000</v>
      </c>
      <c r="G5112" s="22">
        <f ca="1">IFERROR(__xludf.DUMMYFUNCTION("""COMPUTED_VALUE"""),0)</f>
        <v>0</v>
      </c>
      <c r="H5112" s="7">
        <f ca="1">IFERROR(__xludf.DUMMYFUNCTION("""COMPUTED_VALUE"""),500000)</f>
        <v>500000</v>
      </c>
    </row>
    <row r="5113" spans="1:8" ht="13" x14ac:dyDescent="0.15">
      <c r="A5113" s="5" t="str">
        <f ca="1">IFERROR(__xludf.DUMMYFUNCTION("""COMPUTED_VALUE"""),"89845")</f>
        <v>89845</v>
      </c>
      <c r="B5113" s="51">
        <f ca="1">IFERROR(__xludf.DUMMYFUNCTION("""COMPUTED_VALUE"""),44600)</f>
        <v>44600</v>
      </c>
      <c r="C5113" s="22">
        <f ca="1">IFERROR(__xludf.DUMMYFUNCTION("""COMPUTED_VALUE"""),500000)</f>
        <v>500000</v>
      </c>
      <c r="D5113" s="22">
        <f ca="1">IFERROR(__xludf.DUMMYFUNCTION("""COMPUTED_VALUE"""),0)</f>
        <v>0</v>
      </c>
      <c r="E5113" s="22">
        <f ca="1">IFERROR(__xludf.DUMMYFUNCTION("""COMPUTED_VALUE"""),500000)</f>
        <v>500000</v>
      </c>
      <c r="F5113" s="22">
        <f ca="1">IFERROR(__xludf.DUMMYFUNCTION("""COMPUTED_VALUE"""),500000)</f>
        <v>500000</v>
      </c>
      <c r="G5113" s="22">
        <f ca="1">IFERROR(__xludf.DUMMYFUNCTION("""COMPUTED_VALUE"""),0)</f>
        <v>0</v>
      </c>
      <c r="H5113" s="7">
        <f ca="1">IFERROR(__xludf.DUMMYFUNCTION("""COMPUTED_VALUE"""),500000)</f>
        <v>500000</v>
      </c>
    </row>
    <row r="5114" spans="1:8" ht="13" x14ac:dyDescent="0.15">
      <c r="A5114" s="5" t="str">
        <f ca="1">IFERROR(__xludf.DUMMYFUNCTION("""COMPUTED_VALUE"""),"89845")</f>
        <v>89845</v>
      </c>
      <c r="B5114" s="51">
        <f ca="1">IFERROR(__xludf.DUMMYFUNCTION("""COMPUTED_VALUE"""),44601)</f>
        <v>44601</v>
      </c>
      <c r="C5114" s="22">
        <f ca="1">IFERROR(__xludf.DUMMYFUNCTION("""COMPUTED_VALUE"""),500000)</f>
        <v>500000</v>
      </c>
      <c r="D5114" s="22">
        <f ca="1">IFERROR(__xludf.DUMMYFUNCTION("""COMPUTED_VALUE"""),0)</f>
        <v>0</v>
      </c>
      <c r="E5114" s="22">
        <f ca="1">IFERROR(__xludf.DUMMYFUNCTION("""COMPUTED_VALUE"""),500000)</f>
        <v>500000</v>
      </c>
      <c r="F5114" s="22">
        <f ca="1">IFERROR(__xludf.DUMMYFUNCTION("""COMPUTED_VALUE"""),500000)</f>
        <v>500000</v>
      </c>
      <c r="G5114" s="22">
        <f ca="1">IFERROR(__xludf.DUMMYFUNCTION("""COMPUTED_VALUE"""),0)</f>
        <v>0</v>
      </c>
      <c r="H5114" s="7">
        <f ca="1">IFERROR(__xludf.DUMMYFUNCTION("""COMPUTED_VALUE"""),500000)</f>
        <v>500000</v>
      </c>
    </row>
    <row r="5115" spans="1:8" ht="13" x14ac:dyDescent="0.15">
      <c r="A5115" s="5" t="str">
        <f ca="1">IFERROR(__xludf.DUMMYFUNCTION("""COMPUTED_VALUE"""),"89845")</f>
        <v>89845</v>
      </c>
      <c r="B5115" s="51">
        <f ca="1">IFERROR(__xludf.DUMMYFUNCTION("""COMPUTED_VALUE"""),44602)</f>
        <v>44602</v>
      </c>
      <c r="C5115" s="22">
        <f ca="1">IFERROR(__xludf.DUMMYFUNCTION("""COMPUTED_VALUE"""),500000)</f>
        <v>500000</v>
      </c>
      <c r="D5115" s="22">
        <f ca="1">IFERROR(__xludf.DUMMYFUNCTION("""COMPUTED_VALUE"""),0)</f>
        <v>0</v>
      </c>
      <c r="E5115" s="22">
        <f ca="1">IFERROR(__xludf.DUMMYFUNCTION("""COMPUTED_VALUE"""),500000)</f>
        <v>500000</v>
      </c>
      <c r="F5115" s="22">
        <f ca="1">IFERROR(__xludf.DUMMYFUNCTION("""COMPUTED_VALUE"""),500000)</f>
        <v>500000</v>
      </c>
      <c r="G5115" s="22">
        <f ca="1">IFERROR(__xludf.DUMMYFUNCTION("""COMPUTED_VALUE"""),0)</f>
        <v>0</v>
      </c>
      <c r="H5115" s="7">
        <f ca="1">IFERROR(__xludf.DUMMYFUNCTION("""COMPUTED_VALUE"""),500000)</f>
        <v>500000</v>
      </c>
    </row>
    <row r="5116" spans="1:8" ht="13" x14ac:dyDescent="0.15">
      <c r="A5116" s="5" t="str">
        <f ca="1">IFERROR(__xludf.DUMMYFUNCTION("""COMPUTED_VALUE"""),"89845")</f>
        <v>89845</v>
      </c>
      <c r="B5116" s="51">
        <f ca="1">IFERROR(__xludf.DUMMYFUNCTION("""COMPUTED_VALUE"""),44603)</f>
        <v>44603</v>
      </c>
      <c r="C5116" s="22">
        <f ca="1">IFERROR(__xludf.DUMMYFUNCTION("""COMPUTED_VALUE"""),500000)</f>
        <v>500000</v>
      </c>
      <c r="D5116" s="22">
        <f ca="1">IFERROR(__xludf.DUMMYFUNCTION("""COMPUTED_VALUE"""),0)</f>
        <v>0</v>
      </c>
      <c r="E5116" s="22">
        <f ca="1">IFERROR(__xludf.DUMMYFUNCTION("""COMPUTED_VALUE"""),500000)</f>
        <v>500000</v>
      </c>
      <c r="F5116" s="22">
        <f ca="1">IFERROR(__xludf.DUMMYFUNCTION("""COMPUTED_VALUE"""),500000)</f>
        <v>500000</v>
      </c>
      <c r="G5116" s="22">
        <f ca="1">IFERROR(__xludf.DUMMYFUNCTION("""COMPUTED_VALUE"""),0)</f>
        <v>0</v>
      </c>
      <c r="H5116" s="7">
        <f ca="1">IFERROR(__xludf.DUMMYFUNCTION("""COMPUTED_VALUE"""),500000)</f>
        <v>500000</v>
      </c>
    </row>
    <row r="5117" spans="1:8" ht="13" x14ac:dyDescent="0.15">
      <c r="A5117" s="5" t="str">
        <f ca="1">IFERROR(__xludf.DUMMYFUNCTION("""COMPUTED_VALUE"""),"89845")</f>
        <v>89845</v>
      </c>
      <c r="B5117" s="51">
        <f ca="1">IFERROR(__xludf.DUMMYFUNCTION("""COMPUTED_VALUE"""),44604)</f>
        <v>44604</v>
      </c>
      <c r="C5117" s="22">
        <f ca="1">IFERROR(__xludf.DUMMYFUNCTION("""COMPUTED_VALUE"""),500000)</f>
        <v>500000</v>
      </c>
      <c r="D5117" s="22">
        <f ca="1">IFERROR(__xludf.DUMMYFUNCTION("""COMPUTED_VALUE"""),0)</f>
        <v>0</v>
      </c>
      <c r="E5117" s="22">
        <f ca="1">IFERROR(__xludf.DUMMYFUNCTION("""COMPUTED_VALUE"""),500000)</f>
        <v>500000</v>
      </c>
      <c r="F5117" s="22">
        <f ca="1">IFERROR(__xludf.DUMMYFUNCTION("""COMPUTED_VALUE"""),500000)</f>
        <v>500000</v>
      </c>
      <c r="G5117" s="22">
        <f ca="1">IFERROR(__xludf.DUMMYFUNCTION("""COMPUTED_VALUE"""),0)</f>
        <v>0</v>
      </c>
      <c r="H5117" s="7">
        <f ca="1">IFERROR(__xludf.DUMMYFUNCTION("""COMPUTED_VALUE"""),500000)</f>
        <v>500000</v>
      </c>
    </row>
    <row r="5118" spans="1:8" ht="13" x14ac:dyDescent="0.15">
      <c r="A5118" s="5" t="str">
        <f ca="1">IFERROR(__xludf.DUMMYFUNCTION("""COMPUTED_VALUE"""),"89845")</f>
        <v>89845</v>
      </c>
      <c r="B5118" s="51">
        <f ca="1">IFERROR(__xludf.DUMMYFUNCTION("""COMPUTED_VALUE"""),44605)</f>
        <v>44605</v>
      </c>
      <c r="C5118" s="22">
        <f ca="1">IFERROR(__xludf.DUMMYFUNCTION("""COMPUTED_VALUE"""),500000)</f>
        <v>500000</v>
      </c>
      <c r="D5118" s="22">
        <f ca="1">IFERROR(__xludf.DUMMYFUNCTION("""COMPUTED_VALUE"""),0)</f>
        <v>0</v>
      </c>
      <c r="E5118" s="22">
        <f ca="1">IFERROR(__xludf.DUMMYFUNCTION("""COMPUTED_VALUE"""),500000)</f>
        <v>500000</v>
      </c>
      <c r="F5118" s="22">
        <f ca="1">IFERROR(__xludf.DUMMYFUNCTION("""COMPUTED_VALUE"""),500000)</f>
        <v>500000</v>
      </c>
      <c r="G5118" s="22">
        <f ca="1">IFERROR(__xludf.DUMMYFUNCTION("""COMPUTED_VALUE"""),0)</f>
        <v>0</v>
      </c>
      <c r="H5118" s="7">
        <f ca="1">IFERROR(__xludf.DUMMYFUNCTION("""COMPUTED_VALUE"""),500000)</f>
        <v>500000</v>
      </c>
    </row>
    <row r="5119" spans="1:8" ht="13" x14ac:dyDescent="0.15">
      <c r="A5119" s="5" t="str">
        <f ca="1">IFERROR(__xludf.DUMMYFUNCTION("""COMPUTED_VALUE"""),"89845")</f>
        <v>89845</v>
      </c>
      <c r="B5119" s="51">
        <f ca="1">IFERROR(__xludf.DUMMYFUNCTION("""COMPUTED_VALUE"""),44606)</f>
        <v>44606</v>
      </c>
      <c r="C5119" s="22">
        <f ca="1">IFERROR(__xludf.DUMMYFUNCTION("""COMPUTED_VALUE"""),500000)</f>
        <v>500000</v>
      </c>
      <c r="D5119" s="22">
        <f ca="1">IFERROR(__xludf.DUMMYFUNCTION("""COMPUTED_VALUE"""),0)</f>
        <v>0</v>
      </c>
      <c r="E5119" s="22">
        <f ca="1">IFERROR(__xludf.DUMMYFUNCTION("""COMPUTED_VALUE"""),500000)</f>
        <v>500000</v>
      </c>
      <c r="F5119" s="22">
        <f ca="1">IFERROR(__xludf.DUMMYFUNCTION("""COMPUTED_VALUE"""),500000)</f>
        <v>500000</v>
      </c>
      <c r="G5119" s="22">
        <f ca="1">IFERROR(__xludf.DUMMYFUNCTION("""COMPUTED_VALUE"""),0)</f>
        <v>0</v>
      </c>
      <c r="H5119" s="7">
        <f ca="1">IFERROR(__xludf.DUMMYFUNCTION("""COMPUTED_VALUE"""),500000)</f>
        <v>500000</v>
      </c>
    </row>
    <row r="5120" spans="1:8" ht="13" x14ac:dyDescent="0.15">
      <c r="A5120" s="5" t="str">
        <f ca="1">IFERROR(__xludf.DUMMYFUNCTION("""COMPUTED_VALUE"""),"89845")</f>
        <v>89845</v>
      </c>
      <c r="B5120" s="51">
        <f ca="1">IFERROR(__xludf.DUMMYFUNCTION("""COMPUTED_VALUE"""),44607)</f>
        <v>44607</v>
      </c>
      <c r="C5120" s="22">
        <f ca="1">IFERROR(__xludf.DUMMYFUNCTION("""COMPUTED_VALUE"""),500000)</f>
        <v>500000</v>
      </c>
      <c r="D5120" s="22">
        <f ca="1">IFERROR(__xludf.DUMMYFUNCTION("""COMPUTED_VALUE"""),0)</f>
        <v>0</v>
      </c>
      <c r="E5120" s="22">
        <f ca="1">IFERROR(__xludf.DUMMYFUNCTION("""COMPUTED_VALUE"""),500000)</f>
        <v>500000</v>
      </c>
      <c r="F5120" s="22">
        <f ca="1">IFERROR(__xludf.DUMMYFUNCTION("""COMPUTED_VALUE"""),500000)</f>
        <v>500000</v>
      </c>
      <c r="G5120" s="22">
        <f ca="1">IFERROR(__xludf.DUMMYFUNCTION("""COMPUTED_VALUE"""),0)</f>
        <v>0</v>
      </c>
      <c r="H5120" s="7">
        <f ca="1">IFERROR(__xludf.DUMMYFUNCTION("""COMPUTED_VALUE"""),500000)</f>
        <v>500000</v>
      </c>
    </row>
    <row r="5121" spans="1:8" ht="13" x14ac:dyDescent="0.15">
      <c r="A5121" s="5" t="str">
        <f ca="1">IFERROR(__xludf.DUMMYFUNCTION("""COMPUTED_VALUE"""),"89845")</f>
        <v>89845</v>
      </c>
      <c r="B5121" s="51">
        <f ca="1">IFERROR(__xludf.DUMMYFUNCTION("""COMPUTED_VALUE"""),44608)</f>
        <v>44608</v>
      </c>
      <c r="C5121" s="22">
        <f ca="1">IFERROR(__xludf.DUMMYFUNCTION("""COMPUTED_VALUE"""),500000)</f>
        <v>500000</v>
      </c>
      <c r="D5121" s="22">
        <f ca="1">IFERROR(__xludf.DUMMYFUNCTION("""COMPUTED_VALUE"""),0)</f>
        <v>0</v>
      </c>
      <c r="E5121" s="22">
        <f ca="1">IFERROR(__xludf.DUMMYFUNCTION("""COMPUTED_VALUE"""),500000)</f>
        <v>500000</v>
      </c>
      <c r="F5121" s="22">
        <f ca="1">IFERROR(__xludf.DUMMYFUNCTION("""COMPUTED_VALUE"""),500000)</f>
        <v>500000</v>
      </c>
      <c r="G5121" s="22">
        <f ca="1">IFERROR(__xludf.DUMMYFUNCTION("""COMPUTED_VALUE"""),0)</f>
        <v>0</v>
      </c>
      <c r="H5121" s="7">
        <f ca="1">IFERROR(__xludf.DUMMYFUNCTION("""COMPUTED_VALUE"""),500000)</f>
        <v>500000</v>
      </c>
    </row>
    <row r="5122" spans="1:8" ht="13" x14ac:dyDescent="0.15">
      <c r="A5122" s="5" t="str">
        <f ca="1">IFERROR(__xludf.DUMMYFUNCTION("""COMPUTED_VALUE"""),"89845")</f>
        <v>89845</v>
      </c>
      <c r="B5122" s="51">
        <f ca="1">IFERROR(__xludf.DUMMYFUNCTION("""COMPUTED_VALUE"""),44609)</f>
        <v>44609</v>
      </c>
      <c r="C5122" s="22">
        <f ca="1">IFERROR(__xludf.DUMMYFUNCTION("""COMPUTED_VALUE"""),500000)</f>
        <v>500000</v>
      </c>
      <c r="D5122" s="22">
        <f ca="1">IFERROR(__xludf.DUMMYFUNCTION("""COMPUTED_VALUE"""),0)</f>
        <v>0</v>
      </c>
      <c r="E5122" s="22">
        <f ca="1">IFERROR(__xludf.DUMMYFUNCTION("""COMPUTED_VALUE"""),500000)</f>
        <v>500000</v>
      </c>
      <c r="F5122" s="22">
        <f ca="1">IFERROR(__xludf.DUMMYFUNCTION("""COMPUTED_VALUE"""),500000)</f>
        <v>500000</v>
      </c>
      <c r="G5122" s="22">
        <f ca="1">IFERROR(__xludf.DUMMYFUNCTION("""COMPUTED_VALUE"""),0)</f>
        <v>0</v>
      </c>
      <c r="H5122" s="7">
        <f ca="1">IFERROR(__xludf.DUMMYFUNCTION("""COMPUTED_VALUE"""),500000)</f>
        <v>500000</v>
      </c>
    </row>
    <row r="5123" spans="1:8" ht="13" x14ac:dyDescent="0.15">
      <c r="A5123" s="5" t="str">
        <f ca="1">IFERROR(__xludf.DUMMYFUNCTION("""COMPUTED_VALUE"""),"89845")</f>
        <v>89845</v>
      </c>
      <c r="B5123" s="51">
        <f ca="1">IFERROR(__xludf.DUMMYFUNCTION("""COMPUTED_VALUE"""),44610)</f>
        <v>44610</v>
      </c>
      <c r="C5123" s="22">
        <f ca="1">IFERROR(__xludf.DUMMYFUNCTION("""COMPUTED_VALUE"""),500000)</f>
        <v>500000</v>
      </c>
      <c r="D5123" s="22">
        <f ca="1">IFERROR(__xludf.DUMMYFUNCTION("""COMPUTED_VALUE"""),0)</f>
        <v>0</v>
      </c>
      <c r="E5123" s="22">
        <f ca="1">IFERROR(__xludf.DUMMYFUNCTION("""COMPUTED_VALUE"""),500000)</f>
        <v>500000</v>
      </c>
      <c r="F5123" s="22">
        <f ca="1">IFERROR(__xludf.DUMMYFUNCTION("""COMPUTED_VALUE"""),500000)</f>
        <v>500000</v>
      </c>
      <c r="G5123" s="22">
        <f ca="1">IFERROR(__xludf.DUMMYFUNCTION("""COMPUTED_VALUE"""),0)</f>
        <v>0</v>
      </c>
      <c r="H5123" s="7">
        <f ca="1">IFERROR(__xludf.DUMMYFUNCTION("""COMPUTED_VALUE"""),500000)</f>
        <v>500000</v>
      </c>
    </row>
    <row r="5124" spans="1:8" ht="13" x14ac:dyDescent="0.15">
      <c r="A5124" s="5" t="str">
        <f ca="1">IFERROR(__xludf.DUMMYFUNCTION("""COMPUTED_VALUE"""),"89845")</f>
        <v>89845</v>
      </c>
      <c r="B5124" s="51">
        <f ca="1">IFERROR(__xludf.DUMMYFUNCTION("""COMPUTED_VALUE"""),44611)</f>
        <v>44611</v>
      </c>
      <c r="C5124" s="22">
        <f ca="1">IFERROR(__xludf.DUMMYFUNCTION("""COMPUTED_VALUE"""),500000)</f>
        <v>500000</v>
      </c>
      <c r="D5124" s="22">
        <f ca="1">IFERROR(__xludf.DUMMYFUNCTION("""COMPUTED_VALUE"""),0)</f>
        <v>0</v>
      </c>
      <c r="E5124" s="22">
        <f ca="1">IFERROR(__xludf.DUMMYFUNCTION("""COMPUTED_VALUE"""),500000)</f>
        <v>500000</v>
      </c>
      <c r="F5124" s="22">
        <f ca="1">IFERROR(__xludf.DUMMYFUNCTION("""COMPUTED_VALUE"""),500000)</f>
        <v>500000</v>
      </c>
      <c r="G5124" s="22">
        <f ca="1">IFERROR(__xludf.DUMMYFUNCTION("""COMPUTED_VALUE"""),0)</f>
        <v>0</v>
      </c>
      <c r="H5124" s="7">
        <f ca="1">IFERROR(__xludf.DUMMYFUNCTION("""COMPUTED_VALUE"""),500000)</f>
        <v>500000</v>
      </c>
    </row>
    <row r="5125" spans="1:8" ht="13" x14ac:dyDescent="0.15">
      <c r="A5125" s="5" t="str">
        <f ca="1">IFERROR(__xludf.DUMMYFUNCTION("""COMPUTED_VALUE"""),"89845")</f>
        <v>89845</v>
      </c>
      <c r="B5125" s="51">
        <f ca="1">IFERROR(__xludf.DUMMYFUNCTION("""COMPUTED_VALUE"""),44612)</f>
        <v>44612</v>
      </c>
      <c r="C5125" s="22">
        <f ca="1">IFERROR(__xludf.DUMMYFUNCTION("""COMPUTED_VALUE"""),500000)</f>
        <v>500000</v>
      </c>
      <c r="D5125" s="22">
        <f ca="1">IFERROR(__xludf.DUMMYFUNCTION("""COMPUTED_VALUE"""),0)</f>
        <v>0</v>
      </c>
      <c r="E5125" s="22">
        <f ca="1">IFERROR(__xludf.DUMMYFUNCTION("""COMPUTED_VALUE"""),500000)</f>
        <v>500000</v>
      </c>
      <c r="F5125" s="22">
        <f ca="1">IFERROR(__xludf.DUMMYFUNCTION("""COMPUTED_VALUE"""),500000)</f>
        <v>500000</v>
      </c>
      <c r="G5125" s="22">
        <f ca="1">IFERROR(__xludf.DUMMYFUNCTION("""COMPUTED_VALUE"""),0)</f>
        <v>0</v>
      </c>
      <c r="H5125" s="7">
        <f ca="1">IFERROR(__xludf.DUMMYFUNCTION("""COMPUTED_VALUE"""),500000)</f>
        <v>500000</v>
      </c>
    </row>
    <row r="5126" spans="1:8" ht="13" x14ac:dyDescent="0.15">
      <c r="A5126" s="5" t="str">
        <f ca="1">IFERROR(__xludf.DUMMYFUNCTION("""COMPUTED_VALUE"""),"89845")</f>
        <v>89845</v>
      </c>
      <c r="B5126" s="51">
        <f ca="1">IFERROR(__xludf.DUMMYFUNCTION("""COMPUTED_VALUE"""),44613)</f>
        <v>44613</v>
      </c>
      <c r="C5126" s="22">
        <f ca="1">IFERROR(__xludf.DUMMYFUNCTION("""COMPUTED_VALUE"""),500000)</f>
        <v>500000</v>
      </c>
      <c r="D5126" s="22">
        <f ca="1">IFERROR(__xludf.DUMMYFUNCTION("""COMPUTED_VALUE"""),0)</f>
        <v>0</v>
      </c>
      <c r="E5126" s="22">
        <f ca="1">IFERROR(__xludf.DUMMYFUNCTION("""COMPUTED_VALUE"""),500000)</f>
        <v>500000</v>
      </c>
      <c r="F5126" s="22">
        <f ca="1">IFERROR(__xludf.DUMMYFUNCTION("""COMPUTED_VALUE"""),500000)</f>
        <v>500000</v>
      </c>
      <c r="G5126" s="22">
        <f ca="1">IFERROR(__xludf.DUMMYFUNCTION("""COMPUTED_VALUE"""),0)</f>
        <v>0</v>
      </c>
      <c r="H5126" s="7">
        <f ca="1">IFERROR(__xludf.DUMMYFUNCTION("""COMPUTED_VALUE"""),500000)</f>
        <v>500000</v>
      </c>
    </row>
    <row r="5127" spans="1:8" ht="13" x14ac:dyDescent="0.15">
      <c r="A5127" s="5" t="str">
        <f ca="1">IFERROR(__xludf.DUMMYFUNCTION("""COMPUTED_VALUE"""),"89845")</f>
        <v>89845</v>
      </c>
      <c r="B5127" s="51">
        <f ca="1">IFERROR(__xludf.DUMMYFUNCTION("""COMPUTED_VALUE"""),44614)</f>
        <v>44614</v>
      </c>
      <c r="C5127" s="22">
        <f ca="1">IFERROR(__xludf.DUMMYFUNCTION("""COMPUTED_VALUE"""),500000)</f>
        <v>500000</v>
      </c>
      <c r="D5127" s="22">
        <f ca="1">IFERROR(__xludf.DUMMYFUNCTION("""COMPUTED_VALUE"""),0)</f>
        <v>0</v>
      </c>
      <c r="E5127" s="22">
        <f ca="1">IFERROR(__xludf.DUMMYFUNCTION("""COMPUTED_VALUE"""),500000)</f>
        <v>500000</v>
      </c>
      <c r="F5127" s="22">
        <f ca="1">IFERROR(__xludf.DUMMYFUNCTION("""COMPUTED_VALUE"""),500000)</f>
        <v>500000</v>
      </c>
      <c r="G5127" s="22">
        <f ca="1">IFERROR(__xludf.DUMMYFUNCTION("""COMPUTED_VALUE"""),0)</f>
        <v>0</v>
      </c>
      <c r="H5127" s="7">
        <f ca="1">IFERROR(__xludf.DUMMYFUNCTION("""COMPUTED_VALUE"""),500000)</f>
        <v>500000</v>
      </c>
    </row>
    <row r="5128" spans="1:8" ht="13" x14ac:dyDescent="0.15">
      <c r="A5128" s="5" t="str">
        <f ca="1">IFERROR(__xludf.DUMMYFUNCTION("""COMPUTED_VALUE"""),"89845")</f>
        <v>89845</v>
      </c>
      <c r="B5128" s="51">
        <f ca="1">IFERROR(__xludf.DUMMYFUNCTION("""COMPUTED_VALUE"""),44615)</f>
        <v>44615</v>
      </c>
      <c r="C5128" s="22">
        <f ca="1">IFERROR(__xludf.DUMMYFUNCTION("""COMPUTED_VALUE"""),500000)</f>
        <v>500000</v>
      </c>
      <c r="D5128" s="22">
        <f ca="1">IFERROR(__xludf.DUMMYFUNCTION("""COMPUTED_VALUE"""),0)</f>
        <v>0</v>
      </c>
      <c r="E5128" s="22">
        <f ca="1">IFERROR(__xludf.DUMMYFUNCTION("""COMPUTED_VALUE"""),500000)</f>
        <v>500000</v>
      </c>
      <c r="F5128" s="22">
        <f ca="1">IFERROR(__xludf.DUMMYFUNCTION("""COMPUTED_VALUE"""),500000)</f>
        <v>500000</v>
      </c>
      <c r="G5128" s="22">
        <f ca="1">IFERROR(__xludf.DUMMYFUNCTION("""COMPUTED_VALUE"""),0)</f>
        <v>0</v>
      </c>
      <c r="H5128" s="7">
        <f ca="1">IFERROR(__xludf.DUMMYFUNCTION("""COMPUTED_VALUE"""),500000)</f>
        <v>500000</v>
      </c>
    </row>
    <row r="5129" spans="1:8" ht="13" x14ac:dyDescent="0.15">
      <c r="A5129" s="5" t="str">
        <f ca="1">IFERROR(__xludf.DUMMYFUNCTION("""COMPUTED_VALUE"""),"89845")</f>
        <v>89845</v>
      </c>
      <c r="B5129" s="51">
        <f ca="1">IFERROR(__xludf.DUMMYFUNCTION("""COMPUTED_VALUE"""),44616)</f>
        <v>44616</v>
      </c>
      <c r="C5129" s="22">
        <f ca="1">IFERROR(__xludf.DUMMYFUNCTION("""COMPUTED_VALUE"""),500000)</f>
        <v>500000</v>
      </c>
      <c r="D5129" s="22">
        <f ca="1">IFERROR(__xludf.DUMMYFUNCTION("""COMPUTED_VALUE"""),0)</f>
        <v>0</v>
      </c>
      <c r="E5129" s="22">
        <f ca="1">IFERROR(__xludf.DUMMYFUNCTION("""COMPUTED_VALUE"""),500000)</f>
        <v>500000</v>
      </c>
      <c r="F5129" s="22">
        <f ca="1">IFERROR(__xludf.DUMMYFUNCTION("""COMPUTED_VALUE"""),500000)</f>
        <v>500000</v>
      </c>
      <c r="G5129" s="22">
        <f ca="1">IFERROR(__xludf.DUMMYFUNCTION("""COMPUTED_VALUE"""),0)</f>
        <v>0</v>
      </c>
      <c r="H5129" s="7">
        <f ca="1">IFERROR(__xludf.DUMMYFUNCTION("""COMPUTED_VALUE"""),500000)</f>
        <v>500000</v>
      </c>
    </row>
    <row r="5130" spans="1:8" ht="13" x14ac:dyDescent="0.15">
      <c r="A5130" s="5" t="str">
        <f ca="1">IFERROR(__xludf.DUMMYFUNCTION("""COMPUTED_VALUE"""),"89845")</f>
        <v>89845</v>
      </c>
      <c r="B5130" s="51">
        <f ca="1">IFERROR(__xludf.DUMMYFUNCTION("""COMPUTED_VALUE"""),44617)</f>
        <v>44617</v>
      </c>
      <c r="C5130" s="22">
        <f ca="1">IFERROR(__xludf.DUMMYFUNCTION("""COMPUTED_VALUE"""),500000)</f>
        <v>500000</v>
      </c>
      <c r="D5130" s="22">
        <f ca="1">IFERROR(__xludf.DUMMYFUNCTION("""COMPUTED_VALUE"""),0)</f>
        <v>0</v>
      </c>
      <c r="E5130" s="22">
        <f ca="1">IFERROR(__xludf.DUMMYFUNCTION("""COMPUTED_VALUE"""),500000)</f>
        <v>500000</v>
      </c>
      <c r="F5130" s="22">
        <f ca="1">IFERROR(__xludf.DUMMYFUNCTION("""COMPUTED_VALUE"""),500000)</f>
        <v>500000</v>
      </c>
      <c r="G5130" s="22">
        <f ca="1">IFERROR(__xludf.DUMMYFUNCTION("""COMPUTED_VALUE"""),0)</f>
        <v>0</v>
      </c>
      <c r="H5130" s="7">
        <f ca="1">IFERROR(__xludf.DUMMYFUNCTION("""COMPUTED_VALUE"""),500000)</f>
        <v>500000</v>
      </c>
    </row>
    <row r="5131" spans="1:8" ht="13" x14ac:dyDescent="0.15">
      <c r="A5131" s="5" t="str">
        <f ca="1">IFERROR(__xludf.DUMMYFUNCTION("""COMPUTED_VALUE"""),"89845")</f>
        <v>89845</v>
      </c>
      <c r="B5131" s="51">
        <f ca="1">IFERROR(__xludf.DUMMYFUNCTION("""COMPUTED_VALUE"""),44618)</f>
        <v>44618</v>
      </c>
      <c r="C5131" s="22">
        <f ca="1">IFERROR(__xludf.DUMMYFUNCTION("""COMPUTED_VALUE"""),500000)</f>
        <v>500000</v>
      </c>
      <c r="D5131" s="22">
        <f ca="1">IFERROR(__xludf.DUMMYFUNCTION("""COMPUTED_VALUE"""),0)</f>
        <v>0</v>
      </c>
      <c r="E5131" s="22">
        <f ca="1">IFERROR(__xludf.DUMMYFUNCTION("""COMPUTED_VALUE"""),500000)</f>
        <v>500000</v>
      </c>
      <c r="F5131" s="22">
        <f ca="1">IFERROR(__xludf.DUMMYFUNCTION("""COMPUTED_VALUE"""),500000)</f>
        <v>500000</v>
      </c>
      <c r="G5131" s="22">
        <f ca="1">IFERROR(__xludf.DUMMYFUNCTION("""COMPUTED_VALUE"""),0)</f>
        <v>0</v>
      </c>
      <c r="H5131" s="7">
        <f ca="1">IFERROR(__xludf.DUMMYFUNCTION("""COMPUTED_VALUE"""),500000)</f>
        <v>500000</v>
      </c>
    </row>
    <row r="5132" spans="1:8" ht="13" x14ac:dyDescent="0.15">
      <c r="A5132" s="5" t="str">
        <f ca="1">IFERROR(__xludf.DUMMYFUNCTION("""COMPUTED_VALUE"""),"89845")</f>
        <v>89845</v>
      </c>
      <c r="B5132" s="51">
        <f ca="1">IFERROR(__xludf.DUMMYFUNCTION("""COMPUTED_VALUE"""),44619)</f>
        <v>44619</v>
      </c>
      <c r="C5132" s="22">
        <f ca="1">IFERROR(__xludf.DUMMYFUNCTION("""COMPUTED_VALUE"""),500000)</f>
        <v>500000</v>
      </c>
      <c r="D5132" s="22">
        <f ca="1">IFERROR(__xludf.DUMMYFUNCTION("""COMPUTED_VALUE"""),0)</f>
        <v>0</v>
      </c>
      <c r="E5132" s="22">
        <f ca="1">IFERROR(__xludf.DUMMYFUNCTION("""COMPUTED_VALUE"""),500000)</f>
        <v>500000</v>
      </c>
      <c r="F5132" s="22">
        <f ca="1">IFERROR(__xludf.DUMMYFUNCTION("""COMPUTED_VALUE"""),500000)</f>
        <v>500000</v>
      </c>
      <c r="G5132" s="22">
        <f ca="1">IFERROR(__xludf.DUMMYFUNCTION("""COMPUTED_VALUE"""),0)</f>
        <v>0</v>
      </c>
      <c r="H5132" s="7">
        <f ca="1">IFERROR(__xludf.DUMMYFUNCTION("""COMPUTED_VALUE"""),500000)</f>
        <v>500000</v>
      </c>
    </row>
    <row r="5133" spans="1:8" ht="13" x14ac:dyDescent="0.15">
      <c r="A5133" s="5" t="str">
        <f ca="1">IFERROR(__xludf.DUMMYFUNCTION("""COMPUTED_VALUE"""),"89845")</f>
        <v>89845</v>
      </c>
      <c r="B5133" s="51">
        <f ca="1">IFERROR(__xludf.DUMMYFUNCTION("""COMPUTED_VALUE"""),44620)</f>
        <v>44620</v>
      </c>
      <c r="C5133" s="22">
        <f ca="1">IFERROR(__xludf.DUMMYFUNCTION("""COMPUTED_VALUE"""),500000)</f>
        <v>500000</v>
      </c>
      <c r="D5133" s="22">
        <f ca="1">IFERROR(__xludf.DUMMYFUNCTION("""COMPUTED_VALUE"""),0)</f>
        <v>0</v>
      </c>
      <c r="E5133" s="22">
        <f ca="1">IFERROR(__xludf.DUMMYFUNCTION("""COMPUTED_VALUE"""),500000)</f>
        <v>500000</v>
      </c>
      <c r="F5133" s="22">
        <f ca="1">IFERROR(__xludf.DUMMYFUNCTION("""COMPUTED_VALUE"""),500000)</f>
        <v>500000</v>
      </c>
      <c r="G5133" s="22">
        <f ca="1">IFERROR(__xludf.DUMMYFUNCTION("""COMPUTED_VALUE"""),0)</f>
        <v>0</v>
      </c>
      <c r="H5133" s="7">
        <f ca="1">IFERROR(__xludf.DUMMYFUNCTION("""COMPUTED_VALUE"""),500000)</f>
        <v>500000</v>
      </c>
    </row>
    <row r="5134" spans="1:8" ht="13" x14ac:dyDescent="0.15">
      <c r="A5134" s="5" t="str">
        <f ca="1">IFERROR(__xludf.DUMMYFUNCTION("""COMPUTED_VALUE"""),"89845")</f>
        <v>89845</v>
      </c>
      <c r="B5134" s="51">
        <f ca="1">IFERROR(__xludf.DUMMYFUNCTION("""COMPUTED_VALUE"""),44621)</f>
        <v>44621</v>
      </c>
      <c r="C5134" s="22">
        <f ca="1">IFERROR(__xludf.DUMMYFUNCTION("""COMPUTED_VALUE"""),500000)</f>
        <v>500000</v>
      </c>
      <c r="D5134" s="22">
        <f ca="1">IFERROR(__xludf.DUMMYFUNCTION("""COMPUTED_VALUE"""),0)</f>
        <v>0</v>
      </c>
      <c r="E5134" s="22">
        <f ca="1">IFERROR(__xludf.DUMMYFUNCTION("""COMPUTED_VALUE"""),500000)</f>
        <v>500000</v>
      </c>
      <c r="F5134" s="22">
        <f ca="1">IFERROR(__xludf.DUMMYFUNCTION("""COMPUTED_VALUE"""),500000)</f>
        <v>500000</v>
      </c>
      <c r="G5134" s="22">
        <f ca="1">IFERROR(__xludf.DUMMYFUNCTION("""COMPUTED_VALUE"""),0)</f>
        <v>0</v>
      </c>
      <c r="H5134" s="7">
        <f ca="1">IFERROR(__xludf.DUMMYFUNCTION("""COMPUTED_VALUE"""),500000)</f>
        <v>500000</v>
      </c>
    </row>
    <row r="5135" spans="1:8" ht="13" x14ac:dyDescent="0.15">
      <c r="A5135" s="5" t="str">
        <f ca="1">IFERROR(__xludf.DUMMYFUNCTION("""COMPUTED_VALUE"""),"89845")</f>
        <v>89845</v>
      </c>
      <c r="B5135" s="51">
        <f ca="1">IFERROR(__xludf.DUMMYFUNCTION("""COMPUTED_VALUE"""),44622)</f>
        <v>44622</v>
      </c>
      <c r="C5135" s="22">
        <f ca="1">IFERROR(__xludf.DUMMYFUNCTION("""COMPUTED_VALUE"""),500000)</f>
        <v>500000</v>
      </c>
      <c r="D5135" s="22">
        <f ca="1">IFERROR(__xludf.DUMMYFUNCTION("""COMPUTED_VALUE"""),0)</f>
        <v>0</v>
      </c>
      <c r="E5135" s="22">
        <f ca="1">IFERROR(__xludf.DUMMYFUNCTION("""COMPUTED_VALUE"""),500000)</f>
        <v>500000</v>
      </c>
      <c r="F5135" s="22">
        <f ca="1">IFERROR(__xludf.DUMMYFUNCTION("""COMPUTED_VALUE"""),500000)</f>
        <v>500000</v>
      </c>
      <c r="G5135" s="22">
        <f ca="1">IFERROR(__xludf.DUMMYFUNCTION("""COMPUTED_VALUE"""),0)</f>
        <v>0</v>
      </c>
      <c r="H5135" s="7">
        <f ca="1">IFERROR(__xludf.DUMMYFUNCTION("""COMPUTED_VALUE"""),500000)</f>
        <v>500000</v>
      </c>
    </row>
    <row r="5136" spans="1:8" ht="13" x14ac:dyDescent="0.15">
      <c r="A5136" s="5" t="str">
        <f ca="1">IFERROR(__xludf.DUMMYFUNCTION("""COMPUTED_VALUE"""),"89845")</f>
        <v>89845</v>
      </c>
      <c r="B5136" s="51">
        <f ca="1">IFERROR(__xludf.DUMMYFUNCTION("""COMPUTED_VALUE"""),44623)</f>
        <v>44623</v>
      </c>
      <c r="C5136" s="22">
        <f ca="1">IFERROR(__xludf.DUMMYFUNCTION("""COMPUTED_VALUE"""),500000)</f>
        <v>500000</v>
      </c>
      <c r="D5136" s="22">
        <f ca="1">IFERROR(__xludf.DUMMYFUNCTION("""COMPUTED_VALUE"""),0)</f>
        <v>0</v>
      </c>
      <c r="E5136" s="22">
        <f ca="1">IFERROR(__xludf.DUMMYFUNCTION("""COMPUTED_VALUE"""),500000)</f>
        <v>500000</v>
      </c>
      <c r="F5136" s="22">
        <f ca="1">IFERROR(__xludf.DUMMYFUNCTION("""COMPUTED_VALUE"""),500000)</f>
        <v>500000</v>
      </c>
      <c r="G5136" s="22">
        <f ca="1">IFERROR(__xludf.DUMMYFUNCTION("""COMPUTED_VALUE"""),0)</f>
        <v>0</v>
      </c>
      <c r="H5136" s="7">
        <f ca="1">IFERROR(__xludf.DUMMYFUNCTION("""COMPUTED_VALUE"""),500000)</f>
        <v>500000</v>
      </c>
    </row>
    <row r="5137" spans="1:8" ht="13" x14ac:dyDescent="0.15">
      <c r="A5137" s="5" t="str">
        <f ca="1">IFERROR(__xludf.DUMMYFUNCTION("""COMPUTED_VALUE"""),"89845")</f>
        <v>89845</v>
      </c>
      <c r="B5137" s="51">
        <f ca="1">IFERROR(__xludf.DUMMYFUNCTION("""COMPUTED_VALUE"""),44624)</f>
        <v>44624</v>
      </c>
      <c r="C5137" s="22">
        <f ca="1">IFERROR(__xludf.DUMMYFUNCTION("""COMPUTED_VALUE"""),500000)</f>
        <v>500000</v>
      </c>
      <c r="D5137" s="22">
        <f ca="1">IFERROR(__xludf.DUMMYFUNCTION("""COMPUTED_VALUE"""),0)</f>
        <v>0</v>
      </c>
      <c r="E5137" s="22">
        <f ca="1">IFERROR(__xludf.DUMMYFUNCTION("""COMPUTED_VALUE"""),500000)</f>
        <v>500000</v>
      </c>
      <c r="F5137" s="22">
        <f ca="1">IFERROR(__xludf.DUMMYFUNCTION("""COMPUTED_VALUE"""),500000)</f>
        <v>500000</v>
      </c>
      <c r="G5137" s="22">
        <f ca="1">IFERROR(__xludf.DUMMYFUNCTION("""COMPUTED_VALUE"""),0)</f>
        <v>0</v>
      </c>
      <c r="H5137" s="7">
        <f ca="1">IFERROR(__xludf.DUMMYFUNCTION("""COMPUTED_VALUE"""),500000)</f>
        <v>500000</v>
      </c>
    </row>
    <row r="5138" spans="1:8" ht="13" x14ac:dyDescent="0.15">
      <c r="A5138" s="5" t="str">
        <f ca="1">IFERROR(__xludf.DUMMYFUNCTION("""COMPUTED_VALUE"""),"89845")</f>
        <v>89845</v>
      </c>
      <c r="B5138" s="51">
        <f ca="1">IFERROR(__xludf.DUMMYFUNCTION("""COMPUTED_VALUE"""),44625)</f>
        <v>44625</v>
      </c>
      <c r="C5138" s="22">
        <f ca="1">IFERROR(__xludf.DUMMYFUNCTION("""COMPUTED_VALUE"""),500000)</f>
        <v>500000</v>
      </c>
      <c r="D5138" s="22">
        <f ca="1">IFERROR(__xludf.DUMMYFUNCTION("""COMPUTED_VALUE"""),0)</f>
        <v>0</v>
      </c>
      <c r="E5138" s="22">
        <f ca="1">IFERROR(__xludf.DUMMYFUNCTION("""COMPUTED_VALUE"""),500000)</f>
        <v>500000</v>
      </c>
      <c r="F5138" s="22">
        <f ca="1">IFERROR(__xludf.DUMMYFUNCTION("""COMPUTED_VALUE"""),500000)</f>
        <v>500000</v>
      </c>
      <c r="G5138" s="22">
        <f ca="1">IFERROR(__xludf.DUMMYFUNCTION("""COMPUTED_VALUE"""),0)</f>
        <v>0</v>
      </c>
      <c r="H5138" s="7">
        <f ca="1">IFERROR(__xludf.DUMMYFUNCTION("""COMPUTED_VALUE"""),500000)</f>
        <v>500000</v>
      </c>
    </row>
    <row r="5139" spans="1:8" ht="13" x14ac:dyDescent="0.15">
      <c r="A5139" s="5" t="str">
        <f ca="1">IFERROR(__xludf.DUMMYFUNCTION("""COMPUTED_VALUE"""),"89845")</f>
        <v>89845</v>
      </c>
      <c r="B5139" s="51">
        <f ca="1">IFERROR(__xludf.DUMMYFUNCTION("""COMPUTED_VALUE"""),44626)</f>
        <v>44626</v>
      </c>
      <c r="C5139" s="22">
        <f ca="1">IFERROR(__xludf.DUMMYFUNCTION("""COMPUTED_VALUE"""),500000)</f>
        <v>500000</v>
      </c>
      <c r="D5139" s="22">
        <f ca="1">IFERROR(__xludf.DUMMYFUNCTION("""COMPUTED_VALUE"""),0)</f>
        <v>0</v>
      </c>
      <c r="E5139" s="22">
        <f ca="1">IFERROR(__xludf.DUMMYFUNCTION("""COMPUTED_VALUE"""),500000)</f>
        <v>500000</v>
      </c>
      <c r="F5139" s="22">
        <f ca="1">IFERROR(__xludf.DUMMYFUNCTION("""COMPUTED_VALUE"""),500000)</f>
        <v>500000</v>
      </c>
      <c r="G5139" s="22">
        <f ca="1">IFERROR(__xludf.DUMMYFUNCTION("""COMPUTED_VALUE"""),0)</f>
        <v>0</v>
      </c>
      <c r="H5139" s="7">
        <f ca="1">IFERROR(__xludf.DUMMYFUNCTION("""COMPUTED_VALUE"""),500000)</f>
        <v>500000</v>
      </c>
    </row>
    <row r="5140" spans="1:8" ht="13" x14ac:dyDescent="0.15">
      <c r="A5140" s="5" t="str">
        <f ca="1">IFERROR(__xludf.DUMMYFUNCTION("""COMPUTED_VALUE"""),"89845")</f>
        <v>89845</v>
      </c>
      <c r="B5140" s="51">
        <f ca="1">IFERROR(__xludf.DUMMYFUNCTION("""COMPUTED_VALUE"""),44627)</f>
        <v>44627</v>
      </c>
      <c r="C5140" s="22">
        <f ca="1">IFERROR(__xludf.DUMMYFUNCTION("""COMPUTED_VALUE"""),500000)</f>
        <v>500000</v>
      </c>
      <c r="D5140" s="22">
        <f ca="1">IFERROR(__xludf.DUMMYFUNCTION("""COMPUTED_VALUE"""),0)</f>
        <v>0</v>
      </c>
      <c r="E5140" s="22">
        <f ca="1">IFERROR(__xludf.DUMMYFUNCTION("""COMPUTED_VALUE"""),500000)</f>
        <v>500000</v>
      </c>
      <c r="F5140" s="22">
        <f ca="1">IFERROR(__xludf.DUMMYFUNCTION("""COMPUTED_VALUE"""),500000)</f>
        <v>500000</v>
      </c>
      <c r="G5140" s="22">
        <f ca="1">IFERROR(__xludf.DUMMYFUNCTION("""COMPUTED_VALUE"""),0)</f>
        <v>0</v>
      </c>
      <c r="H5140" s="7">
        <f ca="1">IFERROR(__xludf.DUMMYFUNCTION("""COMPUTED_VALUE"""),500000)</f>
        <v>500000</v>
      </c>
    </row>
    <row r="5141" spans="1:8" ht="13" x14ac:dyDescent="0.15">
      <c r="A5141" s="5" t="str">
        <f ca="1">IFERROR(__xludf.DUMMYFUNCTION("""COMPUTED_VALUE"""),"89845")</f>
        <v>89845</v>
      </c>
      <c r="B5141" s="51">
        <f ca="1">IFERROR(__xludf.DUMMYFUNCTION("""COMPUTED_VALUE"""),44628)</f>
        <v>44628</v>
      </c>
      <c r="C5141" s="22">
        <f ca="1">IFERROR(__xludf.DUMMYFUNCTION("""COMPUTED_VALUE"""),500000)</f>
        <v>500000</v>
      </c>
      <c r="D5141" s="22">
        <f ca="1">IFERROR(__xludf.DUMMYFUNCTION("""COMPUTED_VALUE"""),0)</f>
        <v>0</v>
      </c>
      <c r="E5141" s="22">
        <f ca="1">IFERROR(__xludf.DUMMYFUNCTION("""COMPUTED_VALUE"""),500000)</f>
        <v>500000</v>
      </c>
      <c r="F5141" s="22">
        <f ca="1">IFERROR(__xludf.DUMMYFUNCTION("""COMPUTED_VALUE"""),500000)</f>
        <v>500000</v>
      </c>
      <c r="G5141" s="22">
        <f ca="1">IFERROR(__xludf.DUMMYFUNCTION("""COMPUTED_VALUE"""),0)</f>
        <v>0</v>
      </c>
      <c r="H5141" s="7">
        <f ca="1">IFERROR(__xludf.DUMMYFUNCTION("""COMPUTED_VALUE"""),500000)</f>
        <v>500000</v>
      </c>
    </row>
    <row r="5142" spans="1:8" ht="13" x14ac:dyDescent="0.15">
      <c r="A5142" s="5" t="str">
        <f ca="1">IFERROR(__xludf.DUMMYFUNCTION("""COMPUTED_VALUE"""),"89845")</f>
        <v>89845</v>
      </c>
      <c r="B5142" s="51">
        <f ca="1">IFERROR(__xludf.DUMMYFUNCTION("""COMPUTED_VALUE"""),44629)</f>
        <v>44629</v>
      </c>
      <c r="C5142" s="22">
        <f ca="1">IFERROR(__xludf.DUMMYFUNCTION("""COMPUTED_VALUE"""),500000)</f>
        <v>500000</v>
      </c>
      <c r="D5142" s="22">
        <f ca="1">IFERROR(__xludf.DUMMYFUNCTION("""COMPUTED_VALUE"""),0)</f>
        <v>0</v>
      </c>
      <c r="E5142" s="22">
        <f ca="1">IFERROR(__xludf.DUMMYFUNCTION("""COMPUTED_VALUE"""),500000)</f>
        <v>500000</v>
      </c>
      <c r="F5142" s="22">
        <f ca="1">IFERROR(__xludf.DUMMYFUNCTION("""COMPUTED_VALUE"""),500000)</f>
        <v>500000</v>
      </c>
      <c r="G5142" s="22">
        <f ca="1">IFERROR(__xludf.DUMMYFUNCTION("""COMPUTED_VALUE"""),0)</f>
        <v>0</v>
      </c>
      <c r="H5142" s="7">
        <f ca="1">IFERROR(__xludf.DUMMYFUNCTION("""COMPUTED_VALUE"""),500000)</f>
        <v>500000</v>
      </c>
    </row>
    <row r="5143" spans="1:8" ht="13" x14ac:dyDescent="0.15">
      <c r="A5143" s="5" t="str">
        <f ca="1">IFERROR(__xludf.DUMMYFUNCTION("""COMPUTED_VALUE"""),"89845")</f>
        <v>89845</v>
      </c>
      <c r="B5143" s="51">
        <f ca="1">IFERROR(__xludf.DUMMYFUNCTION("""COMPUTED_VALUE"""),44630)</f>
        <v>44630</v>
      </c>
      <c r="C5143" s="22">
        <f ca="1">IFERROR(__xludf.DUMMYFUNCTION("""COMPUTED_VALUE"""),500000)</f>
        <v>500000</v>
      </c>
      <c r="D5143" s="22">
        <f ca="1">IFERROR(__xludf.DUMMYFUNCTION("""COMPUTED_VALUE"""),0)</f>
        <v>0</v>
      </c>
      <c r="E5143" s="22">
        <f ca="1">IFERROR(__xludf.DUMMYFUNCTION("""COMPUTED_VALUE"""),500000)</f>
        <v>500000</v>
      </c>
      <c r="F5143" s="22">
        <f ca="1">IFERROR(__xludf.DUMMYFUNCTION("""COMPUTED_VALUE"""),500000)</f>
        <v>500000</v>
      </c>
      <c r="G5143" s="22">
        <f ca="1">IFERROR(__xludf.DUMMYFUNCTION("""COMPUTED_VALUE"""),0)</f>
        <v>0</v>
      </c>
      <c r="H5143" s="7">
        <f ca="1">IFERROR(__xludf.DUMMYFUNCTION("""COMPUTED_VALUE"""),500000)</f>
        <v>500000</v>
      </c>
    </row>
    <row r="5144" spans="1:8" ht="13" x14ac:dyDescent="0.15">
      <c r="A5144" s="5" t="str">
        <f ca="1">IFERROR(__xludf.DUMMYFUNCTION("""COMPUTED_VALUE"""),"89845")</f>
        <v>89845</v>
      </c>
      <c r="B5144" s="51">
        <f ca="1">IFERROR(__xludf.DUMMYFUNCTION("""COMPUTED_VALUE"""),44631)</f>
        <v>44631</v>
      </c>
      <c r="C5144" s="22">
        <f ca="1">IFERROR(__xludf.DUMMYFUNCTION("""COMPUTED_VALUE"""),500000)</f>
        <v>500000</v>
      </c>
      <c r="D5144" s="22">
        <f ca="1">IFERROR(__xludf.DUMMYFUNCTION("""COMPUTED_VALUE"""),0)</f>
        <v>0</v>
      </c>
      <c r="E5144" s="22">
        <f ca="1">IFERROR(__xludf.DUMMYFUNCTION("""COMPUTED_VALUE"""),500000)</f>
        <v>500000</v>
      </c>
      <c r="F5144" s="22">
        <f ca="1">IFERROR(__xludf.DUMMYFUNCTION("""COMPUTED_VALUE"""),500000)</f>
        <v>500000</v>
      </c>
      <c r="G5144" s="22">
        <f ca="1">IFERROR(__xludf.DUMMYFUNCTION("""COMPUTED_VALUE"""),0)</f>
        <v>0</v>
      </c>
      <c r="H5144" s="7">
        <f ca="1">IFERROR(__xludf.DUMMYFUNCTION("""COMPUTED_VALUE"""),500000)</f>
        <v>500000</v>
      </c>
    </row>
    <row r="5145" spans="1:8" ht="13" x14ac:dyDescent="0.15">
      <c r="A5145" s="5" t="str">
        <f ca="1">IFERROR(__xludf.DUMMYFUNCTION("""COMPUTED_VALUE"""),"89845")</f>
        <v>89845</v>
      </c>
      <c r="B5145" s="51">
        <f ca="1">IFERROR(__xludf.DUMMYFUNCTION("""COMPUTED_VALUE"""),44632)</f>
        <v>44632</v>
      </c>
      <c r="C5145" s="22">
        <f ca="1">IFERROR(__xludf.DUMMYFUNCTION("""COMPUTED_VALUE"""),500000)</f>
        <v>500000</v>
      </c>
      <c r="D5145" s="22">
        <f ca="1">IFERROR(__xludf.DUMMYFUNCTION("""COMPUTED_VALUE"""),0)</f>
        <v>0</v>
      </c>
      <c r="E5145" s="22">
        <f ca="1">IFERROR(__xludf.DUMMYFUNCTION("""COMPUTED_VALUE"""),500000)</f>
        <v>500000</v>
      </c>
      <c r="F5145" s="22">
        <f ca="1">IFERROR(__xludf.DUMMYFUNCTION("""COMPUTED_VALUE"""),500000)</f>
        <v>500000</v>
      </c>
      <c r="G5145" s="22">
        <f ca="1">IFERROR(__xludf.DUMMYFUNCTION("""COMPUTED_VALUE"""),0)</f>
        <v>0</v>
      </c>
      <c r="H5145" s="7">
        <f ca="1">IFERROR(__xludf.DUMMYFUNCTION("""COMPUTED_VALUE"""),500000)</f>
        <v>500000</v>
      </c>
    </row>
    <row r="5146" spans="1:8" ht="13" x14ac:dyDescent="0.15">
      <c r="A5146" s="5" t="str">
        <f ca="1">IFERROR(__xludf.DUMMYFUNCTION("""COMPUTED_VALUE"""),"89845")</f>
        <v>89845</v>
      </c>
      <c r="B5146" s="51">
        <f ca="1">IFERROR(__xludf.DUMMYFUNCTION("""COMPUTED_VALUE"""),44633)</f>
        <v>44633</v>
      </c>
      <c r="C5146" s="22">
        <f ca="1">IFERROR(__xludf.DUMMYFUNCTION("""COMPUTED_VALUE"""),500000)</f>
        <v>500000</v>
      </c>
      <c r="D5146" s="22">
        <f ca="1">IFERROR(__xludf.DUMMYFUNCTION("""COMPUTED_VALUE"""),0)</f>
        <v>0</v>
      </c>
      <c r="E5146" s="22">
        <f ca="1">IFERROR(__xludf.DUMMYFUNCTION("""COMPUTED_VALUE"""),500000)</f>
        <v>500000</v>
      </c>
      <c r="F5146" s="22">
        <f ca="1">IFERROR(__xludf.DUMMYFUNCTION("""COMPUTED_VALUE"""),500000)</f>
        <v>500000</v>
      </c>
      <c r="G5146" s="22">
        <f ca="1">IFERROR(__xludf.DUMMYFUNCTION("""COMPUTED_VALUE"""),0)</f>
        <v>0</v>
      </c>
      <c r="H5146" s="7">
        <f ca="1">IFERROR(__xludf.DUMMYFUNCTION("""COMPUTED_VALUE"""),500000)</f>
        <v>500000</v>
      </c>
    </row>
    <row r="5147" spans="1:8" ht="13" x14ac:dyDescent="0.15">
      <c r="A5147" s="5" t="str">
        <f ca="1">IFERROR(__xludf.DUMMYFUNCTION("""COMPUTED_VALUE"""),"89845")</f>
        <v>89845</v>
      </c>
      <c r="B5147" s="51">
        <f ca="1">IFERROR(__xludf.DUMMYFUNCTION("""COMPUTED_VALUE"""),44634)</f>
        <v>44634</v>
      </c>
      <c r="C5147" s="22">
        <f ca="1">IFERROR(__xludf.DUMMYFUNCTION("""COMPUTED_VALUE"""),500000)</f>
        <v>500000</v>
      </c>
      <c r="D5147" s="22">
        <f ca="1">IFERROR(__xludf.DUMMYFUNCTION("""COMPUTED_VALUE"""),0)</f>
        <v>0</v>
      </c>
      <c r="E5147" s="22">
        <f ca="1">IFERROR(__xludf.DUMMYFUNCTION("""COMPUTED_VALUE"""),500000)</f>
        <v>500000</v>
      </c>
      <c r="F5147" s="22">
        <f ca="1">IFERROR(__xludf.DUMMYFUNCTION("""COMPUTED_VALUE"""),500000)</f>
        <v>500000</v>
      </c>
      <c r="G5147" s="22">
        <f ca="1">IFERROR(__xludf.DUMMYFUNCTION("""COMPUTED_VALUE"""),0)</f>
        <v>0</v>
      </c>
      <c r="H5147" s="7">
        <f ca="1">IFERROR(__xludf.DUMMYFUNCTION("""COMPUTED_VALUE"""),500000)</f>
        <v>500000</v>
      </c>
    </row>
    <row r="5148" spans="1:8" ht="13" x14ac:dyDescent="0.15">
      <c r="A5148" s="5" t="str">
        <f ca="1">IFERROR(__xludf.DUMMYFUNCTION("""COMPUTED_VALUE"""),"89845")</f>
        <v>89845</v>
      </c>
      <c r="B5148" s="51">
        <f ca="1">IFERROR(__xludf.DUMMYFUNCTION("""COMPUTED_VALUE"""),44635)</f>
        <v>44635</v>
      </c>
      <c r="C5148" s="22">
        <f ca="1">IFERROR(__xludf.DUMMYFUNCTION("""COMPUTED_VALUE"""),500000)</f>
        <v>500000</v>
      </c>
      <c r="D5148" s="22">
        <f ca="1">IFERROR(__xludf.DUMMYFUNCTION("""COMPUTED_VALUE"""),0)</f>
        <v>0</v>
      </c>
      <c r="E5148" s="22">
        <f ca="1">IFERROR(__xludf.DUMMYFUNCTION("""COMPUTED_VALUE"""),500000)</f>
        <v>500000</v>
      </c>
      <c r="F5148" s="22">
        <f ca="1">IFERROR(__xludf.DUMMYFUNCTION("""COMPUTED_VALUE"""),500000)</f>
        <v>500000</v>
      </c>
      <c r="G5148" s="22">
        <f ca="1">IFERROR(__xludf.DUMMYFUNCTION("""COMPUTED_VALUE"""),0)</f>
        <v>0</v>
      </c>
      <c r="H5148" s="7">
        <f ca="1">IFERROR(__xludf.DUMMYFUNCTION("""COMPUTED_VALUE"""),500000)</f>
        <v>500000</v>
      </c>
    </row>
    <row r="5149" spans="1:8" ht="13" x14ac:dyDescent="0.15">
      <c r="A5149" s="5" t="str">
        <f ca="1">IFERROR(__xludf.DUMMYFUNCTION("""COMPUTED_VALUE"""),"89845")</f>
        <v>89845</v>
      </c>
      <c r="B5149" s="51">
        <f ca="1">IFERROR(__xludf.DUMMYFUNCTION("""COMPUTED_VALUE"""),44636)</f>
        <v>44636</v>
      </c>
      <c r="C5149" s="22">
        <f ca="1">IFERROR(__xludf.DUMMYFUNCTION("""COMPUTED_VALUE"""),500000)</f>
        <v>500000</v>
      </c>
      <c r="D5149" s="22">
        <f ca="1">IFERROR(__xludf.DUMMYFUNCTION("""COMPUTED_VALUE"""),0)</f>
        <v>0</v>
      </c>
      <c r="E5149" s="22">
        <f ca="1">IFERROR(__xludf.DUMMYFUNCTION("""COMPUTED_VALUE"""),500000)</f>
        <v>500000</v>
      </c>
      <c r="F5149" s="22">
        <f ca="1">IFERROR(__xludf.DUMMYFUNCTION("""COMPUTED_VALUE"""),500000)</f>
        <v>500000</v>
      </c>
      <c r="G5149" s="22">
        <f ca="1">IFERROR(__xludf.DUMMYFUNCTION("""COMPUTED_VALUE"""),0)</f>
        <v>0</v>
      </c>
      <c r="H5149" s="7">
        <f ca="1">IFERROR(__xludf.DUMMYFUNCTION("""COMPUTED_VALUE"""),500000)</f>
        <v>500000</v>
      </c>
    </row>
    <row r="5150" spans="1:8" ht="13" x14ac:dyDescent="0.15">
      <c r="A5150" s="5" t="str">
        <f ca="1">IFERROR(__xludf.DUMMYFUNCTION("""COMPUTED_VALUE"""),"89845")</f>
        <v>89845</v>
      </c>
      <c r="B5150" s="51">
        <f ca="1">IFERROR(__xludf.DUMMYFUNCTION("""COMPUTED_VALUE"""),44637)</f>
        <v>44637</v>
      </c>
      <c r="C5150" s="22">
        <f ca="1">IFERROR(__xludf.DUMMYFUNCTION("""COMPUTED_VALUE"""),500000)</f>
        <v>500000</v>
      </c>
      <c r="D5150" s="22">
        <f ca="1">IFERROR(__xludf.DUMMYFUNCTION("""COMPUTED_VALUE"""),0)</f>
        <v>0</v>
      </c>
      <c r="E5150" s="22">
        <f ca="1">IFERROR(__xludf.DUMMYFUNCTION("""COMPUTED_VALUE"""),500000)</f>
        <v>500000</v>
      </c>
      <c r="F5150" s="22">
        <f ca="1">IFERROR(__xludf.DUMMYFUNCTION("""COMPUTED_VALUE"""),500000)</f>
        <v>500000</v>
      </c>
      <c r="G5150" s="22">
        <f ca="1">IFERROR(__xludf.DUMMYFUNCTION("""COMPUTED_VALUE"""),0)</f>
        <v>0</v>
      </c>
      <c r="H5150" s="7">
        <f ca="1">IFERROR(__xludf.DUMMYFUNCTION("""COMPUTED_VALUE"""),500000)</f>
        <v>500000</v>
      </c>
    </row>
    <row r="5151" spans="1:8" ht="13" x14ac:dyDescent="0.15">
      <c r="A5151" s="5" t="str">
        <f ca="1">IFERROR(__xludf.DUMMYFUNCTION("""COMPUTED_VALUE"""),"89845")</f>
        <v>89845</v>
      </c>
      <c r="B5151" s="51">
        <f ca="1">IFERROR(__xludf.DUMMYFUNCTION("""COMPUTED_VALUE"""),44638)</f>
        <v>44638</v>
      </c>
      <c r="C5151" s="22">
        <f ca="1">IFERROR(__xludf.DUMMYFUNCTION("""COMPUTED_VALUE"""),500000)</f>
        <v>500000</v>
      </c>
      <c r="D5151" s="22">
        <f ca="1">IFERROR(__xludf.DUMMYFUNCTION("""COMPUTED_VALUE"""),0)</f>
        <v>0</v>
      </c>
      <c r="E5151" s="22">
        <f ca="1">IFERROR(__xludf.DUMMYFUNCTION("""COMPUTED_VALUE"""),500000)</f>
        <v>500000</v>
      </c>
      <c r="F5151" s="22">
        <f ca="1">IFERROR(__xludf.DUMMYFUNCTION("""COMPUTED_VALUE"""),500000)</f>
        <v>500000</v>
      </c>
      <c r="G5151" s="22">
        <f ca="1">IFERROR(__xludf.DUMMYFUNCTION("""COMPUTED_VALUE"""),0)</f>
        <v>0</v>
      </c>
      <c r="H5151" s="7">
        <f ca="1">IFERROR(__xludf.DUMMYFUNCTION("""COMPUTED_VALUE"""),500000)</f>
        <v>500000</v>
      </c>
    </row>
    <row r="5152" spans="1:8" ht="13" x14ac:dyDescent="0.15">
      <c r="A5152" s="5" t="str">
        <f ca="1">IFERROR(__xludf.DUMMYFUNCTION("""COMPUTED_VALUE"""),"89845")</f>
        <v>89845</v>
      </c>
      <c r="B5152" s="51">
        <f ca="1">IFERROR(__xludf.DUMMYFUNCTION("""COMPUTED_VALUE"""),44639)</f>
        <v>44639</v>
      </c>
      <c r="C5152" s="22">
        <f ca="1">IFERROR(__xludf.DUMMYFUNCTION("""COMPUTED_VALUE"""),500000)</f>
        <v>500000</v>
      </c>
      <c r="D5152" s="22">
        <f ca="1">IFERROR(__xludf.DUMMYFUNCTION("""COMPUTED_VALUE"""),0)</f>
        <v>0</v>
      </c>
      <c r="E5152" s="22">
        <f ca="1">IFERROR(__xludf.DUMMYFUNCTION("""COMPUTED_VALUE"""),500000)</f>
        <v>500000</v>
      </c>
      <c r="F5152" s="22">
        <f ca="1">IFERROR(__xludf.DUMMYFUNCTION("""COMPUTED_VALUE"""),500000)</f>
        <v>500000</v>
      </c>
      <c r="G5152" s="22">
        <f ca="1">IFERROR(__xludf.DUMMYFUNCTION("""COMPUTED_VALUE"""),0)</f>
        <v>0</v>
      </c>
      <c r="H5152" s="7">
        <f ca="1">IFERROR(__xludf.DUMMYFUNCTION("""COMPUTED_VALUE"""),500000)</f>
        <v>500000</v>
      </c>
    </row>
    <row r="5153" spans="1:8" ht="13" x14ac:dyDescent="0.15">
      <c r="A5153" s="5" t="str">
        <f ca="1">IFERROR(__xludf.DUMMYFUNCTION("""COMPUTED_VALUE"""),"89845")</f>
        <v>89845</v>
      </c>
      <c r="B5153" s="51">
        <f ca="1">IFERROR(__xludf.DUMMYFUNCTION("""COMPUTED_VALUE"""),44640)</f>
        <v>44640</v>
      </c>
      <c r="C5153" s="22">
        <f ca="1">IFERROR(__xludf.DUMMYFUNCTION("""COMPUTED_VALUE"""),500000)</f>
        <v>500000</v>
      </c>
      <c r="D5153" s="22">
        <f ca="1">IFERROR(__xludf.DUMMYFUNCTION("""COMPUTED_VALUE"""),0)</f>
        <v>0</v>
      </c>
      <c r="E5153" s="22">
        <f ca="1">IFERROR(__xludf.DUMMYFUNCTION("""COMPUTED_VALUE"""),500000)</f>
        <v>500000</v>
      </c>
      <c r="F5153" s="22">
        <f ca="1">IFERROR(__xludf.DUMMYFUNCTION("""COMPUTED_VALUE"""),500000)</f>
        <v>500000</v>
      </c>
      <c r="G5153" s="22">
        <f ca="1">IFERROR(__xludf.DUMMYFUNCTION("""COMPUTED_VALUE"""),0)</f>
        <v>0</v>
      </c>
      <c r="H5153" s="7">
        <f ca="1">IFERROR(__xludf.DUMMYFUNCTION("""COMPUTED_VALUE"""),500000)</f>
        <v>500000</v>
      </c>
    </row>
    <row r="5154" spans="1:8" ht="13" x14ac:dyDescent="0.15">
      <c r="A5154" s="5" t="str">
        <f ca="1">IFERROR(__xludf.DUMMYFUNCTION("""COMPUTED_VALUE"""),"89845")</f>
        <v>89845</v>
      </c>
      <c r="B5154" s="51">
        <f ca="1">IFERROR(__xludf.DUMMYFUNCTION("""COMPUTED_VALUE"""),44641)</f>
        <v>44641</v>
      </c>
      <c r="C5154" s="22">
        <f ca="1">IFERROR(__xludf.DUMMYFUNCTION("""COMPUTED_VALUE"""),500000)</f>
        <v>500000</v>
      </c>
      <c r="D5154" s="22">
        <f ca="1">IFERROR(__xludf.DUMMYFUNCTION("""COMPUTED_VALUE"""),0)</f>
        <v>0</v>
      </c>
      <c r="E5154" s="22">
        <f ca="1">IFERROR(__xludf.DUMMYFUNCTION("""COMPUTED_VALUE"""),500000)</f>
        <v>500000</v>
      </c>
      <c r="F5154" s="22">
        <f ca="1">IFERROR(__xludf.DUMMYFUNCTION("""COMPUTED_VALUE"""),500000)</f>
        <v>500000</v>
      </c>
      <c r="G5154" s="22">
        <f ca="1">IFERROR(__xludf.DUMMYFUNCTION("""COMPUTED_VALUE"""),0)</f>
        <v>0</v>
      </c>
      <c r="H5154" s="7">
        <f ca="1">IFERROR(__xludf.DUMMYFUNCTION("""COMPUTED_VALUE"""),500000)</f>
        <v>500000</v>
      </c>
    </row>
    <row r="5155" spans="1:8" ht="13" x14ac:dyDescent="0.15">
      <c r="A5155" s="5" t="str">
        <f ca="1">IFERROR(__xludf.DUMMYFUNCTION("""COMPUTED_VALUE"""),"89845")</f>
        <v>89845</v>
      </c>
      <c r="B5155" s="51">
        <f ca="1">IFERROR(__xludf.DUMMYFUNCTION("""COMPUTED_VALUE"""),44642)</f>
        <v>44642</v>
      </c>
      <c r="C5155" s="22">
        <f ca="1">IFERROR(__xludf.DUMMYFUNCTION("""COMPUTED_VALUE"""),500000)</f>
        <v>500000</v>
      </c>
      <c r="D5155" s="22">
        <f ca="1">IFERROR(__xludf.DUMMYFUNCTION("""COMPUTED_VALUE"""),0)</f>
        <v>0</v>
      </c>
      <c r="E5155" s="22">
        <f ca="1">IFERROR(__xludf.DUMMYFUNCTION("""COMPUTED_VALUE"""),500000)</f>
        <v>500000</v>
      </c>
      <c r="F5155" s="22">
        <f ca="1">IFERROR(__xludf.DUMMYFUNCTION("""COMPUTED_VALUE"""),500000)</f>
        <v>500000</v>
      </c>
      <c r="G5155" s="22">
        <f ca="1">IFERROR(__xludf.DUMMYFUNCTION("""COMPUTED_VALUE"""),0)</f>
        <v>0</v>
      </c>
      <c r="H5155" s="7">
        <f ca="1">IFERROR(__xludf.DUMMYFUNCTION("""COMPUTED_VALUE"""),500000)</f>
        <v>500000</v>
      </c>
    </row>
    <row r="5156" spans="1:8" ht="13" x14ac:dyDescent="0.15">
      <c r="A5156" s="5" t="str">
        <f ca="1">IFERROR(__xludf.DUMMYFUNCTION("""COMPUTED_VALUE"""),"95516")</f>
        <v>95516</v>
      </c>
      <c r="B5156" s="51">
        <f ca="1">IFERROR(__xludf.DUMMYFUNCTION("""COMPUTED_VALUE"""),44597)</f>
        <v>44597</v>
      </c>
      <c r="C5156" s="22">
        <f ca="1">IFERROR(__xludf.DUMMYFUNCTION("""COMPUTED_VALUE"""),500000)</f>
        <v>500000</v>
      </c>
      <c r="D5156" s="22">
        <f ca="1">IFERROR(__xludf.DUMMYFUNCTION("""COMPUTED_VALUE"""),0)</f>
        <v>0</v>
      </c>
      <c r="E5156" s="22">
        <f ca="1">IFERROR(__xludf.DUMMYFUNCTION("""COMPUTED_VALUE"""),500000)</f>
        <v>500000</v>
      </c>
      <c r="F5156" s="22">
        <f ca="1">IFERROR(__xludf.DUMMYFUNCTION("""COMPUTED_VALUE"""),500000)</f>
        <v>500000</v>
      </c>
      <c r="G5156" s="22">
        <f ca="1">IFERROR(__xludf.DUMMYFUNCTION("""COMPUTED_VALUE"""),0)</f>
        <v>0</v>
      </c>
      <c r="H5156" s="7">
        <f ca="1">IFERROR(__xludf.DUMMYFUNCTION("""COMPUTED_VALUE"""),500000)</f>
        <v>500000</v>
      </c>
    </row>
    <row r="5157" spans="1:8" ht="13" x14ac:dyDescent="0.15">
      <c r="A5157" s="5" t="str">
        <f ca="1">IFERROR(__xludf.DUMMYFUNCTION("""COMPUTED_VALUE"""),"95516")</f>
        <v>95516</v>
      </c>
      <c r="B5157" s="51">
        <f ca="1">IFERROR(__xludf.DUMMYFUNCTION("""COMPUTED_VALUE"""),44598)</f>
        <v>44598</v>
      </c>
      <c r="C5157" s="22">
        <f ca="1">IFERROR(__xludf.DUMMYFUNCTION("""COMPUTED_VALUE"""),500000)</f>
        <v>500000</v>
      </c>
      <c r="D5157" s="22">
        <f ca="1">IFERROR(__xludf.DUMMYFUNCTION("""COMPUTED_VALUE"""),0)</f>
        <v>0</v>
      </c>
      <c r="E5157" s="22">
        <f ca="1">IFERROR(__xludf.DUMMYFUNCTION("""COMPUTED_VALUE"""),500000)</f>
        <v>500000</v>
      </c>
      <c r="F5157" s="22">
        <f ca="1">IFERROR(__xludf.DUMMYFUNCTION("""COMPUTED_VALUE"""),500000)</f>
        <v>500000</v>
      </c>
      <c r="G5157" s="22">
        <f ca="1">IFERROR(__xludf.DUMMYFUNCTION("""COMPUTED_VALUE"""),0)</f>
        <v>0</v>
      </c>
      <c r="H5157" s="7">
        <f ca="1">IFERROR(__xludf.DUMMYFUNCTION("""COMPUTED_VALUE"""),500000)</f>
        <v>500000</v>
      </c>
    </row>
    <row r="5158" spans="1:8" ht="13" x14ac:dyDescent="0.15">
      <c r="A5158" s="5" t="str">
        <f ca="1">IFERROR(__xludf.DUMMYFUNCTION("""COMPUTED_VALUE"""),"95516")</f>
        <v>95516</v>
      </c>
      <c r="B5158" s="51">
        <f ca="1">IFERROR(__xludf.DUMMYFUNCTION("""COMPUTED_VALUE"""),44599)</f>
        <v>44599</v>
      </c>
      <c r="C5158" s="22">
        <f ca="1">IFERROR(__xludf.DUMMYFUNCTION("""COMPUTED_VALUE"""),500000)</f>
        <v>500000</v>
      </c>
      <c r="D5158" s="22">
        <f ca="1">IFERROR(__xludf.DUMMYFUNCTION("""COMPUTED_VALUE"""),0)</f>
        <v>0</v>
      </c>
      <c r="E5158" s="22">
        <f ca="1">IFERROR(__xludf.DUMMYFUNCTION("""COMPUTED_VALUE"""),500000)</f>
        <v>500000</v>
      </c>
      <c r="F5158" s="22">
        <f ca="1">IFERROR(__xludf.DUMMYFUNCTION("""COMPUTED_VALUE"""),500000)</f>
        <v>500000</v>
      </c>
      <c r="G5158" s="22">
        <f ca="1">IFERROR(__xludf.DUMMYFUNCTION("""COMPUTED_VALUE"""),0)</f>
        <v>0</v>
      </c>
      <c r="H5158" s="7">
        <f ca="1">IFERROR(__xludf.DUMMYFUNCTION("""COMPUTED_VALUE"""),500000)</f>
        <v>500000</v>
      </c>
    </row>
    <row r="5159" spans="1:8" ht="13" x14ac:dyDescent="0.15">
      <c r="A5159" s="5" t="str">
        <f ca="1">IFERROR(__xludf.DUMMYFUNCTION("""COMPUTED_VALUE"""),"95516")</f>
        <v>95516</v>
      </c>
      <c r="B5159" s="51">
        <f ca="1">IFERROR(__xludf.DUMMYFUNCTION("""COMPUTED_VALUE"""),44600)</f>
        <v>44600</v>
      </c>
      <c r="C5159" s="22">
        <f ca="1">IFERROR(__xludf.DUMMYFUNCTION("""COMPUTED_VALUE"""),500000)</f>
        <v>500000</v>
      </c>
      <c r="D5159" s="22">
        <f ca="1">IFERROR(__xludf.DUMMYFUNCTION("""COMPUTED_VALUE"""),0)</f>
        <v>0</v>
      </c>
      <c r="E5159" s="22">
        <f ca="1">IFERROR(__xludf.DUMMYFUNCTION("""COMPUTED_VALUE"""),500000)</f>
        <v>500000</v>
      </c>
      <c r="F5159" s="22">
        <f ca="1">IFERROR(__xludf.DUMMYFUNCTION("""COMPUTED_VALUE"""),500000)</f>
        <v>500000</v>
      </c>
      <c r="G5159" s="22">
        <f ca="1">IFERROR(__xludf.DUMMYFUNCTION("""COMPUTED_VALUE"""),0)</f>
        <v>0</v>
      </c>
      <c r="H5159" s="7">
        <f ca="1">IFERROR(__xludf.DUMMYFUNCTION("""COMPUTED_VALUE"""),500000)</f>
        <v>500000</v>
      </c>
    </row>
    <row r="5160" spans="1:8" ht="13" x14ac:dyDescent="0.15">
      <c r="A5160" s="5" t="str">
        <f ca="1">IFERROR(__xludf.DUMMYFUNCTION("""COMPUTED_VALUE"""),"95516")</f>
        <v>95516</v>
      </c>
      <c r="B5160" s="51">
        <f ca="1">IFERROR(__xludf.DUMMYFUNCTION("""COMPUTED_VALUE"""),44601)</f>
        <v>44601</v>
      </c>
      <c r="C5160" s="22">
        <f ca="1">IFERROR(__xludf.DUMMYFUNCTION("""COMPUTED_VALUE"""),500000)</f>
        <v>500000</v>
      </c>
      <c r="D5160" s="22">
        <f ca="1">IFERROR(__xludf.DUMMYFUNCTION("""COMPUTED_VALUE"""),0)</f>
        <v>0</v>
      </c>
      <c r="E5160" s="22">
        <f ca="1">IFERROR(__xludf.DUMMYFUNCTION("""COMPUTED_VALUE"""),500000)</f>
        <v>500000</v>
      </c>
      <c r="F5160" s="22">
        <f ca="1">IFERROR(__xludf.DUMMYFUNCTION("""COMPUTED_VALUE"""),500000)</f>
        <v>500000</v>
      </c>
      <c r="G5160" s="22">
        <f ca="1">IFERROR(__xludf.DUMMYFUNCTION("""COMPUTED_VALUE"""),0)</f>
        <v>0</v>
      </c>
      <c r="H5160" s="7">
        <f ca="1">IFERROR(__xludf.DUMMYFUNCTION("""COMPUTED_VALUE"""),500000)</f>
        <v>500000</v>
      </c>
    </row>
    <row r="5161" spans="1:8" ht="13" x14ac:dyDescent="0.15">
      <c r="A5161" s="5" t="str">
        <f ca="1">IFERROR(__xludf.DUMMYFUNCTION("""COMPUTED_VALUE"""),"95516")</f>
        <v>95516</v>
      </c>
      <c r="B5161" s="51">
        <f ca="1">IFERROR(__xludf.DUMMYFUNCTION("""COMPUTED_VALUE"""),44602)</f>
        <v>44602</v>
      </c>
      <c r="C5161" s="22">
        <f ca="1">IFERROR(__xludf.DUMMYFUNCTION("""COMPUTED_VALUE"""),500000)</f>
        <v>500000</v>
      </c>
      <c r="D5161" s="22">
        <f ca="1">IFERROR(__xludf.DUMMYFUNCTION("""COMPUTED_VALUE"""),0)</f>
        <v>0</v>
      </c>
      <c r="E5161" s="22">
        <f ca="1">IFERROR(__xludf.DUMMYFUNCTION("""COMPUTED_VALUE"""),500000)</f>
        <v>500000</v>
      </c>
      <c r="F5161" s="22">
        <f ca="1">IFERROR(__xludf.DUMMYFUNCTION("""COMPUTED_VALUE"""),500000)</f>
        <v>500000</v>
      </c>
      <c r="G5161" s="22">
        <f ca="1">IFERROR(__xludf.DUMMYFUNCTION("""COMPUTED_VALUE"""),0)</f>
        <v>0</v>
      </c>
      <c r="H5161" s="7">
        <f ca="1">IFERROR(__xludf.DUMMYFUNCTION("""COMPUTED_VALUE"""),500000)</f>
        <v>500000</v>
      </c>
    </row>
    <row r="5162" spans="1:8" ht="13" x14ac:dyDescent="0.15">
      <c r="A5162" s="5" t="str">
        <f ca="1">IFERROR(__xludf.DUMMYFUNCTION("""COMPUTED_VALUE"""),"95516")</f>
        <v>95516</v>
      </c>
      <c r="B5162" s="51">
        <f ca="1">IFERROR(__xludf.DUMMYFUNCTION("""COMPUTED_VALUE"""),44603)</f>
        <v>44603</v>
      </c>
      <c r="C5162" s="22">
        <f ca="1">IFERROR(__xludf.DUMMYFUNCTION("""COMPUTED_VALUE"""),500000)</f>
        <v>500000</v>
      </c>
      <c r="D5162" s="22">
        <f ca="1">IFERROR(__xludf.DUMMYFUNCTION("""COMPUTED_VALUE"""),0)</f>
        <v>0</v>
      </c>
      <c r="E5162" s="22">
        <f ca="1">IFERROR(__xludf.DUMMYFUNCTION("""COMPUTED_VALUE"""),500000)</f>
        <v>500000</v>
      </c>
      <c r="F5162" s="22">
        <f ca="1">IFERROR(__xludf.DUMMYFUNCTION("""COMPUTED_VALUE"""),500000)</f>
        <v>500000</v>
      </c>
      <c r="G5162" s="22">
        <f ca="1">IFERROR(__xludf.DUMMYFUNCTION("""COMPUTED_VALUE"""),0)</f>
        <v>0</v>
      </c>
      <c r="H5162" s="7">
        <f ca="1">IFERROR(__xludf.DUMMYFUNCTION("""COMPUTED_VALUE"""),500000)</f>
        <v>500000</v>
      </c>
    </row>
    <row r="5163" spans="1:8" ht="13" x14ac:dyDescent="0.15">
      <c r="A5163" s="5" t="str">
        <f ca="1">IFERROR(__xludf.DUMMYFUNCTION("""COMPUTED_VALUE"""),"95516")</f>
        <v>95516</v>
      </c>
      <c r="B5163" s="51">
        <f ca="1">IFERROR(__xludf.DUMMYFUNCTION("""COMPUTED_VALUE"""),44604)</f>
        <v>44604</v>
      </c>
      <c r="C5163" s="22">
        <f ca="1">IFERROR(__xludf.DUMMYFUNCTION("""COMPUTED_VALUE"""),500000)</f>
        <v>500000</v>
      </c>
      <c r="D5163" s="22">
        <f ca="1">IFERROR(__xludf.DUMMYFUNCTION("""COMPUTED_VALUE"""),0)</f>
        <v>0</v>
      </c>
      <c r="E5163" s="22">
        <f ca="1">IFERROR(__xludf.DUMMYFUNCTION("""COMPUTED_VALUE"""),500000)</f>
        <v>500000</v>
      </c>
      <c r="F5163" s="22">
        <f ca="1">IFERROR(__xludf.DUMMYFUNCTION("""COMPUTED_VALUE"""),500000)</f>
        <v>500000</v>
      </c>
      <c r="G5163" s="22">
        <f ca="1">IFERROR(__xludf.DUMMYFUNCTION("""COMPUTED_VALUE"""),0)</f>
        <v>0</v>
      </c>
      <c r="H5163" s="7">
        <f ca="1">IFERROR(__xludf.DUMMYFUNCTION("""COMPUTED_VALUE"""),500000)</f>
        <v>500000</v>
      </c>
    </row>
    <row r="5164" spans="1:8" ht="13" x14ac:dyDescent="0.15">
      <c r="A5164" s="5" t="str">
        <f ca="1">IFERROR(__xludf.DUMMYFUNCTION("""COMPUTED_VALUE"""),"95516")</f>
        <v>95516</v>
      </c>
      <c r="B5164" s="51">
        <f ca="1">IFERROR(__xludf.DUMMYFUNCTION("""COMPUTED_VALUE"""),44605)</f>
        <v>44605</v>
      </c>
      <c r="C5164" s="22">
        <f ca="1">IFERROR(__xludf.DUMMYFUNCTION("""COMPUTED_VALUE"""),500000)</f>
        <v>500000</v>
      </c>
      <c r="D5164" s="22">
        <f ca="1">IFERROR(__xludf.DUMMYFUNCTION("""COMPUTED_VALUE"""),0)</f>
        <v>0</v>
      </c>
      <c r="E5164" s="22">
        <f ca="1">IFERROR(__xludf.DUMMYFUNCTION("""COMPUTED_VALUE"""),500000)</f>
        <v>500000</v>
      </c>
      <c r="F5164" s="22">
        <f ca="1">IFERROR(__xludf.DUMMYFUNCTION("""COMPUTED_VALUE"""),500000)</f>
        <v>500000</v>
      </c>
      <c r="G5164" s="22">
        <f ca="1">IFERROR(__xludf.DUMMYFUNCTION("""COMPUTED_VALUE"""),0)</f>
        <v>0</v>
      </c>
      <c r="H5164" s="7">
        <f ca="1">IFERROR(__xludf.DUMMYFUNCTION("""COMPUTED_VALUE"""),500000)</f>
        <v>500000</v>
      </c>
    </row>
    <row r="5165" spans="1:8" ht="13" x14ac:dyDescent="0.15">
      <c r="A5165" s="5" t="str">
        <f ca="1">IFERROR(__xludf.DUMMYFUNCTION("""COMPUTED_VALUE"""),"95516")</f>
        <v>95516</v>
      </c>
      <c r="B5165" s="51">
        <f ca="1">IFERROR(__xludf.DUMMYFUNCTION("""COMPUTED_VALUE"""),44606)</f>
        <v>44606</v>
      </c>
      <c r="C5165" s="22">
        <f ca="1">IFERROR(__xludf.DUMMYFUNCTION("""COMPUTED_VALUE"""),500000)</f>
        <v>500000</v>
      </c>
      <c r="D5165" s="22">
        <f ca="1">IFERROR(__xludf.DUMMYFUNCTION("""COMPUTED_VALUE"""),0)</f>
        <v>0</v>
      </c>
      <c r="E5165" s="22">
        <f ca="1">IFERROR(__xludf.DUMMYFUNCTION("""COMPUTED_VALUE"""),500000)</f>
        <v>500000</v>
      </c>
      <c r="F5165" s="22">
        <f ca="1">IFERROR(__xludf.DUMMYFUNCTION("""COMPUTED_VALUE"""),500000)</f>
        <v>500000</v>
      </c>
      <c r="G5165" s="22">
        <f ca="1">IFERROR(__xludf.DUMMYFUNCTION("""COMPUTED_VALUE"""),0)</f>
        <v>0</v>
      </c>
      <c r="H5165" s="7">
        <f ca="1">IFERROR(__xludf.DUMMYFUNCTION("""COMPUTED_VALUE"""),500000)</f>
        <v>500000</v>
      </c>
    </row>
    <row r="5166" spans="1:8" ht="13" x14ac:dyDescent="0.15">
      <c r="A5166" s="5" t="str">
        <f ca="1">IFERROR(__xludf.DUMMYFUNCTION("""COMPUTED_VALUE"""),"95516")</f>
        <v>95516</v>
      </c>
      <c r="B5166" s="51">
        <f ca="1">IFERROR(__xludf.DUMMYFUNCTION("""COMPUTED_VALUE"""),44607)</f>
        <v>44607</v>
      </c>
      <c r="C5166" s="22">
        <f ca="1">IFERROR(__xludf.DUMMYFUNCTION("""COMPUTED_VALUE"""),500000)</f>
        <v>500000</v>
      </c>
      <c r="D5166" s="22">
        <f ca="1">IFERROR(__xludf.DUMMYFUNCTION("""COMPUTED_VALUE"""),0)</f>
        <v>0</v>
      </c>
      <c r="E5166" s="22">
        <f ca="1">IFERROR(__xludf.DUMMYFUNCTION("""COMPUTED_VALUE"""),500000)</f>
        <v>500000</v>
      </c>
      <c r="F5166" s="22">
        <f ca="1">IFERROR(__xludf.DUMMYFUNCTION("""COMPUTED_VALUE"""),500000)</f>
        <v>500000</v>
      </c>
      <c r="G5166" s="22">
        <f ca="1">IFERROR(__xludf.DUMMYFUNCTION("""COMPUTED_VALUE"""),0)</f>
        <v>0</v>
      </c>
      <c r="H5166" s="7">
        <f ca="1">IFERROR(__xludf.DUMMYFUNCTION("""COMPUTED_VALUE"""),500000)</f>
        <v>500000</v>
      </c>
    </row>
    <row r="5167" spans="1:8" ht="13" x14ac:dyDescent="0.15">
      <c r="A5167" s="5" t="str">
        <f ca="1">IFERROR(__xludf.DUMMYFUNCTION("""COMPUTED_VALUE"""),"95516")</f>
        <v>95516</v>
      </c>
      <c r="B5167" s="51">
        <f ca="1">IFERROR(__xludf.DUMMYFUNCTION("""COMPUTED_VALUE"""),44608)</f>
        <v>44608</v>
      </c>
      <c r="C5167" s="22">
        <f ca="1">IFERROR(__xludf.DUMMYFUNCTION("""COMPUTED_VALUE"""),500000)</f>
        <v>500000</v>
      </c>
      <c r="D5167" s="22">
        <f ca="1">IFERROR(__xludf.DUMMYFUNCTION("""COMPUTED_VALUE"""),0)</f>
        <v>0</v>
      </c>
      <c r="E5167" s="22">
        <f ca="1">IFERROR(__xludf.DUMMYFUNCTION("""COMPUTED_VALUE"""),500000)</f>
        <v>500000</v>
      </c>
      <c r="F5167" s="22">
        <f ca="1">IFERROR(__xludf.DUMMYFUNCTION("""COMPUTED_VALUE"""),500000)</f>
        <v>500000</v>
      </c>
      <c r="G5167" s="22">
        <f ca="1">IFERROR(__xludf.DUMMYFUNCTION("""COMPUTED_VALUE"""),0)</f>
        <v>0</v>
      </c>
      <c r="H5167" s="7">
        <f ca="1">IFERROR(__xludf.DUMMYFUNCTION("""COMPUTED_VALUE"""),500000)</f>
        <v>500000</v>
      </c>
    </row>
    <row r="5168" spans="1:8" ht="13" x14ac:dyDescent="0.15">
      <c r="A5168" s="5" t="str">
        <f ca="1">IFERROR(__xludf.DUMMYFUNCTION("""COMPUTED_VALUE"""),"95516")</f>
        <v>95516</v>
      </c>
      <c r="B5168" s="51">
        <f ca="1">IFERROR(__xludf.DUMMYFUNCTION("""COMPUTED_VALUE"""),44609)</f>
        <v>44609</v>
      </c>
      <c r="C5168" s="22">
        <f ca="1">IFERROR(__xludf.DUMMYFUNCTION("""COMPUTED_VALUE"""),500000)</f>
        <v>500000</v>
      </c>
      <c r="D5168" s="22">
        <f ca="1">IFERROR(__xludf.DUMMYFUNCTION("""COMPUTED_VALUE"""),0)</f>
        <v>0</v>
      </c>
      <c r="E5168" s="22">
        <f ca="1">IFERROR(__xludf.DUMMYFUNCTION("""COMPUTED_VALUE"""),500000)</f>
        <v>500000</v>
      </c>
      <c r="F5168" s="22">
        <f ca="1">IFERROR(__xludf.DUMMYFUNCTION("""COMPUTED_VALUE"""),500000)</f>
        <v>500000</v>
      </c>
      <c r="G5168" s="22">
        <f ca="1">IFERROR(__xludf.DUMMYFUNCTION("""COMPUTED_VALUE"""),0)</f>
        <v>0</v>
      </c>
      <c r="H5168" s="7">
        <f ca="1">IFERROR(__xludf.DUMMYFUNCTION("""COMPUTED_VALUE"""),500000)</f>
        <v>500000</v>
      </c>
    </row>
    <row r="5169" spans="1:8" ht="13" x14ac:dyDescent="0.15">
      <c r="A5169" s="5" t="str">
        <f ca="1">IFERROR(__xludf.DUMMYFUNCTION("""COMPUTED_VALUE"""),"95516")</f>
        <v>95516</v>
      </c>
      <c r="B5169" s="51">
        <f ca="1">IFERROR(__xludf.DUMMYFUNCTION("""COMPUTED_VALUE"""),44610)</f>
        <v>44610</v>
      </c>
      <c r="C5169" s="22">
        <f ca="1">IFERROR(__xludf.DUMMYFUNCTION("""COMPUTED_VALUE"""),500000)</f>
        <v>500000</v>
      </c>
      <c r="D5169" s="22">
        <f ca="1">IFERROR(__xludf.DUMMYFUNCTION("""COMPUTED_VALUE"""),0)</f>
        <v>0</v>
      </c>
      <c r="E5169" s="22">
        <f ca="1">IFERROR(__xludf.DUMMYFUNCTION("""COMPUTED_VALUE"""),500000)</f>
        <v>500000</v>
      </c>
      <c r="F5169" s="22">
        <f ca="1">IFERROR(__xludf.DUMMYFUNCTION("""COMPUTED_VALUE"""),500000)</f>
        <v>500000</v>
      </c>
      <c r="G5169" s="22">
        <f ca="1">IFERROR(__xludf.DUMMYFUNCTION("""COMPUTED_VALUE"""),0)</f>
        <v>0</v>
      </c>
      <c r="H5169" s="7">
        <f ca="1">IFERROR(__xludf.DUMMYFUNCTION("""COMPUTED_VALUE"""),500000)</f>
        <v>500000</v>
      </c>
    </row>
    <row r="5170" spans="1:8" ht="13" x14ac:dyDescent="0.15">
      <c r="A5170" s="5" t="str">
        <f ca="1">IFERROR(__xludf.DUMMYFUNCTION("""COMPUTED_VALUE"""),"95516")</f>
        <v>95516</v>
      </c>
      <c r="B5170" s="51">
        <f ca="1">IFERROR(__xludf.DUMMYFUNCTION("""COMPUTED_VALUE"""),44611)</f>
        <v>44611</v>
      </c>
      <c r="C5170" s="22">
        <f ca="1">IFERROR(__xludf.DUMMYFUNCTION("""COMPUTED_VALUE"""),500000)</f>
        <v>500000</v>
      </c>
      <c r="D5170" s="22">
        <f ca="1">IFERROR(__xludf.DUMMYFUNCTION("""COMPUTED_VALUE"""),0)</f>
        <v>0</v>
      </c>
      <c r="E5170" s="22">
        <f ca="1">IFERROR(__xludf.DUMMYFUNCTION("""COMPUTED_VALUE"""),500000)</f>
        <v>500000</v>
      </c>
      <c r="F5170" s="22">
        <f ca="1">IFERROR(__xludf.DUMMYFUNCTION("""COMPUTED_VALUE"""),500000)</f>
        <v>500000</v>
      </c>
      <c r="G5170" s="22">
        <f ca="1">IFERROR(__xludf.DUMMYFUNCTION("""COMPUTED_VALUE"""),0)</f>
        <v>0</v>
      </c>
      <c r="H5170" s="7">
        <f ca="1">IFERROR(__xludf.DUMMYFUNCTION("""COMPUTED_VALUE"""),500000)</f>
        <v>500000</v>
      </c>
    </row>
    <row r="5171" spans="1:8" ht="13" x14ac:dyDescent="0.15">
      <c r="A5171" s="5" t="str">
        <f ca="1">IFERROR(__xludf.DUMMYFUNCTION("""COMPUTED_VALUE"""),"95516")</f>
        <v>95516</v>
      </c>
      <c r="B5171" s="51">
        <f ca="1">IFERROR(__xludf.DUMMYFUNCTION("""COMPUTED_VALUE"""),44612)</f>
        <v>44612</v>
      </c>
      <c r="C5171" s="22">
        <f ca="1">IFERROR(__xludf.DUMMYFUNCTION("""COMPUTED_VALUE"""),500000)</f>
        <v>500000</v>
      </c>
      <c r="D5171" s="22">
        <f ca="1">IFERROR(__xludf.DUMMYFUNCTION("""COMPUTED_VALUE"""),0)</f>
        <v>0</v>
      </c>
      <c r="E5171" s="22">
        <f ca="1">IFERROR(__xludf.DUMMYFUNCTION("""COMPUTED_VALUE"""),500000)</f>
        <v>500000</v>
      </c>
      <c r="F5171" s="22">
        <f ca="1">IFERROR(__xludf.DUMMYFUNCTION("""COMPUTED_VALUE"""),500000)</f>
        <v>500000</v>
      </c>
      <c r="G5171" s="22">
        <f ca="1">IFERROR(__xludf.DUMMYFUNCTION("""COMPUTED_VALUE"""),0)</f>
        <v>0</v>
      </c>
      <c r="H5171" s="7">
        <f ca="1">IFERROR(__xludf.DUMMYFUNCTION("""COMPUTED_VALUE"""),500000)</f>
        <v>500000</v>
      </c>
    </row>
    <row r="5172" spans="1:8" ht="13" x14ac:dyDescent="0.15">
      <c r="A5172" s="5" t="str">
        <f ca="1">IFERROR(__xludf.DUMMYFUNCTION("""COMPUTED_VALUE"""),"95516")</f>
        <v>95516</v>
      </c>
      <c r="B5172" s="51">
        <f ca="1">IFERROR(__xludf.DUMMYFUNCTION("""COMPUTED_VALUE"""),44613)</f>
        <v>44613</v>
      </c>
      <c r="C5172" s="22">
        <f ca="1">IFERROR(__xludf.DUMMYFUNCTION("""COMPUTED_VALUE"""),500000)</f>
        <v>500000</v>
      </c>
      <c r="D5172" s="22">
        <f ca="1">IFERROR(__xludf.DUMMYFUNCTION("""COMPUTED_VALUE"""),0)</f>
        <v>0</v>
      </c>
      <c r="E5172" s="22">
        <f ca="1">IFERROR(__xludf.DUMMYFUNCTION("""COMPUTED_VALUE"""),500000)</f>
        <v>500000</v>
      </c>
      <c r="F5172" s="22">
        <f ca="1">IFERROR(__xludf.DUMMYFUNCTION("""COMPUTED_VALUE"""),500000)</f>
        <v>500000</v>
      </c>
      <c r="G5172" s="22">
        <f ca="1">IFERROR(__xludf.DUMMYFUNCTION("""COMPUTED_VALUE"""),0)</f>
        <v>0</v>
      </c>
      <c r="H5172" s="7">
        <f ca="1">IFERROR(__xludf.DUMMYFUNCTION("""COMPUTED_VALUE"""),500000)</f>
        <v>500000</v>
      </c>
    </row>
    <row r="5173" spans="1:8" ht="13" x14ac:dyDescent="0.15">
      <c r="A5173" s="5" t="str">
        <f ca="1">IFERROR(__xludf.DUMMYFUNCTION("""COMPUTED_VALUE"""),"95516")</f>
        <v>95516</v>
      </c>
      <c r="B5173" s="51">
        <f ca="1">IFERROR(__xludf.DUMMYFUNCTION("""COMPUTED_VALUE"""),44614)</f>
        <v>44614</v>
      </c>
      <c r="C5173" s="22">
        <f ca="1">IFERROR(__xludf.DUMMYFUNCTION("""COMPUTED_VALUE"""),500000)</f>
        <v>500000</v>
      </c>
      <c r="D5173" s="22">
        <f ca="1">IFERROR(__xludf.DUMMYFUNCTION("""COMPUTED_VALUE"""),0)</f>
        <v>0</v>
      </c>
      <c r="E5173" s="22">
        <f ca="1">IFERROR(__xludf.DUMMYFUNCTION("""COMPUTED_VALUE"""),500000)</f>
        <v>500000</v>
      </c>
      <c r="F5173" s="22">
        <f ca="1">IFERROR(__xludf.DUMMYFUNCTION("""COMPUTED_VALUE"""),500000)</f>
        <v>500000</v>
      </c>
      <c r="G5173" s="22">
        <f ca="1">IFERROR(__xludf.DUMMYFUNCTION("""COMPUTED_VALUE"""),0)</f>
        <v>0</v>
      </c>
      <c r="H5173" s="7">
        <f ca="1">IFERROR(__xludf.DUMMYFUNCTION("""COMPUTED_VALUE"""),500000)</f>
        <v>500000</v>
      </c>
    </row>
    <row r="5174" spans="1:8" ht="13" x14ac:dyDescent="0.15">
      <c r="A5174" s="5" t="str">
        <f ca="1">IFERROR(__xludf.DUMMYFUNCTION("""COMPUTED_VALUE"""),"95516")</f>
        <v>95516</v>
      </c>
      <c r="B5174" s="51">
        <f ca="1">IFERROR(__xludf.DUMMYFUNCTION("""COMPUTED_VALUE"""),44615)</f>
        <v>44615</v>
      </c>
      <c r="C5174" s="22">
        <f ca="1">IFERROR(__xludf.DUMMYFUNCTION("""COMPUTED_VALUE"""),500000)</f>
        <v>500000</v>
      </c>
      <c r="D5174" s="22">
        <f ca="1">IFERROR(__xludf.DUMMYFUNCTION("""COMPUTED_VALUE"""),0)</f>
        <v>0</v>
      </c>
      <c r="E5174" s="22">
        <f ca="1">IFERROR(__xludf.DUMMYFUNCTION("""COMPUTED_VALUE"""),500000)</f>
        <v>500000</v>
      </c>
      <c r="F5174" s="22">
        <f ca="1">IFERROR(__xludf.DUMMYFUNCTION("""COMPUTED_VALUE"""),500000)</f>
        <v>500000</v>
      </c>
      <c r="G5174" s="22">
        <f ca="1">IFERROR(__xludf.DUMMYFUNCTION("""COMPUTED_VALUE"""),0)</f>
        <v>0</v>
      </c>
      <c r="H5174" s="7">
        <f ca="1">IFERROR(__xludf.DUMMYFUNCTION("""COMPUTED_VALUE"""),500000)</f>
        <v>500000</v>
      </c>
    </row>
    <row r="5175" spans="1:8" ht="13" x14ac:dyDescent="0.15">
      <c r="A5175" s="5" t="str">
        <f ca="1">IFERROR(__xludf.DUMMYFUNCTION("""COMPUTED_VALUE"""),"95516")</f>
        <v>95516</v>
      </c>
      <c r="B5175" s="51">
        <f ca="1">IFERROR(__xludf.DUMMYFUNCTION("""COMPUTED_VALUE"""),44616)</f>
        <v>44616</v>
      </c>
      <c r="C5175" s="22">
        <f ca="1">IFERROR(__xludf.DUMMYFUNCTION("""COMPUTED_VALUE"""),500000)</f>
        <v>500000</v>
      </c>
      <c r="D5175" s="22">
        <f ca="1">IFERROR(__xludf.DUMMYFUNCTION("""COMPUTED_VALUE"""),0)</f>
        <v>0</v>
      </c>
      <c r="E5175" s="22">
        <f ca="1">IFERROR(__xludf.DUMMYFUNCTION("""COMPUTED_VALUE"""),500000)</f>
        <v>500000</v>
      </c>
      <c r="F5175" s="22">
        <f ca="1">IFERROR(__xludf.DUMMYFUNCTION("""COMPUTED_VALUE"""),500000)</f>
        <v>500000</v>
      </c>
      <c r="G5175" s="22">
        <f ca="1">IFERROR(__xludf.DUMMYFUNCTION("""COMPUTED_VALUE"""),0)</f>
        <v>0</v>
      </c>
      <c r="H5175" s="7">
        <f ca="1">IFERROR(__xludf.DUMMYFUNCTION("""COMPUTED_VALUE"""),500000)</f>
        <v>500000</v>
      </c>
    </row>
    <row r="5176" spans="1:8" ht="13" x14ac:dyDescent="0.15">
      <c r="A5176" s="5" t="str">
        <f ca="1">IFERROR(__xludf.DUMMYFUNCTION("""COMPUTED_VALUE"""),"95516")</f>
        <v>95516</v>
      </c>
      <c r="B5176" s="51">
        <f ca="1">IFERROR(__xludf.DUMMYFUNCTION("""COMPUTED_VALUE"""),44617)</f>
        <v>44617</v>
      </c>
      <c r="C5176" s="22">
        <f ca="1">IFERROR(__xludf.DUMMYFUNCTION("""COMPUTED_VALUE"""),500000)</f>
        <v>500000</v>
      </c>
      <c r="D5176" s="22">
        <f ca="1">IFERROR(__xludf.DUMMYFUNCTION("""COMPUTED_VALUE"""),0)</f>
        <v>0</v>
      </c>
      <c r="E5176" s="22">
        <f ca="1">IFERROR(__xludf.DUMMYFUNCTION("""COMPUTED_VALUE"""),500000)</f>
        <v>500000</v>
      </c>
      <c r="F5176" s="22">
        <f ca="1">IFERROR(__xludf.DUMMYFUNCTION("""COMPUTED_VALUE"""),500000)</f>
        <v>500000</v>
      </c>
      <c r="G5176" s="22">
        <f ca="1">IFERROR(__xludf.DUMMYFUNCTION("""COMPUTED_VALUE"""),0)</f>
        <v>0</v>
      </c>
      <c r="H5176" s="7">
        <f ca="1">IFERROR(__xludf.DUMMYFUNCTION("""COMPUTED_VALUE"""),500000)</f>
        <v>500000</v>
      </c>
    </row>
    <row r="5177" spans="1:8" ht="13" x14ac:dyDescent="0.15">
      <c r="A5177" s="5" t="str">
        <f ca="1">IFERROR(__xludf.DUMMYFUNCTION("""COMPUTED_VALUE"""),"95516")</f>
        <v>95516</v>
      </c>
      <c r="B5177" s="51">
        <f ca="1">IFERROR(__xludf.DUMMYFUNCTION("""COMPUTED_VALUE"""),44618)</f>
        <v>44618</v>
      </c>
      <c r="C5177" s="22">
        <f ca="1">IFERROR(__xludf.DUMMYFUNCTION("""COMPUTED_VALUE"""),500000)</f>
        <v>500000</v>
      </c>
      <c r="D5177" s="22">
        <f ca="1">IFERROR(__xludf.DUMMYFUNCTION("""COMPUTED_VALUE"""),0)</f>
        <v>0</v>
      </c>
      <c r="E5177" s="22">
        <f ca="1">IFERROR(__xludf.DUMMYFUNCTION("""COMPUTED_VALUE"""),500000)</f>
        <v>500000</v>
      </c>
      <c r="F5177" s="22">
        <f ca="1">IFERROR(__xludf.DUMMYFUNCTION("""COMPUTED_VALUE"""),500000)</f>
        <v>500000</v>
      </c>
      <c r="G5177" s="22">
        <f ca="1">IFERROR(__xludf.DUMMYFUNCTION("""COMPUTED_VALUE"""),0)</f>
        <v>0</v>
      </c>
      <c r="H5177" s="7">
        <f ca="1">IFERROR(__xludf.DUMMYFUNCTION("""COMPUTED_VALUE"""),500000)</f>
        <v>500000</v>
      </c>
    </row>
    <row r="5178" spans="1:8" ht="13" x14ac:dyDescent="0.15">
      <c r="A5178" s="5" t="str">
        <f ca="1">IFERROR(__xludf.DUMMYFUNCTION("""COMPUTED_VALUE"""),"95516")</f>
        <v>95516</v>
      </c>
      <c r="B5178" s="51">
        <f ca="1">IFERROR(__xludf.DUMMYFUNCTION("""COMPUTED_VALUE"""),44619)</f>
        <v>44619</v>
      </c>
      <c r="C5178" s="22">
        <f ca="1">IFERROR(__xludf.DUMMYFUNCTION("""COMPUTED_VALUE"""),500000)</f>
        <v>500000</v>
      </c>
      <c r="D5178" s="22">
        <f ca="1">IFERROR(__xludf.DUMMYFUNCTION("""COMPUTED_VALUE"""),0)</f>
        <v>0</v>
      </c>
      <c r="E5178" s="22">
        <f ca="1">IFERROR(__xludf.DUMMYFUNCTION("""COMPUTED_VALUE"""),500000)</f>
        <v>500000</v>
      </c>
      <c r="F5178" s="22">
        <f ca="1">IFERROR(__xludf.DUMMYFUNCTION("""COMPUTED_VALUE"""),500000)</f>
        <v>500000</v>
      </c>
      <c r="G5178" s="22">
        <f ca="1">IFERROR(__xludf.DUMMYFUNCTION("""COMPUTED_VALUE"""),0)</f>
        <v>0</v>
      </c>
      <c r="H5178" s="7">
        <f ca="1">IFERROR(__xludf.DUMMYFUNCTION("""COMPUTED_VALUE"""),500000)</f>
        <v>500000</v>
      </c>
    </row>
    <row r="5179" spans="1:8" ht="13" x14ac:dyDescent="0.15">
      <c r="A5179" s="5" t="str">
        <f ca="1">IFERROR(__xludf.DUMMYFUNCTION("""COMPUTED_VALUE"""),"95516")</f>
        <v>95516</v>
      </c>
      <c r="B5179" s="51">
        <f ca="1">IFERROR(__xludf.DUMMYFUNCTION("""COMPUTED_VALUE"""),44620)</f>
        <v>44620</v>
      </c>
      <c r="C5179" s="22">
        <f ca="1">IFERROR(__xludf.DUMMYFUNCTION("""COMPUTED_VALUE"""),500000)</f>
        <v>500000</v>
      </c>
      <c r="D5179" s="22">
        <f ca="1">IFERROR(__xludf.DUMMYFUNCTION("""COMPUTED_VALUE"""),0)</f>
        <v>0</v>
      </c>
      <c r="E5179" s="22">
        <f ca="1">IFERROR(__xludf.DUMMYFUNCTION("""COMPUTED_VALUE"""),500000)</f>
        <v>500000</v>
      </c>
      <c r="F5179" s="22">
        <f ca="1">IFERROR(__xludf.DUMMYFUNCTION("""COMPUTED_VALUE"""),500000)</f>
        <v>500000</v>
      </c>
      <c r="G5179" s="22">
        <f ca="1">IFERROR(__xludf.DUMMYFUNCTION("""COMPUTED_VALUE"""),0)</f>
        <v>0</v>
      </c>
      <c r="H5179" s="7">
        <f ca="1">IFERROR(__xludf.DUMMYFUNCTION("""COMPUTED_VALUE"""),500000)</f>
        <v>500000</v>
      </c>
    </row>
    <row r="5180" spans="1:8" ht="13" x14ac:dyDescent="0.15">
      <c r="A5180" s="5" t="str">
        <f ca="1">IFERROR(__xludf.DUMMYFUNCTION("""COMPUTED_VALUE"""),"95516")</f>
        <v>95516</v>
      </c>
      <c r="B5180" s="51">
        <f ca="1">IFERROR(__xludf.DUMMYFUNCTION("""COMPUTED_VALUE"""),44621)</f>
        <v>44621</v>
      </c>
      <c r="C5180" s="22">
        <f ca="1">IFERROR(__xludf.DUMMYFUNCTION("""COMPUTED_VALUE"""),500000)</f>
        <v>500000</v>
      </c>
      <c r="D5180" s="22">
        <f ca="1">IFERROR(__xludf.DUMMYFUNCTION("""COMPUTED_VALUE"""),0)</f>
        <v>0</v>
      </c>
      <c r="E5180" s="22">
        <f ca="1">IFERROR(__xludf.DUMMYFUNCTION("""COMPUTED_VALUE"""),500000)</f>
        <v>500000</v>
      </c>
      <c r="F5180" s="22">
        <f ca="1">IFERROR(__xludf.DUMMYFUNCTION("""COMPUTED_VALUE"""),500000)</f>
        <v>500000</v>
      </c>
      <c r="G5180" s="22">
        <f ca="1">IFERROR(__xludf.DUMMYFUNCTION("""COMPUTED_VALUE"""),0)</f>
        <v>0</v>
      </c>
      <c r="H5180" s="7">
        <f ca="1">IFERROR(__xludf.DUMMYFUNCTION("""COMPUTED_VALUE"""),500000)</f>
        <v>500000</v>
      </c>
    </row>
    <row r="5181" spans="1:8" ht="13" x14ac:dyDescent="0.15">
      <c r="A5181" s="5" t="str">
        <f ca="1">IFERROR(__xludf.DUMMYFUNCTION("""COMPUTED_VALUE"""),"95516")</f>
        <v>95516</v>
      </c>
      <c r="B5181" s="51">
        <f ca="1">IFERROR(__xludf.DUMMYFUNCTION("""COMPUTED_VALUE"""),44622)</f>
        <v>44622</v>
      </c>
      <c r="C5181" s="22">
        <f ca="1">IFERROR(__xludf.DUMMYFUNCTION("""COMPUTED_VALUE"""),500000)</f>
        <v>500000</v>
      </c>
      <c r="D5181" s="22">
        <f ca="1">IFERROR(__xludf.DUMMYFUNCTION("""COMPUTED_VALUE"""),0)</f>
        <v>0</v>
      </c>
      <c r="E5181" s="22">
        <f ca="1">IFERROR(__xludf.DUMMYFUNCTION("""COMPUTED_VALUE"""),500000)</f>
        <v>500000</v>
      </c>
      <c r="F5181" s="22">
        <f ca="1">IFERROR(__xludf.DUMMYFUNCTION("""COMPUTED_VALUE"""),500000)</f>
        <v>500000</v>
      </c>
      <c r="G5181" s="22">
        <f ca="1">IFERROR(__xludf.DUMMYFUNCTION("""COMPUTED_VALUE"""),0)</f>
        <v>0</v>
      </c>
      <c r="H5181" s="7">
        <f ca="1">IFERROR(__xludf.DUMMYFUNCTION("""COMPUTED_VALUE"""),500000)</f>
        <v>500000</v>
      </c>
    </row>
    <row r="5182" spans="1:8" ht="13" x14ac:dyDescent="0.15">
      <c r="A5182" s="5" t="str">
        <f ca="1">IFERROR(__xludf.DUMMYFUNCTION("""COMPUTED_VALUE"""),"95516")</f>
        <v>95516</v>
      </c>
      <c r="B5182" s="51">
        <f ca="1">IFERROR(__xludf.DUMMYFUNCTION("""COMPUTED_VALUE"""),44623)</f>
        <v>44623</v>
      </c>
      <c r="C5182" s="22">
        <f ca="1">IFERROR(__xludf.DUMMYFUNCTION("""COMPUTED_VALUE"""),500000)</f>
        <v>500000</v>
      </c>
      <c r="D5182" s="22">
        <f ca="1">IFERROR(__xludf.DUMMYFUNCTION("""COMPUTED_VALUE"""),0)</f>
        <v>0</v>
      </c>
      <c r="E5182" s="22">
        <f ca="1">IFERROR(__xludf.DUMMYFUNCTION("""COMPUTED_VALUE"""),500000)</f>
        <v>500000</v>
      </c>
      <c r="F5182" s="22">
        <f ca="1">IFERROR(__xludf.DUMMYFUNCTION("""COMPUTED_VALUE"""),500000)</f>
        <v>500000</v>
      </c>
      <c r="G5182" s="22">
        <f ca="1">IFERROR(__xludf.DUMMYFUNCTION("""COMPUTED_VALUE"""),0)</f>
        <v>0</v>
      </c>
      <c r="H5182" s="7">
        <f ca="1">IFERROR(__xludf.DUMMYFUNCTION("""COMPUTED_VALUE"""),500000)</f>
        <v>500000</v>
      </c>
    </row>
    <row r="5183" spans="1:8" ht="13" x14ac:dyDescent="0.15">
      <c r="A5183" s="5" t="str">
        <f ca="1">IFERROR(__xludf.DUMMYFUNCTION("""COMPUTED_VALUE"""),"95516")</f>
        <v>95516</v>
      </c>
      <c r="B5183" s="51">
        <f ca="1">IFERROR(__xludf.DUMMYFUNCTION("""COMPUTED_VALUE"""),44624)</f>
        <v>44624</v>
      </c>
      <c r="C5183" s="22">
        <f ca="1">IFERROR(__xludf.DUMMYFUNCTION("""COMPUTED_VALUE"""),500000)</f>
        <v>500000</v>
      </c>
      <c r="D5183" s="22">
        <f ca="1">IFERROR(__xludf.DUMMYFUNCTION("""COMPUTED_VALUE"""),0)</f>
        <v>0</v>
      </c>
      <c r="E5183" s="22">
        <f ca="1">IFERROR(__xludf.DUMMYFUNCTION("""COMPUTED_VALUE"""),500000)</f>
        <v>500000</v>
      </c>
      <c r="F5183" s="22">
        <f ca="1">IFERROR(__xludf.DUMMYFUNCTION("""COMPUTED_VALUE"""),500000)</f>
        <v>500000</v>
      </c>
      <c r="G5183" s="22">
        <f ca="1">IFERROR(__xludf.DUMMYFUNCTION("""COMPUTED_VALUE"""),0)</f>
        <v>0</v>
      </c>
      <c r="H5183" s="7">
        <f ca="1">IFERROR(__xludf.DUMMYFUNCTION("""COMPUTED_VALUE"""),500000)</f>
        <v>500000</v>
      </c>
    </row>
    <row r="5184" spans="1:8" ht="13" x14ac:dyDescent="0.15">
      <c r="A5184" s="5" t="str">
        <f ca="1">IFERROR(__xludf.DUMMYFUNCTION("""COMPUTED_VALUE"""),"95516")</f>
        <v>95516</v>
      </c>
      <c r="B5184" s="51">
        <f ca="1">IFERROR(__xludf.DUMMYFUNCTION("""COMPUTED_VALUE"""),44625)</f>
        <v>44625</v>
      </c>
      <c r="C5184" s="22">
        <f ca="1">IFERROR(__xludf.DUMMYFUNCTION("""COMPUTED_VALUE"""),500000)</f>
        <v>500000</v>
      </c>
      <c r="D5184" s="22">
        <f ca="1">IFERROR(__xludf.DUMMYFUNCTION("""COMPUTED_VALUE"""),0)</f>
        <v>0</v>
      </c>
      <c r="E5184" s="22">
        <f ca="1">IFERROR(__xludf.DUMMYFUNCTION("""COMPUTED_VALUE"""),500000)</f>
        <v>500000</v>
      </c>
      <c r="F5184" s="22">
        <f ca="1">IFERROR(__xludf.DUMMYFUNCTION("""COMPUTED_VALUE"""),500000)</f>
        <v>500000</v>
      </c>
      <c r="G5184" s="22">
        <f ca="1">IFERROR(__xludf.DUMMYFUNCTION("""COMPUTED_VALUE"""),0)</f>
        <v>0</v>
      </c>
      <c r="H5184" s="7">
        <f ca="1">IFERROR(__xludf.DUMMYFUNCTION("""COMPUTED_VALUE"""),500000)</f>
        <v>500000</v>
      </c>
    </row>
    <row r="5185" spans="1:8" ht="13" x14ac:dyDescent="0.15">
      <c r="A5185" s="5" t="str">
        <f ca="1">IFERROR(__xludf.DUMMYFUNCTION("""COMPUTED_VALUE"""),"95516")</f>
        <v>95516</v>
      </c>
      <c r="B5185" s="51">
        <f ca="1">IFERROR(__xludf.DUMMYFUNCTION("""COMPUTED_VALUE"""),44626)</f>
        <v>44626</v>
      </c>
      <c r="C5185" s="22">
        <f ca="1">IFERROR(__xludf.DUMMYFUNCTION("""COMPUTED_VALUE"""),500000)</f>
        <v>500000</v>
      </c>
      <c r="D5185" s="22">
        <f ca="1">IFERROR(__xludf.DUMMYFUNCTION("""COMPUTED_VALUE"""),0)</f>
        <v>0</v>
      </c>
      <c r="E5185" s="22">
        <f ca="1">IFERROR(__xludf.DUMMYFUNCTION("""COMPUTED_VALUE"""),500000)</f>
        <v>500000</v>
      </c>
      <c r="F5185" s="22">
        <f ca="1">IFERROR(__xludf.DUMMYFUNCTION("""COMPUTED_VALUE"""),500000)</f>
        <v>500000</v>
      </c>
      <c r="G5185" s="22">
        <f ca="1">IFERROR(__xludf.DUMMYFUNCTION("""COMPUTED_VALUE"""),0)</f>
        <v>0</v>
      </c>
      <c r="H5185" s="7">
        <f ca="1">IFERROR(__xludf.DUMMYFUNCTION("""COMPUTED_VALUE"""),500000)</f>
        <v>500000</v>
      </c>
    </row>
    <row r="5186" spans="1:8" ht="13" x14ac:dyDescent="0.15">
      <c r="A5186" s="5" t="str">
        <f ca="1">IFERROR(__xludf.DUMMYFUNCTION("""COMPUTED_VALUE"""),"95516")</f>
        <v>95516</v>
      </c>
      <c r="B5186" s="51">
        <f ca="1">IFERROR(__xludf.DUMMYFUNCTION("""COMPUTED_VALUE"""),44627)</f>
        <v>44627</v>
      </c>
      <c r="C5186" s="22">
        <f ca="1">IFERROR(__xludf.DUMMYFUNCTION("""COMPUTED_VALUE"""),500000)</f>
        <v>500000</v>
      </c>
      <c r="D5186" s="22">
        <f ca="1">IFERROR(__xludf.DUMMYFUNCTION("""COMPUTED_VALUE"""),0)</f>
        <v>0</v>
      </c>
      <c r="E5186" s="22">
        <f ca="1">IFERROR(__xludf.DUMMYFUNCTION("""COMPUTED_VALUE"""),500000)</f>
        <v>500000</v>
      </c>
      <c r="F5186" s="22">
        <f ca="1">IFERROR(__xludf.DUMMYFUNCTION("""COMPUTED_VALUE"""),500000)</f>
        <v>500000</v>
      </c>
      <c r="G5186" s="22">
        <f ca="1">IFERROR(__xludf.DUMMYFUNCTION("""COMPUTED_VALUE"""),0)</f>
        <v>0</v>
      </c>
      <c r="H5186" s="7">
        <f ca="1">IFERROR(__xludf.DUMMYFUNCTION("""COMPUTED_VALUE"""),500000)</f>
        <v>500000</v>
      </c>
    </row>
    <row r="5187" spans="1:8" ht="13" x14ac:dyDescent="0.15">
      <c r="A5187" s="5" t="str">
        <f ca="1">IFERROR(__xludf.DUMMYFUNCTION("""COMPUTED_VALUE"""),"95516")</f>
        <v>95516</v>
      </c>
      <c r="B5187" s="51">
        <f ca="1">IFERROR(__xludf.DUMMYFUNCTION("""COMPUTED_VALUE"""),44628)</f>
        <v>44628</v>
      </c>
      <c r="C5187" s="22">
        <f ca="1">IFERROR(__xludf.DUMMYFUNCTION("""COMPUTED_VALUE"""),500000)</f>
        <v>500000</v>
      </c>
      <c r="D5187" s="22">
        <f ca="1">IFERROR(__xludf.DUMMYFUNCTION("""COMPUTED_VALUE"""),0)</f>
        <v>0</v>
      </c>
      <c r="E5187" s="22">
        <f ca="1">IFERROR(__xludf.DUMMYFUNCTION("""COMPUTED_VALUE"""),500000)</f>
        <v>500000</v>
      </c>
      <c r="F5187" s="22">
        <f ca="1">IFERROR(__xludf.DUMMYFUNCTION("""COMPUTED_VALUE"""),500000)</f>
        <v>500000</v>
      </c>
      <c r="G5187" s="22">
        <f ca="1">IFERROR(__xludf.DUMMYFUNCTION("""COMPUTED_VALUE"""),0)</f>
        <v>0</v>
      </c>
      <c r="H5187" s="7">
        <f ca="1">IFERROR(__xludf.DUMMYFUNCTION("""COMPUTED_VALUE"""),500000)</f>
        <v>500000</v>
      </c>
    </row>
    <row r="5188" spans="1:8" ht="13" x14ac:dyDescent="0.15">
      <c r="A5188" s="5" t="str">
        <f ca="1">IFERROR(__xludf.DUMMYFUNCTION("""COMPUTED_VALUE"""),"95516")</f>
        <v>95516</v>
      </c>
      <c r="B5188" s="51">
        <f ca="1">IFERROR(__xludf.DUMMYFUNCTION("""COMPUTED_VALUE"""),44629)</f>
        <v>44629</v>
      </c>
      <c r="C5188" s="22">
        <f ca="1">IFERROR(__xludf.DUMMYFUNCTION("""COMPUTED_VALUE"""),500000)</f>
        <v>500000</v>
      </c>
      <c r="D5188" s="22">
        <f ca="1">IFERROR(__xludf.DUMMYFUNCTION("""COMPUTED_VALUE"""),0)</f>
        <v>0</v>
      </c>
      <c r="E5188" s="22">
        <f ca="1">IFERROR(__xludf.DUMMYFUNCTION("""COMPUTED_VALUE"""),500000)</f>
        <v>500000</v>
      </c>
      <c r="F5188" s="22">
        <f ca="1">IFERROR(__xludf.DUMMYFUNCTION("""COMPUTED_VALUE"""),500000)</f>
        <v>500000</v>
      </c>
      <c r="G5188" s="22">
        <f ca="1">IFERROR(__xludf.DUMMYFUNCTION("""COMPUTED_VALUE"""),0)</f>
        <v>0</v>
      </c>
      <c r="H5188" s="7">
        <f ca="1">IFERROR(__xludf.DUMMYFUNCTION("""COMPUTED_VALUE"""),500000)</f>
        <v>500000</v>
      </c>
    </row>
    <row r="5189" spans="1:8" ht="13" x14ac:dyDescent="0.15">
      <c r="A5189" s="5" t="str">
        <f ca="1">IFERROR(__xludf.DUMMYFUNCTION("""COMPUTED_VALUE"""),"95516")</f>
        <v>95516</v>
      </c>
      <c r="B5189" s="51">
        <f ca="1">IFERROR(__xludf.DUMMYFUNCTION("""COMPUTED_VALUE"""),44630)</f>
        <v>44630</v>
      </c>
      <c r="C5189" s="22">
        <f ca="1">IFERROR(__xludf.DUMMYFUNCTION("""COMPUTED_VALUE"""),500000)</f>
        <v>500000</v>
      </c>
      <c r="D5189" s="22">
        <f ca="1">IFERROR(__xludf.DUMMYFUNCTION("""COMPUTED_VALUE"""),0)</f>
        <v>0</v>
      </c>
      <c r="E5189" s="22">
        <f ca="1">IFERROR(__xludf.DUMMYFUNCTION("""COMPUTED_VALUE"""),500000)</f>
        <v>500000</v>
      </c>
      <c r="F5189" s="22">
        <f ca="1">IFERROR(__xludf.DUMMYFUNCTION("""COMPUTED_VALUE"""),500000)</f>
        <v>500000</v>
      </c>
      <c r="G5189" s="22">
        <f ca="1">IFERROR(__xludf.DUMMYFUNCTION("""COMPUTED_VALUE"""),0)</f>
        <v>0</v>
      </c>
      <c r="H5189" s="7">
        <f ca="1">IFERROR(__xludf.DUMMYFUNCTION("""COMPUTED_VALUE"""),500000)</f>
        <v>500000</v>
      </c>
    </row>
    <row r="5190" spans="1:8" ht="13" x14ac:dyDescent="0.15">
      <c r="A5190" s="5" t="str">
        <f ca="1">IFERROR(__xludf.DUMMYFUNCTION("""COMPUTED_VALUE"""),"95516")</f>
        <v>95516</v>
      </c>
      <c r="B5190" s="51">
        <f ca="1">IFERROR(__xludf.DUMMYFUNCTION("""COMPUTED_VALUE"""),44631)</f>
        <v>44631</v>
      </c>
      <c r="C5190" s="22">
        <f ca="1">IFERROR(__xludf.DUMMYFUNCTION("""COMPUTED_VALUE"""),500000)</f>
        <v>500000</v>
      </c>
      <c r="D5190" s="22">
        <f ca="1">IFERROR(__xludf.DUMMYFUNCTION("""COMPUTED_VALUE"""),0)</f>
        <v>0</v>
      </c>
      <c r="E5190" s="22">
        <f ca="1">IFERROR(__xludf.DUMMYFUNCTION("""COMPUTED_VALUE"""),500000)</f>
        <v>500000</v>
      </c>
      <c r="F5190" s="22">
        <f ca="1">IFERROR(__xludf.DUMMYFUNCTION("""COMPUTED_VALUE"""),500000)</f>
        <v>500000</v>
      </c>
      <c r="G5190" s="22">
        <f ca="1">IFERROR(__xludf.DUMMYFUNCTION("""COMPUTED_VALUE"""),0)</f>
        <v>0</v>
      </c>
      <c r="H5190" s="7">
        <f ca="1">IFERROR(__xludf.DUMMYFUNCTION("""COMPUTED_VALUE"""),500000)</f>
        <v>500000</v>
      </c>
    </row>
    <row r="5191" spans="1:8" ht="13" x14ac:dyDescent="0.15">
      <c r="A5191" s="5" t="str">
        <f ca="1">IFERROR(__xludf.DUMMYFUNCTION("""COMPUTED_VALUE"""),"95516")</f>
        <v>95516</v>
      </c>
      <c r="B5191" s="51">
        <f ca="1">IFERROR(__xludf.DUMMYFUNCTION("""COMPUTED_VALUE"""),44632)</f>
        <v>44632</v>
      </c>
      <c r="C5191" s="22">
        <f ca="1">IFERROR(__xludf.DUMMYFUNCTION("""COMPUTED_VALUE"""),500000)</f>
        <v>500000</v>
      </c>
      <c r="D5191" s="22">
        <f ca="1">IFERROR(__xludf.DUMMYFUNCTION("""COMPUTED_VALUE"""),0)</f>
        <v>0</v>
      </c>
      <c r="E5191" s="22">
        <f ca="1">IFERROR(__xludf.DUMMYFUNCTION("""COMPUTED_VALUE"""),500000)</f>
        <v>500000</v>
      </c>
      <c r="F5191" s="22">
        <f ca="1">IFERROR(__xludf.DUMMYFUNCTION("""COMPUTED_VALUE"""),500000)</f>
        <v>500000</v>
      </c>
      <c r="G5191" s="22">
        <f ca="1">IFERROR(__xludf.DUMMYFUNCTION("""COMPUTED_VALUE"""),0)</f>
        <v>0</v>
      </c>
      <c r="H5191" s="7">
        <f ca="1">IFERROR(__xludf.DUMMYFUNCTION("""COMPUTED_VALUE"""),500000)</f>
        <v>500000</v>
      </c>
    </row>
    <row r="5192" spans="1:8" ht="13" x14ac:dyDescent="0.15">
      <c r="A5192" s="5" t="str">
        <f ca="1">IFERROR(__xludf.DUMMYFUNCTION("""COMPUTED_VALUE"""),"95516")</f>
        <v>95516</v>
      </c>
      <c r="B5192" s="51">
        <f ca="1">IFERROR(__xludf.DUMMYFUNCTION("""COMPUTED_VALUE"""),44633)</f>
        <v>44633</v>
      </c>
      <c r="C5192" s="22">
        <f ca="1">IFERROR(__xludf.DUMMYFUNCTION("""COMPUTED_VALUE"""),500000)</f>
        <v>500000</v>
      </c>
      <c r="D5192" s="22">
        <f ca="1">IFERROR(__xludf.DUMMYFUNCTION("""COMPUTED_VALUE"""),0)</f>
        <v>0</v>
      </c>
      <c r="E5192" s="22">
        <f ca="1">IFERROR(__xludf.DUMMYFUNCTION("""COMPUTED_VALUE"""),500000)</f>
        <v>500000</v>
      </c>
      <c r="F5192" s="22">
        <f ca="1">IFERROR(__xludf.DUMMYFUNCTION("""COMPUTED_VALUE"""),500000)</f>
        <v>500000</v>
      </c>
      <c r="G5192" s="22">
        <f ca="1">IFERROR(__xludf.DUMMYFUNCTION("""COMPUTED_VALUE"""),0)</f>
        <v>0</v>
      </c>
      <c r="H5192" s="7">
        <f ca="1">IFERROR(__xludf.DUMMYFUNCTION("""COMPUTED_VALUE"""),500000)</f>
        <v>500000</v>
      </c>
    </row>
    <row r="5193" spans="1:8" ht="13" x14ac:dyDescent="0.15">
      <c r="A5193" s="5" t="str">
        <f ca="1">IFERROR(__xludf.DUMMYFUNCTION("""COMPUTED_VALUE"""),"95516")</f>
        <v>95516</v>
      </c>
      <c r="B5193" s="51">
        <f ca="1">IFERROR(__xludf.DUMMYFUNCTION("""COMPUTED_VALUE"""),44634)</f>
        <v>44634</v>
      </c>
      <c r="C5193" s="22">
        <f ca="1">IFERROR(__xludf.DUMMYFUNCTION("""COMPUTED_VALUE"""),500000)</f>
        <v>500000</v>
      </c>
      <c r="D5193" s="22">
        <f ca="1">IFERROR(__xludf.DUMMYFUNCTION("""COMPUTED_VALUE"""),0)</f>
        <v>0</v>
      </c>
      <c r="E5193" s="22">
        <f ca="1">IFERROR(__xludf.DUMMYFUNCTION("""COMPUTED_VALUE"""),500000)</f>
        <v>500000</v>
      </c>
      <c r="F5193" s="22">
        <f ca="1">IFERROR(__xludf.DUMMYFUNCTION("""COMPUTED_VALUE"""),500000)</f>
        <v>500000</v>
      </c>
      <c r="G5193" s="22">
        <f ca="1">IFERROR(__xludf.DUMMYFUNCTION("""COMPUTED_VALUE"""),0)</f>
        <v>0</v>
      </c>
      <c r="H5193" s="7">
        <f ca="1">IFERROR(__xludf.DUMMYFUNCTION("""COMPUTED_VALUE"""),500000)</f>
        <v>500000</v>
      </c>
    </row>
    <row r="5194" spans="1:8" ht="13" x14ac:dyDescent="0.15">
      <c r="A5194" s="5" t="str">
        <f ca="1">IFERROR(__xludf.DUMMYFUNCTION("""COMPUTED_VALUE"""),"95516")</f>
        <v>95516</v>
      </c>
      <c r="B5194" s="51">
        <f ca="1">IFERROR(__xludf.DUMMYFUNCTION("""COMPUTED_VALUE"""),44635)</f>
        <v>44635</v>
      </c>
      <c r="C5194" s="22">
        <f ca="1">IFERROR(__xludf.DUMMYFUNCTION("""COMPUTED_VALUE"""),500000)</f>
        <v>500000</v>
      </c>
      <c r="D5194" s="22">
        <f ca="1">IFERROR(__xludf.DUMMYFUNCTION("""COMPUTED_VALUE"""),0)</f>
        <v>0</v>
      </c>
      <c r="E5194" s="22">
        <f ca="1">IFERROR(__xludf.DUMMYFUNCTION("""COMPUTED_VALUE"""),500000)</f>
        <v>500000</v>
      </c>
      <c r="F5194" s="22">
        <f ca="1">IFERROR(__xludf.DUMMYFUNCTION("""COMPUTED_VALUE"""),500000)</f>
        <v>500000</v>
      </c>
      <c r="G5194" s="22">
        <f ca="1">IFERROR(__xludf.DUMMYFUNCTION("""COMPUTED_VALUE"""),0)</f>
        <v>0</v>
      </c>
      <c r="H5194" s="7">
        <f ca="1">IFERROR(__xludf.DUMMYFUNCTION("""COMPUTED_VALUE"""),500000)</f>
        <v>500000</v>
      </c>
    </row>
    <row r="5195" spans="1:8" ht="13" x14ac:dyDescent="0.15">
      <c r="A5195" s="5" t="str">
        <f ca="1">IFERROR(__xludf.DUMMYFUNCTION("""COMPUTED_VALUE"""),"95516")</f>
        <v>95516</v>
      </c>
      <c r="B5195" s="51">
        <f ca="1">IFERROR(__xludf.DUMMYFUNCTION("""COMPUTED_VALUE"""),44636)</f>
        <v>44636</v>
      </c>
      <c r="C5195" s="22">
        <f ca="1">IFERROR(__xludf.DUMMYFUNCTION("""COMPUTED_VALUE"""),500000)</f>
        <v>500000</v>
      </c>
      <c r="D5195" s="22">
        <f ca="1">IFERROR(__xludf.DUMMYFUNCTION("""COMPUTED_VALUE"""),0)</f>
        <v>0</v>
      </c>
      <c r="E5195" s="22">
        <f ca="1">IFERROR(__xludf.DUMMYFUNCTION("""COMPUTED_VALUE"""),500000)</f>
        <v>500000</v>
      </c>
      <c r="F5195" s="22">
        <f ca="1">IFERROR(__xludf.DUMMYFUNCTION("""COMPUTED_VALUE"""),500000)</f>
        <v>500000</v>
      </c>
      <c r="G5195" s="22">
        <f ca="1">IFERROR(__xludf.DUMMYFUNCTION("""COMPUTED_VALUE"""),0)</f>
        <v>0</v>
      </c>
      <c r="H5195" s="7">
        <f ca="1">IFERROR(__xludf.DUMMYFUNCTION("""COMPUTED_VALUE"""),500000)</f>
        <v>500000</v>
      </c>
    </row>
    <row r="5196" spans="1:8" ht="13" x14ac:dyDescent="0.15">
      <c r="A5196" s="5" t="str">
        <f ca="1">IFERROR(__xludf.DUMMYFUNCTION("""COMPUTED_VALUE"""),"95516")</f>
        <v>95516</v>
      </c>
      <c r="B5196" s="51">
        <f ca="1">IFERROR(__xludf.DUMMYFUNCTION("""COMPUTED_VALUE"""),44637)</f>
        <v>44637</v>
      </c>
      <c r="C5196" s="22">
        <f ca="1">IFERROR(__xludf.DUMMYFUNCTION("""COMPUTED_VALUE"""),154450)</f>
        <v>154450</v>
      </c>
      <c r="D5196" s="22">
        <f ca="1">IFERROR(__xludf.DUMMYFUNCTION("""COMPUTED_VALUE"""),345550)</f>
        <v>345550</v>
      </c>
      <c r="E5196" s="22">
        <f ca="1">IFERROR(__xludf.DUMMYFUNCTION("""COMPUTED_VALUE"""),500000)</f>
        <v>500000</v>
      </c>
      <c r="F5196" s="22">
        <f ca="1">IFERROR(__xludf.DUMMYFUNCTION("""COMPUTED_VALUE"""),154450)</f>
        <v>154450</v>
      </c>
      <c r="G5196" s="22">
        <f ca="1">IFERROR(__xludf.DUMMYFUNCTION("""COMPUTED_VALUE"""),0)</f>
        <v>0</v>
      </c>
      <c r="H5196" s="7">
        <f ca="1">IFERROR(__xludf.DUMMYFUNCTION("""COMPUTED_VALUE"""),500000)</f>
        <v>500000</v>
      </c>
    </row>
    <row r="5197" spans="1:8" ht="13" x14ac:dyDescent="0.15">
      <c r="A5197" s="5" t="str">
        <f ca="1">IFERROR(__xludf.DUMMYFUNCTION("""COMPUTED_VALUE"""),"95516")</f>
        <v>95516</v>
      </c>
      <c r="B5197" s="51">
        <f ca="1">IFERROR(__xludf.DUMMYFUNCTION("""COMPUTED_VALUE"""),44638)</f>
        <v>44638</v>
      </c>
      <c r="C5197" s="22">
        <f ca="1">IFERROR(__xludf.DUMMYFUNCTION("""COMPUTED_VALUE"""),154450)</f>
        <v>154450</v>
      </c>
      <c r="D5197" s="22">
        <f ca="1">IFERROR(__xludf.DUMMYFUNCTION("""COMPUTED_VALUE"""),347325)</f>
        <v>347325</v>
      </c>
      <c r="E5197" s="22">
        <f ca="1">IFERROR(__xludf.DUMMYFUNCTION("""COMPUTED_VALUE"""),501775)</f>
        <v>501775</v>
      </c>
      <c r="F5197" s="22">
        <f ca="1">IFERROR(__xludf.DUMMYFUNCTION("""COMPUTED_VALUE"""),154450)</f>
        <v>154450</v>
      </c>
      <c r="G5197" s="22">
        <f ca="1">IFERROR(__xludf.DUMMYFUNCTION("""COMPUTED_VALUE"""),0)</f>
        <v>0</v>
      </c>
      <c r="H5197" s="7">
        <f ca="1">IFERROR(__xludf.DUMMYFUNCTION("""COMPUTED_VALUE"""),499925)</f>
        <v>499925</v>
      </c>
    </row>
    <row r="5198" spans="1:8" ht="13" x14ac:dyDescent="0.15">
      <c r="A5198" s="5" t="str">
        <f ca="1">IFERROR(__xludf.DUMMYFUNCTION("""COMPUTED_VALUE"""),"95516")</f>
        <v>95516</v>
      </c>
      <c r="B5198" s="51">
        <f ca="1">IFERROR(__xludf.DUMMYFUNCTION("""COMPUTED_VALUE"""),44639)</f>
        <v>44639</v>
      </c>
      <c r="C5198" s="22">
        <f ca="1">IFERROR(__xludf.DUMMYFUNCTION("""COMPUTED_VALUE"""),154450)</f>
        <v>154450</v>
      </c>
      <c r="D5198" s="22">
        <f ca="1">IFERROR(__xludf.DUMMYFUNCTION("""COMPUTED_VALUE"""),347325)</f>
        <v>347325</v>
      </c>
      <c r="E5198" s="22">
        <f ca="1">IFERROR(__xludf.DUMMYFUNCTION("""COMPUTED_VALUE"""),501775)</f>
        <v>501775</v>
      </c>
      <c r="F5198" s="22">
        <f ca="1">IFERROR(__xludf.DUMMYFUNCTION("""COMPUTED_VALUE"""),154450)</f>
        <v>154450</v>
      </c>
      <c r="G5198" s="22">
        <f ca="1">IFERROR(__xludf.DUMMYFUNCTION("""COMPUTED_VALUE"""),0)</f>
        <v>0</v>
      </c>
      <c r="H5198" s="7">
        <f ca="1">IFERROR(__xludf.DUMMYFUNCTION("""COMPUTED_VALUE"""),499925)</f>
        <v>499925</v>
      </c>
    </row>
    <row r="5199" spans="1:8" ht="13" x14ac:dyDescent="0.15">
      <c r="A5199" s="5" t="str">
        <f ca="1">IFERROR(__xludf.DUMMYFUNCTION("""COMPUTED_VALUE"""),"95516")</f>
        <v>95516</v>
      </c>
      <c r="B5199" s="51">
        <f ca="1">IFERROR(__xludf.DUMMYFUNCTION("""COMPUTED_VALUE"""),44640)</f>
        <v>44640</v>
      </c>
      <c r="C5199" s="22">
        <f ca="1">IFERROR(__xludf.DUMMYFUNCTION("""COMPUTED_VALUE"""),154450)</f>
        <v>154450</v>
      </c>
      <c r="D5199" s="22">
        <f ca="1">IFERROR(__xludf.DUMMYFUNCTION("""COMPUTED_VALUE"""),347325)</f>
        <v>347325</v>
      </c>
      <c r="E5199" s="22">
        <f ca="1">IFERROR(__xludf.DUMMYFUNCTION("""COMPUTED_VALUE"""),501775)</f>
        <v>501775</v>
      </c>
      <c r="F5199" s="22">
        <f ca="1">IFERROR(__xludf.DUMMYFUNCTION("""COMPUTED_VALUE"""),154450)</f>
        <v>154450</v>
      </c>
      <c r="G5199" s="22">
        <f ca="1">IFERROR(__xludf.DUMMYFUNCTION("""COMPUTED_VALUE"""),0)</f>
        <v>0</v>
      </c>
      <c r="H5199" s="7">
        <f ca="1">IFERROR(__xludf.DUMMYFUNCTION("""COMPUTED_VALUE"""),499925)</f>
        <v>499925</v>
      </c>
    </row>
    <row r="5200" spans="1:8" ht="13" x14ac:dyDescent="0.15">
      <c r="A5200" s="5" t="str">
        <f ca="1">IFERROR(__xludf.DUMMYFUNCTION("""COMPUTED_VALUE"""),"95516")</f>
        <v>95516</v>
      </c>
      <c r="B5200" s="51">
        <f ca="1">IFERROR(__xludf.DUMMYFUNCTION("""COMPUTED_VALUE"""),44641)</f>
        <v>44641</v>
      </c>
      <c r="C5200" s="22">
        <f ca="1">IFERROR(__xludf.DUMMYFUNCTION("""COMPUTED_VALUE"""),5800)</f>
        <v>5800</v>
      </c>
      <c r="D5200" s="22">
        <f ca="1">IFERROR(__xludf.DUMMYFUNCTION("""COMPUTED_VALUE"""),487100)</f>
        <v>487100</v>
      </c>
      <c r="E5200" s="22">
        <f ca="1">IFERROR(__xludf.DUMMYFUNCTION("""COMPUTED_VALUE"""),492900)</f>
        <v>492900</v>
      </c>
      <c r="F5200" s="22">
        <f ca="1">IFERROR(__xludf.DUMMYFUNCTION("""COMPUTED_VALUE"""),5800)</f>
        <v>5800</v>
      </c>
      <c r="G5200" s="22">
        <f ca="1">IFERROR(__xludf.DUMMYFUNCTION("""COMPUTED_VALUE"""),0)</f>
        <v>0</v>
      </c>
      <c r="H5200" s="7">
        <f ca="1">IFERROR(__xludf.DUMMYFUNCTION("""COMPUTED_VALUE"""),492900)</f>
        <v>492900</v>
      </c>
    </row>
    <row r="5201" spans="1:8" ht="13" x14ac:dyDescent="0.15">
      <c r="A5201" s="5" t="str">
        <f ca="1">IFERROR(__xludf.DUMMYFUNCTION("""COMPUTED_VALUE"""),"95516")</f>
        <v>95516</v>
      </c>
      <c r="B5201" s="51">
        <f ca="1">IFERROR(__xludf.DUMMYFUNCTION("""COMPUTED_VALUE"""),44642)</f>
        <v>44642</v>
      </c>
      <c r="C5201" s="22">
        <f ca="1">IFERROR(__xludf.DUMMYFUNCTION("""COMPUTED_VALUE"""),5800)</f>
        <v>5800</v>
      </c>
      <c r="D5201" s="22">
        <f ca="1">IFERROR(__xludf.DUMMYFUNCTION("""COMPUTED_VALUE"""),498650)</f>
        <v>498650</v>
      </c>
      <c r="E5201" s="22">
        <f ca="1">IFERROR(__xludf.DUMMYFUNCTION("""COMPUTED_VALUE"""),504450)</f>
        <v>504450</v>
      </c>
      <c r="F5201" s="22">
        <f ca="1">IFERROR(__xludf.DUMMYFUNCTION("""COMPUTED_VALUE"""),5800)</f>
        <v>5800</v>
      </c>
      <c r="G5201" s="22">
        <f ca="1">IFERROR(__xludf.DUMMYFUNCTION("""COMPUTED_VALUE"""),0)</f>
        <v>0</v>
      </c>
      <c r="H5201" s="7">
        <f ca="1">IFERROR(__xludf.DUMMYFUNCTION("""COMPUTED_VALUE"""),521100)</f>
        <v>521100</v>
      </c>
    </row>
    <row r="5202" spans="1:8" ht="13" x14ac:dyDescent="0.15">
      <c r="A5202" s="5" t="str">
        <f ca="1">IFERROR(__xludf.DUMMYFUNCTION("""COMPUTED_VALUE"""),"C0007")</f>
        <v>C0007</v>
      </c>
      <c r="B5202" s="51">
        <f ca="1">IFERROR(__xludf.DUMMYFUNCTION("""COMPUTED_VALUE"""),44592)</f>
        <v>44592</v>
      </c>
      <c r="C5202" s="22">
        <f ca="1">IFERROR(__xludf.DUMMYFUNCTION("""COMPUTED_VALUE"""),500000)</f>
        <v>500000</v>
      </c>
      <c r="D5202" s="22">
        <f ca="1">IFERROR(__xludf.DUMMYFUNCTION("""COMPUTED_VALUE"""),0)</f>
        <v>0</v>
      </c>
      <c r="E5202" s="22">
        <f ca="1">IFERROR(__xludf.DUMMYFUNCTION("""COMPUTED_VALUE"""),500000)</f>
        <v>500000</v>
      </c>
      <c r="F5202" s="22">
        <f ca="1">IFERROR(__xludf.DUMMYFUNCTION("""COMPUTED_VALUE"""),500000)</f>
        <v>500000</v>
      </c>
      <c r="G5202" s="22">
        <f ca="1">IFERROR(__xludf.DUMMYFUNCTION("""COMPUTED_VALUE"""),0)</f>
        <v>0</v>
      </c>
      <c r="H5202" s="7">
        <f ca="1">IFERROR(__xludf.DUMMYFUNCTION("""COMPUTED_VALUE"""),500000)</f>
        <v>500000</v>
      </c>
    </row>
    <row r="5203" spans="1:8" ht="13" x14ac:dyDescent="0.15">
      <c r="A5203" s="5" t="str">
        <f ca="1">IFERROR(__xludf.DUMMYFUNCTION("""COMPUTED_VALUE"""),"C0007")</f>
        <v>C0007</v>
      </c>
      <c r="B5203" s="51">
        <f ca="1">IFERROR(__xludf.DUMMYFUNCTION("""COMPUTED_VALUE"""),44593)</f>
        <v>44593</v>
      </c>
      <c r="C5203" s="22">
        <f ca="1">IFERROR(__xludf.DUMMYFUNCTION("""COMPUTED_VALUE"""),500000)</f>
        <v>500000</v>
      </c>
      <c r="D5203" s="22">
        <f ca="1">IFERROR(__xludf.DUMMYFUNCTION("""COMPUTED_VALUE"""),0)</f>
        <v>0</v>
      </c>
      <c r="E5203" s="22">
        <f ca="1">IFERROR(__xludf.DUMMYFUNCTION("""COMPUTED_VALUE"""),500000)</f>
        <v>500000</v>
      </c>
      <c r="F5203" s="22">
        <f ca="1">IFERROR(__xludf.DUMMYFUNCTION("""COMPUTED_VALUE"""),500000)</f>
        <v>500000</v>
      </c>
      <c r="G5203" s="22">
        <f ca="1">IFERROR(__xludf.DUMMYFUNCTION("""COMPUTED_VALUE"""),0)</f>
        <v>0</v>
      </c>
      <c r="H5203" s="7">
        <f ca="1">IFERROR(__xludf.DUMMYFUNCTION("""COMPUTED_VALUE"""),500000)</f>
        <v>500000</v>
      </c>
    </row>
    <row r="5204" spans="1:8" ht="13" x14ac:dyDescent="0.15">
      <c r="A5204" s="5" t="str">
        <f ca="1">IFERROR(__xludf.DUMMYFUNCTION("""COMPUTED_VALUE"""),"C0007")</f>
        <v>C0007</v>
      </c>
      <c r="B5204" s="51">
        <f ca="1">IFERROR(__xludf.DUMMYFUNCTION("""COMPUTED_VALUE"""),44594)</f>
        <v>44594</v>
      </c>
      <c r="C5204" s="22">
        <f ca="1">IFERROR(__xludf.DUMMYFUNCTION("""COMPUTED_VALUE"""),500000)</f>
        <v>500000</v>
      </c>
      <c r="D5204" s="22">
        <f ca="1">IFERROR(__xludf.DUMMYFUNCTION("""COMPUTED_VALUE"""),0)</f>
        <v>0</v>
      </c>
      <c r="E5204" s="22">
        <f ca="1">IFERROR(__xludf.DUMMYFUNCTION("""COMPUTED_VALUE"""),500000)</f>
        <v>500000</v>
      </c>
      <c r="F5204" s="22">
        <f ca="1">IFERROR(__xludf.DUMMYFUNCTION("""COMPUTED_VALUE"""),500000)</f>
        <v>500000</v>
      </c>
      <c r="G5204" s="22">
        <f ca="1">IFERROR(__xludf.DUMMYFUNCTION("""COMPUTED_VALUE"""),0)</f>
        <v>0</v>
      </c>
      <c r="H5204" s="7">
        <f ca="1">IFERROR(__xludf.DUMMYFUNCTION("""COMPUTED_VALUE"""),500000)</f>
        <v>500000</v>
      </c>
    </row>
    <row r="5205" spans="1:8" ht="13" x14ac:dyDescent="0.15">
      <c r="A5205" s="5" t="str">
        <f ca="1">IFERROR(__xludf.DUMMYFUNCTION("""COMPUTED_VALUE"""),"C0007")</f>
        <v>C0007</v>
      </c>
      <c r="B5205" s="51">
        <f ca="1">IFERROR(__xludf.DUMMYFUNCTION("""COMPUTED_VALUE"""),44595)</f>
        <v>44595</v>
      </c>
      <c r="C5205" s="22">
        <f ca="1">IFERROR(__xludf.DUMMYFUNCTION("""COMPUTED_VALUE"""),500000)</f>
        <v>500000</v>
      </c>
      <c r="D5205" s="22">
        <f ca="1">IFERROR(__xludf.DUMMYFUNCTION("""COMPUTED_VALUE"""),0)</f>
        <v>0</v>
      </c>
      <c r="E5205" s="22">
        <f ca="1">IFERROR(__xludf.DUMMYFUNCTION("""COMPUTED_VALUE"""),500000)</f>
        <v>500000</v>
      </c>
      <c r="F5205" s="22">
        <f ca="1">IFERROR(__xludf.DUMMYFUNCTION("""COMPUTED_VALUE"""),500000)</f>
        <v>500000</v>
      </c>
      <c r="G5205" s="22">
        <f ca="1">IFERROR(__xludf.DUMMYFUNCTION("""COMPUTED_VALUE"""),0)</f>
        <v>0</v>
      </c>
      <c r="H5205" s="7">
        <f ca="1">IFERROR(__xludf.DUMMYFUNCTION("""COMPUTED_VALUE"""),500000)</f>
        <v>500000</v>
      </c>
    </row>
    <row r="5206" spans="1:8" ht="13" x14ac:dyDescent="0.15">
      <c r="A5206" s="5" t="str">
        <f ca="1">IFERROR(__xludf.DUMMYFUNCTION("""COMPUTED_VALUE"""),"C0007")</f>
        <v>C0007</v>
      </c>
      <c r="B5206" s="51">
        <f ca="1">IFERROR(__xludf.DUMMYFUNCTION("""COMPUTED_VALUE"""),44596)</f>
        <v>44596</v>
      </c>
      <c r="C5206" s="22">
        <f ca="1">IFERROR(__xludf.DUMMYFUNCTION("""COMPUTED_VALUE"""),500000)</f>
        <v>500000</v>
      </c>
      <c r="D5206" s="22">
        <f ca="1">IFERROR(__xludf.DUMMYFUNCTION("""COMPUTED_VALUE"""),0)</f>
        <v>0</v>
      </c>
      <c r="E5206" s="22">
        <f ca="1">IFERROR(__xludf.DUMMYFUNCTION("""COMPUTED_VALUE"""),500000)</f>
        <v>500000</v>
      </c>
      <c r="F5206" s="22">
        <f ca="1">IFERROR(__xludf.DUMMYFUNCTION("""COMPUTED_VALUE"""),500000)</f>
        <v>500000</v>
      </c>
      <c r="G5206" s="22">
        <f ca="1">IFERROR(__xludf.DUMMYFUNCTION("""COMPUTED_VALUE"""),0)</f>
        <v>0</v>
      </c>
      <c r="H5206" s="7">
        <f ca="1">IFERROR(__xludf.DUMMYFUNCTION("""COMPUTED_VALUE"""),500000)</f>
        <v>500000</v>
      </c>
    </row>
    <row r="5207" spans="1:8" ht="13" x14ac:dyDescent="0.15">
      <c r="A5207" s="5" t="str">
        <f ca="1">IFERROR(__xludf.DUMMYFUNCTION("""COMPUTED_VALUE"""),"C0007")</f>
        <v>C0007</v>
      </c>
      <c r="B5207" s="51">
        <f ca="1">IFERROR(__xludf.DUMMYFUNCTION("""COMPUTED_VALUE"""),44597)</f>
        <v>44597</v>
      </c>
      <c r="C5207" s="22">
        <f ca="1">IFERROR(__xludf.DUMMYFUNCTION("""COMPUTED_VALUE"""),500000)</f>
        <v>500000</v>
      </c>
      <c r="D5207" s="22">
        <f ca="1">IFERROR(__xludf.DUMMYFUNCTION("""COMPUTED_VALUE"""),0)</f>
        <v>0</v>
      </c>
      <c r="E5207" s="22">
        <f ca="1">IFERROR(__xludf.DUMMYFUNCTION("""COMPUTED_VALUE"""),500000)</f>
        <v>500000</v>
      </c>
      <c r="F5207" s="22">
        <f ca="1">IFERROR(__xludf.DUMMYFUNCTION("""COMPUTED_VALUE"""),500000)</f>
        <v>500000</v>
      </c>
      <c r="G5207" s="22">
        <f ca="1">IFERROR(__xludf.DUMMYFUNCTION("""COMPUTED_VALUE"""),0)</f>
        <v>0</v>
      </c>
      <c r="H5207" s="7">
        <f ca="1">IFERROR(__xludf.DUMMYFUNCTION("""COMPUTED_VALUE"""),500000)</f>
        <v>500000</v>
      </c>
    </row>
    <row r="5208" spans="1:8" ht="13" x14ac:dyDescent="0.15">
      <c r="A5208" s="5" t="str">
        <f ca="1">IFERROR(__xludf.DUMMYFUNCTION("""COMPUTED_VALUE"""),"C0007")</f>
        <v>C0007</v>
      </c>
      <c r="B5208" s="51">
        <f ca="1">IFERROR(__xludf.DUMMYFUNCTION("""COMPUTED_VALUE"""),44598)</f>
        <v>44598</v>
      </c>
      <c r="C5208" s="22">
        <f ca="1">IFERROR(__xludf.DUMMYFUNCTION("""COMPUTED_VALUE"""),500000)</f>
        <v>500000</v>
      </c>
      <c r="D5208" s="22">
        <f ca="1">IFERROR(__xludf.DUMMYFUNCTION("""COMPUTED_VALUE"""),0)</f>
        <v>0</v>
      </c>
      <c r="E5208" s="22">
        <f ca="1">IFERROR(__xludf.DUMMYFUNCTION("""COMPUTED_VALUE"""),500000)</f>
        <v>500000</v>
      </c>
      <c r="F5208" s="22">
        <f ca="1">IFERROR(__xludf.DUMMYFUNCTION("""COMPUTED_VALUE"""),500000)</f>
        <v>500000</v>
      </c>
      <c r="G5208" s="22">
        <f ca="1">IFERROR(__xludf.DUMMYFUNCTION("""COMPUTED_VALUE"""),0)</f>
        <v>0</v>
      </c>
      <c r="H5208" s="7">
        <f ca="1">IFERROR(__xludf.DUMMYFUNCTION("""COMPUTED_VALUE"""),500000)</f>
        <v>500000</v>
      </c>
    </row>
    <row r="5209" spans="1:8" ht="13" x14ac:dyDescent="0.15">
      <c r="A5209" s="5" t="str">
        <f ca="1">IFERROR(__xludf.DUMMYFUNCTION("""COMPUTED_VALUE"""),"C0007")</f>
        <v>C0007</v>
      </c>
      <c r="B5209" s="51">
        <f ca="1">IFERROR(__xludf.DUMMYFUNCTION("""COMPUTED_VALUE"""),44599)</f>
        <v>44599</v>
      </c>
      <c r="C5209" s="22">
        <f ca="1">IFERROR(__xludf.DUMMYFUNCTION("""COMPUTED_VALUE"""),500000)</f>
        <v>500000</v>
      </c>
      <c r="D5209" s="22">
        <f ca="1">IFERROR(__xludf.DUMMYFUNCTION("""COMPUTED_VALUE"""),0)</f>
        <v>0</v>
      </c>
      <c r="E5209" s="22">
        <f ca="1">IFERROR(__xludf.DUMMYFUNCTION("""COMPUTED_VALUE"""),500000)</f>
        <v>500000</v>
      </c>
      <c r="F5209" s="22">
        <f ca="1">IFERROR(__xludf.DUMMYFUNCTION("""COMPUTED_VALUE"""),500000)</f>
        <v>500000</v>
      </c>
      <c r="G5209" s="22">
        <f ca="1">IFERROR(__xludf.DUMMYFUNCTION("""COMPUTED_VALUE"""),0)</f>
        <v>0</v>
      </c>
      <c r="H5209" s="7">
        <f ca="1">IFERROR(__xludf.DUMMYFUNCTION("""COMPUTED_VALUE"""),500000)</f>
        <v>500000</v>
      </c>
    </row>
    <row r="5210" spans="1:8" ht="13" x14ac:dyDescent="0.15">
      <c r="A5210" s="5" t="str">
        <f ca="1">IFERROR(__xludf.DUMMYFUNCTION("""COMPUTED_VALUE"""),"C0007")</f>
        <v>C0007</v>
      </c>
      <c r="B5210" s="51">
        <f ca="1">IFERROR(__xludf.DUMMYFUNCTION("""COMPUTED_VALUE"""),44600)</f>
        <v>44600</v>
      </c>
      <c r="C5210" s="22">
        <f ca="1">IFERROR(__xludf.DUMMYFUNCTION("""COMPUTED_VALUE"""),500000)</f>
        <v>500000</v>
      </c>
      <c r="D5210" s="22">
        <f ca="1">IFERROR(__xludf.DUMMYFUNCTION("""COMPUTED_VALUE"""),0)</f>
        <v>0</v>
      </c>
      <c r="E5210" s="22">
        <f ca="1">IFERROR(__xludf.DUMMYFUNCTION("""COMPUTED_VALUE"""),500000)</f>
        <v>500000</v>
      </c>
      <c r="F5210" s="22">
        <f ca="1">IFERROR(__xludf.DUMMYFUNCTION("""COMPUTED_VALUE"""),500000)</f>
        <v>500000</v>
      </c>
      <c r="G5210" s="22">
        <f ca="1">IFERROR(__xludf.DUMMYFUNCTION("""COMPUTED_VALUE"""),0)</f>
        <v>0</v>
      </c>
      <c r="H5210" s="7">
        <f ca="1">IFERROR(__xludf.DUMMYFUNCTION("""COMPUTED_VALUE"""),500000)</f>
        <v>500000</v>
      </c>
    </row>
    <row r="5211" spans="1:8" ht="13" x14ac:dyDescent="0.15">
      <c r="A5211" s="5" t="str">
        <f ca="1">IFERROR(__xludf.DUMMYFUNCTION("""COMPUTED_VALUE"""),"C0007")</f>
        <v>C0007</v>
      </c>
      <c r="B5211" s="51">
        <f ca="1">IFERROR(__xludf.DUMMYFUNCTION("""COMPUTED_VALUE"""),44601)</f>
        <v>44601</v>
      </c>
      <c r="C5211" s="22">
        <f ca="1">IFERROR(__xludf.DUMMYFUNCTION("""COMPUTED_VALUE"""),500000)</f>
        <v>500000</v>
      </c>
      <c r="D5211" s="22">
        <f ca="1">IFERROR(__xludf.DUMMYFUNCTION("""COMPUTED_VALUE"""),0)</f>
        <v>0</v>
      </c>
      <c r="E5211" s="22">
        <f ca="1">IFERROR(__xludf.DUMMYFUNCTION("""COMPUTED_VALUE"""),500000)</f>
        <v>500000</v>
      </c>
      <c r="F5211" s="22">
        <f ca="1">IFERROR(__xludf.DUMMYFUNCTION("""COMPUTED_VALUE"""),500000)</f>
        <v>500000</v>
      </c>
      <c r="G5211" s="22">
        <f ca="1">IFERROR(__xludf.DUMMYFUNCTION("""COMPUTED_VALUE"""),0)</f>
        <v>0</v>
      </c>
      <c r="H5211" s="7">
        <f ca="1">IFERROR(__xludf.DUMMYFUNCTION("""COMPUTED_VALUE"""),500000)</f>
        <v>500000</v>
      </c>
    </row>
    <row r="5212" spans="1:8" ht="13" x14ac:dyDescent="0.15">
      <c r="A5212" s="5" t="str">
        <f ca="1">IFERROR(__xludf.DUMMYFUNCTION("""COMPUTED_VALUE"""),"C0007")</f>
        <v>C0007</v>
      </c>
      <c r="B5212" s="51">
        <f ca="1">IFERROR(__xludf.DUMMYFUNCTION("""COMPUTED_VALUE"""),44602)</f>
        <v>44602</v>
      </c>
      <c r="C5212" s="22">
        <f ca="1">IFERROR(__xludf.DUMMYFUNCTION("""COMPUTED_VALUE"""),500000)</f>
        <v>500000</v>
      </c>
      <c r="D5212" s="22">
        <f ca="1">IFERROR(__xludf.DUMMYFUNCTION("""COMPUTED_VALUE"""),0)</f>
        <v>0</v>
      </c>
      <c r="E5212" s="22">
        <f ca="1">IFERROR(__xludf.DUMMYFUNCTION("""COMPUTED_VALUE"""),500000)</f>
        <v>500000</v>
      </c>
      <c r="F5212" s="22">
        <f ca="1">IFERROR(__xludf.DUMMYFUNCTION("""COMPUTED_VALUE"""),500000)</f>
        <v>500000</v>
      </c>
      <c r="G5212" s="22">
        <f ca="1">IFERROR(__xludf.DUMMYFUNCTION("""COMPUTED_VALUE"""),0)</f>
        <v>0</v>
      </c>
      <c r="H5212" s="7">
        <f ca="1">IFERROR(__xludf.DUMMYFUNCTION("""COMPUTED_VALUE"""),500000)</f>
        <v>500000</v>
      </c>
    </row>
    <row r="5213" spans="1:8" ht="13" x14ac:dyDescent="0.15">
      <c r="A5213" s="5" t="str">
        <f ca="1">IFERROR(__xludf.DUMMYFUNCTION("""COMPUTED_VALUE"""),"C0007")</f>
        <v>C0007</v>
      </c>
      <c r="B5213" s="51">
        <f ca="1">IFERROR(__xludf.DUMMYFUNCTION("""COMPUTED_VALUE"""),44603)</f>
        <v>44603</v>
      </c>
      <c r="C5213" s="22">
        <f ca="1">IFERROR(__xludf.DUMMYFUNCTION("""COMPUTED_VALUE"""),500000)</f>
        <v>500000</v>
      </c>
      <c r="D5213" s="22">
        <f ca="1">IFERROR(__xludf.DUMMYFUNCTION("""COMPUTED_VALUE"""),0)</f>
        <v>0</v>
      </c>
      <c r="E5213" s="22">
        <f ca="1">IFERROR(__xludf.DUMMYFUNCTION("""COMPUTED_VALUE"""),500000)</f>
        <v>500000</v>
      </c>
      <c r="F5213" s="22">
        <f ca="1">IFERROR(__xludf.DUMMYFUNCTION("""COMPUTED_VALUE"""),500000)</f>
        <v>500000</v>
      </c>
      <c r="G5213" s="22">
        <f ca="1">IFERROR(__xludf.DUMMYFUNCTION("""COMPUTED_VALUE"""),0)</f>
        <v>0</v>
      </c>
      <c r="H5213" s="7">
        <f ca="1">IFERROR(__xludf.DUMMYFUNCTION("""COMPUTED_VALUE"""),500000)</f>
        <v>500000</v>
      </c>
    </row>
    <row r="5214" spans="1:8" ht="13" x14ac:dyDescent="0.15">
      <c r="A5214" s="5" t="str">
        <f ca="1">IFERROR(__xludf.DUMMYFUNCTION("""COMPUTED_VALUE"""),"C0007")</f>
        <v>C0007</v>
      </c>
      <c r="B5214" s="51">
        <f ca="1">IFERROR(__xludf.DUMMYFUNCTION("""COMPUTED_VALUE"""),44604)</f>
        <v>44604</v>
      </c>
      <c r="C5214" s="22">
        <f ca="1">IFERROR(__xludf.DUMMYFUNCTION("""COMPUTED_VALUE"""),500000)</f>
        <v>500000</v>
      </c>
      <c r="D5214" s="22">
        <f ca="1">IFERROR(__xludf.DUMMYFUNCTION("""COMPUTED_VALUE"""),0)</f>
        <v>0</v>
      </c>
      <c r="E5214" s="22">
        <f ca="1">IFERROR(__xludf.DUMMYFUNCTION("""COMPUTED_VALUE"""),500000)</f>
        <v>500000</v>
      </c>
      <c r="F5214" s="22">
        <f ca="1">IFERROR(__xludf.DUMMYFUNCTION("""COMPUTED_VALUE"""),500000)</f>
        <v>500000</v>
      </c>
      <c r="G5214" s="22">
        <f ca="1">IFERROR(__xludf.DUMMYFUNCTION("""COMPUTED_VALUE"""),0)</f>
        <v>0</v>
      </c>
      <c r="H5214" s="7">
        <f ca="1">IFERROR(__xludf.DUMMYFUNCTION("""COMPUTED_VALUE"""),500000)</f>
        <v>500000</v>
      </c>
    </row>
    <row r="5215" spans="1:8" ht="13" x14ac:dyDescent="0.15">
      <c r="A5215" s="5" t="str">
        <f ca="1">IFERROR(__xludf.DUMMYFUNCTION("""COMPUTED_VALUE"""),"C0007")</f>
        <v>C0007</v>
      </c>
      <c r="B5215" s="51">
        <f ca="1">IFERROR(__xludf.DUMMYFUNCTION("""COMPUTED_VALUE"""),44605)</f>
        <v>44605</v>
      </c>
      <c r="C5215" s="22">
        <f ca="1">IFERROR(__xludf.DUMMYFUNCTION("""COMPUTED_VALUE"""),500000)</f>
        <v>500000</v>
      </c>
      <c r="D5215" s="22">
        <f ca="1">IFERROR(__xludf.DUMMYFUNCTION("""COMPUTED_VALUE"""),0)</f>
        <v>0</v>
      </c>
      <c r="E5215" s="22">
        <f ca="1">IFERROR(__xludf.DUMMYFUNCTION("""COMPUTED_VALUE"""),500000)</f>
        <v>500000</v>
      </c>
      <c r="F5215" s="22">
        <f ca="1">IFERROR(__xludf.DUMMYFUNCTION("""COMPUTED_VALUE"""),500000)</f>
        <v>500000</v>
      </c>
      <c r="G5215" s="22">
        <f ca="1">IFERROR(__xludf.DUMMYFUNCTION("""COMPUTED_VALUE"""),0)</f>
        <v>0</v>
      </c>
      <c r="H5215" s="7">
        <f ca="1">IFERROR(__xludf.DUMMYFUNCTION("""COMPUTED_VALUE"""),500000)</f>
        <v>500000</v>
      </c>
    </row>
    <row r="5216" spans="1:8" ht="13" x14ac:dyDescent="0.15">
      <c r="A5216" s="5" t="str">
        <f ca="1">IFERROR(__xludf.DUMMYFUNCTION("""COMPUTED_VALUE"""),"C0007")</f>
        <v>C0007</v>
      </c>
      <c r="B5216" s="51">
        <f ca="1">IFERROR(__xludf.DUMMYFUNCTION("""COMPUTED_VALUE"""),44606)</f>
        <v>44606</v>
      </c>
      <c r="C5216" s="22">
        <f ca="1">IFERROR(__xludf.DUMMYFUNCTION("""COMPUTED_VALUE"""),500000)</f>
        <v>500000</v>
      </c>
      <c r="D5216" s="22">
        <f ca="1">IFERROR(__xludf.DUMMYFUNCTION("""COMPUTED_VALUE"""),0)</f>
        <v>0</v>
      </c>
      <c r="E5216" s="22">
        <f ca="1">IFERROR(__xludf.DUMMYFUNCTION("""COMPUTED_VALUE"""),500000)</f>
        <v>500000</v>
      </c>
      <c r="F5216" s="22">
        <f ca="1">IFERROR(__xludf.DUMMYFUNCTION("""COMPUTED_VALUE"""),500000)</f>
        <v>500000</v>
      </c>
      <c r="G5216" s="22">
        <f ca="1">IFERROR(__xludf.DUMMYFUNCTION("""COMPUTED_VALUE"""),0)</f>
        <v>0</v>
      </c>
      <c r="H5216" s="7">
        <f ca="1">IFERROR(__xludf.DUMMYFUNCTION("""COMPUTED_VALUE"""),500000)</f>
        <v>500000</v>
      </c>
    </row>
    <row r="5217" spans="1:8" ht="13" x14ac:dyDescent="0.15">
      <c r="A5217" s="5" t="str">
        <f ca="1">IFERROR(__xludf.DUMMYFUNCTION("""COMPUTED_VALUE"""),"C0007")</f>
        <v>C0007</v>
      </c>
      <c r="B5217" s="51">
        <f ca="1">IFERROR(__xludf.DUMMYFUNCTION("""COMPUTED_VALUE"""),44607)</f>
        <v>44607</v>
      </c>
      <c r="C5217" s="22">
        <f ca="1">IFERROR(__xludf.DUMMYFUNCTION("""COMPUTED_VALUE"""),500000)</f>
        <v>500000</v>
      </c>
      <c r="D5217" s="22">
        <f ca="1">IFERROR(__xludf.DUMMYFUNCTION("""COMPUTED_VALUE"""),0)</f>
        <v>0</v>
      </c>
      <c r="E5217" s="22">
        <f ca="1">IFERROR(__xludf.DUMMYFUNCTION("""COMPUTED_VALUE"""),500000)</f>
        <v>500000</v>
      </c>
      <c r="F5217" s="22">
        <f ca="1">IFERROR(__xludf.DUMMYFUNCTION("""COMPUTED_VALUE"""),500000)</f>
        <v>500000</v>
      </c>
      <c r="G5217" s="22">
        <f ca="1">IFERROR(__xludf.DUMMYFUNCTION("""COMPUTED_VALUE"""),0)</f>
        <v>0</v>
      </c>
      <c r="H5217" s="7">
        <f ca="1">IFERROR(__xludf.DUMMYFUNCTION("""COMPUTED_VALUE"""),500000)</f>
        <v>500000</v>
      </c>
    </row>
    <row r="5218" spans="1:8" ht="13" x14ac:dyDescent="0.15">
      <c r="A5218" s="5" t="str">
        <f ca="1">IFERROR(__xludf.DUMMYFUNCTION("""COMPUTED_VALUE"""),"C0007")</f>
        <v>C0007</v>
      </c>
      <c r="B5218" s="51">
        <f ca="1">IFERROR(__xludf.DUMMYFUNCTION("""COMPUTED_VALUE"""),44608)</f>
        <v>44608</v>
      </c>
      <c r="C5218" s="22">
        <f ca="1">IFERROR(__xludf.DUMMYFUNCTION("""COMPUTED_VALUE"""),500000)</f>
        <v>500000</v>
      </c>
      <c r="D5218" s="22">
        <f ca="1">IFERROR(__xludf.DUMMYFUNCTION("""COMPUTED_VALUE"""),0)</f>
        <v>0</v>
      </c>
      <c r="E5218" s="22">
        <f ca="1">IFERROR(__xludf.DUMMYFUNCTION("""COMPUTED_VALUE"""),500000)</f>
        <v>500000</v>
      </c>
      <c r="F5218" s="22">
        <f ca="1">IFERROR(__xludf.DUMMYFUNCTION("""COMPUTED_VALUE"""),500000)</f>
        <v>500000</v>
      </c>
      <c r="G5218" s="22">
        <f ca="1">IFERROR(__xludf.DUMMYFUNCTION("""COMPUTED_VALUE"""),0)</f>
        <v>0</v>
      </c>
      <c r="H5218" s="7">
        <f ca="1">IFERROR(__xludf.DUMMYFUNCTION("""COMPUTED_VALUE"""),500000)</f>
        <v>500000</v>
      </c>
    </row>
    <row r="5219" spans="1:8" ht="13" x14ac:dyDescent="0.15">
      <c r="A5219" s="5" t="str">
        <f ca="1">IFERROR(__xludf.DUMMYFUNCTION("""COMPUTED_VALUE"""),"C0007")</f>
        <v>C0007</v>
      </c>
      <c r="B5219" s="51">
        <f ca="1">IFERROR(__xludf.DUMMYFUNCTION("""COMPUTED_VALUE"""),44609)</f>
        <v>44609</v>
      </c>
      <c r="C5219" s="22">
        <f ca="1">IFERROR(__xludf.DUMMYFUNCTION("""COMPUTED_VALUE"""),500000)</f>
        <v>500000</v>
      </c>
      <c r="D5219" s="22">
        <f ca="1">IFERROR(__xludf.DUMMYFUNCTION("""COMPUTED_VALUE"""),0)</f>
        <v>0</v>
      </c>
      <c r="E5219" s="22">
        <f ca="1">IFERROR(__xludf.DUMMYFUNCTION("""COMPUTED_VALUE"""),500000)</f>
        <v>500000</v>
      </c>
      <c r="F5219" s="22">
        <f ca="1">IFERROR(__xludf.DUMMYFUNCTION("""COMPUTED_VALUE"""),500000)</f>
        <v>500000</v>
      </c>
      <c r="G5219" s="22">
        <f ca="1">IFERROR(__xludf.DUMMYFUNCTION("""COMPUTED_VALUE"""),0)</f>
        <v>0</v>
      </c>
      <c r="H5219" s="7">
        <f ca="1">IFERROR(__xludf.DUMMYFUNCTION("""COMPUTED_VALUE"""),500000)</f>
        <v>500000</v>
      </c>
    </row>
    <row r="5220" spans="1:8" ht="13" x14ac:dyDescent="0.15">
      <c r="A5220" s="5" t="str">
        <f ca="1">IFERROR(__xludf.DUMMYFUNCTION("""COMPUTED_VALUE"""),"C0007")</f>
        <v>C0007</v>
      </c>
      <c r="B5220" s="51">
        <f ca="1">IFERROR(__xludf.DUMMYFUNCTION("""COMPUTED_VALUE"""),44610)</f>
        <v>44610</v>
      </c>
      <c r="C5220" s="22">
        <f ca="1">IFERROR(__xludf.DUMMYFUNCTION("""COMPUTED_VALUE"""),500000)</f>
        <v>500000</v>
      </c>
      <c r="D5220" s="22">
        <f ca="1">IFERROR(__xludf.DUMMYFUNCTION("""COMPUTED_VALUE"""),0)</f>
        <v>0</v>
      </c>
      <c r="E5220" s="22">
        <f ca="1">IFERROR(__xludf.DUMMYFUNCTION("""COMPUTED_VALUE"""),500000)</f>
        <v>500000</v>
      </c>
      <c r="F5220" s="22">
        <f ca="1">IFERROR(__xludf.DUMMYFUNCTION("""COMPUTED_VALUE"""),500000)</f>
        <v>500000</v>
      </c>
      <c r="G5220" s="22">
        <f ca="1">IFERROR(__xludf.DUMMYFUNCTION("""COMPUTED_VALUE"""),0)</f>
        <v>0</v>
      </c>
      <c r="H5220" s="7">
        <f ca="1">IFERROR(__xludf.DUMMYFUNCTION("""COMPUTED_VALUE"""),500000)</f>
        <v>500000</v>
      </c>
    </row>
    <row r="5221" spans="1:8" ht="13" x14ac:dyDescent="0.15">
      <c r="A5221" s="5" t="str">
        <f ca="1">IFERROR(__xludf.DUMMYFUNCTION("""COMPUTED_VALUE"""),"C0007")</f>
        <v>C0007</v>
      </c>
      <c r="B5221" s="51">
        <f ca="1">IFERROR(__xludf.DUMMYFUNCTION("""COMPUTED_VALUE"""),44611)</f>
        <v>44611</v>
      </c>
      <c r="C5221" s="22">
        <f ca="1">IFERROR(__xludf.DUMMYFUNCTION("""COMPUTED_VALUE"""),500000)</f>
        <v>500000</v>
      </c>
      <c r="D5221" s="22">
        <f ca="1">IFERROR(__xludf.DUMMYFUNCTION("""COMPUTED_VALUE"""),0)</f>
        <v>0</v>
      </c>
      <c r="E5221" s="22">
        <f ca="1">IFERROR(__xludf.DUMMYFUNCTION("""COMPUTED_VALUE"""),500000)</f>
        <v>500000</v>
      </c>
      <c r="F5221" s="22">
        <f ca="1">IFERROR(__xludf.DUMMYFUNCTION("""COMPUTED_VALUE"""),500000)</f>
        <v>500000</v>
      </c>
      <c r="G5221" s="22">
        <f ca="1">IFERROR(__xludf.DUMMYFUNCTION("""COMPUTED_VALUE"""),0)</f>
        <v>0</v>
      </c>
      <c r="H5221" s="7">
        <f ca="1">IFERROR(__xludf.DUMMYFUNCTION("""COMPUTED_VALUE"""),500000)</f>
        <v>500000</v>
      </c>
    </row>
    <row r="5222" spans="1:8" ht="13" x14ac:dyDescent="0.15">
      <c r="A5222" s="5" t="str">
        <f ca="1">IFERROR(__xludf.DUMMYFUNCTION("""COMPUTED_VALUE"""),"C0007")</f>
        <v>C0007</v>
      </c>
      <c r="B5222" s="51">
        <f ca="1">IFERROR(__xludf.DUMMYFUNCTION("""COMPUTED_VALUE"""),44612)</f>
        <v>44612</v>
      </c>
      <c r="C5222" s="22">
        <f ca="1">IFERROR(__xludf.DUMMYFUNCTION("""COMPUTED_VALUE"""),500000)</f>
        <v>500000</v>
      </c>
      <c r="D5222" s="22">
        <f ca="1">IFERROR(__xludf.DUMMYFUNCTION("""COMPUTED_VALUE"""),0)</f>
        <v>0</v>
      </c>
      <c r="E5222" s="22">
        <f ca="1">IFERROR(__xludf.DUMMYFUNCTION("""COMPUTED_VALUE"""),500000)</f>
        <v>500000</v>
      </c>
      <c r="F5222" s="22">
        <f ca="1">IFERROR(__xludf.DUMMYFUNCTION("""COMPUTED_VALUE"""),500000)</f>
        <v>500000</v>
      </c>
      <c r="G5222" s="22">
        <f ca="1">IFERROR(__xludf.DUMMYFUNCTION("""COMPUTED_VALUE"""),0)</f>
        <v>0</v>
      </c>
      <c r="H5222" s="7">
        <f ca="1">IFERROR(__xludf.DUMMYFUNCTION("""COMPUTED_VALUE"""),500000)</f>
        <v>500000</v>
      </c>
    </row>
    <row r="5223" spans="1:8" ht="13" x14ac:dyDescent="0.15">
      <c r="A5223" s="5" t="str">
        <f ca="1">IFERROR(__xludf.DUMMYFUNCTION("""COMPUTED_VALUE"""),"C0007")</f>
        <v>C0007</v>
      </c>
      <c r="B5223" s="51">
        <f ca="1">IFERROR(__xludf.DUMMYFUNCTION("""COMPUTED_VALUE"""),44613)</f>
        <v>44613</v>
      </c>
      <c r="C5223" s="22">
        <f ca="1">IFERROR(__xludf.DUMMYFUNCTION("""COMPUTED_VALUE"""),500000)</f>
        <v>500000</v>
      </c>
      <c r="D5223" s="22">
        <f ca="1">IFERROR(__xludf.DUMMYFUNCTION("""COMPUTED_VALUE"""),0)</f>
        <v>0</v>
      </c>
      <c r="E5223" s="22">
        <f ca="1">IFERROR(__xludf.DUMMYFUNCTION("""COMPUTED_VALUE"""),500000)</f>
        <v>500000</v>
      </c>
      <c r="F5223" s="22">
        <f ca="1">IFERROR(__xludf.DUMMYFUNCTION("""COMPUTED_VALUE"""),500000)</f>
        <v>500000</v>
      </c>
      <c r="G5223" s="22">
        <f ca="1">IFERROR(__xludf.DUMMYFUNCTION("""COMPUTED_VALUE"""),0)</f>
        <v>0</v>
      </c>
      <c r="H5223" s="7">
        <f ca="1">IFERROR(__xludf.DUMMYFUNCTION("""COMPUTED_VALUE"""),500000)</f>
        <v>500000</v>
      </c>
    </row>
    <row r="5224" spans="1:8" ht="13" x14ac:dyDescent="0.15">
      <c r="A5224" s="5" t="str">
        <f ca="1">IFERROR(__xludf.DUMMYFUNCTION("""COMPUTED_VALUE"""),"C0007")</f>
        <v>C0007</v>
      </c>
      <c r="B5224" s="51">
        <f ca="1">IFERROR(__xludf.DUMMYFUNCTION("""COMPUTED_VALUE"""),44614)</f>
        <v>44614</v>
      </c>
      <c r="C5224" s="22">
        <f ca="1">IFERROR(__xludf.DUMMYFUNCTION("""COMPUTED_VALUE"""),500000)</f>
        <v>500000</v>
      </c>
      <c r="D5224" s="22">
        <f ca="1">IFERROR(__xludf.DUMMYFUNCTION("""COMPUTED_VALUE"""),0)</f>
        <v>0</v>
      </c>
      <c r="E5224" s="22">
        <f ca="1">IFERROR(__xludf.DUMMYFUNCTION("""COMPUTED_VALUE"""),500000)</f>
        <v>500000</v>
      </c>
      <c r="F5224" s="22">
        <f ca="1">IFERROR(__xludf.DUMMYFUNCTION("""COMPUTED_VALUE"""),500000)</f>
        <v>500000</v>
      </c>
      <c r="G5224" s="22">
        <f ca="1">IFERROR(__xludf.DUMMYFUNCTION("""COMPUTED_VALUE"""),0)</f>
        <v>0</v>
      </c>
      <c r="H5224" s="7">
        <f ca="1">IFERROR(__xludf.DUMMYFUNCTION("""COMPUTED_VALUE"""),500000)</f>
        <v>500000</v>
      </c>
    </row>
    <row r="5225" spans="1:8" ht="13" x14ac:dyDescent="0.15">
      <c r="A5225" s="5" t="str">
        <f ca="1">IFERROR(__xludf.DUMMYFUNCTION("""COMPUTED_VALUE"""),"C0007")</f>
        <v>C0007</v>
      </c>
      <c r="B5225" s="51">
        <f ca="1">IFERROR(__xludf.DUMMYFUNCTION("""COMPUTED_VALUE"""),44615)</f>
        <v>44615</v>
      </c>
      <c r="C5225" s="22">
        <f ca="1">IFERROR(__xludf.DUMMYFUNCTION("""COMPUTED_VALUE"""),500000)</f>
        <v>500000</v>
      </c>
      <c r="D5225" s="22">
        <f ca="1">IFERROR(__xludf.DUMMYFUNCTION("""COMPUTED_VALUE"""),0)</f>
        <v>0</v>
      </c>
      <c r="E5225" s="22">
        <f ca="1">IFERROR(__xludf.DUMMYFUNCTION("""COMPUTED_VALUE"""),500000)</f>
        <v>500000</v>
      </c>
      <c r="F5225" s="22">
        <f ca="1">IFERROR(__xludf.DUMMYFUNCTION("""COMPUTED_VALUE"""),500000)</f>
        <v>500000</v>
      </c>
      <c r="G5225" s="22">
        <f ca="1">IFERROR(__xludf.DUMMYFUNCTION("""COMPUTED_VALUE"""),0)</f>
        <v>0</v>
      </c>
      <c r="H5225" s="7">
        <f ca="1">IFERROR(__xludf.DUMMYFUNCTION("""COMPUTED_VALUE"""),500000)</f>
        <v>500000</v>
      </c>
    </row>
    <row r="5226" spans="1:8" ht="13" x14ac:dyDescent="0.15">
      <c r="A5226" s="5" t="str">
        <f ca="1">IFERROR(__xludf.DUMMYFUNCTION("""COMPUTED_VALUE"""),"C0007")</f>
        <v>C0007</v>
      </c>
      <c r="B5226" s="51">
        <f ca="1">IFERROR(__xludf.DUMMYFUNCTION("""COMPUTED_VALUE"""),44616)</f>
        <v>44616</v>
      </c>
      <c r="C5226" s="22">
        <f ca="1">IFERROR(__xludf.DUMMYFUNCTION("""COMPUTED_VALUE"""),500000)</f>
        <v>500000</v>
      </c>
      <c r="D5226" s="22">
        <f ca="1">IFERROR(__xludf.DUMMYFUNCTION("""COMPUTED_VALUE"""),0)</f>
        <v>0</v>
      </c>
      <c r="E5226" s="22">
        <f ca="1">IFERROR(__xludf.DUMMYFUNCTION("""COMPUTED_VALUE"""),500000)</f>
        <v>500000</v>
      </c>
      <c r="F5226" s="22">
        <f ca="1">IFERROR(__xludf.DUMMYFUNCTION("""COMPUTED_VALUE"""),500000)</f>
        <v>500000</v>
      </c>
      <c r="G5226" s="22">
        <f ca="1">IFERROR(__xludf.DUMMYFUNCTION("""COMPUTED_VALUE"""),0)</f>
        <v>0</v>
      </c>
      <c r="H5226" s="7">
        <f ca="1">IFERROR(__xludf.DUMMYFUNCTION("""COMPUTED_VALUE"""),500000)</f>
        <v>500000</v>
      </c>
    </row>
    <row r="5227" spans="1:8" ht="13" x14ac:dyDescent="0.15">
      <c r="A5227" s="5" t="str">
        <f ca="1">IFERROR(__xludf.DUMMYFUNCTION("""COMPUTED_VALUE"""),"C0007")</f>
        <v>C0007</v>
      </c>
      <c r="B5227" s="51">
        <f ca="1">IFERROR(__xludf.DUMMYFUNCTION("""COMPUTED_VALUE"""),44617)</f>
        <v>44617</v>
      </c>
      <c r="C5227" s="22">
        <f ca="1">IFERROR(__xludf.DUMMYFUNCTION("""COMPUTED_VALUE"""),500000)</f>
        <v>500000</v>
      </c>
      <c r="D5227" s="22">
        <f ca="1">IFERROR(__xludf.DUMMYFUNCTION("""COMPUTED_VALUE"""),0)</f>
        <v>0</v>
      </c>
      <c r="E5227" s="22">
        <f ca="1">IFERROR(__xludf.DUMMYFUNCTION("""COMPUTED_VALUE"""),500000)</f>
        <v>500000</v>
      </c>
      <c r="F5227" s="22">
        <f ca="1">IFERROR(__xludf.DUMMYFUNCTION("""COMPUTED_VALUE"""),500000)</f>
        <v>500000</v>
      </c>
      <c r="G5227" s="22">
        <f ca="1">IFERROR(__xludf.DUMMYFUNCTION("""COMPUTED_VALUE"""),0)</f>
        <v>0</v>
      </c>
      <c r="H5227" s="7">
        <f ca="1">IFERROR(__xludf.DUMMYFUNCTION("""COMPUTED_VALUE"""),500000)</f>
        <v>500000</v>
      </c>
    </row>
    <row r="5228" spans="1:8" ht="13" x14ac:dyDescent="0.15">
      <c r="A5228" s="5" t="str">
        <f ca="1">IFERROR(__xludf.DUMMYFUNCTION("""COMPUTED_VALUE"""),"C0007")</f>
        <v>C0007</v>
      </c>
      <c r="B5228" s="51">
        <f ca="1">IFERROR(__xludf.DUMMYFUNCTION("""COMPUTED_VALUE"""),44618)</f>
        <v>44618</v>
      </c>
      <c r="C5228" s="22">
        <f ca="1">IFERROR(__xludf.DUMMYFUNCTION("""COMPUTED_VALUE"""),500000)</f>
        <v>500000</v>
      </c>
      <c r="D5228" s="22">
        <f ca="1">IFERROR(__xludf.DUMMYFUNCTION("""COMPUTED_VALUE"""),0)</f>
        <v>0</v>
      </c>
      <c r="E5228" s="22">
        <f ca="1">IFERROR(__xludf.DUMMYFUNCTION("""COMPUTED_VALUE"""),500000)</f>
        <v>500000</v>
      </c>
      <c r="F5228" s="22">
        <f ca="1">IFERROR(__xludf.DUMMYFUNCTION("""COMPUTED_VALUE"""),500000)</f>
        <v>500000</v>
      </c>
      <c r="G5228" s="22">
        <f ca="1">IFERROR(__xludf.DUMMYFUNCTION("""COMPUTED_VALUE"""),0)</f>
        <v>0</v>
      </c>
      <c r="H5228" s="7">
        <f ca="1">IFERROR(__xludf.DUMMYFUNCTION("""COMPUTED_VALUE"""),500000)</f>
        <v>500000</v>
      </c>
    </row>
    <row r="5229" spans="1:8" ht="13" x14ac:dyDescent="0.15">
      <c r="A5229" s="5" t="str">
        <f ca="1">IFERROR(__xludf.DUMMYFUNCTION("""COMPUTED_VALUE"""),"C0007")</f>
        <v>C0007</v>
      </c>
      <c r="B5229" s="51">
        <f ca="1">IFERROR(__xludf.DUMMYFUNCTION("""COMPUTED_VALUE"""),44619)</f>
        <v>44619</v>
      </c>
      <c r="C5229" s="22">
        <f ca="1">IFERROR(__xludf.DUMMYFUNCTION("""COMPUTED_VALUE"""),500000)</f>
        <v>500000</v>
      </c>
      <c r="D5229" s="22">
        <f ca="1">IFERROR(__xludf.DUMMYFUNCTION("""COMPUTED_VALUE"""),0)</f>
        <v>0</v>
      </c>
      <c r="E5229" s="22">
        <f ca="1">IFERROR(__xludf.DUMMYFUNCTION("""COMPUTED_VALUE"""),500000)</f>
        <v>500000</v>
      </c>
      <c r="F5229" s="22">
        <f ca="1">IFERROR(__xludf.DUMMYFUNCTION("""COMPUTED_VALUE"""),500000)</f>
        <v>500000</v>
      </c>
      <c r="G5229" s="22">
        <f ca="1">IFERROR(__xludf.DUMMYFUNCTION("""COMPUTED_VALUE"""),0)</f>
        <v>0</v>
      </c>
      <c r="H5229" s="7">
        <f ca="1">IFERROR(__xludf.DUMMYFUNCTION("""COMPUTED_VALUE"""),500000)</f>
        <v>500000</v>
      </c>
    </row>
    <row r="5230" spans="1:8" ht="13" x14ac:dyDescent="0.15">
      <c r="A5230" s="5" t="str">
        <f ca="1">IFERROR(__xludf.DUMMYFUNCTION("""COMPUTED_VALUE"""),"C0007")</f>
        <v>C0007</v>
      </c>
      <c r="B5230" s="51">
        <f ca="1">IFERROR(__xludf.DUMMYFUNCTION("""COMPUTED_VALUE"""),44620)</f>
        <v>44620</v>
      </c>
      <c r="C5230" s="22">
        <f ca="1">IFERROR(__xludf.DUMMYFUNCTION("""COMPUTED_VALUE"""),500000)</f>
        <v>500000</v>
      </c>
      <c r="D5230" s="22">
        <f ca="1">IFERROR(__xludf.DUMMYFUNCTION("""COMPUTED_VALUE"""),0)</f>
        <v>0</v>
      </c>
      <c r="E5230" s="22">
        <f ca="1">IFERROR(__xludf.DUMMYFUNCTION("""COMPUTED_VALUE"""),500000)</f>
        <v>500000</v>
      </c>
      <c r="F5230" s="22">
        <f ca="1">IFERROR(__xludf.DUMMYFUNCTION("""COMPUTED_VALUE"""),500000)</f>
        <v>500000</v>
      </c>
      <c r="G5230" s="22">
        <f ca="1">IFERROR(__xludf.DUMMYFUNCTION("""COMPUTED_VALUE"""),0)</f>
        <v>0</v>
      </c>
      <c r="H5230" s="7">
        <f ca="1">IFERROR(__xludf.DUMMYFUNCTION("""COMPUTED_VALUE"""),500000)</f>
        <v>500000</v>
      </c>
    </row>
    <row r="5231" spans="1:8" ht="13" x14ac:dyDescent="0.15">
      <c r="A5231" s="5" t="str">
        <f ca="1">IFERROR(__xludf.DUMMYFUNCTION("""COMPUTED_VALUE"""),"C0007")</f>
        <v>C0007</v>
      </c>
      <c r="B5231" s="51">
        <f ca="1">IFERROR(__xludf.DUMMYFUNCTION("""COMPUTED_VALUE"""),44621)</f>
        <v>44621</v>
      </c>
      <c r="C5231" s="22">
        <f ca="1">IFERROR(__xludf.DUMMYFUNCTION("""COMPUTED_VALUE"""),500000)</f>
        <v>500000</v>
      </c>
      <c r="D5231" s="22">
        <f ca="1">IFERROR(__xludf.DUMMYFUNCTION("""COMPUTED_VALUE"""),0)</f>
        <v>0</v>
      </c>
      <c r="E5231" s="22">
        <f ca="1">IFERROR(__xludf.DUMMYFUNCTION("""COMPUTED_VALUE"""),500000)</f>
        <v>500000</v>
      </c>
      <c r="F5231" s="22">
        <f ca="1">IFERROR(__xludf.DUMMYFUNCTION("""COMPUTED_VALUE"""),500000)</f>
        <v>500000</v>
      </c>
      <c r="G5231" s="22">
        <f ca="1">IFERROR(__xludf.DUMMYFUNCTION("""COMPUTED_VALUE"""),0)</f>
        <v>0</v>
      </c>
      <c r="H5231" s="7">
        <f ca="1">IFERROR(__xludf.DUMMYFUNCTION("""COMPUTED_VALUE"""),500000)</f>
        <v>500000</v>
      </c>
    </row>
    <row r="5232" spans="1:8" ht="13" x14ac:dyDescent="0.15">
      <c r="A5232" s="5" t="str">
        <f ca="1">IFERROR(__xludf.DUMMYFUNCTION("""COMPUTED_VALUE"""),"C0007")</f>
        <v>C0007</v>
      </c>
      <c r="B5232" s="51">
        <f ca="1">IFERROR(__xludf.DUMMYFUNCTION("""COMPUTED_VALUE"""),44622)</f>
        <v>44622</v>
      </c>
      <c r="C5232" s="22">
        <f ca="1">IFERROR(__xludf.DUMMYFUNCTION("""COMPUTED_VALUE"""),500000)</f>
        <v>500000</v>
      </c>
      <c r="D5232" s="22">
        <f ca="1">IFERROR(__xludf.DUMMYFUNCTION("""COMPUTED_VALUE"""),0)</f>
        <v>0</v>
      </c>
      <c r="E5232" s="22">
        <f ca="1">IFERROR(__xludf.DUMMYFUNCTION("""COMPUTED_VALUE"""),500000)</f>
        <v>500000</v>
      </c>
      <c r="F5232" s="22">
        <f ca="1">IFERROR(__xludf.DUMMYFUNCTION("""COMPUTED_VALUE"""),500000)</f>
        <v>500000</v>
      </c>
      <c r="G5232" s="22">
        <f ca="1">IFERROR(__xludf.DUMMYFUNCTION("""COMPUTED_VALUE"""),0)</f>
        <v>0</v>
      </c>
      <c r="H5232" s="7">
        <f ca="1">IFERROR(__xludf.DUMMYFUNCTION("""COMPUTED_VALUE"""),500000)</f>
        <v>500000</v>
      </c>
    </row>
    <row r="5233" spans="1:8" ht="13" x14ac:dyDescent="0.15">
      <c r="A5233" s="5" t="str">
        <f ca="1">IFERROR(__xludf.DUMMYFUNCTION("""COMPUTED_VALUE"""),"C0007")</f>
        <v>C0007</v>
      </c>
      <c r="B5233" s="51">
        <f ca="1">IFERROR(__xludf.DUMMYFUNCTION("""COMPUTED_VALUE"""),44623)</f>
        <v>44623</v>
      </c>
      <c r="C5233" s="22">
        <f ca="1">IFERROR(__xludf.DUMMYFUNCTION("""COMPUTED_VALUE"""),500000)</f>
        <v>500000</v>
      </c>
      <c r="D5233" s="22">
        <f ca="1">IFERROR(__xludf.DUMMYFUNCTION("""COMPUTED_VALUE"""),0)</f>
        <v>0</v>
      </c>
      <c r="E5233" s="22">
        <f ca="1">IFERROR(__xludf.DUMMYFUNCTION("""COMPUTED_VALUE"""),500000)</f>
        <v>500000</v>
      </c>
      <c r="F5233" s="22">
        <f ca="1">IFERROR(__xludf.DUMMYFUNCTION("""COMPUTED_VALUE"""),500000)</f>
        <v>500000</v>
      </c>
      <c r="G5233" s="22">
        <f ca="1">IFERROR(__xludf.DUMMYFUNCTION("""COMPUTED_VALUE"""),0)</f>
        <v>0</v>
      </c>
      <c r="H5233" s="7">
        <f ca="1">IFERROR(__xludf.DUMMYFUNCTION("""COMPUTED_VALUE"""),500000)</f>
        <v>500000</v>
      </c>
    </row>
    <row r="5234" spans="1:8" ht="13" x14ac:dyDescent="0.15">
      <c r="A5234" s="5" t="str">
        <f ca="1">IFERROR(__xludf.DUMMYFUNCTION("""COMPUTED_VALUE"""),"C0007")</f>
        <v>C0007</v>
      </c>
      <c r="B5234" s="51">
        <f ca="1">IFERROR(__xludf.DUMMYFUNCTION("""COMPUTED_VALUE"""),44624)</f>
        <v>44624</v>
      </c>
      <c r="C5234" s="22">
        <f ca="1">IFERROR(__xludf.DUMMYFUNCTION("""COMPUTED_VALUE"""),500000)</f>
        <v>500000</v>
      </c>
      <c r="D5234" s="22">
        <f ca="1">IFERROR(__xludf.DUMMYFUNCTION("""COMPUTED_VALUE"""),0)</f>
        <v>0</v>
      </c>
      <c r="E5234" s="22">
        <f ca="1">IFERROR(__xludf.DUMMYFUNCTION("""COMPUTED_VALUE"""),500000)</f>
        <v>500000</v>
      </c>
      <c r="F5234" s="22">
        <f ca="1">IFERROR(__xludf.DUMMYFUNCTION("""COMPUTED_VALUE"""),500000)</f>
        <v>500000</v>
      </c>
      <c r="G5234" s="22">
        <f ca="1">IFERROR(__xludf.DUMMYFUNCTION("""COMPUTED_VALUE"""),0)</f>
        <v>0</v>
      </c>
      <c r="H5234" s="7">
        <f ca="1">IFERROR(__xludf.DUMMYFUNCTION("""COMPUTED_VALUE"""),500000)</f>
        <v>500000</v>
      </c>
    </row>
    <row r="5235" spans="1:8" ht="13" x14ac:dyDescent="0.15">
      <c r="A5235" s="5" t="str">
        <f ca="1">IFERROR(__xludf.DUMMYFUNCTION("""COMPUTED_VALUE"""),"C0007")</f>
        <v>C0007</v>
      </c>
      <c r="B5235" s="51">
        <f ca="1">IFERROR(__xludf.DUMMYFUNCTION("""COMPUTED_VALUE"""),44625)</f>
        <v>44625</v>
      </c>
      <c r="C5235" s="22">
        <f ca="1">IFERROR(__xludf.DUMMYFUNCTION("""COMPUTED_VALUE"""),500000)</f>
        <v>500000</v>
      </c>
      <c r="D5235" s="22">
        <f ca="1">IFERROR(__xludf.DUMMYFUNCTION("""COMPUTED_VALUE"""),0)</f>
        <v>0</v>
      </c>
      <c r="E5235" s="22">
        <f ca="1">IFERROR(__xludf.DUMMYFUNCTION("""COMPUTED_VALUE"""),500000)</f>
        <v>500000</v>
      </c>
      <c r="F5235" s="22">
        <f ca="1">IFERROR(__xludf.DUMMYFUNCTION("""COMPUTED_VALUE"""),500000)</f>
        <v>500000</v>
      </c>
      <c r="G5235" s="22">
        <f ca="1">IFERROR(__xludf.DUMMYFUNCTION("""COMPUTED_VALUE"""),0)</f>
        <v>0</v>
      </c>
      <c r="H5235" s="7">
        <f ca="1">IFERROR(__xludf.DUMMYFUNCTION("""COMPUTED_VALUE"""),500000)</f>
        <v>500000</v>
      </c>
    </row>
    <row r="5236" spans="1:8" ht="13" x14ac:dyDescent="0.15">
      <c r="A5236" s="5" t="str">
        <f ca="1">IFERROR(__xludf.DUMMYFUNCTION("""COMPUTED_VALUE"""),"C0007")</f>
        <v>C0007</v>
      </c>
      <c r="B5236" s="51">
        <f ca="1">IFERROR(__xludf.DUMMYFUNCTION("""COMPUTED_VALUE"""),44626)</f>
        <v>44626</v>
      </c>
      <c r="C5236" s="22">
        <f ca="1">IFERROR(__xludf.DUMMYFUNCTION("""COMPUTED_VALUE"""),500000)</f>
        <v>500000</v>
      </c>
      <c r="D5236" s="22">
        <f ca="1">IFERROR(__xludf.DUMMYFUNCTION("""COMPUTED_VALUE"""),0)</f>
        <v>0</v>
      </c>
      <c r="E5236" s="22">
        <f ca="1">IFERROR(__xludf.DUMMYFUNCTION("""COMPUTED_VALUE"""),500000)</f>
        <v>500000</v>
      </c>
      <c r="F5236" s="22">
        <f ca="1">IFERROR(__xludf.DUMMYFUNCTION("""COMPUTED_VALUE"""),500000)</f>
        <v>500000</v>
      </c>
      <c r="G5236" s="22">
        <f ca="1">IFERROR(__xludf.DUMMYFUNCTION("""COMPUTED_VALUE"""),0)</f>
        <v>0</v>
      </c>
      <c r="H5236" s="7">
        <f ca="1">IFERROR(__xludf.DUMMYFUNCTION("""COMPUTED_VALUE"""),500000)</f>
        <v>500000</v>
      </c>
    </row>
    <row r="5237" spans="1:8" ht="13" x14ac:dyDescent="0.15">
      <c r="A5237" s="5" t="str">
        <f ca="1">IFERROR(__xludf.DUMMYFUNCTION("""COMPUTED_VALUE"""),"C0007")</f>
        <v>C0007</v>
      </c>
      <c r="B5237" s="51">
        <f ca="1">IFERROR(__xludf.DUMMYFUNCTION("""COMPUTED_VALUE"""),44627)</f>
        <v>44627</v>
      </c>
      <c r="C5237" s="22">
        <f ca="1">IFERROR(__xludf.DUMMYFUNCTION("""COMPUTED_VALUE"""),500000)</f>
        <v>500000</v>
      </c>
      <c r="D5237" s="22">
        <f ca="1">IFERROR(__xludf.DUMMYFUNCTION("""COMPUTED_VALUE"""),0)</f>
        <v>0</v>
      </c>
      <c r="E5237" s="22">
        <f ca="1">IFERROR(__xludf.DUMMYFUNCTION("""COMPUTED_VALUE"""),500000)</f>
        <v>500000</v>
      </c>
      <c r="F5237" s="22">
        <f ca="1">IFERROR(__xludf.DUMMYFUNCTION("""COMPUTED_VALUE"""),500000)</f>
        <v>500000</v>
      </c>
      <c r="G5237" s="22">
        <f ca="1">IFERROR(__xludf.DUMMYFUNCTION("""COMPUTED_VALUE"""),0)</f>
        <v>0</v>
      </c>
      <c r="H5237" s="7">
        <f ca="1">IFERROR(__xludf.DUMMYFUNCTION("""COMPUTED_VALUE"""),500000)</f>
        <v>500000</v>
      </c>
    </row>
    <row r="5238" spans="1:8" ht="13" x14ac:dyDescent="0.15">
      <c r="A5238" s="5" t="str">
        <f ca="1">IFERROR(__xludf.DUMMYFUNCTION("""COMPUTED_VALUE"""),"C0007")</f>
        <v>C0007</v>
      </c>
      <c r="B5238" s="51">
        <f ca="1">IFERROR(__xludf.DUMMYFUNCTION("""COMPUTED_VALUE"""),44628)</f>
        <v>44628</v>
      </c>
      <c r="C5238" s="22">
        <f ca="1">IFERROR(__xludf.DUMMYFUNCTION("""COMPUTED_VALUE"""),500000)</f>
        <v>500000</v>
      </c>
      <c r="D5238" s="22">
        <f ca="1">IFERROR(__xludf.DUMMYFUNCTION("""COMPUTED_VALUE"""),0)</f>
        <v>0</v>
      </c>
      <c r="E5238" s="22">
        <f ca="1">IFERROR(__xludf.DUMMYFUNCTION("""COMPUTED_VALUE"""),500000)</f>
        <v>500000</v>
      </c>
      <c r="F5238" s="22">
        <f ca="1">IFERROR(__xludf.DUMMYFUNCTION("""COMPUTED_VALUE"""),500000)</f>
        <v>500000</v>
      </c>
      <c r="G5238" s="22">
        <f ca="1">IFERROR(__xludf.DUMMYFUNCTION("""COMPUTED_VALUE"""),0)</f>
        <v>0</v>
      </c>
      <c r="H5238" s="7">
        <f ca="1">IFERROR(__xludf.DUMMYFUNCTION("""COMPUTED_VALUE"""),500000)</f>
        <v>500000</v>
      </c>
    </row>
    <row r="5239" spans="1:8" ht="13" x14ac:dyDescent="0.15">
      <c r="A5239" s="5" t="str">
        <f ca="1">IFERROR(__xludf.DUMMYFUNCTION("""COMPUTED_VALUE"""),"C0007")</f>
        <v>C0007</v>
      </c>
      <c r="B5239" s="51">
        <f ca="1">IFERROR(__xludf.DUMMYFUNCTION("""COMPUTED_VALUE"""),44629)</f>
        <v>44629</v>
      </c>
      <c r="C5239" s="22">
        <f ca="1">IFERROR(__xludf.DUMMYFUNCTION("""COMPUTED_VALUE"""),500000)</f>
        <v>500000</v>
      </c>
      <c r="D5239" s="22">
        <f ca="1">IFERROR(__xludf.DUMMYFUNCTION("""COMPUTED_VALUE"""),0)</f>
        <v>0</v>
      </c>
      <c r="E5239" s="22">
        <f ca="1">IFERROR(__xludf.DUMMYFUNCTION("""COMPUTED_VALUE"""),500000)</f>
        <v>500000</v>
      </c>
      <c r="F5239" s="22">
        <f ca="1">IFERROR(__xludf.DUMMYFUNCTION("""COMPUTED_VALUE"""),500000)</f>
        <v>500000</v>
      </c>
      <c r="G5239" s="22">
        <f ca="1">IFERROR(__xludf.DUMMYFUNCTION("""COMPUTED_VALUE"""),0)</f>
        <v>0</v>
      </c>
      <c r="H5239" s="7">
        <f ca="1">IFERROR(__xludf.DUMMYFUNCTION("""COMPUTED_VALUE"""),500000)</f>
        <v>500000</v>
      </c>
    </row>
    <row r="5240" spans="1:8" ht="13" x14ac:dyDescent="0.15">
      <c r="A5240" s="5" t="str">
        <f ca="1">IFERROR(__xludf.DUMMYFUNCTION("""COMPUTED_VALUE"""),"C0007")</f>
        <v>C0007</v>
      </c>
      <c r="B5240" s="51">
        <f ca="1">IFERROR(__xludf.DUMMYFUNCTION("""COMPUTED_VALUE"""),44630)</f>
        <v>44630</v>
      </c>
      <c r="C5240" s="22">
        <f ca="1">IFERROR(__xludf.DUMMYFUNCTION("""COMPUTED_VALUE"""),500000)</f>
        <v>500000</v>
      </c>
      <c r="D5240" s="22">
        <f ca="1">IFERROR(__xludf.DUMMYFUNCTION("""COMPUTED_VALUE"""),0)</f>
        <v>0</v>
      </c>
      <c r="E5240" s="22">
        <f ca="1">IFERROR(__xludf.DUMMYFUNCTION("""COMPUTED_VALUE"""),500000)</f>
        <v>500000</v>
      </c>
      <c r="F5240" s="22">
        <f ca="1">IFERROR(__xludf.DUMMYFUNCTION("""COMPUTED_VALUE"""),500000)</f>
        <v>500000</v>
      </c>
      <c r="G5240" s="22">
        <f ca="1">IFERROR(__xludf.DUMMYFUNCTION("""COMPUTED_VALUE"""),0)</f>
        <v>0</v>
      </c>
      <c r="H5240" s="7">
        <f ca="1">IFERROR(__xludf.DUMMYFUNCTION("""COMPUTED_VALUE"""),500000)</f>
        <v>500000</v>
      </c>
    </row>
    <row r="5241" spans="1:8" ht="13" x14ac:dyDescent="0.15">
      <c r="A5241" s="5" t="str">
        <f ca="1">IFERROR(__xludf.DUMMYFUNCTION("""COMPUTED_VALUE"""),"C0007")</f>
        <v>C0007</v>
      </c>
      <c r="B5241" s="51">
        <f ca="1">IFERROR(__xludf.DUMMYFUNCTION("""COMPUTED_VALUE"""),44631)</f>
        <v>44631</v>
      </c>
      <c r="C5241" s="22">
        <f ca="1">IFERROR(__xludf.DUMMYFUNCTION("""COMPUTED_VALUE"""),500000)</f>
        <v>500000</v>
      </c>
      <c r="D5241" s="22">
        <f ca="1">IFERROR(__xludf.DUMMYFUNCTION("""COMPUTED_VALUE"""),0)</f>
        <v>0</v>
      </c>
      <c r="E5241" s="22">
        <f ca="1">IFERROR(__xludf.DUMMYFUNCTION("""COMPUTED_VALUE"""),500000)</f>
        <v>500000</v>
      </c>
      <c r="F5241" s="22">
        <f ca="1">IFERROR(__xludf.DUMMYFUNCTION("""COMPUTED_VALUE"""),500000)</f>
        <v>500000</v>
      </c>
      <c r="G5241" s="22">
        <f ca="1">IFERROR(__xludf.DUMMYFUNCTION("""COMPUTED_VALUE"""),0)</f>
        <v>0</v>
      </c>
      <c r="H5241" s="7">
        <f ca="1">IFERROR(__xludf.DUMMYFUNCTION("""COMPUTED_VALUE"""),500000)</f>
        <v>500000</v>
      </c>
    </row>
    <row r="5242" spans="1:8" ht="13" x14ac:dyDescent="0.15">
      <c r="A5242" s="5" t="str">
        <f ca="1">IFERROR(__xludf.DUMMYFUNCTION("""COMPUTED_VALUE"""),"C0007")</f>
        <v>C0007</v>
      </c>
      <c r="B5242" s="51">
        <f ca="1">IFERROR(__xludf.DUMMYFUNCTION("""COMPUTED_VALUE"""),44632)</f>
        <v>44632</v>
      </c>
      <c r="C5242" s="22">
        <f ca="1">IFERROR(__xludf.DUMMYFUNCTION("""COMPUTED_VALUE"""),500000)</f>
        <v>500000</v>
      </c>
      <c r="D5242" s="22">
        <f ca="1">IFERROR(__xludf.DUMMYFUNCTION("""COMPUTED_VALUE"""),0)</f>
        <v>0</v>
      </c>
      <c r="E5242" s="22">
        <f ca="1">IFERROR(__xludf.DUMMYFUNCTION("""COMPUTED_VALUE"""),500000)</f>
        <v>500000</v>
      </c>
      <c r="F5242" s="22">
        <f ca="1">IFERROR(__xludf.DUMMYFUNCTION("""COMPUTED_VALUE"""),500000)</f>
        <v>500000</v>
      </c>
      <c r="G5242" s="22">
        <f ca="1">IFERROR(__xludf.DUMMYFUNCTION("""COMPUTED_VALUE"""),0)</f>
        <v>0</v>
      </c>
      <c r="H5242" s="7">
        <f ca="1">IFERROR(__xludf.DUMMYFUNCTION("""COMPUTED_VALUE"""),500000)</f>
        <v>500000</v>
      </c>
    </row>
    <row r="5243" spans="1:8" ht="13" x14ac:dyDescent="0.15">
      <c r="A5243" s="5" t="str">
        <f ca="1">IFERROR(__xludf.DUMMYFUNCTION("""COMPUTED_VALUE"""),"C0007")</f>
        <v>C0007</v>
      </c>
      <c r="B5243" s="51">
        <f ca="1">IFERROR(__xludf.DUMMYFUNCTION("""COMPUTED_VALUE"""),44633)</f>
        <v>44633</v>
      </c>
      <c r="C5243" s="22">
        <f ca="1">IFERROR(__xludf.DUMMYFUNCTION("""COMPUTED_VALUE"""),500000)</f>
        <v>500000</v>
      </c>
      <c r="D5243" s="22">
        <f ca="1">IFERROR(__xludf.DUMMYFUNCTION("""COMPUTED_VALUE"""),0)</f>
        <v>0</v>
      </c>
      <c r="E5243" s="22">
        <f ca="1">IFERROR(__xludf.DUMMYFUNCTION("""COMPUTED_VALUE"""),500000)</f>
        <v>500000</v>
      </c>
      <c r="F5243" s="22">
        <f ca="1">IFERROR(__xludf.DUMMYFUNCTION("""COMPUTED_VALUE"""),500000)</f>
        <v>500000</v>
      </c>
      <c r="G5243" s="22">
        <f ca="1">IFERROR(__xludf.DUMMYFUNCTION("""COMPUTED_VALUE"""),0)</f>
        <v>0</v>
      </c>
      <c r="H5243" s="7">
        <f ca="1">IFERROR(__xludf.DUMMYFUNCTION("""COMPUTED_VALUE"""),500000)</f>
        <v>500000</v>
      </c>
    </row>
    <row r="5244" spans="1:8" ht="13" x14ac:dyDescent="0.15">
      <c r="A5244" s="5" t="str">
        <f ca="1">IFERROR(__xludf.DUMMYFUNCTION("""COMPUTED_VALUE"""),"C0007")</f>
        <v>C0007</v>
      </c>
      <c r="B5244" s="51">
        <f ca="1">IFERROR(__xludf.DUMMYFUNCTION("""COMPUTED_VALUE"""),44634)</f>
        <v>44634</v>
      </c>
      <c r="C5244" s="22">
        <f ca="1">IFERROR(__xludf.DUMMYFUNCTION("""COMPUTED_VALUE"""),500000)</f>
        <v>500000</v>
      </c>
      <c r="D5244" s="22">
        <f ca="1">IFERROR(__xludf.DUMMYFUNCTION("""COMPUTED_VALUE"""),0)</f>
        <v>0</v>
      </c>
      <c r="E5244" s="22">
        <f ca="1">IFERROR(__xludf.DUMMYFUNCTION("""COMPUTED_VALUE"""),500000)</f>
        <v>500000</v>
      </c>
      <c r="F5244" s="22">
        <f ca="1">IFERROR(__xludf.DUMMYFUNCTION("""COMPUTED_VALUE"""),500000)</f>
        <v>500000</v>
      </c>
      <c r="G5244" s="22">
        <f ca="1">IFERROR(__xludf.DUMMYFUNCTION("""COMPUTED_VALUE"""),0)</f>
        <v>0</v>
      </c>
      <c r="H5244" s="7">
        <f ca="1">IFERROR(__xludf.DUMMYFUNCTION("""COMPUTED_VALUE"""),500000)</f>
        <v>500000</v>
      </c>
    </row>
    <row r="5245" spans="1:8" ht="13" x14ac:dyDescent="0.15">
      <c r="A5245" s="5" t="str">
        <f ca="1">IFERROR(__xludf.DUMMYFUNCTION("""COMPUTED_VALUE"""),"C0007")</f>
        <v>C0007</v>
      </c>
      <c r="B5245" s="51">
        <f ca="1">IFERROR(__xludf.DUMMYFUNCTION("""COMPUTED_VALUE"""),44635)</f>
        <v>44635</v>
      </c>
      <c r="C5245" s="22">
        <f ca="1">IFERROR(__xludf.DUMMYFUNCTION("""COMPUTED_VALUE"""),500000)</f>
        <v>500000</v>
      </c>
      <c r="D5245" s="22">
        <f ca="1">IFERROR(__xludf.DUMMYFUNCTION("""COMPUTED_VALUE"""),0)</f>
        <v>0</v>
      </c>
      <c r="E5245" s="22">
        <f ca="1">IFERROR(__xludf.DUMMYFUNCTION("""COMPUTED_VALUE"""),500000)</f>
        <v>500000</v>
      </c>
      <c r="F5245" s="22">
        <f ca="1">IFERROR(__xludf.DUMMYFUNCTION("""COMPUTED_VALUE"""),500000)</f>
        <v>500000</v>
      </c>
      <c r="G5245" s="22">
        <f ca="1">IFERROR(__xludf.DUMMYFUNCTION("""COMPUTED_VALUE"""),0)</f>
        <v>0</v>
      </c>
      <c r="H5245" s="7">
        <f ca="1">IFERROR(__xludf.DUMMYFUNCTION("""COMPUTED_VALUE"""),500000)</f>
        <v>500000</v>
      </c>
    </row>
    <row r="5246" spans="1:8" ht="13" x14ac:dyDescent="0.15">
      <c r="A5246" s="5" t="str">
        <f ca="1">IFERROR(__xludf.DUMMYFUNCTION("""COMPUTED_VALUE"""),"C0007")</f>
        <v>C0007</v>
      </c>
      <c r="B5246" s="51">
        <f ca="1">IFERROR(__xludf.DUMMYFUNCTION("""COMPUTED_VALUE"""),44636)</f>
        <v>44636</v>
      </c>
      <c r="C5246" s="22">
        <f ca="1">IFERROR(__xludf.DUMMYFUNCTION("""COMPUTED_VALUE"""),500000)</f>
        <v>500000</v>
      </c>
      <c r="D5246" s="22">
        <f ca="1">IFERROR(__xludf.DUMMYFUNCTION("""COMPUTED_VALUE"""),0)</f>
        <v>0</v>
      </c>
      <c r="E5246" s="22">
        <f ca="1">IFERROR(__xludf.DUMMYFUNCTION("""COMPUTED_VALUE"""),500000)</f>
        <v>500000</v>
      </c>
      <c r="F5246" s="22">
        <f ca="1">IFERROR(__xludf.DUMMYFUNCTION("""COMPUTED_VALUE"""),500000)</f>
        <v>500000</v>
      </c>
      <c r="G5246" s="22">
        <f ca="1">IFERROR(__xludf.DUMMYFUNCTION("""COMPUTED_VALUE"""),0)</f>
        <v>0</v>
      </c>
      <c r="H5246" s="7">
        <f ca="1">IFERROR(__xludf.DUMMYFUNCTION("""COMPUTED_VALUE"""),500000)</f>
        <v>500000</v>
      </c>
    </row>
    <row r="5247" spans="1:8" ht="13" x14ac:dyDescent="0.15">
      <c r="A5247" s="5" t="str">
        <f ca="1">IFERROR(__xludf.DUMMYFUNCTION("""COMPUTED_VALUE"""),"C0007")</f>
        <v>C0007</v>
      </c>
      <c r="B5247" s="51">
        <f ca="1">IFERROR(__xludf.DUMMYFUNCTION("""COMPUTED_VALUE"""),44637)</f>
        <v>44637</v>
      </c>
      <c r="C5247" s="22">
        <f ca="1">IFERROR(__xludf.DUMMYFUNCTION("""COMPUTED_VALUE"""),500000)</f>
        <v>500000</v>
      </c>
      <c r="D5247" s="22">
        <f ca="1">IFERROR(__xludf.DUMMYFUNCTION("""COMPUTED_VALUE"""),0)</f>
        <v>0</v>
      </c>
      <c r="E5247" s="22">
        <f ca="1">IFERROR(__xludf.DUMMYFUNCTION("""COMPUTED_VALUE"""),500000)</f>
        <v>500000</v>
      </c>
      <c r="F5247" s="22">
        <f ca="1">IFERROR(__xludf.DUMMYFUNCTION("""COMPUTED_VALUE"""),500000)</f>
        <v>500000</v>
      </c>
      <c r="G5247" s="22">
        <f ca="1">IFERROR(__xludf.DUMMYFUNCTION("""COMPUTED_VALUE"""),0)</f>
        <v>0</v>
      </c>
      <c r="H5247" s="7">
        <f ca="1">IFERROR(__xludf.DUMMYFUNCTION("""COMPUTED_VALUE"""),500000)</f>
        <v>500000</v>
      </c>
    </row>
    <row r="5248" spans="1:8" ht="13" x14ac:dyDescent="0.15">
      <c r="A5248" s="5" t="str">
        <f ca="1">IFERROR(__xludf.DUMMYFUNCTION("""COMPUTED_VALUE"""),"C0007")</f>
        <v>C0007</v>
      </c>
      <c r="B5248" s="51">
        <f ca="1">IFERROR(__xludf.DUMMYFUNCTION("""COMPUTED_VALUE"""),44638)</f>
        <v>44638</v>
      </c>
      <c r="C5248" s="22">
        <f ca="1">IFERROR(__xludf.DUMMYFUNCTION("""COMPUTED_VALUE"""),500000)</f>
        <v>500000</v>
      </c>
      <c r="D5248" s="22">
        <f ca="1">IFERROR(__xludf.DUMMYFUNCTION("""COMPUTED_VALUE"""),0)</f>
        <v>0</v>
      </c>
      <c r="E5248" s="22">
        <f ca="1">IFERROR(__xludf.DUMMYFUNCTION("""COMPUTED_VALUE"""),500000)</f>
        <v>500000</v>
      </c>
      <c r="F5248" s="22">
        <f ca="1">IFERROR(__xludf.DUMMYFUNCTION("""COMPUTED_VALUE"""),500000)</f>
        <v>500000</v>
      </c>
      <c r="G5248" s="22">
        <f ca="1">IFERROR(__xludf.DUMMYFUNCTION("""COMPUTED_VALUE"""),0)</f>
        <v>0</v>
      </c>
      <c r="H5248" s="7">
        <f ca="1">IFERROR(__xludf.DUMMYFUNCTION("""COMPUTED_VALUE"""),500000)</f>
        <v>500000</v>
      </c>
    </row>
    <row r="5249" spans="1:8" ht="13" x14ac:dyDescent="0.15">
      <c r="A5249" s="5" t="str">
        <f ca="1">IFERROR(__xludf.DUMMYFUNCTION("""COMPUTED_VALUE"""),"C0007")</f>
        <v>C0007</v>
      </c>
      <c r="B5249" s="51">
        <f ca="1">IFERROR(__xludf.DUMMYFUNCTION("""COMPUTED_VALUE"""),44639)</f>
        <v>44639</v>
      </c>
      <c r="C5249" s="22">
        <f ca="1">IFERROR(__xludf.DUMMYFUNCTION("""COMPUTED_VALUE"""),500000)</f>
        <v>500000</v>
      </c>
      <c r="D5249" s="22">
        <f ca="1">IFERROR(__xludf.DUMMYFUNCTION("""COMPUTED_VALUE"""),0)</f>
        <v>0</v>
      </c>
      <c r="E5249" s="22">
        <f ca="1">IFERROR(__xludf.DUMMYFUNCTION("""COMPUTED_VALUE"""),500000)</f>
        <v>500000</v>
      </c>
      <c r="F5249" s="22">
        <f ca="1">IFERROR(__xludf.DUMMYFUNCTION("""COMPUTED_VALUE"""),500000)</f>
        <v>500000</v>
      </c>
      <c r="G5249" s="22">
        <f ca="1">IFERROR(__xludf.DUMMYFUNCTION("""COMPUTED_VALUE"""),0)</f>
        <v>0</v>
      </c>
      <c r="H5249" s="7">
        <f ca="1">IFERROR(__xludf.DUMMYFUNCTION("""COMPUTED_VALUE"""),500000)</f>
        <v>500000</v>
      </c>
    </row>
    <row r="5250" spans="1:8" ht="13" x14ac:dyDescent="0.15">
      <c r="A5250" s="5" t="str">
        <f ca="1">IFERROR(__xludf.DUMMYFUNCTION("""COMPUTED_VALUE"""),"C0007")</f>
        <v>C0007</v>
      </c>
      <c r="B5250" s="51">
        <f ca="1">IFERROR(__xludf.DUMMYFUNCTION("""COMPUTED_VALUE"""),44640)</f>
        <v>44640</v>
      </c>
      <c r="C5250" s="22">
        <f ca="1">IFERROR(__xludf.DUMMYFUNCTION("""COMPUTED_VALUE"""),500000)</f>
        <v>500000</v>
      </c>
      <c r="D5250" s="22">
        <f ca="1">IFERROR(__xludf.DUMMYFUNCTION("""COMPUTED_VALUE"""),0)</f>
        <v>0</v>
      </c>
      <c r="E5250" s="22">
        <f ca="1">IFERROR(__xludf.DUMMYFUNCTION("""COMPUTED_VALUE"""),500000)</f>
        <v>500000</v>
      </c>
      <c r="F5250" s="22">
        <f ca="1">IFERROR(__xludf.DUMMYFUNCTION("""COMPUTED_VALUE"""),500000)</f>
        <v>500000</v>
      </c>
      <c r="G5250" s="22">
        <f ca="1">IFERROR(__xludf.DUMMYFUNCTION("""COMPUTED_VALUE"""),0)</f>
        <v>0</v>
      </c>
      <c r="H5250" s="7">
        <f ca="1">IFERROR(__xludf.DUMMYFUNCTION("""COMPUTED_VALUE"""),500000)</f>
        <v>500000</v>
      </c>
    </row>
    <row r="5251" spans="1:8" ht="13" x14ac:dyDescent="0.15">
      <c r="A5251" s="5" t="str">
        <f ca="1">IFERROR(__xludf.DUMMYFUNCTION("""COMPUTED_VALUE"""),"C0007")</f>
        <v>C0007</v>
      </c>
      <c r="B5251" s="51">
        <f ca="1">IFERROR(__xludf.DUMMYFUNCTION("""COMPUTED_VALUE"""),44641)</f>
        <v>44641</v>
      </c>
      <c r="C5251" s="22">
        <f ca="1">IFERROR(__xludf.DUMMYFUNCTION("""COMPUTED_VALUE"""),500000)</f>
        <v>500000</v>
      </c>
      <c r="D5251" s="22">
        <f ca="1">IFERROR(__xludf.DUMMYFUNCTION("""COMPUTED_VALUE"""),0)</f>
        <v>0</v>
      </c>
      <c r="E5251" s="22">
        <f ca="1">IFERROR(__xludf.DUMMYFUNCTION("""COMPUTED_VALUE"""),500000)</f>
        <v>500000</v>
      </c>
      <c r="F5251" s="22">
        <f ca="1">IFERROR(__xludf.DUMMYFUNCTION("""COMPUTED_VALUE"""),500000)</f>
        <v>500000</v>
      </c>
      <c r="G5251" s="22">
        <f ca="1">IFERROR(__xludf.DUMMYFUNCTION("""COMPUTED_VALUE"""),0)</f>
        <v>0</v>
      </c>
      <c r="H5251" s="7">
        <f ca="1">IFERROR(__xludf.DUMMYFUNCTION("""COMPUTED_VALUE"""),500000)</f>
        <v>500000</v>
      </c>
    </row>
    <row r="5252" spans="1:8" ht="13" x14ac:dyDescent="0.15">
      <c r="A5252" s="5" t="str">
        <f ca="1">IFERROR(__xludf.DUMMYFUNCTION("""COMPUTED_VALUE"""),"C0007")</f>
        <v>C0007</v>
      </c>
      <c r="B5252" s="51">
        <f ca="1">IFERROR(__xludf.DUMMYFUNCTION("""COMPUTED_VALUE"""),44642)</f>
        <v>44642</v>
      </c>
      <c r="C5252" s="22">
        <f ca="1">IFERROR(__xludf.DUMMYFUNCTION("""COMPUTED_VALUE"""),500000)</f>
        <v>500000</v>
      </c>
      <c r="D5252" s="22">
        <f ca="1">IFERROR(__xludf.DUMMYFUNCTION("""COMPUTED_VALUE"""),0)</f>
        <v>0</v>
      </c>
      <c r="E5252" s="22">
        <f ca="1">IFERROR(__xludf.DUMMYFUNCTION("""COMPUTED_VALUE"""),500000)</f>
        <v>500000</v>
      </c>
      <c r="F5252" s="22">
        <f ca="1">IFERROR(__xludf.DUMMYFUNCTION("""COMPUTED_VALUE"""),500000)</f>
        <v>500000</v>
      </c>
      <c r="G5252" s="22">
        <f ca="1">IFERROR(__xludf.DUMMYFUNCTION("""COMPUTED_VALUE"""),0)</f>
        <v>0</v>
      </c>
      <c r="H5252" s="7">
        <f ca="1">IFERROR(__xludf.DUMMYFUNCTION("""COMPUTED_VALUE"""),500000)</f>
        <v>500000</v>
      </c>
    </row>
    <row r="5253" spans="1:8" ht="13" x14ac:dyDescent="0.15">
      <c r="A5253" s="5" t="str">
        <f ca="1">IFERROR(__xludf.DUMMYFUNCTION("""COMPUTED_VALUE"""),"MONKEY")</f>
        <v>MONKEY</v>
      </c>
      <c r="B5253" s="51">
        <f ca="1">IFERROR(__xludf.DUMMYFUNCTION("""COMPUTED_VALUE"""),44592)</f>
        <v>44592</v>
      </c>
      <c r="C5253" s="22">
        <f ca="1">IFERROR(__xludf.DUMMYFUNCTION("""COMPUTED_VALUE"""),500000)</f>
        <v>500000</v>
      </c>
      <c r="D5253" s="22">
        <f ca="1">IFERROR(__xludf.DUMMYFUNCTION("""COMPUTED_VALUE"""),0)</f>
        <v>0</v>
      </c>
      <c r="E5253" s="22">
        <f ca="1">IFERROR(__xludf.DUMMYFUNCTION("""COMPUTED_VALUE"""),500000)</f>
        <v>500000</v>
      </c>
      <c r="F5253" s="22">
        <f ca="1">IFERROR(__xludf.DUMMYFUNCTION("""COMPUTED_VALUE"""),500000)</f>
        <v>500000</v>
      </c>
      <c r="G5253" s="22">
        <f ca="1">IFERROR(__xludf.DUMMYFUNCTION("""COMPUTED_VALUE"""),0)</f>
        <v>0</v>
      </c>
      <c r="H5253" s="7">
        <f ca="1">IFERROR(__xludf.DUMMYFUNCTION("""COMPUTED_VALUE"""),500000)</f>
        <v>500000</v>
      </c>
    </row>
    <row r="5254" spans="1:8" ht="13" x14ac:dyDescent="0.15">
      <c r="A5254" s="5" t="str">
        <f ca="1">IFERROR(__xludf.DUMMYFUNCTION("""COMPUTED_VALUE"""),"MONKEY")</f>
        <v>MONKEY</v>
      </c>
      <c r="B5254" s="51">
        <f ca="1">IFERROR(__xludf.DUMMYFUNCTION("""COMPUTED_VALUE"""),44593)</f>
        <v>44593</v>
      </c>
      <c r="C5254" s="22">
        <f ca="1">IFERROR(__xludf.DUMMYFUNCTION("""COMPUTED_VALUE"""),500000)</f>
        <v>500000</v>
      </c>
      <c r="D5254" s="22">
        <f ca="1">IFERROR(__xludf.DUMMYFUNCTION("""COMPUTED_VALUE"""),0)</f>
        <v>0</v>
      </c>
      <c r="E5254" s="22">
        <f ca="1">IFERROR(__xludf.DUMMYFUNCTION("""COMPUTED_VALUE"""),500000)</f>
        <v>500000</v>
      </c>
      <c r="F5254" s="22">
        <f ca="1">IFERROR(__xludf.DUMMYFUNCTION("""COMPUTED_VALUE"""),500000)</f>
        <v>500000</v>
      </c>
      <c r="G5254" s="22">
        <f ca="1">IFERROR(__xludf.DUMMYFUNCTION("""COMPUTED_VALUE"""),0)</f>
        <v>0</v>
      </c>
      <c r="H5254" s="7">
        <f ca="1">IFERROR(__xludf.DUMMYFUNCTION("""COMPUTED_VALUE"""),500000)</f>
        <v>500000</v>
      </c>
    </row>
    <row r="5255" spans="1:8" ht="13" x14ac:dyDescent="0.15">
      <c r="A5255" s="5" t="str">
        <f ca="1">IFERROR(__xludf.DUMMYFUNCTION("""COMPUTED_VALUE"""),"MONKEY")</f>
        <v>MONKEY</v>
      </c>
      <c r="B5255" s="51">
        <f ca="1">IFERROR(__xludf.DUMMYFUNCTION("""COMPUTED_VALUE"""),44594)</f>
        <v>44594</v>
      </c>
      <c r="C5255" s="22">
        <f ca="1">IFERROR(__xludf.DUMMYFUNCTION("""COMPUTED_VALUE"""),500000)</f>
        <v>500000</v>
      </c>
      <c r="D5255" s="22">
        <f ca="1">IFERROR(__xludf.DUMMYFUNCTION("""COMPUTED_VALUE"""),0)</f>
        <v>0</v>
      </c>
      <c r="E5255" s="22">
        <f ca="1">IFERROR(__xludf.DUMMYFUNCTION("""COMPUTED_VALUE"""),500000)</f>
        <v>500000</v>
      </c>
      <c r="F5255" s="22">
        <f ca="1">IFERROR(__xludf.DUMMYFUNCTION("""COMPUTED_VALUE"""),500000)</f>
        <v>500000</v>
      </c>
      <c r="G5255" s="22">
        <f ca="1">IFERROR(__xludf.DUMMYFUNCTION("""COMPUTED_VALUE"""),0)</f>
        <v>0</v>
      </c>
      <c r="H5255" s="7">
        <f ca="1">IFERROR(__xludf.DUMMYFUNCTION("""COMPUTED_VALUE"""),500000)</f>
        <v>500000</v>
      </c>
    </row>
    <row r="5256" spans="1:8" ht="13" x14ac:dyDescent="0.15">
      <c r="A5256" s="5" t="str">
        <f ca="1">IFERROR(__xludf.DUMMYFUNCTION("""COMPUTED_VALUE"""),"MONKEY")</f>
        <v>MONKEY</v>
      </c>
      <c r="B5256" s="51">
        <f ca="1">IFERROR(__xludf.DUMMYFUNCTION("""COMPUTED_VALUE"""),44595)</f>
        <v>44595</v>
      </c>
      <c r="C5256" s="22">
        <f ca="1">IFERROR(__xludf.DUMMYFUNCTION("""COMPUTED_VALUE"""),478358.8461425)</f>
        <v>478358.8461425</v>
      </c>
      <c r="D5256" s="22">
        <f ca="1">IFERROR(__xludf.DUMMYFUNCTION("""COMPUTED_VALUE"""),21641.1538574999)</f>
        <v>21641.153857499899</v>
      </c>
      <c r="E5256" s="22">
        <f ca="1">IFERROR(__xludf.DUMMYFUNCTION("""COMPUTED_VALUE"""),500000)</f>
        <v>500000</v>
      </c>
      <c r="F5256" s="22">
        <f ca="1">IFERROR(__xludf.DUMMYFUNCTION("""COMPUTED_VALUE"""),478358.8461425)</f>
        <v>478358.8461425</v>
      </c>
      <c r="G5256" s="22">
        <f ca="1">IFERROR(__xludf.DUMMYFUNCTION("""COMPUTED_VALUE"""),0)</f>
        <v>0</v>
      </c>
      <c r="H5256" s="7">
        <f ca="1">IFERROR(__xludf.DUMMYFUNCTION("""COMPUTED_VALUE"""),500000)</f>
        <v>500000</v>
      </c>
    </row>
    <row r="5257" spans="1:8" ht="13" x14ac:dyDescent="0.15">
      <c r="A5257" s="5" t="str">
        <f ca="1">IFERROR(__xludf.DUMMYFUNCTION("""COMPUTED_VALUE"""),"MONKEY")</f>
        <v>MONKEY</v>
      </c>
      <c r="B5257" s="51">
        <f ca="1">IFERROR(__xludf.DUMMYFUNCTION("""COMPUTED_VALUE"""),44596)</f>
        <v>44596</v>
      </c>
      <c r="C5257" s="22">
        <f ca="1">IFERROR(__xludf.DUMMYFUNCTION("""COMPUTED_VALUE"""),478358.8461425)</f>
        <v>478358.8461425</v>
      </c>
      <c r="D5257" s="22">
        <f ca="1">IFERROR(__xludf.DUMMYFUNCTION("""COMPUTED_VALUE"""),21641.1538574999)</f>
        <v>21641.153857499899</v>
      </c>
      <c r="E5257" s="22">
        <f ca="1">IFERROR(__xludf.DUMMYFUNCTION("""COMPUTED_VALUE"""),500000)</f>
        <v>500000</v>
      </c>
      <c r="F5257" s="22">
        <f ca="1">IFERROR(__xludf.DUMMYFUNCTION("""COMPUTED_VALUE"""),478358.8461425)</f>
        <v>478358.8461425</v>
      </c>
      <c r="G5257" s="22">
        <f ca="1">IFERROR(__xludf.DUMMYFUNCTION("""COMPUTED_VALUE"""),0)</f>
        <v>0</v>
      </c>
      <c r="H5257" s="7">
        <f ca="1">IFERROR(__xludf.DUMMYFUNCTION("""COMPUTED_VALUE"""),502913.326400749)</f>
        <v>502913.32640074898</v>
      </c>
    </row>
    <row r="5258" spans="1:8" ht="13" x14ac:dyDescent="0.15">
      <c r="A5258" s="5" t="str">
        <f ca="1">IFERROR(__xludf.DUMMYFUNCTION("""COMPUTED_VALUE"""),"MONKEY")</f>
        <v>MONKEY</v>
      </c>
      <c r="B5258" s="51">
        <f ca="1">IFERROR(__xludf.DUMMYFUNCTION("""COMPUTED_VALUE"""),44597)</f>
        <v>44597</v>
      </c>
      <c r="C5258" s="22">
        <f ca="1">IFERROR(__xludf.DUMMYFUNCTION("""COMPUTED_VALUE"""),478358.8461425)</f>
        <v>478358.8461425</v>
      </c>
      <c r="D5258" s="22">
        <f ca="1">IFERROR(__xludf.DUMMYFUNCTION("""COMPUTED_VALUE"""),21641.1538574999)</f>
        <v>21641.153857499899</v>
      </c>
      <c r="E5258" s="22">
        <f ca="1">IFERROR(__xludf.DUMMYFUNCTION("""COMPUTED_VALUE"""),500000)</f>
        <v>500000</v>
      </c>
      <c r="F5258" s="22">
        <f ca="1">IFERROR(__xludf.DUMMYFUNCTION("""COMPUTED_VALUE"""),478358.8461425)</f>
        <v>478358.8461425</v>
      </c>
      <c r="G5258" s="22">
        <f ca="1">IFERROR(__xludf.DUMMYFUNCTION("""COMPUTED_VALUE"""),0)</f>
        <v>0</v>
      </c>
      <c r="H5258" s="7">
        <f ca="1">IFERROR(__xludf.DUMMYFUNCTION("""COMPUTED_VALUE"""),502913.326400749)</f>
        <v>502913.32640074898</v>
      </c>
    </row>
    <row r="5259" spans="1:8" ht="13" x14ac:dyDescent="0.15">
      <c r="A5259" s="5" t="str">
        <f ca="1">IFERROR(__xludf.DUMMYFUNCTION("""COMPUTED_VALUE"""),"MONKEY")</f>
        <v>MONKEY</v>
      </c>
      <c r="B5259" s="51">
        <f ca="1">IFERROR(__xludf.DUMMYFUNCTION("""COMPUTED_VALUE"""),44598)</f>
        <v>44598</v>
      </c>
      <c r="C5259" s="22">
        <f ca="1">IFERROR(__xludf.DUMMYFUNCTION("""COMPUTED_VALUE"""),478358.8461425)</f>
        <v>478358.8461425</v>
      </c>
      <c r="D5259" s="22">
        <f ca="1">IFERROR(__xludf.DUMMYFUNCTION("""COMPUTED_VALUE"""),21641.1538574999)</f>
        <v>21641.153857499899</v>
      </c>
      <c r="E5259" s="22">
        <f ca="1">IFERROR(__xludf.DUMMYFUNCTION("""COMPUTED_VALUE"""),500000)</f>
        <v>500000</v>
      </c>
      <c r="F5259" s="22">
        <f ca="1">IFERROR(__xludf.DUMMYFUNCTION("""COMPUTED_VALUE"""),478358.8461425)</f>
        <v>478358.8461425</v>
      </c>
      <c r="G5259" s="22">
        <f ca="1">IFERROR(__xludf.DUMMYFUNCTION("""COMPUTED_VALUE"""),0)</f>
        <v>0</v>
      </c>
      <c r="H5259" s="7">
        <f ca="1">IFERROR(__xludf.DUMMYFUNCTION("""COMPUTED_VALUE"""),502913.35792865)</f>
        <v>502913.35792864999</v>
      </c>
    </row>
    <row r="5260" spans="1:8" ht="13" x14ac:dyDescent="0.15">
      <c r="A5260" s="5" t="str">
        <f ca="1">IFERROR(__xludf.DUMMYFUNCTION("""COMPUTED_VALUE"""),"MONKEY")</f>
        <v>MONKEY</v>
      </c>
      <c r="B5260" s="51">
        <f ca="1">IFERROR(__xludf.DUMMYFUNCTION("""COMPUTED_VALUE"""),44599)</f>
        <v>44599</v>
      </c>
      <c r="C5260" s="22">
        <f ca="1">IFERROR(__xludf.DUMMYFUNCTION("""COMPUTED_VALUE"""),478358.8461425)</f>
        <v>478358.8461425</v>
      </c>
      <c r="D5260" s="22">
        <f ca="1">IFERROR(__xludf.DUMMYFUNCTION("""COMPUTED_VALUE"""),21641.1538574999)</f>
        <v>21641.153857499899</v>
      </c>
      <c r="E5260" s="22">
        <f ca="1">IFERROR(__xludf.DUMMYFUNCTION("""COMPUTED_VALUE"""),500000)</f>
        <v>500000</v>
      </c>
      <c r="F5260" s="22">
        <f ca="1">IFERROR(__xludf.DUMMYFUNCTION("""COMPUTED_VALUE"""),478358.8461425)</f>
        <v>478358.8461425</v>
      </c>
      <c r="G5260" s="22">
        <f ca="1">IFERROR(__xludf.DUMMYFUNCTION("""COMPUTED_VALUE"""),0)</f>
        <v>0</v>
      </c>
      <c r="H5260" s="7">
        <f ca="1">IFERROR(__xludf.DUMMYFUNCTION("""COMPUTED_VALUE"""),502971.672398)</f>
        <v>502971.67239800002</v>
      </c>
    </row>
    <row r="5261" spans="1:8" ht="13" x14ac:dyDescent="0.15">
      <c r="A5261" s="5" t="str">
        <f ca="1">IFERROR(__xludf.DUMMYFUNCTION("""COMPUTED_VALUE"""),"MONKEY")</f>
        <v>MONKEY</v>
      </c>
      <c r="B5261" s="51">
        <f ca="1">IFERROR(__xludf.DUMMYFUNCTION("""COMPUTED_VALUE"""),44600)</f>
        <v>44600</v>
      </c>
      <c r="C5261" s="22">
        <f ca="1">IFERROR(__xludf.DUMMYFUNCTION("""COMPUTED_VALUE"""),478358.8461425)</f>
        <v>478358.8461425</v>
      </c>
      <c r="D5261" s="22">
        <f ca="1">IFERROR(__xludf.DUMMYFUNCTION("""COMPUTED_VALUE"""),21641.1538574999)</f>
        <v>21641.153857499899</v>
      </c>
      <c r="E5261" s="22">
        <f ca="1">IFERROR(__xludf.DUMMYFUNCTION("""COMPUTED_VALUE"""),500000)</f>
        <v>500000</v>
      </c>
      <c r="F5261" s="22">
        <f ca="1">IFERROR(__xludf.DUMMYFUNCTION("""COMPUTED_VALUE"""),478358.8461425)</f>
        <v>478358.8461425</v>
      </c>
      <c r="G5261" s="22">
        <f ca="1">IFERROR(__xludf.DUMMYFUNCTION("""COMPUTED_VALUE"""),0)</f>
        <v>0</v>
      </c>
      <c r="H5261" s="7">
        <f ca="1">IFERROR(__xludf.DUMMYFUNCTION("""COMPUTED_VALUE"""),503518.51365965)</f>
        <v>503518.51365964999</v>
      </c>
    </row>
    <row r="5262" spans="1:8" ht="13" x14ac:dyDescent="0.15">
      <c r="A5262" s="5" t="str">
        <f ca="1">IFERROR(__xludf.DUMMYFUNCTION("""COMPUTED_VALUE"""),"MONKEY")</f>
        <v>MONKEY</v>
      </c>
      <c r="B5262" s="51">
        <f ca="1">IFERROR(__xludf.DUMMYFUNCTION("""COMPUTED_VALUE"""),44601)</f>
        <v>44601</v>
      </c>
      <c r="C5262" s="22">
        <f ca="1">IFERROR(__xludf.DUMMYFUNCTION("""COMPUTED_VALUE"""),478358.8461425)</f>
        <v>478358.8461425</v>
      </c>
      <c r="D5262" s="22">
        <f ca="1">IFERROR(__xludf.DUMMYFUNCTION("""COMPUTED_VALUE"""),21641.1538574999)</f>
        <v>21641.153857499899</v>
      </c>
      <c r="E5262" s="22">
        <f ca="1">IFERROR(__xludf.DUMMYFUNCTION("""COMPUTED_VALUE"""),500000)</f>
        <v>500000</v>
      </c>
      <c r="F5262" s="22">
        <f ca="1">IFERROR(__xludf.DUMMYFUNCTION("""COMPUTED_VALUE"""),478358.8461425)</f>
        <v>478358.8461425</v>
      </c>
      <c r="G5262" s="22">
        <f ca="1">IFERROR(__xludf.DUMMYFUNCTION("""COMPUTED_VALUE"""),0)</f>
        <v>0</v>
      </c>
      <c r="H5262" s="7">
        <f ca="1">IFERROR(__xludf.DUMMYFUNCTION("""COMPUTED_VALUE"""),503476.522359)</f>
        <v>503476.522359</v>
      </c>
    </row>
    <row r="5263" spans="1:8" ht="13" x14ac:dyDescent="0.15">
      <c r="A5263" s="5" t="str">
        <f ca="1">IFERROR(__xludf.DUMMYFUNCTION("""COMPUTED_VALUE"""),"MONKEY")</f>
        <v>MONKEY</v>
      </c>
      <c r="B5263" s="51">
        <f ca="1">IFERROR(__xludf.DUMMYFUNCTION("""COMPUTED_VALUE"""),44602)</f>
        <v>44602</v>
      </c>
      <c r="C5263" s="22">
        <f ca="1">IFERROR(__xludf.DUMMYFUNCTION("""COMPUTED_VALUE"""),478358.8461425)</f>
        <v>478358.8461425</v>
      </c>
      <c r="D5263" s="22">
        <f ca="1">IFERROR(__xludf.DUMMYFUNCTION("""COMPUTED_VALUE"""),21641.1538574999)</f>
        <v>21641.153857499899</v>
      </c>
      <c r="E5263" s="22">
        <f ca="1">IFERROR(__xludf.DUMMYFUNCTION("""COMPUTED_VALUE"""),500000)</f>
        <v>500000</v>
      </c>
      <c r="F5263" s="22">
        <f ca="1">IFERROR(__xludf.DUMMYFUNCTION("""COMPUTED_VALUE"""),478358.8461425)</f>
        <v>478358.8461425</v>
      </c>
      <c r="G5263" s="22">
        <f ca="1">IFERROR(__xludf.DUMMYFUNCTION("""COMPUTED_VALUE"""),0)</f>
        <v>0</v>
      </c>
      <c r="H5263" s="7">
        <f ca="1">IFERROR(__xludf.DUMMYFUNCTION("""COMPUTED_VALUE"""),503153.13641675)</f>
        <v>503153.13641675003</v>
      </c>
    </row>
    <row r="5264" spans="1:8" ht="13" x14ac:dyDescent="0.15">
      <c r="A5264" s="5" t="str">
        <f ca="1">IFERROR(__xludf.DUMMYFUNCTION("""COMPUTED_VALUE"""),"MONKEY")</f>
        <v>MONKEY</v>
      </c>
      <c r="B5264" s="51">
        <f ca="1">IFERROR(__xludf.DUMMYFUNCTION("""COMPUTED_VALUE"""),44603)</f>
        <v>44603</v>
      </c>
      <c r="C5264" s="22">
        <f ca="1">IFERROR(__xludf.DUMMYFUNCTION("""COMPUTED_VALUE"""),478358.8461425)</f>
        <v>478358.8461425</v>
      </c>
      <c r="D5264" s="22">
        <f ca="1">IFERROR(__xludf.DUMMYFUNCTION("""COMPUTED_VALUE"""),21641.1538574999)</f>
        <v>21641.153857499899</v>
      </c>
      <c r="E5264" s="22">
        <f ca="1">IFERROR(__xludf.DUMMYFUNCTION("""COMPUTED_VALUE"""),500000)</f>
        <v>500000</v>
      </c>
      <c r="F5264" s="22">
        <f ca="1">IFERROR(__xludf.DUMMYFUNCTION("""COMPUTED_VALUE"""),478358.8461425)</f>
        <v>478358.8461425</v>
      </c>
      <c r="G5264" s="22">
        <f ca="1">IFERROR(__xludf.DUMMYFUNCTION("""COMPUTED_VALUE"""),0)</f>
        <v>0</v>
      </c>
      <c r="H5264" s="7">
        <f ca="1">IFERROR(__xludf.DUMMYFUNCTION("""COMPUTED_VALUE"""),502274.11908945)</f>
        <v>502274.11908944999</v>
      </c>
    </row>
    <row r="5265" spans="1:8" ht="13" x14ac:dyDescent="0.15">
      <c r="A5265" s="5" t="str">
        <f ca="1">IFERROR(__xludf.DUMMYFUNCTION("""COMPUTED_VALUE"""),"MONKEY")</f>
        <v>MONKEY</v>
      </c>
      <c r="B5265" s="51">
        <f ca="1">IFERROR(__xludf.DUMMYFUNCTION("""COMPUTED_VALUE"""),44604)</f>
        <v>44604</v>
      </c>
      <c r="C5265" s="22">
        <f ca="1">IFERROR(__xludf.DUMMYFUNCTION("""COMPUTED_VALUE"""),478358.8461425)</f>
        <v>478358.8461425</v>
      </c>
      <c r="D5265" s="22">
        <f ca="1">IFERROR(__xludf.DUMMYFUNCTION("""COMPUTED_VALUE"""),21641.1538574999)</f>
        <v>21641.153857499899</v>
      </c>
      <c r="E5265" s="22">
        <f ca="1">IFERROR(__xludf.DUMMYFUNCTION("""COMPUTED_VALUE"""),500000)</f>
        <v>500000</v>
      </c>
      <c r="F5265" s="22">
        <f ca="1">IFERROR(__xludf.DUMMYFUNCTION("""COMPUTED_VALUE"""),478358.8461425)</f>
        <v>478358.8461425</v>
      </c>
      <c r="G5265" s="22">
        <f ca="1">IFERROR(__xludf.DUMMYFUNCTION("""COMPUTED_VALUE"""),0)</f>
        <v>0</v>
      </c>
      <c r="H5265" s="7">
        <f ca="1">IFERROR(__xludf.DUMMYFUNCTION("""COMPUTED_VALUE"""),502274.11908945)</f>
        <v>502274.11908944999</v>
      </c>
    </row>
    <row r="5266" spans="1:8" ht="13" x14ac:dyDescent="0.15">
      <c r="A5266" s="5" t="str">
        <f ca="1">IFERROR(__xludf.DUMMYFUNCTION("""COMPUTED_VALUE"""),"MONKEY")</f>
        <v>MONKEY</v>
      </c>
      <c r="B5266" s="51">
        <f ca="1">IFERROR(__xludf.DUMMYFUNCTION("""COMPUTED_VALUE"""),44605)</f>
        <v>44605</v>
      </c>
      <c r="C5266" s="22">
        <f ca="1">IFERROR(__xludf.DUMMYFUNCTION("""COMPUTED_VALUE"""),478358.8461425)</f>
        <v>478358.8461425</v>
      </c>
      <c r="D5266" s="22">
        <f ca="1">IFERROR(__xludf.DUMMYFUNCTION("""COMPUTED_VALUE"""),21641.1538574999)</f>
        <v>21641.153857499899</v>
      </c>
      <c r="E5266" s="22">
        <f ca="1">IFERROR(__xludf.DUMMYFUNCTION("""COMPUTED_VALUE"""),500000)</f>
        <v>500000</v>
      </c>
      <c r="F5266" s="22">
        <f ca="1">IFERROR(__xludf.DUMMYFUNCTION("""COMPUTED_VALUE"""),478358.8461425)</f>
        <v>478358.8461425</v>
      </c>
      <c r="G5266" s="22">
        <f ca="1">IFERROR(__xludf.DUMMYFUNCTION("""COMPUTED_VALUE"""),0)</f>
        <v>0</v>
      </c>
      <c r="H5266" s="7">
        <f ca="1">IFERROR(__xludf.DUMMYFUNCTION("""COMPUTED_VALUE"""),502275.43741355)</f>
        <v>502275.43741354998</v>
      </c>
    </row>
    <row r="5267" spans="1:8" ht="13" x14ac:dyDescent="0.15">
      <c r="A5267" s="5" t="str">
        <f ca="1">IFERROR(__xludf.DUMMYFUNCTION("""COMPUTED_VALUE"""),"MONKEY")</f>
        <v>MONKEY</v>
      </c>
      <c r="B5267" s="51">
        <f ca="1">IFERROR(__xludf.DUMMYFUNCTION("""COMPUTED_VALUE"""),44606)</f>
        <v>44606</v>
      </c>
      <c r="C5267" s="22">
        <f ca="1">IFERROR(__xludf.DUMMYFUNCTION("""COMPUTED_VALUE"""),478358.8461425)</f>
        <v>478358.8461425</v>
      </c>
      <c r="D5267" s="22">
        <f ca="1">IFERROR(__xludf.DUMMYFUNCTION("""COMPUTED_VALUE"""),21641.1538574999)</f>
        <v>21641.153857499899</v>
      </c>
      <c r="E5267" s="22">
        <f ca="1">IFERROR(__xludf.DUMMYFUNCTION("""COMPUTED_VALUE"""),500000)</f>
        <v>500000</v>
      </c>
      <c r="F5267" s="22">
        <f ca="1">IFERROR(__xludf.DUMMYFUNCTION("""COMPUTED_VALUE"""),478358.8461425)</f>
        <v>478358.8461425</v>
      </c>
      <c r="G5267" s="22">
        <f ca="1">IFERROR(__xludf.DUMMYFUNCTION("""COMPUTED_VALUE"""),0)</f>
        <v>0</v>
      </c>
      <c r="H5267" s="7">
        <f ca="1">IFERROR(__xludf.DUMMYFUNCTION("""COMPUTED_VALUE"""),502574.0374788)</f>
        <v>502574.03747879999</v>
      </c>
    </row>
    <row r="5268" spans="1:8" ht="13" x14ac:dyDescent="0.15">
      <c r="A5268" s="5" t="str">
        <f ca="1">IFERROR(__xludf.DUMMYFUNCTION("""COMPUTED_VALUE"""),"MONKEY")</f>
        <v>MONKEY</v>
      </c>
      <c r="B5268" s="51">
        <f ca="1">IFERROR(__xludf.DUMMYFUNCTION("""COMPUTED_VALUE"""),44607)</f>
        <v>44607</v>
      </c>
      <c r="C5268" s="22">
        <f ca="1">IFERROR(__xludf.DUMMYFUNCTION("""COMPUTED_VALUE"""),478358.8461425)</f>
        <v>478358.8461425</v>
      </c>
      <c r="D5268" s="22">
        <f ca="1">IFERROR(__xludf.DUMMYFUNCTION("""COMPUTED_VALUE"""),21641.1538574999)</f>
        <v>21641.153857499899</v>
      </c>
      <c r="E5268" s="22">
        <f ca="1">IFERROR(__xludf.DUMMYFUNCTION("""COMPUTED_VALUE"""),500000)</f>
        <v>500000</v>
      </c>
      <c r="F5268" s="22">
        <f ca="1">IFERROR(__xludf.DUMMYFUNCTION("""COMPUTED_VALUE"""),478358.8461425)</f>
        <v>478358.8461425</v>
      </c>
      <c r="G5268" s="22">
        <f ca="1">IFERROR(__xludf.DUMMYFUNCTION("""COMPUTED_VALUE"""),0)</f>
        <v>0</v>
      </c>
      <c r="H5268" s="7">
        <f ca="1">IFERROR(__xludf.DUMMYFUNCTION("""COMPUTED_VALUE"""),502778.72557705)</f>
        <v>502778.72557705001</v>
      </c>
    </row>
    <row r="5269" spans="1:8" ht="13" x14ac:dyDescent="0.15">
      <c r="A5269" s="5" t="str">
        <f ca="1">IFERROR(__xludf.DUMMYFUNCTION("""COMPUTED_VALUE"""),"MONKEY")</f>
        <v>MONKEY</v>
      </c>
      <c r="B5269" s="51">
        <f ca="1">IFERROR(__xludf.DUMMYFUNCTION("""COMPUTED_VALUE"""),44608)</f>
        <v>44608</v>
      </c>
      <c r="C5269" s="22">
        <f ca="1">IFERROR(__xludf.DUMMYFUNCTION("""COMPUTED_VALUE"""),478358.8461425)</f>
        <v>478358.8461425</v>
      </c>
      <c r="D5269" s="22">
        <f ca="1">IFERROR(__xludf.DUMMYFUNCTION("""COMPUTED_VALUE"""),21641.1538574999)</f>
        <v>21641.153857499899</v>
      </c>
      <c r="E5269" s="22">
        <f ca="1">IFERROR(__xludf.DUMMYFUNCTION("""COMPUTED_VALUE"""),500000)</f>
        <v>500000</v>
      </c>
      <c r="F5269" s="22">
        <f ca="1">IFERROR(__xludf.DUMMYFUNCTION("""COMPUTED_VALUE"""),478358.8461425)</f>
        <v>478358.8461425</v>
      </c>
      <c r="G5269" s="22">
        <f ca="1">IFERROR(__xludf.DUMMYFUNCTION("""COMPUTED_VALUE"""),0)</f>
        <v>0</v>
      </c>
      <c r="H5269" s="7">
        <f ca="1">IFERROR(__xludf.DUMMYFUNCTION("""COMPUTED_VALUE"""),503024.1051475)</f>
        <v>503024.1051475</v>
      </c>
    </row>
    <row r="5270" spans="1:8" ht="13" x14ac:dyDescent="0.15">
      <c r="A5270" s="5" t="str">
        <f ca="1">IFERROR(__xludf.DUMMYFUNCTION("""COMPUTED_VALUE"""),"MONKEY")</f>
        <v>MONKEY</v>
      </c>
      <c r="B5270" s="51">
        <f ca="1">IFERROR(__xludf.DUMMYFUNCTION("""COMPUTED_VALUE"""),44609)</f>
        <v>44609</v>
      </c>
      <c r="C5270" s="22">
        <f ca="1">IFERROR(__xludf.DUMMYFUNCTION("""COMPUTED_VALUE"""),478358.8461425)</f>
        <v>478358.8461425</v>
      </c>
      <c r="D5270" s="22">
        <f ca="1">IFERROR(__xludf.DUMMYFUNCTION("""COMPUTED_VALUE"""),21641.1538574999)</f>
        <v>21641.153857499899</v>
      </c>
      <c r="E5270" s="22">
        <f ca="1">IFERROR(__xludf.DUMMYFUNCTION("""COMPUTED_VALUE"""),500000)</f>
        <v>500000</v>
      </c>
      <c r="F5270" s="22">
        <f ca="1">IFERROR(__xludf.DUMMYFUNCTION("""COMPUTED_VALUE"""),478358.8461425)</f>
        <v>478358.8461425</v>
      </c>
      <c r="G5270" s="22">
        <f ca="1">IFERROR(__xludf.DUMMYFUNCTION("""COMPUTED_VALUE"""),0)</f>
        <v>0</v>
      </c>
      <c r="H5270" s="7">
        <f ca="1">IFERROR(__xludf.DUMMYFUNCTION("""COMPUTED_VALUE"""),502481.89879325)</f>
        <v>502481.89879324997</v>
      </c>
    </row>
    <row r="5271" spans="1:8" ht="13" x14ac:dyDescent="0.15">
      <c r="A5271" s="5" t="str">
        <f ca="1">IFERROR(__xludf.DUMMYFUNCTION("""COMPUTED_VALUE"""),"MONKEY")</f>
        <v>MONKEY</v>
      </c>
      <c r="B5271" s="51">
        <f ca="1">IFERROR(__xludf.DUMMYFUNCTION("""COMPUTED_VALUE"""),44610)</f>
        <v>44610</v>
      </c>
      <c r="C5271" s="22">
        <f ca="1">IFERROR(__xludf.DUMMYFUNCTION("""COMPUTED_VALUE"""),131473.7478175)</f>
        <v>131473.7478175</v>
      </c>
      <c r="D5271" s="22">
        <f ca="1">IFERROR(__xludf.DUMMYFUNCTION("""COMPUTED_VALUE"""),370692.4888603)</f>
        <v>370692.48886029999</v>
      </c>
      <c r="E5271" s="22">
        <f ca="1">IFERROR(__xludf.DUMMYFUNCTION("""COMPUTED_VALUE"""),502166.2366778)</f>
        <v>502166.23667780001</v>
      </c>
      <c r="F5271" s="22">
        <f ca="1">IFERROR(__xludf.DUMMYFUNCTION("""COMPUTED_VALUE"""),131473.7478175)</f>
        <v>131473.7478175</v>
      </c>
      <c r="G5271" s="22">
        <f ca="1">IFERROR(__xludf.DUMMYFUNCTION("""COMPUTED_VALUE"""),0)</f>
        <v>0</v>
      </c>
      <c r="H5271" s="7">
        <f ca="1">IFERROR(__xludf.DUMMYFUNCTION("""COMPUTED_VALUE"""),502166.2366778)</f>
        <v>502166.23667780001</v>
      </c>
    </row>
    <row r="5272" spans="1:8" ht="13" x14ac:dyDescent="0.15">
      <c r="A5272" s="5" t="str">
        <f ca="1">IFERROR(__xludf.DUMMYFUNCTION("""COMPUTED_VALUE"""),"MONKEY")</f>
        <v>MONKEY</v>
      </c>
      <c r="B5272" s="51">
        <f ca="1">IFERROR(__xludf.DUMMYFUNCTION("""COMPUTED_VALUE"""),44611)</f>
        <v>44611</v>
      </c>
      <c r="C5272" s="22">
        <f ca="1">IFERROR(__xludf.DUMMYFUNCTION("""COMPUTED_VALUE"""),131473.7478175)</f>
        <v>131473.7478175</v>
      </c>
      <c r="D5272" s="22">
        <f ca="1">IFERROR(__xludf.DUMMYFUNCTION("""COMPUTED_VALUE"""),370692.4888603)</f>
        <v>370692.48886029999</v>
      </c>
      <c r="E5272" s="22">
        <f ca="1">IFERROR(__xludf.DUMMYFUNCTION("""COMPUTED_VALUE"""),502166.2366778)</f>
        <v>502166.23667780001</v>
      </c>
      <c r="F5272" s="22">
        <f ca="1">IFERROR(__xludf.DUMMYFUNCTION("""COMPUTED_VALUE"""),131473.7478175)</f>
        <v>131473.7478175</v>
      </c>
      <c r="G5272" s="22">
        <f ca="1">IFERROR(__xludf.DUMMYFUNCTION("""COMPUTED_VALUE"""),0)</f>
        <v>0</v>
      </c>
      <c r="H5272" s="7">
        <f ca="1">IFERROR(__xludf.DUMMYFUNCTION("""COMPUTED_VALUE"""),502166.2366778)</f>
        <v>502166.23667780001</v>
      </c>
    </row>
    <row r="5273" spans="1:8" ht="13" x14ac:dyDescent="0.15">
      <c r="A5273" s="5" t="str">
        <f ca="1">IFERROR(__xludf.DUMMYFUNCTION("""COMPUTED_VALUE"""),"MONKEY")</f>
        <v>MONKEY</v>
      </c>
      <c r="B5273" s="51">
        <f ca="1">IFERROR(__xludf.DUMMYFUNCTION("""COMPUTED_VALUE"""),44612)</f>
        <v>44612</v>
      </c>
      <c r="C5273" s="22">
        <f ca="1">IFERROR(__xludf.DUMMYFUNCTION("""COMPUTED_VALUE"""),131473.7478175)</f>
        <v>131473.7478175</v>
      </c>
      <c r="D5273" s="22">
        <f ca="1">IFERROR(__xludf.DUMMYFUNCTION("""COMPUTED_VALUE"""),370682.20406985)</f>
        <v>370682.20406984998</v>
      </c>
      <c r="E5273" s="22">
        <f ca="1">IFERROR(__xludf.DUMMYFUNCTION("""COMPUTED_VALUE"""),502155.95188735)</f>
        <v>502155.95188735001</v>
      </c>
      <c r="F5273" s="22">
        <f ca="1">IFERROR(__xludf.DUMMYFUNCTION("""COMPUTED_VALUE"""),131473.7478175)</f>
        <v>131473.7478175</v>
      </c>
      <c r="G5273" s="22">
        <f ca="1">IFERROR(__xludf.DUMMYFUNCTION("""COMPUTED_VALUE"""),0)</f>
        <v>0</v>
      </c>
      <c r="H5273" s="7">
        <f ca="1">IFERROR(__xludf.DUMMYFUNCTION("""COMPUTED_VALUE"""),502154.30915235)</f>
        <v>502154.30915235</v>
      </c>
    </row>
    <row r="5274" spans="1:8" ht="13" x14ac:dyDescent="0.15">
      <c r="A5274" s="5" t="str">
        <f ca="1">IFERROR(__xludf.DUMMYFUNCTION("""COMPUTED_VALUE"""),"MONKEY")</f>
        <v>MONKEY</v>
      </c>
      <c r="B5274" s="51">
        <f ca="1">IFERROR(__xludf.DUMMYFUNCTION("""COMPUTED_VALUE"""),44613)</f>
        <v>44613</v>
      </c>
      <c r="C5274" s="22">
        <f ca="1">IFERROR(__xludf.DUMMYFUNCTION("""COMPUTED_VALUE"""),131473.7478175)</f>
        <v>131473.7478175</v>
      </c>
      <c r="D5274" s="22">
        <f ca="1">IFERROR(__xludf.DUMMYFUNCTION("""COMPUTED_VALUE"""),370026.90007265)</f>
        <v>370026.90007264999</v>
      </c>
      <c r="E5274" s="22">
        <f ca="1">IFERROR(__xludf.DUMMYFUNCTION("""COMPUTED_VALUE"""),501500.64789015)</f>
        <v>501500.64789015002</v>
      </c>
      <c r="F5274" s="22">
        <f ca="1">IFERROR(__xludf.DUMMYFUNCTION("""COMPUTED_VALUE"""),131473.7478175)</f>
        <v>131473.7478175</v>
      </c>
      <c r="G5274" s="22">
        <f ca="1">IFERROR(__xludf.DUMMYFUNCTION("""COMPUTED_VALUE"""),0)</f>
        <v>0</v>
      </c>
      <c r="H5274" s="7">
        <f ca="1">IFERROR(__xludf.DUMMYFUNCTION("""COMPUTED_VALUE"""),501503.71639515)</f>
        <v>501503.71639515</v>
      </c>
    </row>
    <row r="5275" spans="1:8" ht="13" x14ac:dyDescent="0.15">
      <c r="A5275" s="5" t="str">
        <f ca="1">IFERROR(__xludf.DUMMYFUNCTION("""COMPUTED_VALUE"""),"MONKEY")</f>
        <v>MONKEY</v>
      </c>
      <c r="B5275" s="51">
        <f ca="1">IFERROR(__xludf.DUMMYFUNCTION("""COMPUTED_VALUE"""),44614)</f>
        <v>44614</v>
      </c>
      <c r="C5275" s="22">
        <f ca="1">IFERROR(__xludf.DUMMYFUNCTION("""COMPUTED_VALUE"""),131473.7478175)</f>
        <v>131473.7478175</v>
      </c>
      <c r="D5275" s="22">
        <f ca="1">IFERROR(__xludf.DUMMYFUNCTION("""COMPUTED_VALUE"""),367096.9947775)</f>
        <v>367096.99477749999</v>
      </c>
      <c r="E5275" s="22">
        <f ca="1">IFERROR(__xludf.DUMMYFUNCTION("""COMPUTED_VALUE"""),498570.742595)</f>
        <v>498570.74259500002</v>
      </c>
      <c r="F5275" s="22">
        <f ca="1">IFERROR(__xludf.DUMMYFUNCTION("""COMPUTED_VALUE"""),131473.7478175)</f>
        <v>131473.7478175</v>
      </c>
      <c r="G5275" s="22">
        <f ca="1">IFERROR(__xludf.DUMMYFUNCTION("""COMPUTED_VALUE"""),0)</f>
        <v>0</v>
      </c>
      <c r="H5275" s="7">
        <f ca="1">IFERROR(__xludf.DUMMYFUNCTION("""COMPUTED_VALUE"""),498395.08823)</f>
        <v>498395.08822999999</v>
      </c>
    </row>
    <row r="5276" spans="1:8" ht="13" x14ac:dyDescent="0.15">
      <c r="A5276" s="5" t="str">
        <f ca="1">IFERROR(__xludf.DUMMYFUNCTION("""COMPUTED_VALUE"""),"MONKEY")</f>
        <v>MONKEY</v>
      </c>
      <c r="B5276" s="51">
        <f ca="1">IFERROR(__xludf.DUMMYFUNCTION("""COMPUTED_VALUE"""),44615)</f>
        <v>44615</v>
      </c>
      <c r="C5276" s="22">
        <f ca="1">IFERROR(__xludf.DUMMYFUNCTION("""COMPUTED_VALUE"""),131473.7478175)</f>
        <v>131473.7478175</v>
      </c>
      <c r="D5276" s="22">
        <f ca="1">IFERROR(__xludf.DUMMYFUNCTION("""COMPUTED_VALUE"""),360260.712782999)</f>
        <v>360260.71278299898</v>
      </c>
      <c r="E5276" s="22">
        <f ca="1">IFERROR(__xludf.DUMMYFUNCTION("""COMPUTED_VALUE"""),491734.4606005)</f>
        <v>491734.4606005</v>
      </c>
      <c r="F5276" s="22">
        <f ca="1">IFERROR(__xludf.DUMMYFUNCTION("""COMPUTED_VALUE"""),131473.7478175)</f>
        <v>131473.7478175</v>
      </c>
      <c r="G5276" s="22">
        <f ca="1">IFERROR(__xludf.DUMMYFUNCTION("""COMPUTED_VALUE"""),0)</f>
        <v>0</v>
      </c>
      <c r="H5276" s="7">
        <f ca="1">IFERROR(__xludf.DUMMYFUNCTION("""COMPUTED_VALUE"""),490773.7915105)</f>
        <v>490773.79151050001</v>
      </c>
    </row>
    <row r="5277" spans="1:8" ht="13" x14ac:dyDescent="0.15">
      <c r="A5277" s="5" t="str">
        <f ca="1">IFERROR(__xludf.DUMMYFUNCTION("""COMPUTED_VALUE"""),"MONKEY")</f>
        <v>MONKEY</v>
      </c>
      <c r="B5277" s="51">
        <f ca="1">IFERROR(__xludf.DUMMYFUNCTION("""COMPUTED_VALUE"""),44616)</f>
        <v>44616</v>
      </c>
      <c r="C5277" s="22">
        <f ca="1">IFERROR(__xludf.DUMMYFUNCTION("""COMPUTED_VALUE"""),131473.7478175)</f>
        <v>131473.7478175</v>
      </c>
      <c r="D5277" s="22">
        <f ca="1">IFERROR(__xludf.DUMMYFUNCTION("""COMPUTED_VALUE"""),374339.500405)</f>
        <v>374339.500405</v>
      </c>
      <c r="E5277" s="22">
        <f ca="1">IFERROR(__xludf.DUMMYFUNCTION("""COMPUTED_VALUE"""),505813.2482225)</f>
        <v>505813.24822250003</v>
      </c>
      <c r="F5277" s="22">
        <f ca="1">IFERROR(__xludf.DUMMYFUNCTION("""COMPUTED_VALUE"""),131473.7478175)</f>
        <v>131473.7478175</v>
      </c>
      <c r="G5277" s="22">
        <f ca="1">IFERROR(__xludf.DUMMYFUNCTION("""COMPUTED_VALUE"""),0)</f>
        <v>0</v>
      </c>
      <c r="H5277" s="7">
        <f ca="1">IFERROR(__xludf.DUMMYFUNCTION("""COMPUTED_VALUE"""),505733.2049825)</f>
        <v>505733.2049825</v>
      </c>
    </row>
    <row r="5278" spans="1:8" ht="13" x14ac:dyDescent="0.15">
      <c r="A5278" s="5" t="str">
        <f ca="1">IFERROR(__xludf.DUMMYFUNCTION("""COMPUTED_VALUE"""),"MONKEY")</f>
        <v>MONKEY</v>
      </c>
      <c r="B5278" s="51">
        <f ca="1">IFERROR(__xludf.DUMMYFUNCTION("""COMPUTED_VALUE"""),44617)</f>
        <v>44617</v>
      </c>
      <c r="C5278" s="22">
        <f ca="1">IFERROR(__xludf.DUMMYFUNCTION("""COMPUTED_VALUE"""),131473.7478175)</f>
        <v>131473.7478175</v>
      </c>
      <c r="D5278" s="22">
        <f ca="1">IFERROR(__xludf.DUMMYFUNCTION("""COMPUTED_VALUE"""),382447.88622065)</f>
        <v>382447.88622064999</v>
      </c>
      <c r="E5278" s="22">
        <f ca="1">IFERROR(__xludf.DUMMYFUNCTION("""COMPUTED_VALUE"""),513921.63403815)</f>
        <v>513921.63403815002</v>
      </c>
      <c r="F5278" s="22">
        <f ca="1">IFERROR(__xludf.DUMMYFUNCTION("""COMPUTED_VALUE"""),131473.7478175)</f>
        <v>131473.7478175</v>
      </c>
      <c r="G5278" s="22">
        <f ca="1">IFERROR(__xludf.DUMMYFUNCTION("""COMPUTED_VALUE"""),0)</f>
        <v>0</v>
      </c>
      <c r="H5278" s="7">
        <f ca="1">IFERROR(__xludf.DUMMYFUNCTION("""COMPUTED_VALUE"""),514548.33438315)</f>
        <v>514548.33438314998</v>
      </c>
    </row>
    <row r="5279" spans="1:8" ht="13" x14ac:dyDescent="0.15">
      <c r="A5279" s="5" t="str">
        <f ca="1">IFERROR(__xludf.DUMMYFUNCTION("""COMPUTED_VALUE"""),"MONKEY")</f>
        <v>MONKEY</v>
      </c>
      <c r="B5279" s="51">
        <f ca="1">IFERROR(__xludf.DUMMYFUNCTION("""COMPUTED_VALUE"""),44618)</f>
        <v>44618</v>
      </c>
      <c r="C5279" s="22">
        <f ca="1">IFERROR(__xludf.DUMMYFUNCTION("""COMPUTED_VALUE"""),131473.7478175)</f>
        <v>131473.7478175</v>
      </c>
      <c r="D5279" s="22">
        <f ca="1">IFERROR(__xludf.DUMMYFUNCTION("""COMPUTED_VALUE"""),382453.95874115)</f>
        <v>382453.95874114998</v>
      </c>
      <c r="E5279" s="22">
        <f ca="1">IFERROR(__xludf.DUMMYFUNCTION("""COMPUTED_VALUE"""),513927.70655865)</f>
        <v>513927.70655865001</v>
      </c>
      <c r="F5279" s="22">
        <f ca="1">IFERROR(__xludf.DUMMYFUNCTION("""COMPUTED_VALUE"""),131473.7478175)</f>
        <v>131473.7478175</v>
      </c>
      <c r="G5279" s="22">
        <f ca="1">IFERROR(__xludf.DUMMYFUNCTION("""COMPUTED_VALUE"""),0)</f>
        <v>0</v>
      </c>
      <c r="H5279" s="7">
        <f ca="1">IFERROR(__xludf.DUMMYFUNCTION("""COMPUTED_VALUE"""),514555.34785365)</f>
        <v>514555.34785364999</v>
      </c>
    </row>
    <row r="5280" spans="1:8" ht="13" x14ac:dyDescent="0.15">
      <c r="A5280" s="5" t="str">
        <f ca="1">IFERROR(__xludf.DUMMYFUNCTION("""COMPUTED_VALUE"""),"MONKEY")</f>
        <v>MONKEY</v>
      </c>
      <c r="B5280" s="51">
        <f ca="1">IFERROR(__xludf.DUMMYFUNCTION("""COMPUTED_VALUE"""),44619)</f>
        <v>44619</v>
      </c>
      <c r="C5280" s="22">
        <f ca="1">IFERROR(__xludf.DUMMYFUNCTION("""COMPUTED_VALUE"""),131473.7478175)</f>
        <v>131473.7478175</v>
      </c>
      <c r="D5280" s="22">
        <f ca="1">IFERROR(__xludf.DUMMYFUNCTION("""COMPUTED_VALUE"""),382439.991944)</f>
        <v>382439.99194400001</v>
      </c>
      <c r="E5280" s="22">
        <f ca="1">IFERROR(__xludf.DUMMYFUNCTION("""COMPUTED_VALUE"""),513913.7397615)</f>
        <v>513913.73976149998</v>
      </c>
      <c r="F5280" s="22">
        <f ca="1">IFERROR(__xludf.DUMMYFUNCTION("""COMPUTED_VALUE"""),131473.7478175)</f>
        <v>131473.7478175</v>
      </c>
      <c r="G5280" s="22">
        <f ca="1">IFERROR(__xludf.DUMMYFUNCTION("""COMPUTED_VALUE"""),0)</f>
        <v>0</v>
      </c>
      <c r="H5280" s="7">
        <f ca="1">IFERROR(__xludf.DUMMYFUNCTION("""COMPUTED_VALUE"""),514539.2168715)</f>
        <v>514539.21687150002</v>
      </c>
    </row>
    <row r="5281" spans="1:8" ht="13" x14ac:dyDescent="0.15">
      <c r="A5281" s="5" t="str">
        <f ca="1">IFERROR(__xludf.DUMMYFUNCTION("""COMPUTED_VALUE"""),"MONKEY")</f>
        <v>MONKEY</v>
      </c>
      <c r="B5281" s="51">
        <f ca="1">IFERROR(__xludf.DUMMYFUNCTION("""COMPUTED_VALUE"""),44620)</f>
        <v>44620</v>
      </c>
      <c r="C5281" s="22">
        <f ca="1">IFERROR(__xludf.DUMMYFUNCTION("""COMPUTED_VALUE"""),131473.7478175)</f>
        <v>131473.7478175</v>
      </c>
      <c r="D5281" s="22">
        <f ca="1">IFERROR(__xludf.DUMMYFUNCTION("""COMPUTED_VALUE"""),389378.924461999)</f>
        <v>389378.92446199898</v>
      </c>
      <c r="E5281" s="22">
        <f ca="1">IFERROR(__xludf.DUMMYFUNCTION("""COMPUTED_VALUE"""),520852.672279499)</f>
        <v>520852.67227949901</v>
      </c>
      <c r="F5281" s="22">
        <f ca="1">IFERROR(__xludf.DUMMYFUNCTION("""COMPUTED_VALUE"""),131473.7478175)</f>
        <v>131473.7478175</v>
      </c>
      <c r="G5281" s="22">
        <f ca="1">IFERROR(__xludf.DUMMYFUNCTION("""COMPUTED_VALUE"""),0)</f>
        <v>0</v>
      </c>
      <c r="H5281" s="7">
        <f ca="1">IFERROR(__xludf.DUMMYFUNCTION("""COMPUTED_VALUE"""),520632.0695145)</f>
        <v>520632.06951449998</v>
      </c>
    </row>
    <row r="5282" spans="1:8" ht="13" x14ac:dyDescent="0.15">
      <c r="A5282" s="5" t="str">
        <f ca="1">IFERROR(__xludf.DUMMYFUNCTION("""COMPUTED_VALUE"""),"MONKEY")</f>
        <v>MONKEY</v>
      </c>
      <c r="B5282" s="51">
        <f ca="1">IFERROR(__xludf.DUMMYFUNCTION("""COMPUTED_VALUE"""),44621)</f>
        <v>44621</v>
      </c>
      <c r="C5282" s="22">
        <f ca="1">IFERROR(__xludf.DUMMYFUNCTION("""COMPUTED_VALUE"""),131473.7478175)</f>
        <v>131473.7478175</v>
      </c>
      <c r="D5282" s="22">
        <f ca="1">IFERROR(__xludf.DUMMYFUNCTION("""COMPUTED_VALUE"""),379505.2303837)</f>
        <v>379505.23038369999</v>
      </c>
      <c r="E5282" s="22">
        <f ca="1">IFERROR(__xludf.DUMMYFUNCTION("""COMPUTED_VALUE"""),510978.9782012)</f>
        <v>510978.97820120002</v>
      </c>
      <c r="F5282" s="22">
        <f ca="1">IFERROR(__xludf.DUMMYFUNCTION("""COMPUTED_VALUE"""),131473.7478175)</f>
        <v>131473.7478175</v>
      </c>
      <c r="G5282" s="22">
        <f ca="1">IFERROR(__xludf.DUMMYFUNCTION("""COMPUTED_VALUE"""),0)</f>
        <v>0</v>
      </c>
      <c r="H5282" s="7">
        <f ca="1">IFERROR(__xludf.DUMMYFUNCTION("""COMPUTED_VALUE"""),510741.6201937)</f>
        <v>510741.62019370002</v>
      </c>
    </row>
    <row r="5283" spans="1:8" ht="13" x14ac:dyDescent="0.15">
      <c r="A5283" s="5" t="str">
        <f ca="1">IFERROR(__xludf.DUMMYFUNCTION("""COMPUTED_VALUE"""),"MONKEY")</f>
        <v>MONKEY</v>
      </c>
      <c r="B5283" s="51">
        <f ca="1">IFERROR(__xludf.DUMMYFUNCTION("""COMPUTED_VALUE"""),44622)</f>
        <v>44622</v>
      </c>
      <c r="C5283" s="22">
        <f ca="1">IFERROR(__xludf.DUMMYFUNCTION("""COMPUTED_VALUE"""),131473.7478175)</f>
        <v>131473.7478175</v>
      </c>
      <c r="D5283" s="22">
        <f ca="1">IFERROR(__xludf.DUMMYFUNCTION("""COMPUTED_VALUE"""),381271.8764325)</f>
        <v>381271.87643250002</v>
      </c>
      <c r="E5283" s="22">
        <f ca="1">IFERROR(__xludf.DUMMYFUNCTION("""COMPUTED_VALUE"""),512745.62425)</f>
        <v>512745.62424999999</v>
      </c>
      <c r="F5283" s="22">
        <f ca="1">IFERROR(__xludf.DUMMYFUNCTION("""COMPUTED_VALUE"""),131473.7478175)</f>
        <v>131473.7478175</v>
      </c>
      <c r="G5283" s="22">
        <f ca="1">IFERROR(__xludf.DUMMYFUNCTION("""COMPUTED_VALUE"""),0)</f>
        <v>0</v>
      </c>
      <c r="H5283" s="7">
        <f ca="1">IFERROR(__xludf.DUMMYFUNCTION("""COMPUTED_VALUE"""),513465.775735)</f>
        <v>513465.77573499997</v>
      </c>
    </row>
    <row r="5284" spans="1:8" ht="13" x14ac:dyDescent="0.15">
      <c r="A5284" s="5" t="str">
        <f ca="1">IFERROR(__xludf.DUMMYFUNCTION("""COMPUTED_VALUE"""),"MONKEY")</f>
        <v>MONKEY</v>
      </c>
      <c r="B5284" s="51">
        <f ca="1">IFERROR(__xludf.DUMMYFUNCTION("""COMPUTED_VALUE"""),44623)</f>
        <v>44623</v>
      </c>
      <c r="C5284" s="22">
        <f ca="1">IFERROR(__xludf.DUMMYFUNCTION("""COMPUTED_VALUE"""),131473.7478175)</f>
        <v>131473.7478175</v>
      </c>
      <c r="D5284" s="22">
        <f ca="1">IFERROR(__xludf.DUMMYFUNCTION("""COMPUTED_VALUE"""),373059.2800245)</f>
        <v>373059.28002449998</v>
      </c>
      <c r="E5284" s="22">
        <f ca="1">IFERROR(__xludf.DUMMYFUNCTION("""COMPUTED_VALUE"""),504533.027842)</f>
        <v>504533.02784200001</v>
      </c>
      <c r="F5284" s="22">
        <f ca="1">IFERROR(__xludf.DUMMYFUNCTION("""COMPUTED_VALUE"""),131473.7478175)</f>
        <v>131473.7478175</v>
      </c>
      <c r="G5284" s="22">
        <f ca="1">IFERROR(__xludf.DUMMYFUNCTION("""COMPUTED_VALUE"""),0)</f>
        <v>0</v>
      </c>
      <c r="H5284" s="7">
        <f ca="1">IFERROR(__xludf.DUMMYFUNCTION("""COMPUTED_VALUE"""),504604.672952)</f>
        <v>504604.67295199999</v>
      </c>
    </row>
    <row r="5285" spans="1:8" ht="13" x14ac:dyDescent="0.15">
      <c r="A5285" s="5" t="str">
        <f ca="1">IFERROR(__xludf.DUMMYFUNCTION("""COMPUTED_VALUE"""),"MONKEY")</f>
        <v>MONKEY</v>
      </c>
      <c r="B5285" s="51">
        <f ca="1">IFERROR(__xludf.DUMMYFUNCTION("""COMPUTED_VALUE"""),44624)</f>
        <v>44624</v>
      </c>
      <c r="C5285" s="22">
        <f ca="1">IFERROR(__xludf.DUMMYFUNCTION("""COMPUTED_VALUE"""),131473.7478175)</f>
        <v>131473.7478175</v>
      </c>
      <c r="D5285" s="22">
        <f ca="1">IFERROR(__xludf.DUMMYFUNCTION("""COMPUTED_VALUE"""),367396.9721876)</f>
        <v>367396.97218759998</v>
      </c>
      <c r="E5285" s="22">
        <f ca="1">IFERROR(__xludf.DUMMYFUNCTION("""COMPUTED_VALUE"""),498870.7200051)</f>
        <v>498870.72000510001</v>
      </c>
      <c r="F5285" s="22">
        <f ca="1">IFERROR(__xludf.DUMMYFUNCTION("""COMPUTED_VALUE"""),131473.7478175)</f>
        <v>131473.7478175</v>
      </c>
      <c r="G5285" s="22">
        <f ca="1">IFERROR(__xludf.DUMMYFUNCTION("""COMPUTED_VALUE"""),0)</f>
        <v>0</v>
      </c>
      <c r="H5285" s="7">
        <f ca="1">IFERROR(__xludf.DUMMYFUNCTION("""COMPUTED_VALUE"""),498663.0447351)</f>
        <v>498663.0447351</v>
      </c>
    </row>
    <row r="5286" spans="1:8" ht="13" x14ac:dyDescent="0.15">
      <c r="A5286" s="5" t="str">
        <f ca="1">IFERROR(__xludf.DUMMYFUNCTION("""COMPUTED_VALUE"""),"MONKEY")</f>
        <v>MONKEY</v>
      </c>
      <c r="B5286" s="51">
        <f ca="1">IFERROR(__xludf.DUMMYFUNCTION("""COMPUTED_VALUE"""),44625)</f>
        <v>44625</v>
      </c>
      <c r="C5286" s="22">
        <f ca="1">IFERROR(__xludf.DUMMYFUNCTION("""COMPUTED_VALUE"""),131473.7478175)</f>
        <v>131473.7478175</v>
      </c>
      <c r="D5286" s="22">
        <f ca="1">IFERROR(__xludf.DUMMYFUNCTION("""COMPUTED_VALUE"""),367396.9721876)</f>
        <v>367396.97218759998</v>
      </c>
      <c r="E5286" s="22">
        <f ca="1">IFERROR(__xludf.DUMMYFUNCTION("""COMPUTED_VALUE"""),498870.7200051)</f>
        <v>498870.72000510001</v>
      </c>
      <c r="F5286" s="22">
        <f ca="1">IFERROR(__xludf.DUMMYFUNCTION("""COMPUTED_VALUE"""),131473.7478175)</f>
        <v>131473.7478175</v>
      </c>
      <c r="G5286" s="22">
        <f ca="1">IFERROR(__xludf.DUMMYFUNCTION("""COMPUTED_VALUE"""),0)</f>
        <v>0</v>
      </c>
      <c r="H5286" s="7">
        <f ca="1">IFERROR(__xludf.DUMMYFUNCTION("""COMPUTED_VALUE"""),498663.0447351)</f>
        <v>498663.0447351</v>
      </c>
    </row>
    <row r="5287" spans="1:8" ht="13" x14ac:dyDescent="0.15">
      <c r="A5287" s="5" t="str">
        <f ca="1">IFERROR(__xludf.DUMMYFUNCTION("""COMPUTED_VALUE"""),"MONKEY")</f>
        <v>MONKEY</v>
      </c>
      <c r="B5287" s="51">
        <f ca="1">IFERROR(__xludf.DUMMYFUNCTION("""COMPUTED_VALUE"""),44626)</f>
        <v>44626</v>
      </c>
      <c r="C5287" s="22">
        <f ca="1">IFERROR(__xludf.DUMMYFUNCTION("""COMPUTED_VALUE"""),131473.7478175)</f>
        <v>131473.7478175</v>
      </c>
      <c r="D5287" s="22">
        <f ca="1">IFERROR(__xludf.DUMMYFUNCTION("""COMPUTED_VALUE"""),367438.6047016)</f>
        <v>367438.60470159998</v>
      </c>
      <c r="E5287" s="22">
        <f ca="1">IFERROR(__xludf.DUMMYFUNCTION("""COMPUTED_VALUE"""),498912.3525191)</f>
        <v>498912.35251910001</v>
      </c>
      <c r="F5287" s="22">
        <f ca="1">IFERROR(__xludf.DUMMYFUNCTION("""COMPUTED_VALUE"""),131473.7478175)</f>
        <v>131473.7478175</v>
      </c>
      <c r="G5287" s="22">
        <f ca="1">IFERROR(__xludf.DUMMYFUNCTION("""COMPUTED_VALUE"""),0)</f>
        <v>0</v>
      </c>
      <c r="H5287" s="7">
        <f ca="1">IFERROR(__xludf.DUMMYFUNCTION("""COMPUTED_VALUE"""),498711.3008616)</f>
        <v>498711.30086159997</v>
      </c>
    </row>
    <row r="5288" spans="1:8" ht="13" x14ac:dyDescent="0.15">
      <c r="A5288" s="5" t="str">
        <f ca="1">IFERROR(__xludf.DUMMYFUNCTION("""COMPUTED_VALUE"""),"MONKEY")</f>
        <v>MONKEY</v>
      </c>
      <c r="B5288" s="51">
        <f ca="1">IFERROR(__xludf.DUMMYFUNCTION("""COMPUTED_VALUE"""),44627)</f>
        <v>44627</v>
      </c>
      <c r="C5288" s="22">
        <f ca="1">IFERROR(__xludf.DUMMYFUNCTION("""COMPUTED_VALUE"""),131473.7478175)</f>
        <v>131473.7478175</v>
      </c>
      <c r="D5288" s="22">
        <f ca="1">IFERROR(__xludf.DUMMYFUNCTION("""COMPUTED_VALUE"""),358303.231702999)</f>
        <v>358303.23170299898</v>
      </c>
      <c r="E5288" s="22">
        <f ca="1">IFERROR(__xludf.DUMMYFUNCTION("""COMPUTED_VALUE"""),489776.9795205)</f>
        <v>489776.9795205</v>
      </c>
      <c r="F5288" s="22">
        <f ca="1">IFERROR(__xludf.DUMMYFUNCTION("""COMPUTED_VALUE"""),131473.7478175)</f>
        <v>131473.7478175</v>
      </c>
      <c r="G5288" s="22">
        <f ca="1">IFERROR(__xludf.DUMMYFUNCTION("""COMPUTED_VALUE"""),0)</f>
        <v>0</v>
      </c>
      <c r="H5288" s="7">
        <f ca="1">IFERROR(__xludf.DUMMYFUNCTION("""COMPUTED_VALUE"""),489235.9605555)</f>
        <v>489235.9605555</v>
      </c>
    </row>
    <row r="5289" spans="1:8" ht="13" x14ac:dyDescent="0.15">
      <c r="A5289" s="5" t="str">
        <f ca="1">IFERROR(__xludf.DUMMYFUNCTION("""COMPUTED_VALUE"""),"MONKEY")</f>
        <v>MONKEY</v>
      </c>
      <c r="B5289" s="51">
        <f ca="1">IFERROR(__xludf.DUMMYFUNCTION("""COMPUTED_VALUE"""),44628)</f>
        <v>44628</v>
      </c>
      <c r="C5289" s="22">
        <f ca="1">IFERROR(__xludf.DUMMYFUNCTION("""COMPUTED_VALUE"""),131473.7478175)</f>
        <v>131473.7478175</v>
      </c>
      <c r="D5289" s="22">
        <f ca="1">IFERROR(__xludf.DUMMYFUNCTION("""COMPUTED_VALUE"""),357235.720190249)</f>
        <v>357235.72019024898</v>
      </c>
      <c r="E5289" s="22">
        <f ca="1">IFERROR(__xludf.DUMMYFUNCTION("""COMPUTED_VALUE"""),488709.46800775)</f>
        <v>488709.46800774999</v>
      </c>
      <c r="F5289" s="22">
        <f ca="1">IFERROR(__xludf.DUMMYFUNCTION("""COMPUTED_VALUE"""),131473.7478175)</f>
        <v>131473.7478175</v>
      </c>
      <c r="G5289" s="22">
        <f ca="1">IFERROR(__xludf.DUMMYFUNCTION("""COMPUTED_VALUE"""),0)</f>
        <v>0</v>
      </c>
      <c r="H5289" s="7">
        <f ca="1">IFERROR(__xludf.DUMMYFUNCTION("""COMPUTED_VALUE"""),486986.47341775)</f>
        <v>486986.47341774998</v>
      </c>
    </row>
    <row r="5290" spans="1:8" ht="13" x14ac:dyDescent="0.15">
      <c r="A5290" s="5" t="str">
        <f ca="1">IFERROR(__xludf.DUMMYFUNCTION("""COMPUTED_VALUE"""),"MONKEY")</f>
        <v>MONKEY</v>
      </c>
      <c r="B5290" s="51">
        <f ca="1">IFERROR(__xludf.DUMMYFUNCTION("""COMPUTED_VALUE"""),44629)</f>
        <v>44629</v>
      </c>
      <c r="C5290" s="22">
        <f ca="1">IFERROR(__xludf.DUMMYFUNCTION("""COMPUTED_VALUE"""),131473.7478175)</f>
        <v>131473.7478175</v>
      </c>
      <c r="D5290" s="22">
        <f ca="1">IFERROR(__xludf.DUMMYFUNCTION("""COMPUTED_VALUE"""),367182.078608)</f>
        <v>367182.07860800001</v>
      </c>
      <c r="E5290" s="22">
        <f ca="1">IFERROR(__xludf.DUMMYFUNCTION("""COMPUTED_VALUE"""),498655.8264255)</f>
        <v>498655.82642549998</v>
      </c>
      <c r="F5290" s="22">
        <f ca="1">IFERROR(__xludf.DUMMYFUNCTION("""COMPUTED_VALUE"""),131473.7478175)</f>
        <v>131473.7478175</v>
      </c>
      <c r="G5290" s="22">
        <f ca="1">IFERROR(__xludf.DUMMYFUNCTION("""COMPUTED_VALUE"""),0)</f>
        <v>0</v>
      </c>
      <c r="H5290" s="7">
        <f ca="1">IFERROR(__xludf.DUMMYFUNCTION("""COMPUTED_VALUE"""),497982.8612355)</f>
        <v>497982.86123550002</v>
      </c>
    </row>
    <row r="5291" spans="1:8" ht="13" x14ac:dyDescent="0.15">
      <c r="A5291" s="5" t="str">
        <f ca="1">IFERROR(__xludf.DUMMYFUNCTION("""COMPUTED_VALUE"""),"MONKEY")</f>
        <v>MONKEY</v>
      </c>
      <c r="B5291" s="51">
        <f ca="1">IFERROR(__xludf.DUMMYFUNCTION("""COMPUTED_VALUE"""),44630)</f>
        <v>44630</v>
      </c>
      <c r="C5291" s="22">
        <f ca="1">IFERROR(__xludf.DUMMYFUNCTION("""COMPUTED_VALUE"""),131473.7478175)</f>
        <v>131473.7478175</v>
      </c>
      <c r="D5291" s="22">
        <f ca="1">IFERROR(__xludf.DUMMYFUNCTION("""COMPUTED_VALUE"""),367676.176588)</f>
        <v>367676.17658799997</v>
      </c>
      <c r="E5291" s="22">
        <f ca="1">IFERROR(__xludf.DUMMYFUNCTION("""COMPUTED_VALUE"""),499149.9244055)</f>
        <v>499149.9244055</v>
      </c>
      <c r="F5291" s="22">
        <f ca="1">IFERROR(__xludf.DUMMYFUNCTION("""COMPUTED_VALUE"""),131473.7478175)</f>
        <v>131473.7478175</v>
      </c>
      <c r="G5291" s="22">
        <f ca="1">IFERROR(__xludf.DUMMYFUNCTION("""COMPUTED_VALUE"""),0)</f>
        <v>0</v>
      </c>
      <c r="H5291" s="7">
        <f ca="1">IFERROR(__xludf.DUMMYFUNCTION("""COMPUTED_VALUE"""),498498.3022155)</f>
        <v>498498.30221549998</v>
      </c>
    </row>
    <row r="5292" spans="1:8" ht="13" x14ac:dyDescent="0.15">
      <c r="A5292" s="5" t="str">
        <f ca="1">IFERROR(__xludf.DUMMYFUNCTION("""COMPUTED_VALUE"""),"MONKEY")</f>
        <v>MONKEY</v>
      </c>
      <c r="B5292" s="51">
        <f ca="1">IFERROR(__xludf.DUMMYFUNCTION("""COMPUTED_VALUE"""),44631)</f>
        <v>44631</v>
      </c>
      <c r="C5292" s="22">
        <f ca="1">IFERROR(__xludf.DUMMYFUNCTION("""COMPUTED_VALUE"""),131473.7478175)</f>
        <v>131473.7478175</v>
      </c>
      <c r="D5292" s="22">
        <f ca="1">IFERROR(__xludf.DUMMYFUNCTION("""COMPUTED_VALUE"""),357625.985045)</f>
        <v>357625.98504499998</v>
      </c>
      <c r="E5292" s="22">
        <f ca="1">IFERROR(__xludf.DUMMYFUNCTION("""COMPUTED_VALUE"""),489099.7328625)</f>
        <v>489099.73286250001</v>
      </c>
      <c r="F5292" s="22">
        <f ca="1">IFERROR(__xludf.DUMMYFUNCTION("""COMPUTED_VALUE"""),131473.7478175)</f>
        <v>131473.7478175</v>
      </c>
      <c r="G5292" s="22">
        <f ca="1">IFERROR(__xludf.DUMMYFUNCTION("""COMPUTED_VALUE"""),0)</f>
        <v>0</v>
      </c>
      <c r="H5292" s="7">
        <f ca="1">IFERROR(__xludf.DUMMYFUNCTION("""COMPUTED_VALUE"""),489510.4121225)</f>
        <v>489510.41212250001</v>
      </c>
    </row>
    <row r="5293" spans="1:8" ht="13" x14ac:dyDescent="0.15">
      <c r="A5293" s="5" t="str">
        <f ca="1">IFERROR(__xludf.DUMMYFUNCTION("""COMPUTED_VALUE"""),"MONKEY")</f>
        <v>MONKEY</v>
      </c>
      <c r="B5293" s="51">
        <f ca="1">IFERROR(__xludf.DUMMYFUNCTION("""COMPUTED_VALUE"""),44632)</f>
        <v>44632</v>
      </c>
      <c r="C5293" s="22">
        <f ca="1">IFERROR(__xludf.DUMMYFUNCTION("""COMPUTED_VALUE"""),131473.7478175)</f>
        <v>131473.7478175</v>
      </c>
      <c r="D5293" s="22">
        <f ca="1">IFERROR(__xludf.DUMMYFUNCTION("""COMPUTED_VALUE"""),357625.985045)</f>
        <v>357625.98504499998</v>
      </c>
      <c r="E5293" s="22">
        <f ca="1">IFERROR(__xludf.DUMMYFUNCTION("""COMPUTED_VALUE"""),489099.7328625)</f>
        <v>489099.73286250001</v>
      </c>
      <c r="F5293" s="22">
        <f ca="1">IFERROR(__xludf.DUMMYFUNCTION("""COMPUTED_VALUE"""),131473.7478175)</f>
        <v>131473.7478175</v>
      </c>
      <c r="G5293" s="22">
        <f ca="1">IFERROR(__xludf.DUMMYFUNCTION("""COMPUTED_VALUE"""),0)</f>
        <v>0</v>
      </c>
      <c r="H5293" s="7">
        <f ca="1">IFERROR(__xludf.DUMMYFUNCTION("""COMPUTED_VALUE"""),489510.4121225)</f>
        <v>489510.41212250001</v>
      </c>
    </row>
    <row r="5294" spans="1:8" ht="13" x14ac:dyDescent="0.15">
      <c r="A5294" s="5" t="str">
        <f ca="1">IFERROR(__xludf.DUMMYFUNCTION("""COMPUTED_VALUE"""),"MONKEY")</f>
        <v>MONKEY</v>
      </c>
      <c r="B5294" s="51">
        <f ca="1">IFERROR(__xludf.DUMMYFUNCTION("""COMPUTED_VALUE"""),44633)</f>
        <v>44633</v>
      </c>
      <c r="C5294" s="22">
        <f ca="1">IFERROR(__xludf.DUMMYFUNCTION("""COMPUTED_VALUE"""),131473.7478175)</f>
        <v>131473.7478175</v>
      </c>
      <c r="D5294" s="22">
        <f ca="1">IFERROR(__xludf.DUMMYFUNCTION("""COMPUTED_VALUE"""),357600.7030707)</f>
        <v>357600.70307069999</v>
      </c>
      <c r="E5294" s="22">
        <f ca="1">IFERROR(__xludf.DUMMYFUNCTION("""COMPUTED_VALUE"""),489074.4508882)</f>
        <v>489074.45088820002</v>
      </c>
      <c r="F5294" s="22">
        <f ca="1">IFERROR(__xludf.DUMMYFUNCTION("""COMPUTED_VALUE"""),131473.7478175)</f>
        <v>131473.7478175</v>
      </c>
      <c r="G5294" s="22">
        <f ca="1">IFERROR(__xludf.DUMMYFUNCTION("""COMPUTED_VALUE"""),0)</f>
        <v>0</v>
      </c>
      <c r="H5294" s="7">
        <f ca="1">IFERROR(__xludf.DUMMYFUNCTION("""COMPUTED_VALUE"""),489480.9570532)</f>
        <v>489480.95705319999</v>
      </c>
    </row>
    <row r="5295" spans="1:8" ht="13" x14ac:dyDescent="0.15">
      <c r="A5295" s="5" t="str">
        <f ca="1">IFERROR(__xludf.DUMMYFUNCTION("""COMPUTED_VALUE"""),"MONKEY")</f>
        <v>MONKEY</v>
      </c>
      <c r="B5295" s="51">
        <f ca="1">IFERROR(__xludf.DUMMYFUNCTION("""COMPUTED_VALUE"""),44634)</f>
        <v>44634</v>
      </c>
      <c r="C5295" s="22">
        <f ca="1">IFERROR(__xludf.DUMMYFUNCTION("""COMPUTED_VALUE"""),131473.7478175)</f>
        <v>131473.7478175</v>
      </c>
      <c r="D5295" s="22">
        <f ca="1">IFERROR(__xludf.DUMMYFUNCTION("""COMPUTED_VALUE"""),346989.202469999)</f>
        <v>346989.20246999903</v>
      </c>
      <c r="E5295" s="22">
        <f ca="1">IFERROR(__xludf.DUMMYFUNCTION("""COMPUTED_VALUE"""),478462.9502875)</f>
        <v>478462.95028749999</v>
      </c>
      <c r="F5295" s="22">
        <f ca="1">IFERROR(__xludf.DUMMYFUNCTION("""COMPUTED_VALUE"""),131473.7478175)</f>
        <v>131473.7478175</v>
      </c>
      <c r="G5295" s="22">
        <f ca="1">IFERROR(__xludf.DUMMYFUNCTION("""COMPUTED_VALUE"""),0)</f>
        <v>0</v>
      </c>
      <c r="H5295" s="7">
        <f ca="1">IFERROR(__xludf.DUMMYFUNCTION("""COMPUTED_VALUE"""),478676.3411725)</f>
        <v>478676.34117249999</v>
      </c>
    </row>
    <row r="5296" spans="1:8" ht="13" x14ac:dyDescent="0.15">
      <c r="A5296" s="5" t="str">
        <f ca="1">IFERROR(__xludf.DUMMYFUNCTION("""COMPUTED_VALUE"""),"MONKEY")</f>
        <v>MONKEY</v>
      </c>
      <c r="B5296" s="51">
        <f ca="1">IFERROR(__xludf.DUMMYFUNCTION("""COMPUTED_VALUE"""),44635)</f>
        <v>44635</v>
      </c>
      <c r="C5296" s="22">
        <f ca="1">IFERROR(__xludf.DUMMYFUNCTION("""COMPUTED_VALUE"""),131473.7478175)</f>
        <v>131473.7478175</v>
      </c>
      <c r="D5296" s="22">
        <f ca="1">IFERROR(__xludf.DUMMYFUNCTION("""COMPUTED_VALUE"""),351176.6261835)</f>
        <v>351176.62618349999</v>
      </c>
      <c r="E5296" s="22">
        <f ca="1">IFERROR(__xludf.DUMMYFUNCTION("""COMPUTED_VALUE"""),482650.374001)</f>
        <v>482650.37400100002</v>
      </c>
      <c r="F5296" s="22">
        <f ca="1">IFERROR(__xludf.DUMMYFUNCTION("""COMPUTED_VALUE"""),131473.7478175)</f>
        <v>131473.7478175</v>
      </c>
      <c r="G5296" s="22">
        <f ca="1">IFERROR(__xludf.DUMMYFUNCTION("""COMPUTED_VALUE"""),0)</f>
        <v>0</v>
      </c>
      <c r="H5296" s="7">
        <f ca="1">IFERROR(__xludf.DUMMYFUNCTION("""COMPUTED_VALUE"""),483714.374811)</f>
        <v>483714.37481100002</v>
      </c>
    </row>
    <row r="5297" spans="1:8" ht="13" x14ac:dyDescent="0.15">
      <c r="A5297" s="5" t="str">
        <f ca="1">IFERROR(__xludf.DUMMYFUNCTION("""COMPUTED_VALUE"""),"MONKEY")</f>
        <v>MONKEY</v>
      </c>
      <c r="B5297" s="51">
        <f ca="1">IFERROR(__xludf.DUMMYFUNCTION("""COMPUTED_VALUE"""),44636)</f>
        <v>44636</v>
      </c>
      <c r="C5297" s="22">
        <f ca="1">IFERROR(__xludf.DUMMYFUNCTION("""COMPUTED_VALUE"""),131473.7478175)</f>
        <v>131473.7478175</v>
      </c>
      <c r="D5297" s="22">
        <f ca="1">IFERROR(__xludf.DUMMYFUNCTION("""COMPUTED_VALUE"""),366484.026998999)</f>
        <v>366484.026998999</v>
      </c>
      <c r="E5297" s="22">
        <f ca="1">IFERROR(__xludf.DUMMYFUNCTION("""COMPUTED_VALUE"""),497957.774816499)</f>
        <v>497957.77481649898</v>
      </c>
      <c r="F5297" s="22">
        <f ca="1">IFERROR(__xludf.DUMMYFUNCTION("""COMPUTED_VALUE"""),131473.7478175)</f>
        <v>131473.7478175</v>
      </c>
      <c r="G5297" s="22">
        <f ca="1">IFERROR(__xludf.DUMMYFUNCTION("""COMPUTED_VALUE"""),0)</f>
        <v>0</v>
      </c>
      <c r="H5297" s="7">
        <f ca="1">IFERROR(__xludf.DUMMYFUNCTION("""COMPUTED_VALUE"""),499560.086726499)</f>
        <v>499560.08672649902</v>
      </c>
    </row>
    <row r="5298" spans="1:8" ht="13" x14ac:dyDescent="0.15">
      <c r="A5298" s="5" t="str">
        <f ca="1">IFERROR(__xludf.DUMMYFUNCTION("""COMPUTED_VALUE"""),"MONKEY")</f>
        <v>MONKEY</v>
      </c>
      <c r="B5298" s="51">
        <f ca="1">IFERROR(__xludf.DUMMYFUNCTION("""COMPUTED_VALUE"""),44637)</f>
        <v>44637</v>
      </c>
      <c r="C5298" s="22">
        <f ca="1">IFERROR(__xludf.DUMMYFUNCTION("""COMPUTED_VALUE"""),131473.7478175)</f>
        <v>131473.7478175</v>
      </c>
      <c r="D5298" s="22">
        <f ca="1">IFERROR(__xludf.DUMMYFUNCTION("""COMPUTED_VALUE"""),372836.279325999)</f>
        <v>372836.27932599903</v>
      </c>
      <c r="E5298" s="22">
        <f ca="1">IFERROR(__xludf.DUMMYFUNCTION("""COMPUTED_VALUE"""),504310.0271435)</f>
        <v>504310.02714349999</v>
      </c>
      <c r="F5298" s="22">
        <f ca="1">IFERROR(__xludf.DUMMYFUNCTION("""COMPUTED_VALUE"""),131473.7478175)</f>
        <v>131473.7478175</v>
      </c>
      <c r="G5298" s="22">
        <f ca="1">IFERROR(__xludf.DUMMYFUNCTION("""COMPUTED_VALUE"""),0)</f>
        <v>0</v>
      </c>
      <c r="H5298" s="7">
        <f ca="1">IFERROR(__xludf.DUMMYFUNCTION("""COMPUTED_VALUE"""),506354.4507785)</f>
        <v>506354.4507785</v>
      </c>
    </row>
    <row r="5299" spans="1:8" ht="13" x14ac:dyDescent="0.15">
      <c r="A5299" s="5" t="str">
        <f ca="1">IFERROR(__xludf.DUMMYFUNCTION("""COMPUTED_VALUE"""),"MONKEY")</f>
        <v>MONKEY</v>
      </c>
      <c r="B5299" s="51">
        <f ca="1">IFERROR(__xludf.DUMMYFUNCTION("""COMPUTED_VALUE"""),44638)</f>
        <v>44638</v>
      </c>
      <c r="C5299" s="22">
        <f ca="1">IFERROR(__xludf.DUMMYFUNCTION("""COMPUTED_VALUE"""),131473.7478175)</f>
        <v>131473.7478175</v>
      </c>
      <c r="D5299" s="22">
        <f ca="1">IFERROR(__xludf.DUMMYFUNCTION("""COMPUTED_VALUE"""),380613.3924195)</f>
        <v>380613.39241949999</v>
      </c>
      <c r="E5299" s="22">
        <f ca="1">IFERROR(__xludf.DUMMYFUNCTION("""COMPUTED_VALUE"""),512087.140237)</f>
        <v>512087.14023700001</v>
      </c>
      <c r="F5299" s="22">
        <f ca="1">IFERROR(__xludf.DUMMYFUNCTION("""COMPUTED_VALUE"""),131473.7478175)</f>
        <v>131473.7478175</v>
      </c>
      <c r="G5299" s="22">
        <f ca="1">IFERROR(__xludf.DUMMYFUNCTION("""COMPUTED_VALUE"""),0)</f>
        <v>0</v>
      </c>
      <c r="H5299" s="7">
        <f ca="1">IFERROR(__xludf.DUMMYFUNCTION("""COMPUTED_VALUE"""),513490.635797)</f>
        <v>513490.63579700002</v>
      </c>
    </row>
    <row r="5300" spans="1:8" ht="13" x14ac:dyDescent="0.15">
      <c r="A5300" s="5" t="str">
        <f ca="1">IFERROR(__xludf.DUMMYFUNCTION("""COMPUTED_VALUE"""),"MONKEY")</f>
        <v>MONKEY</v>
      </c>
      <c r="B5300" s="51">
        <f ca="1">IFERROR(__xludf.DUMMYFUNCTION("""COMPUTED_VALUE"""),44639)</f>
        <v>44639</v>
      </c>
      <c r="C5300" s="22">
        <f ca="1">IFERROR(__xludf.DUMMYFUNCTION("""COMPUTED_VALUE"""),131473.7478175)</f>
        <v>131473.7478175</v>
      </c>
      <c r="D5300" s="22">
        <f ca="1">IFERROR(__xludf.DUMMYFUNCTION("""COMPUTED_VALUE"""),380613.3924195)</f>
        <v>380613.39241949999</v>
      </c>
      <c r="E5300" s="22">
        <f ca="1">IFERROR(__xludf.DUMMYFUNCTION("""COMPUTED_VALUE"""),512087.140237)</f>
        <v>512087.14023700001</v>
      </c>
      <c r="F5300" s="22">
        <f ca="1">IFERROR(__xludf.DUMMYFUNCTION("""COMPUTED_VALUE"""),131473.7478175)</f>
        <v>131473.7478175</v>
      </c>
      <c r="G5300" s="22">
        <f ca="1">IFERROR(__xludf.DUMMYFUNCTION("""COMPUTED_VALUE"""),0)</f>
        <v>0</v>
      </c>
      <c r="H5300" s="7">
        <f ca="1">IFERROR(__xludf.DUMMYFUNCTION("""COMPUTED_VALUE"""),513490.635797)</f>
        <v>513490.63579700002</v>
      </c>
    </row>
    <row r="5301" spans="1:8" ht="13" x14ac:dyDescent="0.15">
      <c r="A5301" s="5" t="str">
        <f ca="1">IFERROR(__xludf.DUMMYFUNCTION("""COMPUTED_VALUE"""),"MONKEY")</f>
        <v>MONKEY</v>
      </c>
      <c r="B5301" s="51">
        <f ca="1">IFERROR(__xludf.DUMMYFUNCTION("""COMPUTED_VALUE"""),44640)</f>
        <v>44640</v>
      </c>
      <c r="C5301" s="22">
        <f ca="1">IFERROR(__xludf.DUMMYFUNCTION("""COMPUTED_VALUE"""),131473.7478175)</f>
        <v>131473.7478175</v>
      </c>
      <c r="D5301" s="22">
        <f ca="1">IFERROR(__xludf.DUMMYFUNCTION("""COMPUTED_VALUE"""),380544.26079045)</f>
        <v>380544.26079044997</v>
      </c>
      <c r="E5301" s="22">
        <f ca="1">IFERROR(__xludf.DUMMYFUNCTION("""COMPUTED_VALUE"""),512018.00860795)</f>
        <v>512018.00860795</v>
      </c>
      <c r="F5301" s="22">
        <f ca="1">IFERROR(__xludf.DUMMYFUNCTION("""COMPUTED_VALUE"""),131473.7478175)</f>
        <v>131473.7478175</v>
      </c>
      <c r="G5301" s="22">
        <f ca="1">IFERROR(__xludf.DUMMYFUNCTION("""COMPUTED_VALUE"""),0)</f>
        <v>0</v>
      </c>
      <c r="H5301" s="7">
        <f ca="1">IFERROR(__xludf.DUMMYFUNCTION("""COMPUTED_VALUE"""),513410.66207295)</f>
        <v>513410.66207294998</v>
      </c>
    </row>
    <row r="5302" spans="1:8" ht="13" x14ac:dyDescent="0.15">
      <c r="A5302" s="5" t="str">
        <f ca="1">IFERROR(__xludf.DUMMYFUNCTION("""COMPUTED_VALUE"""),"MONKEY")</f>
        <v>MONKEY</v>
      </c>
      <c r="B5302" s="51">
        <f ca="1">IFERROR(__xludf.DUMMYFUNCTION("""COMPUTED_VALUE"""),44641)</f>
        <v>44641</v>
      </c>
      <c r="C5302" s="22">
        <f ca="1">IFERROR(__xludf.DUMMYFUNCTION("""COMPUTED_VALUE"""),131473.7478175)</f>
        <v>131473.7478175</v>
      </c>
      <c r="D5302" s="22">
        <f ca="1">IFERROR(__xludf.DUMMYFUNCTION("""COMPUTED_VALUE"""),378180.2545685)</f>
        <v>378180.25456849998</v>
      </c>
      <c r="E5302" s="22">
        <f ca="1">IFERROR(__xludf.DUMMYFUNCTION("""COMPUTED_VALUE"""),509654.002386)</f>
        <v>509654.00238600001</v>
      </c>
      <c r="F5302" s="22">
        <f ca="1">IFERROR(__xludf.DUMMYFUNCTION("""COMPUTED_VALUE"""),131473.7478175)</f>
        <v>131473.7478175</v>
      </c>
      <c r="G5302" s="22">
        <f ca="1">IFERROR(__xludf.DUMMYFUNCTION("""COMPUTED_VALUE"""),0)</f>
        <v>0</v>
      </c>
      <c r="H5302" s="7">
        <f ca="1">IFERROR(__xludf.DUMMYFUNCTION("""COMPUTED_VALUE"""),510587.237721)</f>
        <v>510587.23772099998</v>
      </c>
    </row>
    <row r="5303" spans="1:8" ht="13" x14ac:dyDescent="0.15">
      <c r="A5303" s="5" t="str">
        <f ca="1">IFERROR(__xludf.DUMMYFUNCTION("""COMPUTED_VALUE"""),"MONKEY")</f>
        <v>MONKEY</v>
      </c>
      <c r="B5303" s="51">
        <f ca="1">IFERROR(__xludf.DUMMYFUNCTION("""COMPUTED_VALUE"""),44642)</f>
        <v>44642</v>
      </c>
      <c r="C5303" s="22">
        <f ca="1">IFERROR(__xludf.DUMMYFUNCTION("""COMPUTED_VALUE"""),131473.7478175)</f>
        <v>131473.7478175</v>
      </c>
      <c r="D5303" s="22">
        <f ca="1">IFERROR(__xludf.DUMMYFUNCTION("""COMPUTED_VALUE"""),387154.182640999)</f>
        <v>387154.18264099897</v>
      </c>
      <c r="E5303" s="22">
        <f ca="1">IFERROR(__xludf.DUMMYFUNCTION("""COMPUTED_VALUE"""),518627.9304585)</f>
        <v>518627.93045849999</v>
      </c>
      <c r="F5303" s="22">
        <f ca="1">IFERROR(__xludf.DUMMYFUNCTION("""COMPUTED_VALUE"""),131473.7478175)</f>
        <v>131473.7478175</v>
      </c>
      <c r="G5303" s="22">
        <f ca="1">IFERROR(__xludf.DUMMYFUNCTION("""COMPUTED_VALUE"""),0)</f>
        <v>0</v>
      </c>
      <c r="H5303" s="7">
        <f ca="1">IFERROR(__xludf.DUMMYFUNCTION("""COMPUTED_VALUE"""),519461.0362435)</f>
        <v>519461.03624350001</v>
      </c>
    </row>
    <row r="5304" spans="1:8" ht="13" x14ac:dyDescent="0.15">
      <c r="A5304" s="5" t="str">
        <f ca="1">IFERROR(__xludf.DUMMYFUNCTION("""COMPUTED_VALUE"""),"Steve")</f>
        <v>Steve</v>
      </c>
      <c r="B5304" s="51">
        <f ca="1">IFERROR(__xludf.DUMMYFUNCTION("""COMPUTED_VALUE"""),44592)</f>
        <v>44592</v>
      </c>
      <c r="C5304" s="22">
        <f ca="1">IFERROR(__xludf.DUMMYFUNCTION("""COMPUTED_VALUE"""),500000)</f>
        <v>500000</v>
      </c>
      <c r="D5304" s="22">
        <f ca="1">IFERROR(__xludf.DUMMYFUNCTION("""COMPUTED_VALUE"""),0)</f>
        <v>0</v>
      </c>
      <c r="E5304" s="22">
        <f ca="1">IFERROR(__xludf.DUMMYFUNCTION("""COMPUTED_VALUE"""),500000)</f>
        <v>500000</v>
      </c>
      <c r="F5304" s="22">
        <f ca="1">IFERROR(__xludf.DUMMYFUNCTION("""COMPUTED_VALUE"""),500000)</f>
        <v>500000</v>
      </c>
      <c r="G5304" s="22">
        <f ca="1">IFERROR(__xludf.DUMMYFUNCTION("""COMPUTED_VALUE"""),0)</f>
        <v>0</v>
      </c>
      <c r="H5304" s="7">
        <f ca="1">IFERROR(__xludf.DUMMYFUNCTION("""COMPUTED_VALUE"""),500000)</f>
        <v>500000</v>
      </c>
    </row>
    <row r="5305" spans="1:8" ht="13" x14ac:dyDescent="0.15">
      <c r="A5305" s="5" t="str">
        <f ca="1">IFERROR(__xludf.DUMMYFUNCTION("""COMPUTED_VALUE"""),"Steve")</f>
        <v>Steve</v>
      </c>
      <c r="B5305" s="51">
        <f ca="1">IFERROR(__xludf.DUMMYFUNCTION("""COMPUTED_VALUE"""),44593)</f>
        <v>44593</v>
      </c>
      <c r="C5305" s="22">
        <f ca="1">IFERROR(__xludf.DUMMYFUNCTION("""COMPUTED_VALUE"""),500000)</f>
        <v>500000</v>
      </c>
      <c r="D5305" s="22">
        <f ca="1">IFERROR(__xludf.DUMMYFUNCTION("""COMPUTED_VALUE"""),0)</f>
        <v>0</v>
      </c>
      <c r="E5305" s="22">
        <f ca="1">IFERROR(__xludf.DUMMYFUNCTION("""COMPUTED_VALUE"""),500000)</f>
        <v>500000</v>
      </c>
      <c r="F5305" s="22">
        <f ca="1">IFERROR(__xludf.DUMMYFUNCTION("""COMPUTED_VALUE"""),500000)</f>
        <v>500000</v>
      </c>
      <c r="G5305" s="22">
        <f ca="1">IFERROR(__xludf.DUMMYFUNCTION("""COMPUTED_VALUE"""),0)</f>
        <v>0</v>
      </c>
      <c r="H5305" s="7">
        <f ca="1">IFERROR(__xludf.DUMMYFUNCTION("""COMPUTED_VALUE"""),500000)</f>
        <v>500000</v>
      </c>
    </row>
    <row r="5306" spans="1:8" ht="13" x14ac:dyDescent="0.15">
      <c r="A5306" s="5" t="str">
        <f ca="1">IFERROR(__xludf.DUMMYFUNCTION("""COMPUTED_VALUE"""),"Steve")</f>
        <v>Steve</v>
      </c>
      <c r="B5306" s="51">
        <f ca="1">IFERROR(__xludf.DUMMYFUNCTION("""COMPUTED_VALUE"""),44594)</f>
        <v>44594</v>
      </c>
      <c r="C5306" s="22">
        <f ca="1">IFERROR(__xludf.DUMMYFUNCTION("""COMPUTED_VALUE"""),500000)</f>
        <v>500000</v>
      </c>
      <c r="D5306" s="22">
        <f ca="1">IFERROR(__xludf.DUMMYFUNCTION("""COMPUTED_VALUE"""),0)</f>
        <v>0</v>
      </c>
      <c r="E5306" s="22">
        <f ca="1">IFERROR(__xludf.DUMMYFUNCTION("""COMPUTED_VALUE"""),500000)</f>
        <v>500000</v>
      </c>
      <c r="F5306" s="22">
        <f ca="1">IFERROR(__xludf.DUMMYFUNCTION("""COMPUTED_VALUE"""),500000)</f>
        <v>500000</v>
      </c>
      <c r="G5306" s="22">
        <f ca="1">IFERROR(__xludf.DUMMYFUNCTION("""COMPUTED_VALUE"""),0)</f>
        <v>0</v>
      </c>
      <c r="H5306" s="7">
        <f ca="1">IFERROR(__xludf.DUMMYFUNCTION("""COMPUTED_VALUE"""),500000)</f>
        <v>500000</v>
      </c>
    </row>
    <row r="5307" spans="1:8" ht="13" x14ac:dyDescent="0.15">
      <c r="A5307" s="5" t="str">
        <f ca="1">IFERROR(__xludf.DUMMYFUNCTION("""COMPUTED_VALUE"""),"Steve")</f>
        <v>Steve</v>
      </c>
      <c r="B5307" s="51">
        <f ca="1">IFERROR(__xludf.DUMMYFUNCTION("""COMPUTED_VALUE"""),44595)</f>
        <v>44595</v>
      </c>
      <c r="C5307" s="22">
        <f ca="1">IFERROR(__xludf.DUMMYFUNCTION("""COMPUTED_VALUE"""),478358.8461425)</f>
        <v>478358.8461425</v>
      </c>
      <c r="D5307" s="22">
        <f ca="1">IFERROR(__xludf.DUMMYFUNCTION("""COMPUTED_VALUE"""),21641.1538574999)</f>
        <v>21641.153857499899</v>
      </c>
      <c r="E5307" s="22">
        <f ca="1">IFERROR(__xludf.DUMMYFUNCTION("""COMPUTED_VALUE"""),500000)</f>
        <v>500000</v>
      </c>
      <c r="F5307" s="22">
        <f ca="1">IFERROR(__xludf.DUMMYFUNCTION("""COMPUTED_VALUE"""),478358.8461425)</f>
        <v>478358.8461425</v>
      </c>
      <c r="G5307" s="22">
        <f ca="1">IFERROR(__xludf.DUMMYFUNCTION("""COMPUTED_VALUE"""),0)</f>
        <v>0</v>
      </c>
      <c r="H5307" s="7">
        <f ca="1">IFERROR(__xludf.DUMMYFUNCTION("""COMPUTED_VALUE"""),500000)</f>
        <v>500000</v>
      </c>
    </row>
    <row r="5308" spans="1:8" ht="13" x14ac:dyDescent="0.15">
      <c r="A5308" s="5" t="str">
        <f ca="1">IFERROR(__xludf.DUMMYFUNCTION("""COMPUTED_VALUE"""),"Steve")</f>
        <v>Steve</v>
      </c>
      <c r="B5308" s="51">
        <f ca="1">IFERROR(__xludf.DUMMYFUNCTION("""COMPUTED_VALUE"""),44596)</f>
        <v>44596</v>
      </c>
      <c r="C5308" s="22">
        <f ca="1">IFERROR(__xludf.DUMMYFUNCTION("""COMPUTED_VALUE"""),478358.8461425)</f>
        <v>478358.8461425</v>
      </c>
      <c r="D5308" s="22">
        <f ca="1">IFERROR(__xludf.DUMMYFUNCTION("""COMPUTED_VALUE"""),21641.1538574999)</f>
        <v>21641.153857499899</v>
      </c>
      <c r="E5308" s="22">
        <f ca="1">IFERROR(__xludf.DUMMYFUNCTION("""COMPUTED_VALUE"""),500000)</f>
        <v>500000</v>
      </c>
      <c r="F5308" s="22">
        <f ca="1">IFERROR(__xludf.DUMMYFUNCTION("""COMPUTED_VALUE"""),478358.8461425)</f>
        <v>478358.8461425</v>
      </c>
      <c r="G5308" s="22">
        <f ca="1">IFERROR(__xludf.DUMMYFUNCTION("""COMPUTED_VALUE"""),0)</f>
        <v>0</v>
      </c>
      <c r="H5308" s="7">
        <f ca="1">IFERROR(__xludf.DUMMYFUNCTION("""COMPUTED_VALUE"""),502913.326400749)</f>
        <v>502913.32640074898</v>
      </c>
    </row>
    <row r="5309" spans="1:8" ht="13" x14ac:dyDescent="0.15">
      <c r="A5309" s="5" t="str">
        <f ca="1">IFERROR(__xludf.DUMMYFUNCTION("""COMPUTED_VALUE"""),"Steve")</f>
        <v>Steve</v>
      </c>
      <c r="B5309" s="51">
        <f ca="1">IFERROR(__xludf.DUMMYFUNCTION("""COMPUTED_VALUE"""),44597)</f>
        <v>44597</v>
      </c>
      <c r="C5309" s="22">
        <f ca="1">IFERROR(__xludf.DUMMYFUNCTION("""COMPUTED_VALUE"""),478358.8461425)</f>
        <v>478358.8461425</v>
      </c>
      <c r="D5309" s="22">
        <f ca="1">IFERROR(__xludf.DUMMYFUNCTION("""COMPUTED_VALUE"""),21641.1538574999)</f>
        <v>21641.153857499899</v>
      </c>
      <c r="E5309" s="22">
        <f ca="1">IFERROR(__xludf.DUMMYFUNCTION("""COMPUTED_VALUE"""),500000)</f>
        <v>500000</v>
      </c>
      <c r="F5309" s="22">
        <f ca="1">IFERROR(__xludf.DUMMYFUNCTION("""COMPUTED_VALUE"""),478358.8461425)</f>
        <v>478358.8461425</v>
      </c>
      <c r="G5309" s="22">
        <f ca="1">IFERROR(__xludf.DUMMYFUNCTION("""COMPUTED_VALUE"""),0)</f>
        <v>0</v>
      </c>
      <c r="H5309" s="7">
        <f ca="1">IFERROR(__xludf.DUMMYFUNCTION("""COMPUTED_VALUE"""),502913.326400749)</f>
        <v>502913.32640074898</v>
      </c>
    </row>
    <row r="5310" spans="1:8" ht="13" x14ac:dyDescent="0.15">
      <c r="A5310" s="5" t="str">
        <f ca="1">IFERROR(__xludf.DUMMYFUNCTION("""COMPUTED_VALUE"""),"Steve")</f>
        <v>Steve</v>
      </c>
      <c r="B5310" s="51">
        <f ca="1">IFERROR(__xludf.DUMMYFUNCTION("""COMPUTED_VALUE"""),44598)</f>
        <v>44598</v>
      </c>
      <c r="C5310" s="22">
        <f ca="1">IFERROR(__xludf.DUMMYFUNCTION("""COMPUTED_VALUE"""),478358.8461425)</f>
        <v>478358.8461425</v>
      </c>
      <c r="D5310" s="22">
        <f ca="1">IFERROR(__xludf.DUMMYFUNCTION("""COMPUTED_VALUE"""),21641.1538574999)</f>
        <v>21641.153857499899</v>
      </c>
      <c r="E5310" s="22">
        <f ca="1">IFERROR(__xludf.DUMMYFUNCTION("""COMPUTED_VALUE"""),500000)</f>
        <v>500000</v>
      </c>
      <c r="F5310" s="22">
        <f ca="1">IFERROR(__xludf.DUMMYFUNCTION("""COMPUTED_VALUE"""),478358.8461425)</f>
        <v>478358.8461425</v>
      </c>
      <c r="G5310" s="22">
        <f ca="1">IFERROR(__xludf.DUMMYFUNCTION("""COMPUTED_VALUE"""),0)</f>
        <v>0</v>
      </c>
      <c r="H5310" s="7">
        <f ca="1">IFERROR(__xludf.DUMMYFUNCTION("""COMPUTED_VALUE"""),502913.35792865)</f>
        <v>502913.35792864999</v>
      </c>
    </row>
    <row r="5311" spans="1:8" ht="13" x14ac:dyDescent="0.15">
      <c r="A5311" s="5" t="str">
        <f ca="1">IFERROR(__xludf.DUMMYFUNCTION("""COMPUTED_VALUE"""),"Steve")</f>
        <v>Steve</v>
      </c>
      <c r="B5311" s="51">
        <f ca="1">IFERROR(__xludf.DUMMYFUNCTION("""COMPUTED_VALUE"""),44599)</f>
        <v>44599</v>
      </c>
      <c r="C5311" s="22">
        <f ca="1">IFERROR(__xludf.DUMMYFUNCTION("""COMPUTED_VALUE"""),478358.8461425)</f>
        <v>478358.8461425</v>
      </c>
      <c r="D5311" s="22">
        <f ca="1">IFERROR(__xludf.DUMMYFUNCTION("""COMPUTED_VALUE"""),21641.1538574999)</f>
        <v>21641.153857499899</v>
      </c>
      <c r="E5311" s="22">
        <f ca="1">IFERROR(__xludf.DUMMYFUNCTION("""COMPUTED_VALUE"""),500000)</f>
        <v>500000</v>
      </c>
      <c r="F5311" s="22">
        <f ca="1">IFERROR(__xludf.DUMMYFUNCTION("""COMPUTED_VALUE"""),478358.8461425)</f>
        <v>478358.8461425</v>
      </c>
      <c r="G5311" s="22">
        <f ca="1">IFERROR(__xludf.DUMMYFUNCTION("""COMPUTED_VALUE"""),0)</f>
        <v>0</v>
      </c>
      <c r="H5311" s="7">
        <f ca="1">IFERROR(__xludf.DUMMYFUNCTION("""COMPUTED_VALUE"""),502971.672398)</f>
        <v>502971.67239800002</v>
      </c>
    </row>
    <row r="5312" spans="1:8" ht="13" x14ac:dyDescent="0.15">
      <c r="A5312" s="5" t="str">
        <f ca="1">IFERROR(__xludf.DUMMYFUNCTION("""COMPUTED_VALUE"""),"Steve")</f>
        <v>Steve</v>
      </c>
      <c r="B5312" s="51">
        <f ca="1">IFERROR(__xludf.DUMMYFUNCTION("""COMPUTED_VALUE"""),44600)</f>
        <v>44600</v>
      </c>
      <c r="C5312" s="22">
        <f ca="1">IFERROR(__xludf.DUMMYFUNCTION("""COMPUTED_VALUE"""),478358.8461425)</f>
        <v>478358.8461425</v>
      </c>
      <c r="D5312" s="22">
        <f ca="1">IFERROR(__xludf.DUMMYFUNCTION("""COMPUTED_VALUE"""),21641.1538574999)</f>
        <v>21641.153857499899</v>
      </c>
      <c r="E5312" s="22">
        <f ca="1">IFERROR(__xludf.DUMMYFUNCTION("""COMPUTED_VALUE"""),500000)</f>
        <v>500000</v>
      </c>
      <c r="F5312" s="22">
        <f ca="1">IFERROR(__xludf.DUMMYFUNCTION("""COMPUTED_VALUE"""),478358.8461425)</f>
        <v>478358.8461425</v>
      </c>
      <c r="G5312" s="22">
        <f ca="1">IFERROR(__xludf.DUMMYFUNCTION("""COMPUTED_VALUE"""),0)</f>
        <v>0</v>
      </c>
      <c r="H5312" s="7">
        <f ca="1">IFERROR(__xludf.DUMMYFUNCTION("""COMPUTED_VALUE"""),503518.51365965)</f>
        <v>503518.51365964999</v>
      </c>
    </row>
    <row r="5313" spans="1:8" ht="13" x14ac:dyDescent="0.15">
      <c r="A5313" s="5" t="str">
        <f ca="1">IFERROR(__xludf.DUMMYFUNCTION("""COMPUTED_VALUE"""),"Steve")</f>
        <v>Steve</v>
      </c>
      <c r="B5313" s="51">
        <f ca="1">IFERROR(__xludf.DUMMYFUNCTION("""COMPUTED_VALUE"""),44601)</f>
        <v>44601</v>
      </c>
      <c r="C5313" s="22">
        <f ca="1">IFERROR(__xludf.DUMMYFUNCTION("""COMPUTED_VALUE"""),478358.8461425)</f>
        <v>478358.8461425</v>
      </c>
      <c r="D5313" s="22">
        <f ca="1">IFERROR(__xludf.DUMMYFUNCTION("""COMPUTED_VALUE"""),21641.1538574999)</f>
        <v>21641.153857499899</v>
      </c>
      <c r="E5313" s="22">
        <f ca="1">IFERROR(__xludf.DUMMYFUNCTION("""COMPUTED_VALUE"""),500000)</f>
        <v>500000</v>
      </c>
      <c r="F5313" s="22">
        <f ca="1">IFERROR(__xludf.DUMMYFUNCTION("""COMPUTED_VALUE"""),478358.8461425)</f>
        <v>478358.8461425</v>
      </c>
      <c r="G5313" s="22">
        <f ca="1">IFERROR(__xludf.DUMMYFUNCTION("""COMPUTED_VALUE"""),0)</f>
        <v>0</v>
      </c>
      <c r="H5313" s="7">
        <f ca="1">IFERROR(__xludf.DUMMYFUNCTION("""COMPUTED_VALUE"""),503476.522359)</f>
        <v>503476.522359</v>
      </c>
    </row>
    <row r="5314" spans="1:8" ht="13" x14ac:dyDescent="0.15">
      <c r="A5314" s="5" t="str">
        <f ca="1">IFERROR(__xludf.DUMMYFUNCTION("""COMPUTED_VALUE"""),"Steve")</f>
        <v>Steve</v>
      </c>
      <c r="B5314" s="51">
        <f ca="1">IFERROR(__xludf.DUMMYFUNCTION("""COMPUTED_VALUE"""),44602)</f>
        <v>44602</v>
      </c>
      <c r="C5314" s="22">
        <f ca="1">IFERROR(__xludf.DUMMYFUNCTION("""COMPUTED_VALUE"""),478358.8461425)</f>
        <v>478358.8461425</v>
      </c>
      <c r="D5314" s="22">
        <f ca="1">IFERROR(__xludf.DUMMYFUNCTION("""COMPUTED_VALUE"""),21641.1538574999)</f>
        <v>21641.153857499899</v>
      </c>
      <c r="E5314" s="22">
        <f ca="1">IFERROR(__xludf.DUMMYFUNCTION("""COMPUTED_VALUE"""),500000)</f>
        <v>500000</v>
      </c>
      <c r="F5314" s="22">
        <f ca="1">IFERROR(__xludf.DUMMYFUNCTION("""COMPUTED_VALUE"""),478358.8461425)</f>
        <v>478358.8461425</v>
      </c>
      <c r="G5314" s="22">
        <f ca="1">IFERROR(__xludf.DUMMYFUNCTION("""COMPUTED_VALUE"""),0)</f>
        <v>0</v>
      </c>
      <c r="H5314" s="7">
        <f ca="1">IFERROR(__xludf.DUMMYFUNCTION("""COMPUTED_VALUE"""),503153.13641675)</f>
        <v>503153.13641675003</v>
      </c>
    </row>
    <row r="5315" spans="1:8" ht="13" x14ac:dyDescent="0.15">
      <c r="A5315" s="5" t="str">
        <f ca="1">IFERROR(__xludf.DUMMYFUNCTION("""COMPUTED_VALUE"""),"Steve")</f>
        <v>Steve</v>
      </c>
      <c r="B5315" s="51">
        <f ca="1">IFERROR(__xludf.DUMMYFUNCTION("""COMPUTED_VALUE"""),44603)</f>
        <v>44603</v>
      </c>
      <c r="C5315" s="22">
        <f ca="1">IFERROR(__xludf.DUMMYFUNCTION("""COMPUTED_VALUE"""),478358.8461425)</f>
        <v>478358.8461425</v>
      </c>
      <c r="D5315" s="22">
        <f ca="1">IFERROR(__xludf.DUMMYFUNCTION("""COMPUTED_VALUE"""),21641.1538574999)</f>
        <v>21641.153857499899</v>
      </c>
      <c r="E5315" s="22">
        <f ca="1">IFERROR(__xludf.DUMMYFUNCTION("""COMPUTED_VALUE"""),500000)</f>
        <v>500000</v>
      </c>
      <c r="F5315" s="22">
        <f ca="1">IFERROR(__xludf.DUMMYFUNCTION("""COMPUTED_VALUE"""),478358.8461425)</f>
        <v>478358.8461425</v>
      </c>
      <c r="G5315" s="22">
        <f ca="1">IFERROR(__xludf.DUMMYFUNCTION("""COMPUTED_VALUE"""),0)</f>
        <v>0</v>
      </c>
      <c r="H5315" s="7">
        <f ca="1">IFERROR(__xludf.DUMMYFUNCTION("""COMPUTED_VALUE"""),502274.11908945)</f>
        <v>502274.11908944999</v>
      </c>
    </row>
    <row r="5316" spans="1:8" ht="13" x14ac:dyDescent="0.15">
      <c r="A5316" s="5" t="str">
        <f ca="1">IFERROR(__xludf.DUMMYFUNCTION("""COMPUTED_VALUE"""),"Steve")</f>
        <v>Steve</v>
      </c>
      <c r="B5316" s="51">
        <f ca="1">IFERROR(__xludf.DUMMYFUNCTION("""COMPUTED_VALUE"""),44604)</f>
        <v>44604</v>
      </c>
      <c r="C5316" s="22">
        <f ca="1">IFERROR(__xludf.DUMMYFUNCTION("""COMPUTED_VALUE"""),478358.8461425)</f>
        <v>478358.8461425</v>
      </c>
      <c r="D5316" s="22">
        <f ca="1">IFERROR(__xludf.DUMMYFUNCTION("""COMPUTED_VALUE"""),21641.1538574999)</f>
        <v>21641.153857499899</v>
      </c>
      <c r="E5316" s="22">
        <f ca="1">IFERROR(__xludf.DUMMYFUNCTION("""COMPUTED_VALUE"""),500000)</f>
        <v>500000</v>
      </c>
      <c r="F5316" s="22">
        <f ca="1">IFERROR(__xludf.DUMMYFUNCTION("""COMPUTED_VALUE"""),478358.8461425)</f>
        <v>478358.8461425</v>
      </c>
      <c r="G5316" s="22">
        <f ca="1">IFERROR(__xludf.DUMMYFUNCTION("""COMPUTED_VALUE"""),0)</f>
        <v>0</v>
      </c>
      <c r="H5316" s="7">
        <f ca="1">IFERROR(__xludf.DUMMYFUNCTION("""COMPUTED_VALUE"""),502274.11908945)</f>
        <v>502274.11908944999</v>
      </c>
    </row>
    <row r="5317" spans="1:8" ht="13" x14ac:dyDescent="0.15">
      <c r="A5317" s="5" t="str">
        <f ca="1">IFERROR(__xludf.DUMMYFUNCTION("""COMPUTED_VALUE"""),"Steve")</f>
        <v>Steve</v>
      </c>
      <c r="B5317" s="51">
        <f ca="1">IFERROR(__xludf.DUMMYFUNCTION("""COMPUTED_VALUE"""),44605)</f>
        <v>44605</v>
      </c>
      <c r="C5317" s="22">
        <f ca="1">IFERROR(__xludf.DUMMYFUNCTION("""COMPUTED_VALUE"""),478358.8461425)</f>
        <v>478358.8461425</v>
      </c>
      <c r="D5317" s="22">
        <f ca="1">IFERROR(__xludf.DUMMYFUNCTION("""COMPUTED_VALUE"""),21641.1538574999)</f>
        <v>21641.153857499899</v>
      </c>
      <c r="E5317" s="22">
        <f ca="1">IFERROR(__xludf.DUMMYFUNCTION("""COMPUTED_VALUE"""),500000)</f>
        <v>500000</v>
      </c>
      <c r="F5317" s="22">
        <f ca="1">IFERROR(__xludf.DUMMYFUNCTION("""COMPUTED_VALUE"""),478358.8461425)</f>
        <v>478358.8461425</v>
      </c>
      <c r="G5317" s="22">
        <f ca="1">IFERROR(__xludf.DUMMYFUNCTION("""COMPUTED_VALUE"""),0)</f>
        <v>0</v>
      </c>
      <c r="H5317" s="7">
        <f ca="1">IFERROR(__xludf.DUMMYFUNCTION("""COMPUTED_VALUE"""),502275.43741355)</f>
        <v>502275.43741354998</v>
      </c>
    </row>
    <row r="5318" spans="1:8" ht="13" x14ac:dyDescent="0.15">
      <c r="A5318" s="5" t="str">
        <f ca="1">IFERROR(__xludf.DUMMYFUNCTION("""COMPUTED_VALUE"""),"Steve")</f>
        <v>Steve</v>
      </c>
      <c r="B5318" s="51">
        <f ca="1">IFERROR(__xludf.DUMMYFUNCTION("""COMPUTED_VALUE"""),44606)</f>
        <v>44606</v>
      </c>
      <c r="C5318" s="22">
        <f ca="1">IFERROR(__xludf.DUMMYFUNCTION("""COMPUTED_VALUE"""),478358.8461425)</f>
        <v>478358.8461425</v>
      </c>
      <c r="D5318" s="22">
        <f ca="1">IFERROR(__xludf.DUMMYFUNCTION("""COMPUTED_VALUE"""),21641.1538574999)</f>
        <v>21641.153857499899</v>
      </c>
      <c r="E5318" s="22">
        <f ca="1">IFERROR(__xludf.DUMMYFUNCTION("""COMPUTED_VALUE"""),500000)</f>
        <v>500000</v>
      </c>
      <c r="F5318" s="22">
        <f ca="1">IFERROR(__xludf.DUMMYFUNCTION("""COMPUTED_VALUE"""),478358.8461425)</f>
        <v>478358.8461425</v>
      </c>
      <c r="G5318" s="22">
        <f ca="1">IFERROR(__xludf.DUMMYFUNCTION("""COMPUTED_VALUE"""),0)</f>
        <v>0</v>
      </c>
      <c r="H5318" s="7">
        <f ca="1">IFERROR(__xludf.DUMMYFUNCTION("""COMPUTED_VALUE"""),502574.0374788)</f>
        <v>502574.03747879999</v>
      </c>
    </row>
    <row r="5319" spans="1:8" ht="13" x14ac:dyDescent="0.15">
      <c r="A5319" s="5" t="str">
        <f ca="1">IFERROR(__xludf.DUMMYFUNCTION("""COMPUTED_VALUE"""),"Steve")</f>
        <v>Steve</v>
      </c>
      <c r="B5319" s="51">
        <f ca="1">IFERROR(__xludf.DUMMYFUNCTION("""COMPUTED_VALUE"""),44607)</f>
        <v>44607</v>
      </c>
      <c r="C5319" s="22">
        <f ca="1">IFERROR(__xludf.DUMMYFUNCTION("""COMPUTED_VALUE"""),478358.8461425)</f>
        <v>478358.8461425</v>
      </c>
      <c r="D5319" s="22">
        <f ca="1">IFERROR(__xludf.DUMMYFUNCTION("""COMPUTED_VALUE"""),21641.1538574999)</f>
        <v>21641.153857499899</v>
      </c>
      <c r="E5319" s="22">
        <f ca="1">IFERROR(__xludf.DUMMYFUNCTION("""COMPUTED_VALUE"""),500000)</f>
        <v>500000</v>
      </c>
      <c r="F5319" s="22">
        <f ca="1">IFERROR(__xludf.DUMMYFUNCTION("""COMPUTED_VALUE"""),478358.8461425)</f>
        <v>478358.8461425</v>
      </c>
      <c r="G5319" s="22">
        <f ca="1">IFERROR(__xludf.DUMMYFUNCTION("""COMPUTED_VALUE"""),0)</f>
        <v>0</v>
      </c>
      <c r="H5319" s="7">
        <f ca="1">IFERROR(__xludf.DUMMYFUNCTION("""COMPUTED_VALUE"""),502778.72557705)</f>
        <v>502778.72557705001</v>
      </c>
    </row>
    <row r="5320" spans="1:8" ht="13" x14ac:dyDescent="0.15">
      <c r="A5320" s="5" t="str">
        <f ca="1">IFERROR(__xludf.DUMMYFUNCTION("""COMPUTED_VALUE"""),"Steve")</f>
        <v>Steve</v>
      </c>
      <c r="B5320" s="51">
        <f ca="1">IFERROR(__xludf.DUMMYFUNCTION("""COMPUTED_VALUE"""),44608)</f>
        <v>44608</v>
      </c>
      <c r="C5320" s="22">
        <f ca="1">IFERROR(__xludf.DUMMYFUNCTION("""COMPUTED_VALUE"""),478358.8461425)</f>
        <v>478358.8461425</v>
      </c>
      <c r="D5320" s="22">
        <f ca="1">IFERROR(__xludf.DUMMYFUNCTION("""COMPUTED_VALUE"""),21641.1538574999)</f>
        <v>21641.153857499899</v>
      </c>
      <c r="E5320" s="22">
        <f ca="1">IFERROR(__xludf.DUMMYFUNCTION("""COMPUTED_VALUE"""),500000)</f>
        <v>500000</v>
      </c>
      <c r="F5320" s="22">
        <f ca="1">IFERROR(__xludf.DUMMYFUNCTION("""COMPUTED_VALUE"""),478358.8461425)</f>
        <v>478358.8461425</v>
      </c>
      <c r="G5320" s="22">
        <f ca="1">IFERROR(__xludf.DUMMYFUNCTION("""COMPUTED_VALUE"""),0)</f>
        <v>0</v>
      </c>
      <c r="H5320" s="7">
        <f ca="1">IFERROR(__xludf.DUMMYFUNCTION("""COMPUTED_VALUE"""),503024.1051475)</f>
        <v>503024.1051475</v>
      </c>
    </row>
    <row r="5321" spans="1:8" ht="13" x14ac:dyDescent="0.15">
      <c r="A5321" s="5" t="str">
        <f ca="1">IFERROR(__xludf.DUMMYFUNCTION("""COMPUTED_VALUE"""),"Steve")</f>
        <v>Steve</v>
      </c>
      <c r="B5321" s="51">
        <f ca="1">IFERROR(__xludf.DUMMYFUNCTION("""COMPUTED_VALUE"""),44609)</f>
        <v>44609</v>
      </c>
      <c r="C5321" s="22">
        <f ca="1">IFERROR(__xludf.DUMMYFUNCTION("""COMPUTED_VALUE"""),478358.8461425)</f>
        <v>478358.8461425</v>
      </c>
      <c r="D5321" s="22">
        <f ca="1">IFERROR(__xludf.DUMMYFUNCTION("""COMPUTED_VALUE"""),21641.1538574999)</f>
        <v>21641.153857499899</v>
      </c>
      <c r="E5321" s="22">
        <f ca="1">IFERROR(__xludf.DUMMYFUNCTION("""COMPUTED_VALUE"""),500000)</f>
        <v>500000</v>
      </c>
      <c r="F5321" s="22">
        <f ca="1">IFERROR(__xludf.DUMMYFUNCTION("""COMPUTED_VALUE"""),478358.8461425)</f>
        <v>478358.8461425</v>
      </c>
      <c r="G5321" s="22">
        <f ca="1">IFERROR(__xludf.DUMMYFUNCTION("""COMPUTED_VALUE"""),0)</f>
        <v>0</v>
      </c>
      <c r="H5321" s="7">
        <f ca="1">IFERROR(__xludf.DUMMYFUNCTION("""COMPUTED_VALUE"""),502481.89879325)</f>
        <v>502481.89879324997</v>
      </c>
    </row>
    <row r="5322" spans="1:8" ht="13" x14ac:dyDescent="0.15">
      <c r="A5322" s="5" t="str">
        <f ca="1">IFERROR(__xludf.DUMMYFUNCTION("""COMPUTED_VALUE"""),"Steve")</f>
        <v>Steve</v>
      </c>
      <c r="B5322" s="51">
        <f ca="1">IFERROR(__xludf.DUMMYFUNCTION("""COMPUTED_VALUE"""),44610)</f>
        <v>44610</v>
      </c>
      <c r="C5322" s="22">
        <f ca="1">IFERROR(__xludf.DUMMYFUNCTION("""COMPUTED_VALUE"""),478358.8461425)</f>
        <v>478358.8461425</v>
      </c>
      <c r="D5322" s="22">
        <f ca="1">IFERROR(__xludf.DUMMYFUNCTION("""COMPUTED_VALUE"""),21641.1538574999)</f>
        <v>21641.153857499899</v>
      </c>
      <c r="E5322" s="22">
        <f ca="1">IFERROR(__xludf.DUMMYFUNCTION("""COMPUTED_VALUE"""),500000)</f>
        <v>500000</v>
      </c>
      <c r="F5322" s="22">
        <f ca="1">IFERROR(__xludf.DUMMYFUNCTION("""COMPUTED_VALUE"""),478358.8461425)</f>
        <v>478358.8461425</v>
      </c>
      <c r="G5322" s="22">
        <f ca="1">IFERROR(__xludf.DUMMYFUNCTION("""COMPUTED_VALUE"""),0)</f>
        <v>0</v>
      </c>
      <c r="H5322" s="7">
        <f ca="1">IFERROR(__xludf.DUMMYFUNCTION("""COMPUTED_VALUE"""),502166.2366778)</f>
        <v>502166.23667780001</v>
      </c>
    </row>
    <row r="5323" spans="1:8" ht="13" x14ac:dyDescent="0.15">
      <c r="A5323" s="5" t="str">
        <f ca="1">IFERROR(__xludf.DUMMYFUNCTION("""COMPUTED_VALUE"""),"Steve")</f>
        <v>Steve</v>
      </c>
      <c r="B5323" s="51">
        <f ca="1">IFERROR(__xludf.DUMMYFUNCTION("""COMPUTED_VALUE"""),44611)</f>
        <v>44611</v>
      </c>
      <c r="C5323" s="22">
        <f ca="1">IFERROR(__xludf.DUMMYFUNCTION("""COMPUTED_VALUE"""),478358.8461425)</f>
        <v>478358.8461425</v>
      </c>
      <c r="D5323" s="22">
        <f ca="1">IFERROR(__xludf.DUMMYFUNCTION("""COMPUTED_VALUE"""),21641.1538574999)</f>
        <v>21641.153857499899</v>
      </c>
      <c r="E5323" s="22">
        <f ca="1">IFERROR(__xludf.DUMMYFUNCTION("""COMPUTED_VALUE"""),500000)</f>
        <v>500000</v>
      </c>
      <c r="F5323" s="22">
        <f ca="1">IFERROR(__xludf.DUMMYFUNCTION("""COMPUTED_VALUE"""),478358.8461425)</f>
        <v>478358.8461425</v>
      </c>
      <c r="G5323" s="22">
        <f ca="1">IFERROR(__xludf.DUMMYFUNCTION("""COMPUTED_VALUE"""),0)</f>
        <v>0</v>
      </c>
      <c r="H5323" s="7">
        <f ca="1">IFERROR(__xludf.DUMMYFUNCTION("""COMPUTED_VALUE"""),502166.2366778)</f>
        <v>502166.23667780001</v>
      </c>
    </row>
    <row r="5324" spans="1:8" ht="13" x14ac:dyDescent="0.15">
      <c r="A5324" s="5" t="str">
        <f ca="1">IFERROR(__xludf.DUMMYFUNCTION("""COMPUTED_VALUE"""),"Steve")</f>
        <v>Steve</v>
      </c>
      <c r="B5324" s="51">
        <f ca="1">IFERROR(__xludf.DUMMYFUNCTION("""COMPUTED_VALUE"""),44612)</f>
        <v>44612</v>
      </c>
      <c r="C5324" s="22">
        <f ca="1">IFERROR(__xludf.DUMMYFUNCTION("""COMPUTED_VALUE"""),478358.8461425)</f>
        <v>478358.8461425</v>
      </c>
      <c r="D5324" s="22">
        <f ca="1">IFERROR(__xludf.DUMMYFUNCTION("""COMPUTED_VALUE"""),21641.1538574999)</f>
        <v>21641.153857499899</v>
      </c>
      <c r="E5324" s="22">
        <f ca="1">IFERROR(__xludf.DUMMYFUNCTION("""COMPUTED_VALUE"""),500000)</f>
        <v>500000</v>
      </c>
      <c r="F5324" s="22">
        <f ca="1">IFERROR(__xludf.DUMMYFUNCTION("""COMPUTED_VALUE"""),478358.8461425)</f>
        <v>478358.8461425</v>
      </c>
      <c r="G5324" s="22">
        <f ca="1">IFERROR(__xludf.DUMMYFUNCTION("""COMPUTED_VALUE"""),0)</f>
        <v>0</v>
      </c>
      <c r="H5324" s="7">
        <f ca="1">IFERROR(__xludf.DUMMYFUNCTION("""COMPUTED_VALUE"""),502165.42788985)</f>
        <v>502165.42788984999</v>
      </c>
    </row>
    <row r="5325" spans="1:8" ht="13" x14ac:dyDescent="0.15">
      <c r="A5325" s="5" t="str">
        <f ca="1">IFERROR(__xludf.DUMMYFUNCTION("""COMPUTED_VALUE"""),"Steve")</f>
        <v>Steve</v>
      </c>
      <c r="B5325" s="51">
        <f ca="1">IFERROR(__xludf.DUMMYFUNCTION("""COMPUTED_VALUE"""),44613)</f>
        <v>44613</v>
      </c>
      <c r="C5325" s="22">
        <f ca="1">IFERROR(__xludf.DUMMYFUNCTION("""COMPUTED_VALUE"""),478358.8461425)</f>
        <v>478358.8461425</v>
      </c>
      <c r="D5325" s="22">
        <f ca="1">IFERROR(__xludf.DUMMYFUNCTION("""COMPUTED_VALUE"""),21641.1538574999)</f>
        <v>21641.153857499899</v>
      </c>
      <c r="E5325" s="22">
        <f ca="1">IFERROR(__xludf.DUMMYFUNCTION("""COMPUTED_VALUE"""),500000)</f>
        <v>500000</v>
      </c>
      <c r="F5325" s="22">
        <f ca="1">IFERROR(__xludf.DUMMYFUNCTION("""COMPUTED_VALUE"""),478358.8461425)</f>
        <v>478358.8461425</v>
      </c>
      <c r="G5325" s="22">
        <f ca="1">IFERROR(__xludf.DUMMYFUNCTION("""COMPUTED_VALUE"""),0)</f>
        <v>0</v>
      </c>
      <c r="H5325" s="7">
        <f ca="1">IFERROR(__xludf.DUMMYFUNCTION("""COMPUTED_VALUE"""),502167.74743265)</f>
        <v>502167.74743265001</v>
      </c>
    </row>
    <row r="5326" spans="1:8" ht="13" x14ac:dyDescent="0.15">
      <c r="A5326" s="5" t="str">
        <f ca="1">IFERROR(__xludf.DUMMYFUNCTION("""COMPUTED_VALUE"""),"Steve")</f>
        <v>Steve</v>
      </c>
      <c r="B5326" s="51">
        <f ca="1">IFERROR(__xludf.DUMMYFUNCTION("""COMPUTED_VALUE"""),44614)</f>
        <v>44614</v>
      </c>
      <c r="C5326" s="22">
        <f ca="1">IFERROR(__xludf.DUMMYFUNCTION("""COMPUTED_VALUE"""),478358.8461425)</f>
        <v>478358.8461425</v>
      </c>
      <c r="D5326" s="22">
        <f ca="1">IFERROR(__xludf.DUMMYFUNCTION("""COMPUTED_VALUE"""),21641.1538574999)</f>
        <v>21641.153857499899</v>
      </c>
      <c r="E5326" s="22">
        <f ca="1">IFERROR(__xludf.DUMMYFUNCTION("""COMPUTED_VALUE"""),500000)</f>
        <v>500000</v>
      </c>
      <c r="F5326" s="22">
        <f ca="1">IFERROR(__xludf.DUMMYFUNCTION("""COMPUTED_VALUE"""),478358.8461425)</f>
        <v>478358.8461425</v>
      </c>
      <c r="G5326" s="22">
        <f ca="1">IFERROR(__xludf.DUMMYFUNCTION("""COMPUTED_VALUE"""),0)</f>
        <v>0</v>
      </c>
      <c r="H5326" s="7">
        <f ca="1">IFERROR(__xludf.DUMMYFUNCTION("""COMPUTED_VALUE"""),501794.913055)</f>
        <v>501794.91305500001</v>
      </c>
    </row>
    <row r="5327" spans="1:8" ht="13" x14ac:dyDescent="0.15">
      <c r="A5327" s="5" t="str">
        <f ca="1">IFERROR(__xludf.DUMMYFUNCTION("""COMPUTED_VALUE"""),"Steve")</f>
        <v>Steve</v>
      </c>
      <c r="B5327" s="51">
        <f ca="1">IFERROR(__xludf.DUMMYFUNCTION("""COMPUTED_VALUE"""),44615)</f>
        <v>44615</v>
      </c>
      <c r="C5327" s="22">
        <f ca="1">IFERROR(__xludf.DUMMYFUNCTION("""COMPUTED_VALUE"""),478358.8461425)</f>
        <v>478358.8461425</v>
      </c>
      <c r="D5327" s="22">
        <f ca="1">IFERROR(__xludf.DUMMYFUNCTION("""COMPUTED_VALUE"""),21641.1538574999)</f>
        <v>21641.153857499899</v>
      </c>
      <c r="E5327" s="22">
        <f ca="1">IFERROR(__xludf.DUMMYFUNCTION("""COMPUTED_VALUE"""),500000)</f>
        <v>500000</v>
      </c>
      <c r="F5327" s="22">
        <f ca="1">IFERROR(__xludf.DUMMYFUNCTION("""COMPUTED_VALUE"""),478358.8461425)</f>
        <v>478358.8461425</v>
      </c>
      <c r="G5327" s="22">
        <f ca="1">IFERROR(__xludf.DUMMYFUNCTION("""COMPUTED_VALUE"""),0)</f>
        <v>0</v>
      </c>
      <c r="H5327" s="7">
        <f ca="1">IFERROR(__xludf.DUMMYFUNCTION("""COMPUTED_VALUE"""),500967.6442855)</f>
        <v>500967.64428549999</v>
      </c>
    </row>
    <row r="5328" spans="1:8" ht="13" x14ac:dyDescent="0.15">
      <c r="A5328" s="5" t="str">
        <f ca="1">IFERROR(__xludf.DUMMYFUNCTION("""COMPUTED_VALUE"""),"Steve")</f>
        <v>Steve</v>
      </c>
      <c r="B5328" s="51">
        <f ca="1">IFERROR(__xludf.DUMMYFUNCTION("""COMPUTED_VALUE"""),44616)</f>
        <v>44616</v>
      </c>
      <c r="C5328" s="22">
        <f ca="1">IFERROR(__xludf.DUMMYFUNCTION("""COMPUTED_VALUE"""),478358.8461425)</f>
        <v>478358.8461425</v>
      </c>
      <c r="D5328" s="22">
        <f ca="1">IFERROR(__xludf.DUMMYFUNCTION("""COMPUTED_VALUE"""),21641.1538574999)</f>
        <v>21641.153857499899</v>
      </c>
      <c r="E5328" s="22">
        <f ca="1">IFERROR(__xludf.DUMMYFUNCTION("""COMPUTED_VALUE"""),500000)</f>
        <v>500000</v>
      </c>
      <c r="F5328" s="22">
        <f ca="1">IFERROR(__xludf.DUMMYFUNCTION("""COMPUTED_VALUE"""),478358.8461425)</f>
        <v>478358.8461425</v>
      </c>
      <c r="G5328" s="22">
        <f ca="1">IFERROR(__xludf.DUMMYFUNCTION("""COMPUTED_VALUE"""),0)</f>
        <v>0</v>
      </c>
      <c r="H5328" s="7">
        <f ca="1">IFERROR(__xludf.DUMMYFUNCTION("""COMPUTED_VALUE"""),501994.1546325)</f>
        <v>501994.15463250002</v>
      </c>
    </row>
    <row r="5329" spans="1:8" ht="13" x14ac:dyDescent="0.15">
      <c r="A5329" s="5" t="str">
        <f ca="1">IFERROR(__xludf.DUMMYFUNCTION("""COMPUTED_VALUE"""),"Steve")</f>
        <v>Steve</v>
      </c>
      <c r="B5329" s="51">
        <f ca="1">IFERROR(__xludf.DUMMYFUNCTION("""COMPUTED_VALUE"""),44617)</f>
        <v>44617</v>
      </c>
      <c r="C5329" s="22">
        <f ca="1">IFERROR(__xludf.DUMMYFUNCTION("""COMPUTED_VALUE"""),478358.8461425)</f>
        <v>478358.8461425</v>
      </c>
      <c r="D5329" s="22">
        <f ca="1">IFERROR(__xludf.DUMMYFUNCTION("""COMPUTED_VALUE"""),21641.1538574999)</f>
        <v>21641.153857499899</v>
      </c>
      <c r="E5329" s="22">
        <f ca="1">IFERROR(__xludf.DUMMYFUNCTION("""COMPUTED_VALUE"""),500000)</f>
        <v>500000</v>
      </c>
      <c r="F5329" s="22">
        <f ca="1">IFERROR(__xludf.DUMMYFUNCTION("""COMPUTED_VALUE"""),478358.8461425)</f>
        <v>478358.8461425</v>
      </c>
      <c r="G5329" s="22">
        <f ca="1">IFERROR(__xludf.DUMMYFUNCTION("""COMPUTED_VALUE"""),0)</f>
        <v>0</v>
      </c>
      <c r="H5329" s="7">
        <f ca="1">IFERROR(__xludf.DUMMYFUNCTION("""COMPUTED_VALUE"""),502375.67323165)</f>
        <v>502375.67323165003</v>
      </c>
    </row>
    <row r="5330" spans="1:8" ht="13" x14ac:dyDescent="0.15">
      <c r="A5330" s="5" t="str">
        <f ca="1">IFERROR(__xludf.DUMMYFUNCTION("""COMPUTED_VALUE"""),"Steve")</f>
        <v>Steve</v>
      </c>
      <c r="B5330" s="51">
        <f ca="1">IFERROR(__xludf.DUMMYFUNCTION("""COMPUTED_VALUE"""),44618)</f>
        <v>44618</v>
      </c>
      <c r="C5330" s="22">
        <f ca="1">IFERROR(__xludf.DUMMYFUNCTION("""COMPUTED_VALUE"""),478358.8461425)</f>
        <v>478358.8461425</v>
      </c>
      <c r="D5330" s="22">
        <f ca="1">IFERROR(__xludf.DUMMYFUNCTION("""COMPUTED_VALUE"""),21641.1538574999)</f>
        <v>21641.153857499899</v>
      </c>
      <c r="E5330" s="22">
        <f ca="1">IFERROR(__xludf.DUMMYFUNCTION("""COMPUTED_VALUE"""),500000)</f>
        <v>500000</v>
      </c>
      <c r="F5330" s="22">
        <f ca="1">IFERROR(__xludf.DUMMYFUNCTION("""COMPUTED_VALUE"""),478358.8461425)</f>
        <v>478358.8461425</v>
      </c>
      <c r="G5330" s="22">
        <f ca="1">IFERROR(__xludf.DUMMYFUNCTION("""COMPUTED_VALUE"""),0)</f>
        <v>0</v>
      </c>
      <c r="H5330" s="7">
        <f ca="1">IFERROR(__xludf.DUMMYFUNCTION("""COMPUTED_VALUE"""),502376.13459715)</f>
        <v>502376.13459715003</v>
      </c>
    </row>
    <row r="5331" spans="1:8" ht="13" x14ac:dyDescent="0.15">
      <c r="A5331" s="5" t="str">
        <f ca="1">IFERROR(__xludf.DUMMYFUNCTION("""COMPUTED_VALUE"""),"Steve")</f>
        <v>Steve</v>
      </c>
      <c r="B5331" s="51">
        <f ca="1">IFERROR(__xludf.DUMMYFUNCTION("""COMPUTED_VALUE"""),44619)</f>
        <v>44619</v>
      </c>
      <c r="C5331" s="22">
        <f ca="1">IFERROR(__xludf.DUMMYFUNCTION("""COMPUTED_VALUE"""),478358.8461425)</f>
        <v>478358.8461425</v>
      </c>
      <c r="D5331" s="22">
        <f ca="1">IFERROR(__xludf.DUMMYFUNCTION("""COMPUTED_VALUE"""),21641.1538574999)</f>
        <v>21641.153857499899</v>
      </c>
      <c r="E5331" s="22">
        <f ca="1">IFERROR(__xludf.DUMMYFUNCTION("""COMPUTED_VALUE"""),500000)</f>
        <v>500000</v>
      </c>
      <c r="F5331" s="22">
        <f ca="1">IFERROR(__xludf.DUMMYFUNCTION("""COMPUTED_VALUE"""),478358.8461425)</f>
        <v>478358.8461425</v>
      </c>
      <c r="G5331" s="22">
        <f ca="1">IFERROR(__xludf.DUMMYFUNCTION("""COMPUTED_VALUE"""),0)</f>
        <v>0</v>
      </c>
      <c r="H5331" s="7">
        <f ca="1">IFERROR(__xludf.DUMMYFUNCTION("""COMPUTED_VALUE"""),502375.0734565)</f>
        <v>502375.07345650002</v>
      </c>
    </row>
    <row r="5332" spans="1:8" ht="13" x14ac:dyDescent="0.15">
      <c r="A5332" s="5" t="str">
        <f ca="1">IFERROR(__xludf.DUMMYFUNCTION("""COMPUTED_VALUE"""),"Steve")</f>
        <v>Steve</v>
      </c>
      <c r="B5332" s="51">
        <f ca="1">IFERROR(__xludf.DUMMYFUNCTION("""COMPUTED_VALUE"""),44620)</f>
        <v>44620</v>
      </c>
      <c r="C5332" s="22">
        <f ca="1">IFERROR(__xludf.DUMMYFUNCTION("""COMPUTED_VALUE"""),478358.8461425)</f>
        <v>478358.8461425</v>
      </c>
      <c r="D5332" s="22">
        <f ca="1">IFERROR(__xludf.DUMMYFUNCTION("""COMPUTED_VALUE"""),21641.1538574999)</f>
        <v>21641.153857499899</v>
      </c>
      <c r="E5332" s="22">
        <f ca="1">IFERROR(__xludf.DUMMYFUNCTION("""COMPUTED_VALUE"""),500000)</f>
        <v>500000</v>
      </c>
      <c r="F5332" s="22">
        <f ca="1">IFERROR(__xludf.DUMMYFUNCTION("""COMPUTED_VALUE"""),478358.8461425)</f>
        <v>478358.8461425</v>
      </c>
      <c r="G5332" s="22">
        <f ca="1">IFERROR(__xludf.DUMMYFUNCTION("""COMPUTED_VALUE"""),0)</f>
        <v>0</v>
      </c>
      <c r="H5332" s="7">
        <f ca="1">IFERROR(__xludf.DUMMYFUNCTION("""COMPUTED_VALUE"""),502355.9825895)</f>
        <v>502355.98258950002</v>
      </c>
    </row>
    <row r="5333" spans="1:8" ht="13" x14ac:dyDescent="0.15">
      <c r="A5333" s="5" t="str">
        <f ca="1">IFERROR(__xludf.DUMMYFUNCTION("""COMPUTED_VALUE"""),"Steve")</f>
        <v>Steve</v>
      </c>
      <c r="B5333" s="51">
        <f ca="1">IFERROR(__xludf.DUMMYFUNCTION("""COMPUTED_VALUE"""),44621)</f>
        <v>44621</v>
      </c>
      <c r="C5333" s="22">
        <f ca="1">IFERROR(__xludf.DUMMYFUNCTION("""COMPUTED_VALUE"""),478358.8461425)</f>
        <v>478358.8461425</v>
      </c>
      <c r="D5333" s="22">
        <f ca="1">IFERROR(__xludf.DUMMYFUNCTION("""COMPUTED_VALUE"""),21641.1538574999)</f>
        <v>21641.153857499899</v>
      </c>
      <c r="E5333" s="22">
        <f ca="1">IFERROR(__xludf.DUMMYFUNCTION("""COMPUTED_VALUE"""),500000)</f>
        <v>500000</v>
      </c>
      <c r="F5333" s="22">
        <f ca="1">IFERROR(__xludf.DUMMYFUNCTION("""COMPUTED_VALUE"""),478358.8461425)</f>
        <v>478358.8461425</v>
      </c>
      <c r="G5333" s="22">
        <f ca="1">IFERROR(__xludf.DUMMYFUNCTION("""COMPUTED_VALUE"""),0)</f>
        <v>0</v>
      </c>
      <c r="H5333" s="7">
        <f ca="1">IFERROR(__xludf.DUMMYFUNCTION("""COMPUTED_VALUE"""),501984.7741287)</f>
        <v>501984.77412870002</v>
      </c>
    </row>
    <row r="5334" spans="1:8" ht="13" x14ac:dyDescent="0.15">
      <c r="A5334" s="5" t="str">
        <f ca="1">IFERROR(__xludf.DUMMYFUNCTION("""COMPUTED_VALUE"""),"Steve")</f>
        <v>Steve</v>
      </c>
      <c r="B5334" s="51">
        <f ca="1">IFERROR(__xludf.DUMMYFUNCTION("""COMPUTED_VALUE"""),44622)</f>
        <v>44622</v>
      </c>
      <c r="C5334" s="22">
        <f ca="1">IFERROR(__xludf.DUMMYFUNCTION("""COMPUTED_VALUE"""),478358.8461425)</f>
        <v>478358.8461425</v>
      </c>
      <c r="D5334" s="22">
        <f ca="1">IFERROR(__xludf.DUMMYFUNCTION("""COMPUTED_VALUE"""),21641.1538574999)</f>
        <v>21641.153857499899</v>
      </c>
      <c r="E5334" s="22">
        <f ca="1">IFERROR(__xludf.DUMMYFUNCTION("""COMPUTED_VALUE"""),500000)</f>
        <v>500000</v>
      </c>
      <c r="F5334" s="22">
        <f ca="1">IFERROR(__xludf.DUMMYFUNCTION("""COMPUTED_VALUE"""),478358.8461425)</f>
        <v>478358.8461425</v>
      </c>
      <c r="G5334" s="22">
        <f ca="1">IFERROR(__xludf.DUMMYFUNCTION("""COMPUTED_VALUE"""),0)</f>
        <v>0</v>
      </c>
      <c r="H5334" s="7">
        <f ca="1">IFERROR(__xludf.DUMMYFUNCTION("""COMPUTED_VALUE"""),502121.45879)</f>
        <v>502121.45879</v>
      </c>
    </row>
    <row r="5335" spans="1:8" ht="13" x14ac:dyDescent="0.15">
      <c r="A5335" s="5" t="str">
        <f ca="1">IFERROR(__xludf.DUMMYFUNCTION("""COMPUTED_VALUE"""),"Steve")</f>
        <v>Steve</v>
      </c>
      <c r="B5335" s="51">
        <f ca="1">IFERROR(__xludf.DUMMYFUNCTION("""COMPUTED_VALUE"""),44623)</f>
        <v>44623</v>
      </c>
      <c r="C5335" s="22">
        <f ca="1">IFERROR(__xludf.DUMMYFUNCTION("""COMPUTED_VALUE"""),478358.8461425)</f>
        <v>478358.8461425</v>
      </c>
      <c r="D5335" s="22">
        <f ca="1">IFERROR(__xludf.DUMMYFUNCTION("""COMPUTED_VALUE"""),21641.1538574999)</f>
        <v>21641.153857499899</v>
      </c>
      <c r="E5335" s="22">
        <f ca="1">IFERROR(__xludf.DUMMYFUNCTION("""COMPUTED_VALUE"""),500000)</f>
        <v>500000</v>
      </c>
      <c r="F5335" s="22">
        <f ca="1">IFERROR(__xludf.DUMMYFUNCTION("""COMPUTED_VALUE"""),478358.8461425)</f>
        <v>478358.8461425</v>
      </c>
      <c r="G5335" s="22">
        <f ca="1">IFERROR(__xludf.DUMMYFUNCTION("""COMPUTED_VALUE"""),0)</f>
        <v>0</v>
      </c>
      <c r="H5335" s="7">
        <f ca="1">IFERROR(__xludf.DUMMYFUNCTION("""COMPUTED_VALUE"""),501477.895967)</f>
        <v>501477.89596699999</v>
      </c>
    </row>
    <row r="5336" spans="1:8" ht="13" x14ac:dyDescent="0.15">
      <c r="A5336" s="5" t="str">
        <f ca="1">IFERROR(__xludf.DUMMYFUNCTION("""COMPUTED_VALUE"""),"Steve")</f>
        <v>Steve</v>
      </c>
      <c r="B5336" s="51">
        <f ca="1">IFERROR(__xludf.DUMMYFUNCTION("""COMPUTED_VALUE"""),44624)</f>
        <v>44624</v>
      </c>
      <c r="C5336" s="22">
        <f ca="1">IFERROR(__xludf.DUMMYFUNCTION("""COMPUTED_VALUE"""),478358.8461425)</f>
        <v>478358.8461425</v>
      </c>
      <c r="D5336" s="22">
        <f ca="1">IFERROR(__xludf.DUMMYFUNCTION("""COMPUTED_VALUE"""),21641.1538574999)</f>
        <v>21641.153857499899</v>
      </c>
      <c r="E5336" s="22">
        <f ca="1">IFERROR(__xludf.DUMMYFUNCTION("""COMPUTED_VALUE"""),500000)</f>
        <v>500000</v>
      </c>
      <c r="F5336" s="22">
        <f ca="1">IFERROR(__xludf.DUMMYFUNCTION("""COMPUTED_VALUE"""),478358.8461425)</f>
        <v>478358.8461425</v>
      </c>
      <c r="G5336" s="22">
        <f ca="1">IFERROR(__xludf.DUMMYFUNCTION("""COMPUTED_VALUE"""),0)</f>
        <v>0</v>
      </c>
      <c r="H5336" s="7">
        <f ca="1">IFERROR(__xludf.DUMMYFUNCTION("""COMPUTED_VALUE"""),501120.4372121)</f>
        <v>501120.43721210002</v>
      </c>
    </row>
    <row r="5337" spans="1:8" ht="13" x14ac:dyDescent="0.15">
      <c r="A5337" s="5" t="str">
        <f ca="1">IFERROR(__xludf.DUMMYFUNCTION("""COMPUTED_VALUE"""),"Steve")</f>
        <v>Steve</v>
      </c>
      <c r="B5337" s="51">
        <f ca="1">IFERROR(__xludf.DUMMYFUNCTION("""COMPUTED_VALUE"""),44625)</f>
        <v>44625</v>
      </c>
      <c r="C5337" s="22">
        <f ca="1">IFERROR(__xludf.DUMMYFUNCTION("""COMPUTED_VALUE"""),478358.8461425)</f>
        <v>478358.8461425</v>
      </c>
      <c r="D5337" s="22">
        <f ca="1">IFERROR(__xludf.DUMMYFUNCTION("""COMPUTED_VALUE"""),21641.1538574999)</f>
        <v>21641.153857499899</v>
      </c>
      <c r="E5337" s="22">
        <f ca="1">IFERROR(__xludf.DUMMYFUNCTION("""COMPUTED_VALUE"""),500000)</f>
        <v>500000</v>
      </c>
      <c r="F5337" s="22">
        <f ca="1">IFERROR(__xludf.DUMMYFUNCTION("""COMPUTED_VALUE"""),478358.8461425)</f>
        <v>478358.8461425</v>
      </c>
      <c r="G5337" s="22">
        <f ca="1">IFERROR(__xludf.DUMMYFUNCTION("""COMPUTED_VALUE"""),0)</f>
        <v>0</v>
      </c>
      <c r="H5337" s="7">
        <f ca="1">IFERROR(__xludf.DUMMYFUNCTION("""COMPUTED_VALUE"""),501120.4372121)</f>
        <v>501120.43721210002</v>
      </c>
    </row>
    <row r="5338" spans="1:8" ht="13" x14ac:dyDescent="0.15">
      <c r="A5338" s="5" t="str">
        <f ca="1">IFERROR(__xludf.DUMMYFUNCTION("""COMPUTED_VALUE"""),"Steve")</f>
        <v>Steve</v>
      </c>
      <c r="B5338" s="51">
        <f ca="1">IFERROR(__xludf.DUMMYFUNCTION("""COMPUTED_VALUE"""),44626)</f>
        <v>44626</v>
      </c>
      <c r="C5338" s="22">
        <f ca="1">IFERROR(__xludf.DUMMYFUNCTION("""COMPUTED_VALUE"""),478358.8461425)</f>
        <v>478358.8461425</v>
      </c>
      <c r="D5338" s="22">
        <f ca="1">IFERROR(__xludf.DUMMYFUNCTION("""COMPUTED_VALUE"""),21641.1538574999)</f>
        <v>21641.153857499899</v>
      </c>
      <c r="E5338" s="22">
        <f ca="1">IFERROR(__xludf.DUMMYFUNCTION("""COMPUTED_VALUE"""),500000)</f>
        <v>500000</v>
      </c>
      <c r="F5338" s="22">
        <f ca="1">IFERROR(__xludf.DUMMYFUNCTION("""COMPUTED_VALUE"""),478358.8461425)</f>
        <v>478358.8461425</v>
      </c>
      <c r="G5338" s="22">
        <f ca="1">IFERROR(__xludf.DUMMYFUNCTION("""COMPUTED_VALUE"""),0)</f>
        <v>0</v>
      </c>
      <c r="H5338" s="7">
        <f ca="1">IFERROR(__xludf.DUMMYFUNCTION("""COMPUTED_VALUE"""),501123.5684936)</f>
        <v>501123.5684936</v>
      </c>
    </row>
    <row r="5339" spans="1:8" ht="13" x14ac:dyDescent="0.15">
      <c r="A5339" s="5" t="str">
        <f ca="1">IFERROR(__xludf.DUMMYFUNCTION("""COMPUTED_VALUE"""),"Steve")</f>
        <v>Steve</v>
      </c>
      <c r="B5339" s="51">
        <f ca="1">IFERROR(__xludf.DUMMYFUNCTION("""COMPUTED_VALUE"""),44627)</f>
        <v>44627</v>
      </c>
      <c r="C5339" s="22">
        <f ca="1">IFERROR(__xludf.DUMMYFUNCTION("""COMPUTED_VALUE"""),478358.8461425)</f>
        <v>478358.8461425</v>
      </c>
      <c r="D5339" s="22">
        <f ca="1">IFERROR(__xludf.DUMMYFUNCTION("""COMPUTED_VALUE"""),21641.1538574999)</f>
        <v>21641.153857499899</v>
      </c>
      <c r="E5339" s="22">
        <f ca="1">IFERROR(__xludf.DUMMYFUNCTION("""COMPUTED_VALUE"""),500000)</f>
        <v>500000</v>
      </c>
      <c r="F5339" s="22">
        <f ca="1">IFERROR(__xludf.DUMMYFUNCTION("""COMPUTED_VALUE"""),478358.8461425)</f>
        <v>478358.8461425</v>
      </c>
      <c r="G5339" s="22">
        <f ca="1">IFERROR(__xludf.DUMMYFUNCTION("""COMPUTED_VALUE"""),0)</f>
        <v>0</v>
      </c>
      <c r="H5339" s="7">
        <f ca="1">IFERROR(__xludf.DUMMYFUNCTION("""COMPUTED_VALUE"""),499852.5092055)</f>
        <v>499852.50920550001</v>
      </c>
    </row>
    <row r="5340" spans="1:8" ht="13" x14ac:dyDescent="0.15">
      <c r="A5340" s="5" t="str">
        <f ca="1">IFERROR(__xludf.DUMMYFUNCTION("""COMPUTED_VALUE"""),"Steve")</f>
        <v>Steve</v>
      </c>
      <c r="B5340" s="51">
        <f ca="1">IFERROR(__xludf.DUMMYFUNCTION("""COMPUTED_VALUE"""),44628)</f>
        <v>44628</v>
      </c>
      <c r="C5340" s="22">
        <f ca="1">IFERROR(__xludf.DUMMYFUNCTION("""COMPUTED_VALUE"""),478358.8461425)</f>
        <v>478358.8461425</v>
      </c>
      <c r="D5340" s="22">
        <f ca="1">IFERROR(__xludf.DUMMYFUNCTION("""COMPUTED_VALUE"""),21641.1538574999)</f>
        <v>21641.153857499899</v>
      </c>
      <c r="E5340" s="22">
        <f ca="1">IFERROR(__xludf.DUMMYFUNCTION("""COMPUTED_VALUE"""),500000)</f>
        <v>500000</v>
      </c>
      <c r="F5340" s="22">
        <f ca="1">IFERROR(__xludf.DUMMYFUNCTION("""COMPUTED_VALUE"""),478358.8461425)</f>
        <v>478358.8461425</v>
      </c>
      <c r="G5340" s="22">
        <f ca="1">IFERROR(__xludf.DUMMYFUNCTION("""COMPUTED_VALUE"""),0)</f>
        <v>0</v>
      </c>
      <c r="H5340" s="7">
        <f ca="1">IFERROR(__xludf.DUMMYFUNCTION("""COMPUTED_VALUE"""),499628.72564525)</f>
        <v>499628.72564525</v>
      </c>
    </row>
    <row r="5341" spans="1:8" ht="13" x14ac:dyDescent="0.15">
      <c r="A5341" s="5" t="str">
        <f ca="1">IFERROR(__xludf.DUMMYFUNCTION("""COMPUTED_VALUE"""),"Steve")</f>
        <v>Steve</v>
      </c>
      <c r="B5341" s="51">
        <f ca="1">IFERROR(__xludf.DUMMYFUNCTION("""COMPUTED_VALUE"""),44629)</f>
        <v>44629</v>
      </c>
      <c r="C5341" s="22">
        <f ca="1">IFERROR(__xludf.DUMMYFUNCTION("""COMPUTED_VALUE"""),478358.8461425)</f>
        <v>478358.8461425</v>
      </c>
      <c r="D5341" s="22">
        <f ca="1">IFERROR(__xludf.DUMMYFUNCTION("""COMPUTED_VALUE"""),21641.1538574999)</f>
        <v>21641.153857499899</v>
      </c>
      <c r="E5341" s="22">
        <f ca="1">IFERROR(__xludf.DUMMYFUNCTION("""COMPUTED_VALUE"""),500000)</f>
        <v>500000</v>
      </c>
      <c r="F5341" s="22">
        <f ca="1">IFERROR(__xludf.DUMMYFUNCTION("""COMPUTED_VALUE"""),478358.8461425)</f>
        <v>478358.8461425</v>
      </c>
      <c r="G5341" s="22">
        <f ca="1">IFERROR(__xludf.DUMMYFUNCTION("""COMPUTED_VALUE"""),0)</f>
        <v>0</v>
      </c>
      <c r="H5341" s="7">
        <f ca="1">IFERROR(__xludf.DUMMYFUNCTION("""COMPUTED_VALUE"""),500140.2711155)</f>
        <v>500140.27111550001</v>
      </c>
    </row>
    <row r="5342" spans="1:8" ht="13" x14ac:dyDescent="0.15">
      <c r="A5342" s="5" t="str">
        <f ca="1">IFERROR(__xludf.DUMMYFUNCTION("""COMPUTED_VALUE"""),"Steve")</f>
        <v>Steve</v>
      </c>
      <c r="B5342" s="51">
        <f ca="1">IFERROR(__xludf.DUMMYFUNCTION("""COMPUTED_VALUE"""),44630)</f>
        <v>44630</v>
      </c>
      <c r="C5342" s="22">
        <f ca="1">IFERROR(__xludf.DUMMYFUNCTION("""COMPUTED_VALUE"""),478358.8461425)</f>
        <v>478358.8461425</v>
      </c>
      <c r="D5342" s="22">
        <f ca="1">IFERROR(__xludf.DUMMYFUNCTION("""COMPUTED_VALUE"""),21641.1538574999)</f>
        <v>21641.153857499899</v>
      </c>
      <c r="E5342" s="22">
        <f ca="1">IFERROR(__xludf.DUMMYFUNCTION("""COMPUTED_VALUE"""),500000)</f>
        <v>500000</v>
      </c>
      <c r="F5342" s="22">
        <f ca="1">IFERROR(__xludf.DUMMYFUNCTION("""COMPUTED_VALUE"""),478358.8461425)</f>
        <v>478358.8461425</v>
      </c>
      <c r="G5342" s="22">
        <f ca="1">IFERROR(__xludf.DUMMYFUNCTION("""COMPUTED_VALUE"""),0)</f>
        <v>0</v>
      </c>
      <c r="H5342" s="7">
        <f ca="1">IFERROR(__xludf.DUMMYFUNCTION("""COMPUTED_VALUE"""),500150.0206455)</f>
        <v>500150.02064549999</v>
      </c>
    </row>
    <row r="5343" spans="1:8" ht="13" x14ac:dyDescent="0.15">
      <c r="A5343" s="5" t="str">
        <f ca="1">IFERROR(__xludf.DUMMYFUNCTION("""COMPUTED_VALUE"""),"Steve")</f>
        <v>Steve</v>
      </c>
      <c r="B5343" s="51">
        <f ca="1">IFERROR(__xludf.DUMMYFUNCTION("""COMPUTED_VALUE"""),44631)</f>
        <v>44631</v>
      </c>
      <c r="C5343" s="22">
        <f ca="1">IFERROR(__xludf.DUMMYFUNCTION("""COMPUTED_VALUE"""),478358.8461425)</f>
        <v>478358.8461425</v>
      </c>
      <c r="D5343" s="22">
        <f ca="1">IFERROR(__xludf.DUMMYFUNCTION("""COMPUTED_VALUE"""),21641.1538574999)</f>
        <v>21641.153857499899</v>
      </c>
      <c r="E5343" s="22">
        <f ca="1">IFERROR(__xludf.DUMMYFUNCTION("""COMPUTED_VALUE"""),500000)</f>
        <v>500000</v>
      </c>
      <c r="F5343" s="22">
        <f ca="1">IFERROR(__xludf.DUMMYFUNCTION("""COMPUTED_VALUE"""),478358.8461425)</f>
        <v>478358.8461425</v>
      </c>
      <c r="G5343" s="22">
        <f ca="1">IFERROR(__xludf.DUMMYFUNCTION("""COMPUTED_VALUE"""),0)</f>
        <v>0</v>
      </c>
      <c r="H5343" s="7">
        <f ca="1">IFERROR(__xludf.DUMMYFUNCTION("""COMPUTED_VALUE"""),501146.5275975)</f>
        <v>501146.52759750001</v>
      </c>
    </row>
    <row r="5344" spans="1:8" ht="13" x14ac:dyDescent="0.15">
      <c r="A5344" s="5" t="str">
        <f ca="1">IFERROR(__xludf.DUMMYFUNCTION("""COMPUTED_VALUE"""),"Steve")</f>
        <v>Steve</v>
      </c>
      <c r="B5344" s="51">
        <f ca="1">IFERROR(__xludf.DUMMYFUNCTION("""COMPUTED_VALUE"""),44632)</f>
        <v>44632</v>
      </c>
      <c r="C5344" s="22">
        <f ca="1">IFERROR(__xludf.DUMMYFUNCTION("""COMPUTED_VALUE"""),478358.8461425)</f>
        <v>478358.8461425</v>
      </c>
      <c r="D5344" s="22">
        <f ca="1">IFERROR(__xludf.DUMMYFUNCTION("""COMPUTED_VALUE"""),21641.1538574999)</f>
        <v>21641.153857499899</v>
      </c>
      <c r="E5344" s="22">
        <f ca="1">IFERROR(__xludf.DUMMYFUNCTION("""COMPUTED_VALUE"""),500000)</f>
        <v>500000</v>
      </c>
      <c r="F5344" s="22">
        <f ca="1">IFERROR(__xludf.DUMMYFUNCTION("""COMPUTED_VALUE"""),478358.8461425)</f>
        <v>478358.8461425</v>
      </c>
      <c r="G5344" s="22">
        <f ca="1">IFERROR(__xludf.DUMMYFUNCTION("""COMPUTED_VALUE"""),0)</f>
        <v>0</v>
      </c>
      <c r="H5344" s="7">
        <f ca="1">IFERROR(__xludf.DUMMYFUNCTION("""COMPUTED_VALUE"""),501146.5275975)</f>
        <v>501146.52759750001</v>
      </c>
    </row>
    <row r="5345" spans="1:8" ht="13" x14ac:dyDescent="0.15">
      <c r="A5345" s="5" t="str">
        <f ca="1">IFERROR(__xludf.DUMMYFUNCTION("""COMPUTED_VALUE"""),"Steve")</f>
        <v>Steve</v>
      </c>
      <c r="B5345" s="51">
        <f ca="1">IFERROR(__xludf.DUMMYFUNCTION("""COMPUTED_VALUE"""),44633)</f>
        <v>44633</v>
      </c>
      <c r="C5345" s="22">
        <f ca="1">IFERROR(__xludf.DUMMYFUNCTION("""COMPUTED_VALUE"""),478358.8461425)</f>
        <v>478358.8461425</v>
      </c>
      <c r="D5345" s="22">
        <f ca="1">IFERROR(__xludf.DUMMYFUNCTION("""COMPUTED_VALUE"""),21641.1538574999)</f>
        <v>21641.153857499899</v>
      </c>
      <c r="E5345" s="22">
        <f ca="1">IFERROR(__xludf.DUMMYFUNCTION("""COMPUTED_VALUE"""),500000)</f>
        <v>500000</v>
      </c>
      <c r="F5345" s="22">
        <f ca="1">IFERROR(__xludf.DUMMYFUNCTION("""COMPUTED_VALUE"""),478358.8461425)</f>
        <v>478358.8461425</v>
      </c>
      <c r="G5345" s="22">
        <f ca="1">IFERROR(__xludf.DUMMYFUNCTION("""COMPUTED_VALUE"""),0)</f>
        <v>0</v>
      </c>
      <c r="H5345" s="7">
        <f ca="1">IFERROR(__xludf.DUMMYFUNCTION("""COMPUTED_VALUE"""),501144.5775692)</f>
        <v>501144.57756920002</v>
      </c>
    </row>
    <row r="5346" spans="1:8" ht="13" x14ac:dyDescent="0.15">
      <c r="A5346" s="5" t="str">
        <f ca="1">IFERROR(__xludf.DUMMYFUNCTION("""COMPUTED_VALUE"""),"Steve")</f>
        <v>Steve</v>
      </c>
      <c r="B5346" s="51">
        <f ca="1">IFERROR(__xludf.DUMMYFUNCTION("""COMPUTED_VALUE"""),44634)</f>
        <v>44634</v>
      </c>
      <c r="C5346" s="22">
        <f ca="1">IFERROR(__xludf.DUMMYFUNCTION("""COMPUTED_VALUE"""),478358.8461425)</f>
        <v>478358.8461425</v>
      </c>
      <c r="D5346" s="22">
        <f ca="1">IFERROR(__xludf.DUMMYFUNCTION("""COMPUTED_VALUE"""),21641.1538574999)</f>
        <v>21641.153857499899</v>
      </c>
      <c r="E5346" s="22">
        <f ca="1">IFERROR(__xludf.DUMMYFUNCTION("""COMPUTED_VALUE"""),500000)</f>
        <v>500000</v>
      </c>
      <c r="F5346" s="22">
        <f ca="1">IFERROR(__xludf.DUMMYFUNCTION("""COMPUTED_VALUE"""),478358.8461425)</f>
        <v>478358.8461425</v>
      </c>
      <c r="G5346" s="22">
        <f ca="1">IFERROR(__xludf.DUMMYFUNCTION("""COMPUTED_VALUE"""),0)</f>
        <v>0</v>
      </c>
      <c r="H5346" s="7">
        <f ca="1">IFERROR(__xludf.DUMMYFUNCTION("""COMPUTED_VALUE"""),500570.8981475)</f>
        <v>500570.8981475</v>
      </c>
    </row>
    <row r="5347" spans="1:8" ht="13" x14ac:dyDescent="0.15">
      <c r="A5347" s="5" t="str">
        <f ca="1">IFERROR(__xludf.DUMMYFUNCTION("""COMPUTED_VALUE"""),"Steve")</f>
        <v>Steve</v>
      </c>
      <c r="B5347" s="51">
        <f ca="1">IFERROR(__xludf.DUMMYFUNCTION("""COMPUTED_VALUE"""),44635)</f>
        <v>44635</v>
      </c>
      <c r="C5347" s="22">
        <f ca="1">IFERROR(__xludf.DUMMYFUNCTION("""COMPUTED_VALUE"""),478358.8461425)</f>
        <v>478358.8461425</v>
      </c>
      <c r="D5347" s="22">
        <f ca="1">IFERROR(__xludf.DUMMYFUNCTION("""COMPUTED_VALUE"""),21641.1538574999)</f>
        <v>21641.153857499899</v>
      </c>
      <c r="E5347" s="22">
        <f ca="1">IFERROR(__xludf.DUMMYFUNCTION("""COMPUTED_VALUE"""),500000)</f>
        <v>500000</v>
      </c>
      <c r="F5347" s="22">
        <f ca="1">IFERROR(__xludf.DUMMYFUNCTION("""COMPUTED_VALUE"""),478358.8461425)</f>
        <v>478358.8461425</v>
      </c>
      <c r="G5347" s="22">
        <f ca="1">IFERROR(__xludf.DUMMYFUNCTION("""COMPUTED_VALUE"""),0)</f>
        <v>0</v>
      </c>
      <c r="H5347" s="7">
        <f ca="1">IFERROR(__xludf.DUMMYFUNCTION("""COMPUTED_VALUE"""),501427.450686)</f>
        <v>501427.450686</v>
      </c>
    </row>
    <row r="5348" spans="1:8" ht="13" x14ac:dyDescent="0.15">
      <c r="A5348" s="5" t="str">
        <f ca="1">IFERROR(__xludf.DUMMYFUNCTION("""COMPUTED_VALUE"""),"Steve")</f>
        <v>Steve</v>
      </c>
      <c r="B5348" s="51">
        <f ca="1">IFERROR(__xludf.DUMMYFUNCTION("""COMPUTED_VALUE"""),44636)</f>
        <v>44636</v>
      </c>
      <c r="C5348" s="22">
        <f ca="1">IFERROR(__xludf.DUMMYFUNCTION("""COMPUTED_VALUE"""),478358.8461425)</f>
        <v>478358.8461425</v>
      </c>
      <c r="D5348" s="22">
        <f ca="1">IFERROR(__xludf.DUMMYFUNCTION("""COMPUTED_VALUE"""),21641.1538574999)</f>
        <v>21641.153857499899</v>
      </c>
      <c r="E5348" s="22">
        <f ca="1">IFERROR(__xludf.DUMMYFUNCTION("""COMPUTED_VALUE"""),500000)</f>
        <v>500000</v>
      </c>
      <c r="F5348" s="22">
        <f ca="1">IFERROR(__xludf.DUMMYFUNCTION("""COMPUTED_VALUE"""),478358.8461425)</f>
        <v>478358.8461425</v>
      </c>
      <c r="G5348" s="22">
        <f ca="1">IFERROR(__xludf.DUMMYFUNCTION("""COMPUTED_VALUE"""),0)</f>
        <v>0</v>
      </c>
      <c r="H5348" s="7">
        <f ca="1">IFERROR(__xludf.DUMMYFUNCTION("""COMPUTED_VALUE"""),502305.9958865)</f>
        <v>502305.99588649999</v>
      </c>
    </row>
    <row r="5349" spans="1:8" ht="13" x14ac:dyDescent="0.15">
      <c r="A5349" s="5" t="str">
        <f ca="1">IFERROR(__xludf.DUMMYFUNCTION("""COMPUTED_VALUE"""),"Steve")</f>
        <v>Steve</v>
      </c>
      <c r="B5349" s="51">
        <f ca="1">IFERROR(__xludf.DUMMYFUNCTION("""COMPUTED_VALUE"""),44637)</f>
        <v>44637</v>
      </c>
      <c r="C5349" s="22">
        <f ca="1">IFERROR(__xludf.DUMMYFUNCTION("""COMPUTED_VALUE"""),478358.8461425)</f>
        <v>478358.8461425</v>
      </c>
      <c r="D5349" s="22">
        <f ca="1">IFERROR(__xludf.DUMMYFUNCTION("""COMPUTED_VALUE"""),21641.1538574999)</f>
        <v>21641.153857499899</v>
      </c>
      <c r="E5349" s="22">
        <f ca="1">IFERROR(__xludf.DUMMYFUNCTION("""COMPUTED_VALUE"""),500000)</f>
        <v>500000</v>
      </c>
      <c r="F5349" s="22">
        <f ca="1">IFERROR(__xludf.DUMMYFUNCTION("""COMPUTED_VALUE"""),478358.8461425)</f>
        <v>478358.8461425</v>
      </c>
      <c r="G5349" s="22">
        <f ca="1">IFERROR(__xludf.DUMMYFUNCTION("""COMPUTED_VALUE"""),0)</f>
        <v>0</v>
      </c>
      <c r="H5349" s="7">
        <f ca="1">IFERROR(__xludf.DUMMYFUNCTION("""COMPUTED_VALUE"""),502941.4341635)</f>
        <v>502941.43416349997</v>
      </c>
    </row>
    <row r="5350" spans="1:8" ht="13" x14ac:dyDescent="0.15">
      <c r="A5350" s="5" t="str">
        <f ca="1">IFERROR(__xludf.DUMMYFUNCTION("""COMPUTED_VALUE"""),"Steve")</f>
        <v>Steve</v>
      </c>
      <c r="B5350" s="51">
        <f ca="1">IFERROR(__xludf.DUMMYFUNCTION("""COMPUTED_VALUE"""),44638)</f>
        <v>44638</v>
      </c>
      <c r="C5350" s="22">
        <f ca="1">IFERROR(__xludf.DUMMYFUNCTION("""COMPUTED_VALUE"""),478358.8461425)</f>
        <v>478358.8461425</v>
      </c>
      <c r="D5350" s="22">
        <f ca="1">IFERROR(__xludf.DUMMYFUNCTION("""COMPUTED_VALUE"""),21641.1538574999)</f>
        <v>21641.153857499899</v>
      </c>
      <c r="E5350" s="22">
        <f ca="1">IFERROR(__xludf.DUMMYFUNCTION("""COMPUTED_VALUE"""),500000)</f>
        <v>500000</v>
      </c>
      <c r="F5350" s="22">
        <f ca="1">IFERROR(__xludf.DUMMYFUNCTION("""COMPUTED_VALUE"""),478358.8461425)</f>
        <v>478358.8461425</v>
      </c>
      <c r="G5350" s="22">
        <f ca="1">IFERROR(__xludf.DUMMYFUNCTION("""COMPUTED_VALUE"""),0)</f>
        <v>0</v>
      </c>
      <c r="H5350" s="7">
        <f ca="1">IFERROR(__xludf.DUMMYFUNCTION("""COMPUTED_VALUE"""),503594.388142)</f>
        <v>503594.38814200001</v>
      </c>
    </row>
    <row r="5351" spans="1:8" ht="13" x14ac:dyDescent="0.15">
      <c r="A5351" s="5" t="str">
        <f ca="1">IFERROR(__xludf.DUMMYFUNCTION("""COMPUTED_VALUE"""),"Steve")</f>
        <v>Steve</v>
      </c>
      <c r="B5351" s="51">
        <f ca="1">IFERROR(__xludf.DUMMYFUNCTION("""COMPUTED_VALUE"""),44639)</f>
        <v>44639</v>
      </c>
      <c r="C5351" s="22">
        <f ca="1">IFERROR(__xludf.DUMMYFUNCTION("""COMPUTED_VALUE"""),478358.8461425)</f>
        <v>478358.8461425</v>
      </c>
      <c r="D5351" s="22">
        <f ca="1">IFERROR(__xludf.DUMMYFUNCTION("""COMPUTED_VALUE"""),21641.1538574999)</f>
        <v>21641.153857499899</v>
      </c>
      <c r="E5351" s="22">
        <f ca="1">IFERROR(__xludf.DUMMYFUNCTION("""COMPUTED_VALUE"""),500000)</f>
        <v>500000</v>
      </c>
      <c r="F5351" s="22">
        <f ca="1">IFERROR(__xludf.DUMMYFUNCTION("""COMPUTED_VALUE"""),478358.8461425)</f>
        <v>478358.8461425</v>
      </c>
      <c r="G5351" s="22">
        <f ca="1">IFERROR(__xludf.DUMMYFUNCTION("""COMPUTED_VALUE"""),0)</f>
        <v>0</v>
      </c>
      <c r="H5351" s="7">
        <f ca="1">IFERROR(__xludf.DUMMYFUNCTION("""COMPUTED_VALUE"""),503594.388142)</f>
        <v>503594.38814200001</v>
      </c>
    </row>
    <row r="5352" spans="1:8" ht="13" x14ac:dyDescent="0.15">
      <c r="A5352" s="5" t="str">
        <f ca="1">IFERROR(__xludf.DUMMYFUNCTION("""COMPUTED_VALUE"""),"Steve")</f>
        <v>Steve</v>
      </c>
      <c r="B5352" s="51">
        <f ca="1">IFERROR(__xludf.DUMMYFUNCTION("""COMPUTED_VALUE"""),44640)</f>
        <v>44640</v>
      </c>
      <c r="C5352" s="22">
        <f ca="1">IFERROR(__xludf.DUMMYFUNCTION("""COMPUTED_VALUE"""),478358.8461425)</f>
        <v>478358.8461425</v>
      </c>
      <c r="D5352" s="22">
        <f ca="1">IFERROR(__xludf.DUMMYFUNCTION("""COMPUTED_VALUE"""),21641.1538574999)</f>
        <v>21641.153857499899</v>
      </c>
      <c r="E5352" s="22">
        <f ca="1">IFERROR(__xludf.DUMMYFUNCTION("""COMPUTED_VALUE"""),500000)</f>
        <v>500000</v>
      </c>
      <c r="F5352" s="22">
        <f ca="1">IFERROR(__xludf.DUMMYFUNCTION("""COMPUTED_VALUE"""),478358.8461425)</f>
        <v>478358.8461425</v>
      </c>
      <c r="G5352" s="22">
        <f ca="1">IFERROR(__xludf.DUMMYFUNCTION("""COMPUTED_VALUE"""),0)</f>
        <v>0</v>
      </c>
      <c r="H5352" s="7">
        <f ca="1">IFERROR(__xludf.DUMMYFUNCTION("""COMPUTED_VALUE"""),503588.88949995)</f>
        <v>503588.88949994999</v>
      </c>
    </row>
    <row r="5353" spans="1:8" ht="13" x14ac:dyDescent="0.15">
      <c r="A5353" s="5" t="str">
        <f ca="1">IFERROR(__xludf.DUMMYFUNCTION("""COMPUTED_VALUE"""),"Steve")</f>
        <v>Steve</v>
      </c>
      <c r="B5353" s="51">
        <f ca="1">IFERROR(__xludf.DUMMYFUNCTION("""COMPUTED_VALUE"""),44641)</f>
        <v>44641</v>
      </c>
      <c r="C5353" s="22">
        <f ca="1">IFERROR(__xludf.DUMMYFUNCTION("""COMPUTED_VALUE"""),478358.8461425)</f>
        <v>478358.8461425</v>
      </c>
      <c r="D5353" s="22">
        <f ca="1">IFERROR(__xludf.DUMMYFUNCTION("""COMPUTED_VALUE"""),21641.1538574999)</f>
        <v>21641.153857499899</v>
      </c>
      <c r="E5353" s="22">
        <f ca="1">IFERROR(__xludf.DUMMYFUNCTION("""COMPUTED_VALUE"""),500000)</f>
        <v>500000</v>
      </c>
      <c r="F5353" s="22">
        <f ca="1">IFERROR(__xludf.DUMMYFUNCTION("""COMPUTED_VALUE"""),478358.8461425)</f>
        <v>478358.8461425</v>
      </c>
      <c r="G5353" s="22">
        <f ca="1">IFERROR(__xludf.DUMMYFUNCTION("""COMPUTED_VALUE"""),0)</f>
        <v>0</v>
      </c>
      <c r="H5353" s="7">
        <f ca="1">IFERROR(__xludf.DUMMYFUNCTION("""COMPUTED_VALUE"""),503633.719316)</f>
        <v>503633.719316</v>
      </c>
    </row>
    <row r="5354" spans="1:8" ht="13" x14ac:dyDescent="0.15">
      <c r="A5354" s="5" t="str">
        <f ca="1">IFERROR(__xludf.DUMMYFUNCTION("""COMPUTED_VALUE"""),"Steve")</f>
        <v>Steve</v>
      </c>
      <c r="B5354" s="51">
        <f ca="1">IFERROR(__xludf.DUMMYFUNCTION("""COMPUTED_VALUE"""),44642)</f>
        <v>44642</v>
      </c>
      <c r="C5354" s="22">
        <f ca="1">IFERROR(__xludf.DUMMYFUNCTION("""COMPUTED_VALUE"""),478358.8461425)</f>
        <v>478358.8461425</v>
      </c>
      <c r="D5354" s="22">
        <f ca="1">IFERROR(__xludf.DUMMYFUNCTION("""COMPUTED_VALUE"""),21641.1538574999)</f>
        <v>21641.153857499899</v>
      </c>
      <c r="E5354" s="22">
        <f ca="1">IFERROR(__xludf.DUMMYFUNCTION("""COMPUTED_VALUE"""),500000)</f>
        <v>500000</v>
      </c>
      <c r="F5354" s="22">
        <f ca="1">IFERROR(__xludf.DUMMYFUNCTION("""COMPUTED_VALUE"""),478358.8461425)</f>
        <v>478358.8461425</v>
      </c>
      <c r="G5354" s="22">
        <f ca="1">IFERROR(__xludf.DUMMYFUNCTION("""COMPUTED_VALUE"""),0)</f>
        <v>0</v>
      </c>
      <c r="H5354" s="7">
        <f ca="1">IFERROR(__xludf.DUMMYFUNCTION("""COMPUTED_VALUE"""),504170.405313499)</f>
        <v>504170.40531349898</v>
      </c>
    </row>
    <row r="5355" spans="1:8" ht="13" x14ac:dyDescent="0.15">
      <c r="A5355" s="5" t="str">
        <f ca="1">IFERROR(__xludf.DUMMYFUNCTION("""COMPUTED_VALUE"""),"TraderX")</f>
        <v>TraderX</v>
      </c>
      <c r="B5355" s="51">
        <f ca="1">IFERROR(__xludf.DUMMYFUNCTION("""COMPUTED_VALUE"""),44592)</f>
        <v>44592</v>
      </c>
      <c r="C5355" s="22">
        <f ca="1">IFERROR(__xludf.DUMMYFUNCTION("""COMPUTED_VALUE"""),500000)</f>
        <v>500000</v>
      </c>
      <c r="D5355" s="22">
        <f ca="1">IFERROR(__xludf.DUMMYFUNCTION("""COMPUTED_VALUE"""),0)</f>
        <v>0</v>
      </c>
      <c r="E5355" s="22">
        <f ca="1">IFERROR(__xludf.DUMMYFUNCTION("""COMPUTED_VALUE"""),500000)</f>
        <v>500000</v>
      </c>
      <c r="F5355" s="22">
        <f ca="1">IFERROR(__xludf.DUMMYFUNCTION("""COMPUTED_VALUE"""),500000)</f>
        <v>500000</v>
      </c>
      <c r="G5355" s="22">
        <f ca="1">IFERROR(__xludf.DUMMYFUNCTION("""COMPUTED_VALUE"""),0)</f>
        <v>0</v>
      </c>
      <c r="H5355" s="7">
        <f ca="1">IFERROR(__xludf.DUMMYFUNCTION("""COMPUTED_VALUE"""),500000)</f>
        <v>500000</v>
      </c>
    </row>
    <row r="5356" spans="1:8" ht="13" x14ac:dyDescent="0.15">
      <c r="A5356" s="5" t="str">
        <f ca="1">IFERROR(__xludf.DUMMYFUNCTION("""COMPUTED_VALUE"""),"TraderX")</f>
        <v>TraderX</v>
      </c>
      <c r="B5356" s="51">
        <f ca="1">IFERROR(__xludf.DUMMYFUNCTION("""COMPUTED_VALUE"""),44593)</f>
        <v>44593</v>
      </c>
      <c r="C5356" s="22">
        <f ca="1">IFERROR(__xludf.DUMMYFUNCTION("""COMPUTED_VALUE"""),500000)</f>
        <v>500000</v>
      </c>
      <c r="D5356" s="22">
        <f ca="1">IFERROR(__xludf.DUMMYFUNCTION("""COMPUTED_VALUE"""),0)</f>
        <v>0</v>
      </c>
      <c r="E5356" s="22">
        <f ca="1">IFERROR(__xludf.DUMMYFUNCTION("""COMPUTED_VALUE"""),500000)</f>
        <v>500000</v>
      </c>
      <c r="F5356" s="22">
        <f ca="1">IFERROR(__xludf.DUMMYFUNCTION("""COMPUTED_VALUE"""),500000)</f>
        <v>500000</v>
      </c>
      <c r="G5356" s="22">
        <f ca="1">IFERROR(__xludf.DUMMYFUNCTION("""COMPUTED_VALUE"""),0)</f>
        <v>0</v>
      </c>
      <c r="H5356" s="7">
        <f ca="1">IFERROR(__xludf.DUMMYFUNCTION("""COMPUTED_VALUE"""),500000)</f>
        <v>500000</v>
      </c>
    </row>
    <row r="5357" spans="1:8" ht="13" x14ac:dyDescent="0.15">
      <c r="A5357" s="5" t="str">
        <f ca="1">IFERROR(__xludf.DUMMYFUNCTION("""COMPUTED_VALUE"""),"TraderX")</f>
        <v>TraderX</v>
      </c>
      <c r="B5357" s="51">
        <f ca="1">IFERROR(__xludf.DUMMYFUNCTION("""COMPUTED_VALUE"""),44594)</f>
        <v>44594</v>
      </c>
      <c r="C5357" s="22">
        <f ca="1">IFERROR(__xludf.DUMMYFUNCTION("""COMPUTED_VALUE"""),500000)</f>
        <v>500000</v>
      </c>
      <c r="D5357" s="22">
        <f ca="1">IFERROR(__xludf.DUMMYFUNCTION("""COMPUTED_VALUE"""),0)</f>
        <v>0</v>
      </c>
      <c r="E5357" s="22">
        <f ca="1">IFERROR(__xludf.DUMMYFUNCTION("""COMPUTED_VALUE"""),500000)</f>
        <v>500000</v>
      </c>
      <c r="F5357" s="22">
        <f ca="1">IFERROR(__xludf.DUMMYFUNCTION("""COMPUTED_VALUE"""),500000)</f>
        <v>500000</v>
      </c>
      <c r="G5357" s="22">
        <f ca="1">IFERROR(__xludf.DUMMYFUNCTION("""COMPUTED_VALUE"""),0)</f>
        <v>0</v>
      </c>
      <c r="H5357" s="7">
        <f ca="1">IFERROR(__xludf.DUMMYFUNCTION("""COMPUTED_VALUE"""),500000)</f>
        <v>500000</v>
      </c>
    </row>
    <row r="5358" spans="1:8" ht="13" x14ac:dyDescent="0.15">
      <c r="A5358" s="5" t="str">
        <f ca="1">IFERROR(__xludf.DUMMYFUNCTION("""COMPUTED_VALUE"""),"TraderX")</f>
        <v>TraderX</v>
      </c>
      <c r="B5358" s="51">
        <f ca="1">IFERROR(__xludf.DUMMYFUNCTION("""COMPUTED_VALUE"""),44595)</f>
        <v>44595</v>
      </c>
      <c r="C5358" s="22">
        <f ca="1">IFERROR(__xludf.DUMMYFUNCTION("""COMPUTED_VALUE"""),499000)</f>
        <v>499000</v>
      </c>
      <c r="D5358" s="22">
        <f ca="1">IFERROR(__xludf.DUMMYFUNCTION("""COMPUTED_VALUE"""),1000)</f>
        <v>1000</v>
      </c>
      <c r="E5358" s="22">
        <f ca="1">IFERROR(__xludf.DUMMYFUNCTION("""COMPUTED_VALUE"""),500000)</f>
        <v>500000</v>
      </c>
      <c r="F5358" s="22">
        <f ca="1">IFERROR(__xludf.DUMMYFUNCTION("""COMPUTED_VALUE"""),499000)</f>
        <v>499000</v>
      </c>
      <c r="G5358" s="22">
        <f ca="1">IFERROR(__xludf.DUMMYFUNCTION("""COMPUTED_VALUE"""),0)</f>
        <v>0</v>
      </c>
      <c r="H5358" s="7">
        <f ca="1">IFERROR(__xludf.DUMMYFUNCTION("""COMPUTED_VALUE"""),500000)</f>
        <v>500000</v>
      </c>
    </row>
    <row r="5359" spans="1:8" ht="13" x14ac:dyDescent="0.15">
      <c r="A5359" s="5" t="str">
        <f ca="1">IFERROR(__xludf.DUMMYFUNCTION("""COMPUTED_VALUE"""),"TraderX")</f>
        <v>TraderX</v>
      </c>
      <c r="B5359" s="51">
        <f ca="1">IFERROR(__xludf.DUMMYFUNCTION("""COMPUTED_VALUE"""),44596)</f>
        <v>44596</v>
      </c>
      <c r="C5359" s="22">
        <f ca="1">IFERROR(__xludf.DUMMYFUNCTION("""COMPUTED_VALUE"""),499000)</f>
        <v>499000</v>
      </c>
      <c r="D5359" s="22">
        <f ca="1">IFERROR(__xludf.DUMMYFUNCTION("""COMPUTED_VALUE"""),1000)</f>
        <v>1000</v>
      </c>
      <c r="E5359" s="22">
        <f ca="1">IFERROR(__xludf.DUMMYFUNCTION("""COMPUTED_VALUE"""),500000)</f>
        <v>500000</v>
      </c>
      <c r="F5359" s="22">
        <f ca="1">IFERROR(__xludf.DUMMYFUNCTION("""COMPUTED_VALUE"""),499000)</f>
        <v>499000</v>
      </c>
      <c r="G5359" s="22">
        <f ca="1">IFERROR(__xludf.DUMMYFUNCTION("""COMPUTED_VALUE"""),0)</f>
        <v>0</v>
      </c>
      <c r="H5359" s="7">
        <f ca="1">IFERROR(__xludf.DUMMYFUNCTION("""COMPUTED_VALUE"""),500000)</f>
        <v>500000</v>
      </c>
    </row>
    <row r="5360" spans="1:8" ht="13" x14ac:dyDescent="0.15">
      <c r="A5360" s="5" t="str">
        <f ca="1">IFERROR(__xludf.DUMMYFUNCTION("""COMPUTED_VALUE"""),"TraderX")</f>
        <v>TraderX</v>
      </c>
      <c r="B5360" s="51">
        <f ca="1">IFERROR(__xludf.DUMMYFUNCTION("""COMPUTED_VALUE"""),44597)</f>
        <v>44597</v>
      </c>
      <c r="C5360" s="22">
        <f ca="1">IFERROR(__xludf.DUMMYFUNCTION("""COMPUTED_VALUE"""),499000)</f>
        <v>499000</v>
      </c>
      <c r="D5360" s="22">
        <f ca="1">IFERROR(__xludf.DUMMYFUNCTION("""COMPUTED_VALUE"""),1000)</f>
        <v>1000</v>
      </c>
      <c r="E5360" s="22">
        <f ca="1">IFERROR(__xludf.DUMMYFUNCTION("""COMPUTED_VALUE"""),500000)</f>
        <v>500000</v>
      </c>
      <c r="F5360" s="22">
        <f ca="1">IFERROR(__xludf.DUMMYFUNCTION("""COMPUTED_VALUE"""),499000)</f>
        <v>499000</v>
      </c>
      <c r="G5360" s="22">
        <f ca="1">IFERROR(__xludf.DUMMYFUNCTION("""COMPUTED_VALUE"""),0)</f>
        <v>0</v>
      </c>
      <c r="H5360" s="7">
        <f ca="1">IFERROR(__xludf.DUMMYFUNCTION("""COMPUTED_VALUE"""),500000)</f>
        <v>500000</v>
      </c>
    </row>
    <row r="5361" spans="1:8" ht="13" x14ac:dyDescent="0.15">
      <c r="A5361" s="5" t="str">
        <f ca="1">IFERROR(__xludf.DUMMYFUNCTION("""COMPUTED_VALUE"""),"TraderX")</f>
        <v>TraderX</v>
      </c>
      <c r="B5361" s="51">
        <f ca="1">IFERROR(__xludf.DUMMYFUNCTION("""COMPUTED_VALUE"""),44598)</f>
        <v>44598</v>
      </c>
      <c r="C5361" s="22">
        <f ca="1">IFERROR(__xludf.DUMMYFUNCTION("""COMPUTED_VALUE"""),499000)</f>
        <v>499000</v>
      </c>
      <c r="D5361" s="22">
        <f ca="1">IFERROR(__xludf.DUMMYFUNCTION("""COMPUTED_VALUE"""),1000)</f>
        <v>1000</v>
      </c>
      <c r="E5361" s="22">
        <f ca="1">IFERROR(__xludf.DUMMYFUNCTION("""COMPUTED_VALUE"""),500000)</f>
        <v>500000</v>
      </c>
      <c r="F5361" s="22">
        <f ca="1">IFERROR(__xludf.DUMMYFUNCTION("""COMPUTED_VALUE"""),499000)</f>
        <v>499000</v>
      </c>
      <c r="G5361" s="22">
        <f ca="1">IFERROR(__xludf.DUMMYFUNCTION("""COMPUTED_VALUE"""),0)</f>
        <v>0</v>
      </c>
      <c r="H5361" s="7">
        <f ca="1">IFERROR(__xludf.DUMMYFUNCTION("""COMPUTED_VALUE"""),500000)</f>
        <v>500000</v>
      </c>
    </row>
    <row r="5362" spans="1:8" ht="13" x14ac:dyDescent="0.15">
      <c r="A5362" s="5" t="str">
        <f ca="1">IFERROR(__xludf.DUMMYFUNCTION("""COMPUTED_VALUE"""),"TraderX")</f>
        <v>TraderX</v>
      </c>
      <c r="B5362" s="51">
        <f ca="1">IFERROR(__xludf.DUMMYFUNCTION("""COMPUTED_VALUE"""),44599)</f>
        <v>44599</v>
      </c>
      <c r="C5362" s="22">
        <f ca="1">IFERROR(__xludf.DUMMYFUNCTION("""COMPUTED_VALUE"""),499000)</f>
        <v>499000</v>
      </c>
      <c r="D5362" s="22">
        <f ca="1">IFERROR(__xludf.DUMMYFUNCTION("""COMPUTED_VALUE"""),1000)</f>
        <v>1000</v>
      </c>
      <c r="E5362" s="22">
        <f ca="1">IFERROR(__xludf.DUMMYFUNCTION("""COMPUTED_VALUE"""),500000)</f>
        <v>500000</v>
      </c>
      <c r="F5362" s="22">
        <f ca="1">IFERROR(__xludf.DUMMYFUNCTION("""COMPUTED_VALUE"""),499000)</f>
        <v>499000</v>
      </c>
      <c r="G5362" s="22">
        <f ca="1">IFERROR(__xludf.DUMMYFUNCTION("""COMPUTED_VALUE"""),0)</f>
        <v>0</v>
      </c>
      <c r="H5362" s="7">
        <f ca="1">IFERROR(__xludf.DUMMYFUNCTION("""COMPUTED_VALUE"""),500000)</f>
        <v>500000</v>
      </c>
    </row>
    <row r="5363" spans="1:8" ht="13" x14ac:dyDescent="0.15">
      <c r="A5363" s="5" t="str">
        <f ca="1">IFERROR(__xludf.DUMMYFUNCTION("""COMPUTED_VALUE"""),"TraderX")</f>
        <v>TraderX</v>
      </c>
      <c r="B5363" s="51">
        <f ca="1">IFERROR(__xludf.DUMMYFUNCTION("""COMPUTED_VALUE"""),44600)</f>
        <v>44600</v>
      </c>
      <c r="C5363" s="22">
        <f ca="1">IFERROR(__xludf.DUMMYFUNCTION("""COMPUTED_VALUE"""),499000)</f>
        <v>499000</v>
      </c>
      <c r="D5363" s="22">
        <f ca="1">IFERROR(__xludf.DUMMYFUNCTION("""COMPUTED_VALUE"""),1000)</f>
        <v>1000</v>
      </c>
      <c r="E5363" s="22">
        <f ca="1">IFERROR(__xludf.DUMMYFUNCTION("""COMPUTED_VALUE"""),500000)</f>
        <v>500000</v>
      </c>
      <c r="F5363" s="22">
        <f ca="1">IFERROR(__xludf.DUMMYFUNCTION("""COMPUTED_VALUE"""),499000)</f>
        <v>499000</v>
      </c>
      <c r="G5363" s="22">
        <f ca="1">IFERROR(__xludf.DUMMYFUNCTION("""COMPUTED_VALUE"""),0)</f>
        <v>0</v>
      </c>
      <c r="H5363" s="7">
        <f ca="1">IFERROR(__xludf.DUMMYFUNCTION("""COMPUTED_VALUE"""),500000)</f>
        <v>500000</v>
      </c>
    </row>
    <row r="5364" spans="1:8" ht="13" x14ac:dyDescent="0.15">
      <c r="A5364" s="5" t="str">
        <f ca="1">IFERROR(__xludf.DUMMYFUNCTION("""COMPUTED_VALUE"""),"TraderX")</f>
        <v>TraderX</v>
      </c>
      <c r="B5364" s="51">
        <f ca="1">IFERROR(__xludf.DUMMYFUNCTION("""COMPUTED_VALUE"""),44601)</f>
        <v>44601</v>
      </c>
      <c r="C5364" s="22">
        <f ca="1">IFERROR(__xludf.DUMMYFUNCTION("""COMPUTED_VALUE"""),499000)</f>
        <v>499000</v>
      </c>
      <c r="D5364" s="22">
        <f ca="1">IFERROR(__xludf.DUMMYFUNCTION("""COMPUTED_VALUE"""),1000)</f>
        <v>1000</v>
      </c>
      <c r="E5364" s="22">
        <f ca="1">IFERROR(__xludf.DUMMYFUNCTION("""COMPUTED_VALUE"""),500000)</f>
        <v>500000</v>
      </c>
      <c r="F5364" s="22">
        <f ca="1">IFERROR(__xludf.DUMMYFUNCTION("""COMPUTED_VALUE"""),499000)</f>
        <v>499000</v>
      </c>
      <c r="G5364" s="22">
        <f ca="1">IFERROR(__xludf.DUMMYFUNCTION("""COMPUTED_VALUE"""),0)</f>
        <v>0</v>
      </c>
      <c r="H5364" s="7">
        <f ca="1">IFERROR(__xludf.DUMMYFUNCTION("""COMPUTED_VALUE"""),500000)</f>
        <v>500000</v>
      </c>
    </row>
    <row r="5365" spans="1:8" ht="13" x14ac:dyDescent="0.15">
      <c r="A5365" s="5" t="str">
        <f ca="1">IFERROR(__xludf.DUMMYFUNCTION("""COMPUTED_VALUE"""),"TraderX")</f>
        <v>TraderX</v>
      </c>
      <c r="B5365" s="51">
        <f ca="1">IFERROR(__xludf.DUMMYFUNCTION("""COMPUTED_VALUE"""),44602)</f>
        <v>44602</v>
      </c>
      <c r="C5365" s="22">
        <f ca="1">IFERROR(__xludf.DUMMYFUNCTION("""COMPUTED_VALUE"""),499000)</f>
        <v>499000</v>
      </c>
      <c r="D5365" s="22">
        <f ca="1">IFERROR(__xludf.DUMMYFUNCTION("""COMPUTED_VALUE"""),1000)</f>
        <v>1000</v>
      </c>
      <c r="E5365" s="22">
        <f ca="1">IFERROR(__xludf.DUMMYFUNCTION("""COMPUTED_VALUE"""),500000)</f>
        <v>500000</v>
      </c>
      <c r="F5365" s="22">
        <f ca="1">IFERROR(__xludf.DUMMYFUNCTION("""COMPUTED_VALUE"""),499000)</f>
        <v>499000</v>
      </c>
      <c r="G5365" s="22">
        <f ca="1">IFERROR(__xludf.DUMMYFUNCTION("""COMPUTED_VALUE"""),0)</f>
        <v>0</v>
      </c>
      <c r="H5365" s="7">
        <f ca="1">IFERROR(__xludf.DUMMYFUNCTION("""COMPUTED_VALUE"""),500000)</f>
        <v>500000</v>
      </c>
    </row>
    <row r="5366" spans="1:8" ht="13" x14ac:dyDescent="0.15">
      <c r="A5366" s="5" t="str">
        <f ca="1">IFERROR(__xludf.DUMMYFUNCTION("""COMPUTED_VALUE"""),"TraderX")</f>
        <v>TraderX</v>
      </c>
      <c r="B5366" s="51">
        <f ca="1">IFERROR(__xludf.DUMMYFUNCTION("""COMPUTED_VALUE"""),44603)</f>
        <v>44603</v>
      </c>
      <c r="C5366" s="22">
        <f ca="1">IFERROR(__xludf.DUMMYFUNCTION("""COMPUTED_VALUE"""),499000)</f>
        <v>499000</v>
      </c>
      <c r="D5366" s="22">
        <f ca="1">IFERROR(__xludf.DUMMYFUNCTION("""COMPUTED_VALUE"""),1000)</f>
        <v>1000</v>
      </c>
      <c r="E5366" s="22">
        <f ca="1">IFERROR(__xludf.DUMMYFUNCTION("""COMPUTED_VALUE"""),500000)</f>
        <v>500000</v>
      </c>
      <c r="F5366" s="22">
        <f ca="1">IFERROR(__xludf.DUMMYFUNCTION("""COMPUTED_VALUE"""),499000)</f>
        <v>499000</v>
      </c>
      <c r="G5366" s="22">
        <f ca="1">IFERROR(__xludf.DUMMYFUNCTION("""COMPUTED_VALUE"""),0)</f>
        <v>0</v>
      </c>
      <c r="H5366" s="7">
        <f ca="1">IFERROR(__xludf.DUMMYFUNCTION("""COMPUTED_VALUE"""),500000)</f>
        <v>500000</v>
      </c>
    </row>
    <row r="5367" spans="1:8" ht="13" x14ac:dyDescent="0.15">
      <c r="A5367" s="5" t="str">
        <f ca="1">IFERROR(__xludf.DUMMYFUNCTION("""COMPUTED_VALUE"""),"TraderX")</f>
        <v>TraderX</v>
      </c>
      <c r="B5367" s="51">
        <f ca="1">IFERROR(__xludf.DUMMYFUNCTION("""COMPUTED_VALUE"""),44604)</f>
        <v>44604</v>
      </c>
      <c r="C5367" s="22">
        <f ca="1">IFERROR(__xludf.DUMMYFUNCTION("""COMPUTED_VALUE"""),499000)</f>
        <v>499000</v>
      </c>
      <c r="D5367" s="22">
        <f ca="1">IFERROR(__xludf.DUMMYFUNCTION("""COMPUTED_VALUE"""),1000)</f>
        <v>1000</v>
      </c>
      <c r="E5367" s="22">
        <f ca="1">IFERROR(__xludf.DUMMYFUNCTION("""COMPUTED_VALUE"""),500000)</f>
        <v>500000</v>
      </c>
      <c r="F5367" s="22">
        <f ca="1">IFERROR(__xludf.DUMMYFUNCTION("""COMPUTED_VALUE"""),499000)</f>
        <v>499000</v>
      </c>
      <c r="G5367" s="22">
        <f ca="1">IFERROR(__xludf.DUMMYFUNCTION("""COMPUTED_VALUE"""),0)</f>
        <v>0</v>
      </c>
      <c r="H5367" s="7">
        <f ca="1">IFERROR(__xludf.DUMMYFUNCTION("""COMPUTED_VALUE"""),500000)</f>
        <v>500000</v>
      </c>
    </row>
    <row r="5368" spans="1:8" ht="13" x14ac:dyDescent="0.15">
      <c r="A5368" s="5" t="str">
        <f ca="1">IFERROR(__xludf.DUMMYFUNCTION("""COMPUTED_VALUE"""),"TraderX")</f>
        <v>TraderX</v>
      </c>
      <c r="B5368" s="51">
        <f ca="1">IFERROR(__xludf.DUMMYFUNCTION("""COMPUTED_VALUE"""),44605)</f>
        <v>44605</v>
      </c>
      <c r="C5368" s="22">
        <f ca="1">IFERROR(__xludf.DUMMYFUNCTION("""COMPUTED_VALUE"""),499000)</f>
        <v>499000</v>
      </c>
      <c r="D5368" s="22">
        <f ca="1">IFERROR(__xludf.DUMMYFUNCTION("""COMPUTED_VALUE"""),1000)</f>
        <v>1000</v>
      </c>
      <c r="E5368" s="22">
        <f ca="1">IFERROR(__xludf.DUMMYFUNCTION("""COMPUTED_VALUE"""),500000)</f>
        <v>500000</v>
      </c>
      <c r="F5368" s="22">
        <f ca="1">IFERROR(__xludf.DUMMYFUNCTION("""COMPUTED_VALUE"""),499000)</f>
        <v>499000</v>
      </c>
      <c r="G5368" s="22">
        <f ca="1">IFERROR(__xludf.DUMMYFUNCTION("""COMPUTED_VALUE"""),0)</f>
        <v>0</v>
      </c>
      <c r="H5368" s="7">
        <f ca="1">IFERROR(__xludf.DUMMYFUNCTION("""COMPUTED_VALUE"""),500000)</f>
        <v>500000</v>
      </c>
    </row>
    <row r="5369" spans="1:8" ht="13" x14ac:dyDescent="0.15">
      <c r="A5369" s="5" t="str">
        <f ca="1">IFERROR(__xludf.DUMMYFUNCTION("""COMPUTED_VALUE"""),"TraderX")</f>
        <v>TraderX</v>
      </c>
      <c r="B5369" s="51">
        <f ca="1">IFERROR(__xludf.DUMMYFUNCTION("""COMPUTED_VALUE"""),44606)</f>
        <v>44606</v>
      </c>
      <c r="C5369" s="22">
        <f ca="1">IFERROR(__xludf.DUMMYFUNCTION("""COMPUTED_VALUE"""),499000)</f>
        <v>499000</v>
      </c>
      <c r="D5369" s="22">
        <f ca="1">IFERROR(__xludf.DUMMYFUNCTION("""COMPUTED_VALUE"""),1000)</f>
        <v>1000</v>
      </c>
      <c r="E5369" s="22">
        <f ca="1">IFERROR(__xludf.DUMMYFUNCTION("""COMPUTED_VALUE"""),500000)</f>
        <v>500000</v>
      </c>
      <c r="F5369" s="22">
        <f ca="1">IFERROR(__xludf.DUMMYFUNCTION("""COMPUTED_VALUE"""),499000)</f>
        <v>499000</v>
      </c>
      <c r="G5369" s="22">
        <f ca="1">IFERROR(__xludf.DUMMYFUNCTION("""COMPUTED_VALUE"""),0)</f>
        <v>0</v>
      </c>
      <c r="H5369" s="7">
        <f ca="1">IFERROR(__xludf.DUMMYFUNCTION("""COMPUTED_VALUE"""),500000)</f>
        <v>500000</v>
      </c>
    </row>
    <row r="5370" spans="1:8" ht="13" x14ac:dyDescent="0.15">
      <c r="A5370" s="5" t="str">
        <f ca="1">IFERROR(__xludf.DUMMYFUNCTION("""COMPUTED_VALUE"""),"TraderX")</f>
        <v>TraderX</v>
      </c>
      <c r="B5370" s="51">
        <f ca="1">IFERROR(__xludf.DUMMYFUNCTION("""COMPUTED_VALUE"""),44607)</f>
        <v>44607</v>
      </c>
      <c r="C5370" s="22">
        <f ca="1">IFERROR(__xludf.DUMMYFUNCTION("""COMPUTED_VALUE"""),499000)</f>
        <v>499000</v>
      </c>
      <c r="D5370" s="22">
        <f ca="1">IFERROR(__xludf.DUMMYFUNCTION("""COMPUTED_VALUE"""),1000)</f>
        <v>1000</v>
      </c>
      <c r="E5370" s="22">
        <f ca="1">IFERROR(__xludf.DUMMYFUNCTION("""COMPUTED_VALUE"""),500000)</f>
        <v>500000</v>
      </c>
      <c r="F5370" s="22">
        <f ca="1">IFERROR(__xludf.DUMMYFUNCTION("""COMPUTED_VALUE"""),499000)</f>
        <v>499000</v>
      </c>
      <c r="G5370" s="22">
        <f ca="1">IFERROR(__xludf.DUMMYFUNCTION("""COMPUTED_VALUE"""),0)</f>
        <v>0</v>
      </c>
      <c r="H5370" s="7">
        <f ca="1">IFERROR(__xludf.DUMMYFUNCTION("""COMPUTED_VALUE"""),500000)</f>
        <v>500000</v>
      </c>
    </row>
    <row r="5371" spans="1:8" ht="13" x14ac:dyDescent="0.15">
      <c r="A5371" s="5" t="str">
        <f ca="1">IFERROR(__xludf.DUMMYFUNCTION("""COMPUTED_VALUE"""),"TraderX")</f>
        <v>TraderX</v>
      </c>
      <c r="B5371" s="51">
        <f ca="1">IFERROR(__xludf.DUMMYFUNCTION("""COMPUTED_VALUE"""),44608)</f>
        <v>44608</v>
      </c>
      <c r="C5371" s="22">
        <f ca="1">IFERROR(__xludf.DUMMYFUNCTION("""COMPUTED_VALUE"""),499000)</f>
        <v>499000</v>
      </c>
      <c r="D5371" s="22">
        <f ca="1">IFERROR(__xludf.DUMMYFUNCTION("""COMPUTED_VALUE"""),1000)</f>
        <v>1000</v>
      </c>
      <c r="E5371" s="22">
        <f ca="1">IFERROR(__xludf.DUMMYFUNCTION("""COMPUTED_VALUE"""),500000)</f>
        <v>500000</v>
      </c>
      <c r="F5371" s="22">
        <f ca="1">IFERROR(__xludf.DUMMYFUNCTION("""COMPUTED_VALUE"""),499000)</f>
        <v>499000</v>
      </c>
      <c r="G5371" s="22">
        <f ca="1">IFERROR(__xludf.DUMMYFUNCTION("""COMPUTED_VALUE"""),0)</f>
        <v>0</v>
      </c>
      <c r="H5371" s="7">
        <f ca="1">IFERROR(__xludf.DUMMYFUNCTION("""COMPUTED_VALUE"""),500000)</f>
        <v>500000</v>
      </c>
    </row>
    <row r="5372" spans="1:8" ht="13" x14ac:dyDescent="0.15">
      <c r="A5372" s="5" t="str">
        <f ca="1">IFERROR(__xludf.DUMMYFUNCTION("""COMPUTED_VALUE"""),"TraderX")</f>
        <v>TraderX</v>
      </c>
      <c r="B5372" s="51">
        <f ca="1">IFERROR(__xludf.DUMMYFUNCTION("""COMPUTED_VALUE"""),44609)</f>
        <v>44609</v>
      </c>
      <c r="C5372" s="22">
        <f ca="1">IFERROR(__xludf.DUMMYFUNCTION("""COMPUTED_VALUE"""),529884.4954)</f>
        <v>529884.49540000001</v>
      </c>
      <c r="D5372" s="22">
        <f ca="1">IFERROR(__xludf.DUMMYFUNCTION("""COMPUTED_VALUE"""),-29884.4953999999)</f>
        <v>-29884.495399999902</v>
      </c>
      <c r="E5372" s="22">
        <f ca="1">IFERROR(__xludf.DUMMYFUNCTION("""COMPUTED_VALUE"""),500000)</f>
        <v>500000</v>
      </c>
      <c r="F5372" s="22">
        <f ca="1">IFERROR(__xludf.DUMMYFUNCTION("""COMPUTED_VALUE"""),-143.359999999986)</f>
        <v>-143.359999999986</v>
      </c>
      <c r="G5372" s="22">
        <f ca="1">IFERROR(__xludf.DUMMYFUNCTION("""COMPUTED_VALUE"""),143.359999999986)</f>
        <v>143.359999999986</v>
      </c>
      <c r="H5372" s="7">
        <f ca="1">IFERROR(__xludf.DUMMYFUNCTION("""COMPUTED_VALUE"""),500000)</f>
        <v>500000</v>
      </c>
    </row>
    <row r="5373" spans="1:8" ht="13" x14ac:dyDescent="0.15">
      <c r="A5373" s="5" t="str">
        <f ca="1">IFERROR(__xludf.DUMMYFUNCTION("""COMPUTED_VALUE"""),"TraderX")</f>
        <v>TraderX</v>
      </c>
      <c r="B5373" s="51">
        <f ca="1">IFERROR(__xludf.DUMMYFUNCTION("""COMPUTED_VALUE"""),44610)</f>
        <v>44610</v>
      </c>
      <c r="C5373" s="22">
        <f ca="1">IFERROR(__xludf.DUMMYFUNCTION("""COMPUTED_VALUE"""),529884.4954)</f>
        <v>529884.49540000001</v>
      </c>
      <c r="D5373" s="22">
        <f ca="1">IFERROR(__xludf.DUMMYFUNCTION("""COMPUTED_VALUE"""),2871.78759999999)</f>
        <v>2871.7875999999901</v>
      </c>
      <c r="E5373" s="22">
        <f ca="1">IFERROR(__xludf.DUMMYFUNCTION("""COMPUTED_VALUE"""),532756.283)</f>
        <v>532756.28300000005</v>
      </c>
      <c r="F5373" s="22">
        <f ca="1">IFERROR(__xludf.DUMMYFUNCTION("""COMPUTED_VALUE"""),-143.359999999986)</f>
        <v>-143.359999999986</v>
      </c>
      <c r="G5373" s="22">
        <f ca="1">IFERROR(__xludf.DUMMYFUNCTION("""COMPUTED_VALUE"""),143.359999999986)</f>
        <v>143.359999999986</v>
      </c>
      <c r="H5373" s="7">
        <f ca="1">IFERROR(__xludf.DUMMYFUNCTION("""COMPUTED_VALUE"""),530884.4954)</f>
        <v>530884.49540000001</v>
      </c>
    </row>
    <row r="5374" spans="1:8" ht="13" x14ac:dyDescent="0.15">
      <c r="A5374" s="5" t="str">
        <f ca="1">IFERROR(__xludf.DUMMYFUNCTION("""COMPUTED_VALUE"""),"TraderX")</f>
        <v>TraderX</v>
      </c>
      <c r="B5374" s="51">
        <f ca="1">IFERROR(__xludf.DUMMYFUNCTION("""COMPUTED_VALUE"""),44611)</f>
        <v>44611</v>
      </c>
      <c r="C5374" s="22">
        <f ca="1">IFERROR(__xludf.DUMMYFUNCTION("""COMPUTED_VALUE"""),529884.4954)</f>
        <v>529884.49540000001</v>
      </c>
      <c r="D5374" s="22">
        <f ca="1">IFERROR(__xludf.DUMMYFUNCTION("""COMPUTED_VALUE"""),1000)</f>
        <v>1000</v>
      </c>
      <c r="E5374" s="22">
        <f ca="1">IFERROR(__xludf.DUMMYFUNCTION("""COMPUTED_VALUE"""),530884.4954)</f>
        <v>530884.49540000001</v>
      </c>
      <c r="F5374" s="22">
        <f ca="1">IFERROR(__xludf.DUMMYFUNCTION("""COMPUTED_VALUE"""),-25835521.76)</f>
        <v>-25835521.760000002</v>
      </c>
      <c r="G5374" s="22">
        <f ca="1">IFERROR(__xludf.DUMMYFUNCTION("""COMPUTED_VALUE"""),265442.2477)</f>
        <v>265442.24770000001</v>
      </c>
      <c r="H5374" s="7">
        <f ca="1">IFERROR(__xludf.DUMMYFUNCTION("""COMPUTED_VALUE"""),530884.4954)</f>
        <v>530884.49540000001</v>
      </c>
    </row>
    <row r="5375" spans="1:8" ht="13" x14ac:dyDescent="0.15">
      <c r="A5375" s="5" t="str">
        <f ca="1">IFERROR(__xludf.DUMMYFUNCTION("""COMPUTED_VALUE"""),"TraderX")</f>
        <v>TraderX</v>
      </c>
      <c r="B5375" s="51">
        <f ca="1">IFERROR(__xludf.DUMMYFUNCTION("""COMPUTED_VALUE"""),44612)</f>
        <v>44612</v>
      </c>
      <c r="C5375" s="22">
        <f ca="1">IFERROR(__xludf.DUMMYFUNCTION("""COMPUTED_VALUE"""),529884.4954)</f>
        <v>529884.49540000001</v>
      </c>
      <c r="D5375" s="22">
        <f ca="1">IFERROR(__xludf.DUMMYFUNCTION("""COMPUTED_VALUE"""),1000)</f>
        <v>1000</v>
      </c>
      <c r="E5375" s="22">
        <f ca="1">IFERROR(__xludf.DUMMYFUNCTION("""COMPUTED_VALUE"""),530884.4954)</f>
        <v>530884.49540000001</v>
      </c>
      <c r="F5375" s="22">
        <f ca="1">IFERROR(__xludf.DUMMYFUNCTION("""COMPUTED_VALUE"""),-25835521.76)</f>
        <v>-25835521.760000002</v>
      </c>
      <c r="G5375" s="22">
        <f ca="1">IFERROR(__xludf.DUMMYFUNCTION("""COMPUTED_VALUE"""),265442.2477)</f>
        <v>265442.24770000001</v>
      </c>
      <c r="H5375" s="7">
        <f ca="1">IFERROR(__xludf.DUMMYFUNCTION("""COMPUTED_VALUE"""),530884.4954)</f>
        <v>530884.49540000001</v>
      </c>
    </row>
    <row r="5376" spans="1:8" ht="13" x14ac:dyDescent="0.15">
      <c r="A5376" s="5" t="str">
        <f ca="1">IFERROR(__xludf.DUMMYFUNCTION("""COMPUTED_VALUE"""),"TraderX")</f>
        <v>TraderX</v>
      </c>
      <c r="B5376" s="51">
        <f ca="1">IFERROR(__xludf.DUMMYFUNCTION("""COMPUTED_VALUE"""),44613)</f>
        <v>44613</v>
      </c>
      <c r="C5376" s="22">
        <f ca="1">IFERROR(__xludf.DUMMYFUNCTION("""COMPUTED_VALUE"""),531444.5974)</f>
        <v>531444.59739999997</v>
      </c>
      <c r="D5376" s="22">
        <f ca="1">IFERROR(__xludf.DUMMYFUNCTION("""COMPUTED_VALUE"""),-872.1224)</f>
        <v>-872.12239999999997</v>
      </c>
      <c r="E5376" s="22">
        <f ca="1">IFERROR(__xludf.DUMMYFUNCTION("""COMPUTED_VALUE"""),530572.475)</f>
        <v>530572.47499999998</v>
      </c>
      <c r="F5376" s="22">
        <f ca="1">IFERROR(__xludf.DUMMYFUNCTION("""COMPUTED_VALUE"""),499000)</f>
        <v>499000</v>
      </c>
      <c r="G5376" s="22">
        <f ca="1">IFERROR(__xludf.DUMMYFUNCTION("""COMPUTED_VALUE"""),0)</f>
        <v>0</v>
      </c>
      <c r="H5376" s="7">
        <f ca="1">IFERROR(__xludf.DUMMYFUNCTION("""COMPUTED_VALUE"""),532444.5974)</f>
        <v>532444.59739999997</v>
      </c>
    </row>
    <row r="5377" spans="1:8" ht="13" x14ac:dyDescent="0.15">
      <c r="A5377" s="5" t="str">
        <f ca="1">IFERROR(__xludf.DUMMYFUNCTION("""COMPUTED_VALUE"""),"TraderX")</f>
        <v>TraderX</v>
      </c>
      <c r="B5377" s="51">
        <f ca="1">IFERROR(__xludf.DUMMYFUNCTION("""COMPUTED_VALUE"""),44614)</f>
        <v>44614</v>
      </c>
      <c r="C5377" s="22">
        <f ca="1">IFERROR(__xludf.DUMMYFUNCTION("""COMPUTED_VALUE"""),529884.4954)</f>
        <v>529884.49540000001</v>
      </c>
      <c r="D5377" s="22">
        <f ca="1">IFERROR(__xludf.DUMMYFUNCTION("""COMPUTED_VALUE"""),1000)</f>
        <v>1000</v>
      </c>
      <c r="E5377" s="22">
        <f ca="1">IFERROR(__xludf.DUMMYFUNCTION("""COMPUTED_VALUE"""),530884.4954)</f>
        <v>530884.49540000001</v>
      </c>
      <c r="F5377" s="22">
        <f ca="1">IFERROR(__xludf.DUMMYFUNCTION("""COMPUTED_VALUE"""),499000)</f>
        <v>499000</v>
      </c>
      <c r="G5377" s="22">
        <f ca="1">IFERROR(__xludf.DUMMYFUNCTION("""COMPUTED_VALUE"""),0)</f>
        <v>0</v>
      </c>
      <c r="H5377" s="7">
        <f ca="1">IFERROR(__xludf.DUMMYFUNCTION("""COMPUTED_VALUE"""),530884.4954)</f>
        <v>530884.49540000001</v>
      </c>
    </row>
    <row r="5378" spans="1:8" ht="13" x14ac:dyDescent="0.15">
      <c r="A5378" s="5" t="str">
        <f ca="1">IFERROR(__xludf.DUMMYFUNCTION("""COMPUTED_VALUE"""),"TraderX")</f>
        <v>TraderX</v>
      </c>
      <c r="B5378" s="51">
        <f ca="1">IFERROR(__xludf.DUMMYFUNCTION("""COMPUTED_VALUE"""),44615)</f>
        <v>44615</v>
      </c>
      <c r="C5378" s="22">
        <f ca="1">IFERROR(__xludf.DUMMYFUNCTION("""COMPUTED_VALUE"""),529884.4954)</f>
        <v>529884.49540000001</v>
      </c>
      <c r="D5378" s="22">
        <f ca="1">IFERROR(__xludf.DUMMYFUNCTION("""COMPUTED_VALUE"""),1000)</f>
        <v>1000</v>
      </c>
      <c r="E5378" s="22">
        <f ca="1">IFERROR(__xludf.DUMMYFUNCTION("""COMPUTED_VALUE"""),530884.4954)</f>
        <v>530884.49540000001</v>
      </c>
      <c r="F5378" s="22">
        <f ca="1">IFERROR(__xludf.DUMMYFUNCTION("""COMPUTED_VALUE"""),499000)</f>
        <v>499000</v>
      </c>
      <c r="G5378" s="22">
        <f ca="1">IFERROR(__xludf.DUMMYFUNCTION("""COMPUTED_VALUE"""),0)</f>
        <v>0</v>
      </c>
      <c r="H5378" s="7">
        <f ca="1">IFERROR(__xludf.DUMMYFUNCTION("""COMPUTED_VALUE"""),530884.4954)</f>
        <v>530884.49540000001</v>
      </c>
    </row>
    <row r="5379" spans="1:8" ht="13" x14ac:dyDescent="0.15">
      <c r="A5379" s="5" t="str">
        <f ca="1">IFERROR(__xludf.DUMMYFUNCTION("""COMPUTED_VALUE"""),"TraderX")</f>
        <v>TraderX</v>
      </c>
      <c r="B5379" s="51">
        <f ca="1">IFERROR(__xludf.DUMMYFUNCTION("""COMPUTED_VALUE"""),44616)</f>
        <v>44616</v>
      </c>
      <c r="C5379" s="22">
        <f ca="1">IFERROR(__xludf.DUMMYFUNCTION("""COMPUTED_VALUE"""),529884.4954)</f>
        <v>529884.49540000001</v>
      </c>
      <c r="D5379" s="22">
        <f ca="1">IFERROR(__xludf.DUMMYFUNCTION("""COMPUTED_VALUE"""),1000)</f>
        <v>1000</v>
      </c>
      <c r="E5379" s="22">
        <f ca="1">IFERROR(__xludf.DUMMYFUNCTION("""COMPUTED_VALUE"""),530884.4954)</f>
        <v>530884.49540000001</v>
      </c>
      <c r="F5379" s="22">
        <f ca="1">IFERROR(__xludf.DUMMYFUNCTION("""COMPUTED_VALUE"""),499000)</f>
        <v>499000</v>
      </c>
      <c r="G5379" s="22">
        <f ca="1">IFERROR(__xludf.DUMMYFUNCTION("""COMPUTED_VALUE"""),0)</f>
        <v>0</v>
      </c>
      <c r="H5379" s="7">
        <f ca="1">IFERROR(__xludf.DUMMYFUNCTION("""COMPUTED_VALUE"""),530884.4954)</f>
        <v>530884.49540000001</v>
      </c>
    </row>
    <row r="5380" spans="1:8" ht="13" x14ac:dyDescent="0.15">
      <c r="A5380" s="5" t="str">
        <f ca="1">IFERROR(__xludf.DUMMYFUNCTION("""COMPUTED_VALUE"""),"TraderX")</f>
        <v>TraderX</v>
      </c>
      <c r="B5380" s="51">
        <f ca="1">IFERROR(__xludf.DUMMYFUNCTION("""COMPUTED_VALUE"""),44617)</f>
        <v>44617</v>
      </c>
      <c r="C5380" s="22">
        <f ca="1">IFERROR(__xludf.DUMMYFUNCTION("""COMPUTED_VALUE"""),529884.4954)</f>
        <v>529884.49540000001</v>
      </c>
      <c r="D5380" s="22">
        <f ca="1">IFERROR(__xludf.DUMMYFUNCTION("""COMPUTED_VALUE"""),1000)</f>
        <v>1000</v>
      </c>
      <c r="E5380" s="22">
        <f ca="1">IFERROR(__xludf.DUMMYFUNCTION("""COMPUTED_VALUE"""),530884.4954)</f>
        <v>530884.49540000001</v>
      </c>
      <c r="F5380" s="22">
        <f ca="1">IFERROR(__xludf.DUMMYFUNCTION("""COMPUTED_VALUE"""),499000)</f>
        <v>499000</v>
      </c>
      <c r="G5380" s="22">
        <f ca="1">IFERROR(__xludf.DUMMYFUNCTION("""COMPUTED_VALUE"""),0)</f>
        <v>0</v>
      </c>
      <c r="H5380" s="7">
        <f ca="1">IFERROR(__xludf.DUMMYFUNCTION("""COMPUTED_VALUE"""),530884.4954)</f>
        <v>530884.49540000001</v>
      </c>
    </row>
    <row r="5381" spans="1:8" ht="13" x14ac:dyDescent="0.15">
      <c r="A5381" s="5" t="str">
        <f ca="1">IFERROR(__xludf.DUMMYFUNCTION("""COMPUTED_VALUE"""),"TraderX")</f>
        <v>TraderX</v>
      </c>
      <c r="B5381" s="51">
        <f ca="1">IFERROR(__xludf.DUMMYFUNCTION("""COMPUTED_VALUE"""),44618)</f>
        <v>44618</v>
      </c>
      <c r="C5381" s="22">
        <f ca="1">IFERROR(__xludf.DUMMYFUNCTION("""COMPUTED_VALUE"""),529884.4954)</f>
        <v>529884.49540000001</v>
      </c>
      <c r="D5381" s="22">
        <f ca="1">IFERROR(__xludf.DUMMYFUNCTION("""COMPUTED_VALUE"""),1000)</f>
        <v>1000</v>
      </c>
      <c r="E5381" s="22">
        <f ca="1">IFERROR(__xludf.DUMMYFUNCTION("""COMPUTED_VALUE"""),530884.4954)</f>
        <v>530884.49540000001</v>
      </c>
      <c r="F5381" s="22">
        <f ca="1">IFERROR(__xludf.DUMMYFUNCTION("""COMPUTED_VALUE"""),499000)</f>
        <v>499000</v>
      </c>
      <c r="G5381" s="22">
        <f ca="1">IFERROR(__xludf.DUMMYFUNCTION("""COMPUTED_VALUE"""),0)</f>
        <v>0</v>
      </c>
      <c r="H5381" s="7">
        <f ca="1">IFERROR(__xludf.DUMMYFUNCTION("""COMPUTED_VALUE"""),530884.4954)</f>
        <v>530884.49540000001</v>
      </c>
    </row>
    <row r="5382" spans="1:8" ht="13" x14ac:dyDescent="0.15">
      <c r="A5382" s="5" t="str">
        <f ca="1">IFERROR(__xludf.DUMMYFUNCTION("""COMPUTED_VALUE"""),"TraderX")</f>
        <v>TraderX</v>
      </c>
      <c r="B5382" s="51">
        <f ca="1">IFERROR(__xludf.DUMMYFUNCTION("""COMPUTED_VALUE"""),44619)</f>
        <v>44619</v>
      </c>
      <c r="C5382" s="22">
        <f ca="1">IFERROR(__xludf.DUMMYFUNCTION("""COMPUTED_VALUE"""),529884.4954)</f>
        <v>529884.49540000001</v>
      </c>
      <c r="D5382" s="22">
        <f ca="1">IFERROR(__xludf.DUMMYFUNCTION("""COMPUTED_VALUE"""),1000)</f>
        <v>1000</v>
      </c>
      <c r="E5382" s="22">
        <f ca="1">IFERROR(__xludf.DUMMYFUNCTION("""COMPUTED_VALUE"""),530884.4954)</f>
        <v>530884.49540000001</v>
      </c>
      <c r="F5382" s="22">
        <f ca="1">IFERROR(__xludf.DUMMYFUNCTION("""COMPUTED_VALUE"""),499000)</f>
        <v>499000</v>
      </c>
      <c r="G5382" s="22">
        <f ca="1">IFERROR(__xludf.DUMMYFUNCTION("""COMPUTED_VALUE"""),0)</f>
        <v>0</v>
      </c>
      <c r="H5382" s="7">
        <f ca="1">IFERROR(__xludf.DUMMYFUNCTION("""COMPUTED_VALUE"""),530884.4954)</f>
        <v>530884.49540000001</v>
      </c>
    </row>
    <row r="5383" spans="1:8" ht="13" x14ac:dyDescent="0.15">
      <c r="A5383" s="5" t="str">
        <f ca="1">IFERROR(__xludf.DUMMYFUNCTION("""COMPUTED_VALUE"""),"TraderX")</f>
        <v>TraderX</v>
      </c>
      <c r="B5383" s="51">
        <f ca="1">IFERROR(__xludf.DUMMYFUNCTION("""COMPUTED_VALUE"""),44620)</f>
        <v>44620</v>
      </c>
      <c r="C5383" s="22">
        <f ca="1">IFERROR(__xludf.DUMMYFUNCTION("""COMPUTED_VALUE"""),529884.4954)</f>
        <v>529884.49540000001</v>
      </c>
      <c r="D5383" s="22">
        <f ca="1">IFERROR(__xludf.DUMMYFUNCTION("""COMPUTED_VALUE"""),1000)</f>
        <v>1000</v>
      </c>
      <c r="E5383" s="22">
        <f ca="1">IFERROR(__xludf.DUMMYFUNCTION("""COMPUTED_VALUE"""),530884.4954)</f>
        <v>530884.49540000001</v>
      </c>
      <c r="F5383" s="22">
        <f ca="1">IFERROR(__xludf.DUMMYFUNCTION("""COMPUTED_VALUE"""),499000)</f>
        <v>499000</v>
      </c>
      <c r="G5383" s="22">
        <f ca="1">IFERROR(__xludf.DUMMYFUNCTION("""COMPUTED_VALUE"""),0)</f>
        <v>0</v>
      </c>
      <c r="H5383" s="7">
        <f ca="1">IFERROR(__xludf.DUMMYFUNCTION("""COMPUTED_VALUE"""),530884.4954)</f>
        <v>530884.49540000001</v>
      </c>
    </row>
    <row r="5384" spans="1:8" ht="13" x14ac:dyDescent="0.15">
      <c r="A5384" s="5" t="str">
        <f ca="1">IFERROR(__xludf.DUMMYFUNCTION("""COMPUTED_VALUE"""),"TraderX")</f>
        <v>TraderX</v>
      </c>
      <c r="B5384" s="51">
        <f ca="1">IFERROR(__xludf.DUMMYFUNCTION("""COMPUTED_VALUE"""),44621)</f>
        <v>44621</v>
      </c>
      <c r="C5384" s="22">
        <f ca="1">IFERROR(__xludf.DUMMYFUNCTION("""COMPUTED_VALUE"""),529884.4954)</f>
        <v>529884.49540000001</v>
      </c>
      <c r="D5384" s="22">
        <f ca="1">IFERROR(__xludf.DUMMYFUNCTION("""COMPUTED_VALUE"""),1000)</f>
        <v>1000</v>
      </c>
      <c r="E5384" s="22">
        <f ca="1">IFERROR(__xludf.DUMMYFUNCTION("""COMPUTED_VALUE"""),530884.4954)</f>
        <v>530884.49540000001</v>
      </c>
      <c r="F5384" s="22">
        <f ca="1">IFERROR(__xludf.DUMMYFUNCTION("""COMPUTED_VALUE"""),499000)</f>
        <v>499000</v>
      </c>
      <c r="G5384" s="22">
        <f ca="1">IFERROR(__xludf.DUMMYFUNCTION("""COMPUTED_VALUE"""),0)</f>
        <v>0</v>
      </c>
      <c r="H5384" s="7">
        <f ca="1">IFERROR(__xludf.DUMMYFUNCTION("""COMPUTED_VALUE"""),530884.4954)</f>
        <v>530884.49540000001</v>
      </c>
    </row>
    <row r="5385" spans="1:8" ht="13" x14ac:dyDescent="0.15">
      <c r="A5385" s="5" t="str">
        <f ca="1">IFERROR(__xludf.DUMMYFUNCTION("""COMPUTED_VALUE"""),"TraderX")</f>
        <v>TraderX</v>
      </c>
      <c r="B5385" s="51">
        <f ca="1">IFERROR(__xludf.DUMMYFUNCTION("""COMPUTED_VALUE"""),44622)</f>
        <v>44622</v>
      </c>
      <c r="C5385" s="22">
        <f ca="1">IFERROR(__xludf.DUMMYFUNCTION("""COMPUTED_VALUE"""),529884.4954)</f>
        <v>529884.49540000001</v>
      </c>
      <c r="D5385" s="22">
        <f ca="1">IFERROR(__xludf.DUMMYFUNCTION("""COMPUTED_VALUE"""),1000)</f>
        <v>1000</v>
      </c>
      <c r="E5385" s="22">
        <f ca="1">IFERROR(__xludf.DUMMYFUNCTION("""COMPUTED_VALUE"""),530884.4954)</f>
        <v>530884.49540000001</v>
      </c>
      <c r="F5385" s="22">
        <f ca="1">IFERROR(__xludf.DUMMYFUNCTION("""COMPUTED_VALUE"""),499000)</f>
        <v>499000</v>
      </c>
      <c r="G5385" s="22">
        <f ca="1">IFERROR(__xludf.DUMMYFUNCTION("""COMPUTED_VALUE"""),0)</f>
        <v>0</v>
      </c>
      <c r="H5385" s="7">
        <f ca="1">IFERROR(__xludf.DUMMYFUNCTION("""COMPUTED_VALUE"""),530884.4954)</f>
        <v>530884.49540000001</v>
      </c>
    </row>
    <row r="5386" spans="1:8" ht="13" x14ac:dyDescent="0.15">
      <c r="A5386" s="5" t="str">
        <f ca="1">IFERROR(__xludf.DUMMYFUNCTION("""COMPUTED_VALUE"""),"TraderX")</f>
        <v>TraderX</v>
      </c>
      <c r="B5386" s="51">
        <f ca="1">IFERROR(__xludf.DUMMYFUNCTION("""COMPUTED_VALUE"""),44623)</f>
        <v>44623</v>
      </c>
      <c r="C5386" s="22">
        <f ca="1">IFERROR(__xludf.DUMMYFUNCTION("""COMPUTED_VALUE"""),529884.4954)</f>
        <v>529884.49540000001</v>
      </c>
      <c r="D5386" s="22">
        <f ca="1">IFERROR(__xludf.DUMMYFUNCTION("""COMPUTED_VALUE"""),1000)</f>
        <v>1000</v>
      </c>
      <c r="E5386" s="22">
        <f ca="1">IFERROR(__xludf.DUMMYFUNCTION("""COMPUTED_VALUE"""),530884.4954)</f>
        <v>530884.49540000001</v>
      </c>
      <c r="F5386" s="22">
        <f ca="1">IFERROR(__xludf.DUMMYFUNCTION("""COMPUTED_VALUE"""),499000)</f>
        <v>499000</v>
      </c>
      <c r="G5386" s="22">
        <f ca="1">IFERROR(__xludf.DUMMYFUNCTION("""COMPUTED_VALUE"""),0)</f>
        <v>0</v>
      </c>
      <c r="H5386" s="7">
        <f ca="1">IFERROR(__xludf.DUMMYFUNCTION("""COMPUTED_VALUE"""),530884.4954)</f>
        <v>530884.49540000001</v>
      </c>
    </row>
    <row r="5387" spans="1:8" ht="13" x14ac:dyDescent="0.15">
      <c r="A5387" s="5" t="str">
        <f ca="1">IFERROR(__xludf.DUMMYFUNCTION("""COMPUTED_VALUE"""),"TraderX")</f>
        <v>TraderX</v>
      </c>
      <c r="B5387" s="51">
        <f ca="1">IFERROR(__xludf.DUMMYFUNCTION("""COMPUTED_VALUE"""),44624)</f>
        <v>44624</v>
      </c>
      <c r="C5387" s="22">
        <f ca="1">IFERROR(__xludf.DUMMYFUNCTION("""COMPUTED_VALUE"""),529884.4954)</f>
        <v>529884.49540000001</v>
      </c>
      <c r="D5387" s="22">
        <f ca="1">IFERROR(__xludf.DUMMYFUNCTION("""COMPUTED_VALUE"""),1000)</f>
        <v>1000</v>
      </c>
      <c r="E5387" s="22">
        <f ca="1">IFERROR(__xludf.DUMMYFUNCTION("""COMPUTED_VALUE"""),530884.4954)</f>
        <v>530884.49540000001</v>
      </c>
      <c r="F5387" s="22">
        <f ca="1">IFERROR(__xludf.DUMMYFUNCTION("""COMPUTED_VALUE"""),499000)</f>
        <v>499000</v>
      </c>
      <c r="G5387" s="22">
        <f ca="1">IFERROR(__xludf.DUMMYFUNCTION("""COMPUTED_VALUE"""),0)</f>
        <v>0</v>
      </c>
      <c r="H5387" s="7">
        <f ca="1">IFERROR(__xludf.DUMMYFUNCTION("""COMPUTED_VALUE"""),530884.4954)</f>
        <v>530884.49540000001</v>
      </c>
    </row>
    <row r="5388" spans="1:8" ht="13" x14ac:dyDescent="0.15">
      <c r="A5388" s="5" t="str">
        <f ca="1">IFERROR(__xludf.DUMMYFUNCTION("""COMPUTED_VALUE"""),"TraderX")</f>
        <v>TraderX</v>
      </c>
      <c r="B5388" s="51">
        <f ca="1">IFERROR(__xludf.DUMMYFUNCTION("""COMPUTED_VALUE"""),44625)</f>
        <v>44625</v>
      </c>
      <c r="C5388" s="22">
        <f ca="1">IFERROR(__xludf.DUMMYFUNCTION("""COMPUTED_VALUE"""),529884.4954)</f>
        <v>529884.49540000001</v>
      </c>
      <c r="D5388" s="22">
        <f ca="1">IFERROR(__xludf.DUMMYFUNCTION("""COMPUTED_VALUE"""),1000)</f>
        <v>1000</v>
      </c>
      <c r="E5388" s="22">
        <f ca="1">IFERROR(__xludf.DUMMYFUNCTION("""COMPUTED_VALUE"""),530884.4954)</f>
        <v>530884.49540000001</v>
      </c>
      <c r="F5388" s="22">
        <f ca="1">IFERROR(__xludf.DUMMYFUNCTION("""COMPUTED_VALUE"""),499000)</f>
        <v>499000</v>
      </c>
      <c r="G5388" s="22">
        <f ca="1">IFERROR(__xludf.DUMMYFUNCTION("""COMPUTED_VALUE"""),0)</f>
        <v>0</v>
      </c>
      <c r="H5388" s="7">
        <f ca="1">IFERROR(__xludf.DUMMYFUNCTION("""COMPUTED_VALUE"""),530884.4954)</f>
        <v>530884.49540000001</v>
      </c>
    </row>
    <row r="5389" spans="1:8" ht="13" x14ac:dyDescent="0.15">
      <c r="A5389" s="5" t="str">
        <f ca="1">IFERROR(__xludf.DUMMYFUNCTION("""COMPUTED_VALUE"""),"TraderX")</f>
        <v>TraderX</v>
      </c>
      <c r="B5389" s="51">
        <f ca="1">IFERROR(__xludf.DUMMYFUNCTION("""COMPUTED_VALUE"""),44626)</f>
        <v>44626</v>
      </c>
      <c r="C5389" s="22">
        <f ca="1">IFERROR(__xludf.DUMMYFUNCTION("""COMPUTED_VALUE"""),529884.4954)</f>
        <v>529884.49540000001</v>
      </c>
      <c r="D5389" s="22">
        <f ca="1">IFERROR(__xludf.DUMMYFUNCTION("""COMPUTED_VALUE"""),1000)</f>
        <v>1000</v>
      </c>
      <c r="E5389" s="22">
        <f ca="1">IFERROR(__xludf.DUMMYFUNCTION("""COMPUTED_VALUE"""),530884.4954)</f>
        <v>530884.49540000001</v>
      </c>
      <c r="F5389" s="22">
        <f ca="1">IFERROR(__xludf.DUMMYFUNCTION("""COMPUTED_VALUE"""),499000)</f>
        <v>499000</v>
      </c>
      <c r="G5389" s="22">
        <f ca="1">IFERROR(__xludf.DUMMYFUNCTION("""COMPUTED_VALUE"""),0)</f>
        <v>0</v>
      </c>
      <c r="H5389" s="7">
        <f ca="1">IFERROR(__xludf.DUMMYFUNCTION("""COMPUTED_VALUE"""),530884.4954)</f>
        <v>530884.49540000001</v>
      </c>
    </row>
    <row r="5390" spans="1:8" ht="13" x14ac:dyDescent="0.15">
      <c r="A5390" s="5" t="str">
        <f ca="1">IFERROR(__xludf.DUMMYFUNCTION("""COMPUTED_VALUE"""),"TraderX")</f>
        <v>TraderX</v>
      </c>
      <c r="B5390" s="51">
        <f ca="1">IFERROR(__xludf.DUMMYFUNCTION("""COMPUTED_VALUE"""),44627)</f>
        <v>44627</v>
      </c>
      <c r="C5390" s="22">
        <f ca="1">IFERROR(__xludf.DUMMYFUNCTION("""COMPUTED_VALUE"""),529884.4954)</f>
        <v>529884.49540000001</v>
      </c>
      <c r="D5390" s="22">
        <f ca="1">IFERROR(__xludf.DUMMYFUNCTION("""COMPUTED_VALUE"""),1000)</f>
        <v>1000</v>
      </c>
      <c r="E5390" s="22">
        <f ca="1">IFERROR(__xludf.DUMMYFUNCTION("""COMPUTED_VALUE"""),530884.4954)</f>
        <v>530884.49540000001</v>
      </c>
      <c r="F5390" s="22">
        <f ca="1">IFERROR(__xludf.DUMMYFUNCTION("""COMPUTED_VALUE"""),499000)</f>
        <v>499000</v>
      </c>
      <c r="G5390" s="22">
        <f ca="1">IFERROR(__xludf.DUMMYFUNCTION("""COMPUTED_VALUE"""),0)</f>
        <v>0</v>
      </c>
      <c r="H5390" s="7">
        <f ca="1">IFERROR(__xludf.DUMMYFUNCTION("""COMPUTED_VALUE"""),530884.4954)</f>
        <v>530884.49540000001</v>
      </c>
    </row>
    <row r="5391" spans="1:8" ht="13" x14ac:dyDescent="0.15">
      <c r="A5391" s="5" t="str">
        <f ca="1">IFERROR(__xludf.DUMMYFUNCTION("""COMPUTED_VALUE"""),"TraderX")</f>
        <v>TraderX</v>
      </c>
      <c r="B5391" s="51">
        <f ca="1">IFERROR(__xludf.DUMMYFUNCTION("""COMPUTED_VALUE"""),44628)</f>
        <v>44628</v>
      </c>
      <c r="C5391" s="22">
        <f ca="1">IFERROR(__xludf.DUMMYFUNCTION("""COMPUTED_VALUE"""),529884.4954)</f>
        <v>529884.49540000001</v>
      </c>
      <c r="D5391" s="22">
        <f ca="1">IFERROR(__xludf.DUMMYFUNCTION("""COMPUTED_VALUE"""),1000)</f>
        <v>1000</v>
      </c>
      <c r="E5391" s="22">
        <f ca="1">IFERROR(__xludf.DUMMYFUNCTION("""COMPUTED_VALUE"""),530884.4954)</f>
        <v>530884.49540000001</v>
      </c>
      <c r="F5391" s="22">
        <f ca="1">IFERROR(__xludf.DUMMYFUNCTION("""COMPUTED_VALUE"""),499000)</f>
        <v>499000</v>
      </c>
      <c r="G5391" s="22">
        <f ca="1">IFERROR(__xludf.DUMMYFUNCTION("""COMPUTED_VALUE"""),0)</f>
        <v>0</v>
      </c>
      <c r="H5391" s="7">
        <f ca="1">IFERROR(__xludf.DUMMYFUNCTION("""COMPUTED_VALUE"""),530884.4954)</f>
        <v>530884.49540000001</v>
      </c>
    </row>
    <row r="5392" spans="1:8" ht="13" x14ac:dyDescent="0.15">
      <c r="A5392" s="5" t="str">
        <f ca="1">IFERROR(__xludf.DUMMYFUNCTION("""COMPUTED_VALUE"""),"TraderX")</f>
        <v>TraderX</v>
      </c>
      <c r="B5392" s="51">
        <f ca="1">IFERROR(__xludf.DUMMYFUNCTION("""COMPUTED_VALUE"""),44629)</f>
        <v>44629</v>
      </c>
      <c r="C5392" s="22">
        <f ca="1">IFERROR(__xludf.DUMMYFUNCTION("""COMPUTED_VALUE"""),529884.4954)</f>
        <v>529884.49540000001</v>
      </c>
      <c r="D5392" s="22">
        <f ca="1">IFERROR(__xludf.DUMMYFUNCTION("""COMPUTED_VALUE"""),1000)</f>
        <v>1000</v>
      </c>
      <c r="E5392" s="22">
        <f ca="1">IFERROR(__xludf.DUMMYFUNCTION("""COMPUTED_VALUE"""),530884.4954)</f>
        <v>530884.49540000001</v>
      </c>
      <c r="F5392" s="22">
        <f ca="1">IFERROR(__xludf.DUMMYFUNCTION("""COMPUTED_VALUE"""),499000)</f>
        <v>499000</v>
      </c>
      <c r="G5392" s="22">
        <f ca="1">IFERROR(__xludf.DUMMYFUNCTION("""COMPUTED_VALUE"""),0)</f>
        <v>0</v>
      </c>
      <c r="H5392" s="7">
        <f ca="1">IFERROR(__xludf.DUMMYFUNCTION("""COMPUTED_VALUE"""),530884.4954)</f>
        <v>530884.49540000001</v>
      </c>
    </row>
    <row r="5393" spans="1:8" ht="13" x14ac:dyDescent="0.15">
      <c r="A5393" s="5" t="str">
        <f ca="1">IFERROR(__xludf.DUMMYFUNCTION("""COMPUTED_VALUE"""),"TraderX")</f>
        <v>TraderX</v>
      </c>
      <c r="B5393" s="51">
        <f ca="1">IFERROR(__xludf.DUMMYFUNCTION("""COMPUTED_VALUE"""),44630)</f>
        <v>44630</v>
      </c>
      <c r="C5393" s="22">
        <f ca="1">IFERROR(__xludf.DUMMYFUNCTION("""COMPUTED_VALUE"""),529884.4954)</f>
        <v>529884.49540000001</v>
      </c>
      <c r="D5393" s="22">
        <f ca="1">IFERROR(__xludf.DUMMYFUNCTION("""COMPUTED_VALUE"""),1000)</f>
        <v>1000</v>
      </c>
      <c r="E5393" s="22">
        <f ca="1">IFERROR(__xludf.DUMMYFUNCTION("""COMPUTED_VALUE"""),530884.4954)</f>
        <v>530884.49540000001</v>
      </c>
      <c r="F5393" s="22">
        <f ca="1">IFERROR(__xludf.DUMMYFUNCTION("""COMPUTED_VALUE"""),499000)</f>
        <v>499000</v>
      </c>
      <c r="G5393" s="22">
        <f ca="1">IFERROR(__xludf.DUMMYFUNCTION("""COMPUTED_VALUE"""),0)</f>
        <v>0</v>
      </c>
      <c r="H5393" s="7">
        <f ca="1">IFERROR(__xludf.DUMMYFUNCTION("""COMPUTED_VALUE"""),530884.4954)</f>
        <v>530884.49540000001</v>
      </c>
    </row>
    <row r="5394" spans="1:8" ht="13" x14ac:dyDescent="0.15">
      <c r="A5394" s="5" t="str">
        <f ca="1">IFERROR(__xludf.DUMMYFUNCTION("""COMPUTED_VALUE"""),"TraderX")</f>
        <v>TraderX</v>
      </c>
      <c r="B5394" s="51">
        <f ca="1">IFERROR(__xludf.DUMMYFUNCTION("""COMPUTED_VALUE"""),44631)</f>
        <v>44631</v>
      </c>
      <c r="C5394" s="22">
        <f ca="1">IFERROR(__xludf.DUMMYFUNCTION("""COMPUTED_VALUE"""),529884.4954)</f>
        <v>529884.49540000001</v>
      </c>
      <c r="D5394" s="22">
        <f ca="1">IFERROR(__xludf.DUMMYFUNCTION("""COMPUTED_VALUE"""),1000)</f>
        <v>1000</v>
      </c>
      <c r="E5394" s="22">
        <f ca="1">IFERROR(__xludf.DUMMYFUNCTION("""COMPUTED_VALUE"""),530884.4954)</f>
        <v>530884.49540000001</v>
      </c>
      <c r="F5394" s="22">
        <f ca="1">IFERROR(__xludf.DUMMYFUNCTION("""COMPUTED_VALUE"""),499000)</f>
        <v>499000</v>
      </c>
      <c r="G5394" s="22">
        <f ca="1">IFERROR(__xludf.DUMMYFUNCTION("""COMPUTED_VALUE"""),0)</f>
        <v>0</v>
      </c>
      <c r="H5394" s="7">
        <f ca="1">IFERROR(__xludf.DUMMYFUNCTION("""COMPUTED_VALUE"""),530884.4954)</f>
        <v>530884.49540000001</v>
      </c>
    </row>
    <row r="5395" spans="1:8" ht="13" x14ac:dyDescent="0.15">
      <c r="A5395" s="5" t="str">
        <f ca="1">IFERROR(__xludf.DUMMYFUNCTION("""COMPUTED_VALUE"""),"TraderX")</f>
        <v>TraderX</v>
      </c>
      <c r="B5395" s="51">
        <f ca="1">IFERROR(__xludf.DUMMYFUNCTION("""COMPUTED_VALUE"""),44632)</f>
        <v>44632</v>
      </c>
      <c r="C5395" s="22">
        <f ca="1">IFERROR(__xludf.DUMMYFUNCTION("""COMPUTED_VALUE"""),529884.4954)</f>
        <v>529884.49540000001</v>
      </c>
      <c r="D5395" s="22">
        <f ca="1">IFERROR(__xludf.DUMMYFUNCTION("""COMPUTED_VALUE"""),1000)</f>
        <v>1000</v>
      </c>
      <c r="E5395" s="22">
        <f ca="1">IFERROR(__xludf.DUMMYFUNCTION("""COMPUTED_VALUE"""),530884.4954)</f>
        <v>530884.49540000001</v>
      </c>
      <c r="F5395" s="22">
        <f ca="1">IFERROR(__xludf.DUMMYFUNCTION("""COMPUTED_VALUE"""),499000)</f>
        <v>499000</v>
      </c>
      <c r="G5395" s="22">
        <f ca="1">IFERROR(__xludf.DUMMYFUNCTION("""COMPUTED_VALUE"""),0)</f>
        <v>0</v>
      </c>
      <c r="H5395" s="7">
        <f ca="1">IFERROR(__xludf.DUMMYFUNCTION("""COMPUTED_VALUE"""),530884.4954)</f>
        <v>530884.49540000001</v>
      </c>
    </row>
    <row r="5396" spans="1:8" ht="13" x14ac:dyDescent="0.15">
      <c r="A5396" s="5" t="str">
        <f ca="1">IFERROR(__xludf.DUMMYFUNCTION("""COMPUTED_VALUE"""),"TraderX")</f>
        <v>TraderX</v>
      </c>
      <c r="B5396" s="51">
        <f ca="1">IFERROR(__xludf.DUMMYFUNCTION("""COMPUTED_VALUE"""),44633)</f>
        <v>44633</v>
      </c>
      <c r="C5396" s="22">
        <f ca="1">IFERROR(__xludf.DUMMYFUNCTION("""COMPUTED_VALUE"""),529884.4954)</f>
        <v>529884.49540000001</v>
      </c>
      <c r="D5396" s="22">
        <f ca="1">IFERROR(__xludf.DUMMYFUNCTION("""COMPUTED_VALUE"""),1000)</f>
        <v>1000</v>
      </c>
      <c r="E5396" s="22">
        <f ca="1">IFERROR(__xludf.DUMMYFUNCTION("""COMPUTED_VALUE"""),530884.4954)</f>
        <v>530884.49540000001</v>
      </c>
      <c r="F5396" s="22">
        <f ca="1">IFERROR(__xludf.DUMMYFUNCTION("""COMPUTED_VALUE"""),499000)</f>
        <v>499000</v>
      </c>
      <c r="G5396" s="22">
        <f ca="1">IFERROR(__xludf.DUMMYFUNCTION("""COMPUTED_VALUE"""),0)</f>
        <v>0</v>
      </c>
      <c r="H5396" s="7">
        <f ca="1">IFERROR(__xludf.DUMMYFUNCTION("""COMPUTED_VALUE"""),530884.4954)</f>
        <v>530884.49540000001</v>
      </c>
    </row>
    <row r="5397" spans="1:8" ht="13" x14ac:dyDescent="0.15">
      <c r="A5397" s="5" t="str">
        <f ca="1">IFERROR(__xludf.DUMMYFUNCTION("""COMPUTED_VALUE"""),"TraderX")</f>
        <v>TraderX</v>
      </c>
      <c r="B5397" s="51">
        <f ca="1">IFERROR(__xludf.DUMMYFUNCTION("""COMPUTED_VALUE"""),44634)</f>
        <v>44634</v>
      </c>
      <c r="C5397" s="22">
        <f ca="1">IFERROR(__xludf.DUMMYFUNCTION("""COMPUTED_VALUE"""),529884.4954)</f>
        <v>529884.49540000001</v>
      </c>
      <c r="D5397" s="22">
        <f ca="1">IFERROR(__xludf.DUMMYFUNCTION("""COMPUTED_VALUE"""),1000)</f>
        <v>1000</v>
      </c>
      <c r="E5397" s="22">
        <f ca="1">IFERROR(__xludf.DUMMYFUNCTION("""COMPUTED_VALUE"""),530884.4954)</f>
        <v>530884.49540000001</v>
      </c>
      <c r="F5397" s="22">
        <f ca="1">IFERROR(__xludf.DUMMYFUNCTION("""COMPUTED_VALUE"""),499000)</f>
        <v>499000</v>
      </c>
      <c r="G5397" s="22">
        <f ca="1">IFERROR(__xludf.DUMMYFUNCTION("""COMPUTED_VALUE"""),0)</f>
        <v>0</v>
      </c>
      <c r="H5397" s="7">
        <f ca="1">IFERROR(__xludf.DUMMYFUNCTION("""COMPUTED_VALUE"""),530884.4954)</f>
        <v>530884.49540000001</v>
      </c>
    </row>
    <row r="5398" spans="1:8" ht="13" x14ac:dyDescent="0.15">
      <c r="A5398" s="5" t="str">
        <f ca="1">IFERROR(__xludf.DUMMYFUNCTION("""COMPUTED_VALUE"""),"TraderX")</f>
        <v>TraderX</v>
      </c>
      <c r="B5398" s="51">
        <f ca="1">IFERROR(__xludf.DUMMYFUNCTION("""COMPUTED_VALUE"""),44635)</f>
        <v>44635</v>
      </c>
      <c r="C5398" s="22">
        <f ca="1">IFERROR(__xludf.DUMMYFUNCTION("""COMPUTED_VALUE"""),529884.4954)</f>
        <v>529884.49540000001</v>
      </c>
      <c r="D5398" s="22">
        <f ca="1">IFERROR(__xludf.DUMMYFUNCTION("""COMPUTED_VALUE"""),1000)</f>
        <v>1000</v>
      </c>
      <c r="E5398" s="22">
        <f ca="1">IFERROR(__xludf.DUMMYFUNCTION("""COMPUTED_VALUE"""),530884.4954)</f>
        <v>530884.49540000001</v>
      </c>
      <c r="F5398" s="22">
        <f ca="1">IFERROR(__xludf.DUMMYFUNCTION("""COMPUTED_VALUE"""),499000)</f>
        <v>499000</v>
      </c>
      <c r="G5398" s="22">
        <f ca="1">IFERROR(__xludf.DUMMYFUNCTION("""COMPUTED_VALUE"""),0)</f>
        <v>0</v>
      </c>
      <c r="H5398" s="7">
        <f ca="1">IFERROR(__xludf.DUMMYFUNCTION("""COMPUTED_VALUE"""),530884.4954)</f>
        <v>530884.49540000001</v>
      </c>
    </row>
    <row r="5399" spans="1:8" ht="13" x14ac:dyDescent="0.15">
      <c r="A5399" s="5" t="str">
        <f ca="1">IFERROR(__xludf.DUMMYFUNCTION("""COMPUTED_VALUE"""),"TraderX")</f>
        <v>TraderX</v>
      </c>
      <c r="B5399" s="51">
        <f ca="1">IFERROR(__xludf.DUMMYFUNCTION("""COMPUTED_VALUE"""),44636)</f>
        <v>44636</v>
      </c>
      <c r="C5399" s="22">
        <f ca="1">IFERROR(__xludf.DUMMYFUNCTION("""COMPUTED_VALUE"""),529884.4954)</f>
        <v>529884.49540000001</v>
      </c>
      <c r="D5399" s="22">
        <f ca="1">IFERROR(__xludf.DUMMYFUNCTION("""COMPUTED_VALUE"""),1000)</f>
        <v>1000</v>
      </c>
      <c r="E5399" s="22">
        <f ca="1">IFERROR(__xludf.DUMMYFUNCTION("""COMPUTED_VALUE"""),530884.4954)</f>
        <v>530884.49540000001</v>
      </c>
      <c r="F5399" s="22">
        <f ca="1">IFERROR(__xludf.DUMMYFUNCTION("""COMPUTED_VALUE"""),499000)</f>
        <v>499000</v>
      </c>
      <c r="G5399" s="22">
        <f ca="1">IFERROR(__xludf.DUMMYFUNCTION("""COMPUTED_VALUE"""),0)</f>
        <v>0</v>
      </c>
      <c r="H5399" s="7">
        <f ca="1">IFERROR(__xludf.DUMMYFUNCTION("""COMPUTED_VALUE"""),530884.4954)</f>
        <v>530884.49540000001</v>
      </c>
    </row>
    <row r="5400" spans="1:8" ht="13" x14ac:dyDescent="0.15">
      <c r="A5400" s="5" t="str">
        <f ca="1">IFERROR(__xludf.DUMMYFUNCTION("""COMPUTED_VALUE"""),"TraderX")</f>
        <v>TraderX</v>
      </c>
      <c r="B5400" s="51">
        <f ca="1">IFERROR(__xludf.DUMMYFUNCTION("""COMPUTED_VALUE"""),44637)</f>
        <v>44637</v>
      </c>
      <c r="C5400" s="22">
        <f ca="1">IFERROR(__xludf.DUMMYFUNCTION("""COMPUTED_VALUE"""),529884.4954)</f>
        <v>529884.49540000001</v>
      </c>
      <c r="D5400" s="22">
        <f ca="1">IFERROR(__xludf.DUMMYFUNCTION("""COMPUTED_VALUE"""),1000)</f>
        <v>1000</v>
      </c>
      <c r="E5400" s="22">
        <f ca="1">IFERROR(__xludf.DUMMYFUNCTION("""COMPUTED_VALUE"""),530884.4954)</f>
        <v>530884.49540000001</v>
      </c>
      <c r="F5400" s="22">
        <f ca="1">IFERROR(__xludf.DUMMYFUNCTION("""COMPUTED_VALUE"""),499000)</f>
        <v>499000</v>
      </c>
      <c r="G5400" s="22">
        <f ca="1">IFERROR(__xludf.DUMMYFUNCTION("""COMPUTED_VALUE"""),0)</f>
        <v>0</v>
      </c>
      <c r="H5400" s="7">
        <f ca="1">IFERROR(__xludf.DUMMYFUNCTION("""COMPUTED_VALUE"""),530884.4954)</f>
        <v>530884.49540000001</v>
      </c>
    </row>
    <row r="5401" spans="1:8" ht="13" x14ac:dyDescent="0.15">
      <c r="A5401" s="5" t="str">
        <f ca="1">IFERROR(__xludf.DUMMYFUNCTION("""COMPUTED_VALUE"""),"TraderX")</f>
        <v>TraderX</v>
      </c>
      <c r="B5401" s="51">
        <f ca="1">IFERROR(__xludf.DUMMYFUNCTION("""COMPUTED_VALUE"""),44638)</f>
        <v>44638</v>
      </c>
      <c r="C5401" s="22">
        <f ca="1">IFERROR(__xludf.DUMMYFUNCTION("""COMPUTED_VALUE"""),529884.4954)</f>
        <v>529884.49540000001</v>
      </c>
      <c r="D5401" s="22">
        <f ca="1">IFERROR(__xludf.DUMMYFUNCTION("""COMPUTED_VALUE"""),1000)</f>
        <v>1000</v>
      </c>
      <c r="E5401" s="22">
        <f ca="1">IFERROR(__xludf.DUMMYFUNCTION("""COMPUTED_VALUE"""),530884.4954)</f>
        <v>530884.49540000001</v>
      </c>
      <c r="F5401" s="22">
        <f ca="1">IFERROR(__xludf.DUMMYFUNCTION("""COMPUTED_VALUE"""),499000)</f>
        <v>499000</v>
      </c>
      <c r="G5401" s="22">
        <f ca="1">IFERROR(__xludf.DUMMYFUNCTION("""COMPUTED_VALUE"""),0)</f>
        <v>0</v>
      </c>
      <c r="H5401" s="7">
        <f ca="1">IFERROR(__xludf.DUMMYFUNCTION("""COMPUTED_VALUE"""),530884.4954)</f>
        <v>530884.49540000001</v>
      </c>
    </row>
    <row r="5402" spans="1:8" ht="13" x14ac:dyDescent="0.15">
      <c r="A5402" s="5" t="str">
        <f ca="1">IFERROR(__xludf.DUMMYFUNCTION("""COMPUTED_VALUE"""),"TraderX")</f>
        <v>TraderX</v>
      </c>
      <c r="B5402" s="51">
        <f ca="1">IFERROR(__xludf.DUMMYFUNCTION("""COMPUTED_VALUE"""),44639)</f>
        <v>44639</v>
      </c>
      <c r="C5402" s="22">
        <f ca="1">IFERROR(__xludf.DUMMYFUNCTION("""COMPUTED_VALUE"""),529884.4954)</f>
        <v>529884.49540000001</v>
      </c>
      <c r="D5402" s="22">
        <f ca="1">IFERROR(__xludf.DUMMYFUNCTION("""COMPUTED_VALUE"""),1000)</f>
        <v>1000</v>
      </c>
      <c r="E5402" s="22">
        <f ca="1">IFERROR(__xludf.DUMMYFUNCTION("""COMPUTED_VALUE"""),530884.4954)</f>
        <v>530884.49540000001</v>
      </c>
      <c r="F5402" s="22">
        <f ca="1">IFERROR(__xludf.DUMMYFUNCTION("""COMPUTED_VALUE"""),499000)</f>
        <v>499000</v>
      </c>
      <c r="G5402" s="22">
        <f ca="1">IFERROR(__xludf.DUMMYFUNCTION("""COMPUTED_VALUE"""),0)</f>
        <v>0</v>
      </c>
      <c r="H5402" s="7">
        <f ca="1">IFERROR(__xludf.DUMMYFUNCTION("""COMPUTED_VALUE"""),530884.4954)</f>
        <v>530884.49540000001</v>
      </c>
    </row>
    <row r="5403" spans="1:8" ht="13" x14ac:dyDescent="0.15">
      <c r="A5403" s="5" t="str">
        <f ca="1">IFERROR(__xludf.DUMMYFUNCTION("""COMPUTED_VALUE"""),"TraderX")</f>
        <v>TraderX</v>
      </c>
      <c r="B5403" s="51">
        <f ca="1">IFERROR(__xludf.DUMMYFUNCTION("""COMPUTED_VALUE"""),44640)</f>
        <v>44640</v>
      </c>
      <c r="C5403" s="22">
        <f ca="1">IFERROR(__xludf.DUMMYFUNCTION("""COMPUTED_VALUE"""),529884.4954)</f>
        <v>529884.49540000001</v>
      </c>
      <c r="D5403" s="22">
        <f ca="1">IFERROR(__xludf.DUMMYFUNCTION("""COMPUTED_VALUE"""),1000)</f>
        <v>1000</v>
      </c>
      <c r="E5403" s="22">
        <f ca="1">IFERROR(__xludf.DUMMYFUNCTION("""COMPUTED_VALUE"""),530884.4954)</f>
        <v>530884.49540000001</v>
      </c>
      <c r="F5403" s="22">
        <f ca="1">IFERROR(__xludf.DUMMYFUNCTION("""COMPUTED_VALUE"""),499000)</f>
        <v>499000</v>
      </c>
      <c r="G5403" s="22">
        <f ca="1">IFERROR(__xludf.DUMMYFUNCTION("""COMPUTED_VALUE"""),0)</f>
        <v>0</v>
      </c>
      <c r="H5403" s="7">
        <f ca="1">IFERROR(__xludf.DUMMYFUNCTION("""COMPUTED_VALUE"""),530884.4954)</f>
        <v>530884.49540000001</v>
      </c>
    </row>
    <row r="5404" spans="1:8" ht="13" x14ac:dyDescent="0.15">
      <c r="A5404" s="5" t="str">
        <f ca="1">IFERROR(__xludf.DUMMYFUNCTION("""COMPUTED_VALUE"""),"TraderX")</f>
        <v>TraderX</v>
      </c>
      <c r="B5404" s="51">
        <f ca="1">IFERROR(__xludf.DUMMYFUNCTION("""COMPUTED_VALUE"""),44641)</f>
        <v>44641</v>
      </c>
      <c r="C5404" s="22">
        <f ca="1">IFERROR(__xludf.DUMMYFUNCTION("""COMPUTED_VALUE"""),529884.4954)</f>
        <v>529884.49540000001</v>
      </c>
      <c r="D5404" s="22">
        <f ca="1">IFERROR(__xludf.DUMMYFUNCTION("""COMPUTED_VALUE"""),1000)</f>
        <v>1000</v>
      </c>
      <c r="E5404" s="22">
        <f ca="1">IFERROR(__xludf.DUMMYFUNCTION("""COMPUTED_VALUE"""),530884.4954)</f>
        <v>530884.49540000001</v>
      </c>
      <c r="F5404" s="22">
        <f ca="1">IFERROR(__xludf.DUMMYFUNCTION("""COMPUTED_VALUE"""),499000)</f>
        <v>499000</v>
      </c>
      <c r="G5404" s="22">
        <f ca="1">IFERROR(__xludf.DUMMYFUNCTION("""COMPUTED_VALUE"""),0)</f>
        <v>0</v>
      </c>
      <c r="H5404" s="7">
        <f ca="1">IFERROR(__xludf.DUMMYFUNCTION("""COMPUTED_VALUE"""),530884.4954)</f>
        <v>530884.49540000001</v>
      </c>
    </row>
    <row r="5405" spans="1:8" ht="13" x14ac:dyDescent="0.15">
      <c r="A5405" s="5" t="str">
        <f ca="1">IFERROR(__xludf.DUMMYFUNCTION("""COMPUTED_VALUE"""),"TraderX")</f>
        <v>TraderX</v>
      </c>
      <c r="B5405" s="51">
        <f ca="1">IFERROR(__xludf.DUMMYFUNCTION("""COMPUTED_VALUE"""),44642)</f>
        <v>44642</v>
      </c>
      <c r="C5405" s="22">
        <f ca="1">IFERROR(__xludf.DUMMYFUNCTION("""COMPUTED_VALUE"""),529884.4954)</f>
        <v>529884.49540000001</v>
      </c>
      <c r="D5405" s="22">
        <f ca="1">IFERROR(__xludf.DUMMYFUNCTION("""COMPUTED_VALUE"""),1000)</f>
        <v>1000</v>
      </c>
      <c r="E5405" s="22">
        <f ca="1">IFERROR(__xludf.DUMMYFUNCTION("""COMPUTED_VALUE"""),530884.4954)</f>
        <v>530884.49540000001</v>
      </c>
      <c r="F5405" s="22">
        <f ca="1">IFERROR(__xludf.DUMMYFUNCTION("""COMPUTED_VALUE"""),499000)</f>
        <v>499000</v>
      </c>
      <c r="G5405" s="22">
        <f ca="1">IFERROR(__xludf.DUMMYFUNCTION("""COMPUTED_VALUE"""),0)</f>
        <v>0</v>
      </c>
      <c r="H5405" s="7">
        <f ca="1">IFERROR(__xludf.DUMMYFUNCTION("""COMPUTED_VALUE"""),530884.4954)</f>
        <v>530884.49540000001</v>
      </c>
    </row>
    <row r="5406" spans="1:8" ht="13" x14ac:dyDescent="0.15">
      <c r="A5406" s="5" t="str">
        <f ca="1">IFERROR(__xludf.DUMMYFUNCTION("""COMPUTED_VALUE"""),"xiali")</f>
        <v>xiali</v>
      </c>
      <c r="B5406" s="51">
        <f ca="1">IFERROR(__xludf.DUMMYFUNCTION("""COMPUTED_VALUE"""),44634)</f>
        <v>44634</v>
      </c>
      <c r="C5406" s="22">
        <f ca="1">IFERROR(__xludf.DUMMYFUNCTION("""COMPUTED_VALUE"""),0)</f>
        <v>0</v>
      </c>
      <c r="D5406" s="22">
        <f ca="1">IFERROR(__xludf.DUMMYFUNCTION("""COMPUTED_VALUE"""),0)</f>
        <v>0</v>
      </c>
      <c r="E5406" s="22">
        <f ca="1">IFERROR(__xludf.DUMMYFUNCTION("""COMPUTED_VALUE"""),0)</f>
        <v>0</v>
      </c>
      <c r="F5406" s="22">
        <f ca="1">IFERROR(__xludf.DUMMYFUNCTION("""COMPUTED_VALUE"""),0)</f>
        <v>0</v>
      </c>
      <c r="G5406" s="22">
        <f ca="1">IFERROR(__xludf.DUMMYFUNCTION("""COMPUTED_VALUE"""),0)</f>
        <v>0</v>
      </c>
      <c r="H5406" s="7">
        <f ca="1">IFERROR(__xludf.DUMMYFUNCTION("""COMPUTED_VALUE"""),0)</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pageSetUpPr fitToPage="1"/>
  </sheetPr>
  <dimension ref="A1:AC1002"/>
  <sheetViews>
    <sheetView workbookViewId="0">
      <pane ySplit="2" topLeftCell="A6" activePane="bottomLeft" state="frozen"/>
      <selection pane="bottomLeft" activeCell="B4" sqref="B4"/>
    </sheetView>
  </sheetViews>
  <sheetFormatPr baseColWidth="10" defaultColWidth="12.6640625" defaultRowHeight="15.75" customHeight="1" outlineLevelRow="1" x14ac:dyDescent="0.15"/>
  <cols>
    <col min="1" max="1" width="13.5" customWidth="1"/>
    <col min="2" max="3" width="10" customWidth="1"/>
    <col min="4" max="4" width="24.6640625" customWidth="1"/>
    <col min="5" max="5" width="8.1640625" customWidth="1"/>
    <col min="6" max="7" width="8.6640625" customWidth="1"/>
    <col min="8" max="8" width="9.1640625" customWidth="1"/>
    <col min="9" max="9" width="11.1640625" customWidth="1"/>
    <col min="10" max="10" width="18.1640625" customWidth="1"/>
    <col min="11" max="11" width="7.1640625" customWidth="1"/>
    <col min="12" max="12" width="10.83203125" customWidth="1"/>
    <col min="13" max="13" width="6.6640625" customWidth="1"/>
    <col min="14" max="14" width="6.1640625" customWidth="1"/>
    <col min="15" max="15" width="5.1640625" customWidth="1"/>
    <col min="16" max="16" width="6.6640625" customWidth="1"/>
    <col min="17" max="17" width="9" customWidth="1"/>
    <col min="18" max="18" width="9.1640625" customWidth="1"/>
    <col min="19" max="19" width="6.6640625" customWidth="1"/>
    <col min="20" max="20" width="9.33203125" customWidth="1"/>
    <col min="21" max="21" width="9.5" customWidth="1"/>
    <col min="22" max="23" width="8.6640625" customWidth="1"/>
  </cols>
  <sheetData>
    <row r="1" spans="1:29" ht="20" x14ac:dyDescent="0.2">
      <c r="A1" s="52" t="str">
        <f ca="1">IFERROR(__xludf.DUMMYFUNCTION("importrange(""https://docs.google.com/spreadsheets/d/1mvA960mm3QaFyRdwkfIRxhE1UQJl45QEUTnDVxtxiIE/edit?usp=sharing"",""Trade Record by acct!A1:j"" &amp; right(N1,3))"),"Trading Record Summary")</f>
        <v>Trading Record Summary</v>
      </c>
      <c r="B1" s="53"/>
      <c r="C1" s="54"/>
      <c r="D1" s="53"/>
      <c r="E1" s="5" t="str">
        <f ca="1">IFERROR(__xludf.DUMMYFUNCTION("""COMPUTED_VALUE"""),"As of closing day of 2022-3-22")</f>
        <v>As of closing day of 2022-3-22</v>
      </c>
      <c r="F1" s="55"/>
      <c r="G1" s="56"/>
      <c r="H1" s="57"/>
      <c r="I1" s="57"/>
      <c r="J1" s="19"/>
      <c r="K1" s="19"/>
      <c r="L1" s="58"/>
      <c r="M1" s="19"/>
      <c r="N1" s="19" t="str">
        <f ca="1">IFERROR(__xludf.DUMMYFUNCTION("importrange(""https://docs.google.com/spreadsheets/d/1mvA960mm3QaFyRdwkfIRxhE1UQJl45QEUTnDVxtxiIE/edit?usp=sharing"",""Trade Record by acct!n1"")"),"Last row: 765")</f>
        <v>Last row: 765</v>
      </c>
      <c r="O1" s="59"/>
      <c r="P1" s="7"/>
      <c r="Q1" s="55"/>
      <c r="R1" s="55"/>
      <c r="S1" s="7"/>
      <c r="T1" s="55"/>
      <c r="U1" s="7"/>
      <c r="V1" s="55"/>
      <c r="W1" s="60"/>
      <c r="X1" s="55"/>
    </row>
    <row r="2" spans="1:29" ht="70" collapsed="1" x14ac:dyDescent="0.15">
      <c r="A2" s="61" t="str">
        <f ca="1">IFERROR(__xludf.DUMMYFUNCTION("""COMPUTED_VALUE"""),"Acct#")</f>
        <v>Acct#</v>
      </c>
      <c r="B2" s="62" t="str">
        <f ca="1">IFERROR(__xludf.DUMMYFUNCTION("""COMPUTED_VALUE"""),"Date/ Time")</f>
        <v>Date/ Time</v>
      </c>
      <c r="C2" s="61" t="str">
        <f ca="1">IFERROR(__xludf.DUMMYFUNCTION("""COMPUTED_VALUE"""),"Asset Class")</f>
        <v>Asset Class</v>
      </c>
      <c r="D2" s="63" t="str">
        <f ca="1">IFERROR(__xludf.DUMMYFUNCTION("""COMPUTED_VALUE"""),"Ticker Code")</f>
        <v>Ticker Code</v>
      </c>
      <c r="E2" s="63" t="str">
        <f ca="1">IFERROR(__xludf.DUMMYFUNCTION("""COMPUTED_VALUE"""),"Currency")</f>
        <v>Currency</v>
      </c>
      <c r="F2" s="64" t="str">
        <f ca="1">IFERROR(__xludf.DUMMYFUNCTION("""COMPUTED_VALUE"""),"Qty Executed")</f>
        <v>Qty Executed</v>
      </c>
      <c r="G2" s="65" t="str">
        <f ca="1">IFERROR(__xludf.DUMMYFUNCTION("""COMPUTED_VALUE"""),"FX average")</f>
        <v>FX average</v>
      </c>
      <c r="H2" s="66" t="str">
        <f ca="1">IFERROR(__xludf.DUMMYFUNCTION("""COMPUTED_VALUE"""),"Executed price (Local Currency) - Trade day")</f>
        <v>Executed price (Local Currency) - Trade day</v>
      </c>
      <c r="I2" s="67" t="str">
        <f ca="1">IFERROR(__xludf.DUMMYFUNCTION("""COMPUTED_VALUE"""),"Current Price (Local Currency) - Closing day")</f>
        <v>Current Price (Local Currency) - Closing day</v>
      </c>
      <c r="J2" s="68" t="str">
        <f ca="1">IFERROR(__xludf.DUMMYFUNCTION("""COMPUTED_VALUE"""),"Key-Statistics")</f>
        <v>Key-Statistics</v>
      </c>
      <c r="M2" s="19"/>
      <c r="N2" s="19"/>
      <c r="O2" s="19"/>
      <c r="P2" s="7"/>
      <c r="Q2" s="55"/>
      <c r="R2" s="22"/>
      <c r="S2" s="7"/>
      <c r="T2" s="55"/>
      <c r="U2" s="7"/>
      <c r="V2" s="55"/>
      <c r="W2" s="60"/>
      <c r="X2" s="19"/>
      <c r="Z2" s="19"/>
      <c r="AA2" s="19"/>
      <c r="AB2" s="19"/>
      <c r="AC2" s="19"/>
    </row>
    <row r="3" spans="1:29" ht="36" hidden="1" customHeight="1" outlineLevel="1" x14ac:dyDescent="0.15">
      <c r="A3" s="25" t="str">
        <f ca="1">IFERROR(__xludf.DUMMYFUNCTION("""COMPUTED_VALUE"""),"Acct#")</f>
        <v>Acct#</v>
      </c>
      <c r="B3" s="69" t="str">
        <f ca="1">IFERROR(__xludf.DUMMYFUNCTION("""COMPUTED_VALUE"""),"Date/ Time")</f>
        <v>Date/ Time</v>
      </c>
      <c r="C3" s="69" t="str">
        <f ca="1">IFERROR(__xludf.DUMMYFUNCTION("""COMPUTED_VALUE"""),"Asset Class")</f>
        <v>Asset Class</v>
      </c>
      <c r="D3" s="5" t="str">
        <f ca="1">IFERROR(__xludf.DUMMYFUNCTION("""COMPUTED_VALUE"""),"Ticker Code")</f>
        <v>Ticker Code</v>
      </c>
      <c r="E3" s="5" t="str">
        <f ca="1">IFERROR(__xludf.DUMMYFUNCTION("""COMPUTED_VALUE"""),"Currency")</f>
        <v>Currency</v>
      </c>
      <c r="F3" s="55" t="str">
        <f ca="1">IFERROR(__xludf.DUMMYFUNCTION("""COMPUTED_VALUE"""),"Qty Executed")</f>
        <v>Qty Executed</v>
      </c>
      <c r="G3" s="56" t="str">
        <f ca="1">IFERROR(__xludf.DUMMYFUNCTION("""COMPUTED_VALUE"""),"AVERAGE of FX - Value day")</f>
        <v>AVERAGE of FX - Value day</v>
      </c>
      <c r="H3" s="57" t="str">
        <f ca="1">IFERROR(__xludf.DUMMYFUNCTION("""COMPUTED_VALUE"""),"MAX of Executed price (Lcl) - Trade day")</f>
        <v>MAX of Executed price (Lcl) - Trade day</v>
      </c>
      <c r="I3" s="57"/>
      <c r="J3" s="19"/>
      <c r="K3" s="19"/>
      <c r="L3" s="19"/>
      <c r="M3" s="19"/>
      <c r="N3" s="19"/>
      <c r="O3" s="59"/>
      <c r="P3" s="7"/>
      <c r="Q3" s="55"/>
      <c r="R3" s="55"/>
      <c r="S3" s="7"/>
      <c r="T3" s="55"/>
      <c r="U3" s="7"/>
      <c r="V3" s="55"/>
      <c r="W3" s="60"/>
      <c r="X3" s="55"/>
    </row>
    <row r="4" spans="1:29" ht="13" hidden="1" outlineLevel="1" x14ac:dyDescent="0.15">
      <c r="A4" s="25"/>
      <c r="B4" s="5"/>
      <c r="C4" s="69"/>
      <c r="D4" s="5"/>
      <c r="E4" s="5"/>
      <c r="F4" s="55"/>
      <c r="G4" s="56" t="str">
        <f ca="1">IFERROR(__xludf.DUMMYFUNCTION("""COMPUTED_VALUE"""),"#DIV/0!")</f>
        <v>#DIV/0!</v>
      </c>
      <c r="H4" s="57">
        <f ca="1">IFERROR(__xludf.DUMMYFUNCTION("""COMPUTED_VALUE"""),0)</f>
        <v>0</v>
      </c>
      <c r="I4" s="57" t="str">
        <f ca="1">IFERROR(__xludf.DUMMYFUNCTION("""COMPUTED_VALUE"""),"")</f>
        <v/>
      </c>
      <c r="J4" s="19" t="str">
        <f ca="1">IFERROR(__xludf.DUMMYFUNCTION("""COMPUTED_VALUE"""),"")</f>
        <v/>
      </c>
      <c r="K4" s="19"/>
      <c r="L4" s="19"/>
      <c r="M4" s="19"/>
      <c r="N4" s="19"/>
      <c r="O4" s="59"/>
      <c r="P4" s="7"/>
      <c r="Q4" s="55"/>
      <c r="R4" s="55"/>
      <c r="S4" s="7"/>
      <c r="T4" s="55"/>
      <c r="U4" s="7"/>
      <c r="V4" s="55"/>
      <c r="W4" s="60"/>
      <c r="X4" s="55"/>
    </row>
    <row r="5" spans="1:29" ht="13" hidden="1" outlineLevel="1" x14ac:dyDescent="0.15">
      <c r="A5" s="25" t="str">
        <f ca="1">IFERROR(__xludf.DUMMYFUNCTION("""COMPUTED_VALUE""")," Total")</f>
        <v xml:space="preserve"> Total</v>
      </c>
      <c r="B5" s="5"/>
      <c r="C5" s="69"/>
      <c r="D5" s="5"/>
      <c r="E5" s="5"/>
      <c r="F5" s="55"/>
      <c r="G5" s="56" t="str">
        <f ca="1">IFERROR(__xludf.DUMMYFUNCTION("""COMPUTED_VALUE"""),"#DIV/0!")</f>
        <v>#DIV/0!</v>
      </c>
      <c r="H5" s="57">
        <f ca="1">IFERROR(__xludf.DUMMYFUNCTION("""COMPUTED_VALUE"""),0)</f>
        <v>0</v>
      </c>
      <c r="I5" s="57" t="str">
        <f ca="1">IFERROR(__xludf.DUMMYFUNCTION("""COMPUTED_VALUE"""),"")</f>
        <v/>
      </c>
      <c r="J5" s="19" t="str">
        <f ca="1">IFERROR(__xludf.DUMMYFUNCTION("""COMPUTED_VALUE"""),"")</f>
        <v/>
      </c>
      <c r="K5" s="19"/>
      <c r="L5" s="19"/>
      <c r="M5" s="19"/>
      <c r="N5" s="19"/>
      <c r="O5" s="59"/>
      <c r="P5" s="7"/>
      <c r="Q5" s="55"/>
      <c r="R5" s="55"/>
      <c r="S5" s="7"/>
      <c r="T5" s="55"/>
      <c r="U5" s="7"/>
      <c r="V5" s="55"/>
      <c r="W5" s="60"/>
      <c r="X5" s="55"/>
    </row>
    <row r="6" spans="1:29" ht="13" x14ac:dyDescent="0.15">
      <c r="A6" s="25" t="str">
        <f ca="1">IFERROR(__xludf.DUMMYFUNCTION("""COMPUTED_VALUE"""),"14626")</f>
        <v>14626</v>
      </c>
      <c r="B6" s="69">
        <f ca="1">IFERROR(__xludf.DUMMYFUNCTION("""COMPUTED_VALUE"""),44597)</f>
        <v>44597</v>
      </c>
      <c r="C6" s="69" t="str">
        <f ca="1">IFERROR(__xludf.DUMMYFUNCTION("""COMPUTED_VALUE"""),"Cash")</f>
        <v>Cash</v>
      </c>
      <c r="D6" s="5" t="str">
        <f ca="1">IFERROR(__xludf.DUMMYFUNCTION("""COMPUTED_VALUE"""),"Cash")</f>
        <v>Cash</v>
      </c>
      <c r="E6" s="5" t="str">
        <f ca="1">IFERROR(__xludf.DUMMYFUNCTION("""COMPUTED_VALUE"""),"HKD")</f>
        <v>HKD</v>
      </c>
      <c r="F6" s="55" t="str">
        <f ca="1">IFERROR(__xludf.DUMMYFUNCTION("""COMPUTED_VALUE"""),"")</f>
        <v/>
      </c>
      <c r="G6" s="56">
        <f ca="1">IFERROR(__xludf.DUMMYFUNCTION("""COMPUTED_VALUE"""),1)</f>
        <v>1</v>
      </c>
      <c r="H6" s="57">
        <f ca="1">IFERROR(__xludf.DUMMYFUNCTION("""COMPUTED_VALUE"""),1)</f>
        <v>1</v>
      </c>
      <c r="I6" s="57">
        <f ca="1">IFERROR(__xludf.DUMMYFUNCTION("""COMPUTED_VALUE"""),1)</f>
        <v>1</v>
      </c>
      <c r="J6" s="19" t="str">
        <f ca="1">IFERROR(__xludf.DUMMYFUNCTION("""COMPUTED_VALUE"""),"")</f>
        <v/>
      </c>
      <c r="K6" s="19"/>
      <c r="L6" s="19"/>
      <c r="M6" s="19"/>
      <c r="N6" s="19"/>
      <c r="O6" s="59"/>
      <c r="P6" s="7"/>
      <c r="Q6" s="55"/>
      <c r="R6" s="55"/>
      <c r="S6" s="7"/>
      <c r="T6" s="55"/>
      <c r="U6" s="7"/>
      <c r="V6" s="55"/>
      <c r="W6" s="60"/>
      <c r="X6" s="55"/>
    </row>
    <row r="7" spans="1:29" ht="13" x14ac:dyDescent="0.15">
      <c r="A7" s="25" t="str">
        <f ca="1">IFERROR(__xludf.DUMMYFUNCTION("""COMPUTED_VALUE"""),"14626")</f>
        <v>14626</v>
      </c>
      <c r="B7" s="69">
        <f ca="1">IFERROR(__xludf.DUMMYFUNCTION("""COMPUTED_VALUE"""),44617)</f>
        <v>44617</v>
      </c>
      <c r="C7" s="69" t="str">
        <f ca="1">IFERROR(__xludf.DUMMYFUNCTION("""COMPUTED_VALUE"""),"Stock")</f>
        <v>Stock</v>
      </c>
      <c r="D7" s="5" t="str">
        <f ca="1">IFERROR(__xludf.DUMMYFUNCTION("""COMPUTED_VALUE"""),"AAPL")</f>
        <v>AAPL</v>
      </c>
      <c r="E7" s="5" t="str">
        <f ca="1">IFERROR(__xludf.DUMMYFUNCTION("""COMPUTED_VALUE"""),"USD")</f>
        <v>USD</v>
      </c>
      <c r="F7" s="55">
        <f ca="1">IFERROR(__xludf.DUMMYFUNCTION("""COMPUTED_VALUE"""),0)</f>
        <v>0</v>
      </c>
      <c r="G7" s="56">
        <f ca="1">IFERROR(__xludf.DUMMYFUNCTION("""COMPUTED_VALUE"""),7.81980423076923)</f>
        <v>7.8198042307692299</v>
      </c>
      <c r="H7" s="57">
        <f ca="1">IFERROR(__xludf.DUMMYFUNCTION("""COMPUTED_VALUE"""),0)</f>
        <v>0</v>
      </c>
      <c r="I7" s="57">
        <f ca="1">IFERROR(__xludf.DUMMYFUNCTION("""COMPUTED_VALUE"""),170.21)</f>
        <v>170.21</v>
      </c>
      <c r="J7" s="70" t="str">
        <f ca="1">IFERROR(__xludf.DUMMYFUNCTION("""COMPUTED_VALUE"""),"Goto link: AAPL")</f>
        <v>Goto link: AAPL</v>
      </c>
      <c r="K7" s="19"/>
      <c r="L7" s="19"/>
      <c r="M7" s="19"/>
      <c r="N7" s="19"/>
      <c r="O7" s="59"/>
      <c r="P7" s="7"/>
      <c r="Q7" s="55"/>
      <c r="R7" s="55"/>
      <c r="S7" s="7"/>
      <c r="T7" s="55"/>
      <c r="U7" s="7"/>
      <c r="V7" s="55"/>
      <c r="W7" s="60"/>
      <c r="X7" s="55"/>
    </row>
    <row r="8" spans="1:29" ht="13" x14ac:dyDescent="0.15">
      <c r="A8" s="25" t="str">
        <f ca="1">IFERROR(__xludf.DUMMYFUNCTION("""COMPUTED_VALUE"""),"14626")</f>
        <v>14626</v>
      </c>
      <c r="B8" s="69">
        <f ca="1">IFERROR(__xludf.DUMMYFUNCTION("""COMPUTED_VALUE"""),44617)</f>
        <v>44617</v>
      </c>
      <c r="C8" s="69" t="str">
        <f ca="1">IFERROR(__xludf.DUMMYFUNCTION("""COMPUTED_VALUE"""),"Stock")</f>
        <v>Stock</v>
      </c>
      <c r="D8" s="5" t="str">
        <f ca="1">IFERROR(__xludf.DUMMYFUNCTION("""COMPUTED_VALUE"""),"TSLA")</f>
        <v>TSLA</v>
      </c>
      <c r="E8" s="5" t="str">
        <f ca="1">IFERROR(__xludf.DUMMYFUNCTION("""COMPUTED_VALUE"""),"USD")</f>
        <v>USD</v>
      </c>
      <c r="F8" s="55">
        <f ca="1">IFERROR(__xludf.DUMMYFUNCTION("""COMPUTED_VALUE"""),0)</f>
        <v>0</v>
      </c>
      <c r="G8" s="56">
        <f ca="1">IFERROR(__xludf.DUMMYFUNCTION("""COMPUTED_VALUE"""),7.81980423076923)</f>
        <v>7.8198042307692299</v>
      </c>
      <c r="H8" s="57">
        <f ca="1">IFERROR(__xludf.DUMMYFUNCTION("""COMPUTED_VALUE"""),0)</f>
        <v>0</v>
      </c>
      <c r="I8" s="57">
        <f ca="1">IFERROR(__xludf.DUMMYFUNCTION("""COMPUTED_VALUE"""),999.11)</f>
        <v>999.11</v>
      </c>
      <c r="J8" s="70" t="str">
        <f ca="1">IFERROR(__xludf.DUMMYFUNCTION("""COMPUTED_VALUE"""),"Goto link: TSLA")</f>
        <v>Goto link: TSLA</v>
      </c>
      <c r="K8" s="19"/>
      <c r="L8" s="19"/>
      <c r="M8" s="19"/>
      <c r="N8" s="19"/>
      <c r="O8" s="59"/>
      <c r="P8" s="7"/>
      <c r="Q8" s="55"/>
      <c r="R8" s="55"/>
      <c r="S8" s="7"/>
      <c r="T8" s="55"/>
      <c r="U8" s="7"/>
      <c r="V8" s="55"/>
      <c r="W8" s="60"/>
      <c r="X8" s="55"/>
    </row>
    <row r="9" spans="1:29" ht="13" x14ac:dyDescent="0.15">
      <c r="A9" s="25" t="str">
        <f ca="1">IFERROR(__xludf.DUMMYFUNCTION("""COMPUTED_VALUE"""),"14626")</f>
        <v>14626</v>
      </c>
      <c r="B9" s="69">
        <f ca="1">IFERROR(__xludf.DUMMYFUNCTION("""COMPUTED_VALUE"""),44620)</f>
        <v>44620</v>
      </c>
      <c r="C9" s="69" t="str">
        <f ca="1">IFERROR(__xludf.DUMMYFUNCTION("""COMPUTED_VALUE"""),"Stock")</f>
        <v>Stock</v>
      </c>
      <c r="D9" s="5" t="str">
        <f ca="1">IFERROR(__xludf.DUMMYFUNCTION("""COMPUTED_VALUE"""),"TSLA")</f>
        <v>TSLA</v>
      </c>
      <c r="E9" s="5" t="str">
        <f ca="1">IFERROR(__xludf.DUMMYFUNCTION("""COMPUTED_VALUE"""),"USD")</f>
        <v>USD</v>
      </c>
      <c r="F9" s="55">
        <f ca="1">IFERROR(__xludf.DUMMYFUNCTION("""COMPUTED_VALUE"""),0)</f>
        <v>0</v>
      </c>
      <c r="G9" s="56">
        <f ca="1">IFERROR(__xludf.DUMMYFUNCTION("""COMPUTED_VALUE"""),7.82129434782608)</f>
        <v>7.8212943478260799</v>
      </c>
      <c r="H9" s="57">
        <f ca="1">IFERROR(__xludf.DUMMYFUNCTION("""COMPUTED_VALUE"""),0)</f>
        <v>0</v>
      </c>
      <c r="I9" s="57">
        <f ca="1">IFERROR(__xludf.DUMMYFUNCTION("""COMPUTED_VALUE"""),999.11)</f>
        <v>999.11</v>
      </c>
      <c r="J9" s="70" t="str">
        <f ca="1">IFERROR(__xludf.DUMMYFUNCTION("""COMPUTED_VALUE"""),"Goto link: TSLA")</f>
        <v>Goto link: TSLA</v>
      </c>
      <c r="K9" s="19"/>
      <c r="L9" s="19"/>
      <c r="M9" s="19"/>
      <c r="N9" s="19"/>
      <c r="O9" s="59"/>
      <c r="P9" s="7"/>
      <c r="Q9" s="55"/>
      <c r="R9" s="55"/>
      <c r="S9" s="7"/>
      <c r="T9" s="55"/>
      <c r="U9" s="7"/>
      <c r="V9" s="55"/>
      <c r="W9" s="60"/>
      <c r="X9" s="55"/>
    </row>
    <row r="10" spans="1:29" ht="13" x14ac:dyDescent="0.15">
      <c r="A10" s="25" t="str">
        <f ca="1">IFERROR(__xludf.DUMMYFUNCTION("""COMPUTED_VALUE"""),"14626")</f>
        <v>14626</v>
      </c>
      <c r="B10" s="69">
        <f ca="1">IFERROR(__xludf.DUMMYFUNCTION("""COMPUTED_VALUE"""),44621)</f>
        <v>44621</v>
      </c>
      <c r="C10" s="69" t="str">
        <f ca="1">IFERROR(__xludf.DUMMYFUNCTION("""COMPUTED_VALUE"""),"Stock")</f>
        <v>Stock</v>
      </c>
      <c r="D10" s="5" t="str">
        <f ca="1">IFERROR(__xludf.DUMMYFUNCTION("""COMPUTED_VALUE"""),"GC=F")</f>
        <v>GC=F</v>
      </c>
      <c r="E10" s="5" t="str">
        <f ca="1">IFERROR(__xludf.DUMMYFUNCTION("""COMPUTED_VALUE"""),"USD")</f>
        <v>USD</v>
      </c>
      <c r="F10" s="55">
        <f ca="1">IFERROR(__xludf.DUMMYFUNCTION("""COMPUTED_VALUE"""),-10)</f>
        <v>-10</v>
      </c>
      <c r="G10" s="56">
        <f ca="1">IFERROR(__xludf.DUMMYFUNCTION("""COMPUTED_VALUE"""),7.8216509090909)</f>
        <v>7.8216509090909003</v>
      </c>
      <c r="H10" s="57">
        <f ca="1">IFERROR(__xludf.DUMMYFUNCTION("""COMPUTED_VALUE"""),1944)</f>
        <v>1944</v>
      </c>
      <c r="I10" s="57">
        <f ca="1">IFERROR(__xludf.DUMMYFUNCTION("""COMPUTED_VALUE"""),1947.3)</f>
        <v>1947.3</v>
      </c>
      <c r="J10" s="70" t="str">
        <f ca="1">IFERROR(__xludf.DUMMYFUNCTION("""COMPUTED_VALUE"""),"Goto link: GC=F")</f>
        <v>Goto link: GC=F</v>
      </c>
      <c r="K10" s="19"/>
      <c r="L10" s="19"/>
      <c r="M10" s="19"/>
      <c r="N10" s="19"/>
      <c r="O10" s="59"/>
      <c r="P10" s="7"/>
      <c r="Q10" s="55"/>
      <c r="R10" s="55"/>
      <c r="S10" s="7"/>
      <c r="T10" s="55"/>
      <c r="U10" s="7"/>
      <c r="V10" s="55"/>
      <c r="W10" s="60"/>
      <c r="X10" s="55"/>
    </row>
    <row r="11" spans="1:29" ht="13" x14ac:dyDescent="0.15">
      <c r="A11" s="25" t="str">
        <f ca="1">IFERROR(__xludf.DUMMYFUNCTION("""COMPUTED_VALUE"""),"14626")</f>
        <v>14626</v>
      </c>
      <c r="B11" s="69">
        <f ca="1">IFERROR(__xludf.DUMMYFUNCTION("""COMPUTED_VALUE"""),44637)</f>
        <v>44637</v>
      </c>
      <c r="C11" s="69" t="str">
        <f ca="1">IFERROR(__xludf.DUMMYFUNCTION("""COMPUTED_VALUE"""),"Stock")</f>
        <v>Stock</v>
      </c>
      <c r="D11" s="5" t="str">
        <f ca="1">IFERROR(__xludf.DUMMYFUNCTION("""COMPUTED_VALUE"""),"CL=F")</f>
        <v>CL=F</v>
      </c>
      <c r="E11" s="5" t="str">
        <f ca="1">IFERROR(__xludf.DUMMYFUNCTION("""COMPUTED_VALUE"""),"USD")</f>
        <v>USD</v>
      </c>
      <c r="F11" s="55">
        <f ca="1">IFERROR(__xludf.DUMMYFUNCTION("""COMPUTED_VALUE"""),100)</f>
        <v>100</v>
      </c>
      <c r="G11" s="56">
        <f ca="1">IFERROR(__xludf.DUMMYFUNCTION("""COMPUTED_VALUE"""),7.82374916666666)</f>
        <v>7.8237491666666603</v>
      </c>
      <c r="H11" s="57">
        <f ca="1">IFERROR(__xludf.DUMMYFUNCTION("""COMPUTED_VALUE"""),103.36)</f>
        <v>103.36</v>
      </c>
      <c r="I11" s="57">
        <f ca="1">IFERROR(__xludf.DUMMYFUNCTION("""COMPUTED_VALUE"""),115.83)</f>
        <v>115.83</v>
      </c>
      <c r="J11" s="70" t="str">
        <f ca="1">IFERROR(__xludf.DUMMYFUNCTION("""COMPUTED_VALUE"""),"Goto link: CL=F")</f>
        <v>Goto link: CL=F</v>
      </c>
      <c r="K11" s="19"/>
      <c r="L11" s="19"/>
      <c r="M11" s="19"/>
      <c r="N11" s="19"/>
      <c r="O11" s="59"/>
      <c r="P11" s="7"/>
      <c r="Q11" s="55"/>
      <c r="R11" s="55"/>
      <c r="S11" s="7"/>
      <c r="T11" s="55"/>
      <c r="U11" s="7"/>
      <c r="V11" s="55"/>
      <c r="W11" s="60"/>
      <c r="X11" s="55"/>
    </row>
    <row r="12" spans="1:29" ht="13" x14ac:dyDescent="0.15">
      <c r="A12" s="25" t="str">
        <f ca="1">IFERROR(__xludf.DUMMYFUNCTION("""COMPUTED_VALUE"""),"14626")</f>
        <v>14626</v>
      </c>
      <c r="B12" s="69">
        <f ca="1">IFERROR(__xludf.DUMMYFUNCTION("""COMPUTED_VALUE"""),44637)</f>
        <v>44637</v>
      </c>
      <c r="C12" s="69" t="str">
        <f ca="1">IFERROR(__xludf.DUMMYFUNCTION("""COMPUTED_VALUE"""),"Stock")</f>
        <v>Stock</v>
      </c>
      <c r="D12" s="5" t="str">
        <f ca="1">IFERROR(__xludf.DUMMYFUNCTION("""COMPUTED_VALUE"""),"SI=F")</f>
        <v>SI=F</v>
      </c>
      <c r="E12" s="5" t="str">
        <f ca="1">IFERROR(__xludf.DUMMYFUNCTION("""COMPUTED_VALUE"""),"USD")</f>
        <v>USD</v>
      </c>
      <c r="F12" s="55">
        <f ca="1">IFERROR(__xludf.DUMMYFUNCTION("""COMPUTED_VALUE"""),100)</f>
        <v>100</v>
      </c>
      <c r="G12" s="56">
        <f ca="1">IFERROR(__xludf.DUMMYFUNCTION("""COMPUTED_VALUE"""),7.82374916666666)</f>
        <v>7.8237491666666603</v>
      </c>
      <c r="H12" s="57">
        <f ca="1">IFERROR(__xludf.DUMMYFUNCTION("""COMPUTED_VALUE"""),25.455)</f>
        <v>25.454999999999998</v>
      </c>
      <c r="I12" s="57">
        <f ca="1">IFERROR(__xludf.DUMMYFUNCTION("""COMPUTED_VALUE"""),25.355)</f>
        <v>25.355</v>
      </c>
      <c r="J12" s="70" t="str">
        <f ca="1">IFERROR(__xludf.DUMMYFUNCTION("""COMPUTED_VALUE"""),"Goto link: SI=F")</f>
        <v>Goto link: SI=F</v>
      </c>
      <c r="K12" s="19"/>
      <c r="L12" s="19"/>
      <c r="M12" s="19"/>
      <c r="N12" s="19"/>
      <c r="O12" s="59"/>
      <c r="P12" s="7"/>
      <c r="Q12" s="55"/>
      <c r="R12" s="55"/>
      <c r="S12" s="7"/>
      <c r="T12" s="55"/>
      <c r="U12" s="7"/>
      <c r="V12" s="55"/>
      <c r="W12" s="60"/>
      <c r="X12" s="55"/>
    </row>
    <row r="13" spans="1:29" ht="13" x14ac:dyDescent="0.15">
      <c r="A13" s="25" t="str">
        <f ca="1">IFERROR(__xludf.DUMMYFUNCTION("""COMPUTED_VALUE"""),"14626")</f>
        <v>14626</v>
      </c>
      <c r="B13" s="69">
        <f ca="1">IFERROR(__xludf.DUMMYFUNCTION("""COMPUTED_VALUE"""),44638)</f>
        <v>44638</v>
      </c>
      <c r="C13" s="69" t="str">
        <f ca="1">IFERROR(__xludf.DUMMYFUNCTION("""COMPUTED_VALUE"""),"Stock")</f>
        <v>Stock</v>
      </c>
      <c r="D13" s="5" t="str">
        <f ca="1">IFERROR(__xludf.DUMMYFUNCTION("""COMPUTED_VALUE"""),"AAPL")</f>
        <v>AAPL</v>
      </c>
      <c r="E13" s="5" t="str">
        <f ca="1">IFERROR(__xludf.DUMMYFUNCTION("""COMPUTED_VALUE"""),"USD")</f>
        <v>USD</v>
      </c>
      <c r="F13" s="55" t="str">
        <f ca="1">IFERROR(__xludf.DUMMYFUNCTION("""COMPUTED_VALUE"""),"")</f>
        <v/>
      </c>
      <c r="G13" s="56">
        <f ca="1">IFERROR(__xludf.DUMMYFUNCTION("""COMPUTED_VALUE"""),7.825109)</f>
        <v>7.8251090000000003</v>
      </c>
      <c r="H13" s="57">
        <f ca="1">IFERROR(__xludf.DUMMYFUNCTION("""COMPUTED_VALUE"""),163.98)</f>
        <v>163.98</v>
      </c>
      <c r="I13" s="57">
        <f ca="1">IFERROR(__xludf.DUMMYFUNCTION("""COMPUTED_VALUE"""),170.21)</f>
        <v>170.21</v>
      </c>
      <c r="J13" s="70" t="str">
        <f ca="1">IFERROR(__xludf.DUMMYFUNCTION("""COMPUTED_VALUE"""),"Goto link: AAPL")</f>
        <v>Goto link: AAPL</v>
      </c>
      <c r="K13" s="19"/>
      <c r="L13" s="19"/>
      <c r="M13" s="19"/>
      <c r="N13" s="19"/>
      <c r="O13" s="59"/>
      <c r="P13" s="7"/>
      <c r="Q13" s="55"/>
      <c r="R13" s="55"/>
      <c r="S13" s="7"/>
      <c r="T13" s="55"/>
      <c r="U13" s="7"/>
      <c r="V13" s="55"/>
      <c r="W13" s="60"/>
      <c r="X13" s="55"/>
    </row>
    <row r="14" spans="1:29" ht="13" x14ac:dyDescent="0.15">
      <c r="A14" s="25" t="str">
        <f ca="1">IFERROR(__xludf.DUMMYFUNCTION("""COMPUTED_VALUE"""),"14626")</f>
        <v>14626</v>
      </c>
      <c r="B14" s="69">
        <f ca="1">IFERROR(__xludf.DUMMYFUNCTION("""COMPUTED_VALUE"""),44638)</f>
        <v>44638</v>
      </c>
      <c r="C14" s="69" t="str">
        <f ca="1">IFERROR(__xludf.DUMMYFUNCTION("""COMPUTED_VALUE"""),"Stock")</f>
        <v>Stock</v>
      </c>
      <c r="D14" s="5" t="str">
        <f ca="1">IFERROR(__xludf.DUMMYFUNCTION("""COMPUTED_VALUE"""),"ABBV")</f>
        <v>ABBV</v>
      </c>
      <c r="E14" s="5" t="str">
        <f ca="1">IFERROR(__xludf.DUMMYFUNCTION("""COMPUTED_VALUE"""),"USD")</f>
        <v>USD</v>
      </c>
      <c r="F14" s="55" t="str">
        <f ca="1">IFERROR(__xludf.DUMMYFUNCTION("""COMPUTED_VALUE"""),"")</f>
        <v/>
      </c>
      <c r="G14" s="56">
        <f ca="1">IFERROR(__xludf.DUMMYFUNCTION("""COMPUTED_VALUE"""),7.825109)</f>
        <v>7.8251090000000003</v>
      </c>
      <c r="H14" s="57">
        <f ca="1">IFERROR(__xludf.DUMMYFUNCTION("""COMPUTED_VALUE"""),159.2)</f>
        <v>159.19999999999999</v>
      </c>
      <c r="I14" s="57">
        <f ca="1">IFERROR(__xludf.DUMMYFUNCTION("""COMPUTED_VALUE"""),158.42)</f>
        <v>158.41999999999999</v>
      </c>
      <c r="J14" s="70" t="str">
        <f ca="1">IFERROR(__xludf.DUMMYFUNCTION("""COMPUTED_VALUE"""),"Goto link: ABBV")</f>
        <v>Goto link: ABBV</v>
      </c>
      <c r="K14" s="19"/>
      <c r="L14" s="19"/>
      <c r="M14" s="19"/>
      <c r="N14" s="19"/>
      <c r="O14" s="59"/>
      <c r="P14" s="7"/>
      <c r="Q14" s="55"/>
      <c r="R14" s="55"/>
      <c r="S14" s="7"/>
      <c r="T14" s="55"/>
      <c r="U14" s="7"/>
      <c r="V14" s="55"/>
      <c r="W14" s="60"/>
      <c r="X14" s="55"/>
    </row>
    <row r="15" spans="1:29" ht="13" x14ac:dyDescent="0.15">
      <c r="A15" s="25" t="str">
        <f ca="1">IFERROR(__xludf.DUMMYFUNCTION("""COMPUTED_VALUE"""),"14626")</f>
        <v>14626</v>
      </c>
      <c r="B15" s="69">
        <f ca="1">IFERROR(__xludf.DUMMYFUNCTION("""COMPUTED_VALUE"""),44638)</f>
        <v>44638</v>
      </c>
      <c r="C15" s="69" t="str">
        <f ca="1">IFERROR(__xludf.DUMMYFUNCTION("""COMPUTED_VALUE"""),"Stock")</f>
        <v>Stock</v>
      </c>
      <c r="D15" s="5" t="str">
        <f ca="1">IFERROR(__xludf.DUMMYFUNCTION("""COMPUTED_VALUE"""),"AMZN")</f>
        <v>AMZN</v>
      </c>
      <c r="E15" s="5" t="str">
        <f ca="1">IFERROR(__xludf.DUMMYFUNCTION("""COMPUTED_VALUE"""),"USD")</f>
        <v>USD</v>
      </c>
      <c r="F15" s="55" t="str">
        <f ca="1">IFERROR(__xludf.DUMMYFUNCTION("""COMPUTED_VALUE"""),"")</f>
        <v/>
      </c>
      <c r="G15" s="56">
        <f ca="1">IFERROR(__xludf.DUMMYFUNCTION("""COMPUTED_VALUE"""),7.825109)</f>
        <v>7.8251090000000003</v>
      </c>
      <c r="H15" s="57">
        <f ca="1">IFERROR(__xludf.DUMMYFUNCTION("""COMPUTED_VALUE"""),3225.01)</f>
        <v>3225.01</v>
      </c>
      <c r="I15" s="57">
        <f ca="1">IFERROR(__xludf.DUMMYFUNCTION("""COMPUTED_VALUE"""),3268.16)</f>
        <v>3268.16</v>
      </c>
      <c r="J15" s="70" t="str">
        <f ca="1">IFERROR(__xludf.DUMMYFUNCTION("""COMPUTED_VALUE"""),"Goto link: AMZN")</f>
        <v>Goto link: AMZN</v>
      </c>
      <c r="K15" s="19"/>
      <c r="L15" s="19"/>
      <c r="M15" s="19"/>
      <c r="N15" s="19"/>
      <c r="O15" s="59"/>
      <c r="P15" s="7"/>
      <c r="Q15" s="55"/>
      <c r="R15" s="55"/>
      <c r="S15" s="7"/>
      <c r="T15" s="55"/>
      <c r="U15" s="7"/>
      <c r="V15" s="55"/>
      <c r="W15" s="60"/>
      <c r="X15" s="55"/>
    </row>
    <row r="16" spans="1:29" ht="13" x14ac:dyDescent="0.15">
      <c r="A16" s="25" t="str">
        <f ca="1">IFERROR(__xludf.DUMMYFUNCTION("""COMPUTED_VALUE"""),"14626")</f>
        <v>14626</v>
      </c>
      <c r="B16" s="69">
        <f ca="1">IFERROR(__xludf.DUMMYFUNCTION("""COMPUTED_VALUE"""),44638)</f>
        <v>44638</v>
      </c>
      <c r="C16" s="69" t="str">
        <f ca="1">IFERROR(__xludf.DUMMYFUNCTION("""COMPUTED_VALUE"""),"Stock")</f>
        <v>Stock</v>
      </c>
      <c r="D16" s="5" t="str">
        <f ca="1">IFERROR(__xludf.DUMMYFUNCTION("""COMPUTED_VALUE"""),"MSFT")</f>
        <v>MSFT</v>
      </c>
      <c r="E16" s="5" t="str">
        <f ca="1">IFERROR(__xludf.DUMMYFUNCTION("""COMPUTED_VALUE"""),"USD")</f>
        <v>USD</v>
      </c>
      <c r="F16" s="55" t="str">
        <f ca="1">IFERROR(__xludf.DUMMYFUNCTION("""COMPUTED_VALUE"""),"")</f>
        <v/>
      </c>
      <c r="G16" s="56">
        <f ca="1">IFERROR(__xludf.DUMMYFUNCTION("""COMPUTED_VALUE"""),7.825109)</f>
        <v>7.8251090000000003</v>
      </c>
      <c r="H16" s="57">
        <f ca="1">IFERROR(__xludf.DUMMYFUNCTION("""COMPUTED_VALUE"""),300.43)</f>
        <v>300.43</v>
      </c>
      <c r="I16" s="57">
        <f ca="1">IFERROR(__xludf.DUMMYFUNCTION("""COMPUTED_VALUE"""),299.49)</f>
        <v>299.49</v>
      </c>
      <c r="J16" s="70" t="str">
        <f ca="1">IFERROR(__xludf.DUMMYFUNCTION("""COMPUTED_VALUE"""),"Goto link: MSFT")</f>
        <v>Goto link: MSFT</v>
      </c>
      <c r="K16" s="19"/>
      <c r="L16" s="19"/>
      <c r="M16" s="19"/>
      <c r="N16" s="19"/>
      <c r="O16" s="59"/>
      <c r="P16" s="7"/>
      <c r="Q16" s="55"/>
      <c r="R16" s="55"/>
      <c r="S16" s="7"/>
      <c r="T16" s="55"/>
      <c r="U16" s="7"/>
      <c r="V16" s="55"/>
      <c r="W16" s="60"/>
      <c r="X16" s="55"/>
    </row>
    <row r="17" spans="1:24" ht="13" x14ac:dyDescent="0.15">
      <c r="A17" s="25" t="str">
        <f ca="1">IFERROR(__xludf.DUMMYFUNCTION("""COMPUTED_VALUE"""),"14626")</f>
        <v>14626</v>
      </c>
      <c r="B17" s="69">
        <f ca="1">IFERROR(__xludf.DUMMYFUNCTION("""COMPUTED_VALUE"""),44638)</f>
        <v>44638</v>
      </c>
      <c r="C17" s="69" t="str">
        <f ca="1">IFERROR(__xludf.DUMMYFUNCTION("""COMPUTED_VALUE"""),"Stock")</f>
        <v>Stock</v>
      </c>
      <c r="D17" s="5" t="str">
        <f ca="1">IFERROR(__xludf.DUMMYFUNCTION("""COMPUTED_VALUE"""),"OXY")</f>
        <v>OXY</v>
      </c>
      <c r="E17" s="5" t="str">
        <f ca="1">IFERROR(__xludf.DUMMYFUNCTION("""COMPUTED_VALUE"""),"USD")</f>
        <v>USD</v>
      </c>
      <c r="F17" s="55">
        <f ca="1">IFERROR(__xludf.DUMMYFUNCTION("""COMPUTED_VALUE"""),0)</f>
        <v>0</v>
      </c>
      <c r="G17" s="56">
        <f ca="1">IFERROR(__xludf.DUMMYFUNCTION("""COMPUTED_VALUE"""),7.825109)</f>
        <v>7.8251090000000003</v>
      </c>
      <c r="H17" s="57">
        <f ca="1">IFERROR(__xludf.DUMMYFUNCTION("""COMPUTED_VALUE"""),0)</f>
        <v>0</v>
      </c>
      <c r="I17" s="57">
        <f ca="1">IFERROR(__xludf.DUMMYFUNCTION("""COMPUTED_VALUE"""),59.84)</f>
        <v>59.84</v>
      </c>
      <c r="J17" s="70" t="str">
        <f ca="1">IFERROR(__xludf.DUMMYFUNCTION("""COMPUTED_VALUE"""),"Goto link: OXY")</f>
        <v>Goto link: OXY</v>
      </c>
      <c r="K17" s="19"/>
      <c r="L17" s="19"/>
      <c r="M17" s="19"/>
      <c r="N17" s="19"/>
      <c r="O17" s="59"/>
      <c r="P17" s="7"/>
      <c r="Q17" s="55"/>
      <c r="R17" s="55"/>
      <c r="S17" s="7"/>
      <c r="T17" s="55"/>
      <c r="U17" s="7"/>
      <c r="V17" s="55"/>
      <c r="W17" s="60"/>
      <c r="X17" s="55"/>
    </row>
    <row r="18" spans="1:24" ht="13" x14ac:dyDescent="0.15">
      <c r="A18" s="25" t="str">
        <f ca="1">IFERROR(__xludf.DUMMYFUNCTION("""COMPUTED_VALUE"""),"14626")</f>
        <v>14626</v>
      </c>
      <c r="B18" s="69">
        <f ca="1">IFERROR(__xludf.DUMMYFUNCTION("""COMPUTED_VALUE"""),44641)</f>
        <v>44641</v>
      </c>
      <c r="C18" s="69" t="str">
        <f ca="1">IFERROR(__xludf.DUMMYFUNCTION("""COMPUTED_VALUE"""),"Stock")</f>
        <v>Stock</v>
      </c>
      <c r="D18" s="5" t="str">
        <f ca="1">IFERROR(__xludf.DUMMYFUNCTION("""COMPUTED_VALUE"""),"^CMC200")</f>
        <v>^CMC200</v>
      </c>
      <c r="E18" s="5" t="str">
        <f ca="1">IFERROR(__xludf.DUMMYFUNCTION("""COMPUTED_VALUE"""),"USD")</f>
        <v>USD</v>
      </c>
      <c r="F18" s="55" t="str">
        <f ca="1">IFERROR(__xludf.DUMMYFUNCTION("""COMPUTED_VALUE"""),"")</f>
        <v/>
      </c>
      <c r="G18" s="56">
        <f ca="1">IFERROR(__xludf.DUMMYFUNCTION("""COMPUTED_VALUE"""),7.8262)</f>
        <v>7.8262</v>
      </c>
      <c r="H18" s="57">
        <f ca="1">IFERROR(__xludf.DUMMYFUNCTION("""COMPUTED_VALUE"""),941.89)</f>
        <v>941.89</v>
      </c>
      <c r="I18" s="57">
        <f ca="1">IFERROR(__xludf.DUMMYFUNCTION("""COMPUTED_VALUE"""),990.82)</f>
        <v>990.82</v>
      </c>
      <c r="J18" s="70" t="str">
        <f ca="1">IFERROR(__xludf.DUMMYFUNCTION("""COMPUTED_VALUE"""),"Goto link: ^CMC200")</f>
        <v>Goto link: ^CMC200</v>
      </c>
      <c r="K18" s="19"/>
      <c r="L18" s="19"/>
      <c r="M18" s="19"/>
      <c r="N18" s="19"/>
      <c r="O18" s="59"/>
      <c r="P18" s="7"/>
      <c r="Q18" s="55"/>
      <c r="R18" s="55"/>
      <c r="S18" s="7"/>
      <c r="T18" s="55"/>
      <c r="U18" s="7"/>
      <c r="V18" s="55"/>
      <c r="W18" s="60"/>
      <c r="X18" s="55"/>
    </row>
    <row r="19" spans="1:24" ht="13" x14ac:dyDescent="0.15">
      <c r="A19" s="25" t="str">
        <f ca="1">IFERROR(__xludf.DUMMYFUNCTION("""COMPUTED_VALUE"""),"14626")</f>
        <v>14626</v>
      </c>
      <c r="B19" s="69">
        <f ca="1">IFERROR(__xludf.DUMMYFUNCTION("""COMPUTED_VALUE"""),44641)</f>
        <v>44641</v>
      </c>
      <c r="C19" s="69" t="str">
        <f ca="1">IFERROR(__xludf.DUMMYFUNCTION("""COMPUTED_VALUE"""),"Stock")</f>
        <v>Stock</v>
      </c>
      <c r="D19" s="5" t="str">
        <f ca="1">IFERROR(__xludf.DUMMYFUNCTION("""COMPUTED_VALUE"""),"^N225")</f>
        <v>^N225</v>
      </c>
      <c r="E19" s="5" t="str">
        <f ca="1">IFERROR(__xludf.DUMMYFUNCTION("""COMPUTED_VALUE"""),"JPY")</f>
        <v>JPY</v>
      </c>
      <c r="F19" s="55" t="str">
        <f ca="1">IFERROR(__xludf.DUMMYFUNCTION("""COMPUTED_VALUE"""),"")</f>
        <v/>
      </c>
      <c r="G19" s="56">
        <f ca="1">IFERROR(__xludf.DUMMYFUNCTION("""COMPUTED_VALUE"""),0.06495112)</f>
        <v>6.4951120000000001E-2</v>
      </c>
      <c r="H19" s="57">
        <f ca="1">IFERROR(__xludf.DUMMYFUNCTION("""COMPUTED_VALUE"""),27222.93)</f>
        <v>27222.93</v>
      </c>
      <c r="I19" s="57">
        <f ca="1">IFERROR(__xludf.DUMMYFUNCTION("""COMPUTED_VALUE"""),27698.63)</f>
        <v>27698.63</v>
      </c>
      <c r="J19" s="70" t="str">
        <f ca="1">IFERROR(__xludf.DUMMYFUNCTION("""COMPUTED_VALUE"""),"Goto link: ^N225")</f>
        <v>Goto link: ^N225</v>
      </c>
      <c r="K19" s="19"/>
      <c r="L19" s="19"/>
      <c r="M19" s="19"/>
      <c r="N19" s="19"/>
      <c r="O19" s="59"/>
      <c r="P19" s="7"/>
      <c r="Q19" s="55"/>
      <c r="R19" s="55"/>
      <c r="S19" s="7"/>
      <c r="T19" s="55"/>
      <c r="U19" s="7"/>
      <c r="V19" s="55"/>
      <c r="W19" s="60"/>
      <c r="X19" s="55"/>
    </row>
    <row r="20" spans="1:24" ht="13" x14ac:dyDescent="0.15">
      <c r="A20" s="25" t="str">
        <f ca="1">IFERROR(__xludf.DUMMYFUNCTION("""COMPUTED_VALUE"""),"14626")</f>
        <v>14626</v>
      </c>
      <c r="B20" s="69">
        <f ca="1">IFERROR(__xludf.DUMMYFUNCTION("""COMPUTED_VALUE"""),44641)</f>
        <v>44641</v>
      </c>
      <c r="C20" s="69" t="str">
        <f ca="1">IFERROR(__xludf.DUMMYFUNCTION("""COMPUTED_VALUE"""),"Stock")</f>
        <v>Stock</v>
      </c>
      <c r="D20" s="71" t="str">
        <f ca="1">IFERROR(__xludf.DUMMYFUNCTION("""COMPUTED_VALUE"""),"0700.HK")</f>
        <v>0700.HK</v>
      </c>
      <c r="E20" s="5" t="str">
        <f ca="1">IFERROR(__xludf.DUMMYFUNCTION("""COMPUTED_VALUE"""),"HKD")</f>
        <v>HKD</v>
      </c>
      <c r="F20" s="55" t="str">
        <f ca="1">IFERROR(__xludf.DUMMYFUNCTION("""COMPUTED_VALUE"""),"")</f>
        <v/>
      </c>
      <c r="G20" s="56">
        <f ca="1">IFERROR(__xludf.DUMMYFUNCTION("""COMPUTED_VALUE"""),1)</f>
        <v>1</v>
      </c>
      <c r="H20" s="57">
        <f ca="1">IFERROR(__xludf.DUMMYFUNCTION("""COMPUTED_VALUE"""),372.4)</f>
        <v>372.4</v>
      </c>
      <c r="I20" s="57">
        <f ca="1">IFERROR(__xludf.DUMMYFUNCTION("""COMPUTED_VALUE"""),389)</f>
        <v>389</v>
      </c>
      <c r="J20" s="70" t="str">
        <f ca="1">IFERROR(__xludf.DUMMYFUNCTION("""COMPUTED_VALUE"""),"Goto link: 0700.HK")</f>
        <v>Goto link: 0700.HK</v>
      </c>
      <c r="K20" s="19"/>
      <c r="L20" s="19"/>
      <c r="M20" s="19"/>
      <c r="N20" s="19"/>
      <c r="O20" s="59"/>
      <c r="P20" s="7"/>
      <c r="Q20" s="55"/>
      <c r="R20" s="55"/>
      <c r="S20" s="7"/>
      <c r="T20" s="55"/>
      <c r="U20" s="7"/>
      <c r="V20" s="55"/>
      <c r="W20" s="60"/>
      <c r="X20" s="55"/>
    </row>
    <row r="21" spans="1:24" ht="13" x14ac:dyDescent="0.15">
      <c r="A21" s="25" t="str">
        <f ca="1">IFERROR(__xludf.DUMMYFUNCTION("""COMPUTED_VALUE"""),"14626")</f>
        <v>14626</v>
      </c>
      <c r="B21" s="69">
        <f ca="1">IFERROR(__xludf.DUMMYFUNCTION("""COMPUTED_VALUE"""),44641)</f>
        <v>44641</v>
      </c>
      <c r="C21" s="69" t="str">
        <f ca="1">IFERROR(__xludf.DUMMYFUNCTION("""COMPUTED_VALUE"""),"Stock")</f>
        <v>Stock</v>
      </c>
      <c r="D21" s="5" t="str">
        <f ca="1">IFERROR(__xludf.DUMMYFUNCTION("""COMPUTED_VALUE"""),"AMC")</f>
        <v>AMC</v>
      </c>
      <c r="E21" s="5" t="str">
        <f ca="1">IFERROR(__xludf.DUMMYFUNCTION("""COMPUTED_VALUE"""),"USD")</f>
        <v>USD</v>
      </c>
      <c r="F21" s="55" t="str">
        <f ca="1">IFERROR(__xludf.DUMMYFUNCTION("""COMPUTED_VALUE"""),"")</f>
        <v/>
      </c>
      <c r="G21" s="56">
        <f ca="1">IFERROR(__xludf.DUMMYFUNCTION("""COMPUTED_VALUE"""),7.8262)</f>
        <v>7.8262</v>
      </c>
      <c r="H21" s="57">
        <f ca="1">IFERROR(__xludf.DUMMYFUNCTION("""COMPUTED_VALUE"""),15.86)</f>
        <v>15.86</v>
      </c>
      <c r="I21" s="57">
        <f ca="1">IFERROR(__xludf.DUMMYFUNCTION("""COMPUTED_VALUE"""),20.74)</f>
        <v>20.74</v>
      </c>
      <c r="J21" s="70" t="str">
        <f ca="1">IFERROR(__xludf.DUMMYFUNCTION("""COMPUTED_VALUE"""),"Goto link: AMC")</f>
        <v>Goto link: AMC</v>
      </c>
      <c r="K21" s="19"/>
      <c r="L21" s="19"/>
      <c r="M21" s="19"/>
      <c r="N21" s="19"/>
      <c r="O21" s="59"/>
      <c r="P21" s="7"/>
      <c r="Q21" s="55"/>
      <c r="R21" s="55"/>
      <c r="S21" s="7"/>
      <c r="T21" s="55"/>
      <c r="U21" s="7"/>
      <c r="V21" s="55"/>
      <c r="W21" s="60"/>
      <c r="X21" s="55"/>
    </row>
    <row r="22" spans="1:24" ht="13" x14ac:dyDescent="0.15">
      <c r="A22" s="25" t="str">
        <f ca="1">IFERROR(__xludf.DUMMYFUNCTION("""COMPUTED_VALUE"""),"14626")</f>
        <v>14626</v>
      </c>
      <c r="B22" s="69">
        <f ca="1">IFERROR(__xludf.DUMMYFUNCTION("""COMPUTED_VALUE"""),44641)</f>
        <v>44641</v>
      </c>
      <c r="C22" s="69" t="str">
        <f ca="1">IFERROR(__xludf.DUMMYFUNCTION("""COMPUTED_VALUE"""),"Stock")</f>
        <v>Stock</v>
      </c>
      <c r="D22" s="5" t="str">
        <f ca="1">IFERROR(__xludf.DUMMYFUNCTION("""COMPUTED_VALUE"""),"BA")</f>
        <v>BA</v>
      </c>
      <c r="E22" s="5" t="str">
        <f ca="1">IFERROR(__xludf.DUMMYFUNCTION("""COMPUTED_VALUE"""),"USD")</f>
        <v>USD</v>
      </c>
      <c r="F22" s="55" t="str">
        <f ca="1">IFERROR(__xludf.DUMMYFUNCTION("""COMPUTED_VALUE"""),"")</f>
        <v/>
      </c>
      <c r="G22" s="56">
        <f ca="1">IFERROR(__xludf.DUMMYFUNCTION("""COMPUTED_VALUE"""),7.8262)</f>
        <v>7.8262</v>
      </c>
      <c r="H22" s="57">
        <f ca="1">IFERROR(__xludf.DUMMYFUNCTION("""COMPUTED_VALUE"""),185.9)</f>
        <v>185.9</v>
      </c>
      <c r="I22" s="57">
        <f ca="1">IFERROR(__xludf.DUMMYFUNCTION("""COMPUTED_VALUE"""),186.04)</f>
        <v>186.04</v>
      </c>
      <c r="J22" s="70" t="str">
        <f ca="1">IFERROR(__xludf.DUMMYFUNCTION("""COMPUTED_VALUE"""),"Goto link: BA")</f>
        <v>Goto link: BA</v>
      </c>
      <c r="K22" s="19"/>
      <c r="L22" s="19"/>
      <c r="M22" s="19"/>
      <c r="N22" s="19"/>
      <c r="O22" s="59"/>
      <c r="P22" s="7"/>
      <c r="Q22" s="55"/>
      <c r="R22" s="55"/>
      <c r="S22" s="7"/>
      <c r="T22" s="55"/>
      <c r="U22" s="7"/>
      <c r="V22" s="55"/>
      <c r="W22" s="60"/>
      <c r="X22" s="55"/>
    </row>
    <row r="23" spans="1:24" ht="13" x14ac:dyDescent="0.15">
      <c r="A23" s="25" t="str">
        <f ca="1">IFERROR(__xludf.DUMMYFUNCTION("""COMPUTED_VALUE"""),"14626")</f>
        <v>14626</v>
      </c>
      <c r="B23" s="69">
        <f ca="1">IFERROR(__xludf.DUMMYFUNCTION("""COMPUTED_VALUE"""),44641)</f>
        <v>44641</v>
      </c>
      <c r="C23" s="69" t="str">
        <f ca="1">IFERROR(__xludf.DUMMYFUNCTION("""COMPUTED_VALUE"""),"Stock")</f>
        <v>Stock</v>
      </c>
      <c r="D23" s="5" t="str">
        <f ca="1">IFERROR(__xludf.DUMMYFUNCTION("""COMPUTED_VALUE"""),"CL=F")</f>
        <v>CL=F</v>
      </c>
      <c r="E23" s="5" t="str">
        <f ca="1">IFERROR(__xludf.DUMMYFUNCTION("""COMPUTED_VALUE"""),"USD")</f>
        <v>USD</v>
      </c>
      <c r="F23" s="55" t="str">
        <f ca="1">IFERROR(__xludf.DUMMYFUNCTION("""COMPUTED_VALUE"""),"")</f>
        <v/>
      </c>
      <c r="G23" s="56">
        <f ca="1">IFERROR(__xludf.DUMMYFUNCTION("""COMPUTED_VALUE"""),7.8262)</f>
        <v>7.8262</v>
      </c>
      <c r="H23" s="57">
        <f ca="1">IFERROR(__xludf.DUMMYFUNCTION("""COMPUTED_VALUE"""),114.16)</f>
        <v>114.16</v>
      </c>
      <c r="I23" s="57">
        <f ca="1">IFERROR(__xludf.DUMMYFUNCTION("""COMPUTED_VALUE"""),115.83)</f>
        <v>115.83</v>
      </c>
      <c r="J23" s="70" t="str">
        <f ca="1">IFERROR(__xludf.DUMMYFUNCTION("""COMPUTED_VALUE"""),"Goto link: CL=F")</f>
        <v>Goto link: CL=F</v>
      </c>
      <c r="K23" s="19"/>
      <c r="L23" s="19"/>
      <c r="M23" s="19"/>
      <c r="N23" s="19"/>
      <c r="O23" s="59"/>
      <c r="P23" s="7"/>
      <c r="Q23" s="55"/>
      <c r="R23" s="55"/>
      <c r="S23" s="7"/>
      <c r="T23" s="55"/>
      <c r="U23" s="7"/>
      <c r="V23" s="55"/>
      <c r="W23" s="60"/>
      <c r="X23" s="55"/>
    </row>
    <row r="24" spans="1:24" ht="13" x14ac:dyDescent="0.15">
      <c r="A24" s="25" t="str">
        <f ca="1">IFERROR(__xludf.DUMMYFUNCTION("""COMPUTED_VALUE"""),"14626")</f>
        <v>14626</v>
      </c>
      <c r="B24" s="69">
        <f ca="1">IFERROR(__xludf.DUMMYFUNCTION("""COMPUTED_VALUE"""),44641)</f>
        <v>44641</v>
      </c>
      <c r="C24" s="69" t="str">
        <f ca="1">IFERROR(__xludf.DUMMYFUNCTION("""COMPUTED_VALUE"""),"Stock")</f>
        <v>Stock</v>
      </c>
      <c r="D24" s="5" t="str">
        <f ca="1">IFERROR(__xludf.DUMMYFUNCTION("""COMPUTED_VALUE"""),"DIDI")</f>
        <v>DIDI</v>
      </c>
      <c r="E24" s="5" t="str">
        <f ca="1">IFERROR(__xludf.DUMMYFUNCTION("""COMPUTED_VALUE"""),"USD")</f>
        <v>USD</v>
      </c>
      <c r="F24" s="55">
        <f ca="1">IFERROR(__xludf.DUMMYFUNCTION("""COMPUTED_VALUE"""),500)</f>
        <v>500</v>
      </c>
      <c r="G24" s="56">
        <f ca="1">IFERROR(__xludf.DUMMYFUNCTION("""COMPUTED_VALUE"""),7.8262)</f>
        <v>7.8262</v>
      </c>
      <c r="H24" s="57">
        <f ca="1">IFERROR(__xludf.DUMMYFUNCTION("""COMPUTED_VALUE"""),4.16)</f>
        <v>4.16</v>
      </c>
      <c r="I24" s="57">
        <f ca="1">IFERROR(__xludf.DUMMYFUNCTION("""COMPUTED_VALUE"""),3.81)</f>
        <v>3.81</v>
      </c>
      <c r="J24" s="70" t="str">
        <f ca="1">IFERROR(__xludf.DUMMYFUNCTION("""COMPUTED_VALUE"""),"Goto link: DIDI")</f>
        <v>Goto link: DIDI</v>
      </c>
      <c r="K24" s="19"/>
      <c r="L24" s="19"/>
      <c r="M24" s="19"/>
      <c r="N24" s="19"/>
      <c r="O24" s="59"/>
      <c r="P24" s="7"/>
      <c r="Q24" s="55"/>
      <c r="R24" s="55"/>
      <c r="S24" s="7"/>
      <c r="T24" s="55"/>
      <c r="U24" s="7"/>
      <c r="V24" s="55"/>
      <c r="W24" s="60"/>
      <c r="X24" s="55"/>
    </row>
    <row r="25" spans="1:24" ht="13" x14ac:dyDescent="0.15">
      <c r="A25" s="25" t="str">
        <f ca="1">IFERROR(__xludf.DUMMYFUNCTION("""COMPUTED_VALUE"""),"14626")</f>
        <v>14626</v>
      </c>
      <c r="B25" s="69">
        <f ca="1">IFERROR(__xludf.DUMMYFUNCTION("""COMPUTED_VALUE"""),44641)</f>
        <v>44641</v>
      </c>
      <c r="C25" s="69" t="str">
        <f ca="1">IFERROR(__xludf.DUMMYFUNCTION("""COMPUTED_VALUE"""),"Stock")</f>
        <v>Stock</v>
      </c>
      <c r="D25" s="5" t="str">
        <f ca="1">IFERROR(__xludf.DUMMYFUNCTION("""COMPUTED_VALUE"""),"F")</f>
        <v>F</v>
      </c>
      <c r="E25" s="5" t="str">
        <f ca="1">IFERROR(__xludf.DUMMYFUNCTION("""COMPUTED_VALUE"""),"USD")</f>
        <v>USD</v>
      </c>
      <c r="F25" s="55" t="str">
        <f ca="1">IFERROR(__xludf.DUMMYFUNCTION("""COMPUTED_VALUE"""),"")</f>
        <v/>
      </c>
      <c r="G25" s="56">
        <f ca="1">IFERROR(__xludf.DUMMYFUNCTION("""COMPUTED_VALUE"""),7.8262)</f>
        <v>7.8262</v>
      </c>
      <c r="H25" s="57">
        <f ca="1">IFERROR(__xludf.DUMMYFUNCTION("""COMPUTED_VALUE"""),16.48)</f>
        <v>16.48</v>
      </c>
      <c r="I25" s="57">
        <f ca="1">IFERROR(__xludf.DUMMYFUNCTION("""COMPUTED_VALUE"""),16.68)</f>
        <v>16.68</v>
      </c>
      <c r="J25" s="70" t="str">
        <f ca="1">IFERROR(__xludf.DUMMYFUNCTION("""COMPUTED_VALUE"""),"Goto link: F")</f>
        <v>Goto link: F</v>
      </c>
      <c r="K25" s="19"/>
      <c r="L25" s="19"/>
      <c r="M25" s="19"/>
      <c r="N25" s="19"/>
      <c r="O25" s="59"/>
      <c r="P25" s="7"/>
      <c r="Q25" s="55"/>
      <c r="R25" s="55"/>
      <c r="S25" s="7"/>
      <c r="T25" s="55"/>
      <c r="U25" s="7"/>
      <c r="V25" s="55"/>
      <c r="W25" s="60"/>
      <c r="X25" s="55"/>
    </row>
    <row r="26" spans="1:24" ht="13" x14ac:dyDescent="0.15">
      <c r="A26" s="25" t="str">
        <f ca="1">IFERROR(__xludf.DUMMYFUNCTION("""COMPUTED_VALUE"""),"14626")</f>
        <v>14626</v>
      </c>
      <c r="B26" s="69">
        <f ca="1">IFERROR(__xludf.DUMMYFUNCTION("""COMPUTED_VALUE"""),44641)</f>
        <v>44641</v>
      </c>
      <c r="C26" s="69" t="str">
        <f ca="1">IFERROR(__xludf.DUMMYFUNCTION("""COMPUTED_VALUE"""),"Stock")</f>
        <v>Stock</v>
      </c>
      <c r="D26" s="5" t="str">
        <f ca="1">IFERROR(__xludf.DUMMYFUNCTION("""COMPUTED_VALUE"""),"FB")</f>
        <v>FB</v>
      </c>
      <c r="E26" s="5" t="str">
        <f ca="1">IFERROR(__xludf.DUMMYFUNCTION("""COMPUTED_VALUE"""),"USD")</f>
        <v>USD</v>
      </c>
      <c r="F26" s="55" t="str">
        <f ca="1">IFERROR(__xludf.DUMMYFUNCTION("""COMPUTED_VALUE"""),"")</f>
        <v/>
      </c>
      <c r="G26" s="56">
        <f ca="1">IFERROR(__xludf.DUMMYFUNCTION("""COMPUTED_VALUE"""),7.8262)</f>
        <v>7.8262</v>
      </c>
      <c r="H26" s="57">
        <f ca="1">IFERROR(__xludf.DUMMYFUNCTION("""COMPUTED_VALUE"""),211.49)</f>
        <v>211.49</v>
      </c>
      <c r="I26" s="57">
        <f ca="1">IFERROR(__xludf.DUMMYFUNCTION("""COMPUTED_VALUE"""),213.46)</f>
        <v>213.46</v>
      </c>
      <c r="J26" s="70" t="str">
        <f ca="1">IFERROR(__xludf.DUMMYFUNCTION("""COMPUTED_VALUE"""),"Goto link: FB")</f>
        <v>Goto link: FB</v>
      </c>
      <c r="K26" s="19"/>
      <c r="L26" s="19"/>
      <c r="M26" s="19"/>
      <c r="N26" s="19"/>
      <c r="O26" s="59"/>
      <c r="P26" s="7"/>
      <c r="Q26" s="55"/>
      <c r="R26" s="55"/>
      <c r="S26" s="7"/>
      <c r="T26" s="55"/>
      <c r="U26" s="7"/>
      <c r="V26" s="55"/>
      <c r="W26" s="60"/>
      <c r="X26" s="55"/>
    </row>
    <row r="27" spans="1:24" ht="13" x14ac:dyDescent="0.15">
      <c r="A27" s="25" t="str">
        <f ca="1">IFERROR(__xludf.DUMMYFUNCTION("""COMPUTED_VALUE"""),"14626")</f>
        <v>14626</v>
      </c>
      <c r="B27" s="69">
        <f ca="1">IFERROR(__xludf.DUMMYFUNCTION("""COMPUTED_VALUE"""),44641)</f>
        <v>44641</v>
      </c>
      <c r="C27" s="69" t="str">
        <f ca="1">IFERROR(__xludf.DUMMYFUNCTION("""COMPUTED_VALUE"""),"Stock")</f>
        <v>Stock</v>
      </c>
      <c r="D27" s="5" t="str">
        <f ca="1">IFERROR(__xludf.DUMMYFUNCTION("""COMPUTED_VALUE"""),"GOOG")</f>
        <v>GOOG</v>
      </c>
      <c r="E27" s="5" t="str">
        <f ca="1">IFERROR(__xludf.DUMMYFUNCTION("""COMPUTED_VALUE"""),"USD")</f>
        <v>USD</v>
      </c>
      <c r="F27" s="55" t="str">
        <f ca="1">IFERROR(__xludf.DUMMYFUNCTION("""COMPUTED_VALUE"""),"")</f>
        <v/>
      </c>
      <c r="G27" s="56">
        <f ca="1">IFERROR(__xludf.DUMMYFUNCTION("""COMPUTED_VALUE"""),7.8262)</f>
        <v>7.8262</v>
      </c>
      <c r="H27" s="57">
        <f ca="1">IFERROR(__xludf.DUMMYFUNCTION("""COMPUTED_VALUE"""),2729.57)</f>
        <v>2729.57</v>
      </c>
      <c r="I27" s="57">
        <f ca="1">IFERROR(__xludf.DUMMYFUNCTION("""COMPUTED_VALUE"""),2770.07)</f>
        <v>2770.07</v>
      </c>
      <c r="J27" s="70" t="str">
        <f ca="1">IFERROR(__xludf.DUMMYFUNCTION("""COMPUTED_VALUE"""),"Goto link: GOOG")</f>
        <v>Goto link: GOOG</v>
      </c>
      <c r="K27" s="19"/>
      <c r="L27" s="19"/>
      <c r="M27" s="19"/>
      <c r="N27" s="19"/>
      <c r="O27" s="59"/>
      <c r="P27" s="7"/>
      <c r="Q27" s="55"/>
      <c r="R27" s="55"/>
      <c r="S27" s="7"/>
      <c r="T27" s="55"/>
      <c r="U27" s="7"/>
      <c r="V27" s="55"/>
      <c r="W27" s="60"/>
      <c r="X27" s="55"/>
    </row>
    <row r="28" spans="1:24" ht="13" x14ac:dyDescent="0.15">
      <c r="A28" s="25" t="str">
        <f ca="1">IFERROR(__xludf.DUMMYFUNCTION("""COMPUTED_VALUE"""),"14626")</f>
        <v>14626</v>
      </c>
      <c r="B28" s="69">
        <f ca="1">IFERROR(__xludf.DUMMYFUNCTION("""COMPUTED_VALUE"""),44641)</f>
        <v>44641</v>
      </c>
      <c r="C28" s="69" t="str">
        <f ca="1">IFERROR(__xludf.DUMMYFUNCTION("""COMPUTED_VALUE"""),"Stock")</f>
        <v>Stock</v>
      </c>
      <c r="D28" s="5" t="str">
        <f ca="1">IFERROR(__xludf.DUMMYFUNCTION("""COMPUTED_VALUE"""),"LUNA1-USD")</f>
        <v>LUNA1-USD</v>
      </c>
      <c r="E28" s="5" t="str">
        <f ca="1">IFERROR(__xludf.DUMMYFUNCTION("""COMPUTED_VALUE"""),"USD")</f>
        <v>USD</v>
      </c>
      <c r="F28" s="55" t="str">
        <f ca="1">IFERROR(__xludf.DUMMYFUNCTION("""COMPUTED_VALUE"""),"")</f>
        <v/>
      </c>
      <c r="G28" s="56">
        <f ca="1">IFERROR(__xludf.DUMMYFUNCTION("""COMPUTED_VALUE"""),7.8262)</f>
        <v>7.8262</v>
      </c>
      <c r="H28" s="57">
        <f ca="1">IFERROR(__xludf.DUMMYFUNCTION("""COMPUTED_VALUE"""),94.99)</f>
        <v>94.99</v>
      </c>
      <c r="I28" s="57">
        <f ca="1">IFERROR(__xludf.DUMMYFUNCTION("""COMPUTED_VALUE"""),95.3)</f>
        <v>95.3</v>
      </c>
      <c r="J28" s="70" t="str">
        <f ca="1">IFERROR(__xludf.DUMMYFUNCTION("""COMPUTED_VALUE"""),"Goto link: LUNA1-USD")</f>
        <v>Goto link: LUNA1-USD</v>
      </c>
      <c r="K28" s="19"/>
      <c r="L28" s="19"/>
      <c r="M28" s="19"/>
      <c r="N28" s="19"/>
      <c r="O28" s="59"/>
      <c r="P28" s="7"/>
      <c r="Q28" s="55"/>
      <c r="R28" s="55"/>
      <c r="S28" s="7"/>
      <c r="T28" s="55"/>
      <c r="U28" s="7"/>
      <c r="V28" s="55"/>
      <c r="W28" s="60"/>
      <c r="X28" s="55"/>
    </row>
    <row r="29" spans="1:24" ht="13" x14ac:dyDescent="0.15">
      <c r="A29" s="25" t="str">
        <f ca="1">IFERROR(__xludf.DUMMYFUNCTION("""COMPUTED_VALUE"""),"14626")</f>
        <v>14626</v>
      </c>
      <c r="B29" s="69">
        <f ca="1">IFERROR(__xludf.DUMMYFUNCTION("""COMPUTED_VALUE"""),44641)</f>
        <v>44641</v>
      </c>
      <c r="C29" s="69" t="str">
        <f ca="1">IFERROR(__xludf.DUMMYFUNCTION("""COMPUTED_VALUE"""),"Stock")</f>
        <v>Stock</v>
      </c>
      <c r="D29" s="5" t="str">
        <f ca="1">IFERROR(__xludf.DUMMYFUNCTION("""COMPUTED_VALUE"""),"MMM")</f>
        <v>MMM</v>
      </c>
      <c r="E29" s="5" t="str">
        <f ca="1">IFERROR(__xludf.DUMMYFUNCTION("""COMPUTED_VALUE"""),"USD")</f>
        <v>USD</v>
      </c>
      <c r="F29" s="55" t="str">
        <f ca="1">IFERROR(__xludf.DUMMYFUNCTION("""COMPUTED_VALUE"""),"")</f>
        <v/>
      </c>
      <c r="G29" s="56">
        <f ca="1">IFERROR(__xludf.DUMMYFUNCTION("""COMPUTED_VALUE"""),7.8262)</f>
        <v>7.8262</v>
      </c>
      <c r="H29" s="57">
        <f ca="1">IFERROR(__xludf.DUMMYFUNCTION("""COMPUTED_VALUE"""),148.58)</f>
        <v>148.58000000000001</v>
      </c>
      <c r="I29" s="57">
        <f ca="1">IFERROR(__xludf.DUMMYFUNCTION("""COMPUTED_VALUE"""),147.68)</f>
        <v>147.68</v>
      </c>
      <c r="J29" s="70" t="str">
        <f ca="1">IFERROR(__xludf.DUMMYFUNCTION("""COMPUTED_VALUE"""),"Goto link: MMM")</f>
        <v>Goto link: MMM</v>
      </c>
      <c r="K29" s="19"/>
      <c r="L29" s="19"/>
      <c r="M29" s="19"/>
      <c r="N29" s="19"/>
      <c r="O29" s="59"/>
      <c r="P29" s="7"/>
      <c r="Q29" s="55"/>
      <c r="R29" s="55"/>
      <c r="S29" s="7"/>
      <c r="T29" s="55"/>
      <c r="U29" s="7"/>
      <c r="V29" s="55"/>
      <c r="W29" s="60"/>
      <c r="X29" s="55"/>
    </row>
    <row r="30" spans="1:24" ht="13" x14ac:dyDescent="0.15">
      <c r="A30" s="25" t="str">
        <f ca="1">IFERROR(__xludf.DUMMYFUNCTION("""COMPUTED_VALUE"""),"14626")</f>
        <v>14626</v>
      </c>
      <c r="B30" s="69">
        <f ca="1">IFERROR(__xludf.DUMMYFUNCTION("""COMPUTED_VALUE"""),44641)</f>
        <v>44641</v>
      </c>
      <c r="C30" s="69" t="str">
        <f ca="1">IFERROR(__xludf.DUMMYFUNCTION("""COMPUTED_VALUE"""),"Stock")</f>
        <v>Stock</v>
      </c>
      <c r="D30" s="5" t="str">
        <f ca="1">IFERROR(__xludf.DUMMYFUNCTION("""COMPUTED_VALUE"""),"MSFT")</f>
        <v>MSFT</v>
      </c>
      <c r="E30" s="5" t="str">
        <f ca="1">IFERROR(__xludf.DUMMYFUNCTION("""COMPUTED_VALUE"""),"USD")</f>
        <v>USD</v>
      </c>
      <c r="F30" s="55" t="str">
        <f ca="1">IFERROR(__xludf.DUMMYFUNCTION("""COMPUTED_VALUE"""),"")</f>
        <v/>
      </c>
      <c r="G30" s="56">
        <f ca="1">IFERROR(__xludf.DUMMYFUNCTION("""COMPUTED_VALUE"""),7.8262)</f>
        <v>7.8262</v>
      </c>
      <c r="H30" s="57">
        <f ca="1">IFERROR(__xludf.DUMMYFUNCTION("""COMPUTED_VALUE"""),299.16)</f>
        <v>299.16000000000003</v>
      </c>
      <c r="I30" s="57">
        <f ca="1">IFERROR(__xludf.DUMMYFUNCTION("""COMPUTED_VALUE"""),299.49)</f>
        <v>299.49</v>
      </c>
      <c r="J30" s="70" t="str">
        <f ca="1">IFERROR(__xludf.DUMMYFUNCTION("""COMPUTED_VALUE"""),"Goto link: MSFT")</f>
        <v>Goto link: MSFT</v>
      </c>
      <c r="K30" s="19"/>
      <c r="L30" s="19"/>
      <c r="M30" s="19"/>
      <c r="N30" s="19"/>
      <c r="O30" s="59"/>
      <c r="P30" s="7"/>
      <c r="Q30" s="55"/>
      <c r="R30" s="55"/>
      <c r="S30" s="7"/>
      <c r="T30" s="55"/>
      <c r="U30" s="7"/>
      <c r="V30" s="55"/>
      <c r="W30" s="60"/>
      <c r="X30" s="55"/>
    </row>
    <row r="31" spans="1:24" ht="13" x14ac:dyDescent="0.15">
      <c r="A31" s="25" t="str">
        <f ca="1">IFERROR(__xludf.DUMMYFUNCTION("""COMPUTED_VALUE"""),"14626")</f>
        <v>14626</v>
      </c>
      <c r="B31" s="69">
        <f ca="1">IFERROR(__xludf.DUMMYFUNCTION("""COMPUTED_VALUE"""),44641)</f>
        <v>44641</v>
      </c>
      <c r="C31" s="69" t="str">
        <f ca="1">IFERROR(__xludf.DUMMYFUNCTION("""COMPUTED_VALUE"""),"Stock")</f>
        <v>Stock</v>
      </c>
      <c r="D31" s="5" t="str">
        <f ca="1">IFERROR(__xludf.DUMMYFUNCTION("""COMPUTED_VALUE"""),"NFLX")</f>
        <v>NFLX</v>
      </c>
      <c r="E31" s="5" t="str">
        <f ca="1">IFERROR(__xludf.DUMMYFUNCTION("""COMPUTED_VALUE"""),"USD")</f>
        <v>USD</v>
      </c>
      <c r="F31" s="55" t="str">
        <f ca="1">IFERROR(__xludf.DUMMYFUNCTION("""COMPUTED_VALUE"""),"")</f>
        <v/>
      </c>
      <c r="G31" s="56">
        <f ca="1">IFERROR(__xludf.DUMMYFUNCTION("""COMPUTED_VALUE"""),7.8262)</f>
        <v>7.8262</v>
      </c>
      <c r="H31" s="57">
        <f ca="1">IFERROR(__xludf.DUMMYFUNCTION("""COMPUTED_VALUE"""),374.59)</f>
        <v>374.59</v>
      </c>
      <c r="I31" s="57">
        <f ca="1">IFERROR(__xludf.DUMMYFUNCTION("""COMPUTED_VALUE"""),374.49)</f>
        <v>374.49</v>
      </c>
      <c r="J31" s="70" t="str">
        <f ca="1">IFERROR(__xludf.DUMMYFUNCTION("""COMPUTED_VALUE"""),"Goto link: NFLX")</f>
        <v>Goto link: NFLX</v>
      </c>
      <c r="K31" s="19"/>
      <c r="L31" s="19"/>
      <c r="M31" s="19"/>
      <c r="N31" s="19"/>
      <c r="O31" s="59"/>
      <c r="P31" s="7"/>
      <c r="Q31" s="55"/>
      <c r="R31" s="55"/>
      <c r="S31" s="7"/>
      <c r="T31" s="55"/>
      <c r="U31" s="7"/>
      <c r="V31" s="55"/>
      <c r="W31" s="60"/>
      <c r="X31" s="55"/>
    </row>
    <row r="32" spans="1:24" ht="13" x14ac:dyDescent="0.15">
      <c r="A32" s="25" t="str">
        <f ca="1">IFERROR(__xludf.DUMMYFUNCTION("""COMPUTED_VALUE"""),"14626")</f>
        <v>14626</v>
      </c>
      <c r="B32" s="69">
        <f ca="1">IFERROR(__xludf.DUMMYFUNCTION("""COMPUTED_VALUE"""),44641)</f>
        <v>44641</v>
      </c>
      <c r="C32" s="69" t="str">
        <f ca="1">IFERROR(__xludf.DUMMYFUNCTION("""COMPUTED_VALUE"""),"Stock")</f>
        <v>Stock</v>
      </c>
      <c r="D32" s="5" t="str">
        <f ca="1">IFERROR(__xludf.DUMMYFUNCTION("""COMPUTED_VALUE"""),"NKE")</f>
        <v>NKE</v>
      </c>
      <c r="E32" s="5" t="str">
        <f ca="1">IFERROR(__xludf.DUMMYFUNCTION("""COMPUTED_VALUE"""),"USD")</f>
        <v>USD</v>
      </c>
      <c r="F32" s="55" t="str">
        <f ca="1">IFERROR(__xludf.DUMMYFUNCTION("""COMPUTED_VALUE"""),"")</f>
        <v/>
      </c>
      <c r="G32" s="56">
        <f ca="1">IFERROR(__xludf.DUMMYFUNCTION("""COMPUTED_VALUE"""),7.8262)</f>
        <v>7.8262</v>
      </c>
      <c r="H32" s="57">
        <f ca="1">IFERROR(__xludf.DUMMYFUNCTION("""COMPUTED_VALUE"""),130.19)</f>
        <v>130.19</v>
      </c>
      <c r="I32" s="57">
        <f ca="1">IFERROR(__xludf.DUMMYFUNCTION("""COMPUTED_VALUE"""),133)</f>
        <v>133</v>
      </c>
      <c r="J32" s="70" t="str">
        <f ca="1">IFERROR(__xludf.DUMMYFUNCTION("""COMPUTED_VALUE"""),"Goto link: NKE")</f>
        <v>Goto link: NKE</v>
      </c>
      <c r="K32" s="19"/>
      <c r="L32" s="19"/>
      <c r="M32" s="19"/>
      <c r="N32" s="19"/>
      <c r="O32" s="59"/>
      <c r="P32" s="7"/>
      <c r="Q32" s="55"/>
      <c r="R32" s="55"/>
      <c r="S32" s="7"/>
      <c r="T32" s="55"/>
      <c r="U32" s="7"/>
      <c r="V32" s="55"/>
      <c r="W32" s="60"/>
      <c r="X32" s="55"/>
    </row>
    <row r="33" spans="1:24" ht="13" x14ac:dyDescent="0.15">
      <c r="A33" s="25" t="str">
        <f ca="1">IFERROR(__xludf.DUMMYFUNCTION("""COMPUTED_VALUE"""),"14626")</f>
        <v>14626</v>
      </c>
      <c r="B33" s="69">
        <f ca="1">IFERROR(__xludf.DUMMYFUNCTION("""COMPUTED_VALUE"""),44641)</f>
        <v>44641</v>
      </c>
      <c r="C33" s="69" t="str">
        <f ca="1">IFERROR(__xludf.DUMMYFUNCTION("""COMPUTED_VALUE"""),"Stock")</f>
        <v>Stock</v>
      </c>
      <c r="D33" s="5" t="str">
        <f ca="1">IFERROR(__xludf.DUMMYFUNCTION("""COMPUTED_VALUE"""),"NVDA")</f>
        <v>NVDA</v>
      </c>
      <c r="E33" s="5" t="str">
        <f ca="1">IFERROR(__xludf.DUMMYFUNCTION("""COMPUTED_VALUE"""),"USD")</f>
        <v>USD</v>
      </c>
      <c r="F33" s="55" t="str">
        <f ca="1">IFERROR(__xludf.DUMMYFUNCTION("""COMPUTED_VALUE"""),"")</f>
        <v/>
      </c>
      <c r="G33" s="56">
        <f ca="1">IFERROR(__xludf.DUMMYFUNCTION("""COMPUTED_VALUE"""),7.8262)</f>
        <v>7.8262</v>
      </c>
      <c r="H33" s="57">
        <f ca="1">IFERROR(__xludf.DUMMYFUNCTION("""COMPUTED_VALUE"""),267.34)</f>
        <v>267.33999999999997</v>
      </c>
      <c r="I33" s="57">
        <f ca="1">IFERROR(__xludf.DUMMYFUNCTION("""COMPUTED_VALUE"""),256.34)</f>
        <v>256.33999999999997</v>
      </c>
      <c r="J33" s="70" t="str">
        <f ca="1">IFERROR(__xludf.DUMMYFUNCTION("""COMPUTED_VALUE"""),"Goto link: NVDA")</f>
        <v>Goto link: NVDA</v>
      </c>
      <c r="K33" s="19"/>
      <c r="L33" s="19"/>
      <c r="M33" s="19"/>
      <c r="N33" s="19"/>
      <c r="O33" s="59"/>
      <c r="P33" s="7"/>
      <c r="Q33" s="55"/>
      <c r="R33" s="55"/>
      <c r="S33" s="7"/>
      <c r="T33" s="55"/>
      <c r="U33" s="7"/>
      <c r="V33" s="55"/>
      <c r="W33" s="60"/>
      <c r="X33" s="55"/>
    </row>
    <row r="34" spans="1:24" ht="13" x14ac:dyDescent="0.15">
      <c r="A34" s="25" t="str">
        <f ca="1">IFERROR(__xludf.DUMMYFUNCTION("""COMPUTED_VALUE"""),"14626")</f>
        <v>14626</v>
      </c>
      <c r="B34" s="69">
        <f ca="1">IFERROR(__xludf.DUMMYFUNCTION("""COMPUTED_VALUE"""),44641)</f>
        <v>44641</v>
      </c>
      <c r="C34" s="69" t="str">
        <f ca="1">IFERROR(__xludf.DUMMYFUNCTION("""COMPUTED_VALUE"""),"Stock")</f>
        <v>Stock</v>
      </c>
      <c r="D34" s="5" t="str">
        <f ca="1">IFERROR(__xludf.DUMMYFUNCTION("""COMPUTED_VALUE"""),"PFE")</f>
        <v>PFE</v>
      </c>
      <c r="E34" s="5" t="str">
        <f ca="1">IFERROR(__xludf.DUMMYFUNCTION("""COMPUTED_VALUE"""),"USD")</f>
        <v>USD</v>
      </c>
      <c r="F34" s="55">
        <f ca="1">IFERROR(__xludf.DUMMYFUNCTION("""COMPUTED_VALUE"""),1000)</f>
        <v>1000</v>
      </c>
      <c r="G34" s="56">
        <f ca="1">IFERROR(__xludf.DUMMYFUNCTION("""COMPUTED_VALUE"""),7.8262)</f>
        <v>7.8262</v>
      </c>
      <c r="H34" s="57">
        <f ca="1">IFERROR(__xludf.DUMMYFUNCTION("""COMPUTED_VALUE"""),54.19)</f>
        <v>54.19</v>
      </c>
      <c r="I34" s="57">
        <f ca="1">IFERROR(__xludf.DUMMYFUNCTION("""COMPUTED_VALUE"""),52.19)</f>
        <v>52.19</v>
      </c>
      <c r="J34" s="70" t="str">
        <f ca="1">IFERROR(__xludf.DUMMYFUNCTION("""COMPUTED_VALUE"""),"Goto link: PFE")</f>
        <v>Goto link: PFE</v>
      </c>
      <c r="K34" s="19"/>
      <c r="L34" s="19"/>
      <c r="M34" s="19"/>
      <c r="N34" s="19"/>
      <c r="O34" s="59"/>
      <c r="P34" s="7"/>
      <c r="Q34" s="55"/>
      <c r="R34" s="55"/>
      <c r="S34" s="7"/>
      <c r="T34" s="55"/>
      <c r="U34" s="7"/>
      <c r="V34" s="55"/>
      <c r="W34" s="60"/>
      <c r="X34" s="55"/>
    </row>
    <row r="35" spans="1:24" ht="13" x14ac:dyDescent="0.15">
      <c r="A35" s="25" t="str">
        <f ca="1">IFERROR(__xludf.DUMMYFUNCTION("""COMPUTED_VALUE"""),"14626")</f>
        <v>14626</v>
      </c>
      <c r="B35" s="69">
        <f ca="1">IFERROR(__xludf.DUMMYFUNCTION("""COMPUTED_VALUE"""),44641)</f>
        <v>44641</v>
      </c>
      <c r="C35" s="69" t="str">
        <f ca="1">IFERROR(__xludf.DUMMYFUNCTION("""COMPUTED_VALUE"""),"Stock")</f>
        <v>Stock</v>
      </c>
      <c r="D35" s="5" t="str">
        <f ca="1">IFERROR(__xludf.DUMMYFUNCTION("""COMPUTED_VALUE"""),"SHOP")</f>
        <v>SHOP</v>
      </c>
      <c r="E35" s="5" t="str">
        <f ca="1">IFERROR(__xludf.DUMMYFUNCTION("""COMPUTED_VALUE"""),"USD")</f>
        <v>USD</v>
      </c>
      <c r="F35" s="55" t="str">
        <f ca="1">IFERROR(__xludf.DUMMYFUNCTION("""COMPUTED_VALUE"""),"")</f>
        <v/>
      </c>
      <c r="G35" s="56">
        <f ca="1">IFERROR(__xludf.DUMMYFUNCTION("""COMPUTED_VALUE"""),7.8262)</f>
        <v>7.8262</v>
      </c>
      <c r="H35" s="57">
        <f ca="1">IFERROR(__xludf.DUMMYFUNCTION("""COMPUTED_VALUE"""),683.45)</f>
        <v>683.45</v>
      </c>
      <c r="I35" s="57">
        <f ca="1">IFERROR(__xludf.DUMMYFUNCTION("""COMPUTED_VALUE"""),703.59)</f>
        <v>703.59</v>
      </c>
      <c r="J35" s="70" t="str">
        <f ca="1">IFERROR(__xludf.DUMMYFUNCTION("""COMPUTED_VALUE"""),"Goto link: SHOP")</f>
        <v>Goto link: SHOP</v>
      </c>
      <c r="K35" s="19"/>
      <c r="L35" s="19"/>
      <c r="M35" s="19"/>
      <c r="N35" s="19"/>
      <c r="O35" s="59"/>
      <c r="P35" s="7"/>
      <c r="Q35" s="55"/>
      <c r="R35" s="55"/>
      <c r="S35" s="7"/>
      <c r="T35" s="55"/>
      <c r="U35" s="7"/>
      <c r="V35" s="55"/>
      <c r="W35" s="60"/>
      <c r="X35" s="55"/>
    </row>
    <row r="36" spans="1:24" ht="13" x14ac:dyDescent="0.15">
      <c r="A36" s="25" t="str">
        <f ca="1">IFERROR(__xludf.DUMMYFUNCTION("""COMPUTED_VALUE"""),"14626")</f>
        <v>14626</v>
      </c>
      <c r="B36" s="69">
        <f ca="1">IFERROR(__xludf.DUMMYFUNCTION("""COMPUTED_VALUE"""),44641)</f>
        <v>44641</v>
      </c>
      <c r="C36" s="69" t="str">
        <f ca="1">IFERROR(__xludf.DUMMYFUNCTION("""COMPUTED_VALUE"""),"Stock")</f>
        <v>Stock</v>
      </c>
      <c r="D36" s="5" t="str">
        <f ca="1">IFERROR(__xludf.DUMMYFUNCTION("""COMPUTED_VALUE"""),"TSLA")</f>
        <v>TSLA</v>
      </c>
      <c r="E36" s="5" t="str">
        <f ca="1">IFERROR(__xludf.DUMMYFUNCTION("""COMPUTED_VALUE"""),"USD")</f>
        <v>USD</v>
      </c>
      <c r="F36" s="55" t="str">
        <f ca="1">IFERROR(__xludf.DUMMYFUNCTION("""COMPUTED_VALUE"""),"")</f>
        <v/>
      </c>
      <c r="G36" s="56">
        <f ca="1">IFERROR(__xludf.DUMMYFUNCTION("""COMPUTED_VALUE"""),7.8262)</f>
        <v>7.8262</v>
      </c>
      <c r="H36" s="57">
        <f ca="1">IFERROR(__xludf.DUMMYFUNCTION("""COMPUTED_VALUE"""),921.16)</f>
        <v>921.16</v>
      </c>
      <c r="I36" s="57">
        <f ca="1">IFERROR(__xludf.DUMMYFUNCTION("""COMPUTED_VALUE"""),999.11)</f>
        <v>999.11</v>
      </c>
      <c r="J36" s="70" t="str">
        <f ca="1">IFERROR(__xludf.DUMMYFUNCTION("""COMPUTED_VALUE"""),"Goto link: TSLA")</f>
        <v>Goto link: TSLA</v>
      </c>
      <c r="K36" s="19"/>
      <c r="L36" s="19"/>
      <c r="M36" s="19"/>
      <c r="N36" s="19"/>
      <c r="O36" s="59"/>
      <c r="P36" s="7"/>
      <c r="Q36" s="55"/>
      <c r="R36" s="55"/>
      <c r="S36" s="7"/>
      <c r="T36" s="55"/>
      <c r="U36" s="7"/>
      <c r="V36" s="55"/>
      <c r="W36" s="60"/>
      <c r="X36" s="55"/>
    </row>
    <row r="37" spans="1:24" ht="13" x14ac:dyDescent="0.15">
      <c r="A37" s="25" t="str">
        <f ca="1">IFERROR(__xludf.DUMMYFUNCTION("""COMPUTED_VALUE"""),"14626")</f>
        <v>14626</v>
      </c>
      <c r="B37" s="69">
        <f ca="1">IFERROR(__xludf.DUMMYFUNCTION("""COMPUTED_VALUE"""),44642)</f>
        <v>44642</v>
      </c>
      <c r="C37" s="69" t="str">
        <f ca="1">IFERROR(__xludf.DUMMYFUNCTION("""COMPUTED_VALUE"""),"Stock")</f>
        <v>Stock</v>
      </c>
      <c r="D37" s="5" t="str">
        <f ca="1">IFERROR(__xludf.DUMMYFUNCTION("""COMPUTED_VALUE"""),"BA")</f>
        <v>BA</v>
      </c>
      <c r="E37" s="5" t="str">
        <f ca="1">IFERROR(__xludf.DUMMYFUNCTION("""COMPUTED_VALUE"""),"USD")</f>
        <v>USD</v>
      </c>
      <c r="F37" s="55" t="str">
        <f ca="1">IFERROR(__xludf.DUMMYFUNCTION("""COMPUTED_VALUE"""),"")</f>
        <v/>
      </c>
      <c r="G37" s="56">
        <f ca="1">IFERROR(__xludf.DUMMYFUNCTION("""COMPUTED_VALUE"""),7.82695)</f>
        <v>7.8269500000000001</v>
      </c>
      <c r="H37" s="57">
        <f ca="1">IFERROR(__xludf.DUMMYFUNCTION("""COMPUTED_VALUE"""),191.04)</f>
        <v>191.04</v>
      </c>
      <c r="I37" s="57">
        <f ca="1">IFERROR(__xludf.DUMMYFUNCTION("""COMPUTED_VALUE"""),186.04)</f>
        <v>186.04</v>
      </c>
      <c r="J37" s="70" t="str">
        <f ca="1">IFERROR(__xludf.DUMMYFUNCTION("""COMPUTED_VALUE"""),"Goto link: BA")</f>
        <v>Goto link: BA</v>
      </c>
      <c r="K37" s="19"/>
      <c r="L37" s="19"/>
      <c r="M37" s="19"/>
      <c r="N37" s="19"/>
      <c r="O37" s="59"/>
      <c r="P37" s="7"/>
      <c r="Q37" s="55"/>
      <c r="R37" s="55"/>
      <c r="S37" s="7"/>
      <c r="T37" s="55"/>
      <c r="U37" s="7"/>
      <c r="V37" s="55"/>
      <c r="W37" s="60"/>
      <c r="X37" s="55"/>
    </row>
    <row r="38" spans="1:24" ht="13" x14ac:dyDescent="0.15">
      <c r="A38" s="25" t="str">
        <f ca="1">IFERROR(__xludf.DUMMYFUNCTION("""COMPUTED_VALUE"""),"14626")</f>
        <v>14626</v>
      </c>
      <c r="B38" s="69">
        <f ca="1">IFERROR(__xludf.DUMMYFUNCTION("""COMPUTED_VALUE"""),44642)</f>
        <v>44642</v>
      </c>
      <c r="C38" s="69" t="str">
        <f ca="1">IFERROR(__xludf.DUMMYFUNCTION("""COMPUTED_VALUE"""),"Stock")</f>
        <v>Stock</v>
      </c>
      <c r="D38" s="5" t="str">
        <f ca="1">IFERROR(__xludf.DUMMYFUNCTION("""COMPUTED_VALUE"""),"BRK-B")</f>
        <v>BRK-B</v>
      </c>
      <c r="E38" s="5" t="str">
        <f ca="1">IFERROR(__xludf.DUMMYFUNCTION("""COMPUTED_VALUE"""),"USD")</f>
        <v>USD</v>
      </c>
      <c r="F38" s="55" t="str">
        <f ca="1">IFERROR(__xludf.DUMMYFUNCTION("""COMPUTED_VALUE"""),"")</f>
        <v/>
      </c>
      <c r="G38" s="56">
        <f ca="1">IFERROR(__xludf.DUMMYFUNCTION("""COMPUTED_VALUE"""),7.82695)</f>
        <v>7.8269500000000001</v>
      </c>
      <c r="H38" s="57">
        <f ca="1">IFERROR(__xludf.DUMMYFUNCTION("""COMPUTED_VALUE"""),349.93)</f>
        <v>349.93</v>
      </c>
      <c r="I38" s="57">
        <f ca="1">IFERROR(__xludf.DUMMYFUNCTION("""COMPUTED_VALUE"""),348.16)</f>
        <v>348.16</v>
      </c>
      <c r="J38" s="70" t="str">
        <f ca="1">IFERROR(__xludf.DUMMYFUNCTION("""COMPUTED_VALUE"""),"Goto link: BRK-B")</f>
        <v>Goto link: BRK-B</v>
      </c>
      <c r="K38" s="19"/>
      <c r="L38" s="19"/>
      <c r="M38" s="19"/>
      <c r="N38" s="19"/>
      <c r="O38" s="59"/>
      <c r="P38" s="7"/>
      <c r="Q38" s="55"/>
      <c r="R38" s="55"/>
      <c r="S38" s="7"/>
      <c r="T38" s="55"/>
      <c r="U38" s="7"/>
      <c r="V38" s="55"/>
      <c r="W38" s="60"/>
      <c r="X38" s="55"/>
    </row>
    <row r="39" spans="1:24" ht="13" x14ac:dyDescent="0.15">
      <c r="A39" s="25" t="str">
        <f ca="1">IFERROR(__xludf.DUMMYFUNCTION("""COMPUTED_VALUE"""),"14626")</f>
        <v>14626</v>
      </c>
      <c r="B39" s="69">
        <f ca="1">IFERROR(__xludf.DUMMYFUNCTION("""COMPUTED_VALUE"""),44642)</f>
        <v>44642</v>
      </c>
      <c r="C39" s="69" t="str">
        <f ca="1">IFERROR(__xludf.DUMMYFUNCTION("""COMPUTED_VALUE"""),"Stock")</f>
        <v>Stock</v>
      </c>
      <c r="D39" s="5" t="str">
        <f ca="1">IFERROR(__xludf.DUMMYFUNCTION("""COMPUTED_VALUE"""),"F")</f>
        <v>F</v>
      </c>
      <c r="E39" s="5" t="str">
        <f ca="1">IFERROR(__xludf.DUMMYFUNCTION("""COMPUTED_VALUE"""),"USD")</f>
        <v>USD</v>
      </c>
      <c r="F39" s="55">
        <f ca="1">IFERROR(__xludf.DUMMYFUNCTION("""COMPUTED_VALUE"""),-100)</f>
        <v>-100</v>
      </c>
      <c r="G39" s="56">
        <f ca="1">IFERROR(__xludf.DUMMYFUNCTION("""COMPUTED_VALUE"""),7.82695)</f>
        <v>7.8269500000000001</v>
      </c>
      <c r="H39" s="57">
        <f ca="1">IFERROR(__xludf.DUMMYFUNCTION("""COMPUTED_VALUE"""),17.09)</f>
        <v>17.09</v>
      </c>
      <c r="I39" s="57">
        <f ca="1">IFERROR(__xludf.DUMMYFUNCTION("""COMPUTED_VALUE"""),16.68)</f>
        <v>16.68</v>
      </c>
      <c r="J39" s="70" t="str">
        <f ca="1">IFERROR(__xludf.DUMMYFUNCTION("""COMPUTED_VALUE"""),"Goto link: F")</f>
        <v>Goto link: F</v>
      </c>
      <c r="K39" s="19"/>
      <c r="L39" s="19"/>
      <c r="M39" s="19"/>
      <c r="N39" s="19"/>
      <c r="O39" s="59"/>
      <c r="P39" s="7"/>
      <c r="Q39" s="55"/>
      <c r="R39" s="55"/>
      <c r="S39" s="7"/>
      <c r="T39" s="55"/>
      <c r="U39" s="7"/>
      <c r="V39" s="55"/>
      <c r="W39" s="60"/>
      <c r="X39" s="55"/>
    </row>
    <row r="40" spans="1:24" ht="13" x14ac:dyDescent="0.15">
      <c r="A40" s="25" t="str">
        <f ca="1">IFERROR(__xludf.DUMMYFUNCTION("""COMPUTED_VALUE"""),"14626")</f>
        <v>14626</v>
      </c>
      <c r="B40" s="69">
        <f ca="1">IFERROR(__xludf.DUMMYFUNCTION("""COMPUTED_VALUE"""),44642)</f>
        <v>44642</v>
      </c>
      <c r="C40" s="69" t="str">
        <f ca="1">IFERROR(__xludf.DUMMYFUNCTION("""COMPUTED_VALUE"""),"Stock")</f>
        <v>Stock</v>
      </c>
      <c r="D40" s="5" t="str">
        <f ca="1">IFERROR(__xludf.DUMMYFUNCTION("""COMPUTED_VALUE"""),"FB")</f>
        <v>FB</v>
      </c>
      <c r="E40" s="5" t="str">
        <f ca="1">IFERROR(__xludf.DUMMYFUNCTION("""COMPUTED_VALUE"""),"USD")</f>
        <v>USD</v>
      </c>
      <c r="F40" s="55" t="str">
        <f ca="1">IFERROR(__xludf.DUMMYFUNCTION("""COMPUTED_VALUE"""),"")</f>
        <v/>
      </c>
      <c r="G40" s="56">
        <f ca="1">IFERROR(__xludf.DUMMYFUNCTION("""COMPUTED_VALUE"""),7.82695)</f>
        <v>7.8269500000000001</v>
      </c>
      <c r="H40" s="57">
        <f ca="1">IFERROR(__xludf.DUMMYFUNCTION("""COMPUTED_VALUE"""),216.65)</f>
        <v>216.65</v>
      </c>
      <c r="I40" s="57">
        <f ca="1">IFERROR(__xludf.DUMMYFUNCTION("""COMPUTED_VALUE"""),213.46)</f>
        <v>213.46</v>
      </c>
      <c r="J40" s="70" t="str">
        <f ca="1">IFERROR(__xludf.DUMMYFUNCTION("""COMPUTED_VALUE"""),"Goto link: FB")</f>
        <v>Goto link: FB</v>
      </c>
      <c r="K40" s="19"/>
      <c r="L40" s="19"/>
      <c r="M40" s="19"/>
      <c r="N40" s="19"/>
      <c r="O40" s="59"/>
      <c r="P40" s="7"/>
      <c r="Q40" s="55"/>
      <c r="R40" s="55"/>
      <c r="S40" s="7"/>
      <c r="T40" s="55"/>
      <c r="U40" s="7"/>
      <c r="V40" s="55"/>
      <c r="W40" s="60"/>
      <c r="X40" s="55"/>
    </row>
    <row r="41" spans="1:24" ht="13" x14ac:dyDescent="0.15">
      <c r="A41" s="25" t="str">
        <f ca="1">IFERROR(__xludf.DUMMYFUNCTION("""COMPUTED_VALUE"""),"14626")</f>
        <v>14626</v>
      </c>
      <c r="B41" s="69">
        <f ca="1">IFERROR(__xludf.DUMMYFUNCTION("""COMPUTED_VALUE"""),44642)</f>
        <v>44642</v>
      </c>
      <c r="C41" s="69" t="str">
        <f ca="1">IFERROR(__xludf.DUMMYFUNCTION("""COMPUTED_VALUE"""),"Stock")</f>
        <v>Stock</v>
      </c>
      <c r="D41" s="5" t="str">
        <f ca="1">IFERROR(__xludf.DUMMYFUNCTION("""COMPUTED_VALUE"""),"GOOG")</f>
        <v>GOOG</v>
      </c>
      <c r="E41" s="5" t="str">
        <f ca="1">IFERROR(__xludf.DUMMYFUNCTION("""COMPUTED_VALUE"""),"USD")</f>
        <v>USD</v>
      </c>
      <c r="F41" s="55" t="str">
        <f ca="1">IFERROR(__xludf.DUMMYFUNCTION("""COMPUTED_VALUE"""),"")</f>
        <v/>
      </c>
      <c r="G41" s="56">
        <f ca="1">IFERROR(__xludf.DUMMYFUNCTION("""COMPUTED_VALUE"""),7.82695)</f>
        <v>7.8269500000000001</v>
      </c>
      <c r="H41" s="57">
        <f ca="1">IFERROR(__xludf.DUMMYFUNCTION("""COMPUTED_VALUE"""),2805.55)</f>
        <v>2805.55</v>
      </c>
      <c r="I41" s="57">
        <f ca="1">IFERROR(__xludf.DUMMYFUNCTION("""COMPUTED_VALUE"""),2770.07)</f>
        <v>2770.07</v>
      </c>
      <c r="J41" s="70" t="str">
        <f ca="1">IFERROR(__xludf.DUMMYFUNCTION("""COMPUTED_VALUE"""),"Goto link: GOOG")</f>
        <v>Goto link: GOOG</v>
      </c>
      <c r="K41" s="19"/>
      <c r="L41" s="19"/>
      <c r="M41" s="19"/>
      <c r="N41" s="19"/>
      <c r="O41" s="59"/>
      <c r="P41" s="7"/>
      <c r="Q41" s="55"/>
      <c r="R41" s="55"/>
      <c r="S41" s="7"/>
      <c r="T41" s="55"/>
      <c r="U41" s="7"/>
      <c r="V41" s="55"/>
      <c r="W41" s="60"/>
      <c r="X41" s="55"/>
    </row>
    <row r="42" spans="1:24" ht="13" x14ac:dyDescent="0.15">
      <c r="A42" s="25" t="str">
        <f ca="1">IFERROR(__xludf.DUMMYFUNCTION("""COMPUTED_VALUE"""),"14626")</f>
        <v>14626</v>
      </c>
      <c r="B42" s="69">
        <f ca="1">IFERROR(__xludf.DUMMYFUNCTION("""COMPUTED_VALUE"""),44642)</f>
        <v>44642</v>
      </c>
      <c r="C42" s="69" t="str">
        <f ca="1">IFERROR(__xludf.DUMMYFUNCTION("""COMPUTED_VALUE"""),"Stock")</f>
        <v>Stock</v>
      </c>
      <c r="D42" s="5" t="str">
        <f ca="1">IFERROR(__xludf.DUMMYFUNCTION("""COMPUTED_VALUE"""),"MSFT")</f>
        <v>MSFT</v>
      </c>
      <c r="E42" s="5" t="str">
        <f ca="1">IFERROR(__xludf.DUMMYFUNCTION("""COMPUTED_VALUE"""),"USD")</f>
        <v>USD</v>
      </c>
      <c r="F42" s="55" t="str">
        <f ca="1">IFERROR(__xludf.DUMMYFUNCTION("""COMPUTED_VALUE"""),"")</f>
        <v/>
      </c>
      <c r="G42" s="56">
        <f ca="1">IFERROR(__xludf.DUMMYFUNCTION("""COMPUTED_VALUE"""),7.82695)</f>
        <v>7.8269500000000001</v>
      </c>
      <c r="H42" s="57">
        <f ca="1">IFERROR(__xludf.DUMMYFUNCTION("""COMPUTED_VALUE"""),304.06)</f>
        <v>304.06</v>
      </c>
      <c r="I42" s="57">
        <f ca="1">IFERROR(__xludf.DUMMYFUNCTION("""COMPUTED_VALUE"""),299.49)</f>
        <v>299.49</v>
      </c>
      <c r="J42" s="70" t="str">
        <f ca="1">IFERROR(__xludf.DUMMYFUNCTION("""COMPUTED_VALUE"""),"Goto link: MSFT")</f>
        <v>Goto link: MSFT</v>
      </c>
      <c r="K42" s="19"/>
      <c r="L42" s="19"/>
      <c r="M42" s="19"/>
      <c r="N42" s="19"/>
      <c r="O42" s="59"/>
      <c r="P42" s="7"/>
      <c r="Q42" s="55"/>
      <c r="R42" s="55"/>
      <c r="S42" s="7"/>
      <c r="T42" s="55"/>
      <c r="U42" s="7"/>
      <c r="V42" s="55"/>
      <c r="W42" s="60"/>
      <c r="X42" s="55"/>
    </row>
    <row r="43" spans="1:24" ht="13" x14ac:dyDescent="0.15">
      <c r="A43" s="25" t="str">
        <f ca="1">IFERROR(__xludf.DUMMYFUNCTION("""COMPUTED_VALUE"""),"14626")</f>
        <v>14626</v>
      </c>
      <c r="B43" s="69">
        <f ca="1">IFERROR(__xludf.DUMMYFUNCTION("""COMPUTED_VALUE"""),44642)</f>
        <v>44642</v>
      </c>
      <c r="C43" s="69" t="str">
        <f ca="1">IFERROR(__xludf.DUMMYFUNCTION("""COMPUTED_VALUE"""),"Stock")</f>
        <v>Stock</v>
      </c>
      <c r="D43" s="5" t="str">
        <f ca="1">IFERROR(__xludf.DUMMYFUNCTION("""COMPUTED_VALUE"""),"OXY")</f>
        <v>OXY</v>
      </c>
      <c r="E43" s="5" t="str">
        <f ca="1">IFERROR(__xludf.DUMMYFUNCTION("""COMPUTED_VALUE"""),"USD")</f>
        <v>USD</v>
      </c>
      <c r="F43" s="55" t="str">
        <f ca="1">IFERROR(__xludf.DUMMYFUNCTION("""COMPUTED_VALUE"""),"")</f>
        <v/>
      </c>
      <c r="G43" s="56">
        <f ca="1">IFERROR(__xludf.DUMMYFUNCTION("""COMPUTED_VALUE"""),7.82695)</f>
        <v>7.8269500000000001</v>
      </c>
      <c r="H43" s="57">
        <f ca="1">IFERROR(__xludf.DUMMYFUNCTION("""COMPUTED_VALUE"""),59.64)</f>
        <v>59.64</v>
      </c>
      <c r="I43" s="57">
        <f ca="1">IFERROR(__xludf.DUMMYFUNCTION("""COMPUTED_VALUE"""),59.84)</f>
        <v>59.84</v>
      </c>
      <c r="J43" s="70" t="str">
        <f ca="1">IFERROR(__xludf.DUMMYFUNCTION("""COMPUTED_VALUE"""),"Goto link: OXY")</f>
        <v>Goto link: OXY</v>
      </c>
      <c r="K43" s="19"/>
      <c r="L43" s="19"/>
      <c r="M43" s="19"/>
      <c r="N43" s="19"/>
      <c r="O43" s="59"/>
      <c r="P43" s="7"/>
      <c r="Q43" s="55"/>
      <c r="R43" s="55"/>
      <c r="S43" s="7"/>
      <c r="T43" s="55"/>
      <c r="U43" s="7"/>
      <c r="V43" s="55"/>
      <c r="W43" s="60"/>
      <c r="X43" s="55"/>
    </row>
    <row r="44" spans="1:24" ht="13" x14ac:dyDescent="0.15">
      <c r="A44" s="25" t="str">
        <f ca="1">IFERROR(__xludf.DUMMYFUNCTION("""COMPUTED_VALUE"""),"14626")</f>
        <v>14626</v>
      </c>
      <c r="B44" s="69">
        <f ca="1">IFERROR(__xludf.DUMMYFUNCTION("""COMPUTED_VALUE"""),44642)</f>
        <v>44642</v>
      </c>
      <c r="C44" s="69" t="str">
        <f ca="1">IFERROR(__xludf.DUMMYFUNCTION("""COMPUTED_VALUE"""),"Stock")</f>
        <v>Stock</v>
      </c>
      <c r="D44" s="5" t="str">
        <f ca="1">IFERROR(__xludf.DUMMYFUNCTION("""COMPUTED_VALUE"""),"PFE")</f>
        <v>PFE</v>
      </c>
      <c r="E44" s="5" t="str">
        <f ca="1">IFERROR(__xludf.DUMMYFUNCTION("""COMPUTED_VALUE"""),"USD")</f>
        <v>USD</v>
      </c>
      <c r="F44" s="55" t="str">
        <f ca="1">IFERROR(__xludf.DUMMYFUNCTION("""COMPUTED_VALUE"""),"")</f>
        <v/>
      </c>
      <c r="G44" s="56">
        <f ca="1">IFERROR(__xludf.DUMMYFUNCTION("""COMPUTED_VALUE"""),7.82695)</f>
        <v>7.8269500000000001</v>
      </c>
      <c r="H44" s="57">
        <f ca="1">IFERROR(__xludf.DUMMYFUNCTION("""COMPUTED_VALUE"""),53.04)</f>
        <v>53.04</v>
      </c>
      <c r="I44" s="57">
        <f ca="1">IFERROR(__xludf.DUMMYFUNCTION("""COMPUTED_VALUE"""),52.19)</f>
        <v>52.19</v>
      </c>
      <c r="J44" s="70" t="str">
        <f ca="1">IFERROR(__xludf.DUMMYFUNCTION("""COMPUTED_VALUE"""),"Goto link: PFE")</f>
        <v>Goto link: PFE</v>
      </c>
      <c r="K44" s="19"/>
      <c r="L44" s="19"/>
      <c r="M44" s="19"/>
      <c r="N44" s="19"/>
      <c r="O44" s="59"/>
      <c r="P44" s="7"/>
      <c r="Q44" s="55"/>
      <c r="R44" s="55"/>
      <c r="S44" s="7"/>
      <c r="T44" s="55"/>
      <c r="U44" s="7"/>
      <c r="V44" s="55"/>
      <c r="W44" s="60"/>
      <c r="X44" s="55"/>
    </row>
    <row r="45" spans="1:24" ht="13" x14ac:dyDescent="0.15">
      <c r="A45" s="25" t="str">
        <f ca="1">IFERROR(__xludf.DUMMYFUNCTION("""COMPUTED_VALUE"""),"14626")</f>
        <v>14626</v>
      </c>
      <c r="B45" s="69">
        <f ca="1">IFERROR(__xludf.DUMMYFUNCTION("""COMPUTED_VALUE"""),44642)</f>
        <v>44642</v>
      </c>
      <c r="C45" s="69" t="str">
        <f ca="1">IFERROR(__xludf.DUMMYFUNCTION("""COMPUTED_VALUE"""),"Stock")</f>
        <v>Stock</v>
      </c>
      <c r="D45" s="5" t="str">
        <f ca="1">IFERROR(__xludf.DUMMYFUNCTION("""COMPUTED_VALUE"""),"TSLA")</f>
        <v>TSLA</v>
      </c>
      <c r="E45" s="5" t="str">
        <f ca="1">IFERROR(__xludf.DUMMYFUNCTION("""COMPUTED_VALUE"""),"USD")</f>
        <v>USD</v>
      </c>
      <c r="F45" s="55" t="str">
        <f ca="1">IFERROR(__xludf.DUMMYFUNCTION("""COMPUTED_VALUE"""),"")</f>
        <v/>
      </c>
      <c r="G45" s="56">
        <f ca="1">IFERROR(__xludf.DUMMYFUNCTION("""COMPUTED_VALUE"""),7.82695)</f>
        <v>7.8269500000000001</v>
      </c>
      <c r="H45" s="57">
        <f ca="1">IFERROR(__xludf.DUMMYFUNCTION("""COMPUTED_VALUE"""),993.98)</f>
        <v>993.98</v>
      </c>
      <c r="I45" s="57">
        <f ca="1">IFERROR(__xludf.DUMMYFUNCTION("""COMPUTED_VALUE"""),999.11)</f>
        <v>999.11</v>
      </c>
      <c r="J45" s="70" t="str">
        <f ca="1">IFERROR(__xludf.DUMMYFUNCTION("""COMPUTED_VALUE"""),"Goto link: TSLA")</f>
        <v>Goto link: TSLA</v>
      </c>
      <c r="K45" s="19"/>
      <c r="L45" s="19"/>
      <c r="M45" s="19"/>
      <c r="N45" s="19"/>
      <c r="O45" s="59"/>
      <c r="P45" s="7"/>
      <c r="Q45" s="55"/>
      <c r="R45" s="55"/>
      <c r="S45" s="7"/>
      <c r="T45" s="55"/>
      <c r="U45" s="7"/>
      <c r="V45" s="55"/>
      <c r="W45" s="60"/>
      <c r="X45" s="55"/>
    </row>
    <row r="46" spans="1:24" ht="13" x14ac:dyDescent="0.15">
      <c r="A46" s="25" t="str">
        <f ca="1">IFERROR(__xludf.DUMMYFUNCTION("""COMPUTED_VALUE"""),"14626 Total")</f>
        <v>14626 Total</v>
      </c>
      <c r="B46" s="5"/>
      <c r="C46" s="69"/>
      <c r="D46" s="5"/>
      <c r="E46" s="5"/>
      <c r="F46" s="55"/>
      <c r="G46" s="56">
        <f ca="1">IFERROR(__xludf.DUMMYFUNCTION("""COMPUTED_VALUE"""),6.31841590894735)</f>
        <v>6.3184159089473502</v>
      </c>
      <c r="H46" s="57">
        <f ca="1">IFERROR(__xludf.DUMMYFUNCTION("""COMPUTED_VALUE"""),27222.93)</f>
        <v>27222.93</v>
      </c>
      <c r="I46" s="57" t="str">
        <f ca="1">IFERROR(__xludf.DUMMYFUNCTION("""COMPUTED_VALUE"""),"")</f>
        <v/>
      </c>
      <c r="J46" s="19" t="str">
        <f ca="1">IFERROR(__xludf.DUMMYFUNCTION("""COMPUTED_VALUE"""),"")</f>
        <v/>
      </c>
      <c r="K46" s="19"/>
      <c r="L46" s="19"/>
      <c r="M46" s="19"/>
      <c r="N46" s="19"/>
      <c r="O46" s="59"/>
      <c r="P46" s="7"/>
      <c r="Q46" s="55"/>
      <c r="R46" s="55"/>
      <c r="S46" s="7"/>
      <c r="T46" s="55"/>
      <c r="U46" s="7"/>
      <c r="V46" s="55"/>
      <c r="W46" s="60"/>
      <c r="X46" s="55"/>
    </row>
    <row r="47" spans="1:24" ht="13" x14ac:dyDescent="0.15">
      <c r="A47" s="25" t="str">
        <f ca="1">IFERROR(__xludf.DUMMYFUNCTION("""COMPUTED_VALUE"""),"18111")</f>
        <v>18111</v>
      </c>
      <c r="B47" s="69">
        <f ca="1">IFERROR(__xludf.DUMMYFUNCTION("""COMPUTED_VALUE"""),44597)</f>
        <v>44597</v>
      </c>
      <c r="C47" s="69" t="str">
        <f ca="1">IFERROR(__xludf.DUMMYFUNCTION("""COMPUTED_VALUE"""),"Cash")</f>
        <v>Cash</v>
      </c>
      <c r="D47" s="5" t="str">
        <f ca="1">IFERROR(__xludf.DUMMYFUNCTION("""COMPUTED_VALUE"""),"Cash")</f>
        <v>Cash</v>
      </c>
      <c r="E47" s="5" t="str">
        <f ca="1">IFERROR(__xludf.DUMMYFUNCTION("""COMPUTED_VALUE"""),"HKD")</f>
        <v>HKD</v>
      </c>
      <c r="F47" s="55" t="str">
        <f ca="1">IFERROR(__xludf.DUMMYFUNCTION("""COMPUTED_VALUE"""),"")</f>
        <v/>
      </c>
      <c r="G47" s="56">
        <f ca="1">IFERROR(__xludf.DUMMYFUNCTION("""COMPUTED_VALUE"""),1)</f>
        <v>1</v>
      </c>
      <c r="H47" s="57">
        <f ca="1">IFERROR(__xludf.DUMMYFUNCTION("""COMPUTED_VALUE"""),1)</f>
        <v>1</v>
      </c>
      <c r="I47" s="57">
        <f ca="1">IFERROR(__xludf.DUMMYFUNCTION("""COMPUTED_VALUE"""),1)</f>
        <v>1</v>
      </c>
      <c r="J47" s="19" t="str">
        <f ca="1">IFERROR(__xludf.DUMMYFUNCTION("""COMPUTED_VALUE"""),"")</f>
        <v/>
      </c>
      <c r="K47" s="19"/>
      <c r="L47" s="19"/>
      <c r="M47" s="19"/>
      <c r="N47" s="19"/>
      <c r="O47" s="59"/>
      <c r="P47" s="7"/>
      <c r="Q47" s="55"/>
      <c r="R47" s="55"/>
      <c r="S47" s="7"/>
      <c r="T47" s="55"/>
      <c r="U47" s="7"/>
      <c r="V47" s="55"/>
      <c r="W47" s="60"/>
      <c r="X47" s="55"/>
    </row>
    <row r="48" spans="1:24" ht="13" x14ac:dyDescent="0.15">
      <c r="A48" s="25" t="str">
        <f ca="1">IFERROR(__xludf.DUMMYFUNCTION("""COMPUTED_VALUE"""),"18111 Total")</f>
        <v>18111 Total</v>
      </c>
      <c r="B48" s="5"/>
      <c r="C48" s="69"/>
      <c r="D48" s="5"/>
      <c r="E48" s="5"/>
      <c r="F48" s="55"/>
      <c r="G48" s="56">
        <f ca="1">IFERROR(__xludf.DUMMYFUNCTION("""COMPUTED_VALUE"""),1)</f>
        <v>1</v>
      </c>
      <c r="H48" s="57">
        <f ca="1">IFERROR(__xludf.DUMMYFUNCTION("""COMPUTED_VALUE"""),1)</f>
        <v>1</v>
      </c>
      <c r="I48" s="57" t="str">
        <f ca="1">IFERROR(__xludf.DUMMYFUNCTION("""COMPUTED_VALUE"""),"")</f>
        <v/>
      </c>
      <c r="J48" s="19" t="str">
        <f ca="1">IFERROR(__xludf.DUMMYFUNCTION("""COMPUTED_VALUE"""),"")</f>
        <v/>
      </c>
      <c r="K48" s="19"/>
      <c r="L48" s="19"/>
      <c r="M48" s="19"/>
      <c r="N48" s="19"/>
      <c r="O48" s="59"/>
      <c r="P48" s="7"/>
      <c r="Q48" s="55"/>
      <c r="R48" s="55"/>
      <c r="S48" s="7"/>
      <c r="T48" s="55"/>
      <c r="U48" s="7"/>
      <c r="V48" s="55"/>
      <c r="W48" s="60"/>
      <c r="X48" s="55"/>
    </row>
    <row r="49" spans="1:24" ht="13" x14ac:dyDescent="0.15">
      <c r="A49" s="25" t="str">
        <f ca="1">IFERROR(__xludf.DUMMYFUNCTION("""COMPUTED_VALUE"""),"18649")</f>
        <v>18649</v>
      </c>
      <c r="B49" s="69">
        <f ca="1">IFERROR(__xludf.DUMMYFUNCTION("""COMPUTED_VALUE"""),44597)</f>
        <v>44597</v>
      </c>
      <c r="C49" s="69" t="str">
        <f ca="1">IFERROR(__xludf.DUMMYFUNCTION("""COMPUTED_VALUE"""),"Cash")</f>
        <v>Cash</v>
      </c>
      <c r="D49" s="5" t="str">
        <f ca="1">IFERROR(__xludf.DUMMYFUNCTION("""COMPUTED_VALUE"""),"Cash")</f>
        <v>Cash</v>
      </c>
      <c r="E49" s="5" t="str">
        <f ca="1">IFERROR(__xludf.DUMMYFUNCTION("""COMPUTED_VALUE"""),"HKD")</f>
        <v>HKD</v>
      </c>
      <c r="F49" s="55" t="str">
        <f ca="1">IFERROR(__xludf.DUMMYFUNCTION("""COMPUTED_VALUE"""),"")</f>
        <v/>
      </c>
      <c r="G49" s="56">
        <f ca="1">IFERROR(__xludf.DUMMYFUNCTION("""COMPUTED_VALUE"""),1)</f>
        <v>1</v>
      </c>
      <c r="H49" s="57">
        <f ca="1">IFERROR(__xludf.DUMMYFUNCTION("""COMPUTED_VALUE"""),1)</f>
        <v>1</v>
      </c>
      <c r="I49" s="57">
        <f ca="1">IFERROR(__xludf.DUMMYFUNCTION("""COMPUTED_VALUE"""),1)</f>
        <v>1</v>
      </c>
      <c r="J49" s="19" t="str">
        <f ca="1">IFERROR(__xludf.DUMMYFUNCTION("""COMPUTED_VALUE"""),"")</f>
        <v/>
      </c>
      <c r="K49" s="19"/>
      <c r="L49" s="19"/>
      <c r="M49" s="19"/>
      <c r="N49" s="19"/>
      <c r="O49" s="59"/>
      <c r="P49" s="7"/>
      <c r="Q49" s="55"/>
      <c r="R49" s="55"/>
      <c r="S49" s="7"/>
      <c r="T49" s="55"/>
      <c r="U49" s="7"/>
      <c r="V49" s="55"/>
      <c r="W49" s="60"/>
      <c r="X49" s="55"/>
    </row>
    <row r="50" spans="1:24" ht="13" x14ac:dyDescent="0.15">
      <c r="A50" s="25" t="str">
        <f ca="1">IFERROR(__xludf.DUMMYFUNCTION("""COMPUTED_VALUE"""),"18649 Total")</f>
        <v>18649 Total</v>
      </c>
      <c r="B50" s="5"/>
      <c r="C50" s="69"/>
      <c r="D50" s="5"/>
      <c r="E50" s="5"/>
      <c r="F50" s="55"/>
      <c r="G50" s="56">
        <f ca="1">IFERROR(__xludf.DUMMYFUNCTION("""COMPUTED_VALUE"""),1)</f>
        <v>1</v>
      </c>
      <c r="H50" s="57">
        <f ca="1">IFERROR(__xludf.DUMMYFUNCTION("""COMPUTED_VALUE"""),1)</f>
        <v>1</v>
      </c>
      <c r="I50" s="57" t="str">
        <f ca="1">IFERROR(__xludf.DUMMYFUNCTION("""COMPUTED_VALUE"""),"")</f>
        <v/>
      </c>
      <c r="J50" s="19" t="str">
        <f ca="1">IFERROR(__xludf.DUMMYFUNCTION("""COMPUTED_VALUE"""),"")</f>
        <v/>
      </c>
      <c r="K50" s="19"/>
      <c r="L50" s="19"/>
      <c r="M50" s="19"/>
      <c r="N50" s="19"/>
      <c r="O50" s="59"/>
      <c r="P50" s="7"/>
      <c r="Q50" s="55"/>
      <c r="R50" s="55"/>
      <c r="S50" s="7"/>
      <c r="T50" s="55"/>
      <c r="U50" s="7"/>
      <c r="V50" s="55"/>
      <c r="W50" s="60"/>
      <c r="X50" s="55"/>
    </row>
    <row r="51" spans="1:24" ht="13" x14ac:dyDescent="0.15">
      <c r="A51" s="25" t="str">
        <f ca="1">IFERROR(__xludf.DUMMYFUNCTION("""COMPUTED_VALUE"""),"18874")</f>
        <v>18874</v>
      </c>
      <c r="B51" s="69">
        <f ca="1">IFERROR(__xludf.DUMMYFUNCTION("""COMPUTED_VALUE"""),44597)</f>
        <v>44597</v>
      </c>
      <c r="C51" s="69" t="str">
        <f ca="1">IFERROR(__xludf.DUMMYFUNCTION("""COMPUTED_VALUE"""),"Cash")</f>
        <v>Cash</v>
      </c>
      <c r="D51" s="5" t="str">
        <f ca="1">IFERROR(__xludf.DUMMYFUNCTION("""COMPUTED_VALUE"""),"Cash")</f>
        <v>Cash</v>
      </c>
      <c r="E51" s="5" t="str">
        <f ca="1">IFERROR(__xludf.DUMMYFUNCTION("""COMPUTED_VALUE"""),"HKD")</f>
        <v>HKD</v>
      </c>
      <c r="F51" s="55" t="str">
        <f ca="1">IFERROR(__xludf.DUMMYFUNCTION("""COMPUTED_VALUE"""),"")</f>
        <v/>
      </c>
      <c r="G51" s="56">
        <f ca="1">IFERROR(__xludf.DUMMYFUNCTION("""COMPUTED_VALUE"""),1)</f>
        <v>1</v>
      </c>
      <c r="H51" s="57">
        <f ca="1">IFERROR(__xludf.DUMMYFUNCTION("""COMPUTED_VALUE"""),1)</f>
        <v>1</v>
      </c>
      <c r="I51" s="57">
        <f ca="1">IFERROR(__xludf.DUMMYFUNCTION("""COMPUTED_VALUE"""),1)</f>
        <v>1</v>
      </c>
      <c r="J51" s="19" t="str">
        <f ca="1">IFERROR(__xludf.DUMMYFUNCTION("""COMPUTED_VALUE"""),"")</f>
        <v/>
      </c>
      <c r="K51" s="19"/>
      <c r="L51" s="19"/>
      <c r="M51" s="19"/>
      <c r="N51" s="19"/>
      <c r="O51" s="59"/>
      <c r="P51" s="7"/>
      <c r="Q51" s="55"/>
      <c r="R51" s="55"/>
      <c r="S51" s="7"/>
      <c r="T51" s="55"/>
      <c r="U51" s="7"/>
      <c r="V51" s="55"/>
      <c r="W51" s="60"/>
      <c r="X51" s="55"/>
    </row>
    <row r="52" spans="1:24" ht="13" x14ac:dyDescent="0.15">
      <c r="A52" s="25" t="str">
        <f ca="1">IFERROR(__xludf.DUMMYFUNCTION("""COMPUTED_VALUE"""),"18874 Total")</f>
        <v>18874 Total</v>
      </c>
      <c r="B52" s="5"/>
      <c r="C52" s="69"/>
      <c r="D52" s="5"/>
      <c r="E52" s="5"/>
      <c r="F52" s="55"/>
      <c r="G52" s="56">
        <f ca="1">IFERROR(__xludf.DUMMYFUNCTION("""COMPUTED_VALUE"""),1)</f>
        <v>1</v>
      </c>
      <c r="H52" s="57">
        <f ca="1">IFERROR(__xludf.DUMMYFUNCTION("""COMPUTED_VALUE"""),1)</f>
        <v>1</v>
      </c>
      <c r="I52" s="57" t="str">
        <f ca="1">IFERROR(__xludf.DUMMYFUNCTION("""COMPUTED_VALUE"""),"")</f>
        <v/>
      </c>
      <c r="J52" s="19" t="str">
        <f ca="1">IFERROR(__xludf.DUMMYFUNCTION("""COMPUTED_VALUE"""),"")</f>
        <v/>
      </c>
      <c r="K52" s="19"/>
      <c r="L52" s="19"/>
      <c r="M52" s="19"/>
      <c r="N52" s="19"/>
      <c r="O52" s="59"/>
      <c r="P52" s="7"/>
      <c r="Q52" s="55"/>
      <c r="R52" s="55"/>
      <c r="S52" s="7"/>
      <c r="T52" s="55"/>
      <c r="U52" s="7"/>
      <c r="V52" s="55"/>
      <c r="W52" s="60"/>
      <c r="X52" s="55"/>
    </row>
    <row r="53" spans="1:24" ht="13" x14ac:dyDescent="0.15">
      <c r="A53" s="25" t="str">
        <f ca="1">IFERROR(__xludf.DUMMYFUNCTION("""COMPUTED_VALUE"""),"24442")</f>
        <v>24442</v>
      </c>
      <c r="B53" s="69">
        <f ca="1">IFERROR(__xludf.DUMMYFUNCTION("""COMPUTED_VALUE"""),44597)</f>
        <v>44597</v>
      </c>
      <c r="C53" s="69" t="str">
        <f ca="1">IFERROR(__xludf.DUMMYFUNCTION("""COMPUTED_VALUE"""),"Cash")</f>
        <v>Cash</v>
      </c>
      <c r="D53" s="5" t="str">
        <f ca="1">IFERROR(__xludf.DUMMYFUNCTION("""COMPUTED_VALUE"""),"Cash")</f>
        <v>Cash</v>
      </c>
      <c r="E53" s="5" t="str">
        <f ca="1">IFERROR(__xludf.DUMMYFUNCTION("""COMPUTED_VALUE"""),"HKD")</f>
        <v>HKD</v>
      </c>
      <c r="F53" s="55" t="str">
        <f ca="1">IFERROR(__xludf.DUMMYFUNCTION("""COMPUTED_VALUE"""),"")</f>
        <v/>
      </c>
      <c r="G53" s="56">
        <f ca="1">IFERROR(__xludf.DUMMYFUNCTION("""COMPUTED_VALUE"""),1)</f>
        <v>1</v>
      </c>
      <c r="H53" s="57">
        <f ca="1">IFERROR(__xludf.DUMMYFUNCTION("""COMPUTED_VALUE"""),1)</f>
        <v>1</v>
      </c>
      <c r="I53" s="57">
        <f ca="1">IFERROR(__xludf.DUMMYFUNCTION("""COMPUTED_VALUE"""),1)</f>
        <v>1</v>
      </c>
      <c r="J53" s="19" t="str">
        <f ca="1">IFERROR(__xludf.DUMMYFUNCTION("""COMPUTED_VALUE"""),"")</f>
        <v/>
      </c>
      <c r="K53" s="19"/>
      <c r="L53" s="19"/>
      <c r="M53" s="19"/>
      <c r="N53" s="19"/>
      <c r="O53" s="59"/>
      <c r="P53" s="7"/>
      <c r="Q53" s="55"/>
      <c r="R53" s="55"/>
      <c r="S53" s="7"/>
      <c r="T53" s="55"/>
      <c r="U53" s="7"/>
      <c r="V53" s="55"/>
      <c r="W53" s="60"/>
      <c r="X53" s="55"/>
    </row>
    <row r="54" spans="1:24" ht="13" x14ac:dyDescent="0.15">
      <c r="A54" s="25" t="str">
        <f ca="1">IFERROR(__xludf.DUMMYFUNCTION("""COMPUTED_VALUE"""),"24442")</f>
        <v>24442</v>
      </c>
      <c r="B54" s="69">
        <f ca="1">IFERROR(__xludf.DUMMYFUNCTION("""COMPUTED_VALUE"""),44620)</f>
        <v>44620</v>
      </c>
      <c r="C54" s="69" t="str">
        <f ca="1">IFERROR(__xludf.DUMMYFUNCTION("""COMPUTED_VALUE"""),"Stock")</f>
        <v>Stock</v>
      </c>
      <c r="D54" s="5" t="str">
        <f ca="1">IFERROR(__xludf.DUMMYFUNCTION("""COMPUTED_VALUE"""),"005930.KS")</f>
        <v>005930.KS</v>
      </c>
      <c r="E54" s="5" t="str">
        <f ca="1">IFERROR(__xludf.DUMMYFUNCTION("""COMPUTED_VALUE"""),"KRW")</f>
        <v>KRW</v>
      </c>
      <c r="F54" s="55">
        <f ca="1">IFERROR(__xludf.DUMMYFUNCTION("""COMPUTED_VALUE"""),100)</f>
        <v>100</v>
      </c>
      <c r="G54" s="56">
        <f ca="1">IFERROR(__xludf.DUMMYFUNCTION("""COMPUTED_VALUE"""),0.00640489704347826)</f>
        <v>6.4048970434782597E-3</v>
      </c>
      <c r="H54" s="57">
        <f ca="1">IFERROR(__xludf.DUMMYFUNCTION("""COMPUTED_VALUE"""),72100)</f>
        <v>72100</v>
      </c>
      <c r="I54" s="57">
        <f ca="1">IFERROR(__xludf.DUMMYFUNCTION("""COMPUTED_VALUE"""),69900)</f>
        <v>69900</v>
      </c>
      <c r="J54" s="70" t="str">
        <f ca="1">IFERROR(__xludf.DUMMYFUNCTION("""COMPUTED_VALUE"""),"Goto link: 005930.KS")</f>
        <v>Goto link: 005930.KS</v>
      </c>
      <c r="K54" s="19"/>
      <c r="L54" s="19"/>
      <c r="M54" s="19"/>
      <c r="N54" s="19"/>
      <c r="O54" s="59"/>
      <c r="P54" s="7"/>
      <c r="Q54" s="55"/>
      <c r="R54" s="55"/>
      <c r="S54" s="7"/>
      <c r="T54" s="55"/>
      <c r="U54" s="7"/>
      <c r="V54" s="55"/>
      <c r="W54" s="60"/>
      <c r="X54" s="55"/>
    </row>
    <row r="55" spans="1:24" ht="13" x14ac:dyDescent="0.15">
      <c r="A55" s="25" t="str">
        <f ca="1">IFERROR(__xludf.DUMMYFUNCTION("""COMPUTED_VALUE"""),"24442")</f>
        <v>24442</v>
      </c>
      <c r="B55" s="69">
        <f ca="1">IFERROR(__xludf.DUMMYFUNCTION("""COMPUTED_VALUE"""),44627)</f>
        <v>44627</v>
      </c>
      <c r="C55" s="69" t="str">
        <f ca="1">IFERROR(__xludf.DUMMYFUNCTION("""COMPUTED_VALUE"""),"Stock")</f>
        <v>Stock</v>
      </c>
      <c r="D55" s="5" t="str">
        <f ca="1">IFERROR(__xludf.DUMMYFUNCTION("""COMPUTED_VALUE"""),"XLK")</f>
        <v>XLK</v>
      </c>
      <c r="E55" s="5" t="str">
        <f ca="1">IFERROR(__xludf.DUMMYFUNCTION("""COMPUTED_VALUE"""),"USD")</f>
        <v>USD</v>
      </c>
      <c r="F55" s="55">
        <f ca="1">IFERROR(__xludf.DUMMYFUNCTION("""COMPUTED_VALUE"""),100)</f>
        <v>100</v>
      </c>
      <c r="G55" s="56">
        <f ca="1">IFERROR(__xludf.DUMMYFUNCTION("""COMPUTED_VALUE"""),7.824175)</f>
        <v>7.8241750000000003</v>
      </c>
      <c r="H55" s="57">
        <f ca="1">IFERROR(__xludf.DUMMYFUNCTION("""COMPUTED_VALUE"""),144.27)</f>
        <v>144.27000000000001</v>
      </c>
      <c r="I55" s="57">
        <f ca="1">IFERROR(__xludf.DUMMYFUNCTION("""COMPUTED_VALUE"""),154.3)</f>
        <v>154.30000000000001</v>
      </c>
      <c r="J55" s="70" t="str">
        <f ca="1">IFERROR(__xludf.DUMMYFUNCTION("""COMPUTED_VALUE"""),"Goto link: XLK")</f>
        <v>Goto link: XLK</v>
      </c>
      <c r="K55" s="19"/>
      <c r="L55" s="19"/>
      <c r="M55" s="19"/>
      <c r="N55" s="19"/>
      <c r="O55" s="59"/>
      <c r="P55" s="7"/>
      <c r="Q55" s="55"/>
      <c r="R55" s="55"/>
      <c r="S55" s="7"/>
      <c r="T55" s="55"/>
      <c r="U55" s="7"/>
      <c r="V55" s="55"/>
      <c r="W55" s="60"/>
      <c r="X55" s="55"/>
    </row>
    <row r="56" spans="1:24" ht="13" x14ac:dyDescent="0.15">
      <c r="A56" s="25" t="str">
        <f ca="1">IFERROR(__xludf.DUMMYFUNCTION("""COMPUTED_VALUE"""),"24442")</f>
        <v>24442</v>
      </c>
      <c r="B56" s="69">
        <f ca="1">IFERROR(__xludf.DUMMYFUNCTION("""COMPUTED_VALUE"""),44628)</f>
        <v>44628</v>
      </c>
      <c r="C56" s="69" t="str">
        <f ca="1">IFERROR(__xludf.DUMMYFUNCTION("""COMPUTED_VALUE"""),"Stock")</f>
        <v>Stock</v>
      </c>
      <c r="D56" s="5" t="str">
        <f ca="1">IFERROR(__xludf.DUMMYFUNCTION("""COMPUTED_VALUE"""),"XLK")</f>
        <v>XLK</v>
      </c>
      <c r="E56" s="5" t="str">
        <f ca="1">IFERROR(__xludf.DUMMYFUNCTION("""COMPUTED_VALUE"""),"USD")</f>
        <v>USD</v>
      </c>
      <c r="F56" s="55">
        <f ca="1">IFERROR(__xludf.DUMMYFUNCTION("""COMPUTED_VALUE"""),-100)</f>
        <v>-100</v>
      </c>
      <c r="G56" s="56">
        <f ca="1">IFERROR(__xludf.DUMMYFUNCTION("""COMPUTED_VALUE"""),7.82455)</f>
        <v>7.8245500000000003</v>
      </c>
      <c r="H56" s="57">
        <f ca="1">IFERROR(__xludf.DUMMYFUNCTION("""COMPUTED_VALUE"""),143.57)</f>
        <v>143.57</v>
      </c>
      <c r="I56" s="57">
        <f ca="1">IFERROR(__xludf.DUMMYFUNCTION("""COMPUTED_VALUE"""),154.3)</f>
        <v>154.30000000000001</v>
      </c>
      <c r="J56" s="70" t="str">
        <f ca="1">IFERROR(__xludf.DUMMYFUNCTION("""COMPUTED_VALUE"""),"Goto link: XLK")</f>
        <v>Goto link: XLK</v>
      </c>
      <c r="K56" s="19"/>
      <c r="L56" s="19"/>
      <c r="M56" s="19"/>
      <c r="N56" s="19"/>
      <c r="O56" s="59"/>
      <c r="P56" s="7"/>
      <c r="Q56" s="55"/>
      <c r="R56" s="55"/>
      <c r="S56" s="7"/>
      <c r="T56" s="55"/>
      <c r="U56" s="7"/>
      <c r="V56" s="55"/>
      <c r="W56" s="60"/>
      <c r="X56" s="55"/>
    </row>
    <row r="57" spans="1:24" ht="13" x14ac:dyDescent="0.15">
      <c r="A57" s="25" t="str">
        <f ca="1">IFERROR(__xludf.DUMMYFUNCTION("""COMPUTED_VALUE"""),"24442")</f>
        <v>24442</v>
      </c>
      <c r="B57" s="69">
        <f ca="1">IFERROR(__xludf.DUMMYFUNCTION("""COMPUTED_VALUE"""),44634)</f>
        <v>44634</v>
      </c>
      <c r="C57" s="69" t="str">
        <f ca="1">IFERROR(__xludf.DUMMYFUNCTION("""COMPUTED_VALUE"""),"Stock")</f>
        <v>Stock</v>
      </c>
      <c r="D57" s="5" t="str">
        <f ca="1">IFERROR(__xludf.DUMMYFUNCTION("""COMPUTED_VALUE"""),"XLB")</f>
        <v>XLB</v>
      </c>
      <c r="E57" s="5" t="str">
        <f ca="1">IFERROR(__xludf.DUMMYFUNCTION("""COMPUTED_VALUE"""),"USD")</f>
        <v>USD</v>
      </c>
      <c r="F57" s="55">
        <f ca="1">IFERROR(__xludf.DUMMYFUNCTION("""COMPUTED_VALUE"""),45)</f>
        <v>45</v>
      </c>
      <c r="G57" s="56">
        <f ca="1">IFERROR(__xludf.DUMMYFUNCTION("""COMPUTED_VALUE"""),7.82436055555555)</f>
        <v>7.8243605555555504</v>
      </c>
      <c r="H57" s="57">
        <f ca="1">IFERROR(__xludf.DUMMYFUNCTION("""COMPUTED_VALUE"""),81.73)</f>
        <v>81.73</v>
      </c>
      <c r="I57" s="57">
        <f ca="1">IFERROR(__xludf.DUMMYFUNCTION("""COMPUTED_VALUE"""),86.56)</f>
        <v>86.56</v>
      </c>
      <c r="J57" s="70" t="str">
        <f ca="1">IFERROR(__xludf.DUMMYFUNCTION("""COMPUTED_VALUE"""),"Goto link: XLB")</f>
        <v>Goto link: XLB</v>
      </c>
      <c r="K57" s="19"/>
      <c r="L57" s="19"/>
      <c r="M57" s="19"/>
      <c r="N57" s="19"/>
      <c r="O57" s="59"/>
      <c r="P57" s="7"/>
      <c r="Q57" s="55"/>
      <c r="R57" s="55"/>
      <c r="S57" s="7"/>
      <c r="T57" s="55"/>
      <c r="U57" s="7"/>
      <c r="V57" s="55"/>
      <c r="W57" s="60"/>
      <c r="X57" s="55"/>
    </row>
    <row r="58" spans="1:24" ht="13" x14ac:dyDescent="0.15">
      <c r="A58" s="25" t="str">
        <f ca="1">IFERROR(__xludf.DUMMYFUNCTION("""COMPUTED_VALUE"""),"24442")</f>
        <v>24442</v>
      </c>
      <c r="B58" s="69">
        <f ca="1">IFERROR(__xludf.DUMMYFUNCTION("""COMPUTED_VALUE"""),44634)</f>
        <v>44634</v>
      </c>
      <c r="C58" s="69" t="str">
        <f ca="1">IFERROR(__xludf.DUMMYFUNCTION("""COMPUTED_VALUE"""),"Stock")</f>
        <v>Stock</v>
      </c>
      <c r="D58" s="5" t="str">
        <f ca="1">IFERROR(__xludf.DUMMYFUNCTION("""COMPUTED_VALUE"""),"XLC")</f>
        <v>XLC</v>
      </c>
      <c r="E58" s="5" t="str">
        <f ca="1">IFERROR(__xludf.DUMMYFUNCTION("""COMPUTED_VALUE"""),"USD")</f>
        <v>USD</v>
      </c>
      <c r="F58" s="55">
        <f ca="1">IFERROR(__xludf.DUMMYFUNCTION("""COMPUTED_VALUE"""),72)</f>
        <v>72</v>
      </c>
      <c r="G58" s="56">
        <f ca="1">IFERROR(__xludf.DUMMYFUNCTION("""COMPUTED_VALUE"""),7.82436055555555)</f>
        <v>7.8243605555555504</v>
      </c>
      <c r="H58" s="57">
        <f ca="1">IFERROR(__xludf.DUMMYFUNCTION("""COMPUTED_VALUE"""),63.62)</f>
        <v>63.62</v>
      </c>
      <c r="I58" s="57">
        <f ca="1">IFERROR(__xludf.DUMMYFUNCTION("""COMPUTED_VALUE"""),67.74)</f>
        <v>67.739999999999995</v>
      </c>
      <c r="J58" s="70" t="str">
        <f ca="1">IFERROR(__xludf.DUMMYFUNCTION("""COMPUTED_VALUE"""),"Goto link: XLC")</f>
        <v>Goto link: XLC</v>
      </c>
      <c r="K58" s="19"/>
      <c r="L58" s="19"/>
      <c r="M58" s="19"/>
      <c r="N58" s="19"/>
      <c r="O58" s="59"/>
      <c r="P58" s="7"/>
      <c r="Q58" s="55"/>
      <c r="R58" s="55"/>
      <c r="S58" s="7"/>
      <c r="T58" s="55"/>
      <c r="U58" s="7"/>
      <c r="V58" s="55"/>
      <c r="W58" s="60"/>
      <c r="X58" s="55"/>
    </row>
    <row r="59" spans="1:24" ht="13" x14ac:dyDescent="0.15">
      <c r="A59" s="25" t="str">
        <f ca="1">IFERROR(__xludf.DUMMYFUNCTION("""COMPUTED_VALUE"""),"24442")</f>
        <v>24442</v>
      </c>
      <c r="B59" s="69">
        <f ca="1">IFERROR(__xludf.DUMMYFUNCTION("""COMPUTED_VALUE"""),44634)</f>
        <v>44634</v>
      </c>
      <c r="C59" s="69" t="str">
        <f ca="1">IFERROR(__xludf.DUMMYFUNCTION("""COMPUTED_VALUE"""),"Stock")</f>
        <v>Stock</v>
      </c>
      <c r="D59" s="5" t="str">
        <f ca="1">IFERROR(__xludf.DUMMYFUNCTION("""COMPUTED_VALUE"""),"XLE")</f>
        <v>XLE</v>
      </c>
      <c r="E59" s="5" t="str">
        <f ca="1">IFERROR(__xludf.DUMMYFUNCTION("""COMPUTED_VALUE"""),"USD")</f>
        <v>USD</v>
      </c>
      <c r="F59" s="55">
        <f ca="1">IFERROR(__xludf.DUMMYFUNCTION("""COMPUTED_VALUE"""),19)</f>
        <v>19</v>
      </c>
      <c r="G59" s="56">
        <f ca="1">IFERROR(__xludf.DUMMYFUNCTION("""COMPUTED_VALUE"""),7.82436055555555)</f>
        <v>7.8243605555555504</v>
      </c>
      <c r="H59" s="57">
        <f ca="1">IFERROR(__xludf.DUMMYFUNCTION("""COMPUTED_VALUE"""),74.55)</f>
        <v>74.55</v>
      </c>
      <c r="I59" s="57">
        <f ca="1">IFERROR(__xludf.DUMMYFUNCTION("""COMPUTED_VALUE"""),76.87)</f>
        <v>76.87</v>
      </c>
      <c r="J59" s="70" t="str">
        <f ca="1">IFERROR(__xludf.DUMMYFUNCTION("""COMPUTED_VALUE"""),"Goto link: XLE")</f>
        <v>Goto link: XLE</v>
      </c>
      <c r="K59" s="19"/>
      <c r="L59" s="19"/>
      <c r="M59" s="19"/>
      <c r="N59" s="19"/>
      <c r="O59" s="59"/>
      <c r="P59" s="7"/>
      <c r="Q59" s="55"/>
      <c r="R59" s="55"/>
      <c r="S59" s="7"/>
      <c r="T59" s="55"/>
      <c r="U59" s="7"/>
      <c r="V59" s="55"/>
      <c r="W59" s="60"/>
      <c r="X59" s="55"/>
    </row>
    <row r="60" spans="1:24" ht="13" x14ac:dyDescent="0.15">
      <c r="A60" s="25" t="str">
        <f ca="1">IFERROR(__xludf.DUMMYFUNCTION("""COMPUTED_VALUE"""),"24442")</f>
        <v>24442</v>
      </c>
      <c r="B60" s="69">
        <f ca="1">IFERROR(__xludf.DUMMYFUNCTION("""COMPUTED_VALUE"""),44634)</f>
        <v>44634</v>
      </c>
      <c r="C60" s="69" t="str">
        <f ca="1">IFERROR(__xludf.DUMMYFUNCTION("""COMPUTED_VALUE"""),"Stock")</f>
        <v>Stock</v>
      </c>
      <c r="D60" s="5" t="str">
        <f ca="1">IFERROR(__xludf.DUMMYFUNCTION("""COMPUTED_VALUE"""),"XLF")</f>
        <v>XLF</v>
      </c>
      <c r="E60" s="5" t="str">
        <f ca="1">IFERROR(__xludf.DUMMYFUNCTION("""COMPUTED_VALUE"""),"USD")</f>
        <v>USD</v>
      </c>
      <c r="F60" s="55">
        <f ca="1">IFERROR(__xludf.DUMMYFUNCTION("""COMPUTED_VALUE"""),70)</f>
        <v>70</v>
      </c>
      <c r="G60" s="56">
        <f ca="1">IFERROR(__xludf.DUMMYFUNCTION("""COMPUTED_VALUE"""),7.82436055555555)</f>
        <v>7.8243605555555504</v>
      </c>
      <c r="H60" s="57">
        <f ca="1">IFERROR(__xludf.DUMMYFUNCTION("""COMPUTED_VALUE"""),36.86)</f>
        <v>36.86</v>
      </c>
      <c r="I60" s="57">
        <f ca="1">IFERROR(__xludf.DUMMYFUNCTION("""COMPUTED_VALUE"""),38.71)</f>
        <v>38.71</v>
      </c>
      <c r="J60" s="70" t="str">
        <f ca="1">IFERROR(__xludf.DUMMYFUNCTION("""COMPUTED_VALUE"""),"Goto link: XLF")</f>
        <v>Goto link: XLF</v>
      </c>
      <c r="K60" s="19"/>
      <c r="L60" s="19"/>
      <c r="M60" s="19"/>
      <c r="N60" s="19"/>
      <c r="O60" s="59"/>
      <c r="P60" s="7"/>
      <c r="Q60" s="55"/>
      <c r="R60" s="55"/>
      <c r="S60" s="7"/>
      <c r="T60" s="55"/>
      <c r="U60" s="7"/>
      <c r="V60" s="55"/>
      <c r="W60" s="60"/>
      <c r="X60" s="55"/>
    </row>
    <row r="61" spans="1:24" ht="13" x14ac:dyDescent="0.15">
      <c r="A61" s="25" t="str">
        <f ca="1">IFERROR(__xludf.DUMMYFUNCTION("""COMPUTED_VALUE"""),"24442")</f>
        <v>24442</v>
      </c>
      <c r="B61" s="69">
        <f ca="1">IFERROR(__xludf.DUMMYFUNCTION("""COMPUTED_VALUE"""),44634)</f>
        <v>44634</v>
      </c>
      <c r="C61" s="69" t="str">
        <f ca="1">IFERROR(__xludf.DUMMYFUNCTION("""COMPUTED_VALUE"""),"Stock")</f>
        <v>Stock</v>
      </c>
      <c r="D61" s="5" t="str">
        <f ca="1">IFERROR(__xludf.DUMMYFUNCTION("""COMPUTED_VALUE"""),"XLI")</f>
        <v>XLI</v>
      </c>
      <c r="E61" s="5" t="str">
        <f ca="1">IFERROR(__xludf.DUMMYFUNCTION("""COMPUTED_VALUE"""),"USD")</f>
        <v>USD</v>
      </c>
      <c r="F61" s="55">
        <f ca="1">IFERROR(__xludf.DUMMYFUNCTION("""COMPUTED_VALUE"""),59)</f>
        <v>59</v>
      </c>
      <c r="G61" s="56">
        <f ca="1">IFERROR(__xludf.DUMMYFUNCTION("""COMPUTED_VALUE"""),7.82436055555555)</f>
        <v>7.8243605555555504</v>
      </c>
      <c r="H61" s="57">
        <f ca="1">IFERROR(__xludf.DUMMYFUNCTION("""COMPUTED_VALUE"""),98.27)</f>
        <v>98.27</v>
      </c>
      <c r="I61" s="57">
        <f ca="1">IFERROR(__xludf.DUMMYFUNCTION("""COMPUTED_VALUE"""),102.3)</f>
        <v>102.3</v>
      </c>
      <c r="J61" s="70" t="str">
        <f ca="1">IFERROR(__xludf.DUMMYFUNCTION("""COMPUTED_VALUE"""),"Goto link: XLI")</f>
        <v>Goto link: XLI</v>
      </c>
      <c r="K61" s="19"/>
      <c r="L61" s="19"/>
      <c r="M61" s="19"/>
      <c r="N61" s="19"/>
      <c r="O61" s="59"/>
      <c r="P61" s="7"/>
      <c r="Q61" s="55"/>
      <c r="R61" s="55"/>
      <c r="S61" s="7"/>
      <c r="T61" s="55"/>
      <c r="U61" s="7"/>
      <c r="V61" s="55"/>
      <c r="W61" s="60"/>
      <c r="X61" s="55"/>
    </row>
    <row r="62" spans="1:24" ht="13" x14ac:dyDescent="0.15">
      <c r="A62" s="25" t="str">
        <f ca="1">IFERROR(__xludf.DUMMYFUNCTION("""COMPUTED_VALUE"""),"24442")</f>
        <v>24442</v>
      </c>
      <c r="B62" s="69">
        <f ca="1">IFERROR(__xludf.DUMMYFUNCTION("""COMPUTED_VALUE"""),44634)</f>
        <v>44634</v>
      </c>
      <c r="C62" s="69" t="str">
        <f ca="1">IFERROR(__xludf.DUMMYFUNCTION("""COMPUTED_VALUE"""),"Stock")</f>
        <v>Stock</v>
      </c>
      <c r="D62" s="5" t="str">
        <f ca="1">IFERROR(__xludf.DUMMYFUNCTION("""COMPUTED_VALUE"""),"XLK")</f>
        <v>XLK</v>
      </c>
      <c r="E62" s="5" t="str">
        <f ca="1">IFERROR(__xludf.DUMMYFUNCTION("""COMPUTED_VALUE"""),"USD")</f>
        <v>USD</v>
      </c>
      <c r="F62" s="55">
        <f ca="1">IFERROR(__xludf.DUMMYFUNCTION("""COMPUTED_VALUE"""),39)</f>
        <v>39</v>
      </c>
      <c r="G62" s="56">
        <f ca="1">IFERROR(__xludf.DUMMYFUNCTION("""COMPUTED_VALUE"""),7.82436055555555)</f>
        <v>7.8243605555555504</v>
      </c>
      <c r="H62" s="57">
        <f ca="1">IFERROR(__xludf.DUMMYFUNCTION("""COMPUTED_VALUE"""),141.39)</f>
        <v>141.38999999999999</v>
      </c>
      <c r="I62" s="57">
        <f ca="1">IFERROR(__xludf.DUMMYFUNCTION("""COMPUTED_VALUE"""),154.3)</f>
        <v>154.30000000000001</v>
      </c>
      <c r="J62" s="70" t="str">
        <f ca="1">IFERROR(__xludf.DUMMYFUNCTION("""COMPUTED_VALUE"""),"Goto link: XLK")</f>
        <v>Goto link: XLK</v>
      </c>
      <c r="K62" s="19"/>
      <c r="L62" s="19"/>
      <c r="M62" s="19"/>
      <c r="N62" s="19"/>
      <c r="O62" s="59"/>
      <c r="P62" s="7"/>
      <c r="Q62" s="55"/>
      <c r="R62" s="55"/>
      <c r="S62" s="7"/>
      <c r="T62" s="55"/>
      <c r="U62" s="7"/>
      <c r="V62" s="55"/>
      <c r="W62" s="60"/>
      <c r="X62" s="55"/>
    </row>
    <row r="63" spans="1:24" ht="13" x14ac:dyDescent="0.15">
      <c r="A63" s="25" t="str">
        <f ca="1">IFERROR(__xludf.DUMMYFUNCTION("""COMPUTED_VALUE"""),"24442")</f>
        <v>24442</v>
      </c>
      <c r="B63" s="69">
        <f ca="1">IFERROR(__xludf.DUMMYFUNCTION("""COMPUTED_VALUE"""),44634)</f>
        <v>44634</v>
      </c>
      <c r="C63" s="69" t="str">
        <f ca="1">IFERROR(__xludf.DUMMYFUNCTION("""COMPUTED_VALUE"""),"Stock")</f>
        <v>Stock</v>
      </c>
      <c r="D63" s="5" t="str">
        <f ca="1">IFERROR(__xludf.DUMMYFUNCTION("""COMPUTED_VALUE"""),"XLP")</f>
        <v>XLP</v>
      </c>
      <c r="E63" s="5" t="str">
        <f ca="1">IFERROR(__xludf.DUMMYFUNCTION("""COMPUTED_VALUE"""),"USD")</f>
        <v>USD</v>
      </c>
      <c r="F63" s="55">
        <f ca="1">IFERROR(__xludf.DUMMYFUNCTION("""COMPUTED_VALUE"""),190)</f>
        <v>190</v>
      </c>
      <c r="G63" s="56">
        <f ca="1">IFERROR(__xludf.DUMMYFUNCTION("""COMPUTED_VALUE"""),7.82436055555555)</f>
        <v>7.8243605555555504</v>
      </c>
      <c r="H63" s="57">
        <f ca="1">IFERROR(__xludf.DUMMYFUNCTION("""COMPUTED_VALUE"""),71.82)</f>
        <v>71.819999999999993</v>
      </c>
      <c r="I63" s="57">
        <f ca="1">IFERROR(__xludf.DUMMYFUNCTION("""COMPUTED_VALUE"""),73.9)</f>
        <v>73.900000000000006</v>
      </c>
      <c r="J63" s="70" t="str">
        <f ca="1">IFERROR(__xludf.DUMMYFUNCTION("""COMPUTED_VALUE"""),"Goto link: XLP")</f>
        <v>Goto link: XLP</v>
      </c>
      <c r="K63" s="19"/>
      <c r="L63" s="19"/>
      <c r="M63" s="19"/>
      <c r="N63" s="19"/>
      <c r="O63" s="59"/>
      <c r="P63" s="7"/>
      <c r="Q63" s="55"/>
      <c r="R63" s="55"/>
      <c r="S63" s="7"/>
      <c r="T63" s="55"/>
      <c r="U63" s="7"/>
      <c r="V63" s="55"/>
      <c r="W63" s="60"/>
      <c r="X63" s="55"/>
    </row>
    <row r="64" spans="1:24" ht="13" x14ac:dyDescent="0.15">
      <c r="A64" s="25" t="str">
        <f ca="1">IFERROR(__xludf.DUMMYFUNCTION("""COMPUTED_VALUE"""),"24442")</f>
        <v>24442</v>
      </c>
      <c r="B64" s="69">
        <f ca="1">IFERROR(__xludf.DUMMYFUNCTION("""COMPUTED_VALUE"""),44634)</f>
        <v>44634</v>
      </c>
      <c r="C64" s="69" t="str">
        <f ca="1">IFERROR(__xludf.DUMMYFUNCTION("""COMPUTED_VALUE"""),"Stock")</f>
        <v>Stock</v>
      </c>
      <c r="D64" s="5" t="str">
        <f ca="1">IFERROR(__xludf.DUMMYFUNCTION("""COMPUTED_VALUE"""),"XLRE")</f>
        <v>XLRE</v>
      </c>
      <c r="E64" s="5" t="str">
        <f ca="1">IFERROR(__xludf.DUMMYFUNCTION("""COMPUTED_VALUE"""),"USD")</f>
        <v>USD</v>
      </c>
      <c r="F64" s="55">
        <f ca="1">IFERROR(__xludf.DUMMYFUNCTION("""COMPUTED_VALUE"""),159)</f>
        <v>159</v>
      </c>
      <c r="G64" s="56">
        <f ca="1">IFERROR(__xludf.DUMMYFUNCTION("""COMPUTED_VALUE"""),7.82436055555555)</f>
        <v>7.8243605555555504</v>
      </c>
      <c r="H64" s="57">
        <f ca="1">IFERROR(__xludf.DUMMYFUNCTION("""COMPUTED_VALUE"""),45.59)</f>
        <v>45.59</v>
      </c>
      <c r="I64" s="57">
        <f ca="1">IFERROR(__xludf.DUMMYFUNCTION("""COMPUTED_VALUE"""),46.22)</f>
        <v>46.22</v>
      </c>
      <c r="J64" s="70" t="str">
        <f ca="1">IFERROR(__xludf.DUMMYFUNCTION("""COMPUTED_VALUE"""),"Goto link: XLRE")</f>
        <v>Goto link: XLRE</v>
      </c>
      <c r="K64" s="19"/>
      <c r="L64" s="19"/>
      <c r="M64" s="19"/>
      <c r="N64" s="19"/>
      <c r="O64" s="59"/>
      <c r="P64" s="7"/>
      <c r="Q64" s="55"/>
      <c r="R64" s="55"/>
      <c r="S64" s="7"/>
      <c r="T64" s="55"/>
      <c r="U64" s="7"/>
      <c r="V64" s="55"/>
      <c r="W64" s="60"/>
      <c r="X64" s="55"/>
    </row>
    <row r="65" spans="1:24" ht="13" x14ac:dyDescent="0.15">
      <c r="A65" s="25" t="str">
        <f ca="1">IFERROR(__xludf.DUMMYFUNCTION("""COMPUTED_VALUE"""),"24442")</f>
        <v>24442</v>
      </c>
      <c r="B65" s="69">
        <f ca="1">IFERROR(__xludf.DUMMYFUNCTION("""COMPUTED_VALUE"""),44634)</f>
        <v>44634</v>
      </c>
      <c r="C65" s="69" t="str">
        <f ca="1">IFERROR(__xludf.DUMMYFUNCTION("""COMPUTED_VALUE"""),"Stock")</f>
        <v>Stock</v>
      </c>
      <c r="D65" s="5" t="str">
        <f ca="1">IFERROR(__xludf.DUMMYFUNCTION("""COMPUTED_VALUE"""),"XLU")</f>
        <v>XLU</v>
      </c>
      <c r="E65" s="5" t="str">
        <f ca="1">IFERROR(__xludf.DUMMYFUNCTION("""COMPUTED_VALUE"""),"USD")</f>
        <v>USD</v>
      </c>
      <c r="F65" s="55">
        <f ca="1">IFERROR(__xludf.DUMMYFUNCTION("""COMPUTED_VALUE"""),112)</f>
        <v>112</v>
      </c>
      <c r="G65" s="56">
        <f ca="1">IFERROR(__xludf.DUMMYFUNCTION("""COMPUTED_VALUE"""),7.82436055555555)</f>
        <v>7.8243605555555504</v>
      </c>
      <c r="H65" s="57">
        <f ca="1">IFERROR(__xludf.DUMMYFUNCTION("""COMPUTED_VALUE"""),70.35)</f>
        <v>70.349999999999994</v>
      </c>
      <c r="I65" s="57">
        <f ca="1">IFERROR(__xludf.DUMMYFUNCTION("""COMPUTED_VALUE"""),71.01)</f>
        <v>71.010000000000005</v>
      </c>
      <c r="J65" s="70" t="str">
        <f ca="1">IFERROR(__xludf.DUMMYFUNCTION("""COMPUTED_VALUE"""),"Goto link: XLU")</f>
        <v>Goto link: XLU</v>
      </c>
      <c r="K65" s="19"/>
      <c r="L65" s="19"/>
      <c r="M65" s="19"/>
      <c r="N65" s="19"/>
      <c r="O65" s="59"/>
      <c r="P65" s="7"/>
      <c r="Q65" s="55"/>
      <c r="R65" s="55"/>
      <c r="S65" s="7"/>
      <c r="T65" s="55"/>
      <c r="U65" s="7"/>
      <c r="V65" s="55"/>
      <c r="W65" s="60"/>
      <c r="X65" s="55"/>
    </row>
    <row r="66" spans="1:24" ht="13" x14ac:dyDescent="0.15">
      <c r="A66" s="25" t="str">
        <f ca="1">IFERROR(__xludf.DUMMYFUNCTION("""COMPUTED_VALUE"""),"24442")</f>
        <v>24442</v>
      </c>
      <c r="B66" s="69">
        <f ca="1">IFERROR(__xludf.DUMMYFUNCTION("""COMPUTED_VALUE"""),44634)</f>
        <v>44634</v>
      </c>
      <c r="C66" s="69" t="str">
        <f ca="1">IFERROR(__xludf.DUMMYFUNCTION("""COMPUTED_VALUE"""),"Stock")</f>
        <v>Stock</v>
      </c>
      <c r="D66" s="5" t="str">
        <f ca="1">IFERROR(__xludf.DUMMYFUNCTION("""COMPUTED_VALUE"""),"XLV")</f>
        <v>XLV</v>
      </c>
      <c r="E66" s="5" t="str">
        <f ca="1">IFERROR(__xludf.DUMMYFUNCTION("""COMPUTED_VALUE"""),"USD")</f>
        <v>USD</v>
      </c>
      <c r="F66" s="55">
        <f ca="1">IFERROR(__xludf.DUMMYFUNCTION("""COMPUTED_VALUE"""),48)</f>
        <v>48</v>
      </c>
      <c r="G66" s="56">
        <f ca="1">IFERROR(__xludf.DUMMYFUNCTION("""COMPUTED_VALUE"""),7.82436055555555)</f>
        <v>7.8243605555555504</v>
      </c>
      <c r="H66" s="57">
        <f ca="1">IFERROR(__xludf.DUMMYFUNCTION("""COMPUTED_VALUE"""),129.85)</f>
        <v>129.85</v>
      </c>
      <c r="I66" s="57">
        <f ca="1">IFERROR(__xludf.DUMMYFUNCTION("""COMPUTED_VALUE"""),134.04)</f>
        <v>134.04</v>
      </c>
      <c r="J66" s="70" t="str">
        <f ca="1">IFERROR(__xludf.DUMMYFUNCTION("""COMPUTED_VALUE"""),"Goto link: XLV")</f>
        <v>Goto link: XLV</v>
      </c>
      <c r="K66" s="19"/>
      <c r="L66" s="19"/>
      <c r="M66" s="19"/>
      <c r="N66" s="19"/>
      <c r="O66" s="59"/>
      <c r="P66" s="7"/>
      <c r="Q66" s="55"/>
      <c r="R66" s="55"/>
      <c r="S66" s="7"/>
      <c r="T66" s="55"/>
      <c r="U66" s="7"/>
      <c r="V66" s="55"/>
      <c r="W66" s="60"/>
      <c r="X66" s="55"/>
    </row>
    <row r="67" spans="1:24" ht="13" x14ac:dyDescent="0.15">
      <c r="A67" s="25" t="str">
        <f ca="1">IFERROR(__xludf.DUMMYFUNCTION("""COMPUTED_VALUE"""),"24442")</f>
        <v>24442</v>
      </c>
      <c r="B67" s="69">
        <f ca="1">IFERROR(__xludf.DUMMYFUNCTION("""COMPUTED_VALUE"""),44634)</f>
        <v>44634</v>
      </c>
      <c r="C67" s="69" t="str">
        <f ca="1">IFERROR(__xludf.DUMMYFUNCTION("""COMPUTED_VALUE"""),"Stock")</f>
        <v>Stock</v>
      </c>
      <c r="D67" s="5" t="str">
        <f ca="1">IFERROR(__xludf.DUMMYFUNCTION("""COMPUTED_VALUE"""),"XLY")</f>
        <v>XLY</v>
      </c>
      <c r="E67" s="5" t="str">
        <f ca="1">IFERROR(__xludf.DUMMYFUNCTION("""COMPUTED_VALUE"""),"USD")</f>
        <v>USD</v>
      </c>
      <c r="F67" s="55">
        <f ca="1">IFERROR(__xludf.DUMMYFUNCTION("""COMPUTED_VALUE"""),26)</f>
        <v>26</v>
      </c>
      <c r="G67" s="56">
        <f ca="1">IFERROR(__xludf.DUMMYFUNCTION("""COMPUTED_VALUE"""),7.82436055555555)</f>
        <v>7.8243605555555504</v>
      </c>
      <c r="H67" s="57">
        <f ca="1">IFERROR(__xludf.DUMMYFUNCTION("""COMPUTED_VALUE"""),163.94)</f>
        <v>163.94</v>
      </c>
      <c r="I67" s="57">
        <f ca="1">IFERROR(__xludf.DUMMYFUNCTION("""COMPUTED_VALUE"""),182.26)</f>
        <v>182.26</v>
      </c>
      <c r="J67" s="70" t="str">
        <f ca="1">IFERROR(__xludf.DUMMYFUNCTION("""COMPUTED_VALUE"""),"Goto link: XLY")</f>
        <v>Goto link: XLY</v>
      </c>
      <c r="K67" s="19"/>
      <c r="L67" s="19"/>
      <c r="M67" s="19"/>
      <c r="N67" s="19"/>
      <c r="O67" s="59"/>
      <c r="P67" s="7"/>
      <c r="Q67" s="55"/>
      <c r="R67" s="55"/>
      <c r="S67" s="7"/>
      <c r="T67" s="55"/>
      <c r="U67" s="7"/>
      <c r="V67" s="55"/>
      <c r="W67" s="60"/>
      <c r="X67" s="55"/>
    </row>
    <row r="68" spans="1:24" ht="13" x14ac:dyDescent="0.15">
      <c r="A68" s="25" t="str">
        <f ca="1">IFERROR(__xludf.DUMMYFUNCTION("""COMPUTED_VALUE"""),"24442 Total")</f>
        <v>24442 Total</v>
      </c>
      <c r="B68" s="5"/>
      <c r="C68" s="69"/>
      <c r="D68" s="5"/>
      <c r="E68" s="5"/>
      <c r="F68" s="55"/>
      <c r="G68" s="56">
        <f ca="1">IFERROR(__xludf.DUMMYFUNCTION("""COMPUTED_VALUE"""),5.45064087803845)</f>
        <v>5.4506408780384499</v>
      </c>
      <c r="H68" s="57">
        <f ca="1">IFERROR(__xludf.DUMMYFUNCTION("""COMPUTED_VALUE"""),72100)</f>
        <v>72100</v>
      </c>
      <c r="I68" s="57" t="str">
        <f ca="1">IFERROR(__xludf.DUMMYFUNCTION("""COMPUTED_VALUE"""),"")</f>
        <v/>
      </c>
      <c r="J68" s="19" t="str">
        <f ca="1">IFERROR(__xludf.DUMMYFUNCTION("""COMPUTED_VALUE"""),"")</f>
        <v/>
      </c>
      <c r="K68" s="19"/>
      <c r="L68" s="19"/>
      <c r="M68" s="19"/>
      <c r="N68" s="19"/>
      <c r="O68" s="59"/>
      <c r="P68" s="7"/>
      <c r="Q68" s="55"/>
      <c r="R68" s="55"/>
      <c r="S68" s="7"/>
      <c r="T68" s="55"/>
      <c r="U68" s="7"/>
      <c r="V68" s="55"/>
      <c r="W68" s="60"/>
      <c r="X68" s="55"/>
    </row>
    <row r="69" spans="1:24" ht="13" x14ac:dyDescent="0.15">
      <c r="A69" s="25" t="str">
        <f ca="1">IFERROR(__xludf.DUMMYFUNCTION("""COMPUTED_VALUE"""),"32312")</f>
        <v>32312</v>
      </c>
      <c r="B69" s="69">
        <f ca="1">IFERROR(__xludf.DUMMYFUNCTION("""COMPUTED_VALUE"""),44597)</f>
        <v>44597</v>
      </c>
      <c r="C69" s="69" t="str">
        <f ca="1">IFERROR(__xludf.DUMMYFUNCTION("""COMPUTED_VALUE"""),"Cash")</f>
        <v>Cash</v>
      </c>
      <c r="D69" s="5" t="str">
        <f ca="1">IFERROR(__xludf.DUMMYFUNCTION("""COMPUTED_VALUE"""),"Cash")</f>
        <v>Cash</v>
      </c>
      <c r="E69" s="5" t="str">
        <f ca="1">IFERROR(__xludf.DUMMYFUNCTION("""COMPUTED_VALUE"""),"HKD")</f>
        <v>HKD</v>
      </c>
      <c r="F69" s="55" t="str">
        <f ca="1">IFERROR(__xludf.DUMMYFUNCTION("""COMPUTED_VALUE"""),"")</f>
        <v/>
      </c>
      <c r="G69" s="56">
        <f ca="1">IFERROR(__xludf.DUMMYFUNCTION("""COMPUTED_VALUE"""),1)</f>
        <v>1</v>
      </c>
      <c r="H69" s="57">
        <f ca="1">IFERROR(__xludf.DUMMYFUNCTION("""COMPUTED_VALUE"""),1)</f>
        <v>1</v>
      </c>
      <c r="I69" s="57">
        <f ca="1">IFERROR(__xludf.DUMMYFUNCTION("""COMPUTED_VALUE"""),1)</f>
        <v>1</v>
      </c>
      <c r="J69" s="19" t="str">
        <f ca="1">IFERROR(__xludf.DUMMYFUNCTION("""COMPUTED_VALUE"""),"")</f>
        <v/>
      </c>
      <c r="K69" s="19"/>
      <c r="L69" s="19"/>
      <c r="M69" s="19"/>
      <c r="N69" s="19"/>
      <c r="O69" s="59"/>
      <c r="P69" s="7"/>
      <c r="Q69" s="55"/>
      <c r="R69" s="55"/>
      <c r="S69" s="7"/>
      <c r="T69" s="55"/>
      <c r="U69" s="7"/>
      <c r="V69" s="55"/>
      <c r="W69" s="60"/>
      <c r="X69" s="55"/>
    </row>
    <row r="70" spans="1:24" ht="13" x14ac:dyDescent="0.15">
      <c r="A70" s="25" t="str">
        <f ca="1">IFERROR(__xludf.DUMMYFUNCTION("""COMPUTED_VALUE"""),"32312")</f>
        <v>32312</v>
      </c>
      <c r="B70" s="69">
        <f ca="1">IFERROR(__xludf.DUMMYFUNCTION("""COMPUTED_VALUE"""),44608)</f>
        <v>44608</v>
      </c>
      <c r="C70" s="69" t="str">
        <f ca="1">IFERROR(__xludf.DUMMYFUNCTION("""COMPUTED_VALUE"""),"Stock")</f>
        <v>Stock</v>
      </c>
      <c r="D70" s="5" t="str">
        <f ca="1">IFERROR(__xludf.DUMMYFUNCTION("""COMPUTED_VALUE"""),"TSLA")</f>
        <v>TSLA</v>
      </c>
      <c r="E70" s="5" t="str">
        <f ca="1">IFERROR(__xludf.DUMMYFUNCTION("""COMPUTED_VALUE"""),"USD")</f>
        <v>USD</v>
      </c>
      <c r="F70" s="55">
        <f ca="1">IFERROR(__xludf.DUMMYFUNCTION("""COMPUTED_VALUE"""),0)</f>
        <v>0</v>
      </c>
      <c r="G70" s="56">
        <f ca="1">IFERROR(__xludf.DUMMYFUNCTION("""COMPUTED_VALUE"""),7.81519271428571)</f>
        <v>7.8151927142857103</v>
      </c>
      <c r="H70" s="57">
        <f ca="1">IFERROR(__xludf.DUMMYFUNCTION("""COMPUTED_VALUE"""),0)</f>
        <v>0</v>
      </c>
      <c r="I70" s="57">
        <f ca="1">IFERROR(__xludf.DUMMYFUNCTION("""COMPUTED_VALUE"""),999.11)</f>
        <v>999.11</v>
      </c>
      <c r="J70" s="70" t="str">
        <f ca="1">IFERROR(__xludf.DUMMYFUNCTION("""COMPUTED_VALUE"""),"Goto link: TSLA")</f>
        <v>Goto link: TSLA</v>
      </c>
      <c r="K70" s="19"/>
      <c r="L70" s="19"/>
      <c r="M70" s="19"/>
      <c r="N70" s="19"/>
      <c r="O70" s="59"/>
      <c r="P70" s="7"/>
      <c r="Q70" s="55"/>
      <c r="R70" s="55"/>
      <c r="S70" s="7"/>
      <c r="T70" s="55"/>
      <c r="U70" s="7"/>
      <c r="V70" s="55"/>
      <c r="W70" s="60"/>
      <c r="X70" s="55"/>
    </row>
    <row r="71" spans="1:24" ht="13" x14ac:dyDescent="0.15">
      <c r="A71" s="25" t="str">
        <f ca="1">IFERROR(__xludf.DUMMYFUNCTION("""COMPUTED_VALUE"""),"32312")</f>
        <v>32312</v>
      </c>
      <c r="B71" s="69">
        <f ca="1">IFERROR(__xludf.DUMMYFUNCTION("""COMPUTED_VALUE"""),44609)</f>
        <v>44609</v>
      </c>
      <c r="C71" s="69" t="str">
        <f ca="1">IFERROR(__xludf.DUMMYFUNCTION("""COMPUTED_VALUE"""),"Stock")</f>
        <v>Stock</v>
      </c>
      <c r="D71" s="5" t="str">
        <f ca="1">IFERROR(__xludf.DUMMYFUNCTION("""COMPUTED_VALUE"""),"TSLA")</f>
        <v>TSLA</v>
      </c>
      <c r="E71" s="5" t="str">
        <f ca="1">IFERROR(__xludf.DUMMYFUNCTION("""COMPUTED_VALUE"""),"USD")</f>
        <v>USD</v>
      </c>
      <c r="F71" s="55">
        <f ca="1">IFERROR(__xludf.DUMMYFUNCTION("""COMPUTED_VALUE"""),18)</f>
        <v>18</v>
      </c>
      <c r="G71" s="56">
        <f ca="1">IFERROR(__xludf.DUMMYFUNCTION("""COMPUTED_VALUE"""),7.81562485294117)</f>
        <v>7.8156248529411698</v>
      </c>
      <c r="H71" s="57">
        <f ca="1">IFERROR(__xludf.DUMMYFUNCTION("""COMPUTED_VALUE"""),876.35)</f>
        <v>876.35</v>
      </c>
      <c r="I71" s="57">
        <f ca="1">IFERROR(__xludf.DUMMYFUNCTION("""COMPUTED_VALUE"""),999.11)</f>
        <v>999.11</v>
      </c>
      <c r="J71" s="70" t="str">
        <f ca="1">IFERROR(__xludf.DUMMYFUNCTION("""COMPUTED_VALUE"""),"Goto link: TSLA")</f>
        <v>Goto link: TSLA</v>
      </c>
      <c r="K71" s="19"/>
      <c r="L71" s="19"/>
      <c r="M71" s="19"/>
      <c r="N71" s="19"/>
      <c r="O71" s="59"/>
      <c r="P71" s="7"/>
      <c r="Q71" s="55"/>
      <c r="R71" s="55"/>
      <c r="S71" s="7"/>
      <c r="T71" s="55"/>
      <c r="U71" s="7"/>
      <c r="V71" s="55"/>
      <c r="W71" s="60"/>
      <c r="X71" s="55"/>
    </row>
    <row r="72" spans="1:24" ht="13" x14ac:dyDescent="0.15">
      <c r="A72" s="25" t="str">
        <f ca="1">IFERROR(__xludf.DUMMYFUNCTION("""COMPUTED_VALUE"""),"32312")</f>
        <v>32312</v>
      </c>
      <c r="B72" s="69">
        <f ca="1">IFERROR(__xludf.DUMMYFUNCTION("""COMPUTED_VALUE"""),44610)</f>
        <v>44610</v>
      </c>
      <c r="C72" s="69" t="str">
        <f ca="1">IFERROR(__xludf.DUMMYFUNCTION("""COMPUTED_VALUE"""),"Stock")</f>
        <v>Stock</v>
      </c>
      <c r="D72" s="5" t="str">
        <f ca="1">IFERROR(__xludf.DUMMYFUNCTION("""COMPUTED_VALUE"""),"ANPDY")</f>
        <v>ANPDY</v>
      </c>
      <c r="E72" s="5" t="str">
        <f ca="1">IFERROR(__xludf.DUMMYFUNCTION("""COMPUTED_VALUE"""),"USD")</f>
        <v>USD</v>
      </c>
      <c r="F72" s="55">
        <f ca="1">IFERROR(__xludf.DUMMYFUNCTION("""COMPUTED_VALUE"""),30)</f>
        <v>30</v>
      </c>
      <c r="G72" s="56">
        <f ca="1">IFERROR(__xludf.DUMMYFUNCTION("""COMPUTED_VALUE"""),7.81612515151515)</f>
        <v>7.8161251515151502</v>
      </c>
      <c r="H72" s="57">
        <f ca="1">IFERROR(__xludf.DUMMYFUNCTION("""COMPUTED_VALUE"""),397.5)</f>
        <v>397.5</v>
      </c>
      <c r="I72" s="57">
        <f ca="1">IFERROR(__xludf.DUMMYFUNCTION("""COMPUTED_VALUE"""),308.83)</f>
        <v>308.83</v>
      </c>
      <c r="J72" s="70" t="str">
        <f ca="1">IFERROR(__xludf.DUMMYFUNCTION("""COMPUTED_VALUE"""),"Goto link: ANPDY")</f>
        <v>Goto link: ANPDY</v>
      </c>
      <c r="K72" s="19"/>
      <c r="L72" s="19"/>
      <c r="M72" s="19"/>
      <c r="N72" s="19"/>
      <c r="O72" s="59"/>
      <c r="P72" s="7"/>
      <c r="Q72" s="55"/>
      <c r="R72" s="55"/>
      <c r="S72" s="7"/>
      <c r="T72" s="55"/>
      <c r="U72" s="7"/>
      <c r="V72" s="55"/>
      <c r="W72" s="60"/>
      <c r="X72" s="55"/>
    </row>
    <row r="73" spans="1:24" ht="13" x14ac:dyDescent="0.15">
      <c r="A73" s="25" t="str">
        <f ca="1">IFERROR(__xludf.DUMMYFUNCTION("""COMPUTED_VALUE"""),"32312")</f>
        <v>32312</v>
      </c>
      <c r="B73" s="69">
        <f ca="1">IFERROR(__xludf.DUMMYFUNCTION("""COMPUTED_VALUE"""),44616)</f>
        <v>44616</v>
      </c>
      <c r="C73" s="69" t="str">
        <f ca="1">IFERROR(__xludf.DUMMYFUNCTION("""COMPUTED_VALUE"""),"Stock")</f>
        <v>Stock</v>
      </c>
      <c r="D73" s="5" t="str">
        <f ca="1">IFERROR(__xludf.DUMMYFUNCTION("""COMPUTED_VALUE"""),"GOLD")</f>
        <v>GOLD</v>
      </c>
      <c r="E73" s="5" t="str">
        <f ca="1">IFERROR(__xludf.DUMMYFUNCTION("""COMPUTED_VALUE"""),"USD")</f>
        <v>USD</v>
      </c>
      <c r="F73" s="55">
        <f ca="1">IFERROR(__xludf.DUMMYFUNCTION("""COMPUTED_VALUE"""),888)</f>
        <v>888</v>
      </c>
      <c r="G73" s="56">
        <f ca="1">IFERROR(__xludf.DUMMYFUNCTION("""COMPUTED_VALUE"""),7.81935777777777)</f>
        <v>7.8193577777777703</v>
      </c>
      <c r="H73" s="57">
        <f ca="1">IFERROR(__xludf.DUMMYFUNCTION("""COMPUTED_VALUE"""),22.54)</f>
        <v>22.54</v>
      </c>
      <c r="I73" s="57">
        <f ca="1">IFERROR(__xludf.DUMMYFUNCTION("""COMPUTED_VALUE"""),24.57)</f>
        <v>24.57</v>
      </c>
      <c r="J73" s="70" t="str">
        <f ca="1">IFERROR(__xludf.DUMMYFUNCTION("""COMPUTED_VALUE"""),"Goto link: GOLD")</f>
        <v>Goto link: GOLD</v>
      </c>
      <c r="K73" s="19"/>
      <c r="L73" s="19"/>
      <c r="M73" s="19"/>
      <c r="N73" s="19"/>
      <c r="O73" s="59"/>
      <c r="P73" s="7"/>
      <c r="Q73" s="55"/>
      <c r="R73" s="55"/>
      <c r="S73" s="7"/>
      <c r="T73" s="55"/>
      <c r="U73" s="7"/>
      <c r="V73" s="55"/>
      <c r="W73" s="60"/>
      <c r="X73" s="55"/>
    </row>
    <row r="74" spans="1:24" ht="13" x14ac:dyDescent="0.15">
      <c r="A74" s="25" t="str">
        <f ca="1">IFERROR(__xludf.DUMMYFUNCTION("""COMPUTED_VALUE"""),"32312")</f>
        <v>32312</v>
      </c>
      <c r="B74" s="69">
        <f ca="1">IFERROR(__xludf.DUMMYFUNCTION("""COMPUTED_VALUE"""),44623)</f>
        <v>44623</v>
      </c>
      <c r="C74" s="69" t="str">
        <f ca="1">IFERROR(__xludf.DUMMYFUNCTION("""COMPUTED_VALUE"""),"Stock")</f>
        <v>Stock</v>
      </c>
      <c r="D74" s="5" t="str">
        <f ca="1">IFERROR(__xludf.DUMMYFUNCTION("""COMPUTED_VALUE"""),"GOLD")</f>
        <v>GOLD</v>
      </c>
      <c r="E74" s="5" t="str">
        <f ca="1">IFERROR(__xludf.DUMMYFUNCTION("""COMPUTED_VALUE"""),"USD")</f>
        <v>USD</v>
      </c>
      <c r="F74" s="55">
        <f ca="1">IFERROR(__xludf.DUMMYFUNCTION("""COMPUTED_VALUE"""),-388)</f>
        <v>-388</v>
      </c>
      <c r="G74" s="56">
        <f ca="1">IFERROR(__xludf.DUMMYFUNCTION("""COMPUTED_VALUE"""),7.82232825)</f>
        <v>7.82232825</v>
      </c>
      <c r="H74" s="57">
        <f ca="1">IFERROR(__xludf.DUMMYFUNCTION("""COMPUTED_VALUE"""),23.57)</f>
        <v>23.57</v>
      </c>
      <c r="I74" s="57">
        <f ca="1">IFERROR(__xludf.DUMMYFUNCTION("""COMPUTED_VALUE"""),24.57)</f>
        <v>24.57</v>
      </c>
      <c r="J74" s="70" t="str">
        <f ca="1">IFERROR(__xludf.DUMMYFUNCTION("""COMPUTED_VALUE"""),"Goto link: GOLD")</f>
        <v>Goto link: GOLD</v>
      </c>
      <c r="K74" s="19"/>
      <c r="L74" s="19"/>
      <c r="M74" s="19"/>
      <c r="N74" s="19"/>
      <c r="O74" s="59"/>
      <c r="P74" s="7"/>
      <c r="Q74" s="55"/>
      <c r="R74" s="55"/>
      <c r="S74" s="7"/>
      <c r="T74" s="55"/>
      <c r="U74" s="7"/>
      <c r="V74" s="55"/>
      <c r="W74" s="60"/>
      <c r="X74" s="55"/>
    </row>
    <row r="75" spans="1:24" ht="13" x14ac:dyDescent="0.15">
      <c r="A75" s="25" t="str">
        <f ca="1">IFERROR(__xludf.DUMMYFUNCTION("""COMPUTED_VALUE"""),"32312")</f>
        <v>32312</v>
      </c>
      <c r="B75" s="69">
        <f ca="1">IFERROR(__xludf.DUMMYFUNCTION("""COMPUTED_VALUE"""),44624)</f>
        <v>44624</v>
      </c>
      <c r="C75" s="69" t="str">
        <f ca="1">IFERROR(__xludf.DUMMYFUNCTION("""COMPUTED_VALUE"""),"Stock")</f>
        <v>Stock</v>
      </c>
      <c r="D75" s="5" t="str">
        <f ca="1">IFERROR(__xludf.DUMMYFUNCTION("""COMPUTED_VALUE"""),"TSLA")</f>
        <v>TSLA</v>
      </c>
      <c r="E75" s="5" t="str">
        <f ca="1">IFERROR(__xludf.DUMMYFUNCTION("""COMPUTED_VALUE"""),"USD")</f>
        <v>USD</v>
      </c>
      <c r="F75" s="55">
        <f ca="1">IFERROR(__xludf.DUMMYFUNCTION("""COMPUTED_VALUE"""),18)</f>
        <v>18</v>
      </c>
      <c r="G75" s="56">
        <f ca="1">IFERROR(__xludf.DUMMYFUNCTION("""COMPUTED_VALUE"""),7.82266921052631)</f>
        <v>7.8226692105263096</v>
      </c>
      <c r="H75" s="57">
        <f ca="1">IFERROR(__xludf.DUMMYFUNCTION("""COMPUTED_VALUE"""),838.29)</f>
        <v>838.29</v>
      </c>
      <c r="I75" s="57">
        <f ca="1">IFERROR(__xludf.DUMMYFUNCTION("""COMPUTED_VALUE"""),999.11)</f>
        <v>999.11</v>
      </c>
      <c r="J75" s="70" t="str">
        <f ca="1">IFERROR(__xludf.DUMMYFUNCTION("""COMPUTED_VALUE"""),"Goto link: TSLA")</f>
        <v>Goto link: TSLA</v>
      </c>
      <c r="K75" s="19"/>
      <c r="L75" s="19"/>
      <c r="M75" s="19"/>
      <c r="N75" s="19"/>
      <c r="O75" s="59"/>
      <c r="P75" s="7"/>
      <c r="Q75" s="55"/>
      <c r="R75" s="55"/>
      <c r="S75" s="7"/>
      <c r="T75" s="55"/>
      <c r="U75" s="7"/>
      <c r="V75" s="55"/>
      <c r="W75" s="60"/>
      <c r="X75" s="55"/>
    </row>
    <row r="76" spans="1:24" ht="13" x14ac:dyDescent="0.15">
      <c r="A76" s="25" t="str">
        <f ca="1">IFERROR(__xludf.DUMMYFUNCTION("""COMPUTED_VALUE"""),"32312")</f>
        <v>32312</v>
      </c>
      <c r="B76" s="69">
        <f ca="1">IFERROR(__xludf.DUMMYFUNCTION("""COMPUTED_VALUE"""),44629)</f>
        <v>44629</v>
      </c>
      <c r="C76" s="69" t="str">
        <f ca="1">IFERROR(__xludf.DUMMYFUNCTION("""COMPUTED_VALUE"""),"Stock")</f>
        <v>Stock</v>
      </c>
      <c r="D76" s="5" t="str">
        <f ca="1">IFERROR(__xludf.DUMMYFUNCTION("""COMPUTED_VALUE"""),"ANPDY")</f>
        <v>ANPDY</v>
      </c>
      <c r="E76" s="5" t="str">
        <f ca="1">IFERROR(__xludf.DUMMYFUNCTION("""COMPUTED_VALUE"""),"USD")</f>
        <v>USD</v>
      </c>
      <c r="F76" s="55">
        <f ca="1">IFERROR(__xludf.DUMMYFUNCTION("""COMPUTED_VALUE"""),-30)</f>
        <v>-30</v>
      </c>
      <c r="G76" s="56">
        <f ca="1">IFERROR(__xludf.DUMMYFUNCTION("""COMPUTED_VALUE"""),7.82494821428571)</f>
        <v>7.8249482142857101</v>
      </c>
      <c r="H76" s="57">
        <f ca="1">IFERROR(__xludf.DUMMYFUNCTION("""COMPUTED_VALUE"""),314.05)</f>
        <v>314.05</v>
      </c>
      <c r="I76" s="57">
        <f ca="1">IFERROR(__xludf.DUMMYFUNCTION("""COMPUTED_VALUE"""),308.83)</f>
        <v>308.83</v>
      </c>
      <c r="J76" s="70" t="str">
        <f ca="1">IFERROR(__xludf.DUMMYFUNCTION("""COMPUTED_VALUE"""),"Goto link: ANPDY")</f>
        <v>Goto link: ANPDY</v>
      </c>
      <c r="K76" s="19"/>
      <c r="L76" s="19"/>
      <c r="M76" s="19"/>
      <c r="N76" s="19"/>
      <c r="O76" s="59"/>
      <c r="P76" s="7"/>
      <c r="Q76" s="55"/>
      <c r="R76" s="55"/>
      <c r="S76" s="7"/>
      <c r="T76" s="55"/>
      <c r="U76" s="7"/>
      <c r="V76" s="55"/>
      <c r="W76" s="60"/>
      <c r="X76" s="55"/>
    </row>
    <row r="77" spans="1:24" ht="13" x14ac:dyDescent="0.15">
      <c r="A77" s="25" t="str">
        <f ca="1">IFERROR(__xludf.DUMMYFUNCTION("""COMPUTED_VALUE"""),"32312")</f>
        <v>32312</v>
      </c>
      <c r="B77" s="69">
        <f ca="1">IFERROR(__xludf.DUMMYFUNCTION("""COMPUTED_VALUE"""),44641)</f>
        <v>44641</v>
      </c>
      <c r="C77" s="69" t="str">
        <f ca="1">IFERROR(__xludf.DUMMYFUNCTION("""COMPUTED_VALUE"""),"Stock")</f>
        <v>Stock</v>
      </c>
      <c r="D77" s="5" t="str">
        <f ca="1">IFERROR(__xludf.DUMMYFUNCTION("""COMPUTED_VALUE"""),"TSLA")</f>
        <v>TSLA</v>
      </c>
      <c r="E77" s="5" t="str">
        <f ca="1">IFERROR(__xludf.DUMMYFUNCTION("""COMPUTED_VALUE"""),"USD")</f>
        <v>USD</v>
      </c>
      <c r="F77" s="55">
        <f ca="1">IFERROR(__xludf.DUMMYFUNCTION("""COMPUTED_VALUE"""),-36)</f>
        <v>-36</v>
      </c>
      <c r="G77" s="56">
        <f ca="1">IFERROR(__xludf.DUMMYFUNCTION("""COMPUTED_VALUE"""),7.8262)</f>
        <v>7.8262</v>
      </c>
      <c r="H77" s="57">
        <f ca="1">IFERROR(__xludf.DUMMYFUNCTION("""COMPUTED_VALUE"""),921.16)</f>
        <v>921.16</v>
      </c>
      <c r="I77" s="57">
        <f ca="1">IFERROR(__xludf.DUMMYFUNCTION("""COMPUTED_VALUE"""),999.11)</f>
        <v>999.11</v>
      </c>
      <c r="J77" s="70" t="str">
        <f ca="1">IFERROR(__xludf.DUMMYFUNCTION("""COMPUTED_VALUE"""),"Goto link: TSLA")</f>
        <v>Goto link: TSLA</v>
      </c>
      <c r="K77" s="19"/>
      <c r="L77" s="19"/>
      <c r="M77" s="19"/>
      <c r="N77" s="19"/>
      <c r="O77" s="59"/>
      <c r="P77" s="7"/>
      <c r="Q77" s="55"/>
      <c r="R77" s="55"/>
      <c r="S77" s="7"/>
      <c r="T77" s="55"/>
      <c r="U77" s="7"/>
      <c r="V77" s="55"/>
      <c r="W77" s="60"/>
      <c r="X77" s="55"/>
    </row>
    <row r="78" spans="1:24" ht="13" x14ac:dyDescent="0.15">
      <c r="A78" s="25" t="str">
        <f ca="1">IFERROR(__xludf.DUMMYFUNCTION("""COMPUTED_VALUE"""),"32312 Total")</f>
        <v>32312 Total</v>
      </c>
      <c r="B78" s="5"/>
      <c r="C78" s="69"/>
      <c r="D78" s="5"/>
      <c r="E78" s="5"/>
      <c r="F78" s="55"/>
      <c r="G78" s="56">
        <f ca="1">IFERROR(__xludf.DUMMYFUNCTION("""COMPUTED_VALUE"""),6.45476841304346)</f>
        <v>6.4547684130434604</v>
      </c>
      <c r="H78" s="57">
        <f ca="1">IFERROR(__xludf.DUMMYFUNCTION("""COMPUTED_VALUE"""),921.16)</f>
        <v>921.16</v>
      </c>
      <c r="I78" s="57" t="str">
        <f ca="1">IFERROR(__xludf.DUMMYFUNCTION("""COMPUTED_VALUE"""),"")</f>
        <v/>
      </c>
      <c r="J78" s="19" t="str">
        <f ca="1">IFERROR(__xludf.DUMMYFUNCTION("""COMPUTED_VALUE"""),"")</f>
        <v/>
      </c>
      <c r="K78" s="19"/>
      <c r="L78" s="19"/>
      <c r="M78" s="19"/>
      <c r="N78" s="19"/>
      <c r="O78" s="59"/>
      <c r="P78" s="7"/>
      <c r="Q78" s="55"/>
      <c r="R78" s="55"/>
      <c r="S78" s="7"/>
      <c r="T78" s="55"/>
      <c r="U78" s="7"/>
      <c r="V78" s="55"/>
      <c r="W78" s="60"/>
      <c r="X78" s="55"/>
    </row>
    <row r="79" spans="1:24" ht="13" x14ac:dyDescent="0.15">
      <c r="A79" s="25" t="str">
        <f ca="1">IFERROR(__xludf.DUMMYFUNCTION("""COMPUTED_VALUE"""),"32582")</f>
        <v>32582</v>
      </c>
      <c r="B79" s="69">
        <f ca="1">IFERROR(__xludf.DUMMYFUNCTION("""COMPUTED_VALUE"""),44597)</f>
        <v>44597</v>
      </c>
      <c r="C79" s="69" t="str">
        <f ca="1">IFERROR(__xludf.DUMMYFUNCTION("""COMPUTED_VALUE"""),"Cash")</f>
        <v>Cash</v>
      </c>
      <c r="D79" s="5" t="str">
        <f ca="1">IFERROR(__xludf.DUMMYFUNCTION("""COMPUTED_VALUE"""),"Cash")</f>
        <v>Cash</v>
      </c>
      <c r="E79" s="5" t="str">
        <f ca="1">IFERROR(__xludf.DUMMYFUNCTION("""COMPUTED_VALUE"""),"HKD")</f>
        <v>HKD</v>
      </c>
      <c r="F79" s="55" t="str">
        <f ca="1">IFERROR(__xludf.DUMMYFUNCTION("""COMPUTED_VALUE"""),"")</f>
        <v/>
      </c>
      <c r="G79" s="56">
        <f ca="1">IFERROR(__xludf.DUMMYFUNCTION("""COMPUTED_VALUE"""),1)</f>
        <v>1</v>
      </c>
      <c r="H79" s="57">
        <f ca="1">IFERROR(__xludf.DUMMYFUNCTION("""COMPUTED_VALUE"""),1)</f>
        <v>1</v>
      </c>
      <c r="I79" s="57">
        <f ca="1">IFERROR(__xludf.DUMMYFUNCTION("""COMPUTED_VALUE"""),1)</f>
        <v>1</v>
      </c>
      <c r="J79" s="19" t="str">
        <f ca="1">IFERROR(__xludf.DUMMYFUNCTION("""COMPUTED_VALUE"""),"")</f>
        <v/>
      </c>
      <c r="K79" s="19"/>
      <c r="L79" s="19"/>
      <c r="M79" s="19"/>
      <c r="N79" s="19"/>
      <c r="O79" s="59"/>
      <c r="P79" s="7"/>
      <c r="Q79" s="55"/>
      <c r="R79" s="55"/>
      <c r="S79" s="7"/>
      <c r="T79" s="55"/>
      <c r="U79" s="7"/>
      <c r="V79" s="55"/>
      <c r="W79" s="60"/>
      <c r="X79" s="55"/>
    </row>
    <row r="80" spans="1:24" ht="13" x14ac:dyDescent="0.15">
      <c r="A80" s="25" t="str">
        <f ca="1">IFERROR(__xludf.DUMMYFUNCTION("""COMPUTED_VALUE"""),"32582 Total")</f>
        <v>32582 Total</v>
      </c>
      <c r="B80" s="5"/>
      <c r="C80" s="69"/>
      <c r="D80" s="5"/>
      <c r="E80" s="5"/>
      <c r="F80" s="55"/>
      <c r="G80" s="56">
        <f ca="1">IFERROR(__xludf.DUMMYFUNCTION("""COMPUTED_VALUE"""),1)</f>
        <v>1</v>
      </c>
      <c r="H80" s="57">
        <f ca="1">IFERROR(__xludf.DUMMYFUNCTION("""COMPUTED_VALUE"""),1)</f>
        <v>1</v>
      </c>
      <c r="I80" s="57" t="str">
        <f ca="1">IFERROR(__xludf.DUMMYFUNCTION("""COMPUTED_VALUE"""),"")</f>
        <v/>
      </c>
      <c r="J80" s="19" t="str">
        <f ca="1">IFERROR(__xludf.DUMMYFUNCTION("""COMPUTED_VALUE"""),"")</f>
        <v/>
      </c>
      <c r="K80" s="19"/>
      <c r="L80" s="19"/>
      <c r="M80" s="19"/>
      <c r="N80" s="19"/>
      <c r="O80" s="59"/>
      <c r="P80" s="7"/>
      <c r="Q80" s="55"/>
      <c r="R80" s="55"/>
      <c r="S80" s="7"/>
      <c r="T80" s="55"/>
      <c r="U80" s="7"/>
      <c r="V80" s="55"/>
      <c r="W80" s="60"/>
      <c r="X80" s="55"/>
    </row>
    <row r="81" spans="1:24" ht="13" x14ac:dyDescent="0.15">
      <c r="A81" s="25" t="str">
        <f ca="1">IFERROR(__xludf.DUMMYFUNCTION("""COMPUTED_VALUE"""),"33050")</f>
        <v>33050</v>
      </c>
      <c r="B81" s="69">
        <f ca="1">IFERROR(__xludf.DUMMYFUNCTION("""COMPUTED_VALUE"""),44597)</f>
        <v>44597</v>
      </c>
      <c r="C81" s="69" t="str">
        <f ca="1">IFERROR(__xludf.DUMMYFUNCTION("""COMPUTED_VALUE"""),"Cash")</f>
        <v>Cash</v>
      </c>
      <c r="D81" s="5" t="str">
        <f ca="1">IFERROR(__xludf.DUMMYFUNCTION("""COMPUTED_VALUE"""),"Cash")</f>
        <v>Cash</v>
      </c>
      <c r="E81" s="5" t="str">
        <f ca="1">IFERROR(__xludf.DUMMYFUNCTION("""COMPUTED_VALUE"""),"HKD")</f>
        <v>HKD</v>
      </c>
      <c r="F81" s="55" t="str">
        <f ca="1">IFERROR(__xludf.DUMMYFUNCTION("""COMPUTED_VALUE"""),"")</f>
        <v/>
      </c>
      <c r="G81" s="56">
        <f ca="1">IFERROR(__xludf.DUMMYFUNCTION("""COMPUTED_VALUE"""),1)</f>
        <v>1</v>
      </c>
      <c r="H81" s="57">
        <f ca="1">IFERROR(__xludf.DUMMYFUNCTION("""COMPUTED_VALUE"""),1)</f>
        <v>1</v>
      </c>
      <c r="I81" s="57">
        <f ca="1">IFERROR(__xludf.DUMMYFUNCTION("""COMPUTED_VALUE"""),1)</f>
        <v>1</v>
      </c>
      <c r="J81" s="19" t="str">
        <f ca="1">IFERROR(__xludf.DUMMYFUNCTION("""COMPUTED_VALUE"""),"")</f>
        <v/>
      </c>
      <c r="K81" s="19"/>
      <c r="L81" s="19"/>
      <c r="M81" s="19"/>
      <c r="N81" s="19"/>
      <c r="O81" s="59"/>
      <c r="P81" s="7"/>
      <c r="Q81" s="55"/>
      <c r="R81" s="55"/>
      <c r="S81" s="7"/>
      <c r="T81" s="55"/>
      <c r="U81" s="7"/>
      <c r="V81" s="55"/>
      <c r="W81" s="60"/>
      <c r="X81" s="55"/>
    </row>
    <row r="82" spans="1:24" ht="13" x14ac:dyDescent="0.15">
      <c r="A82" s="25" t="str">
        <f ca="1">IFERROR(__xludf.DUMMYFUNCTION("""COMPUTED_VALUE"""),"33050 Total")</f>
        <v>33050 Total</v>
      </c>
      <c r="B82" s="5"/>
      <c r="C82" s="69"/>
      <c r="D82" s="5"/>
      <c r="E82" s="5"/>
      <c r="F82" s="55"/>
      <c r="G82" s="56">
        <f ca="1">IFERROR(__xludf.DUMMYFUNCTION("""COMPUTED_VALUE"""),1)</f>
        <v>1</v>
      </c>
      <c r="H82" s="57">
        <f ca="1">IFERROR(__xludf.DUMMYFUNCTION("""COMPUTED_VALUE"""),1)</f>
        <v>1</v>
      </c>
      <c r="I82" s="57" t="str">
        <f ca="1">IFERROR(__xludf.DUMMYFUNCTION("""COMPUTED_VALUE"""),"")</f>
        <v/>
      </c>
      <c r="J82" s="19" t="str">
        <f ca="1">IFERROR(__xludf.DUMMYFUNCTION("""COMPUTED_VALUE"""),"")</f>
        <v/>
      </c>
      <c r="K82" s="19"/>
      <c r="L82" s="19"/>
      <c r="M82" s="19"/>
      <c r="N82" s="19"/>
      <c r="O82" s="59"/>
      <c r="P82" s="7"/>
      <c r="Q82" s="55"/>
      <c r="R82" s="55"/>
      <c r="S82" s="7"/>
      <c r="T82" s="55"/>
      <c r="U82" s="7"/>
      <c r="V82" s="55"/>
      <c r="W82" s="60"/>
      <c r="X82" s="55"/>
    </row>
    <row r="83" spans="1:24" ht="13" x14ac:dyDescent="0.15">
      <c r="A83" s="25" t="str">
        <f ca="1">IFERROR(__xludf.DUMMYFUNCTION("""COMPUTED_VALUE"""),"34857")</f>
        <v>34857</v>
      </c>
      <c r="B83" s="69">
        <f ca="1">IFERROR(__xludf.DUMMYFUNCTION("""COMPUTED_VALUE"""),44597)</f>
        <v>44597</v>
      </c>
      <c r="C83" s="69" t="str">
        <f ca="1">IFERROR(__xludf.DUMMYFUNCTION("""COMPUTED_VALUE"""),"Cash")</f>
        <v>Cash</v>
      </c>
      <c r="D83" s="5" t="str">
        <f ca="1">IFERROR(__xludf.DUMMYFUNCTION("""COMPUTED_VALUE"""),"Cash")</f>
        <v>Cash</v>
      </c>
      <c r="E83" s="5" t="str">
        <f ca="1">IFERROR(__xludf.DUMMYFUNCTION("""COMPUTED_VALUE"""),"HKD")</f>
        <v>HKD</v>
      </c>
      <c r="F83" s="55" t="str">
        <f ca="1">IFERROR(__xludf.DUMMYFUNCTION("""COMPUTED_VALUE"""),"")</f>
        <v/>
      </c>
      <c r="G83" s="56">
        <f ca="1">IFERROR(__xludf.DUMMYFUNCTION("""COMPUTED_VALUE"""),1)</f>
        <v>1</v>
      </c>
      <c r="H83" s="57">
        <f ca="1">IFERROR(__xludf.DUMMYFUNCTION("""COMPUTED_VALUE"""),1)</f>
        <v>1</v>
      </c>
      <c r="I83" s="57">
        <f ca="1">IFERROR(__xludf.DUMMYFUNCTION("""COMPUTED_VALUE"""),1)</f>
        <v>1</v>
      </c>
      <c r="J83" s="19" t="str">
        <f ca="1">IFERROR(__xludf.DUMMYFUNCTION("""COMPUTED_VALUE"""),"")</f>
        <v/>
      </c>
      <c r="K83" s="19"/>
      <c r="L83" s="19"/>
      <c r="M83" s="19"/>
      <c r="N83" s="19"/>
      <c r="O83" s="59"/>
      <c r="P83" s="7"/>
      <c r="Q83" s="55"/>
      <c r="R83" s="55"/>
      <c r="S83" s="7"/>
      <c r="T83" s="55"/>
      <c r="U83" s="7"/>
      <c r="V83" s="55"/>
      <c r="W83" s="60"/>
      <c r="X83" s="55"/>
    </row>
    <row r="84" spans="1:24" ht="13" x14ac:dyDescent="0.15">
      <c r="A84" s="25" t="str">
        <f ca="1">IFERROR(__xludf.DUMMYFUNCTION("""COMPUTED_VALUE"""),"34857 Total")</f>
        <v>34857 Total</v>
      </c>
      <c r="B84" s="5"/>
      <c r="C84" s="69"/>
      <c r="D84" s="5"/>
      <c r="E84" s="5"/>
      <c r="F84" s="55"/>
      <c r="G84" s="56">
        <f ca="1">IFERROR(__xludf.DUMMYFUNCTION("""COMPUTED_VALUE"""),1)</f>
        <v>1</v>
      </c>
      <c r="H84" s="57">
        <f ca="1">IFERROR(__xludf.DUMMYFUNCTION("""COMPUTED_VALUE"""),1)</f>
        <v>1</v>
      </c>
      <c r="I84" s="57" t="str">
        <f ca="1">IFERROR(__xludf.DUMMYFUNCTION("""COMPUTED_VALUE"""),"")</f>
        <v/>
      </c>
      <c r="J84" s="19" t="str">
        <f ca="1">IFERROR(__xludf.DUMMYFUNCTION("""COMPUTED_VALUE"""),"")</f>
        <v/>
      </c>
      <c r="K84" s="19"/>
      <c r="L84" s="19"/>
      <c r="M84" s="19"/>
      <c r="N84" s="19"/>
      <c r="O84" s="59"/>
      <c r="P84" s="7"/>
      <c r="Q84" s="55"/>
      <c r="R84" s="55"/>
      <c r="S84" s="7"/>
      <c r="T84" s="55"/>
      <c r="U84" s="7"/>
      <c r="V84" s="55"/>
      <c r="W84" s="60"/>
      <c r="X84" s="55"/>
    </row>
    <row r="85" spans="1:24" ht="13" x14ac:dyDescent="0.15">
      <c r="A85" s="25" t="str">
        <f ca="1">IFERROR(__xludf.DUMMYFUNCTION("""COMPUTED_VALUE"""),"35577")</f>
        <v>35577</v>
      </c>
      <c r="B85" s="69">
        <f ca="1">IFERROR(__xludf.DUMMYFUNCTION("""COMPUTED_VALUE"""),44597)</f>
        <v>44597</v>
      </c>
      <c r="C85" s="69" t="str">
        <f ca="1">IFERROR(__xludf.DUMMYFUNCTION("""COMPUTED_VALUE"""),"Cash")</f>
        <v>Cash</v>
      </c>
      <c r="D85" s="5" t="str">
        <f ca="1">IFERROR(__xludf.DUMMYFUNCTION("""COMPUTED_VALUE"""),"Cash")</f>
        <v>Cash</v>
      </c>
      <c r="E85" s="5" t="str">
        <f ca="1">IFERROR(__xludf.DUMMYFUNCTION("""COMPUTED_VALUE"""),"HKD")</f>
        <v>HKD</v>
      </c>
      <c r="F85" s="55" t="str">
        <f ca="1">IFERROR(__xludf.DUMMYFUNCTION("""COMPUTED_VALUE"""),"")</f>
        <v/>
      </c>
      <c r="G85" s="56">
        <f ca="1">IFERROR(__xludf.DUMMYFUNCTION("""COMPUTED_VALUE"""),1)</f>
        <v>1</v>
      </c>
      <c r="H85" s="57">
        <f ca="1">IFERROR(__xludf.DUMMYFUNCTION("""COMPUTED_VALUE"""),1)</f>
        <v>1</v>
      </c>
      <c r="I85" s="57">
        <f ca="1">IFERROR(__xludf.DUMMYFUNCTION("""COMPUTED_VALUE"""),1)</f>
        <v>1</v>
      </c>
      <c r="J85" s="19" t="str">
        <f ca="1">IFERROR(__xludf.DUMMYFUNCTION("""COMPUTED_VALUE"""),"")</f>
        <v/>
      </c>
      <c r="K85" s="19"/>
      <c r="L85" s="19"/>
      <c r="M85" s="19"/>
      <c r="N85" s="19"/>
      <c r="O85" s="59"/>
      <c r="P85" s="7"/>
      <c r="Q85" s="55"/>
      <c r="R85" s="55"/>
      <c r="S85" s="7"/>
      <c r="T85" s="55"/>
      <c r="U85" s="7"/>
      <c r="V85" s="55"/>
      <c r="W85" s="60"/>
      <c r="X85" s="55"/>
    </row>
    <row r="86" spans="1:24" ht="13" x14ac:dyDescent="0.15">
      <c r="A86" s="25" t="str">
        <f ca="1">IFERROR(__xludf.DUMMYFUNCTION("""COMPUTED_VALUE"""),"35577")</f>
        <v>35577</v>
      </c>
      <c r="B86" s="69">
        <f ca="1">IFERROR(__xludf.DUMMYFUNCTION("""COMPUTED_VALUE"""),44606)</f>
        <v>44606</v>
      </c>
      <c r="C86" s="69" t="str">
        <f ca="1">IFERROR(__xludf.DUMMYFUNCTION("""COMPUTED_VALUE"""),"Stock")</f>
        <v>Stock</v>
      </c>
      <c r="D86" s="5" t="str">
        <f ca="1">IFERROR(__xludf.DUMMYFUNCTION("""COMPUTED_VALUE"""),"VYGLX")</f>
        <v>VYGLX</v>
      </c>
      <c r="E86" s="5" t="str">
        <f ca="1">IFERROR(__xludf.DUMMYFUNCTION("""COMPUTED_VALUE"""),"USD")</f>
        <v>USD</v>
      </c>
      <c r="F86" s="55">
        <f ca="1">IFERROR(__xludf.DUMMYFUNCTION("""COMPUTED_VALUE"""),300)</f>
        <v>300</v>
      </c>
      <c r="G86" s="56">
        <f ca="1">IFERROR(__xludf.DUMMYFUNCTION("""COMPUTED_VALUE"""),7.8144877027027)</f>
        <v>7.8144877027027002</v>
      </c>
      <c r="H86" s="57">
        <f ca="1">IFERROR(__xludf.DUMMYFUNCTION("""COMPUTED_VALUE"""),12.28)</f>
        <v>12.28</v>
      </c>
      <c r="I86" s="57">
        <f ca="1">IFERROR(__xludf.DUMMYFUNCTION("""COMPUTED_VALUE"""),12.09)</f>
        <v>12.09</v>
      </c>
      <c r="J86" s="70" t="str">
        <f ca="1">IFERROR(__xludf.DUMMYFUNCTION("""COMPUTED_VALUE"""),"Goto link: VYGLX")</f>
        <v>Goto link: VYGLX</v>
      </c>
      <c r="K86" s="19"/>
      <c r="L86" s="19"/>
      <c r="M86" s="19"/>
      <c r="N86" s="19"/>
      <c r="O86" s="59"/>
      <c r="P86" s="7"/>
      <c r="Q86" s="55"/>
      <c r="R86" s="55"/>
      <c r="S86" s="7"/>
      <c r="T86" s="55"/>
      <c r="U86" s="7"/>
      <c r="V86" s="55"/>
      <c r="W86" s="60"/>
      <c r="X86" s="55"/>
    </row>
    <row r="87" spans="1:24" ht="13" x14ac:dyDescent="0.15">
      <c r="A87" s="25" t="str">
        <f ca="1">IFERROR(__xludf.DUMMYFUNCTION("""COMPUTED_VALUE"""),"35577")</f>
        <v>35577</v>
      </c>
      <c r="B87" s="69">
        <f ca="1">IFERROR(__xludf.DUMMYFUNCTION("""COMPUTED_VALUE"""),44606)</f>
        <v>44606</v>
      </c>
      <c r="C87" s="69" t="str">
        <f ca="1">IFERROR(__xludf.DUMMYFUNCTION("""COMPUTED_VALUE"""),"Time Deposit")</f>
        <v>Time Deposit</v>
      </c>
      <c r="D87" s="5" t="str">
        <f ca="1">IFERROR(__xludf.DUMMYFUNCTION("""COMPUTED_VALUE"""),"1m")</f>
        <v>1m</v>
      </c>
      <c r="E87" s="5" t="str">
        <f ca="1">IFERROR(__xludf.DUMMYFUNCTION("""COMPUTED_VALUE"""),"HKD")</f>
        <v>HKD</v>
      </c>
      <c r="F87" s="55">
        <f ca="1">IFERROR(__xludf.DUMMYFUNCTION("""COMPUTED_VALUE"""),50000)</f>
        <v>50000</v>
      </c>
      <c r="G87" s="56">
        <f ca="1">IFERROR(__xludf.DUMMYFUNCTION("""COMPUTED_VALUE"""),1)</f>
        <v>1</v>
      </c>
      <c r="H87" s="57">
        <f ca="1">IFERROR(__xludf.DUMMYFUNCTION("""COMPUTED_VALUE"""),1)</f>
        <v>1</v>
      </c>
      <c r="I87" s="57" t="str">
        <f ca="1">IFERROR(__xludf.DUMMYFUNCTION("""COMPUTED_VALUE"""),"#N/A")</f>
        <v>#N/A</v>
      </c>
      <c r="J87" s="19" t="str">
        <f ca="1">IFERROR(__xludf.DUMMYFUNCTION("""COMPUTED_VALUE"""),"")</f>
        <v/>
      </c>
      <c r="K87" s="19"/>
      <c r="L87" s="19"/>
      <c r="M87" s="19"/>
      <c r="N87" s="19"/>
      <c r="O87" s="59"/>
      <c r="P87" s="7"/>
      <c r="Q87" s="55"/>
      <c r="R87" s="55"/>
      <c r="S87" s="7"/>
      <c r="T87" s="55"/>
      <c r="U87" s="7"/>
      <c r="V87" s="55"/>
      <c r="W87" s="60"/>
      <c r="X87" s="55"/>
    </row>
    <row r="88" spans="1:24" ht="13" x14ac:dyDescent="0.15">
      <c r="A88" s="25" t="str">
        <f ca="1">IFERROR(__xludf.DUMMYFUNCTION("""COMPUTED_VALUE"""),"35577")</f>
        <v>35577</v>
      </c>
      <c r="B88" s="69">
        <f ca="1">IFERROR(__xludf.DUMMYFUNCTION("""COMPUTED_VALUE"""),44607)</f>
        <v>44607</v>
      </c>
      <c r="C88" s="69" t="str">
        <f ca="1">IFERROR(__xludf.DUMMYFUNCTION("""COMPUTED_VALUE"""),"Bond")</f>
        <v>Bond</v>
      </c>
      <c r="D88" s="5" t="str">
        <f ca="1">IFERROR(__xludf.DUMMYFUNCTION("""COMPUTED_VALUE"""),"US023135AN60")</f>
        <v>US023135AN60</v>
      </c>
      <c r="E88" s="5" t="str">
        <f ca="1">IFERROR(__xludf.DUMMYFUNCTION("""COMPUTED_VALUE"""),"USD")</f>
        <v>USD</v>
      </c>
      <c r="F88" s="55">
        <f ca="1">IFERROR(__xludf.DUMMYFUNCTION("""COMPUTED_VALUE"""),3)</f>
        <v>3</v>
      </c>
      <c r="G88" s="56">
        <f ca="1">IFERROR(__xludf.DUMMYFUNCTION("""COMPUTED_VALUE"""),7.81480833333333)</f>
        <v>7.81480833333333</v>
      </c>
      <c r="H88" s="57">
        <f ca="1">IFERROR(__xludf.DUMMYFUNCTION("""COMPUTED_VALUE"""),104.957)</f>
        <v>104.95699999999999</v>
      </c>
      <c r="I88" s="57">
        <f ca="1">IFERROR(__xludf.DUMMYFUNCTION("""COMPUTED_VALUE"""),0)</f>
        <v>0</v>
      </c>
      <c r="J88" s="70" t="str">
        <f ca="1">IFERROR(__xludf.DUMMYFUNCTION("""COMPUTED_VALUE"""),"Bond Fact Sheet")</f>
        <v>Bond Fact Sheet</v>
      </c>
      <c r="K88" s="19"/>
      <c r="L88" s="19"/>
      <c r="M88" s="19"/>
      <c r="N88" s="19"/>
      <c r="O88" s="59"/>
      <c r="P88" s="7"/>
      <c r="Q88" s="55"/>
      <c r="R88" s="55"/>
      <c r="S88" s="7"/>
      <c r="T88" s="55"/>
      <c r="U88" s="7"/>
      <c r="V88" s="55"/>
      <c r="W88" s="60"/>
      <c r="X88" s="55"/>
    </row>
    <row r="89" spans="1:24" ht="13" x14ac:dyDescent="0.15">
      <c r="A89" s="25" t="str">
        <f ca="1">IFERROR(__xludf.DUMMYFUNCTION("""COMPUTED_VALUE"""),"35577")</f>
        <v>35577</v>
      </c>
      <c r="B89" s="69">
        <f ca="1">IFERROR(__xludf.DUMMYFUNCTION("""COMPUTED_VALUE"""),44627)</f>
        <v>44627</v>
      </c>
      <c r="C89" s="69" t="str">
        <f ca="1">IFERROR(__xludf.DUMMYFUNCTION("""COMPUTED_VALUE"""),"Stock")</f>
        <v>Stock</v>
      </c>
      <c r="D89" s="5" t="str">
        <f ca="1">IFERROR(__xludf.DUMMYFUNCTION("""COMPUTED_VALUE"""),"AAPL")</f>
        <v>AAPL</v>
      </c>
      <c r="E89" s="5" t="str">
        <f ca="1">IFERROR(__xludf.DUMMYFUNCTION("""COMPUTED_VALUE"""),"USD")</f>
        <v>USD</v>
      </c>
      <c r="F89" s="55">
        <f ca="1">IFERROR(__xludf.DUMMYFUNCTION("""COMPUTED_VALUE"""),11)</f>
        <v>11</v>
      </c>
      <c r="G89" s="56">
        <f ca="1">IFERROR(__xludf.DUMMYFUNCTION("""COMPUTED_VALUE"""),7.824175)</f>
        <v>7.8241750000000003</v>
      </c>
      <c r="H89" s="57">
        <f ca="1">IFERROR(__xludf.DUMMYFUNCTION("""COMPUTED_VALUE"""),159.3)</f>
        <v>159.30000000000001</v>
      </c>
      <c r="I89" s="57">
        <f ca="1">IFERROR(__xludf.DUMMYFUNCTION("""COMPUTED_VALUE"""),170.21)</f>
        <v>170.21</v>
      </c>
      <c r="J89" s="70" t="str">
        <f ca="1">IFERROR(__xludf.DUMMYFUNCTION("""COMPUTED_VALUE"""),"Goto link: AAPL")</f>
        <v>Goto link: AAPL</v>
      </c>
      <c r="K89" s="19"/>
      <c r="L89" s="19"/>
      <c r="M89" s="19"/>
      <c r="N89" s="19"/>
      <c r="O89" s="59"/>
      <c r="P89" s="7"/>
      <c r="Q89" s="55"/>
      <c r="R89" s="55"/>
      <c r="S89" s="7"/>
      <c r="T89" s="55"/>
      <c r="U89" s="7"/>
      <c r="V89" s="55"/>
      <c r="W89" s="60"/>
      <c r="X89" s="55"/>
    </row>
    <row r="90" spans="1:24" ht="13" x14ac:dyDescent="0.15">
      <c r="A90" s="25" t="str">
        <f ca="1">IFERROR(__xludf.DUMMYFUNCTION("""COMPUTED_VALUE"""),"35577")</f>
        <v>35577</v>
      </c>
      <c r="B90" s="69">
        <f ca="1">IFERROR(__xludf.DUMMYFUNCTION("""COMPUTED_VALUE"""),44627)</f>
        <v>44627</v>
      </c>
      <c r="C90" s="69" t="str">
        <f ca="1">IFERROR(__xludf.DUMMYFUNCTION("""COMPUTED_VALUE"""),"Stock")</f>
        <v>Stock</v>
      </c>
      <c r="D90" s="5" t="str">
        <f ca="1">IFERROR(__xludf.DUMMYFUNCTION("""COMPUTED_VALUE"""),"WMT")</f>
        <v>WMT</v>
      </c>
      <c r="E90" s="5" t="str">
        <f ca="1">IFERROR(__xludf.DUMMYFUNCTION("""COMPUTED_VALUE"""),"USD")</f>
        <v>USD</v>
      </c>
      <c r="F90" s="55">
        <f ca="1">IFERROR(__xludf.DUMMYFUNCTION("""COMPUTED_VALUE"""),0)</f>
        <v>0</v>
      </c>
      <c r="G90" s="56">
        <f ca="1">IFERROR(__xludf.DUMMYFUNCTION("""COMPUTED_VALUE"""),7.824175)</f>
        <v>7.8241750000000003</v>
      </c>
      <c r="H90" s="57">
        <f ca="1">IFERROR(__xludf.DUMMYFUNCTION("""COMPUTED_VALUE"""),0)</f>
        <v>0</v>
      </c>
      <c r="I90" s="57">
        <f ca="1">IFERROR(__xludf.DUMMYFUNCTION("""COMPUTED_VALUE"""),141.95)</f>
        <v>141.94999999999999</v>
      </c>
      <c r="J90" s="70" t="str">
        <f ca="1">IFERROR(__xludf.DUMMYFUNCTION("""COMPUTED_VALUE"""),"Goto link: WMT")</f>
        <v>Goto link: WMT</v>
      </c>
      <c r="K90" s="19"/>
      <c r="L90" s="19"/>
      <c r="M90" s="19"/>
      <c r="N90" s="19"/>
      <c r="O90" s="59"/>
      <c r="P90" s="7"/>
      <c r="Q90" s="55"/>
      <c r="R90" s="55"/>
      <c r="S90" s="7"/>
      <c r="T90" s="55"/>
      <c r="U90" s="7"/>
      <c r="V90" s="55"/>
      <c r="W90" s="60"/>
      <c r="X90" s="55"/>
    </row>
    <row r="91" spans="1:24" ht="13" x14ac:dyDescent="0.15">
      <c r="A91" s="25" t="str">
        <f ca="1">IFERROR(__xludf.DUMMYFUNCTION("""COMPUTED_VALUE"""),"35577")</f>
        <v>35577</v>
      </c>
      <c r="B91" s="69">
        <f ca="1">IFERROR(__xludf.DUMMYFUNCTION("""COMPUTED_VALUE"""),44628)</f>
        <v>44628</v>
      </c>
      <c r="C91" s="69" t="str">
        <f ca="1">IFERROR(__xludf.DUMMYFUNCTION("""COMPUTED_VALUE"""),"Stock")</f>
        <v>Stock</v>
      </c>
      <c r="D91" s="5" t="str">
        <f ca="1">IFERROR(__xludf.DUMMYFUNCTION("""COMPUTED_VALUE"""),"WMT")</f>
        <v>WMT</v>
      </c>
      <c r="E91" s="5" t="str">
        <f ca="1">IFERROR(__xludf.DUMMYFUNCTION("""COMPUTED_VALUE"""),"USD")</f>
        <v>USD</v>
      </c>
      <c r="F91" s="55">
        <f ca="1">IFERROR(__xludf.DUMMYFUNCTION("""COMPUTED_VALUE"""),13)</f>
        <v>13</v>
      </c>
      <c r="G91" s="56">
        <f ca="1">IFERROR(__xludf.DUMMYFUNCTION("""COMPUTED_VALUE"""),7.82455)</f>
        <v>7.8245500000000003</v>
      </c>
      <c r="H91" s="57">
        <f ca="1">IFERROR(__xludf.DUMMYFUNCTION("""COMPUTED_VALUE"""),138.74)</f>
        <v>138.74</v>
      </c>
      <c r="I91" s="57">
        <f ca="1">IFERROR(__xludf.DUMMYFUNCTION("""COMPUTED_VALUE"""),141.95)</f>
        <v>141.94999999999999</v>
      </c>
      <c r="J91" s="70" t="str">
        <f ca="1">IFERROR(__xludf.DUMMYFUNCTION("""COMPUTED_VALUE"""),"Goto link: WMT")</f>
        <v>Goto link: WMT</v>
      </c>
      <c r="K91" s="19"/>
      <c r="L91" s="19"/>
      <c r="M91" s="19"/>
      <c r="N91" s="19"/>
      <c r="O91" s="59"/>
      <c r="P91" s="7"/>
      <c r="Q91" s="55"/>
      <c r="R91" s="55"/>
      <c r="S91" s="7"/>
      <c r="T91" s="55"/>
      <c r="U91" s="7"/>
      <c r="V91" s="55"/>
      <c r="W91" s="60"/>
      <c r="X91" s="55"/>
    </row>
    <row r="92" spans="1:24" ht="13" x14ac:dyDescent="0.15">
      <c r="A92" s="25" t="str">
        <f ca="1">IFERROR(__xludf.DUMMYFUNCTION("""COMPUTED_VALUE"""),"35577")</f>
        <v>35577</v>
      </c>
      <c r="B92" s="69">
        <f ca="1">IFERROR(__xludf.DUMMYFUNCTION("""COMPUTED_VALUE"""),44642)</f>
        <v>44642</v>
      </c>
      <c r="C92" s="69" t="str">
        <f ca="1">IFERROR(__xludf.DUMMYFUNCTION("""COMPUTED_VALUE"""),"Stock")</f>
        <v>Stock</v>
      </c>
      <c r="D92" s="5" t="str">
        <f ca="1">IFERROR(__xludf.DUMMYFUNCTION("""COMPUTED_VALUE"""),"AAPL")</f>
        <v>AAPL</v>
      </c>
      <c r="E92" s="5" t="str">
        <f ca="1">IFERROR(__xludf.DUMMYFUNCTION("""COMPUTED_VALUE"""),"USD")</f>
        <v>USD</v>
      </c>
      <c r="F92" s="55">
        <f ca="1">IFERROR(__xludf.DUMMYFUNCTION("""COMPUTED_VALUE"""),0)</f>
        <v>0</v>
      </c>
      <c r="G92" s="56">
        <f ca="1">IFERROR(__xludf.DUMMYFUNCTION("""COMPUTED_VALUE"""),7.82695)</f>
        <v>7.8269500000000001</v>
      </c>
      <c r="H92" s="57">
        <f ca="1">IFERROR(__xludf.DUMMYFUNCTION("""COMPUTED_VALUE"""),0)</f>
        <v>0</v>
      </c>
      <c r="I92" s="57">
        <f ca="1">IFERROR(__xludf.DUMMYFUNCTION("""COMPUTED_VALUE"""),170.21)</f>
        <v>170.21</v>
      </c>
      <c r="J92" s="70" t="str">
        <f ca="1">IFERROR(__xludf.DUMMYFUNCTION("""COMPUTED_VALUE"""),"Goto link: AAPL")</f>
        <v>Goto link: AAPL</v>
      </c>
      <c r="K92" s="19"/>
      <c r="L92" s="19"/>
      <c r="M92" s="19"/>
      <c r="N92" s="19"/>
      <c r="O92" s="59"/>
      <c r="P92" s="7"/>
      <c r="Q92" s="55"/>
      <c r="R92" s="55"/>
      <c r="S92" s="7"/>
      <c r="T92" s="55"/>
      <c r="U92" s="7"/>
      <c r="V92" s="55"/>
      <c r="W92" s="60"/>
      <c r="X92" s="55"/>
    </row>
    <row r="93" spans="1:24" ht="13" x14ac:dyDescent="0.15">
      <c r="A93" s="25" t="str">
        <f ca="1">IFERROR(__xludf.DUMMYFUNCTION("""COMPUTED_VALUE"""),"35577 Total")</f>
        <v>35577 Total</v>
      </c>
      <c r="B93" s="5"/>
      <c r="C93" s="69"/>
      <c r="D93" s="5"/>
      <c r="E93" s="5"/>
      <c r="F93" s="55"/>
      <c r="G93" s="56">
        <f ca="1">IFERROR(__xludf.DUMMYFUNCTION("""COMPUTED_VALUE"""),5.04430365196079)</f>
        <v>5.0443036519607896</v>
      </c>
      <c r="H93" s="57">
        <f ca="1">IFERROR(__xludf.DUMMYFUNCTION("""COMPUTED_VALUE"""),159.3)</f>
        <v>159.30000000000001</v>
      </c>
      <c r="I93" s="57" t="str">
        <f ca="1">IFERROR(__xludf.DUMMYFUNCTION("""COMPUTED_VALUE"""),"")</f>
        <v/>
      </c>
      <c r="J93" s="19" t="str">
        <f ca="1">IFERROR(__xludf.DUMMYFUNCTION("""COMPUTED_VALUE"""),"")</f>
        <v/>
      </c>
      <c r="K93" s="19"/>
      <c r="L93" s="19"/>
      <c r="M93" s="19"/>
      <c r="N93" s="19"/>
      <c r="O93" s="59"/>
      <c r="P93" s="7"/>
      <c r="Q93" s="55"/>
      <c r="R93" s="55"/>
      <c r="S93" s="7"/>
      <c r="T93" s="55"/>
      <c r="U93" s="7"/>
      <c r="V93" s="55"/>
      <c r="W93" s="60"/>
      <c r="X93" s="55"/>
    </row>
    <row r="94" spans="1:24" ht="13" x14ac:dyDescent="0.15">
      <c r="A94" s="25" t="str">
        <f ca="1">IFERROR(__xludf.DUMMYFUNCTION("""COMPUTED_VALUE"""),"35702")</f>
        <v>35702</v>
      </c>
      <c r="B94" s="69">
        <f ca="1">IFERROR(__xludf.DUMMYFUNCTION("""COMPUTED_VALUE"""),44597)</f>
        <v>44597</v>
      </c>
      <c r="C94" s="69" t="str">
        <f ca="1">IFERROR(__xludf.DUMMYFUNCTION("""COMPUTED_VALUE"""),"Cash")</f>
        <v>Cash</v>
      </c>
      <c r="D94" s="5" t="str">
        <f ca="1">IFERROR(__xludf.DUMMYFUNCTION("""COMPUTED_VALUE"""),"Cash")</f>
        <v>Cash</v>
      </c>
      <c r="E94" s="5" t="str">
        <f ca="1">IFERROR(__xludf.DUMMYFUNCTION("""COMPUTED_VALUE"""),"HKD")</f>
        <v>HKD</v>
      </c>
      <c r="F94" s="55" t="str">
        <f ca="1">IFERROR(__xludf.DUMMYFUNCTION("""COMPUTED_VALUE"""),"")</f>
        <v/>
      </c>
      <c r="G94" s="56">
        <f ca="1">IFERROR(__xludf.DUMMYFUNCTION("""COMPUTED_VALUE"""),1)</f>
        <v>1</v>
      </c>
      <c r="H94" s="57">
        <f ca="1">IFERROR(__xludf.DUMMYFUNCTION("""COMPUTED_VALUE"""),1)</f>
        <v>1</v>
      </c>
      <c r="I94" s="57">
        <f ca="1">IFERROR(__xludf.DUMMYFUNCTION("""COMPUTED_VALUE"""),1)</f>
        <v>1</v>
      </c>
      <c r="J94" s="19" t="str">
        <f ca="1">IFERROR(__xludf.DUMMYFUNCTION("""COMPUTED_VALUE"""),"")</f>
        <v/>
      </c>
      <c r="K94" s="19"/>
      <c r="L94" s="19"/>
      <c r="M94" s="19"/>
      <c r="N94" s="19"/>
      <c r="O94" s="59"/>
      <c r="P94" s="7"/>
      <c r="Q94" s="55"/>
      <c r="R94" s="55"/>
      <c r="S94" s="7"/>
      <c r="T94" s="55"/>
      <c r="U94" s="7"/>
      <c r="V94" s="55"/>
      <c r="W94" s="60"/>
      <c r="X94" s="55"/>
    </row>
    <row r="95" spans="1:24" ht="13" x14ac:dyDescent="0.15">
      <c r="A95" s="25" t="str">
        <f ca="1">IFERROR(__xludf.DUMMYFUNCTION("""COMPUTED_VALUE"""),"35702 Total")</f>
        <v>35702 Total</v>
      </c>
      <c r="B95" s="5"/>
      <c r="C95" s="69"/>
      <c r="D95" s="5"/>
      <c r="E95" s="5"/>
      <c r="F95" s="55"/>
      <c r="G95" s="56">
        <f ca="1">IFERROR(__xludf.DUMMYFUNCTION("""COMPUTED_VALUE"""),1)</f>
        <v>1</v>
      </c>
      <c r="H95" s="57">
        <f ca="1">IFERROR(__xludf.DUMMYFUNCTION("""COMPUTED_VALUE"""),1)</f>
        <v>1</v>
      </c>
      <c r="I95" s="57" t="str">
        <f ca="1">IFERROR(__xludf.DUMMYFUNCTION("""COMPUTED_VALUE"""),"")</f>
        <v/>
      </c>
      <c r="J95" s="19" t="str">
        <f ca="1">IFERROR(__xludf.DUMMYFUNCTION("""COMPUTED_VALUE"""),"")</f>
        <v/>
      </c>
      <c r="K95" s="19"/>
      <c r="L95" s="19"/>
      <c r="M95" s="19"/>
      <c r="N95" s="19"/>
      <c r="O95" s="59"/>
      <c r="P95" s="7"/>
      <c r="Q95" s="55"/>
      <c r="R95" s="55"/>
      <c r="S95" s="7"/>
      <c r="T95" s="55"/>
      <c r="U95" s="7"/>
      <c r="V95" s="55"/>
      <c r="W95" s="60"/>
      <c r="X95" s="55"/>
    </row>
    <row r="96" spans="1:24" ht="13" x14ac:dyDescent="0.15">
      <c r="A96" s="25" t="str">
        <f ca="1">IFERROR(__xludf.DUMMYFUNCTION("""COMPUTED_VALUE"""),"35792")</f>
        <v>35792</v>
      </c>
      <c r="B96" s="69">
        <f ca="1">IFERROR(__xludf.DUMMYFUNCTION("""COMPUTED_VALUE"""),44597)</f>
        <v>44597</v>
      </c>
      <c r="C96" s="69" t="str">
        <f ca="1">IFERROR(__xludf.DUMMYFUNCTION("""COMPUTED_VALUE"""),"Cash")</f>
        <v>Cash</v>
      </c>
      <c r="D96" s="5" t="str">
        <f ca="1">IFERROR(__xludf.DUMMYFUNCTION("""COMPUTED_VALUE"""),"Cash")</f>
        <v>Cash</v>
      </c>
      <c r="E96" s="5" t="str">
        <f ca="1">IFERROR(__xludf.DUMMYFUNCTION("""COMPUTED_VALUE"""),"HKD")</f>
        <v>HKD</v>
      </c>
      <c r="F96" s="55" t="str">
        <f ca="1">IFERROR(__xludf.DUMMYFUNCTION("""COMPUTED_VALUE"""),"")</f>
        <v/>
      </c>
      <c r="G96" s="56">
        <f ca="1">IFERROR(__xludf.DUMMYFUNCTION("""COMPUTED_VALUE"""),1)</f>
        <v>1</v>
      </c>
      <c r="H96" s="57">
        <f ca="1">IFERROR(__xludf.DUMMYFUNCTION("""COMPUTED_VALUE"""),1)</f>
        <v>1</v>
      </c>
      <c r="I96" s="57">
        <f ca="1">IFERROR(__xludf.DUMMYFUNCTION("""COMPUTED_VALUE"""),1)</f>
        <v>1</v>
      </c>
      <c r="J96" s="19" t="str">
        <f ca="1">IFERROR(__xludf.DUMMYFUNCTION("""COMPUTED_VALUE"""),"")</f>
        <v/>
      </c>
      <c r="K96" s="19"/>
      <c r="L96" s="19"/>
      <c r="M96" s="19"/>
      <c r="N96" s="19"/>
      <c r="O96" s="59"/>
      <c r="P96" s="7"/>
      <c r="Q96" s="55"/>
      <c r="R96" s="55"/>
      <c r="S96" s="7"/>
      <c r="T96" s="55"/>
      <c r="U96" s="7"/>
      <c r="V96" s="55"/>
      <c r="W96" s="60"/>
      <c r="X96" s="55"/>
    </row>
    <row r="97" spans="1:24" ht="13" x14ac:dyDescent="0.15">
      <c r="A97" s="25" t="str">
        <f ca="1">IFERROR(__xludf.DUMMYFUNCTION("""COMPUTED_VALUE"""),"35792 Total")</f>
        <v>35792 Total</v>
      </c>
      <c r="B97" s="5"/>
      <c r="C97" s="69"/>
      <c r="D97" s="5"/>
      <c r="E97" s="5"/>
      <c r="F97" s="55"/>
      <c r="G97" s="56">
        <f ca="1">IFERROR(__xludf.DUMMYFUNCTION("""COMPUTED_VALUE"""),1)</f>
        <v>1</v>
      </c>
      <c r="H97" s="57">
        <f ca="1">IFERROR(__xludf.DUMMYFUNCTION("""COMPUTED_VALUE"""),1)</f>
        <v>1</v>
      </c>
      <c r="I97" s="57" t="str">
        <f ca="1">IFERROR(__xludf.DUMMYFUNCTION("""COMPUTED_VALUE"""),"")</f>
        <v/>
      </c>
      <c r="J97" s="19" t="str">
        <f ca="1">IFERROR(__xludf.DUMMYFUNCTION("""COMPUTED_VALUE"""),"")</f>
        <v/>
      </c>
      <c r="K97" s="19"/>
      <c r="L97" s="19"/>
      <c r="M97" s="19"/>
      <c r="N97" s="19"/>
      <c r="O97" s="59"/>
      <c r="P97" s="7"/>
      <c r="Q97" s="55"/>
      <c r="R97" s="55"/>
      <c r="S97" s="7"/>
      <c r="T97" s="55"/>
      <c r="U97" s="7"/>
      <c r="V97" s="55"/>
      <c r="W97" s="60"/>
      <c r="X97" s="55"/>
    </row>
    <row r="98" spans="1:24" ht="13" x14ac:dyDescent="0.15">
      <c r="A98" s="25" t="str">
        <f ca="1">IFERROR(__xludf.DUMMYFUNCTION("""COMPUTED_VALUE"""),"36196")</f>
        <v>36196</v>
      </c>
      <c r="B98" s="69">
        <f ca="1">IFERROR(__xludf.DUMMYFUNCTION("""COMPUTED_VALUE"""),44597)</f>
        <v>44597</v>
      </c>
      <c r="C98" s="69" t="str">
        <f ca="1">IFERROR(__xludf.DUMMYFUNCTION("""COMPUTED_VALUE"""),"Cash")</f>
        <v>Cash</v>
      </c>
      <c r="D98" s="5" t="str">
        <f ca="1">IFERROR(__xludf.DUMMYFUNCTION("""COMPUTED_VALUE"""),"Cash")</f>
        <v>Cash</v>
      </c>
      <c r="E98" s="5" t="str">
        <f ca="1">IFERROR(__xludf.DUMMYFUNCTION("""COMPUTED_VALUE"""),"HKD")</f>
        <v>HKD</v>
      </c>
      <c r="F98" s="55" t="str">
        <f ca="1">IFERROR(__xludf.DUMMYFUNCTION("""COMPUTED_VALUE"""),"")</f>
        <v/>
      </c>
      <c r="G98" s="56">
        <f ca="1">IFERROR(__xludf.DUMMYFUNCTION("""COMPUTED_VALUE"""),1)</f>
        <v>1</v>
      </c>
      <c r="H98" s="57">
        <f ca="1">IFERROR(__xludf.DUMMYFUNCTION("""COMPUTED_VALUE"""),1)</f>
        <v>1</v>
      </c>
      <c r="I98" s="57">
        <f ca="1">IFERROR(__xludf.DUMMYFUNCTION("""COMPUTED_VALUE"""),1)</f>
        <v>1</v>
      </c>
      <c r="J98" s="19" t="str">
        <f ca="1">IFERROR(__xludf.DUMMYFUNCTION("""COMPUTED_VALUE"""),"")</f>
        <v/>
      </c>
      <c r="K98" s="19"/>
      <c r="L98" s="19"/>
      <c r="M98" s="19"/>
      <c r="N98" s="19"/>
      <c r="O98" s="59"/>
      <c r="P98" s="7"/>
      <c r="Q98" s="55"/>
      <c r="R98" s="55"/>
      <c r="S98" s="7"/>
      <c r="T98" s="55"/>
      <c r="U98" s="7"/>
      <c r="V98" s="55"/>
      <c r="W98" s="60"/>
      <c r="X98" s="55"/>
    </row>
    <row r="99" spans="1:24" ht="13" x14ac:dyDescent="0.15">
      <c r="A99" s="25" t="str">
        <f ca="1">IFERROR(__xludf.DUMMYFUNCTION("""COMPUTED_VALUE"""),"36196 Total")</f>
        <v>36196 Total</v>
      </c>
      <c r="B99" s="5"/>
      <c r="C99" s="69"/>
      <c r="D99" s="5"/>
      <c r="E99" s="5"/>
      <c r="F99" s="55"/>
      <c r="G99" s="56">
        <f ca="1">IFERROR(__xludf.DUMMYFUNCTION("""COMPUTED_VALUE"""),1)</f>
        <v>1</v>
      </c>
      <c r="H99" s="57">
        <f ca="1">IFERROR(__xludf.DUMMYFUNCTION("""COMPUTED_VALUE"""),1)</f>
        <v>1</v>
      </c>
      <c r="I99" s="57" t="str">
        <f ca="1">IFERROR(__xludf.DUMMYFUNCTION("""COMPUTED_VALUE"""),"")</f>
        <v/>
      </c>
      <c r="J99" s="19" t="str">
        <f ca="1">IFERROR(__xludf.DUMMYFUNCTION("""COMPUTED_VALUE"""),"")</f>
        <v/>
      </c>
      <c r="K99" s="19"/>
      <c r="L99" s="19"/>
      <c r="M99" s="19"/>
      <c r="N99" s="19"/>
      <c r="O99" s="59"/>
      <c r="P99" s="7"/>
      <c r="Q99" s="55"/>
      <c r="R99" s="55"/>
      <c r="S99" s="7"/>
      <c r="T99" s="55"/>
      <c r="U99" s="7"/>
      <c r="V99" s="55"/>
      <c r="W99" s="60"/>
      <c r="X99" s="55"/>
    </row>
    <row r="100" spans="1:24" ht="13" x14ac:dyDescent="0.15">
      <c r="A100" s="25" t="str">
        <f ca="1">IFERROR(__xludf.DUMMYFUNCTION("""COMPUTED_VALUE"""),"36221")</f>
        <v>36221</v>
      </c>
      <c r="B100" s="69">
        <f ca="1">IFERROR(__xludf.DUMMYFUNCTION("""COMPUTED_VALUE"""),44597)</f>
        <v>44597</v>
      </c>
      <c r="C100" s="69" t="str">
        <f ca="1">IFERROR(__xludf.DUMMYFUNCTION("""COMPUTED_VALUE"""),"Cash")</f>
        <v>Cash</v>
      </c>
      <c r="D100" s="5" t="str">
        <f ca="1">IFERROR(__xludf.DUMMYFUNCTION("""COMPUTED_VALUE"""),"Cash")</f>
        <v>Cash</v>
      </c>
      <c r="E100" s="5" t="str">
        <f ca="1">IFERROR(__xludf.DUMMYFUNCTION("""COMPUTED_VALUE"""),"HKD")</f>
        <v>HKD</v>
      </c>
      <c r="F100" s="55" t="str">
        <f ca="1">IFERROR(__xludf.DUMMYFUNCTION("""COMPUTED_VALUE"""),"")</f>
        <v/>
      </c>
      <c r="G100" s="56">
        <f ca="1">IFERROR(__xludf.DUMMYFUNCTION("""COMPUTED_VALUE"""),1)</f>
        <v>1</v>
      </c>
      <c r="H100" s="57">
        <f ca="1">IFERROR(__xludf.DUMMYFUNCTION("""COMPUTED_VALUE"""),1)</f>
        <v>1</v>
      </c>
      <c r="I100" s="57">
        <f ca="1">IFERROR(__xludf.DUMMYFUNCTION("""COMPUTED_VALUE"""),1)</f>
        <v>1</v>
      </c>
      <c r="J100" s="19" t="str">
        <f ca="1">IFERROR(__xludf.DUMMYFUNCTION("""COMPUTED_VALUE"""),"")</f>
        <v/>
      </c>
      <c r="K100" s="19"/>
      <c r="L100" s="19"/>
      <c r="M100" s="19"/>
      <c r="N100" s="19"/>
      <c r="O100" s="59"/>
      <c r="P100" s="7"/>
      <c r="Q100" s="55"/>
      <c r="R100" s="55"/>
      <c r="S100" s="7"/>
      <c r="T100" s="55"/>
      <c r="U100" s="7"/>
      <c r="V100" s="55"/>
      <c r="W100" s="60"/>
      <c r="X100" s="55"/>
    </row>
    <row r="101" spans="1:24" ht="13" x14ac:dyDescent="0.15">
      <c r="A101" s="25" t="str">
        <f ca="1">IFERROR(__xludf.DUMMYFUNCTION("""COMPUTED_VALUE"""),"36221")</f>
        <v>36221</v>
      </c>
      <c r="B101" s="69">
        <f ca="1">IFERROR(__xludf.DUMMYFUNCTION("""COMPUTED_VALUE"""),44607)</f>
        <v>44607</v>
      </c>
      <c r="C101" s="69" t="str">
        <f ca="1">IFERROR(__xludf.DUMMYFUNCTION("""COMPUTED_VALUE"""),"Stock")</f>
        <v>Stock</v>
      </c>
      <c r="D101" s="5" t="str">
        <f ca="1">IFERROR(__xludf.DUMMYFUNCTION("""COMPUTED_VALUE"""),"ATVI")</f>
        <v>ATVI</v>
      </c>
      <c r="E101" s="5" t="str">
        <f ca="1">IFERROR(__xludf.DUMMYFUNCTION("""COMPUTED_VALUE"""),"USD")</f>
        <v>USD</v>
      </c>
      <c r="F101" s="55">
        <f ca="1">IFERROR(__xludf.DUMMYFUNCTION("""COMPUTED_VALUE"""),200)</f>
        <v>200</v>
      </c>
      <c r="G101" s="56">
        <f ca="1">IFERROR(__xludf.DUMMYFUNCTION("""COMPUTED_VALUE"""),7.81480833333333)</f>
        <v>7.81480833333333</v>
      </c>
      <c r="H101" s="57">
        <f ca="1">IFERROR(__xludf.DUMMYFUNCTION("""COMPUTED_VALUE"""),81.52)</f>
        <v>81.52</v>
      </c>
      <c r="I101" s="57">
        <f ca="1">IFERROR(__xludf.DUMMYFUNCTION("""COMPUTED_VALUE"""),79.07)</f>
        <v>79.069999999999993</v>
      </c>
      <c r="J101" s="70" t="str">
        <f ca="1">IFERROR(__xludf.DUMMYFUNCTION("""COMPUTED_VALUE"""),"Goto link: ATVI")</f>
        <v>Goto link: ATVI</v>
      </c>
      <c r="K101" s="19"/>
      <c r="L101" s="19"/>
      <c r="M101" s="19"/>
      <c r="N101" s="19"/>
      <c r="O101" s="59"/>
      <c r="P101" s="7"/>
      <c r="Q101" s="55"/>
      <c r="R101" s="55"/>
      <c r="S101" s="7"/>
      <c r="T101" s="55"/>
      <c r="U101" s="7"/>
      <c r="V101" s="55"/>
      <c r="W101" s="60"/>
      <c r="X101" s="55"/>
    </row>
    <row r="102" spans="1:24" ht="13" x14ac:dyDescent="0.15">
      <c r="A102" s="25" t="str">
        <f ca="1">IFERROR(__xludf.DUMMYFUNCTION("""COMPUTED_VALUE"""),"36221")</f>
        <v>36221</v>
      </c>
      <c r="B102" s="69">
        <f ca="1">IFERROR(__xludf.DUMMYFUNCTION("""COMPUTED_VALUE"""),44607)</f>
        <v>44607</v>
      </c>
      <c r="C102" s="69" t="str">
        <f ca="1">IFERROR(__xludf.DUMMYFUNCTION("""COMPUTED_VALUE"""),"Stock")</f>
        <v>Stock</v>
      </c>
      <c r="D102" s="5" t="str">
        <f ca="1">IFERROR(__xludf.DUMMYFUNCTION("""COMPUTED_VALUE"""),"NVDA")</f>
        <v>NVDA</v>
      </c>
      <c r="E102" s="5" t="str">
        <f ca="1">IFERROR(__xludf.DUMMYFUNCTION("""COMPUTED_VALUE"""),"USD")</f>
        <v>USD</v>
      </c>
      <c r="F102" s="55">
        <f ca="1">IFERROR(__xludf.DUMMYFUNCTION("""COMPUTED_VALUE"""),100)</f>
        <v>100</v>
      </c>
      <c r="G102" s="56">
        <f ca="1">IFERROR(__xludf.DUMMYFUNCTION("""COMPUTED_VALUE"""),7.81480833333333)</f>
        <v>7.81480833333333</v>
      </c>
      <c r="H102" s="57">
        <f ca="1">IFERROR(__xludf.DUMMYFUNCTION("""COMPUTED_VALUE"""),264.95)</f>
        <v>264.95</v>
      </c>
      <c r="I102" s="57">
        <f ca="1">IFERROR(__xludf.DUMMYFUNCTION("""COMPUTED_VALUE"""),256.34)</f>
        <v>256.33999999999997</v>
      </c>
      <c r="J102" s="70" t="str">
        <f ca="1">IFERROR(__xludf.DUMMYFUNCTION("""COMPUTED_VALUE"""),"Goto link: NVDA")</f>
        <v>Goto link: NVDA</v>
      </c>
      <c r="K102" s="19"/>
      <c r="L102" s="19"/>
      <c r="M102" s="19"/>
      <c r="N102" s="19"/>
      <c r="O102" s="59"/>
      <c r="P102" s="7"/>
      <c r="Q102" s="55"/>
      <c r="R102" s="55"/>
      <c r="S102" s="7"/>
      <c r="T102" s="55"/>
      <c r="U102" s="7"/>
      <c r="V102" s="55"/>
      <c r="W102" s="60"/>
      <c r="X102" s="55"/>
    </row>
    <row r="103" spans="1:24" ht="13" x14ac:dyDescent="0.15">
      <c r="A103" s="25" t="str">
        <f ca="1">IFERROR(__xludf.DUMMYFUNCTION("""COMPUTED_VALUE"""),"36221")</f>
        <v>36221</v>
      </c>
      <c r="B103" s="69">
        <f ca="1">IFERROR(__xludf.DUMMYFUNCTION("""COMPUTED_VALUE"""),44607)</f>
        <v>44607</v>
      </c>
      <c r="C103" s="69" t="str">
        <f ca="1">IFERROR(__xludf.DUMMYFUNCTION("""COMPUTED_VALUE"""),"Stock")</f>
        <v>Stock</v>
      </c>
      <c r="D103" s="5" t="str">
        <f ca="1">IFERROR(__xludf.DUMMYFUNCTION("""COMPUTED_VALUE"""),"SONY")</f>
        <v>SONY</v>
      </c>
      <c r="E103" s="5" t="str">
        <f ca="1">IFERROR(__xludf.DUMMYFUNCTION("""COMPUTED_VALUE"""),"USD")</f>
        <v>USD</v>
      </c>
      <c r="F103" s="55">
        <f ca="1">IFERROR(__xludf.DUMMYFUNCTION("""COMPUTED_VALUE"""),400)</f>
        <v>400</v>
      </c>
      <c r="G103" s="56">
        <f ca="1">IFERROR(__xludf.DUMMYFUNCTION("""COMPUTED_VALUE"""),7.81480833333333)</f>
        <v>7.81480833333333</v>
      </c>
      <c r="H103" s="57">
        <f ca="1">IFERROR(__xludf.DUMMYFUNCTION("""COMPUTED_VALUE"""),108.46)</f>
        <v>108.46</v>
      </c>
      <c r="I103" s="57">
        <f ca="1">IFERROR(__xludf.DUMMYFUNCTION("""COMPUTED_VALUE"""),104.15)</f>
        <v>104.15</v>
      </c>
      <c r="J103" s="70" t="str">
        <f ca="1">IFERROR(__xludf.DUMMYFUNCTION("""COMPUTED_VALUE"""),"Goto link: SONY")</f>
        <v>Goto link: SONY</v>
      </c>
      <c r="K103" s="19"/>
      <c r="L103" s="19"/>
      <c r="M103" s="19"/>
      <c r="N103" s="19"/>
      <c r="O103" s="59"/>
      <c r="P103" s="7"/>
      <c r="Q103" s="55"/>
      <c r="R103" s="55"/>
      <c r="S103" s="7"/>
      <c r="T103" s="55"/>
      <c r="U103" s="7"/>
      <c r="V103" s="55"/>
      <c r="W103" s="60"/>
      <c r="X103" s="55"/>
    </row>
    <row r="104" spans="1:24" ht="13" x14ac:dyDescent="0.15">
      <c r="A104" s="25" t="str">
        <f ca="1">IFERROR(__xludf.DUMMYFUNCTION("""COMPUTED_VALUE"""),"36221")</f>
        <v>36221</v>
      </c>
      <c r="B104" s="69">
        <f ca="1">IFERROR(__xludf.DUMMYFUNCTION("""COMPUTED_VALUE"""),44607)</f>
        <v>44607</v>
      </c>
      <c r="C104" s="69" t="str">
        <f ca="1">IFERROR(__xludf.DUMMYFUNCTION("""COMPUTED_VALUE"""),"Stock")</f>
        <v>Stock</v>
      </c>
      <c r="D104" s="5" t="str">
        <f ca="1">IFERROR(__xludf.DUMMYFUNCTION("""COMPUTED_VALUE"""),"tcehy")</f>
        <v>tcehy</v>
      </c>
      <c r="E104" s="5" t="str">
        <f ca="1">IFERROR(__xludf.DUMMYFUNCTION("""COMPUTED_VALUE"""),"USD")</f>
        <v>USD</v>
      </c>
      <c r="F104" s="55" t="str">
        <f ca="1">IFERROR(__xludf.DUMMYFUNCTION("""COMPUTED_VALUE"""),"")</f>
        <v/>
      </c>
      <c r="G104" s="56">
        <f ca="1">IFERROR(__xludf.DUMMYFUNCTION("""COMPUTED_VALUE"""),7.81480833333333)</f>
        <v>7.81480833333333</v>
      </c>
      <c r="H104" s="57">
        <f ca="1">IFERROR(__xludf.DUMMYFUNCTION("""COMPUTED_VALUE"""),61.07)</f>
        <v>61.07</v>
      </c>
      <c r="I104" s="57">
        <f ca="1">IFERROR(__xludf.DUMMYFUNCTION("""COMPUTED_VALUE"""),47.86)</f>
        <v>47.86</v>
      </c>
      <c r="J104" s="70" t="str">
        <f ca="1">IFERROR(__xludf.DUMMYFUNCTION("""COMPUTED_VALUE"""),"Goto link: tcehy")</f>
        <v>Goto link: tcehy</v>
      </c>
      <c r="K104" s="19"/>
      <c r="L104" s="19"/>
      <c r="M104" s="19"/>
      <c r="N104" s="19"/>
      <c r="O104" s="59"/>
      <c r="P104" s="7"/>
      <c r="Q104" s="55"/>
      <c r="R104" s="55"/>
      <c r="S104" s="7"/>
      <c r="T104" s="55"/>
      <c r="U104" s="7"/>
      <c r="V104" s="55"/>
      <c r="W104" s="60"/>
      <c r="X104" s="55"/>
    </row>
    <row r="105" spans="1:24" ht="13" x14ac:dyDescent="0.15">
      <c r="A105" s="25" t="str">
        <f ca="1">IFERROR(__xludf.DUMMYFUNCTION("""COMPUTED_VALUE"""),"36221 Total")</f>
        <v>36221 Total</v>
      </c>
      <c r="B105" s="5"/>
      <c r="C105" s="69"/>
      <c r="D105" s="5"/>
      <c r="E105" s="5"/>
      <c r="F105" s="55"/>
      <c r="G105" s="56">
        <f ca="1">IFERROR(__xludf.DUMMYFUNCTION("""COMPUTED_VALUE"""),6.16490736842105)</f>
        <v>6.1649073684210496</v>
      </c>
      <c r="H105" s="57">
        <f ca="1">IFERROR(__xludf.DUMMYFUNCTION("""COMPUTED_VALUE"""),264.95)</f>
        <v>264.95</v>
      </c>
      <c r="I105" s="57" t="str">
        <f ca="1">IFERROR(__xludf.DUMMYFUNCTION("""COMPUTED_VALUE"""),"")</f>
        <v/>
      </c>
      <c r="J105" s="19" t="str">
        <f ca="1">IFERROR(__xludf.DUMMYFUNCTION("""COMPUTED_VALUE"""),"")</f>
        <v/>
      </c>
      <c r="K105" s="19"/>
      <c r="L105" s="19"/>
      <c r="M105" s="19"/>
      <c r="N105" s="19"/>
      <c r="O105" s="59"/>
      <c r="P105" s="7"/>
      <c r="Q105" s="55"/>
      <c r="R105" s="55"/>
      <c r="S105" s="7"/>
      <c r="T105" s="55"/>
      <c r="U105" s="7"/>
      <c r="V105" s="55"/>
      <c r="W105" s="60"/>
      <c r="X105" s="55"/>
    </row>
    <row r="106" spans="1:24" ht="13" x14ac:dyDescent="0.15">
      <c r="A106" s="25" t="str">
        <f ca="1">IFERROR(__xludf.DUMMYFUNCTION("""COMPUTED_VALUE"""),"36242")</f>
        <v>36242</v>
      </c>
      <c r="B106" s="69">
        <f ca="1">IFERROR(__xludf.DUMMYFUNCTION("""COMPUTED_VALUE"""),44597)</f>
        <v>44597</v>
      </c>
      <c r="C106" s="69" t="str">
        <f ca="1">IFERROR(__xludf.DUMMYFUNCTION("""COMPUTED_VALUE"""),"Cash")</f>
        <v>Cash</v>
      </c>
      <c r="D106" s="5" t="str">
        <f ca="1">IFERROR(__xludf.DUMMYFUNCTION("""COMPUTED_VALUE"""),"Cash")</f>
        <v>Cash</v>
      </c>
      <c r="E106" s="5" t="str">
        <f ca="1">IFERROR(__xludf.DUMMYFUNCTION("""COMPUTED_VALUE"""),"HKD")</f>
        <v>HKD</v>
      </c>
      <c r="F106" s="55" t="str">
        <f ca="1">IFERROR(__xludf.DUMMYFUNCTION("""COMPUTED_VALUE"""),"")</f>
        <v/>
      </c>
      <c r="G106" s="56">
        <f ca="1">IFERROR(__xludf.DUMMYFUNCTION("""COMPUTED_VALUE"""),1)</f>
        <v>1</v>
      </c>
      <c r="H106" s="57">
        <f ca="1">IFERROR(__xludf.DUMMYFUNCTION("""COMPUTED_VALUE"""),1)</f>
        <v>1</v>
      </c>
      <c r="I106" s="57">
        <f ca="1">IFERROR(__xludf.DUMMYFUNCTION("""COMPUTED_VALUE"""),1)</f>
        <v>1</v>
      </c>
      <c r="J106" s="19" t="str">
        <f ca="1">IFERROR(__xludf.DUMMYFUNCTION("""COMPUTED_VALUE"""),"")</f>
        <v/>
      </c>
      <c r="K106" s="19"/>
      <c r="L106" s="19"/>
      <c r="M106" s="19"/>
      <c r="N106" s="19"/>
      <c r="O106" s="59"/>
      <c r="P106" s="7"/>
      <c r="Q106" s="55"/>
      <c r="R106" s="55"/>
      <c r="S106" s="7"/>
      <c r="T106" s="55"/>
      <c r="U106" s="7"/>
      <c r="V106" s="55"/>
      <c r="W106" s="60"/>
      <c r="X106" s="55"/>
    </row>
    <row r="107" spans="1:24" ht="13" x14ac:dyDescent="0.15">
      <c r="A107" s="25" t="str">
        <f ca="1">IFERROR(__xludf.DUMMYFUNCTION("""COMPUTED_VALUE"""),"36242 Total")</f>
        <v>36242 Total</v>
      </c>
      <c r="B107" s="5"/>
      <c r="C107" s="69"/>
      <c r="D107" s="5"/>
      <c r="E107" s="5"/>
      <c r="F107" s="55"/>
      <c r="G107" s="56">
        <f ca="1">IFERROR(__xludf.DUMMYFUNCTION("""COMPUTED_VALUE"""),1)</f>
        <v>1</v>
      </c>
      <c r="H107" s="57">
        <f ca="1">IFERROR(__xludf.DUMMYFUNCTION("""COMPUTED_VALUE"""),1)</f>
        <v>1</v>
      </c>
      <c r="I107" s="57" t="str">
        <f ca="1">IFERROR(__xludf.DUMMYFUNCTION("""COMPUTED_VALUE"""),"")</f>
        <v/>
      </c>
      <c r="J107" s="19" t="str">
        <f ca="1">IFERROR(__xludf.DUMMYFUNCTION("""COMPUTED_VALUE"""),"")</f>
        <v/>
      </c>
      <c r="K107" s="19"/>
      <c r="L107" s="19"/>
      <c r="M107" s="19"/>
      <c r="N107" s="19"/>
      <c r="O107" s="59"/>
      <c r="P107" s="7"/>
      <c r="Q107" s="55"/>
      <c r="R107" s="55"/>
      <c r="S107" s="7"/>
      <c r="T107" s="55"/>
      <c r="U107" s="7"/>
      <c r="V107" s="55"/>
      <c r="W107" s="60"/>
      <c r="X107" s="55"/>
    </row>
    <row r="108" spans="1:24" ht="13" x14ac:dyDescent="0.15">
      <c r="A108" s="25" t="str">
        <f ca="1">IFERROR(__xludf.DUMMYFUNCTION("""COMPUTED_VALUE"""),"36252")</f>
        <v>36252</v>
      </c>
      <c r="B108" s="69">
        <f ca="1">IFERROR(__xludf.DUMMYFUNCTION("""COMPUTED_VALUE"""),44597)</f>
        <v>44597</v>
      </c>
      <c r="C108" s="69" t="str">
        <f ca="1">IFERROR(__xludf.DUMMYFUNCTION("""COMPUTED_VALUE"""),"Cash")</f>
        <v>Cash</v>
      </c>
      <c r="D108" s="5" t="str">
        <f ca="1">IFERROR(__xludf.DUMMYFUNCTION("""COMPUTED_VALUE"""),"Cash")</f>
        <v>Cash</v>
      </c>
      <c r="E108" s="5" t="str">
        <f ca="1">IFERROR(__xludf.DUMMYFUNCTION("""COMPUTED_VALUE"""),"HKD")</f>
        <v>HKD</v>
      </c>
      <c r="F108" s="55" t="str">
        <f ca="1">IFERROR(__xludf.DUMMYFUNCTION("""COMPUTED_VALUE"""),"")</f>
        <v/>
      </c>
      <c r="G108" s="56">
        <f ca="1">IFERROR(__xludf.DUMMYFUNCTION("""COMPUTED_VALUE"""),1)</f>
        <v>1</v>
      </c>
      <c r="H108" s="57">
        <f ca="1">IFERROR(__xludf.DUMMYFUNCTION("""COMPUTED_VALUE"""),1)</f>
        <v>1</v>
      </c>
      <c r="I108" s="57">
        <f ca="1">IFERROR(__xludf.DUMMYFUNCTION("""COMPUTED_VALUE"""),1)</f>
        <v>1</v>
      </c>
      <c r="J108" s="19" t="str">
        <f ca="1">IFERROR(__xludf.DUMMYFUNCTION("""COMPUTED_VALUE"""),"")</f>
        <v/>
      </c>
      <c r="K108" s="19"/>
      <c r="L108" s="19"/>
      <c r="M108" s="19"/>
      <c r="N108" s="19"/>
      <c r="O108" s="59"/>
      <c r="P108" s="7"/>
      <c r="Q108" s="55"/>
      <c r="R108" s="55"/>
      <c r="S108" s="7"/>
      <c r="T108" s="55"/>
      <c r="U108" s="7"/>
      <c r="V108" s="55"/>
      <c r="W108" s="60"/>
      <c r="X108" s="55"/>
    </row>
    <row r="109" spans="1:24" ht="13" x14ac:dyDescent="0.15">
      <c r="A109" s="25" t="str">
        <f ca="1">IFERROR(__xludf.DUMMYFUNCTION("""COMPUTED_VALUE"""),"36252")</f>
        <v>36252</v>
      </c>
      <c r="B109" s="69">
        <f ca="1">IFERROR(__xludf.DUMMYFUNCTION("""COMPUTED_VALUE"""),44639)</f>
        <v>44639</v>
      </c>
      <c r="C109" s="69" t="str">
        <f ca="1">IFERROR(__xludf.DUMMYFUNCTION("""COMPUTED_VALUE"""),"Stock")</f>
        <v>Stock</v>
      </c>
      <c r="D109" s="71" t="str">
        <f ca="1">IFERROR(__xludf.DUMMYFUNCTION("""COMPUTED_VALUE"""),"2318.hk")</f>
        <v>2318.hk</v>
      </c>
      <c r="E109" s="5" t="str">
        <f ca="1">IFERROR(__xludf.DUMMYFUNCTION("""COMPUTED_VALUE"""),"HKD")</f>
        <v>HKD</v>
      </c>
      <c r="F109" s="55">
        <f ca="1">IFERROR(__xludf.DUMMYFUNCTION("""COMPUTED_VALUE"""),1600)</f>
        <v>1600</v>
      </c>
      <c r="G109" s="56">
        <f ca="1">IFERROR(__xludf.DUMMYFUNCTION("""COMPUTED_VALUE"""),1)</f>
        <v>1</v>
      </c>
      <c r="H109" s="57">
        <f ca="1">IFERROR(__xludf.DUMMYFUNCTION("""COMPUTED_VALUE"""),54.7)</f>
        <v>54.7</v>
      </c>
      <c r="I109" s="57">
        <f ca="1">IFERROR(__xludf.DUMMYFUNCTION("""COMPUTED_VALUE"""),56.7)</f>
        <v>56.7</v>
      </c>
      <c r="J109" s="70" t="str">
        <f ca="1">IFERROR(__xludf.DUMMYFUNCTION("""COMPUTED_VALUE"""),"Goto link: 2318.hk")</f>
        <v>Goto link: 2318.hk</v>
      </c>
      <c r="K109" s="19"/>
      <c r="L109" s="19"/>
      <c r="M109" s="19"/>
      <c r="N109" s="19"/>
      <c r="O109" s="59"/>
      <c r="P109" s="7"/>
      <c r="Q109" s="55"/>
      <c r="R109" s="55"/>
      <c r="S109" s="7"/>
      <c r="T109" s="55"/>
      <c r="U109" s="7"/>
      <c r="V109" s="55"/>
      <c r="W109" s="60"/>
      <c r="X109" s="55"/>
    </row>
    <row r="110" spans="1:24" ht="13" x14ac:dyDescent="0.15">
      <c r="A110" s="25" t="str">
        <f ca="1">IFERROR(__xludf.DUMMYFUNCTION("""COMPUTED_VALUE"""),"36252")</f>
        <v>36252</v>
      </c>
      <c r="B110" s="69">
        <f ca="1">IFERROR(__xludf.DUMMYFUNCTION("""COMPUTED_VALUE"""),44641)</f>
        <v>44641</v>
      </c>
      <c r="C110" s="69" t="str">
        <f ca="1">IFERROR(__xludf.DUMMYFUNCTION("""COMPUTED_VALUE"""),"Stock")</f>
        <v>Stock</v>
      </c>
      <c r="D110" s="71" t="str">
        <f ca="1">IFERROR(__xludf.DUMMYFUNCTION("""COMPUTED_VALUE"""),"0346.hk")</f>
        <v>0346.hk</v>
      </c>
      <c r="E110" s="5" t="str">
        <f ca="1">IFERROR(__xludf.DUMMYFUNCTION("""COMPUTED_VALUE"""),"HKD")</f>
        <v>HKD</v>
      </c>
      <c r="F110" s="55">
        <f ca="1">IFERROR(__xludf.DUMMYFUNCTION("""COMPUTED_VALUE"""),500000)</f>
        <v>500000</v>
      </c>
      <c r="G110" s="56">
        <f ca="1">IFERROR(__xludf.DUMMYFUNCTION("""COMPUTED_VALUE"""),1)</f>
        <v>1</v>
      </c>
      <c r="H110" s="57">
        <f ca="1">IFERROR(__xludf.DUMMYFUNCTION("""COMPUTED_VALUE"""),0.064)</f>
        <v>6.4000000000000001E-2</v>
      </c>
      <c r="I110" s="57">
        <f ca="1">IFERROR(__xludf.DUMMYFUNCTION("""COMPUTED_VALUE"""),0.065)</f>
        <v>6.5000000000000002E-2</v>
      </c>
      <c r="J110" s="70" t="str">
        <f ca="1">IFERROR(__xludf.DUMMYFUNCTION("""COMPUTED_VALUE"""),"Goto link: 0346.hk")</f>
        <v>Goto link: 0346.hk</v>
      </c>
      <c r="K110" s="19"/>
      <c r="L110" s="19"/>
      <c r="M110" s="19"/>
      <c r="N110" s="19"/>
      <c r="O110" s="59"/>
      <c r="P110" s="7"/>
      <c r="Q110" s="55"/>
      <c r="R110" s="55"/>
      <c r="S110" s="7"/>
      <c r="T110" s="55"/>
      <c r="U110" s="7"/>
      <c r="V110" s="55"/>
      <c r="W110" s="60"/>
      <c r="X110" s="55"/>
    </row>
    <row r="111" spans="1:24" ht="13" x14ac:dyDescent="0.15">
      <c r="A111" s="25" t="str">
        <f ca="1">IFERROR(__xludf.DUMMYFUNCTION("""COMPUTED_VALUE"""),"36252")</f>
        <v>36252</v>
      </c>
      <c r="B111" s="69">
        <f ca="1">IFERROR(__xludf.DUMMYFUNCTION("""COMPUTED_VALUE"""),44641)</f>
        <v>44641</v>
      </c>
      <c r="C111" s="69" t="str">
        <f ca="1">IFERROR(__xludf.DUMMYFUNCTION("""COMPUTED_VALUE"""),"Stock")</f>
        <v>Stock</v>
      </c>
      <c r="D111" s="71" t="str">
        <f ca="1">IFERROR(__xludf.DUMMYFUNCTION("""COMPUTED_VALUE"""),"2607.hk")</f>
        <v>2607.hk</v>
      </c>
      <c r="E111" s="5" t="str">
        <f ca="1">IFERROR(__xludf.DUMMYFUNCTION("""COMPUTED_VALUE"""),"HKD")</f>
        <v>HKD</v>
      </c>
      <c r="F111" s="55">
        <f ca="1">IFERROR(__xludf.DUMMYFUNCTION("""COMPUTED_VALUE"""),11000)</f>
        <v>11000</v>
      </c>
      <c r="G111" s="56">
        <f ca="1">IFERROR(__xludf.DUMMYFUNCTION("""COMPUTED_VALUE"""),1)</f>
        <v>1</v>
      </c>
      <c r="H111" s="57">
        <f ca="1">IFERROR(__xludf.DUMMYFUNCTION("""COMPUTED_VALUE"""),16.58)</f>
        <v>16.579999999999998</v>
      </c>
      <c r="I111" s="57">
        <f ca="1">IFERROR(__xludf.DUMMYFUNCTION("""COMPUTED_VALUE"""),15.38)</f>
        <v>15.38</v>
      </c>
      <c r="J111" s="70" t="str">
        <f ca="1">IFERROR(__xludf.DUMMYFUNCTION("""COMPUTED_VALUE"""),"Goto link: 2607.hk")</f>
        <v>Goto link: 2607.hk</v>
      </c>
      <c r="K111" s="19"/>
      <c r="L111" s="19"/>
      <c r="M111" s="19"/>
      <c r="N111" s="19"/>
      <c r="O111" s="59"/>
      <c r="P111" s="7"/>
      <c r="Q111" s="55"/>
      <c r="R111" s="55"/>
      <c r="S111" s="7"/>
      <c r="T111" s="55"/>
      <c r="U111" s="7"/>
      <c r="V111" s="55"/>
      <c r="W111" s="60"/>
      <c r="X111" s="55"/>
    </row>
    <row r="112" spans="1:24" ht="13" x14ac:dyDescent="0.15">
      <c r="A112" s="25" t="str">
        <f ca="1">IFERROR(__xludf.DUMMYFUNCTION("""COMPUTED_VALUE"""),"36252 Total")</f>
        <v>36252 Total</v>
      </c>
      <c r="B112" s="5"/>
      <c r="C112" s="69"/>
      <c r="D112" s="5"/>
      <c r="E112" s="5"/>
      <c r="F112" s="55"/>
      <c r="G112" s="56">
        <f ca="1">IFERROR(__xludf.DUMMYFUNCTION("""COMPUTED_VALUE"""),1)</f>
        <v>1</v>
      </c>
      <c r="H112" s="57">
        <f ca="1">IFERROR(__xludf.DUMMYFUNCTION("""COMPUTED_VALUE"""),54.7)</f>
        <v>54.7</v>
      </c>
      <c r="I112" s="57" t="str">
        <f ca="1">IFERROR(__xludf.DUMMYFUNCTION("""COMPUTED_VALUE"""),"")</f>
        <v/>
      </c>
      <c r="J112" s="19" t="str">
        <f ca="1">IFERROR(__xludf.DUMMYFUNCTION("""COMPUTED_VALUE"""),"")</f>
        <v/>
      </c>
      <c r="K112" s="19"/>
      <c r="L112" s="19"/>
      <c r="M112" s="19"/>
      <c r="N112" s="19"/>
      <c r="O112" s="59"/>
      <c r="P112" s="7"/>
      <c r="Q112" s="55"/>
      <c r="R112" s="55"/>
      <c r="S112" s="7"/>
      <c r="T112" s="55"/>
      <c r="U112" s="7"/>
      <c r="V112" s="55"/>
      <c r="W112" s="60"/>
      <c r="X112" s="55"/>
    </row>
    <row r="113" spans="1:24" ht="13" x14ac:dyDescent="0.15">
      <c r="A113" s="25" t="str">
        <f ca="1">IFERROR(__xludf.DUMMYFUNCTION("""COMPUTED_VALUE"""),"36460")</f>
        <v>36460</v>
      </c>
      <c r="B113" s="69">
        <f ca="1">IFERROR(__xludf.DUMMYFUNCTION("""COMPUTED_VALUE"""),44597)</f>
        <v>44597</v>
      </c>
      <c r="C113" s="69" t="str">
        <f ca="1">IFERROR(__xludf.DUMMYFUNCTION("""COMPUTED_VALUE"""),"Cash")</f>
        <v>Cash</v>
      </c>
      <c r="D113" s="5" t="str">
        <f ca="1">IFERROR(__xludf.DUMMYFUNCTION("""COMPUTED_VALUE"""),"Cash")</f>
        <v>Cash</v>
      </c>
      <c r="E113" s="5" t="str">
        <f ca="1">IFERROR(__xludf.DUMMYFUNCTION("""COMPUTED_VALUE"""),"HKD")</f>
        <v>HKD</v>
      </c>
      <c r="F113" s="55" t="str">
        <f ca="1">IFERROR(__xludf.DUMMYFUNCTION("""COMPUTED_VALUE"""),"")</f>
        <v/>
      </c>
      <c r="G113" s="56">
        <f ca="1">IFERROR(__xludf.DUMMYFUNCTION("""COMPUTED_VALUE"""),1)</f>
        <v>1</v>
      </c>
      <c r="H113" s="57">
        <f ca="1">IFERROR(__xludf.DUMMYFUNCTION("""COMPUTED_VALUE"""),1)</f>
        <v>1</v>
      </c>
      <c r="I113" s="57">
        <f ca="1">IFERROR(__xludf.DUMMYFUNCTION("""COMPUTED_VALUE"""),1)</f>
        <v>1</v>
      </c>
      <c r="J113" s="19" t="str">
        <f ca="1">IFERROR(__xludf.DUMMYFUNCTION("""COMPUTED_VALUE"""),"")</f>
        <v/>
      </c>
      <c r="K113" s="19"/>
      <c r="L113" s="19"/>
      <c r="M113" s="19"/>
      <c r="N113" s="19"/>
      <c r="O113" s="59"/>
      <c r="P113" s="7"/>
      <c r="Q113" s="55"/>
      <c r="R113" s="55"/>
      <c r="S113" s="7"/>
      <c r="T113" s="55"/>
      <c r="U113" s="7"/>
      <c r="V113" s="55"/>
      <c r="W113" s="60"/>
      <c r="X113" s="55"/>
    </row>
    <row r="114" spans="1:24" ht="13" x14ac:dyDescent="0.15">
      <c r="A114" s="25" t="str">
        <f ca="1">IFERROR(__xludf.DUMMYFUNCTION("""COMPUTED_VALUE"""),"36460")</f>
        <v>36460</v>
      </c>
      <c r="B114" s="69">
        <f ca="1">IFERROR(__xludf.DUMMYFUNCTION("""COMPUTED_VALUE"""),44613)</f>
        <v>44613</v>
      </c>
      <c r="C114" s="69" t="str">
        <f ca="1">IFERROR(__xludf.DUMMYFUNCTION("""COMPUTED_VALUE"""),"Stock")</f>
        <v>Stock</v>
      </c>
      <c r="D114" s="71" t="str">
        <f ca="1">IFERROR(__xludf.DUMMYFUNCTION("""COMPUTED_VALUE"""),"0700.HK")</f>
        <v>0700.HK</v>
      </c>
      <c r="E114" s="5" t="str">
        <f ca="1">IFERROR(__xludf.DUMMYFUNCTION("""COMPUTED_VALUE"""),"HKD")</f>
        <v>HKD</v>
      </c>
      <c r="F114" s="55">
        <f ca="1">IFERROR(__xludf.DUMMYFUNCTION("""COMPUTED_VALUE"""),200)</f>
        <v>200</v>
      </c>
      <c r="G114" s="56">
        <f ca="1">IFERROR(__xludf.DUMMYFUNCTION("""COMPUTED_VALUE"""),1)</f>
        <v>1</v>
      </c>
      <c r="H114" s="57">
        <f ca="1">IFERROR(__xludf.DUMMYFUNCTION("""COMPUTED_VALUE"""),470)</f>
        <v>470</v>
      </c>
      <c r="I114" s="57">
        <f ca="1">IFERROR(__xludf.DUMMYFUNCTION("""COMPUTED_VALUE"""),389)</f>
        <v>389</v>
      </c>
      <c r="J114" s="70" t="str">
        <f ca="1">IFERROR(__xludf.DUMMYFUNCTION("""COMPUTED_VALUE"""),"Goto link: 0700.HK")</f>
        <v>Goto link: 0700.HK</v>
      </c>
      <c r="K114" s="19"/>
      <c r="L114" s="19"/>
      <c r="M114" s="19"/>
      <c r="N114" s="19"/>
      <c r="O114" s="59"/>
      <c r="P114" s="7"/>
      <c r="Q114" s="55"/>
      <c r="R114" s="55"/>
      <c r="S114" s="7"/>
      <c r="T114" s="55"/>
      <c r="U114" s="7"/>
      <c r="V114" s="55"/>
      <c r="W114" s="60"/>
      <c r="X114" s="55"/>
    </row>
    <row r="115" spans="1:24" ht="13" x14ac:dyDescent="0.15">
      <c r="A115" s="25" t="str">
        <f ca="1">IFERROR(__xludf.DUMMYFUNCTION("""COMPUTED_VALUE"""),"36460")</f>
        <v>36460</v>
      </c>
      <c r="B115" s="69">
        <f ca="1">IFERROR(__xludf.DUMMYFUNCTION("""COMPUTED_VALUE"""),44616)</f>
        <v>44616</v>
      </c>
      <c r="C115" s="69" t="str">
        <f ca="1">IFERROR(__xludf.DUMMYFUNCTION("""COMPUTED_VALUE"""),"Stock")</f>
        <v>Stock</v>
      </c>
      <c r="D115" s="5" t="str">
        <f ca="1">IFERROR(__xludf.DUMMYFUNCTION("""COMPUTED_VALUE"""),"CL=F")</f>
        <v>CL=F</v>
      </c>
      <c r="E115" s="5" t="str">
        <f ca="1">IFERROR(__xludf.DUMMYFUNCTION("""COMPUTED_VALUE"""),"USD")</f>
        <v>USD</v>
      </c>
      <c r="F115" s="55" t="str">
        <f ca="1">IFERROR(__xludf.DUMMYFUNCTION("""COMPUTED_VALUE"""),"")</f>
        <v/>
      </c>
      <c r="G115" s="56">
        <f ca="1">IFERROR(__xludf.DUMMYFUNCTION("""COMPUTED_VALUE"""),7.81935777777777)</f>
        <v>7.8193577777777703</v>
      </c>
      <c r="H115" s="57">
        <f ca="1">IFERROR(__xludf.DUMMYFUNCTION("""COMPUTED_VALUE"""),94.45)</f>
        <v>94.45</v>
      </c>
      <c r="I115" s="57">
        <f ca="1">IFERROR(__xludf.DUMMYFUNCTION("""COMPUTED_VALUE"""),115.83)</f>
        <v>115.83</v>
      </c>
      <c r="J115" s="70" t="str">
        <f ca="1">IFERROR(__xludf.DUMMYFUNCTION("""COMPUTED_VALUE"""),"Goto link: CL=F")</f>
        <v>Goto link: CL=F</v>
      </c>
      <c r="K115" s="19"/>
      <c r="L115" s="19"/>
      <c r="M115" s="19"/>
      <c r="N115" s="19"/>
      <c r="O115" s="59"/>
      <c r="P115" s="7"/>
      <c r="Q115" s="55"/>
      <c r="R115" s="55"/>
      <c r="S115" s="7"/>
      <c r="T115" s="55"/>
      <c r="U115" s="7"/>
      <c r="V115" s="55"/>
      <c r="W115" s="60"/>
      <c r="X115" s="55"/>
    </row>
    <row r="116" spans="1:24" ht="13" x14ac:dyDescent="0.15">
      <c r="A116" s="25" t="str">
        <f ca="1">IFERROR(__xludf.DUMMYFUNCTION("""COMPUTED_VALUE"""),"36460")</f>
        <v>36460</v>
      </c>
      <c r="B116" s="69">
        <f ca="1">IFERROR(__xludf.DUMMYFUNCTION("""COMPUTED_VALUE"""),44616)</f>
        <v>44616</v>
      </c>
      <c r="C116" s="69" t="str">
        <f ca="1">IFERROR(__xludf.DUMMYFUNCTION("""COMPUTED_VALUE"""),"Stock")</f>
        <v>Stock</v>
      </c>
      <c r="D116" s="5" t="str">
        <f ca="1">IFERROR(__xludf.DUMMYFUNCTION("""COMPUTED_VALUE"""),"TSLA")</f>
        <v>TSLA</v>
      </c>
      <c r="E116" s="5" t="str">
        <f ca="1">IFERROR(__xludf.DUMMYFUNCTION("""COMPUTED_VALUE"""),"USD")</f>
        <v>USD</v>
      </c>
      <c r="F116" s="55">
        <f ca="1">IFERROR(__xludf.DUMMYFUNCTION("""COMPUTED_VALUE"""),100)</f>
        <v>100</v>
      </c>
      <c r="G116" s="56">
        <f ca="1">IFERROR(__xludf.DUMMYFUNCTION("""COMPUTED_VALUE"""),7.81935777777777)</f>
        <v>7.8193577777777703</v>
      </c>
      <c r="H116" s="57">
        <f ca="1">IFERROR(__xludf.DUMMYFUNCTION("""COMPUTED_VALUE"""),800.77)</f>
        <v>800.77</v>
      </c>
      <c r="I116" s="57">
        <f ca="1">IFERROR(__xludf.DUMMYFUNCTION("""COMPUTED_VALUE"""),999.11)</f>
        <v>999.11</v>
      </c>
      <c r="J116" s="70" t="str">
        <f ca="1">IFERROR(__xludf.DUMMYFUNCTION("""COMPUTED_VALUE"""),"Goto link: TSLA")</f>
        <v>Goto link: TSLA</v>
      </c>
      <c r="K116" s="19"/>
      <c r="L116" s="19"/>
      <c r="M116" s="19"/>
      <c r="N116" s="19"/>
      <c r="O116" s="59"/>
      <c r="P116" s="7"/>
      <c r="Q116" s="55"/>
      <c r="R116" s="55"/>
      <c r="S116" s="7"/>
      <c r="T116" s="55"/>
      <c r="U116" s="7"/>
      <c r="V116" s="55"/>
      <c r="W116" s="60"/>
      <c r="X116" s="55"/>
    </row>
    <row r="117" spans="1:24" ht="13" x14ac:dyDescent="0.15">
      <c r="A117" s="25" t="str">
        <f ca="1">IFERROR(__xludf.DUMMYFUNCTION("""COMPUTED_VALUE"""),"36460")</f>
        <v>36460</v>
      </c>
      <c r="B117" s="69">
        <f ca="1">IFERROR(__xludf.DUMMYFUNCTION("""COMPUTED_VALUE"""),44620)</f>
        <v>44620</v>
      </c>
      <c r="C117" s="69" t="str">
        <f ca="1">IFERROR(__xludf.DUMMYFUNCTION("""COMPUTED_VALUE"""),"Stock")</f>
        <v>Stock</v>
      </c>
      <c r="D117" s="5" t="str">
        <f ca="1">IFERROR(__xludf.DUMMYFUNCTION("""COMPUTED_VALUE"""),"TSLA")</f>
        <v>TSLA</v>
      </c>
      <c r="E117" s="5" t="str">
        <f ca="1">IFERROR(__xludf.DUMMYFUNCTION("""COMPUTED_VALUE"""),"USD")</f>
        <v>USD</v>
      </c>
      <c r="F117" s="55">
        <f ca="1">IFERROR(__xludf.DUMMYFUNCTION("""COMPUTED_VALUE"""),-80)</f>
        <v>-80</v>
      </c>
      <c r="G117" s="56">
        <f ca="1">IFERROR(__xludf.DUMMYFUNCTION("""COMPUTED_VALUE"""),7.82129434782608)</f>
        <v>7.8212943478260799</v>
      </c>
      <c r="H117" s="57">
        <f ca="1">IFERROR(__xludf.DUMMYFUNCTION("""COMPUTED_VALUE"""),870.43)</f>
        <v>870.43</v>
      </c>
      <c r="I117" s="57">
        <f ca="1">IFERROR(__xludf.DUMMYFUNCTION("""COMPUTED_VALUE"""),999.11)</f>
        <v>999.11</v>
      </c>
      <c r="J117" s="70" t="str">
        <f ca="1">IFERROR(__xludf.DUMMYFUNCTION("""COMPUTED_VALUE"""),"Goto link: TSLA")</f>
        <v>Goto link: TSLA</v>
      </c>
      <c r="K117" s="19"/>
      <c r="L117" s="19"/>
      <c r="M117" s="19"/>
      <c r="N117" s="19"/>
      <c r="O117" s="59"/>
      <c r="P117" s="7"/>
      <c r="Q117" s="55"/>
      <c r="R117" s="55"/>
      <c r="S117" s="7"/>
      <c r="T117" s="55"/>
      <c r="U117" s="7"/>
      <c r="V117" s="55"/>
      <c r="W117" s="60"/>
      <c r="X117" s="55"/>
    </row>
    <row r="118" spans="1:24" ht="13" x14ac:dyDescent="0.15">
      <c r="A118" s="25" t="str">
        <f ca="1">IFERROR(__xludf.DUMMYFUNCTION("""COMPUTED_VALUE"""),"36460 Total")</f>
        <v>36460 Total</v>
      </c>
      <c r="B118" s="5"/>
      <c r="C118" s="69"/>
      <c r="D118" s="5"/>
      <c r="E118" s="5"/>
      <c r="F118" s="55"/>
      <c r="G118" s="56">
        <f ca="1">IFERROR(__xludf.DUMMYFUNCTION("""COMPUTED_VALUE"""),4.43225549019608)</f>
        <v>4.4322554901960798</v>
      </c>
      <c r="H118" s="57">
        <f ca="1">IFERROR(__xludf.DUMMYFUNCTION("""COMPUTED_VALUE"""),870.43)</f>
        <v>870.43</v>
      </c>
      <c r="I118" s="57" t="str">
        <f ca="1">IFERROR(__xludf.DUMMYFUNCTION("""COMPUTED_VALUE"""),"")</f>
        <v/>
      </c>
      <c r="J118" s="19" t="str">
        <f ca="1">IFERROR(__xludf.DUMMYFUNCTION("""COMPUTED_VALUE"""),"")</f>
        <v/>
      </c>
      <c r="K118" s="19"/>
      <c r="L118" s="19"/>
      <c r="M118" s="19"/>
      <c r="N118" s="19"/>
      <c r="O118" s="59"/>
      <c r="P118" s="7"/>
      <c r="Q118" s="55"/>
      <c r="R118" s="55"/>
      <c r="S118" s="7"/>
      <c r="T118" s="55"/>
      <c r="U118" s="7"/>
      <c r="V118" s="55"/>
      <c r="W118" s="60"/>
      <c r="X118" s="55"/>
    </row>
    <row r="119" spans="1:24" ht="13" x14ac:dyDescent="0.15">
      <c r="A119" s="25" t="str">
        <f ca="1">IFERROR(__xludf.DUMMYFUNCTION("""COMPUTED_VALUE"""),"36560")</f>
        <v>36560</v>
      </c>
      <c r="B119" s="69">
        <f ca="1">IFERROR(__xludf.DUMMYFUNCTION("""COMPUTED_VALUE"""),44597)</f>
        <v>44597</v>
      </c>
      <c r="C119" s="69" t="str">
        <f ca="1">IFERROR(__xludf.DUMMYFUNCTION("""COMPUTED_VALUE"""),"Cash")</f>
        <v>Cash</v>
      </c>
      <c r="D119" s="5" t="str">
        <f ca="1">IFERROR(__xludf.DUMMYFUNCTION("""COMPUTED_VALUE"""),"Cash")</f>
        <v>Cash</v>
      </c>
      <c r="E119" s="5" t="str">
        <f ca="1">IFERROR(__xludf.DUMMYFUNCTION("""COMPUTED_VALUE"""),"HKD")</f>
        <v>HKD</v>
      </c>
      <c r="F119" s="55" t="str">
        <f ca="1">IFERROR(__xludf.DUMMYFUNCTION("""COMPUTED_VALUE"""),"")</f>
        <v/>
      </c>
      <c r="G119" s="56">
        <f ca="1">IFERROR(__xludf.DUMMYFUNCTION("""COMPUTED_VALUE"""),1)</f>
        <v>1</v>
      </c>
      <c r="H119" s="57">
        <f ca="1">IFERROR(__xludf.DUMMYFUNCTION("""COMPUTED_VALUE"""),1)</f>
        <v>1</v>
      </c>
      <c r="I119" s="57">
        <f ca="1">IFERROR(__xludf.DUMMYFUNCTION("""COMPUTED_VALUE"""),1)</f>
        <v>1</v>
      </c>
      <c r="J119" s="19" t="str">
        <f ca="1">IFERROR(__xludf.DUMMYFUNCTION("""COMPUTED_VALUE"""),"")</f>
        <v/>
      </c>
      <c r="K119" s="19"/>
      <c r="L119" s="19"/>
      <c r="M119" s="19"/>
      <c r="N119" s="19"/>
      <c r="O119" s="59"/>
      <c r="P119" s="7"/>
      <c r="Q119" s="55"/>
      <c r="R119" s="55"/>
      <c r="S119" s="7"/>
      <c r="T119" s="55"/>
      <c r="U119" s="7"/>
      <c r="V119" s="55"/>
      <c r="W119" s="60"/>
      <c r="X119" s="55"/>
    </row>
    <row r="120" spans="1:24" ht="13" x14ac:dyDescent="0.15">
      <c r="A120" s="25" t="str">
        <f ca="1">IFERROR(__xludf.DUMMYFUNCTION("""COMPUTED_VALUE"""),"36560 Total")</f>
        <v>36560 Total</v>
      </c>
      <c r="B120" s="5"/>
      <c r="C120" s="69"/>
      <c r="D120" s="5"/>
      <c r="E120" s="5"/>
      <c r="F120" s="55"/>
      <c r="G120" s="56">
        <f ca="1">IFERROR(__xludf.DUMMYFUNCTION("""COMPUTED_VALUE"""),1)</f>
        <v>1</v>
      </c>
      <c r="H120" s="57">
        <f ca="1">IFERROR(__xludf.DUMMYFUNCTION("""COMPUTED_VALUE"""),1)</f>
        <v>1</v>
      </c>
      <c r="I120" s="57" t="str">
        <f ca="1">IFERROR(__xludf.DUMMYFUNCTION("""COMPUTED_VALUE"""),"")</f>
        <v/>
      </c>
      <c r="J120" s="19" t="str">
        <f ca="1">IFERROR(__xludf.DUMMYFUNCTION("""COMPUTED_VALUE"""),"")</f>
        <v/>
      </c>
      <c r="K120" s="19"/>
      <c r="L120" s="19"/>
      <c r="M120" s="19"/>
      <c r="N120" s="19"/>
      <c r="O120" s="59"/>
      <c r="P120" s="7"/>
      <c r="Q120" s="55"/>
      <c r="R120" s="55"/>
      <c r="S120" s="7"/>
      <c r="T120" s="55"/>
      <c r="U120" s="7"/>
      <c r="V120" s="55"/>
      <c r="W120" s="60"/>
      <c r="X120" s="55"/>
    </row>
    <row r="121" spans="1:24" ht="13" x14ac:dyDescent="0.15">
      <c r="A121" s="25" t="str">
        <f ca="1">IFERROR(__xludf.DUMMYFUNCTION("""COMPUTED_VALUE"""),"36903")</f>
        <v>36903</v>
      </c>
      <c r="B121" s="69">
        <f ca="1">IFERROR(__xludf.DUMMYFUNCTION("""COMPUTED_VALUE"""),44597)</f>
        <v>44597</v>
      </c>
      <c r="C121" s="69" t="str">
        <f ca="1">IFERROR(__xludf.DUMMYFUNCTION("""COMPUTED_VALUE"""),"Cash")</f>
        <v>Cash</v>
      </c>
      <c r="D121" s="5" t="str">
        <f ca="1">IFERROR(__xludf.DUMMYFUNCTION("""COMPUTED_VALUE"""),"Cash")</f>
        <v>Cash</v>
      </c>
      <c r="E121" s="5" t="str">
        <f ca="1">IFERROR(__xludf.DUMMYFUNCTION("""COMPUTED_VALUE"""),"HKD")</f>
        <v>HKD</v>
      </c>
      <c r="F121" s="55" t="str">
        <f ca="1">IFERROR(__xludf.DUMMYFUNCTION("""COMPUTED_VALUE"""),"")</f>
        <v/>
      </c>
      <c r="G121" s="56">
        <f ca="1">IFERROR(__xludf.DUMMYFUNCTION("""COMPUTED_VALUE"""),1)</f>
        <v>1</v>
      </c>
      <c r="H121" s="57">
        <f ca="1">IFERROR(__xludf.DUMMYFUNCTION("""COMPUTED_VALUE"""),1)</f>
        <v>1</v>
      </c>
      <c r="I121" s="57">
        <f ca="1">IFERROR(__xludf.DUMMYFUNCTION("""COMPUTED_VALUE"""),1)</f>
        <v>1</v>
      </c>
      <c r="J121" s="19" t="str">
        <f ca="1">IFERROR(__xludf.DUMMYFUNCTION("""COMPUTED_VALUE"""),"")</f>
        <v/>
      </c>
      <c r="K121" s="19"/>
      <c r="L121" s="19"/>
      <c r="M121" s="19"/>
      <c r="N121" s="19"/>
      <c r="O121" s="59"/>
      <c r="P121" s="7"/>
      <c r="Q121" s="55"/>
      <c r="R121" s="55"/>
      <c r="S121" s="7"/>
      <c r="T121" s="55"/>
      <c r="U121" s="7"/>
      <c r="V121" s="55"/>
      <c r="W121" s="60"/>
      <c r="X121" s="55"/>
    </row>
    <row r="122" spans="1:24" ht="13" x14ac:dyDescent="0.15">
      <c r="A122" s="25" t="str">
        <f ca="1">IFERROR(__xludf.DUMMYFUNCTION("""COMPUTED_VALUE"""),"36903")</f>
        <v>36903</v>
      </c>
      <c r="B122" s="69">
        <f ca="1">IFERROR(__xludf.DUMMYFUNCTION("""COMPUTED_VALUE"""),44599)</f>
        <v>44599</v>
      </c>
      <c r="C122" s="69" t="str">
        <f ca="1">IFERROR(__xludf.DUMMYFUNCTION("""COMPUTED_VALUE"""),"Stock")</f>
        <v>Stock</v>
      </c>
      <c r="D122" s="5" t="str">
        <f ca="1">IFERROR(__xludf.DUMMYFUNCTION("""COMPUTED_VALUE"""),"FB")</f>
        <v>FB</v>
      </c>
      <c r="E122" s="5" t="str">
        <f ca="1">IFERROR(__xludf.DUMMYFUNCTION("""COMPUTED_VALUE"""),"USD")</f>
        <v>USD</v>
      </c>
      <c r="F122" s="55">
        <f ca="1">IFERROR(__xludf.DUMMYFUNCTION("""COMPUTED_VALUE"""),50)</f>
        <v>50</v>
      </c>
      <c r="G122" s="56">
        <f ca="1">IFERROR(__xludf.DUMMYFUNCTION("""COMPUTED_VALUE"""),7.8116284090909)</f>
        <v>7.8116284090908996</v>
      </c>
      <c r="H122" s="57">
        <f ca="1">IFERROR(__xludf.DUMMYFUNCTION("""COMPUTED_VALUE"""),224.91)</f>
        <v>224.91</v>
      </c>
      <c r="I122" s="57">
        <f ca="1">IFERROR(__xludf.DUMMYFUNCTION("""COMPUTED_VALUE"""),213.46)</f>
        <v>213.46</v>
      </c>
      <c r="J122" s="70" t="str">
        <f ca="1">IFERROR(__xludf.DUMMYFUNCTION("""COMPUTED_VALUE"""),"Goto link: FB")</f>
        <v>Goto link: FB</v>
      </c>
      <c r="K122" s="19"/>
      <c r="L122" s="19"/>
      <c r="M122" s="19"/>
      <c r="N122" s="19"/>
      <c r="O122" s="59"/>
      <c r="P122" s="7"/>
      <c r="Q122" s="55"/>
      <c r="R122" s="55"/>
      <c r="S122" s="7"/>
      <c r="T122" s="55"/>
      <c r="U122" s="7"/>
      <c r="V122" s="55"/>
      <c r="W122" s="60"/>
      <c r="X122" s="55"/>
    </row>
    <row r="123" spans="1:24" ht="13" x14ac:dyDescent="0.15">
      <c r="A123" s="25" t="str">
        <f ca="1">IFERROR(__xludf.DUMMYFUNCTION("""COMPUTED_VALUE"""),"36903")</f>
        <v>36903</v>
      </c>
      <c r="B123" s="69">
        <f ca="1">IFERROR(__xludf.DUMMYFUNCTION("""COMPUTED_VALUE"""),44601)</f>
        <v>44601</v>
      </c>
      <c r="C123" s="69" t="str">
        <f ca="1">IFERROR(__xludf.DUMMYFUNCTION("""COMPUTED_VALUE"""),"Stock")</f>
        <v>Stock</v>
      </c>
      <c r="D123" s="5" t="str">
        <f ca="1">IFERROR(__xludf.DUMMYFUNCTION("""COMPUTED_VALUE"""),"BMBL")</f>
        <v>BMBL</v>
      </c>
      <c r="E123" s="5" t="str">
        <f ca="1">IFERROR(__xludf.DUMMYFUNCTION("""COMPUTED_VALUE"""),"USD")</f>
        <v>USD</v>
      </c>
      <c r="F123" s="55">
        <f ca="1">IFERROR(__xludf.DUMMYFUNCTION("""COMPUTED_VALUE"""),500)</f>
        <v>500</v>
      </c>
      <c r="G123" s="56">
        <f ca="1">IFERROR(__xludf.DUMMYFUNCTION("""COMPUTED_VALUE"""),7.81252511904762)</f>
        <v>7.8125251190476197</v>
      </c>
      <c r="H123" s="57">
        <f ca="1">IFERROR(__xludf.DUMMYFUNCTION("""COMPUTED_VALUE"""),29.59)</f>
        <v>29.59</v>
      </c>
      <c r="I123" s="57">
        <f ca="1">IFERROR(__xludf.DUMMYFUNCTION("""COMPUTED_VALUE"""),28.31)</f>
        <v>28.31</v>
      </c>
      <c r="J123" s="70" t="str">
        <f ca="1">IFERROR(__xludf.DUMMYFUNCTION("""COMPUTED_VALUE"""),"Goto link: BMBL")</f>
        <v>Goto link: BMBL</v>
      </c>
      <c r="K123" s="19"/>
      <c r="L123" s="19"/>
      <c r="M123" s="19"/>
      <c r="N123" s="19"/>
      <c r="O123" s="59"/>
      <c r="P123" s="7"/>
      <c r="Q123" s="55"/>
      <c r="R123" s="55"/>
      <c r="S123" s="7"/>
      <c r="T123" s="55"/>
      <c r="U123" s="7"/>
      <c r="V123" s="55"/>
      <c r="W123" s="60"/>
      <c r="X123" s="55"/>
    </row>
    <row r="124" spans="1:24" ht="13" x14ac:dyDescent="0.15">
      <c r="A124" s="25" t="str">
        <f ca="1">IFERROR(__xludf.DUMMYFUNCTION("""COMPUTED_VALUE"""),"36903")</f>
        <v>36903</v>
      </c>
      <c r="B124" s="69">
        <f ca="1">IFERROR(__xludf.DUMMYFUNCTION("""COMPUTED_VALUE"""),44601)</f>
        <v>44601</v>
      </c>
      <c r="C124" s="69" t="str">
        <f ca="1">IFERROR(__xludf.DUMMYFUNCTION("""COMPUTED_VALUE"""),"Stock")</f>
        <v>Stock</v>
      </c>
      <c r="D124" s="5" t="str">
        <f ca="1">IFERROR(__xludf.DUMMYFUNCTION("""COMPUTED_VALUE"""),"FB")</f>
        <v>FB</v>
      </c>
      <c r="E124" s="5" t="str">
        <f ca="1">IFERROR(__xludf.DUMMYFUNCTION("""COMPUTED_VALUE"""),"USD")</f>
        <v>USD</v>
      </c>
      <c r="F124" s="55">
        <f ca="1">IFERROR(__xludf.DUMMYFUNCTION("""COMPUTED_VALUE"""),80)</f>
        <v>80</v>
      </c>
      <c r="G124" s="56">
        <f ca="1">IFERROR(__xludf.DUMMYFUNCTION("""COMPUTED_VALUE"""),7.81252511904762)</f>
        <v>7.8125251190476197</v>
      </c>
      <c r="H124" s="57">
        <f ca="1">IFERROR(__xludf.DUMMYFUNCTION("""COMPUTED_VALUE"""),232)</f>
        <v>232</v>
      </c>
      <c r="I124" s="57">
        <f ca="1">IFERROR(__xludf.DUMMYFUNCTION("""COMPUTED_VALUE"""),213.46)</f>
        <v>213.46</v>
      </c>
      <c r="J124" s="70" t="str">
        <f ca="1">IFERROR(__xludf.DUMMYFUNCTION("""COMPUTED_VALUE"""),"Goto link: FB")</f>
        <v>Goto link: FB</v>
      </c>
      <c r="K124" s="19"/>
      <c r="L124" s="19"/>
      <c r="M124" s="19"/>
      <c r="N124" s="19"/>
      <c r="O124" s="59"/>
      <c r="P124" s="7"/>
      <c r="Q124" s="55"/>
      <c r="R124" s="55"/>
      <c r="S124" s="7"/>
      <c r="T124" s="55"/>
      <c r="U124" s="7"/>
      <c r="V124" s="55"/>
      <c r="W124" s="60"/>
      <c r="X124" s="55"/>
    </row>
    <row r="125" spans="1:24" ht="13" x14ac:dyDescent="0.15">
      <c r="A125" s="25" t="str">
        <f ca="1">IFERROR(__xludf.DUMMYFUNCTION("""COMPUTED_VALUE"""),"36903")</f>
        <v>36903</v>
      </c>
      <c r="B125" s="69">
        <f ca="1">IFERROR(__xludf.DUMMYFUNCTION("""COMPUTED_VALUE"""),44601)</f>
        <v>44601</v>
      </c>
      <c r="C125" s="69" t="str">
        <f ca="1">IFERROR(__xludf.DUMMYFUNCTION("""COMPUTED_VALUE"""),"Stock")</f>
        <v>Stock</v>
      </c>
      <c r="D125" s="5" t="str">
        <f ca="1">IFERROR(__xludf.DUMMYFUNCTION("""COMPUTED_VALUE"""),"NUSI")</f>
        <v>NUSI</v>
      </c>
      <c r="E125" s="5" t="str">
        <f ca="1">IFERROR(__xludf.DUMMYFUNCTION("""COMPUTED_VALUE"""),"USD")</f>
        <v>USD</v>
      </c>
      <c r="F125" s="55">
        <f ca="1">IFERROR(__xludf.DUMMYFUNCTION("""COMPUTED_VALUE"""),400)</f>
        <v>400</v>
      </c>
      <c r="G125" s="56">
        <f ca="1">IFERROR(__xludf.DUMMYFUNCTION("""COMPUTED_VALUE"""),7.81252511904762)</f>
        <v>7.8125251190476197</v>
      </c>
      <c r="H125" s="57">
        <f ca="1">IFERROR(__xludf.DUMMYFUNCTION("""COMPUTED_VALUE"""),25.76)</f>
        <v>25.76</v>
      </c>
      <c r="I125" s="57">
        <f ca="1">IFERROR(__xludf.DUMMYFUNCTION("""COMPUTED_VALUE"""),24.54)</f>
        <v>24.54</v>
      </c>
      <c r="J125" s="70" t="str">
        <f ca="1">IFERROR(__xludf.DUMMYFUNCTION("""COMPUTED_VALUE"""),"Goto link: NUSI")</f>
        <v>Goto link: NUSI</v>
      </c>
      <c r="K125" s="19"/>
      <c r="L125" s="19"/>
      <c r="M125" s="19"/>
      <c r="N125" s="19"/>
      <c r="O125" s="59"/>
      <c r="P125" s="7"/>
      <c r="Q125" s="55"/>
      <c r="R125" s="55"/>
      <c r="S125" s="7"/>
      <c r="T125" s="55"/>
      <c r="U125" s="7"/>
      <c r="V125" s="55"/>
      <c r="W125" s="60"/>
      <c r="X125" s="55"/>
    </row>
    <row r="126" spans="1:24" ht="13" x14ac:dyDescent="0.15">
      <c r="A126" s="25" t="str">
        <f ca="1">IFERROR(__xludf.DUMMYFUNCTION("""COMPUTED_VALUE"""),"36903")</f>
        <v>36903</v>
      </c>
      <c r="B126" s="69">
        <f ca="1">IFERROR(__xludf.DUMMYFUNCTION("""COMPUTED_VALUE"""),44634)</f>
        <v>44634</v>
      </c>
      <c r="C126" s="69" t="str">
        <f ca="1">IFERROR(__xludf.DUMMYFUNCTION("""COMPUTED_VALUE"""),"Stock")</f>
        <v>Stock</v>
      </c>
      <c r="D126" s="71" t="str">
        <f ca="1">IFERROR(__xludf.DUMMYFUNCTION("""COMPUTED_VALUE"""),"0388.HK")</f>
        <v>0388.HK</v>
      </c>
      <c r="E126" s="5" t="str">
        <f ca="1">IFERROR(__xludf.DUMMYFUNCTION("""COMPUTED_VALUE"""),"HKD")</f>
        <v>HKD</v>
      </c>
      <c r="F126" s="55">
        <f ca="1">IFERROR(__xludf.DUMMYFUNCTION("""COMPUTED_VALUE"""),100)</f>
        <v>100</v>
      </c>
      <c r="G126" s="56">
        <f ca="1">IFERROR(__xludf.DUMMYFUNCTION("""COMPUTED_VALUE"""),1)</f>
        <v>1</v>
      </c>
      <c r="H126" s="57">
        <f ca="1">IFERROR(__xludf.DUMMYFUNCTION("""COMPUTED_VALUE"""),333.4)</f>
        <v>333.4</v>
      </c>
      <c r="I126" s="57">
        <f ca="1">IFERROR(__xludf.DUMMYFUNCTION("""COMPUTED_VALUE"""),382.8)</f>
        <v>382.8</v>
      </c>
      <c r="J126" s="70" t="str">
        <f ca="1">IFERROR(__xludf.DUMMYFUNCTION("""COMPUTED_VALUE"""),"Goto link: 0388.HK")</f>
        <v>Goto link: 0388.HK</v>
      </c>
      <c r="K126" s="19"/>
      <c r="L126" s="19"/>
      <c r="M126" s="19"/>
      <c r="N126" s="19"/>
      <c r="O126" s="59"/>
      <c r="P126" s="7"/>
      <c r="Q126" s="55"/>
      <c r="R126" s="55"/>
      <c r="S126" s="7"/>
      <c r="T126" s="55"/>
      <c r="U126" s="7"/>
      <c r="V126" s="55"/>
      <c r="W126" s="60"/>
      <c r="X126" s="55"/>
    </row>
    <row r="127" spans="1:24" ht="13" x14ac:dyDescent="0.15">
      <c r="A127" s="25" t="str">
        <f ca="1">IFERROR(__xludf.DUMMYFUNCTION("""COMPUTED_VALUE"""),"36903 Total")</f>
        <v>36903 Total</v>
      </c>
      <c r="B127" s="5"/>
      <c r="C127" s="69"/>
      <c r="D127" s="5"/>
      <c r="E127" s="5"/>
      <c r="F127" s="55"/>
      <c r="G127" s="56">
        <f ca="1">IFERROR(__xludf.DUMMYFUNCTION("""COMPUTED_VALUE"""),6.14706584444443)</f>
        <v>6.1470658444444304</v>
      </c>
      <c r="H127" s="57">
        <f ca="1">IFERROR(__xludf.DUMMYFUNCTION("""COMPUTED_VALUE"""),333.4)</f>
        <v>333.4</v>
      </c>
      <c r="I127" s="57" t="str">
        <f ca="1">IFERROR(__xludf.DUMMYFUNCTION("""COMPUTED_VALUE"""),"")</f>
        <v/>
      </c>
      <c r="J127" s="19" t="str">
        <f ca="1">IFERROR(__xludf.DUMMYFUNCTION("""COMPUTED_VALUE"""),"")</f>
        <v/>
      </c>
      <c r="K127" s="19"/>
      <c r="L127" s="19"/>
      <c r="M127" s="19"/>
      <c r="N127" s="19"/>
      <c r="O127" s="59"/>
      <c r="P127" s="7"/>
      <c r="Q127" s="55"/>
      <c r="R127" s="55"/>
      <c r="S127" s="7"/>
      <c r="T127" s="55"/>
      <c r="U127" s="7"/>
      <c r="V127" s="55"/>
      <c r="W127" s="60"/>
      <c r="X127" s="55"/>
    </row>
    <row r="128" spans="1:24" ht="13" x14ac:dyDescent="0.15">
      <c r="A128" s="25" t="str">
        <f ca="1">IFERROR(__xludf.DUMMYFUNCTION("""COMPUTED_VALUE"""),"37198")</f>
        <v>37198</v>
      </c>
      <c r="B128" s="69">
        <f ca="1">IFERROR(__xludf.DUMMYFUNCTION("""COMPUTED_VALUE"""),44597)</f>
        <v>44597</v>
      </c>
      <c r="C128" s="69" t="str">
        <f ca="1">IFERROR(__xludf.DUMMYFUNCTION("""COMPUTED_VALUE"""),"Cash")</f>
        <v>Cash</v>
      </c>
      <c r="D128" s="5" t="str">
        <f ca="1">IFERROR(__xludf.DUMMYFUNCTION("""COMPUTED_VALUE"""),"Cash")</f>
        <v>Cash</v>
      </c>
      <c r="E128" s="5" t="str">
        <f ca="1">IFERROR(__xludf.DUMMYFUNCTION("""COMPUTED_VALUE"""),"HKD")</f>
        <v>HKD</v>
      </c>
      <c r="F128" s="55" t="str">
        <f ca="1">IFERROR(__xludf.DUMMYFUNCTION("""COMPUTED_VALUE"""),"")</f>
        <v/>
      </c>
      <c r="G128" s="56">
        <f ca="1">IFERROR(__xludf.DUMMYFUNCTION("""COMPUTED_VALUE"""),1)</f>
        <v>1</v>
      </c>
      <c r="H128" s="57">
        <f ca="1">IFERROR(__xludf.DUMMYFUNCTION("""COMPUTED_VALUE"""),1)</f>
        <v>1</v>
      </c>
      <c r="I128" s="57">
        <f ca="1">IFERROR(__xludf.DUMMYFUNCTION("""COMPUTED_VALUE"""),1)</f>
        <v>1</v>
      </c>
      <c r="J128" s="19" t="str">
        <f ca="1">IFERROR(__xludf.DUMMYFUNCTION("""COMPUTED_VALUE"""),"")</f>
        <v/>
      </c>
      <c r="K128" s="19"/>
      <c r="L128" s="19"/>
      <c r="M128" s="19"/>
      <c r="N128" s="19"/>
      <c r="O128" s="59"/>
      <c r="P128" s="7"/>
      <c r="Q128" s="55"/>
      <c r="R128" s="55"/>
      <c r="S128" s="7"/>
      <c r="T128" s="55"/>
      <c r="U128" s="7"/>
      <c r="V128" s="55"/>
      <c r="W128" s="60"/>
      <c r="X128" s="55"/>
    </row>
    <row r="129" spans="1:24" ht="13" x14ac:dyDescent="0.15">
      <c r="A129" s="25" t="str">
        <f ca="1">IFERROR(__xludf.DUMMYFUNCTION("""COMPUTED_VALUE"""),"37198")</f>
        <v>37198</v>
      </c>
      <c r="B129" s="69">
        <f ca="1">IFERROR(__xludf.DUMMYFUNCTION("""COMPUTED_VALUE"""),44637)</f>
        <v>44637</v>
      </c>
      <c r="C129" s="69" t="str">
        <f ca="1">IFERROR(__xludf.DUMMYFUNCTION("""COMPUTED_VALUE"""),"Stock")</f>
        <v>Stock</v>
      </c>
      <c r="D129" s="5" t="str">
        <f ca="1">IFERROR(__xludf.DUMMYFUNCTION("""COMPUTED_VALUE"""),"BNTX")</f>
        <v>BNTX</v>
      </c>
      <c r="E129" s="5" t="str">
        <f ca="1">IFERROR(__xludf.DUMMYFUNCTION("""COMPUTED_VALUE"""),"USD")</f>
        <v>USD</v>
      </c>
      <c r="F129" s="55">
        <f ca="1">IFERROR(__xludf.DUMMYFUNCTION("""COMPUTED_VALUE"""),0)</f>
        <v>0</v>
      </c>
      <c r="G129" s="56">
        <f ca="1">IFERROR(__xludf.DUMMYFUNCTION("""COMPUTED_VALUE"""),7.82374916666666)</f>
        <v>7.8237491666666603</v>
      </c>
      <c r="H129" s="57">
        <f ca="1">IFERROR(__xludf.DUMMYFUNCTION("""COMPUTED_VALUE"""),0)</f>
        <v>0</v>
      </c>
      <c r="I129" s="57">
        <f ca="1">IFERROR(__xludf.DUMMYFUNCTION("""COMPUTED_VALUE"""),166.33)</f>
        <v>166.33</v>
      </c>
      <c r="J129" s="70" t="str">
        <f ca="1">IFERROR(__xludf.DUMMYFUNCTION("""COMPUTED_VALUE"""),"Goto link: BNTX")</f>
        <v>Goto link: BNTX</v>
      </c>
      <c r="K129" s="19"/>
      <c r="L129" s="19"/>
      <c r="M129" s="19"/>
      <c r="N129" s="19"/>
      <c r="O129" s="59"/>
      <c r="P129" s="7"/>
      <c r="Q129" s="55"/>
      <c r="R129" s="55"/>
      <c r="S129" s="7"/>
      <c r="T129" s="55"/>
      <c r="U129" s="7"/>
      <c r="V129" s="55"/>
      <c r="W129" s="60"/>
      <c r="X129" s="55"/>
    </row>
    <row r="130" spans="1:24" ht="13" x14ac:dyDescent="0.15">
      <c r="A130" s="25" t="str">
        <f ca="1">IFERROR(__xludf.DUMMYFUNCTION("""COMPUTED_VALUE"""),"37198")</f>
        <v>37198</v>
      </c>
      <c r="B130" s="69">
        <f ca="1">IFERROR(__xludf.DUMMYFUNCTION("""COMPUTED_VALUE"""),44637)</f>
        <v>44637</v>
      </c>
      <c r="C130" s="69" t="str">
        <f ca="1">IFERROR(__xludf.DUMMYFUNCTION("""COMPUTED_VALUE"""),"Stock")</f>
        <v>Stock</v>
      </c>
      <c r="D130" s="5" t="str">
        <f ca="1">IFERROR(__xludf.DUMMYFUNCTION("""COMPUTED_VALUE"""),"TME")</f>
        <v>TME</v>
      </c>
      <c r="E130" s="5" t="str">
        <f ca="1">IFERROR(__xludf.DUMMYFUNCTION("""COMPUTED_VALUE"""),"USD")</f>
        <v>USD</v>
      </c>
      <c r="F130" s="55">
        <f ca="1">IFERROR(__xludf.DUMMYFUNCTION("""COMPUTED_VALUE"""),200)</f>
        <v>200</v>
      </c>
      <c r="G130" s="56">
        <f ca="1">IFERROR(__xludf.DUMMYFUNCTION("""COMPUTED_VALUE"""),7.82374916666666)</f>
        <v>7.8237491666666603</v>
      </c>
      <c r="H130" s="57">
        <f ca="1">IFERROR(__xludf.DUMMYFUNCTION("""COMPUTED_VALUE"""),4.19)</f>
        <v>4.1900000000000004</v>
      </c>
      <c r="I130" s="57">
        <f ca="1">IFERROR(__xludf.DUMMYFUNCTION("""COMPUTED_VALUE"""),5.37)</f>
        <v>5.37</v>
      </c>
      <c r="J130" s="70" t="str">
        <f ca="1">IFERROR(__xludf.DUMMYFUNCTION("""COMPUTED_VALUE"""),"Goto link: TME")</f>
        <v>Goto link: TME</v>
      </c>
      <c r="K130" s="19"/>
      <c r="L130" s="19"/>
      <c r="M130" s="19"/>
      <c r="N130" s="19"/>
      <c r="O130" s="59"/>
      <c r="P130" s="7"/>
      <c r="Q130" s="55"/>
      <c r="R130" s="55"/>
      <c r="S130" s="7"/>
      <c r="T130" s="55"/>
      <c r="U130" s="7"/>
      <c r="V130" s="55"/>
      <c r="W130" s="60"/>
      <c r="X130" s="55"/>
    </row>
    <row r="131" spans="1:24" ht="13" x14ac:dyDescent="0.15">
      <c r="A131" s="25" t="str">
        <f ca="1">IFERROR(__xludf.DUMMYFUNCTION("""COMPUTED_VALUE"""),"37198")</f>
        <v>37198</v>
      </c>
      <c r="B131" s="69">
        <f ca="1">IFERROR(__xludf.DUMMYFUNCTION("""COMPUTED_VALUE"""),44638)</f>
        <v>44638</v>
      </c>
      <c r="C131" s="69" t="str">
        <f ca="1">IFERROR(__xludf.DUMMYFUNCTION("""COMPUTED_VALUE"""),"Stock")</f>
        <v>Stock</v>
      </c>
      <c r="D131" s="5" t="str">
        <f ca="1">IFERROR(__xludf.DUMMYFUNCTION("""COMPUTED_VALUE"""),"BNTX")</f>
        <v>BNTX</v>
      </c>
      <c r="E131" s="5" t="str">
        <f ca="1">IFERROR(__xludf.DUMMYFUNCTION("""COMPUTED_VALUE"""),"USD")</f>
        <v>USD</v>
      </c>
      <c r="F131" s="55">
        <f ca="1">IFERROR(__xludf.DUMMYFUNCTION("""COMPUTED_VALUE"""),0)</f>
        <v>0</v>
      </c>
      <c r="G131" s="56">
        <f ca="1">IFERROR(__xludf.DUMMYFUNCTION("""COMPUTED_VALUE"""),7.825109)</f>
        <v>7.8251090000000003</v>
      </c>
      <c r="H131" s="57">
        <f ca="1">IFERROR(__xludf.DUMMYFUNCTION("""COMPUTED_VALUE"""),0)</f>
        <v>0</v>
      </c>
      <c r="I131" s="57">
        <f ca="1">IFERROR(__xludf.DUMMYFUNCTION("""COMPUTED_VALUE"""),166.33)</f>
        <v>166.33</v>
      </c>
      <c r="J131" s="70" t="str">
        <f ca="1">IFERROR(__xludf.DUMMYFUNCTION("""COMPUTED_VALUE"""),"Goto link: BNTX")</f>
        <v>Goto link: BNTX</v>
      </c>
      <c r="K131" s="19"/>
      <c r="L131" s="19"/>
      <c r="M131" s="19"/>
      <c r="N131" s="19"/>
      <c r="O131" s="59"/>
      <c r="P131" s="7"/>
      <c r="Q131" s="55"/>
      <c r="R131" s="55"/>
      <c r="S131" s="7"/>
      <c r="T131" s="55"/>
      <c r="U131" s="7"/>
      <c r="V131" s="55"/>
      <c r="W131" s="60"/>
      <c r="X131" s="55"/>
    </row>
    <row r="132" spans="1:24" ht="13" x14ac:dyDescent="0.15">
      <c r="A132" s="25" t="str">
        <f ca="1">IFERROR(__xludf.DUMMYFUNCTION("""COMPUTED_VALUE"""),"37198")</f>
        <v>37198</v>
      </c>
      <c r="B132" s="69">
        <f ca="1">IFERROR(__xludf.DUMMYFUNCTION("""COMPUTED_VALUE"""),44638)</f>
        <v>44638</v>
      </c>
      <c r="C132" s="69" t="str">
        <f ca="1">IFERROR(__xludf.DUMMYFUNCTION("""COMPUTED_VALUE"""),"Stock")</f>
        <v>Stock</v>
      </c>
      <c r="D132" s="5" t="str">
        <f ca="1">IFERROR(__xludf.DUMMYFUNCTION("""COMPUTED_VALUE"""),"CL=F")</f>
        <v>CL=F</v>
      </c>
      <c r="E132" s="5" t="str">
        <f ca="1">IFERROR(__xludf.DUMMYFUNCTION("""COMPUTED_VALUE"""),"USD")</f>
        <v>USD</v>
      </c>
      <c r="F132" s="55">
        <f ca="1">IFERROR(__xludf.DUMMYFUNCTION("""COMPUTED_VALUE"""),50)</f>
        <v>50</v>
      </c>
      <c r="G132" s="56">
        <f ca="1">IFERROR(__xludf.DUMMYFUNCTION("""COMPUTED_VALUE"""),7.825109)</f>
        <v>7.8251090000000003</v>
      </c>
      <c r="H132" s="57">
        <f ca="1">IFERROR(__xludf.DUMMYFUNCTION("""COMPUTED_VALUE"""),105.1)</f>
        <v>105.1</v>
      </c>
      <c r="I132" s="57">
        <f ca="1">IFERROR(__xludf.DUMMYFUNCTION("""COMPUTED_VALUE"""),115.83)</f>
        <v>115.83</v>
      </c>
      <c r="J132" s="70" t="str">
        <f ca="1">IFERROR(__xludf.DUMMYFUNCTION("""COMPUTED_VALUE"""),"Goto link: CL=F")</f>
        <v>Goto link: CL=F</v>
      </c>
      <c r="K132" s="19"/>
      <c r="L132" s="19"/>
      <c r="M132" s="19"/>
      <c r="N132" s="19"/>
      <c r="O132" s="59"/>
      <c r="P132" s="7"/>
      <c r="Q132" s="55"/>
      <c r="R132" s="55"/>
      <c r="S132" s="7"/>
      <c r="T132" s="55"/>
      <c r="U132" s="7"/>
      <c r="V132" s="55"/>
      <c r="W132" s="60"/>
      <c r="X132" s="55"/>
    </row>
    <row r="133" spans="1:24" ht="13" x14ac:dyDescent="0.15">
      <c r="A133" s="25" t="str">
        <f ca="1">IFERROR(__xludf.DUMMYFUNCTION("""COMPUTED_VALUE"""),"37198")</f>
        <v>37198</v>
      </c>
      <c r="B133" s="69">
        <f ca="1">IFERROR(__xludf.DUMMYFUNCTION("""COMPUTED_VALUE"""),44638)</f>
        <v>44638</v>
      </c>
      <c r="C133" s="69" t="str">
        <f ca="1">IFERROR(__xludf.DUMMYFUNCTION("""COMPUTED_VALUE"""),"Stock")</f>
        <v>Stock</v>
      </c>
      <c r="D133" s="5" t="str">
        <f ca="1">IFERROR(__xludf.DUMMYFUNCTION("""COMPUTED_VALUE"""),"DVN")</f>
        <v>DVN</v>
      </c>
      <c r="E133" s="5" t="str">
        <f ca="1">IFERROR(__xludf.DUMMYFUNCTION("""COMPUTED_VALUE"""),"USD")</f>
        <v>USD</v>
      </c>
      <c r="F133" s="55">
        <f ca="1">IFERROR(__xludf.DUMMYFUNCTION("""COMPUTED_VALUE"""),0)</f>
        <v>0</v>
      </c>
      <c r="G133" s="56">
        <f ca="1">IFERROR(__xludf.DUMMYFUNCTION("""COMPUTED_VALUE"""),7.825109)</f>
        <v>7.8251090000000003</v>
      </c>
      <c r="H133" s="57">
        <f ca="1">IFERROR(__xludf.DUMMYFUNCTION("""COMPUTED_VALUE"""),0)</f>
        <v>0</v>
      </c>
      <c r="I133" s="57">
        <f ca="1">IFERROR(__xludf.DUMMYFUNCTION("""COMPUTED_VALUE"""),61.67)</f>
        <v>61.67</v>
      </c>
      <c r="J133" s="70" t="str">
        <f ca="1">IFERROR(__xludf.DUMMYFUNCTION("""COMPUTED_VALUE"""),"Goto link: DVN")</f>
        <v>Goto link: DVN</v>
      </c>
      <c r="K133" s="19"/>
      <c r="L133" s="19"/>
      <c r="M133" s="19"/>
      <c r="N133" s="19"/>
      <c r="O133" s="59"/>
      <c r="P133" s="7"/>
      <c r="Q133" s="55"/>
      <c r="R133" s="55"/>
      <c r="S133" s="7"/>
      <c r="T133" s="55"/>
      <c r="U133" s="7"/>
      <c r="V133" s="55"/>
      <c r="W133" s="60"/>
      <c r="X133" s="55"/>
    </row>
    <row r="134" spans="1:24" ht="13" x14ac:dyDescent="0.15">
      <c r="A134" s="25" t="str">
        <f ca="1">IFERROR(__xludf.DUMMYFUNCTION("""COMPUTED_VALUE"""),"37198 Total")</f>
        <v>37198 Total</v>
      </c>
      <c r="B134" s="5"/>
      <c r="C134" s="69"/>
      <c r="D134" s="5"/>
      <c r="E134" s="5"/>
      <c r="F134" s="55"/>
      <c r="G134" s="56">
        <f ca="1">IFERROR(__xludf.DUMMYFUNCTION("""COMPUTED_VALUE"""),3.52413184931506)</f>
        <v>3.5241318493150602</v>
      </c>
      <c r="H134" s="57">
        <f ca="1">IFERROR(__xludf.DUMMYFUNCTION("""COMPUTED_VALUE"""),105.1)</f>
        <v>105.1</v>
      </c>
      <c r="I134" s="57" t="str">
        <f ca="1">IFERROR(__xludf.DUMMYFUNCTION("""COMPUTED_VALUE"""),"")</f>
        <v/>
      </c>
      <c r="J134" s="19" t="str">
        <f ca="1">IFERROR(__xludf.DUMMYFUNCTION("""COMPUTED_VALUE"""),"")</f>
        <v/>
      </c>
      <c r="K134" s="19"/>
      <c r="L134" s="19"/>
      <c r="M134" s="19"/>
      <c r="N134" s="19"/>
      <c r="O134" s="59"/>
      <c r="P134" s="7"/>
      <c r="Q134" s="55"/>
      <c r="R134" s="55"/>
      <c r="S134" s="7"/>
      <c r="T134" s="55"/>
      <c r="U134" s="7"/>
      <c r="V134" s="55"/>
      <c r="W134" s="60"/>
      <c r="X134" s="55"/>
    </row>
    <row r="135" spans="1:24" ht="13" x14ac:dyDescent="0.15">
      <c r="A135" s="25" t="str">
        <f ca="1">IFERROR(__xludf.DUMMYFUNCTION("""COMPUTED_VALUE"""),"37400")</f>
        <v>37400</v>
      </c>
      <c r="B135" s="69">
        <f ca="1">IFERROR(__xludf.DUMMYFUNCTION("""COMPUTED_VALUE"""),44597)</f>
        <v>44597</v>
      </c>
      <c r="C135" s="69" t="str">
        <f ca="1">IFERROR(__xludf.DUMMYFUNCTION("""COMPUTED_VALUE"""),"Cash")</f>
        <v>Cash</v>
      </c>
      <c r="D135" s="5" t="str">
        <f ca="1">IFERROR(__xludf.DUMMYFUNCTION("""COMPUTED_VALUE"""),"Cash")</f>
        <v>Cash</v>
      </c>
      <c r="E135" s="5" t="str">
        <f ca="1">IFERROR(__xludf.DUMMYFUNCTION("""COMPUTED_VALUE"""),"HKD")</f>
        <v>HKD</v>
      </c>
      <c r="F135" s="55" t="str">
        <f ca="1">IFERROR(__xludf.DUMMYFUNCTION("""COMPUTED_VALUE"""),"")</f>
        <v/>
      </c>
      <c r="G135" s="56">
        <f ca="1">IFERROR(__xludf.DUMMYFUNCTION("""COMPUTED_VALUE"""),1)</f>
        <v>1</v>
      </c>
      <c r="H135" s="57">
        <f ca="1">IFERROR(__xludf.DUMMYFUNCTION("""COMPUTED_VALUE"""),1)</f>
        <v>1</v>
      </c>
      <c r="I135" s="57">
        <f ca="1">IFERROR(__xludf.DUMMYFUNCTION("""COMPUTED_VALUE"""),1)</f>
        <v>1</v>
      </c>
      <c r="J135" s="19" t="str">
        <f ca="1">IFERROR(__xludf.DUMMYFUNCTION("""COMPUTED_VALUE"""),"")</f>
        <v/>
      </c>
      <c r="K135" s="19"/>
      <c r="L135" s="19"/>
      <c r="M135" s="19"/>
      <c r="N135" s="19"/>
      <c r="O135" s="59"/>
      <c r="P135" s="7"/>
      <c r="Q135" s="55"/>
      <c r="R135" s="55"/>
      <c r="S135" s="7"/>
      <c r="T135" s="55"/>
      <c r="U135" s="7"/>
      <c r="V135" s="55"/>
      <c r="W135" s="60"/>
      <c r="X135" s="55"/>
    </row>
    <row r="136" spans="1:24" ht="13" x14ac:dyDescent="0.15">
      <c r="A136" s="25" t="str">
        <f ca="1">IFERROR(__xludf.DUMMYFUNCTION("""COMPUTED_VALUE"""),"37400")</f>
        <v>37400</v>
      </c>
      <c r="B136" s="69">
        <f ca="1">IFERROR(__xludf.DUMMYFUNCTION("""COMPUTED_VALUE"""),44608)</f>
        <v>44608</v>
      </c>
      <c r="C136" s="69" t="str">
        <f ca="1">IFERROR(__xludf.DUMMYFUNCTION("""COMPUTED_VALUE"""),"Stock")</f>
        <v>Stock</v>
      </c>
      <c r="D136" s="5" t="str">
        <f ca="1">IFERROR(__xludf.DUMMYFUNCTION("""COMPUTED_VALUE"""),"TSLA")</f>
        <v>TSLA</v>
      </c>
      <c r="E136" s="5" t="str">
        <f ca="1">IFERROR(__xludf.DUMMYFUNCTION("""COMPUTED_VALUE"""),"USD")</f>
        <v>USD</v>
      </c>
      <c r="F136" s="55">
        <f ca="1">IFERROR(__xludf.DUMMYFUNCTION("""COMPUTED_VALUE"""),0)</f>
        <v>0</v>
      </c>
      <c r="G136" s="56">
        <f ca="1">IFERROR(__xludf.DUMMYFUNCTION("""COMPUTED_VALUE"""),7.81519271428571)</f>
        <v>7.8151927142857103</v>
      </c>
      <c r="H136" s="57">
        <f ca="1">IFERROR(__xludf.DUMMYFUNCTION("""COMPUTED_VALUE"""),0)</f>
        <v>0</v>
      </c>
      <c r="I136" s="57">
        <f ca="1">IFERROR(__xludf.DUMMYFUNCTION("""COMPUTED_VALUE"""),999.11)</f>
        <v>999.11</v>
      </c>
      <c r="J136" s="70" t="str">
        <f ca="1">IFERROR(__xludf.DUMMYFUNCTION("""COMPUTED_VALUE"""),"Goto link: TSLA")</f>
        <v>Goto link: TSLA</v>
      </c>
      <c r="K136" s="19"/>
      <c r="L136" s="19"/>
      <c r="M136" s="19"/>
      <c r="N136" s="19"/>
      <c r="O136" s="59"/>
      <c r="P136" s="7"/>
      <c r="Q136" s="55"/>
      <c r="R136" s="55"/>
      <c r="S136" s="7"/>
      <c r="T136" s="55"/>
      <c r="U136" s="7"/>
      <c r="V136" s="55"/>
      <c r="W136" s="60"/>
      <c r="X136" s="55"/>
    </row>
    <row r="137" spans="1:24" ht="13" x14ac:dyDescent="0.15">
      <c r="A137" s="25" t="str">
        <f ca="1">IFERROR(__xludf.DUMMYFUNCTION("""COMPUTED_VALUE"""),"37400")</f>
        <v>37400</v>
      </c>
      <c r="B137" s="69">
        <f ca="1">IFERROR(__xludf.DUMMYFUNCTION("""COMPUTED_VALUE"""),44609)</f>
        <v>44609</v>
      </c>
      <c r="C137" s="69" t="str">
        <f ca="1">IFERROR(__xludf.DUMMYFUNCTION("""COMPUTED_VALUE"""),"Stock")</f>
        <v>Stock</v>
      </c>
      <c r="D137" s="5" t="str">
        <f ca="1">IFERROR(__xludf.DUMMYFUNCTION("""COMPUTED_VALUE"""),"TSLA")</f>
        <v>TSLA</v>
      </c>
      <c r="E137" s="5" t="str">
        <f ca="1">IFERROR(__xludf.DUMMYFUNCTION("""COMPUTED_VALUE"""),"USD")</f>
        <v>USD</v>
      </c>
      <c r="F137" s="55">
        <f ca="1">IFERROR(__xludf.DUMMYFUNCTION("""COMPUTED_VALUE"""),18)</f>
        <v>18</v>
      </c>
      <c r="G137" s="56">
        <f ca="1">IFERROR(__xludf.DUMMYFUNCTION("""COMPUTED_VALUE"""),7.81562485294117)</f>
        <v>7.8156248529411698</v>
      </c>
      <c r="H137" s="57">
        <f ca="1">IFERROR(__xludf.DUMMYFUNCTION("""COMPUTED_VALUE"""),876.35)</f>
        <v>876.35</v>
      </c>
      <c r="I137" s="57">
        <f ca="1">IFERROR(__xludf.DUMMYFUNCTION("""COMPUTED_VALUE"""),999.11)</f>
        <v>999.11</v>
      </c>
      <c r="J137" s="70" t="str">
        <f ca="1">IFERROR(__xludf.DUMMYFUNCTION("""COMPUTED_VALUE"""),"Goto link: TSLA")</f>
        <v>Goto link: TSLA</v>
      </c>
      <c r="K137" s="19"/>
      <c r="L137" s="19"/>
      <c r="M137" s="19"/>
      <c r="N137" s="19"/>
      <c r="O137" s="59"/>
      <c r="P137" s="7"/>
      <c r="Q137" s="55"/>
      <c r="R137" s="55"/>
      <c r="S137" s="7"/>
      <c r="T137" s="55"/>
      <c r="U137" s="7"/>
      <c r="V137" s="55"/>
      <c r="W137" s="60"/>
      <c r="X137" s="55"/>
    </row>
    <row r="138" spans="1:24" ht="13" x14ac:dyDescent="0.15">
      <c r="A138" s="25" t="str">
        <f ca="1">IFERROR(__xludf.DUMMYFUNCTION("""COMPUTED_VALUE"""),"37400")</f>
        <v>37400</v>
      </c>
      <c r="B138" s="69">
        <f ca="1">IFERROR(__xludf.DUMMYFUNCTION("""COMPUTED_VALUE"""),44610)</f>
        <v>44610</v>
      </c>
      <c r="C138" s="69" t="str">
        <f ca="1">IFERROR(__xludf.DUMMYFUNCTION("""COMPUTED_VALUE"""),"Stock")</f>
        <v>Stock</v>
      </c>
      <c r="D138" s="5" t="str">
        <f ca="1">IFERROR(__xludf.DUMMYFUNCTION("""COMPUTED_VALUE"""),"ANPDY")</f>
        <v>ANPDY</v>
      </c>
      <c r="E138" s="5" t="str">
        <f ca="1">IFERROR(__xludf.DUMMYFUNCTION("""COMPUTED_VALUE"""),"USD")</f>
        <v>USD</v>
      </c>
      <c r="F138" s="55">
        <f ca="1">IFERROR(__xludf.DUMMYFUNCTION("""COMPUTED_VALUE"""),30)</f>
        <v>30</v>
      </c>
      <c r="G138" s="56">
        <f ca="1">IFERROR(__xludf.DUMMYFUNCTION("""COMPUTED_VALUE"""),7.81612515151515)</f>
        <v>7.8161251515151502</v>
      </c>
      <c r="H138" s="57">
        <f ca="1">IFERROR(__xludf.DUMMYFUNCTION("""COMPUTED_VALUE"""),397.5)</f>
        <v>397.5</v>
      </c>
      <c r="I138" s="57">
        <f ca="1">IFERROR(__xludf.DUMMYFUNCTION("""COMPUTED_VALUE"""),308.83)</f>
        <v>308.83</v>
      </c>
      <c r="J138" s="70" t="str">
        <f ca="1">IFERROR(__xludf.DUMMYFUNCTION("""COMPUTED_VALUE"""),"Goto link: ANPDY")</f>
        <v>Goto link: ANPDY</v>
      </c>
      <c r="K138" s="19"/>
      <c r="L138" s="19"/>
      <c r="M138" s="19"/>
      <c r="N138" s="19"/>
      <c r="O138" s="59"/>
      <c r="P138" s="7"/>
      <c r="Q138" s="55"/>
      <c r="R138" s="55"/>
      <c r="S138" s="7"/>
      <c r="T138" s="55"/>
      <c r="U138" s="7"/>
      <c r="V138" s="55"/>
      <c r="W138" s="60"/>
      <c r="X138" s="55"/>
    </row>
    <row r="139" spans="1:24" ht="13" x14ac:dyDescent="0.15">
      <c r="A139" s="25" t="str">
        <f ca="1">IFERROR(__xludf.DUMMYFUNCTION("""COMPUTED_VALUE"""),"37400")</f>
        <v>37400</v>
      </c>
      <c r="B139" s="69">
        <f ca="1">IFERROR(__xludf.DUMMYFUNCTION("""COMPUTED_VALUE"""),44616)</f>
        <v>44616</v>
      </c>
      <c r="C139" s="69" t="str">
        <f ca="1">IFERROR(__xludf.DUMMYFUNCTION("""COMPUTED_VALUE"""),"Stock")</f>
        <v>Stock</v>
      </c>
      <c r="D139" s="5" t="str">
        <f ca="1">IFERROR(__xludf.DUMMYFUNCTION("""COMPUTED_VALUE"""),"GOLD")</f>
        <v>GOLD</v>
      </c>
      <c r="E139" s="5" t="str">
        <f ca="1">IFERROR(__xludf.DUMMYFUNCTION("""COMPUTED_VALUE"""),"USD")</f>
        <v>USD</v>
      </c>
      <c r="F139" s="55">
        <f ca="1">IFERROR(__xludf.DUMMYFUNCTION("""COMPUTED_VALUE"""),888)</f>
        <v>888</v>
      </c>
      <c r="G139" s="56">
        <f ca="1">IFERROR(__xludf.DUMMYFUNCTION("""COMPUTED_VALUE"""),7.81935777777777)</f>
        <v>7.8193577777777703</v>
      </c>
      <c r="H139" s="57">
        <f ca="1">IFERROR(__xludf.DUMMYFUNCTION("""COMPUTED_VALUE"""),22.54)</f>
        <v>22.54</v>
      </c>
      <c r="I139" s="57">
        <f ca="1">IFERROR(__xludf.DUMMYFUNCTION("""COMPUTED_VALUE"""),24.57)</f>
        <v>24.57</v>
      </c>
      <c r="J139" s="70" t="str">
        <f ca="1">IFERROR(__xludf.DUMMYFUNCTION("""COMPUTED_VALUE"""),"Goto link: GOLD")</f>
        <v>Goto link: GOLD</v>
      </c>
      <c r="K139" s="19"/>
      <c r="L139" s="19"/>
      <c r="M139" s="19"/>
      <c r="N139" s="19"/>
      <c r="O139" s="59"/>
      <c r="P139" s="7"/>
      <c r="Q139" s="55"/>
      <c r="R139" s="55"/>
      <c r="S139" s="7"/>
      <c r="T139" s="55"/>
      <c r="U139" s="7"/>
      <c r="V139" s="55"/>
      <c r="W139" s="60"/>
      <c r="X139" s="55"/>
    </row>
    <row r="140" spans="1:24" ht="13" x14ac:dyDescent="0.15">
      <c r="A140" s="25" t="str">
        <f ca="1">IFERROR(__xludf.DUMMYFUNCTION("""COMPUTED_VALUE"""),"37400")</f>
        <v>37400</v>
      </c>
      <c r="B140" s="69">
        <f ca="1">IFERROR(__xludf.DUMMYFUNCTION("""COMPUTED_VALUE"""),44623)</f>
        <v>44623</v>
      </c>
      <c r="C140" s="69" t="str">
        <f ca="1">IFERROR(__xludf.DUMMYFUNCTION("""COMPUTED_VALUE"""),"Stock")</f>
        <v>Stock</v>
      </c>
      <c r="D140" s="5" t="str">
        <f ca="1">IFERROR(__xludf.DUMMYFUNCTION("""COMPUTED_VALUE"""),"GOLD")</f>
        <v>GOLD</v>
      </c>
      <c r="E140" s="5" t="str">
        <f ca="1">IFERROR(__xludf.DUMMYFUNCTION("""COMPUTED_VALUE"""),"USD")</f>
        <v>USD</v>
      </c>
      <c r="F140" s="55">
        <f ca="1">IFERROR(__xludf.DUMMYFUNCTION("""COMPUTED_VALUE"""),-388)</f>
        <v>-388</v>
      </c>
      <c r="G140" s="56">
        <f ca="1">IFERROR(__xludf.DUMMYFUNCTION("""COMPUTED_VALUE"""),7.82232825)</f>
        <v>7.82232825</v>
      </c>
      <c r="H140" s="57">
        <f ca="1">IFERROR(__xludf.DUMMYFUNCTION("""COMPUTED_VALUE"""),23.57)</f>
        <v>23.57</v>
      </c>
      <c r="I140" s="57">
        <f ca="1">IFERROR(__xludf.DUMMYFUNCTION("""COMPUTED_VALUE"""),24.57)</f>
        <v>24.57</v>
      </c>
      <c r="J140" s="70" t="str">
        <f ca="1">IFERROR(__xludf.DUMMYFUNCTION("""COMPUTED_VALUE"""),"Goto link: GOLD")</f>
        <v>Goto link: GOLD</v>
      </c>
      <c r="K140" s="19"/>
      <c r="L140" s="19"/>
      <c r="M140" s="19"/>
      <c r="N140" s="19"/>
      <c r="O140" s="59"/>
      <c r="P140" s="7"/>
      <c r="Q140" s="55"/>
      <c r="R140" s="55"/>
      <c r="S140" s="7"/>
      <c r="T140" s="55"/>
      <c r="U140" s="7"/>
      <c r="V140" s="55"/>
      <c r="W140" s="60"/>
      <c r="X140" s="55"/>
    </row>
    <row r="141" spans="1:24" ht="13" x14ac:dyDescent="0.15">
      <c r="A141" s="25" t="str">
        <f ca="1">IFERROR(__xludf.DUMMYFUNCTION("""COMPUTED_VALUE"""),"37400")</f>
        <v>37400</v>
      </c>
      <c r="B141" s="69">
        <f ca="1">IFERROR(__xludf.DUMMYFUNCTION("""COMPUTED_VALUE"""),44624)</f>
        <v>44624</v>
      </c>
      <c r="C141" s="69" t="str">
        <f ca="1">IFERROR(__xludf.DUMMYFUNCTION("""COMPUTED_VALUE"""),"Stock")</f>
        <v>Stock</v>
      </c>
      <c r="D141" s="5" t="str">
        <f ca="1">IFERROR(__xludf.DUMMYFUNCTION("""COMPUTED_VALUE"""),"TSLA")</f>
        <v>TSLA</v>
      </c>
      <c r="E141" s="5" t="str">
        <f ca="1">IFERROR(__xludf.DUMMYFUNCTION("""COMPUTED_VALUE"""),"USD")</f>
        <v>USD</v>
      </c>
      <c r="F141" s="55">
        <f ca="1">IFERROR(__xludf.DUMMYFUNCTION("""COMPUTED_VALUE"""),18)</f>
        <v>18</v>
      </c>
      <c r="G141" s="56">
        <f ca="1">IFERROR(__xludf.DUMMYFUNCTION("""COMPUTED_VALUE"""),7.82266921052631)</f>
        <v>7.8226692105263096</v>
      </c>
      <c r="H141" s="57">
        <f ca="1">IFERROR(__xludf.DUMMYFUNCTION("""COMPUTED_VALUE"""),838.29)</f>
        <v>838.29</v>
      </c>
      <c r="I141" s="57">
        <f ca="1">IFERROR(__xludf.DUMMYFUNCTION("""COMPUTED_VALUE"""),999.11)</f>
        <v>999.11</v>
      </c>
      <c r="J141" s="70" t="str">
        <f ca="1">IFERROR(__xludf.DUMMYFUNCTION("""COMPUTED_VALUE"""),"Goto link: TSLA")</f>
        <v>Goto link: TSLA</v>
      </c>
      <c r="K141" s="19"/>
      <c r="L141" s="19"/>
      <c r="M141" s="19"/>
      <c r="N141" s="19"/>
      <c r="O141" s="59"/>
      <c r="P141" s="7"/>
      <c r="Q141" s="55"/>
      <c r="R141" s="55"/>
      <c r="S141" s="7"/>
      <c r="T141" s="55"/>
      <c r="U141" s="7"/>
      <c r="V141" s="55"/>
      <c r="W141" s="60"/>
      <c r="X141" s="55"/>
    </row>
    <row r="142" spans="1:24" ht="13" x14ac:dyDescent="0.15">
      <c r="A142" s="25" t="str">
        <f ca="1">IFERROR(__xludf.DUMMYFUNCTION("""COMPUTED_VALUE"""),"37400")</f>
        <v>37400</v>
      </c>
      <c r="B142" s="69">
        <f ca="1">IFERROR(__xludf.DUMMYFUNCTION("""COMPUTED_VALUE"""),44629)</f>
        <v>44629</v>
      </c>
      <c r="C142" s="69" t="str">
        <f ca="1">IFERROR(__xludf.DUMMYFUNCTION("""COMPUTED_VALUE"""),"Stock")</f>
        <v>Stock</v>
      </c>
      <c r="D142" s="5" t="str">
        <f ca="1">IFERROR(__xludf.DUMMYFUNCTION("""COMPUTED_VALUE"""),"ANPDY")</f>
        <v>ANPDY</v>
      </c>
      <c r="E142" s="5" t="str">
        <f ca="1">IFERROR(__xludf.DUMMYFUNCTION("""COMPUTED_VALUE"""),"USD")</f>
        <v>USD</v>
      </c>
      <c r="F142" s="55">
        <f ca="1">IFERROR(__xludf.DUMMYFUNCTION("""COMPUTED_VALUE"""),-30)</f>
        <v>-30</v>
      </c>
      <c r="G142" s="56">
        <f ca="1">IFERROR(__xludf.DUMMYFUNCTION("""COMPUTED_VALUE"""),7.82494821428571)</f>
        <v>7.8249482142857101</v>
      </c>
      <c r="H142" s="57">
        <f ca="1">IFERROR(__xludf.DUMMYFUNCTION("""COMPUTED_VALUE"""),314.05)</f>
        <v>314.05</v>
      </c>
      <c r="I142" s="57">
        <f ca="1">IFERROR(__xludf.DUMMYFUNCTION("""COMPUTED_VALUE"""),308.83)</f>
        <v>308.83</v>
      </c>
      <c r="J142" s="70" t="str">
        <f ca="1">IFERROR(__xludf.DUMMYFUNCTION("""COMPUTED_VALUE"""),"Goto link: ANPDY")</f>
        <v>Goto link: ANPDY</v>
      </c>
      <c r="K142" s="19"/>
      <c r="L142" s="19"/>
      <c r="M142" s="19"/>
      <c r="N142" s="19"/>
      <c r="O142" s="59"/>
      <c r="P142" s="7"/>
      <c r="Q142" s="55"/>
      <c r="R142" s="55"/>
      <c r="S142" s="7"/>
      <c r="T142" s="55"/>
      <c r="U142" s="7"/>
      <c r="V142" s="55"/>
      <c r="W142" s="60"/>
      <c r="X142" s="55"/>
    </row>
    <row r="143" spans="1:24" ht="13" x14ac:dyDescent="0.15">
      <c r="A143" s="25" t="str">
        <f ca="1">IFERROR(__xludf.DUMMYFUNCTION("""COMPUTED_VALUE"""),"37400")</f>
        <v>37400</v>
      </c>
      <c r="B143" s="69">
        <f ca="1">IFERROR(__xludf.DUMMYFUNCTION("""COMPUTED_VALUE"""),44641)</f>
        <v>44641</v>
      </c>
      <c r="C143" s="69" t="str">
        <f ca="1">IFERROR(__xludf.DUMMYFUNCTION("""COMPUTED_VALUE"""),"Stock")</f>
        <v>Stock</v>
      </c>
      <c r="D143" s="5" t="str">
        <f ca="1">IFERROR(__xludf.DUMMYFUNCTION("""COMPUTED_VALUE"""),"TSLA")</f>
        <v>TSLA</v>
      </c>
      <c r="E143" s="5" t="str">
        <f ca="1">IFERROR(__xludf.DUMMYFUNCTION("""COMPUTED_VALUE"""),"USD")</f>
        <v>USD</v>
      </c>
      <c r="F143" s="55">
        <f ca="1">IFERROR(__xludf.DUMMYFUNCTION("""COMPUTED_VALUE"""),-36)</f>
        <v>-36</v>
      </c>
      <c r="G143" s="56">
        <f ca="1">IFERROR(__xludf.DUMMYFUNCTION("""COMPUTED_VALUE"""),7.8262)</f>
        <v>7.8262</v>
      </c>
      <c r="H143" s="57">
        <f ca="1">IFERROR(__xludf.DUMMYFUNCTION("""COMPUTED_VALUE"""),921.16)</f>
        <v>921.16</v>
      </c>
      <c r="I143" s="57">
        <f ca="1">IFERROR(__xludf.DUMMYFUNCTION("""COMPUTED_VALUE"""),999.11)</f>
        <v>999.11</v>
      </c>
      <c r="J143" s="70" t="str">
        <f ca="1">IFERROR(__xludf.DUMMYFUNCTION("""COMPUTED_VALUE"""),"Goto link: TSLA")</f>
        <v>Goto link: TSLA</v>
      </c>
      <c r="K143" s="19"/>
      <c r="L143" s="19"/>
      <c r="M143" s="19"/>
      <c r="N143" s="19"/>
      <c r="O143" s="59"/>
      <c r="P143" s="7"/>
      <c r="Q143" s="55"/>
      <c r="R143" s="55"/>
      <c r="S143" s="7"/>
      <c r="T143" s="55"/>
      <c r="U143" s="7"/>
      <c r="V143" s="55"/>
      <c r="W143" s="60"/>
      <c r="X143" s="55"/>
    </row>
    <row r="144" spans="1:24" ht="13" x14ac:dyDescent="0.15">
      <c r="A144" s="25" t="str">
        <f ca="1">IFERROR(__xludf.DUMMYFUNCTION("""COMPUTED_VALUE"""),"37400 Total")</f>
        <v>37400 Total</v>
      </c>
      <c r="B144" s="5"/>
      <c r="C144" s="69"/>
      <c r="D144" s="5"/>
      <c r="E144" s="5"/>
      <c r="F144" s="55"/>
      <c r="G144" s="56">
        <f ca="1">IFERROR(__xludf.DUMMYFUNCTION("""COMPUTED_VALUE"""),6.45476841304346)</f>
        <v>6.4547684130434604</v>
      </c>
      <c r="H144" s="57">
        <f ca="1">IFERROR(__xludf.DUMMYFUNCTION("""COMPUTED_VALUE"""),921.16)</f>
        <v>921.16</v>
      </c>
      <c r="I144" s="57" t="str">
        <f ca="1">IFERROR(__xludf.DUMMYFUNCTION("""COMPUTED_VALUE"""),"")</f>
        <v/>
      </c>
      <c r="J144" s="19" t="str">
        <f ca="1">IFERROR(__xludf.DUMMYFUNCTION("""COMPUTED_VALUE"""),"")</f>
        <v/>
      </c>
      <c r="K144" s="19"/>
      <c r="L144" s="19"/>
      <c r="M144" s="19"/>
      <c r="N144" s="19"/>
      <c r="O144" s="59"/>
      <c r="P144" s="7"/>
      <c r="Q144" s="55"/>
      <c r="R144" s="55"/>
      <c r="S144" s="7"/>
      <c r="T144" s="55"/>
      <c r="U144" s="7"/>
      <c r="V144" s="55"/>
      <c r="W144" s="60"/>
      <c r="X144" s="55"/>
    </row>
    <row r="145" spans="1:24" ht="13" x14ac:dyDescent="0.15">
      <c r="A145" s="25" t="str">
        <f ca="1">IFERROR(__xludf.DUMMYFUNCTION("""COMPUTED_VALUE"""),"37568")</f>
        <v>37568</v>
      </c>
      <c r="B145" s="69">
        <f ca="1">IFERROR(__xludf.DUMMYFUNCTION("""COMPUTED_VALUE"""),44597)</f>
        <v>44597</v>
      </c>
      <c r="C145" s="69" t="str">
        <f ca="1">IFERROR(__xludf.DUMMYFUNCTION("""COMPUTED_VALUE"""),"Cash")</f>
        <v>Cash</v>
      </c>
      <c r="D145" s="5" t="str">
        <f ca="1">IFERROR(__xludf.DUMMYFUNCTION("""COMPUTED_VALUE"""),"Cash")</f>
        <v>Cash</v>
      </c>
      <c r="E145" s="5" t="str">
        <f ca="1">IFERROR(__xludf.DUMMYFUNCTION("""COMPUTED_VALUE"""),"HKD")</f>
        <v>HKD</v>
      </c>
      <c r="F145" s="55" t="str">
        <f ca="1">IFERROR(__xludf.DUMMYFUNCTION("""COMPUTED_VALUE"""),"")</f>
        <v/>
      </c>
      <c r="G145" s="56">
        <f ca="1">IFERROR(__xludf.DUMMYFUNCTION("""COMPUTED_VALUE"""),1)</f>
        <v>1</v>
      </c>
      <c r="H145" s="57">
        <f ca="1">IFERROR(__xludf.DUMMYFUNCTION("""COMPUTED_VALUE"""),1)</f>
        <v>1</v>
      </c>
      <c r="I145" s="57">
        <f ca="1">IFERROR(__xludf.DUMMYFUNCTION("""COMPUTED_VALUE"""),1)</f>
        <v>1</v>
      </c>
      <c r="J145" s="19" t="str">
        <f ca="1">IFERROR(__xludf.DUMMYFUNCTION("""COMPUTED_VALUE"""),"")</f>
        <v/>
      </c>
      <c r="K145" s="19"/>
      <c r="L145" s="19"/>
      <c r="M145" s="19"/>
      <c r="N145" s="19"/>
      <c r="O145" s="59"/>
      <c r="P145" s="7"/>
      <c r="Q145" s="55"/>
      <c r="R145" s="55"/>
      <c r="S145" s="7"/>
      <c r="T145" s="55"/>
      <c r="U145" s="7"/>
      <c r="V145" s="55"/>
      <c r="W145" s="60"/>
      <c r="X145" s="55"/>
    </row>
    <row r="146" spans="1:24" ht="13" x14ac:dyDescent="0.15">
      <c r="A146" s="25" t="str">
        <f ca="1">IFERROR(__xludf.DUMMYFUNCTION("""COMPUTED_VALUE"""),"37568 Total")</f>
        <v>37568 Total</v>
      </c>
      <c r="B146" s="5"/>
      <c r="C146" s="69"/>
      <c r="D146" s="5"/>
      <c r="E146" s="5"/>
      <c r="F146" s="55"/>
      <c r="G146" s="56">
        <f ca="1">IFERROR(__xludf.DUMMYFUNCTION("""COMPUTED_VALUE"""),1)</f>
        <v>1</v>
      </c>
      <c r="H146" s="57">
        <f ca="1">IFERROR(__xludf.DUMMYFUNCTION("""COMPUTED_VALUE"""),1)</f>
        <v>1</v>
      </c>
      <c r="I146" s="57" t="str">
        <f ca="1">IFERROR(__xludf.DUMMYFUNCTION("""COMPUTED_VALUE"""),"")</f>
        <v/>
      </c>
      <c r="J146" s="19" t="str">
        <f ca="1">IFERROR(__xludf.DUMMYFUNCTION("""COMPUTED_VALUE"""),"")</f>
        <v/>
      </c>
      <c r="K146" s="19"/>
      <c r="L146" s="19"/>
      <c r="M146" s="19"/>
      <c r="N146" s="19"/>
      <c r="O146" s="59"/>
      <c r="P146" s="7"/>
      <c r="Q146" s="55"/>
      <c r="R146" s="55"/>
      <c r="S146" s="7"/>
      <c r="T146" s="55"/>
      <c r="U146" s="7"/>
      <c r="V146" s="55"/>
      <c r="W146" s="60"/>
      <c r="X146" s="55"/>
    </row>
    <row r="147" spans="1:24" ht="13" x14ac:dyDescent="0.15">
      <c r="A147" s="25" t="str">
        <f ca="1">IFERROR(__xludf.DUMMYFUNCTION("""COMPUTED_VALUE"""),"37649")</f>
        <v>37649</v>
      </c>
      <c r="B147" s="69">
        <f ca="1">IFERROR(__xludf.DUMMYFUNCTION("""COMPUTED_VALUE"""),44597)</f>
        <v>44597</v>
      </c>
      <c r="C147" s="69" t="str">
        <f ca="1">IFERROR(__xludf.DUMMYFUNCTION("""COMPUTED_VALUE"""),"Cash")</f>
        <v>Cash</v>
      </c>
      <c r="D147" s="5" t="str">
        <f ca="1">IFERROR(__xludf.DUMMYFUNCTION("""COMPUTED_VALUE"""),"Cash")</f>
        <v>Cash</v>
      </c>
      <c r="E147" s="5" t="str">
        <f ca="1">IFERROR(__xludf.DUMMYFUNCTION("""COMPUTED_VALUE"""),"HKD")</f>
        <v>HKD</v>
      </c>
      <c r="F147" s="55" t="str">
        <f ca="1">IFERROR(__xludf.DUMMYFUNCTION("""COMPUTED_VALUE"""),"")</f>
        <v/>
      </c>
      <c r="G147" s="56">
        <f ca="1">IFERROR(__xludf.DUMMYFUNCTION("""COMPUTED_VALUE"""),1)</f>
        <v>1</v>
      </c>
      <c r="H147" s="57">
        <f ca="1">IFERROR(__xludf.DUMMYFUNCTION("""COMPUTED_VALUE"""),1)</f>
        <v>1</v>
      </c>
      <c r="I147" s="57">
        <f ca="1">IFERROR(__xludf.DUMMYFUNCTION("""COMPUTED_VALUE"""),1)</f>
        <v>1</v>
      </c>
      <c r="J147" s="19" t="str">
        <f ca="1">IFERROR(__xludf.DUMMYFUNCTION("""COMPUTED_VALUE"""),"")</f>
        <v/>
      </c>
      <c r="K147" s="19"/>
      <c r="L147" s="19"/>
      <c r="M147" s="19"/>
      <c r="N147" s="19"/>
      <c r="O147" s="59"/>
      <c r="P147" s="7"/>
      <c r="Q147" s="55"/>
      <c r="R147" s="55"/>
      <c r="S147" s="7"/>
      <c r="T147" s="55"/>
      <c r="U147" s="7"/>
      <c r="V147" s="55"/>
      <c r="W147" s="60"/>
      <c r="X147" s="55"/>
    </row>
    <row r="148" spans="1:24" ht="13" x14ac:dyDescent="0.15">
      <c r="A148" s="25" t="str">
        <f ca="1">IFERROR(__xludf.DUMMYFUNCTION("""COMPUTED_VALUE"""),"37649")</f>
        <v>37649</v>
      </c>
      <c r="B148" s="69">
        <f ca="1">IFERROR(__xludf.DUMMYFUNCTION("""COMPUTED_VALUE"""),44613)</f>
        <v>44613</v>
      </c>
      <c r="C148" s="69" t="str">
        <f ca="1">IFERROR(__xludf.DUMMYFUNCTION("""COMPUTED_VALUE"""),"Stock")</f>
        <v>Stock</v>
      </c>
      <c r="D148" s="71" t="str">
        <f ca="1">IFERROR(__xludf.DUMMYFUNCTION("""COMPUTED_VALUE"""),"1109.HK")</f>
        <v>1109.HK</v>
      </c>
      <c r="E148" s="5" t="str">
        <f ca="1">IFERROR(__xludf.DUMMYFUNCTION("""COMPUTED_VALUE"""),"HKD")</f>
        <v>HKD</v>
      </c>
      <c r="F148" s="55">
        <f ca="1">IFERROR(__xludf.DUMMYFUNCTION("""COMPUTED_VALUE"""),4000)</f>
        <v>4000</v>
      </c>
      <c r="G148" s="56">
        <f ca="1">IFERROR(__xludf.DUMMYFUNCTION("""COMPUTED_VALUE"""),1)</f>
        <v>1</v>
      </c>
      <c r="H148" s="57">
        <f ca="1">IFERROR(__xludf.DUMMYFUNCTION("""COMPUTED_VALUE"""),39.7)</f>
        <v>39.700000000000003</v>
      </c>
      <c r="I148" s="57">
        <f ca="1">IFERROR(__xludf.DUMMYFUNCTION("""COMPUTED_VALUE"""),36.75)</f>
        <v>36.75</v>
      </c>
      <c r="J148" s="70" t="str">
        <f ca="1">IFERROR(__xludf.DUMMYFUNCTION("""COMPUTED_VALUE"""),"Goto link: 1109.HK")</f>
        <v>Goto link: 1109.HK</v>
      </c>
      <c r="K148" s="19"/>
      <c r="L148" s="19"/>
      <c r="M148" s="19"/>
      <c r="N148" s="19"/>
      <c r="O148" s="59"/>
      <c r="P148" s="7"/>
      <c r="Q148" s="55"/>
      <c r="R148" s="55"/>
      <c r="S148" s="7"/>
      <c r="T148" s="55"/>
      <c r="U148" s="7"/>
      <c r="V148" s="55"/>
      <c r="W148" s="60"/>
      <c r="X148" s="55"/>
    </row>
    <row r="149" spans="1:24" ht="13" x14ac:dyDescent="0.15">
      <c r="A149" s="25" t="str">
        <f ca="1">IFERROR(__xludf.DUMMYFUNCTION("""COMPUTED_VALUE"""),"37649")</f>
        <v>37649</v>
      </c>
      <c r="B149" s="69">
        <f ca="1">IFERROR(__xludf.DUMMYFUNCTION("""COMPUTED_VALUE"""),44638)</f>
        <v>44638</v>
      </c>
      <c r="C149" s="69" t="str">
        <f ca="1">IFERROR(__xludf.DUMMYFUNCTION("""COMPUTED_VALUE"""),"Stock")</f>
        <v>Stock</v>
      </c>
      <c r="D149" s="71" t="str">
        <f ca="1">IFERROR(__xludf.DUMMYFUNCTION("""COMPUTED_VALUE"""),"1109.HK")</f>
        <v>1109.HK</v>
      </c>
      <c r="E149" s="5" t="str">
        <f ca="1">IFERROR(__xludf.DUMMYFUNCTION("""COMPUTED_VALUE"""),"HKD")</f>
        <v>HKD</v>
      </c>
      <c r="F149" s="55">
        <f ca="1">IFERROR(__xludf.DUMMYFUNCTION("""COMPUTED_VALUE"""),-4000)</f>
        <v>-4000</v>
      </c>
      <c r="G149" s="56">
        <f ca="1">IFERROR(__xludf.DUMMYFUNCTION("""COMPUTED_VALUE"""),1)</f>
        <v>1</v>
      </c>
      <c r="H149" s="57">
        <f ca="1">IFERROR(__xludf.DUMMYFUNCTION("""COMPUTED_VALUE"""),37.2)</f>
        <v>37.200000000000003</v>
      </c>
      <c r="I149" s="57">
        <f ca="1">IFERROR(__xludf.DUMMYFUNCTION("""COMPUTED_VALUE"""),36.75)</f>
        <v>36.75</v>
      </c>
      <c r="J149" s="70" t="str">
        <f ca="1">IFERROR(__xludf.DUMMYFUNCTION("""COMPUTED_VALUE"""),"Goto link: 1109.HK")</f>
        <v>Goto link: 1109.HK</v>
      </c>
      <c r="K149" s="19"/>
      <c r="L149" s="19"/>
      <c r="M149" s="19"/>
      <c r="N149" s="19"/>
      <c r="O149" s="59"/>
      <c r="P149" s="7"/>
      <c r="Q149" s="55"/>
      <c r="R149" s="55"/>
      <c r="S149" s="7"/>
      <c r="T149" s="55"/>
      <c r="U149" s="7"/>
      <c r="V149" s="55"/>
      <c r="W149" s="60"/>
      <c r="X149" s="55"/>
    </row>
    <row r="150" spans="1:24" ht="13" x14ac:dyDescent="0.15">
      <c r="A150" s="25" t="str">
        <f ca="1">IFERROR(__xludf.DUMMYFUNCTION("""COMPUTED_VALUE"""),"37649 Total")</f>
        <v>37649 Total</v>
      </c>
      <c r="B150" s="5"/>
      <c r="C150" s="69"/>
      <c r="D150" s="5"/>
      <c r="E150" s="5"/>
      <c r="F150" s="55"/>
      <c r="G150" s="56">
        <f ca="1">IFERROR(__xludf.DUMMYFUNCTION("""COMPUTED_VALUE"""),1)</f>
        <v>1</v>
      </c>
      <c r="H150" s="57">
        <f ca="1">IFERROR(__xludf.DUMMYFUNCTION("""COMPUTED_VALUE"""),39.7)</f>
        <v>39.700000000000003</v>
      </c>
      <c r="I150" s="57" t="str">
        <f ca="1">IFERROR(__xludf.DUMMYFUNCTION("""COMPUTED_VALUE"""),"")</f>
        <v/>
      </c>
      <c r="J150" s="19" t="str">
        <f ca="1">IFERROR(__xludf.DUMMYFUNCTION("""COMPUTED_VALUE"""),"")</f>
        <v/>
      </c>
      <c r="K150" s="19"/>
      <c r="L150" s="19"/>
      <c r="M150" s="19"/>
      <c r="N150" s="19"/>
      <c r="O150" s="59"/>
      <c r="P150" s="7"/>
      <c r="Q150" s="55"/>
      <c r="R150" s="55"/>
      <c r="S150" s="7"/>
      <c r="T150" s="55"/>
      <c r="U150" s="7"/>
      <c r="V150" s="55"/>
      <c r="W150" s="60"/>
      <c r="X150" s="55"/>
    </row>
    <row r="151" spans="1:24" ht="13" x14ac:dyDescent="0.15">
      <c r="A151" s="25" t="str">
        <f ca="1">IFERROR(__xludf.DUMMYFUNCTION("""COMPUTED_VALUE"""),"37922")</f>
        <v>37922</v>
      </c>
      <c r="B151" s="69">
        <f ca="1">IFERROR(__xludf.DUMMYFUNCTION("""COMPUTED_VALUE"""),44597)</f>
        <v>44597</v>
      </c>
      <c r="C151" s="69" t="str">
        <f ca="1">IFERROR(__xludf.DUMMYFUNCTION("""COMPUTED_VALUE"""),"Cash")</f>
        <v>Cash</v>
      </c>
      <c r="D151" s="5" t="str">
        <f ca="1">IFERROR(__xludf.DUMMYFUNCTION("""COMPUTED_VALUE"""),"Cash")</f>
        <v>Cash</v>
      </c>
      <c r="E151" s="5" t="str">
        <f ca="1">IFERROR(__xludf.DUMMYFUNCTION("""COMPUTED_VALUE"""),"HKD")</f>
        <v>HKD</v>
      </c>
      <c r="F151" s="55" t="str">
        <f ca="1">IFERROR(__xludf.DUMMYFUNCTION("""COMPUTED_VALUE"""),"")</f>
        <v/>
      </c>
      <c r="G151" s="56">
        <f ca="1">IFERROR(__xludf.DUMMYFUNCTION("""COMPUTED_VALUE"""),1)</f>
        <v>1</v>
      </c>
      <c r="H151" s="57">
        <f ca="1">IFERROR(__xludf.DUMMYFUNCTION("""COMPUTED_VALUE"""),1)</f>
        <v>1</v>
      </c>
      <c r="I151" s="57">
        <f ca="1">IFERROR(__xludf.DUMMYFUNCTION("""COMPUTED_VALUE"""),1)</f>
        <v>1</v>
      </c>
      <c r="J151" s="19" t="str">
        <f ca="1">IFERROR(__xludf.DUMMYFUNCTION("""COMPUTED_VALUE"""),"")</f>
        <v/>
      </c>
      <c r="K151" s="19"/>
      <c r="L151" s="19"/>
      <c r="M151" s="19"/>
      <c r="N151" s="19"/>
      <c r="O151" s="59"/>
      <c r="P151" s="7"/>
      <c r="Q151" s="55"/>
      <c r="R151" s="55"/>
      <c r="S151" s="7"/>
      <c r="T151" s="55"/>
      <c r="U151" s="7"/>
      <c r="V151" s="55"/>
      <c r="W151" s="60"/>
      <c r="X151" s="55"/>
    </row>
    <row r="152" spans="1:24" ht="13" x14ac:dyDescent="0.15">
      <c r="A152" s="25" t="str">
        <f ca="1">IFERROR(__xludf.DUMMYFUNCTION("""COMPUTED_VALUE"""),"37922")</f>
        <v>37922</v>
      </c>
      <c r="B152" s="69">
        <f ca="1">IFERROR(__xludf.DUMMYFUNCTION("""COMPUTED_VALUE"""),44636)</f>
        <v>44636</v>
      </c>
      <c r="C152" s="69" t="str">
        <f ca="1">IFERROR(__xludf.DUMMYFUNCTION("""COMPUTED_VALUE"""),"Stock")</f>
        <v>Stock</v>
      </c>
      <c r="D152" s="71" t="str">
        <f ca="1">IFERROR(__xludf.DUMMYFUNCTION("""COMPUTED_VALUE"""),"0700.hk")</f>
        <v>0700.hk</v>
      </c>
      <c r="E152" s="5" t="str">
        <f ca="1">IFERROR(__xludf.DUMMYFUNCTION("""COMPUTED_VALUE"""),"HKD")</f>
        <v>HKD</v>
      </c>
      <c r="F152" s="55">
        <f ca="1">IFERROR(__xludf.DUMMYFUNCTION("""COMPUTED_VALUE"""),1)</f>
        <v>1</v>
      </c>
      <c r="G152" s="56">
        <f ca="1">IFERROR(__xludf.DUMMYFUNCTION("""COMPUTED_VALUE"""),1)</f>
        <v>1</v>
      </c>
      <c r="H152" s="57">
        <f ca="1">IFERROR(__xludf.DUMMYFUNCTION("""COMPUTED_VALUE"""),298)</f>
        <v>298</v>
      </c>
      <c r="I152" s="57">
        <f ca="1">IFERROR(__xludf.DUMMYFUNCTION("""COMPUTED_VALUE"""),389)</f>
        <v>389</v>
      </c>
      <c r="J152" s="70" t="str">
        <f ca="1">IFERROR(__xludf.DUMMYFUNCTION("""COMPUTED_VALUE"""),"Goto link: 0700.hk")</f>
        <v>Goto link: 0700.hk</v>
      </c>
      <c r="K152" s="19"/>
      <c r="L152" s="19"/>
      <c r="M152" s="19"/>
      <c r="N152" s="19"/>
      <c r="O152" s="59"/>
      <c r="P152" s="7"/>
      <c r="Q152" s="55"/>
      <c r="R152" s="55"/>
      <c r="S152" s="7"/>
      <c r="T152" s="55"/>
      <c r="U152" s="7"/>
      <c r="V152" s="55"/>
      <c r="W152" s="60"/>
      <c r="X152" s="55"/>
    </row>
    <row r="153" spans="1:24" ht="13" x14ac:dyDescent="0.15">
      <c r="A153" s="25" t="str">
        <f ca="1">IFERROR(__xludf.DUMMYFUNCTION("""COMPUTED_VALUE"""),"37922 Total")</f>
        <v>37922 Total</v>
      </c>
      <c r="B153" s="5"/>
      <c r="C153" s="69"/>
      <c r="D153" s="5"/>
      <c r="E153" s="5"/>
      <c r="F153" s="55"/>
      <c r="G153" s="56">
        <f ca="1">IFERROR(__xludf.DUMMYFUNCTION("""COMPUTED_VALUE"""),1)</f>
        <v>1</v>
      </c>
      <c r="H153" s="57">
        <f ca="1">IFERROR(__xludf.DUMMYFUNCTION("""COMPUTED_VALUE"""),298)</f>
        <v>298</v>
      </c>
      <c r="I153" s="57" t="str">
        <f ca="1">IFERROR(__xludf.DUMMYFUNCTION("""COMPUTED_VALUE"""),"")</f>
        <v/>
      </c>
      <c r="J153" s="19" t="str">
        <f ca="1">IFERROR(__xludf.DUMMYFUNCTION("""COMPUTED_VALUE"""),"")</f>
        <v/>
      </c>
      <c r="K153" s="19"/>
      <c r="L153" s="19"/>
      <c r="M153" s="19"/>
      <c r="N153" s="19"/>
      <c r="O153" s="59"/>
      <c r="P153" s="7"/>
      <c r="Q153" s="55"/>
      <c r="R153" s="55"/>
      <c r="S153" s="7"/>
      <c r="T153" s="55"/>
      <c r="U153" s="7"/>
      <c r="V153" s="55"/>
      <c r="W153" s="60"/>
      <c r="X153" s="55"/>
    </row>
    <row r="154" spans="1:24" ht="13" x14ac:dyDescent="0.15">
      <c r="A154" s="25" t="str">
        <f ca="1">IFERROR(__xludf.DUMMYFUNCTION("""COMPUTED_VALUE"""),"37934")</f>
        <v>37934</v>
      </c>
      <c r="B154" s="69">
        <f ca="1">IFERROR(__xludf.DUMMYFUNCTION("""COMPUTED_VALUE"""),44249)</f>
        <v>44249</v>
      </c>
      <c r="C154" s="69" t="str">
        <f ca="1">IFERROR(__xludf.DUMMYFUNCTION("""COMPUTED_VALUE"""),"Stock")</f>
        <v>Stock</v>
      </c>
      <c r="D154" s="5" t="str">
        <f ca="1">IFERROR(__xludf.DUMMYFUNCTION("""COMPUTED_VALUE"""),"SOFI")</f>
        <v>SOFI</v>
      </c>
      <c r="E154" s="5" t="str">
        <f ca="1">IFERROR(__xludf.DUMMYFUNCTION("""COMPUTED_VALUE"""),"USD")</f>
        <v>USD</v>
      </c>
      <c r="F154" s="55">
        <f ca="1">IFERROR(__xludf.DUMMYFUNCTION("""COMPUTED_VALUE"""),0)</f>
        <v>0</v>
      </c>
      <c r="G154" s="56">
        <f ca="1">IFERROR(__xludf.DUMMYFUNCTION("""COMPUTED_VALUE"""),1)</f>
        <v>1</v>
      </c>
      <c r="H154" s="57">
        <f ca="1">IFERROR(__xludf.DUMMYFUNCTION("""COMPUTED_VALUE"""),0)</f>
        <v>0</v>
      </c>
      <c r="I154" s="57">
        <f ca="1">IFERROR(__xludf.DUMMYFUNCTION("""COMPUTED_VALUE"""),9.37)</f>
        <v>9.3699999999999992</v>
      </c>
      <c r="J154" s="70" t="str">
        <f ca="1">IFERROR(__xludf.DUMMYFUNCTION("""COMPUTED_VALUE"""),"Goto link: SOFI")</f>
        <v>Goto link: SOFI</v>
      </c>
      <c r="K154" s="19"/>
      <c r="L154" s="19"/>
      <c r="M154" s="19"/>
      <c r="N154" s="19"/>
      <c r="O154" s="59"/>
      <c r="P154" s="7"/>
      <c r="Q154" s="55"/>
      <c r="R154" s="55"/>
      <c r="S154" s="7"/>
      <c r="T154" s="55"/>
      <c r="U154" s="7"/>
      <c r="V154" s="55"/>
      <c r="W154" s="60"/>
      <c r="X154" s="55"/>
    </row>
    <row r="155" spans="1:24" ht="13" x14ac:dyDescent="0.15">
      <c r="A155" s="25" t="str">
        <f ca="1">IFERROR(__xludf.DUMMYFUNCTION("""COMPUTED_VALUE"""),"37934")</f>
        <v>37934</v>
      </c>
      <c r="B155" s="69">
        <f ca="1">IFERROR(__xludf.DUMMYFUNCTION("""COMPUTED_VALUE"""),44597)</f>
        <v>44597</v>
      </c>
      <c r="C155" s="69" t="str">
        <f ca="1">IFERROR(__xludf.DUMMYFUNCTION("""COMPUTED_VALUE"""),"Cash")</f>
        <v>Cash</v>
      </c>
      <c r="D155" s="5" t="str">
        <f ca="1">IFERROR(__xludf.DUMMYFUNCTION("""COMPUTED_VALUE"""),"Cash")</f>
        <v>Cash</v>
      </c>
      <c r="E155" s="5" t="str">
        <f ca="1">IFERROR(__xludf.DUMMYFUNCTION("""COMPUTED_VALUE"""),"HKD")</f>
        <v>HKD</v>
      </c>
      <c r="F155" s="55" t="str">
        <f ca="1">IFERROR(__xludf.DUMMYFUNCTION("""COMPUTED_VALUE"""),"")</f>
        <v/>
      </c>
      <c r="G155" s="56">
        <f ca="1">IFERROR(__xludf.DUMMYFUNCTION("""COMPUTED_VALUE"""),1)</f>
        <v>1</v>
      </c>
      <c r="H155" s="57">
        <f ca="1">IFERROR(__xludf.DUMMYFUNCTION("""COMPUTED_VALUE"""),1)</f>
        <v>1</v>
      </c>
      <c r="I155" s="57">
        <f ca="1">IFERROR(__xludf.DUMMYFUNCTION("""COMPUTED_VALUE"""),1)</f>
        <v>1</v>
      </c>
      <c r="J155" s="19" t="str">
        <f ca="1">IFERROR(__xludf.DUMMYFUNCTION("""COMPUTED_VALUE"""),"")</f>
        <v/>
      </c>
      <c r="K155" s="19"/>
      <c r="L155" s="19"/>
      <c r="M155" s="19"/>
      <c r="N155" s="19"/>
      <c r="O155" s="59"/>
      <c r="P155" s="7"/>
      <c r="Q155" s="55"/>
      <c r="R155" s="55"/>
      <c r="S155" s="7"/>
      <c r="T155" s="55"/>
      <c r="U155" s="7"/>
      <c r="V155" s="55"/>
      <c r="W155" s="60"/>
      <c r="X155" s="55"/>
    </row>
    <row r="156" spans="1:24" ht="13" x14ac:dyDescent="0.15">
      <c r="A156" s="25" t="str">
        <f ca="1">IFERROR(__xludf.DUMMYFUNCTION("""COMPUTED_VALUE"""),"37934")</f>
        <v>37934</v>
      </c>
      <c r="B156" s="69">
        <f ca="1">IFERROR(__xludf.DUMMYFUNCTION("""COMPUTED_VALUE"""),44614)</f>
        <v>44614</v>
      </c>
      <c r="C156" s="69" t="str">
        <f ca="1">IFERROR(__xludf.DUMMYFUNCTION("""COMPUTED_VALUE"""),"Stock")</f>
        <v>Stock</v>
      </c>
      <c r="D156" s="5" t="str">
        <f ca="1">IFERROR(__xludf.DUMMYFUNCTION("""COMPUTED_VALUE"""),"SOFI")</f>
        <v>SOFI</v>
      </c>
      <c r="E156" s="5" t="str">
        <f ca="1">IFERROR(__xludf.DUMMYFUNCTION("""COMPUTED_VALUE"""),"USD")</f>
        <v>USD</v>
      </c>
      <c r="F156" s="55">
        <f ca="1">IFERROR(__xludf.DUMMYFUNCTION("""COMPUTED_VALUE"""),200)</f>
        <v>200</v>
      </c>
      <c r="G156" s="56">
        <f ca="1">IFERROR(__xludf.DUMMYFUNCTION("""COMPUTED_VALUE"""),7.81827103448275)</f>
        <v>7.8182710344827502</v>
      </c>
      <c r="H156" s="57">
        <f ca="1">IFERROR(__xludf.DUMMYFUNCTION("""COMPUTED_VALUE"""),10.26)</f>
        <v>10.26</v>
      </c>
      <c r="I156" s="57">
        <f ca="1">IFERROR(__xludf.DUMMYFUNCTION("""COMPUTED_VALUE"""),9.37)</f>
        <v>9.3699999999999992</v>
      </c>
      <c r="J156" s="70" t="str">
        <f ca="1">IFERROR(__xludf.DUMMYFUNCTION("""COMPUTED_VALUE"""),"Goto link: SOFI")</f>
        <v>Goto link: SOFI</v>
      </c>
      <c r="K156" s="19"/>
      <c r="L156" s="19"/>
      <c r="M156" s="19"/>
      <c r="N156" s="19"/>
      <c r="O156" s="59"/>
      <c r="P156" s="7"/>
      <c r="Q156" s="55"/>
      <c r="R156" s="55"/>
      <c r="S156" s="7"/>
      <c r="T156" s="55"/>
      <c r="U156" s="7"/>
      <c r="V156" s="55"/>
      <c r="W156" s="60"/>
      <c r="X156" s="55"/>
    </row>
    <row r="157" spans="1:24" ht="13" x14ac:dyDescent="0.15">
      <c r="A157" s="25" t="str">
        <f ca="1">IFERROR(__xludf.DUMMYFUNCTION("""COMPUTED_VALUE"""),"37934")</f>
        <v>37934</v>
      </c>
      <c r="B157" s="69">
        <f ca="1">IFERROR(__xludf.DUMMYFUNCTION("""COMPUTED_VALUE"""),44619)</f>
        <v>44619</v>
      </c>
      <c r="C157" s="69" t="str">
        <f ca="1">IFERROR(__xludf.DUMMYFUNCTION("""COMPUTED_VALUE"""),"Stock")</f>
        <v>Stock</v>
      </c>
      <c r="D157" s="71" t="str">
        <f ca="1">IFERROR(__xludf.DUMMYFUNCTION("""COMPUTED_VALUE"""),"9626.HK")</f>
        <v>9626.HK</v>
      </c>
      <c r="E157" s="5" t="str">
        <f ca="1">IFERROR(__xludf.DUMMYFUNCTION("""COMPUTED_VALUE"""),"HKD")</f>
        <v>HKD</v>
      </c>
      <c r="F157" s="55">
        <f ca="1">IFERROR(__xludf.DUMMYFUNCTION("""COMPUTED_VALUE"""),50)</f>
        <v>50</v>
      </c>
      <c r="G157" s="56">
        <f ca="1">IFERROR(__xludf.DUMMYFUNCTION("""COMPUTED_VALUE"""),1)</f>
        <v>1</v>
      </c>
      <c r="H157" s="57">
        <f ca="1">IFERROR(__xludf.DUMMYFUNCTION("""COMPUTED_VALUE"""),237)</f>
        <v>237</v>
      </c>
      <c r="I157" s="57">
        <f ca="1">IFERROR(__xludf.DUMMYFUNCTION("""COMPUTED_VALUE"""),229)</f>
        <v>229</v>
      </c>
      <c r="J157" s="70" t="str">
        <f ca="1">IFERROR(__xludf.DUMMYFUNCTION("""COMPUTED_VALUE"""),"Goto link: 9626.HK")</f>
        <v>Goto link: 9626.HK</v>
      </c>
      <c r="K157" s="19"/>
      <c r="L157" s="19"/>
      <c r="M157" s="19"/>
      <c r="N157" s="19"/>
      <c r="O157" s="59"/>
      <c r="P157" s="7"/>
      <c r="Q157" s="55"/>
      <c r="R157" s="55"/>
      <c r="S157" s="7"/>
      <c r="T157" s="55"/>
      <c r="U157" s="7"/>
      <c r="V157" s="55"/>
      <c r="W157" s="60"/>
      <c r="X157" s="55"/>
    </row>
    <row r="158" spans="1:24" ht="13" x14ac:dyDescent="0.15">
      <c r="A158" s="25" t="str">
        <f ca="1">IFERROR(__xludf.DUMMYFUNCTION("""COMPUTED_VALUE"""),"37934")</f>
        <v>37934</v>
      </c>
      <c r="B158" s="69">
        <f ca="1">IFERROR(__xludf.DUMMYFUNCTION("""COMPUTED_VALUE"""),44619)</f>
        <v>44619</v>
      </c>
      <c r="C158" s="69" t="str">
        <f ca="1">IFERROR(__xludf.DUMMYFUNCTION("""COMPUTED_VALUE"""),"Stock")</f>
        <v>Stock</v>
      </c>
      <c r="D158" s="71" t="str">
        <f ca="1">IFERROR(__xludf.DUMMYFUNCTION("""COMPUTED_VALUE"""),"9626.HK")</f>
        <v>9626.HK</v>
      </c>
      <c r="E158" s="5" t="str">
        <f ca="1">IFERROR(__xludf.DUMMYFUNCTION("""COMPUTED_VALUE"""),"HKD")</f>
        <v>HKD</v>
      </c>
      <c r="F158" s="55">
        <f ca="1">IFERROR(__xludf.DUMMYFUNCTION("""COMPUTED_VALUE"""),450)</f>
        <v>450</v>
      </c>
      <c r="G158" s="56">
        <f ca="1">IFERROR(__xludf.DUMMYFUNCTION("""COMPUTED_VALUE"""),1)</f>
        <v>1</v>
      </c>
      <c r="H158" s="57">
        <f ca="1">IFERROR(__xludf.DUMMYFUNCTION("""COMPUTED_VALUE"""),237)</f>
        <v>237</v>
      </c>
      <c r="I158" s="57">
        <f ca="1">IFERROR(__xludf.DUMMYFUNCTION("""COMPUTED_VALUE"""),229)</f>
        <v>229</v>
      </c>
      <c r="J158" s="70" t="str">
        <f ca="1">IFERROR(__xludf.DUMMYFUNCTION("""COMPUTED_VALUE"""),"Goto link: 9626.HK")</f>
        <v>Goto link: 9626.HK</v>
      </c>
      <c r="K158" s="19"/>
      <c r="L158" s="19"/>
      <c r="M158" s="19"/>
      <c r="N158" s="19"/>
      <c r="O158" s="59"/>
      <c r="P158" s="7"/>
      <c r="Q158" s="55"/>
      <c r="R158" s="55"/>
      <c r="S158" s="7"/>
      <c r="T158" s="55"/>
      <c r="U158" s="7"/>
      <c r="V158" s="55"/>
      <c r="W158" s="60"/>
      <c r="X158" s="55"/>
    </row>
    <row r="159" spans="1:24" ht="13" x14ac:dyDescent="0.15">
      <c r="A159" s="25" t="str">
        <f ca="1">IFERROR(__xludf.DUMMYFUNCTION("""COMPUTED_VALUE"""),"37934")</f>
        <v>37934</v>
      </c>
      <c r="B159" s="69">
        <f ca="1">IFERROR(__xludf.DUMMYFUNCTION("""COMPUTED_VALUE"""),44619)</f>
        <v>44619</v>
      </c>
      <c r="C159" s="69" t="str">
        <f ca="1">IFERROR(__xludf.DUMMYFUNCTION("""COMPUTED_VALUE"""),"Stock")</f>
        <v>Stock</v>
      </c>
      <c r="D159" s="71" t="str">
        <f ca="1">IFERROR(__xludf.DUMMYFUNCTION("""COMPUTED_VALUE"""),"9888.HK")</f>
        <v>9888.HK</v>
      </c>
      <c r="E159" s="5" t="str">
        <f ca="1">IFERROR(__xludf.DUMMYFUNCTION("""COMPUTED_VALUE"""),"HKD")</f>
        <v>HKD</v>
      </c>
      <c r="F159" s="55">
        <f ca="1">IFERROR(__xludf.DUMMYFUNCTION("""COMPUTED_VALUE"""),0)</f>
        <v>0</v>
      </c>
      <c r="G159" s="56">
        <f ca="1">IFERROR(__xludf.DUMMYFUNCTION("""COMPUTED_VALUE"""),1)</f>
        <v>1</v>
      </c>
      <c r="H159" s="57">
        <f ca="1">IFERROR(__xludf.DUMMYFUNCTION("""COMPUTED_VALUE"""),0)</f>
        <v>0</v>
      </c>
      <c r="I159" s="57">
        <f ca="1">IFERROR(__xludf.DUMMYFUNCTION("""COMPUTED_VALUE"""),153.8)</f>
        <v>153.80000000000001</v>
      </c>
      <c r="J159" s="70" t="str">
        <f ca="1">IFERROR(__xludf.DUMMYFUNCTION("""COMPUTED_VALUE"""),"Goto link: 9888.HK")</f>
        <v>Goto link: 9888.HK</v>
      </c>
      <c r="K159" s="19"/>
      <c r="L159" s="19"/>
      <c r="M159" s="19"/>
      <c r="N159" s="19"/>
      <c r="O159" s="59"/>
      <c r="P159" s="7"/>
      <c r="Q159" s="55"/>
      <c r="R159" s="55"/>
      <c r="S159" s="7"/>
      <c r="T159" s="55"/>
      <c r="U159" s="7"/>
      <c r="V159" s="55"/>
      <c r="W159" s="60"/>
      <c r="X159" s="55"/>
    </row>
    <row r="160" spans="1:24" ht="13" x14ac:dyDescent="0.15">
      <c r="A160" s="25" t="str">
        <f ca="1">IFERROR(__xludf.DUMMYFUNCTION("""COMPUTED_VALUE"""),"37934")</f>
        <v>37934</v>
      </c>
      <c r="B160" s="69">
        <f ca="1">IFERROR(__xludf.DUMMYFUNCTION("""COMPUTED_VALUE"""),44619)</f>
        <v>44619</v>
      </c>
      <c r="C160" s="69" t="str">
        <f ca="1">IFERROR(__xludf.DUMMYFUNCTION("""COMPUTED_VALUE"""),"Stock")</f>
        <v>Stock</v>
      </c>
      <c r="D160" s="71" t="str">
        <f ca="1">IFERROR(__xludf.DUMMYFUNCTION("""COMPUTED_VALUE"""),"9988.HK")</f>
        <v>9988.HK</v>
      </c>
      <c r="E160" s="5" t="str">
        <f ca="1">IFERROR(__xludf.DUMMYFUNCTION("""COMPUTED_VALUE"""),"HKD")</f>
        <v>HKD</v>
      </c>
      <c r="F160" s="55">
        <f ca="1">IFERROR(__xludf.DUMMYFUNCTION("""COMPUTED_VALUE"""),900)</f>
        <v>900</v>
      </c>
      <c r="G160" s="56">
        <f ca="1">IFERROR(__xludf.DUMMYFUNCTION("""COMPUTED_VALUE"""),1)</f>
        <v>1</v>
      </c>
      <c r="H160" s="57">
        <f ca="1">IFERROR(__xludf.DUMMYFUNCTION("""COMPUTED_VALUE"""),104.2)</f>
        <v>104.2</v>
      </c>
      <c r="I160" s="57">
        <f ca="1">IFERROR(__xludf.DUMMYFUNCTION("""COMPUTED_VALUE"""),117.6)</f>
        <v>117.6</v>
      </c>
      <c r="J160" s="70" t="str">
        <f ca="1">IFERROR(__xludf.DUMMYFUNCTION("""COMPUTED_VALUE"""),"Goto link: 9988.HK")</f>
        <v>Goto link: 9988.HK</v>
      </c>
      <c r="K160" s="19"/>
      <c r="L160" s="19"/>
      <c r="M160" s="19"/>
      <c r="N160" s="19"/>
      <c r="O160" s="59"/>
      <c r="P160" s="7"/>
      <c r="Q160" s="55"/>
      <c r="R160" s="55"/>
      <c r="S160" s="7"/>
      <c r="T160" s="55"/>
      <c r="U160" s="7"/>
      <c r="V160" s="55"/>
      <c r="W160" s="60"/>
      <c r="X160" s="55"/>
    </row>
    <row r="161" spans="1:24" ht="13" x14ac:dyDescent="0.15">
      <c r="A161" s="25" t="str">
        <f ca="1">IFERROR(__xludf.DUMMYFUNCTION("""COMPUTED_VALUE"""),"37934")</f>
        <v>37934</v>
      </c>
      <c r="B161" s="69">
        <f ca="1">IFERROR(__xludf.DUMMYFUNCTION("""COMPUTED_VALUE"""),44633)</f>
        <v>44633</v>
      </c>
      <c r="C161" s="69" t="str">
        <f ca="1">IFERROR(__xludf.DUMMYFUNCTION("""COMPUTED_VALUE"""),"Stock")</f>
        <v>Stock</v>
      </c>
      <c r="D161" s="5" t="str">
        <f ca="1">IFERROR(__xludf.DUMMYFUNCTION("""COMPUTED_VALUE"""),"TSLA")</f>
        <v>TSLA</v>
      </c>
      <c r="E161" s="5" t="str">
        <f ca="1">IFERROR(__xludf.DUMMYFUNCTION("""COMPUTED_VALUE"""),"USD")</f>
        <v>USD</v>
      </c>
      <c r="F161" s="55">
        <f ca="1">IFERROR(__xludf.DUMMYFUNCTION("""COMPUTED_VALUE"""),20)</f>
        <v>20</v>
      </c>
      <c r="G161" s="56">
        <f ca="1">IFERROR(__xludf.DUMMYFUNCTION("""COMPUTED_VALUE"""),7.82925)</f>
        <v>7.82925</v>
      </c>
      <c r="H161" s="57">
        <f ca="1">IFERROR(__xludf.DUMMYFUNCTION("""COMPUTED_VALUE"""),766.37)</f>
        <v>766.37</v>
      </c>
      <c r="I161" s="57">
        <f ca="1">IFERROR(__xludf.DUMMYFUNCTION("""COMPUTED_VALUE"""),999.11)</f>
        <v>999.11</v>
      </c>
      <c r="J161" s="70" t="str">
        <f ca="1">IFERROR(__xludf.DUMMYFUNCTION("""COMPUTED_VALUE"""),"Goto link: TSLA")</f>
        <v>Goto link: TSLA</v>
      </c>
      <c r="K161" s="19"/>
      <c r="L161" s="19"/>
      <c r="M161" s="19"/>
      <c r="N161" s="19"/>
      <c r="O161" s="59"/>
      <c r="P161" s="7"/>
      <c r="Q161" s="55"/>
      <c r="R161" s="55"/>
      <c r="S161" s="7"/>
      <c r="T161" s="55"/>
      <c r="U161" s="7"/>
      <c r="V161" s="55"/>
      <c r="W161" s="60"/>
      <c r="X161" s="55"/>
    </row>
    <row r="162" spans="1:24" ht="13" x14ac:dyDescent="0.15">
      <c r="A162" s="25" t="str">
        <f ca="1">IFERROR(__xludf.DUMMYFUNCTION("""COMPUTED_VALUE"""),"37934")</f>
        <v>37934</v>
      </c>
      <c r="B162" s="69">
        <f ca="1">IFERROR(__xludf.DUMMYFUNCTION("""COMPUTED_VALUE"""),44634)</f>
        <v>44634</v>
      </c>
      <c r="C162" s="69" t="str">
        <f ca="1">IFERROR(__xludf.DUMMYFUNCTION("""COMPUTED_VALUE"""),"Stock")</f>
        <v>Stock</v>
      </c>
      <c r="D162" s="5" t="str">
        <f ca="1">IFERROR(__xludf.DUMMYFUNCTION("""COMPUTED_VALUE"""),"TSLA")</f>
        <v>TSLA</v>
      </c>
      <c r="E162" s="5" t="str">
        <f ca="1">IFERROR(__xludf.DUMMYFUNCTION("""COMPUTED_VALUE"""),"USD")</f>
        <v>USD</v>
      </c>
      <c r="F162" s="55">
        <f ca="1">IFERROR(__xludf.DUMMYFUNCTION("""COMPUTED_VALUE"""),20)</f>
        <v>20</v>
      </c>
      <c r="G162" s="56">
        <f ca="1">IFERROR(__xludf.DUMMYFUNCTION("""COMPUTED_VALUE"""),7.823749375)</f>
        <v>7.8237493750000002</v>
      </c>
      <c r="H162" s="57">
        <f ca="1">IFERROR(__xludf.DUMMYFUNCTION("""COMPUTED_VALUE"""),766.37)</f>
        <v>766.37</v>
      </c>
      <c r="I162" s="57">
        <f ca="1">IFERROR(__xludf.DUMMYFUNCTION("""COMPUTED_VALUE"""),999.11)</f>
        <v>999.11</v>
      </c>
      <c r="J162" s="70" t="str">
        <f ca="1">IFERROR(__xludf.DUMMYFUNCTION("""COMPUTED_VALUE"""),"Goto link: TSLA")</f>
        <v>Goto link: TSLA</v>
      </c>
      <c r="K162" s="19"/>
      <c r="L162" s="19"/>
      <c r="M162" s="19"/>
      <c r="N162" s="19"/>
      <c r="O162" s="59"/>
      <c r="P162" s="7"/>
      <c r="Q162" s="55"/>
      <c r="R162" s="55"/>
      <c r="S162" s="7"/>
      <c r="T162" s="55"/>
      <c r="U162" s="7"/>
      <c r="V162" s="55"/>
      <c r="W162" s="60"/>
      <c r="X162" s="55"/>
    </row>
    <row r="163" spans="1:24" ht="13" x14ac:dyDescent="0.15">
      <c r="A163" s="25" t="str">
        <f ca="1">IFERROR(__xludf.DUMMYFUNCTION("""COMPUTED_VALUE"""),"37934 Total")</f>
        <v>37934 Total</v>
      </c>
      <c r="B163" s="5"/>
      <c r="C163" s="69"/>
      <c r="D163" s="5"/>
      <c r="E163" s="5"/>
      <c r="F163" s="55"/>
      <c r="G163" s="56">
        <f ca="1">IFERROR(__xludf.DUMMYFUNCTION("""COMPUTED_VALUE"""),2.46411923728813)</f>
        <v>2.4641192372881302</v>
      </c>
      <c r="H163" s="57">
        <f ca="1">IFERROR(__xludf.DUMMYFUNCTION("""COMPUTED_VALUE"""),766.37)</f>
        <v>766.37</v>
      </c>
      <c r="I163" s="57" t="str">
        <f ca="1">IFERROR(__xludf.DUMMYFUNCTION("""COMPUTED_VALUE"""),"")</f>
        <v/>
      </c>
      <c r="J163" s="19" t="str">
        <f ca="1">IFERROR(__xludf.DUMMYFUNCTION("""COMPUTED_VALUE"""),"")</f>
        <v/>
      </c>
      <c r="K163" s="19"/>
      <c r="L163" s="19"/>
      <c r="M163" s="19"/>
      <c r="N163" s="19"/>
      <c r="O163" s="59"/>
      <c r="P163" s="7"/>
      <c r="Q163" s="55"/>
      <c r="R163" s="55"/>
      <c r="S163" s="7"/>
      <c r="T163" s="55"/>
      <c r="U163" s="7"/>
      <c r="V163" s="55"/>
      <c r="W163" s="60"/>
      <c r="X163" s="55"/>
    </row>
    <row r="164" spans="1:24" ht="13" x14ac:dyDescent="0.15">
      <c r="A164" s="25" t="str">
        <f ca="1">IFERROR(__xludf.DUMMYFUNCTION("""COMPUTED_VALUE"""),"38063")</f>
        <v>38063</v>
      </c>
      <c r="B164" s="69">
        <f ca="1">IFERROR(__xludf.DUMMYFUNCTION("""COMPUTED_VALUE"""),44597)</f>
        <v>44597</v>
      </c>
      <c r="C164" s="69" t="str">
        <f ca="1">IFERROR(__xludf.DUMMYFUNCTION("""COMPUTED_VALUE"""),"Cash")</f>
        <v>Cash</v>
      </c>
      <c r="D164" s="5" t="str">
        <f ca="1">IFERROR(__xludf.DUMMYFUNCTION("""COMPUTED_VALUE"""),"Cash")</f>
        <v>Cash</v>
      </c>
      <c r="E164" s="5" t="str">
        <f ca="1">IFERROR(__xludf.DUMMYFUNCTION("""COMPUTED_VALUE"""),"HKD")</f>
        <v>HKD</v>
      </c>
      <c r="F164" s="55" t="str">
        <f ca="1">IFERROR(__xludf.DUMMYFUNCTION("""COMPUTED_VALUE"""),"")</f>
        <v/>
      </c>
      <c r="G164" s="56">
        <f ca="1">IFERROR(__xludf.DUMMYFUNCTION("""COMPUTED_VALUE"""),1)</f>
        <v>1</v>
      </c>
      <c r="H164" s="57">
        <f ca="1">IFERROR(__xludf.DUMMYFUNCTION("""COMPUTED_VALUE"""),1)</f>
        <v>1</v>
      </c>
      <c r="I164" s="57">
        <f ca="1">IFERROR(__xludf.DUMMYFUNCTION("""COMPUTED_VALUE"""),1)</f>
        <v>1</v>
      </c>
      <c r="J164" s="19" t="str">
        <f ca="1">IFERROR(__xludf.DUMMYFUNCTION("""COMPUTED_VALUE"""),"")</f>
        <v/>
      </c>
      <c r="K164" s="19"/>
      <c r="L164" s="19"/>
      <c r="M164" s="19"/>
      <c r="N164" s="19"/>
      <c r="O164" s="59"/>
      <c r="P164" s="7"/>
      <c r="Q164" s="55"/>
      <c r="R164" s="55"/>
      <c r="S164" s="7"/>
      <c r="T164" s="55"/>
      <c r="U164" s="7"/>
      <c r="V164" s="55"/>
      <c r="W164" s="60"/>
      <c r="X164" s="55"/>
    </row>
    <row r="165" spans="1:24" ht="13" x14ac:dyDescent="0.15">
      <c r="A165" s="25" t="str">
        <f ca="1">IFERROR(__xludf.DUMMYFUNCTION("""COMPUTED_VALUE"""),"38063 Total")</f>
        <v>38063 Total</v>
      </c>
      <c r="B165" s="5"/>
      <c r="C165" s="69"/>
      <c r="D165" s="5"/>
      <c r="E165" s="5"/>
      <c r="F165" s="55"/>
      <c r="G165" s="56">
        <f ca="1">IFERROR(__xludf.DUMMYFUNCTION("""COMPUTED_VALUE"""),1)</f>
        <v>1</v>
      </c>
      <c r="H165" s="57">
        <f ca="1">IFERROR(__xludf.DUMMYFUNCTION("""COMPUTED_VALUE"""),1)</f>
        <v>1</v>
      </c>
      <c r="I165" s="57" t="str">
        <f ca="1">IFERROR(__xludf.DUMMYFUNCTION("""COMPUTED_VALUE"""),"")</f>
        <v/>
      </c>
      <c r="J165" s="19" t="str">
        <f ca="1">IFERROR(__xludf.DUMMYFUNCTION("""COMPUTED_VALUE"""),"")</f>
        <v/>
      </c>
      <c r="K165" s="19"/>
      <c r="L165" s="19"/>
      <c r="M165" s="19"/>
      <c r="N165" s="19"/>
      <c r="O165" s="59"/>
      <c r="P165" s="7"/>
      <c r="Q165" s="55"/>
      <c r="R165" s="55"/>
      <c r="S165" s="7"/>
      <c r="T165" s="55"/>
      <c r="U165" s="7"/>
      <c r="V165" s="55"/>
      <c r="W165" s="60"/>
      <c r="X165" s="55"/>
    </row>
    <row r="166" spans="1:24" ht="13" x14ac:dyDescent="0.15">
      <c r="A166" s="25" t="str">
        <f ca="1">IFERROR(__xludf.DUMMYFUNCTION("""COMPUTED_VALUE"""),"38093")</f>
        <v>38093</v>
      </c>
      <c r="B166" s="69">
        <f ca="1">IFERROR(__xludf.DUMMYFUNCTION("""COMPUTED_VALUE"""),44597)</f>
        <v>44597</v>
      </c>
      <c r="C166" s="69" t="str">
        <f ca="1">IFERROR(__xludf.DUMMYFUNCTION("""COMPUTED_VALUE"""),"Cash")</f>
        <v>Cash</v>
      </c>
      <c r="D166" s="5" t="str">
        <f ca="1">IFERROR(__xludf.DUMMYFUNCTION("""COMPUTED_VALUE"""),"Cash")</f>
        <v>Cash</v>
      </c>
      <c r="E166" s="5" t="str">
        <f ca="1">IFERROR(__xludf.DUMMYFUNCTION("""COMPUTED_VALUE"""),"HKD")</f>
        <v>HKD</v>
      </c>
      <c r="F166" s="55" t="str">
        <f ca="1">IFERROR(__xludf.DUMMYFUNCTION("""COMPUTED_VALUE"""),"")</f>
        <v/>
      </c>
      <c r="G166" s="56">
        <f ca="1">IFERROR(__xludf.DUMMYFUNCTION("""COMPUTED_VALUE"""),1)</f>
        <v>1</v>
      </c>
      <c r="H166" s="57">
        <f ca="1">IFERROR(__xludf.DUMMYFUNCTION("""COMPUTED_VALUE"""),1)</f>
        <v>1</v>
      </c>
      <c r="I166" s="57">
        <f ca="1">IFERROR(__xludf.DUMMYFUNCTION("""COMPUTED_VALUE"""),1)</f>
        <v>1</v>
      </c>
      <c r="J166" s="19" t="str">
        <f ca="1">IFERROR(__xludf.DUMMYFUNCTION("""COMPUTED_VALUE"""),"")</f>
        <v/>
      </c>
      <c r="K166" s="19"/>
      <c r="L166" s="19"/>
      <c r="M166" s="19"/>
      <c r="N166" s="19"/>
      <c r="O166" s="59"/>
      <c r="P166" s="7"/>
      <c r="Q166" s="55"/>
      <c r="R166" s="55"/>
      <c r="S166" s="7"/>
      <c r="T166" s="55"/>
      <c r="U166" s="7"/>
      <c r="V166" s="55"/>
      <c r="W166" s="60"/>
      <c r="X166" s="55"/>
    </row>
    <row r="167" spans="1:24" ht="13" x14ac:dyDescent="0.15">
      <c r="A167" s="25" t="str">
        <f ca="1">IFERROR(__xludf.DUMMYFUNCTION("""COMPUTED_VALUE"""),"38093 Total")</f>
        <v>38093 Total</v>
      </c>
      <c r="B167" s="5"/>
      <c r="C167" s="69"/>
      <c r="D167" s="5"/>
      <c r="E167" s="5"/>
      <c r="F167" s="55"/>
      <c r="G167" s="56">
        <f ca="1">IFERROR(__xludf.DUMMYFUNCTION("""COMPUTED_VALUE"""),1)</f>
        <v>1</v>
      </c>
      <c r="H167" s="57">
        <f ca="1">IFERROR(__xludf.DUMMYFUNCTION("""COMPUTED_VALUE"""),1)</f>
        <v>1</v>
      </c>
      <c r="I167" s="57" t="str">
        <f ca="1">IFERROR(__xludf.DUMMYFUNCTION("""COMPUTED_VALUE"""),"")</f>
        <v/>
      </c>
      <c r="J167" s="19" t="str">
        <f ca="1">IFERROR(__xludf.DUMMYFUNCTION("""COMPUTED_VALUE"""),"")</f>
        <v/>
      </c>
      <c r="K167" s="19"/>
      <c r="L167" s="19"/>
      <c r="M167" s="19"/>
      <c r="N167" s="19"/>
      <c r="O167" s="59"/>
      <c r="P167" s="7"/>
      <c r="Q167" s="55"/>
      <c r="R167" s="55"/>
      <c r="S167" s="7"/>
      <c r="T167" s="55"/>
      <c r="U167" s="7"/>
      <c r="V167" s="55"/>
      <c r="W167" s="60"/>
      <c r="X167" s="55"/>
    </row>
    <row r="168" spans="1:24" ht="13" x14ac:dyDescent="0.15">
      <c r="A168" s="25" t="str">
        <f ca="1">IFERROR(__xludf.DUMMYFUNCTION("""COMPUTED_VALUE"""),"38105")</f>
        <v>38105</v>
      </c>
      <c r="B168" s="69">
        <f ca="1">IFERROR(__xludf.DUMMYFUNCTION("""COMPUTED_VALUE"""),44597)</f>
        <v>44597</v>
      </c>
      <c r="C168" s="69" t="str">
        <f ca="1">IFERROR(__xludf.DUMMYFUNCTION("""COMPUTED_VALUE"""),"Cash")</f>
        <v>Cash</v>
      </c>
      <c r="D168" s="5" t="str">
        <f ca="1">IFERROR(__xludf.DUMMYFUNCTION("""COMPUTED_VALUE"""),"Cash")</f>
        <v>Cash</v>
      </c>
      <c r="E168" s="5" t="str">
        <f ca="1">IFERROR(__xludf.DUMMYFUNCTION("""COMPUTED_VALUE"""),"HKD")</f>
        <v>HKD</v>
      </c>
      <c r="F168" s="55" t="str">
        <f ca="1">IFERROR(__xludf.DUMMYFUNCTION("""COMPUTED_VALUE"""),"")</f>
        <v/>
      </c>
      <c r="G168" s="56">
        <f ca="1">IFERROR(__xludf.DUMMYFUNCTION("""COMPUTED_VALUE"""),1)</f>
        <v>1</v>
      </c>
      <c r="H168" s="57">
        <f ca="1">IFERROR(__xludf.DUMMYFUNCTION("""COMPUTED_VALUE"""),1)</f>
        <v>1</v>
      </c>
      <c r="I168" s="57">
        <f ca="1">IFERROR(__xludf.DUMMYFUNCTION("""COMPUTED_VALUE"""),1)</f>
        <v>1</v>
      </c>
      <c r="J168" s="19" t="str">
        <f ca="1">IFERROR(__xludf.DUMMYFUNCTION("""COMPUTED_VALUE"""),"")</f>
        <v/>
      </c>
      <c r="K168" s="19"/>
      <c r="L168" s="19"/>
      <c r="M168" s="19"/>
      <c r="N168" s="19"/>
      <c r="O168" s="59"/>
      <c r="P168" s="7"/>
      <c r="Q168" s="55"/>
      <c r="R168" s="55"/>
      <c r="S168" s="7"/>
      <c r="T168" s="55"/>
      <c r="U168" s="7"/>
      <c r="V168" s="55"/>
      <c r="W168" s="60"/>
      <c r="X168" s="55"/>
    </row>
    <row r="169" spans="1:24" ht="13" x14ac:dyDescent="0.15">
      <c r="A169" s="25" t="str">
        <f ca="1">IFERROR(__xludf.DUMMYFUNCTION("""COMPUTED_VALUE"""),"38105 Total")</f>
        <v>38105 Total</v>
      </c>
      <c r="B169" s="5"/>
      <c r="C169" s="69"/>
      <c r="D169" s="5"/>
      <c r="E169" s="5"/>
      <c r="F169" s="55"/>
      <c r="G169" s="56">
        <f ca="1">IFERROR(__xludf.DUMMYFUNCTION("""COMPUTED_VALUE"""),1)</f>
        <v>1</v>
      </c>
      <c r="H169" s="57">
        <f ca="1">IFERROR(__xludf.DUMMYFUNCTION("""COMPUTED_VALUE"""),1)</f>
        <v>1</v>
      </c>
      <c r="I169" s="57" t="str">
        <f ca="1">IFERROR(__xludf.DUMMYFUNCTION("""COMPUTED_VALUE"""),"")</f>
        <v/>
      </c>
      <c r="J169" s="19" t="str">
        <f ca="1">IFERROR(__xludf.DUMMYFUNCTION("""COMPUTED_VALUE"""),"")</f>
        <v/>
      </c>
      <c r="K169" s="19"/>
      <c r="L169" s="19"/>
      <c r="M169" s="19"/>
      <c r="N169" s="19"/>
      <c r="O169" s="59"/>
      <c r="P169" s="7"/>
      <c r="Q169" s="55"/>
      <c r="R169" s="55"/>
      <c r="S169" s="7"/>
      <c r="T169" s="55"/>
      <c r="U169" s="7"/>
      <c r="V169" s="55"/>
      <c r="W169" s="60"/>
      <c r="X169" s="55"/>
    </row>
    <row r="170" spans="1:24" ht="13" x14ac:dyDescent="0.15">
      <c r="A170" s="25" t="str">
        <f ca="1">IFERROR(__xludf.DUMMYFUNCTION("""COMPUTED_VALUE"""),"38109")</f>
        <v>38109</v>
      </c>
      <c r="B170" s="69">
        <f ca="1">IFERROR(__xludf.DUMMYFUNCTION("""COMPUTED_VALUE"""),44597)</f>
        <v>44597</v>
      </c>
      <c r="C170" s="69" t="str">
        <f ca="1">IFERROR(__xludf.DUMMYFUNCTION("""COMPUTED_VALUE"""),"Cash")</f>
        <v>Cash</v>
      </c>
      <c r="D170" s="5" t="str">
        <f ca="1">IFERROR(__xludf.DUMMYFUNCTION("""COMPUTED_VALUE"""),"Cash")</f>
        <v>Cash</v>
      </c>
      <c r="E170" s="5" t="str">
        <f ca="1">IFERROR(__xludf.DUMMYFUNCTION("""COMPUTED_VALUE"""),"HKD")</f>
        <v>HKD</v>
      </c>
      <c r="F170" s="55" t="str">
        <f ca="1">IFERROR(__xludf.DUMMYFUNCTION("""COMPUTED_VALUE"""),"")</f>
        <v/>
      </c>
      <c r="G170" s="56">
        <f ca="1">IFERROR(__xludf.DUMMYFUNCTION("""COMPUTED_VALUE"""),1)</f>
        <v>1</v>
      </c>
      <c r="H170" s="57">
        <f ca="1">IFERROR(__xludf.DUMMYFUNCTION("""COMPUTED_VALUE"""),1)</f>
        <v>1</v>
      </c>
      <c r="I170" s="57">
        <f ca="1">IFERROR(__xludf.DUMMYFUNCTION("""COMPUTED_VALUE"""),1)</f>
        <v>1</v>
      </c>
      <c r="J170" s="19" t="str">
        <f ca="1">IFERROR(__xludf.DUMMYFUNCTION("""COMPUTED_VALUE"""),"")</f>
        <v/>
      </c>
      <c r="K170" s="19"/>
      <c r="L170" s="19"/>
      <c r="M170" s="19"/>
      <c r="N170" s="19"/>
      <c r="O170" s="59"/>
      <c r="P170" s="7"/>
      <c r="Q170" s="55"/>
      <c r="R170" s="55"/>
      <c r="S170" s="7"/>
      <c r="T170" s="55"/>
      <c r="U170" s="7"/>
      <c r="V170" s="55"/>
      <c r="W170" s="60"/>
      <c r="X170" s="55"/>
    </row>
    <row r="171" spans="1:24" ht="13" x14ac:dyDescent="0.15">
      <c r="A171" s="25" t="str">
        <f ca="1">IFERROR(__xludf.DUMMYFUNCTION("""COMPUTED_VALUE"""),"38109 Total")</f>
        <v>38109 Total</v>
      </c>
      <c r="B171" s="5"/>
      <c r="C171" s="69"/>
      <c r="D171" s="5"/>
      <c r="E171" s="5"/>
      <c r="F171" s="55"/>
      <c r="G171" s="56">
        <f ca="1">IFERROR(__xludf.DUMMYFUNCTION("""COMPUTED_VALUE"""),1)</f>
        <v>1</v>
      </c>
      <c r="H171" s="57">
        <f ca="1">IFERROR(__xludf.DUMMYFUNCTION("""COMPUTED_VALUE"""),1)</f>
        <v>1</v>
      </c>
      <c r="I171" s="57" t="str">
        <f ca="1">IFERROR(__xludf.DUMMYFUNCTION("""COMPUTED_VALUE"""),"")</f>
        <v/>
      </c>
      <c r="J171" s="19" t="str">
        <f ca="1">IFERROR(__xludf.DUMMYFUNCTION("""COMPUTED_VALUE"""),"")</f>
        <v/>
      </c>
      <c r="K171" s="19"/>
      <c r="L171" s="19"/>
      <c r="M171" s="19"/>
      <c r="N171" s="19"/>
      <c r="O171" s="59"/>
      <c r="P171" s="7"/>
      <c r="Q171" s="55"/>
      <c r="R171" s="55"/>
      <c r="S171" s="7"/>
      <c r="T171" s="55"/>
      <c r="U171" s="7"/>
      <c r="V171" s="55"/>
      <c r="W171" s="60"/>
      <c r="X171" s="55"/>
    </row>
    <row r="172" spans="1:24" ht="13" x14ac:dyDescent="0.15">
      <c r="A172" s="25" t="str">
        <f ca="1">IFERROR(__xludf.DUMMYFUNCTION("""COMPUTED_VALUE"""),"38209")</f>
        <v>38209</v>
      </c>
      <c r="B172" s="69">
        <f ca="1">IFERROR(__xludf.DUMMYFUNCTION("""COMPUTED_VALUE"""),44597)</f>
        <v>44597</v>
      </c>
      <c r="C172" s="69" t="str">
        <f ca="1">IFERROR(__xludf.DUMMYFUNCTION("""COMPUTED_VALUE"""),"Cash")</f>
        <v>Cash</v>
      </c>
      <c r="D172" s="5" t="str">
        <f ca="1">IFERROR(__xludf.DUMMYFUNCTION("""COMPUTED_VALUE"""),"Cash")</f>
        <v>Cash</v>
      </c>
      <c r="E172" s="5" t="str">
        <f ca="1">IFERROR(__xludf.DUMMYFUNCTION("""COMPUTED_VALUE"""),"HKD")</f>
        <v>HKD</v>
      </c>
      <c r="F172" s="55" t="str">
        <f ca="1">IFERROR(__xludf.DUMMYFUNCTION("""COMPUTED_VALUE"""),"")</f>
        <v/>
      </c>
      <c r="G172" s="56">
        <f ca="1">IFERROR(__xludf.DUMMYFUNCTION("""COMPUTED_VALUE"""),1)</f>
        <v>1</v>
      </c>
      <c r="H172" s="57">
        <f ca="1">IFERROR(__xludf.DUMMYFUNCTION("""COMPUTED_VALUE"""),1)</f>
        <v>1</v>
      </c>
      <c r="I172" s="57">
        <f ca="1">IFERROR(__xludf.DUMMYFUNCTION("""COMPUTED_VALUE"""),1)</f>
        <v>1</v>
      </c>
      <c r="J172" s="19" t="str">
        <f ca="1">IFERROR(__xludf.DUMMYFUNCTION("""COMPUTED_VALUE"""),"")</f>
        <v/>
      </c>
      <c r="K172" s="19"/>
      <c r="L172" s="19"/>
      <c r="M172" s="19"/>
      <c r="N172" s="19"/>
      <c r="O172" s="59"/>
      <c r="P172" s="7"/>
      <c r="Q172" s="55"/>
      <c r="R172" s="55"/>
      <c r="S172" s="7"/>
      <c r="T172" s="55"/>
      <c r="U172" s="7"/>
      <c r="V172" s="55"/>
      <c r="W172" s="60"/>
      <c r="X172" s="55"/>
    </row>
    <row r="173" spans="1:24" ht="13" x14ac:dyDescent="0.15">
      <c r="A173" s="25" t="str">
        <f ca="1">IFERROR(__xludf.DUMMYFUNCTION("""COMPUTED_VALUE"""),"38209")</f>
        <v>38209</v>
      </c>
      <c r="B173" s="69">
        <f ca="1">IFERROR(__xludf.DUMMYFUNCTION("""COMPUTED_VALUE"""),44623)</f>
        <v>44623</v>
      </c>
      <c r="C173" s="69" t="str">
        <f ca="1">IFERROR(__xludf.DUMMYFUNCTION("""COMPUTED_VALUE"""),"Stock")</f>
        <v>Stock</v>
      </c>
      <c r="D173" s="71" t="str">
        <f ca="1">IFERROR(__xludf.DUMMYFUNCTION("""COMPUTED_VALUE"""),"1810.HK")</f>
        <v>1810.HK</v>
      </c>
      <c r="E173" s="5" t="str">
        <f ca="1">IFERROR(__xludf.DUMMYFUNCTION("""COMPUTED_VALUE"""),"HKD")</f>
        <v>HKD</v>
      </c>
      <c r="F173" s="55">
        <f ca="1">IFERROR(__xludf.DUMMYFUNCTION("""COMPUTED_VALUE"""),0)</f>
        <v>0</v>
      </c>
      <c r="G173" s="56">
        <f ca="1">IFERROR(__xludf.DUMMYFUNCTION("""COMPUTED_VALUE"""),1)</f>
        <v>1</v>
      </c>
      <c r="H173" s="57">
        <f ca="1">IFERROR(__xludf.DUMMYFUNCTION("""COMPUTED_VALUE"""),0)</f>
        <v>0</v>
      </c>
      <c r="I173" s="57">
        <f ca="1">IFERROR(__xludf.DUMMYFUNCTION("""COMPUTED_VALUE"""),14.78)</f>
        <v>14.78</v>
      </c>
      <c r="J173" s="70" t="str">
        <f ca="1">IFERROR(__xludf.DUMMYFUNCTION("""COMPUTED_VALUE"""),"Goto link: 1810.HK")</f>
        <v>Goto link: 1810.HK</v>
      </c>
      <c r="K173" s="19"/>
      <c r="L173" s="19"/>
      <c r="M173" s="19"/>
      <c r="N173" s="19"/>
      <c r="O173" s="59"/>
      <c r="P173" s="7"/>
      <c r="Q173" s="55"/>
      <c r="R173" s="55"/>
      <c r="S173" s="7"/>
      <c r="T173" s="55"/>
      <c r="U173" s="7"/>
      <c r="V173" s="55"/>
      <c r="W173" s="60"/>
      <c r="X173" s="55"/>
    </row>
    <row r="174" spans="1:24" ht="13" x14ac:dyDescent="0.15">
      <c r="A174" s="25" t="str">
        <f ca="1">IFERROR(__xludf.DUMMYFUNCTION("""COMPUTED_VALUE"""),"38209")</f>
        <v>38209</v>
      </c>
      <c r="B174" s="69">
        <f ca="1">IFERROR(__xludf.DUMMYFUNCTION("""COMPUTED_VALUE"""),44624)</f>
        <v>44624</v>
      </c>
      <c r="C174" s="69" t="str">
        <f ca="1">IFERROR(__xludf.DUMMYFUNCTION("""COMPUTED_VALUE"""),"Stock")</f>
        <v>Stock</v>
      </c>
      <c r="D174" s="71" t="str">
        <f ca="1">IFERROR(__xludf.DUMMYFUNCTION("""COMPUTED_VALUE"""),"1024.HK")</f>
        <v>1024.HK</v>
      </c>
      <c r="E174" s="5" t="str">
        <f ca="1">IFERROR(__xludf.DUMMYFUNCTION("""COMPUTED_VALUE"""),"HKD")</f>
        <v>HKD</v>
      </c>
      <c r="F174" s="55">
        <f ca="1">IFERROR(__xludf.DUMMYFUNCTION("""COMPUTED_VALUE"""),200)</f>
        <v>200</v>
      </c>
      <c r="G174" s="56">
        <f ca="1">IFERROR(__xludf.DUMMYFUNCTION("""COMPUTED_VALUE"""),1)</f>
        <v>1</v>
      </c>
      <c r="H174" s="57">
        <f ca="1">IFERROR(__xludf.DUMMYFUNCTION("""COMPUTED_VALUE"""),76.65)</f>
        <v>76.650000000000006</v>
      </c>
      <c r="I174" s="57">
        <f ca="1">IFERROR(__xludf.DUMMYFUNCTION("""COMPUTED_VALUE"""),80.2)</f>
        <v>80.2</v>
      </c>
      <c r="J174" s="70" t="str">
        <f ca="1">IFERROR(__xludf.DUMMYFUNCTION("""COMPUTED_VALUE"""),"Goto link: 1024.HK")</f>
        <v>Goto link: 1024.HK</v>
      </c>
      <c r="K174" s="19"/>
      <c r="L174" s="19"/>
      <c r="M174" s="19"/>
      <c r="N174" s="19"/>
      <c r="O174" s="59"/>
      <c r="P174" s="7"/>
      <c r="Q174" s="55"/>
      <c r="R174" s="55"/>
      <c r="S174" s="7"/>
      <c r="T174" s="55"/>
      <c r="U174" s="7"/>
      <c r="V174" s="55"/>
      <c r="W174" s="60"/>
      <c r="X174" s="55"/>
    </row>
    <row r="175" spans="1:24" ht="13" x14ac:dyDescent="0.15">
      <c r="A175" s="25" t="str">
        <f ca="1">IFERROR(__xludf.DUMMYFUNCTION("""COMPUTED_VALUE"""),"38209")</f>
        <v>38209</v>
      </c>
      <c r="B175" s="69">
        <f ca="1">IFERROR(__xludf.DUMMYFUNCTION("""COMPUTED_VALUE"""),44624)</f>
        <v>44624</v>
      </c>
      <c r="C175" s="69" t="str">
        <f ca="1">IFERROR(__xludf.DUMMYFUNCTION("""COMPUTED_VALUE"""),"Stock")</f>
        <v>Stock</v>
      </c>
      <c r="D175" s="71" t="str">
        <f ca="1">IFERROR(__xludf.DUMMYFUNCTION("""COMPUTED_VALUE"""),"1810.HK")</f>
        <v>1810.HK</v>
      </c>
      <c r="E175" s="5" t="str">
        <f ca="1">IFERROR(__xludf.DUMMYFUNCTION("""COMPUTED_VALUE"""),"HKD")</f>
        <v>HKD</v>
      </c>
      <c r="F175" s="55">
        <f ca="1">IFERROR(__xludf.DUMMYFUNCTION("""COMPUTED_VALUE"""),1000)</f>
        <v>1000</v>
      </c>
      <c r="G175" s="56">
        <f ca="1">IFERROR(__xludf.DUMMYFUNCTION("""COMPUTED_VALUE"""),1)</f>
        <v>1</v>
      </c>
      <c r="H175" s="57">
        <f ca="1">IFERROR(__xludf.DUMMYFUNCTION("""COMPUTED_VALUE"""),13.96)</f>
        <v>13.96</v>
      </c>
      <c r="I175" s="57">
        <f ca="1">IFERROR(__xludf.DUMMYFUNCTION("""COMPUTED_VALUE"""),14.78)</f>
        <v>14.78</v>
      </c>
      <c r="J175" s="70" t="str">
        <f ca="1">IFERROR(__xludf.DUMMYFUNCTION("""COMPUTED_VALUE"""),"Goto link: 1810.HK")</f>
        <v>Goto link: 1810.HK</v>
      </c>
      <c r="K175" s="19"/>
      <c r="L175" s="19"/>
      <c r="M175" s="19"/>
      <c r="N175" s="19"/>
      <c r="O175" s="59"/>
      <c r="P175" s="7"/>
      <c r="Q175" s="55"/>
      <c r="R175" s="55"/>
      <c r="S175" s="7"/>
      <c r="T175" s="55"/>
      <c r="U175" s="7"/>
      <c r="V175" s="55"/>
      <c r="W175" s="60"/>
      <c r="X175" s="55"/>
    </row>
    <row r="176" spans="1:24" ht="13" x14ac:dyDescent="0.15">
      <c r="A176" s="25" t="str">
        <f ca="1">IFERROR(__xludf.DUMMYFUNCTION("""COMPUTED_VALUE"""),"38209")</f>
        <v>38209</v>
      </c>
      <c r="B176" s="69">
        <f ca="1">IFERROR(__xludf.DUMMYFUNCTION("""COMPUTED_VALUE"""),44624)</f>
        <v>44624</v>
      </c>
      <c r="C176" s="69" t="str">
        <f ca="1">IFERROR(__xludf.DUMMYFUNCTION("""COMPUTED_VALUE"""),"Stock")</f>
        <v>Stock</v>
      </c>
      <c r="D176" s="71" t="str">
        <f ca="1">IFERROR(__xludf.DUMMYFUNCTION("""COMPUTED_VALUE"""),"9988.HK")</f>
        <v>9988.HK</v>
      </c>
      <c r="E176" s="5" t="str">
        <f ca="1">IFERROR(__xludf.DUMMYFUNCTION("""COMPUTED_VALUE"""),"HKD")</f>
        <v>HKD</v>
      </c>
      <c r="F176" s="55">
        <f ca="1">IFERROR(__xludf.DUMMYFUNCTION("""COMPUTED_VALUE"""),200)</f>
        <v>200</v>
      </c>
      <c r="G176" s="56">
        <f ca="1">IFERROR(__xludf.DUMMYFUNCTION("""COMPUTED_VALUE"""),1)</f>
        <v>1</v>
      </c>
      <c r="H176" s="57">
        <f ca="1">IFERROR(__xludf.DUMMYFUNCTION("""COMPUTED_VALUE"""),99)</f>
        <v>99</v>
      </c>
      <c r="I176" s="57">
        <f ca="1">IFERROR(__xludf.DUMMYFUNCTION("""COMPUTED_VALUE"""),117.6)</f>
        <v>117.6</v>
      </c>
      <c r="J176" s="70" t="str">
        <f ca="1">IFERROR(__xludf.DUMMYFUNCTION("""COMPUTED_VALUE"""),"Goto link: 9988.HK")</f>
        <v>Goto link: 9988.HK</v>
      </c>
      <c r="K176" s="19"/>
      <c r="L176" s="19"/>
      <c r="M176" s="19"/>
      <c r="N176" s="19"/>
      <c r="O176" s="59"/>
      <c r="P176" s="7"/>
      <c r="Q176" s="55"/>
      <c r="R176" s="55"/>
      <c r="S176" s="7"/>
      <c r="T176" s="55"/>
      <c r="U176" s="7"/>
      <c r="V176" s="55"/>
      <c r="W176" s="60"/>
      <c r="X176" s="55"/>
    </row>
    <row r="177" spans="1:24" ht="13" x14ac:dyDescent="0.15">
      <c r="A177" s="25" t="str">
        <f ca="1">IFERROR(__xludf.DUMMYFUNCTION("""COMPUTED_VALUE"""),"38209")</f>
        <v>38209</v>
      </c>
      <c r="B177" s="69">
        <f ca="1">IFERROR(__xludf.DUMMYFUNCTION("""COMPUTED_VALUE"""),44627)</f>
        <v>44627</v>
      </c>
      <c r="C177" s="69" t="str">
        <f ca="1">IFERROR(__xludf.DUMMYFUNCTION("""COMPUTED_VALUE"""),"Stock")</f>
        <v>Stock</v>
      </c>
      <c r="D177" s="71" t="str">
        <f ca="1">IFERROR(__xludf.DUMMYFUNCTION("""COMPUTED_VALUE"""),"1024.HK")</f>
        <v>1024.HK</v>
      </c>
      <c r="E177" s="5" t="str">
        <f ca="1">IFERROR(__xludf.DUMMYFUNCTION("""COMPUTED_VALUE"""),"HKD")</f>
        <v>HKD</v>
      </c>
      <c r="F177" s="55">
        <f ca="1">IFERROR(__xludf.DUMMYFUNCTION("""COMPUTED_VALUE"""),0)</f>
        <v>0</v>
      </c>
      <c r="G177" s="56">
        <f ca="1">IFERROR(__xludf.DUMMYFUNCTION("""COMPUTED_VALUE"""),1)</f>
        <v>1</v>
      </c>
      <c r="H177" s="57">
        <f ca="1">IFERROR(__xludf.DUMMYFUNCTION("""COMPUTED_VALUE"""),0)</f>
        <v>0</v>
      </c>
      <c r="I177" s="57">
        <f ca="1">IFERROR(__xludf.DUMMYFUNCTION("""COMPUTED_VALUE"""),80.2)</f>
        <v>80.2</v>
      </c>
      <c r="J177" s="70" t="str">
        <f ca="1">IFERROR(__xludf.DUMMYFUNCTION("""COMPUTED_VALUE"""),"Goto link: 1024.HK")</f>
        <v>Goto link: 1024.HK</v>
      </c>
      <c r="K177" s="19"/>
      <c r="L177" s="19"/>
      <c r="M177" s="19"/>
      <c r="N177" s="19"/>
      <c r="O177" s="59"/>
      <c r="P177" s="7"/>
      <c r="Q177" s="55"/>
      <c r="R177" s="55"/>
      <c r="S177" s="7"/>
      <c r="T177" s="55"/>
      <c r="U177" s="7"/>
      <c r="V177" s="55"/>
      <c r="W177" s="60"/>
      <c r="X177" s="55"/>
    </row>
    <row r="178" spans="1:24" ht="13" x14ac:dyDescent="0.15">
      <c r="A178" s="25" t="str">
        <f ca="1">IFERROR(__xludf.DUMMYFUNCTION("""COMPUTED_VALUE"""),"38209")</f>
        <v>38209</v>
      </c>
      <c r="B178" s="69">
        <f ca="1">IFERROR(__xludf.DUMMYFUNCTION("""COMPUTED_VALUE"""),44627)</f>
        <v>44627</v>
      </c>
      <c r="C178" s="69" t="str">
        <f ca="1">IFERROR(__xludf.DUMMYFUNCTION("""COMPUTED_VALUE"""),"Stock")</f>
        <v>Stock</v>
      </c>
      <c r="D178" s="71" t="str">
        <f ca="1">IFERROR(__xludf.DUMMYFUNCTION("""COMPUTED_VALUE"""),"1810.HK")</f>
        <v>1810.HK</v>
      </c>
      <c r="E178" s="5" t="str">
        <f ca="1">IFERROR(__xludf.DUMMYFUNCTION("""COMPUTED_VALUE"""),"HKD")</f>
        <v>HKD</v>
      </c>
      <c r="F178" s="55">
        <f ca="1">IFERROR(__xludf.DUMMYFUNCTION("""COMPUTED_VALUE"""),1000)</f>
        <v>1000</v>
      </c>
      <c r="G178" s="56">
        <f ca="1">IFERROR(__xludf.DUMMYFUNCTION("""COMPUTED_VALUE"""),1)</f>
        <v>1</v>
      </c>
      <c r="H178" s="57">
        <f ca="1">IFERROR(__xludf.DUMMYFUNCTION("""COMPUTED_VALUE"""),13.68)</f>
        <v>13.68</v>
      </c>
      <c r="I178" s="57">
        <f ca="1">IFERROR(__xludf.DUMMYFUNCTION("""COMPUTED_VALUE"""),14.78)</f>
        <v>14.78</v>
      </c>
      <c r="J178" s="70" t="str">
        <f ca="1">IFERROR(__xludf.DUMMYFUNCTION("""COMPUTED_VALUE"""),"Goto link: 1810.HK")</f>
        <v>Goto link: 1810.HK</v>
      </c>
      <c r="K178" s="19"/>
      <c r="L178" s="19"/>
      <c r="M178" s="19"/>
      <c r="N178" s="19"/>
      <c r="O178" s="59"/>
      <c r="P178" s="7"/>
      <c r="Q178" s="55"/>
      <c r="R178" s="55"/>
      <c r="S178" s="7"/>
      <c r="T178" s="55"/>
      <c r="U178" s="7"/>
      <c r="V178" s="55"/>
      <c r="W178" s="60"/>
      <c r="X178" s="55"/>
    </row>
    <row r="179" spans="1:24" ht="13" x14ac:dyDescent="0.15">
      <c r="A179" s="25" t="str">
        <f ca="1">IFERROR(__xludf.DUMMYFUNCTION("""COMPUTED_VALUE"""),"38209")</f>
        <v>38209</v>
      </c>
      <c r="B179" s="69">
        <f ca="1">IFERROR(__xludf.DUMMYFUNCTION("""COMPUTED_VALUE"""),44627)</f>
        <v>44627</v>
      </c>
      <c r="C179" s="69" t="str">
        <f ca="1">IFERROR(__xludf.DUMMYFUNCTION("""COMPUTED_VALUE"""),"Stock")</f>
        <v>Stock</v>
      </c>
      <c r="D179" s="71" t="str">
        <f ca="1">IFERROR(__xludf.DUMMYFUNCTION("""COMPUTED_VALUE"""),"9988.Hk")</f>
        <v>9988.Hk</v>
      </c>
      <c r="E179" s="5" t="str">
        <f ca="1">IFERROR(__xludf.DUMMYFUNCTION("""COMPUTED_VALUE"""),"HKD")</f>
        <v>HKD</v>
      </c>
      <c r="F179" s="55">
        <f ca="1">IFERROR(__xludf.DUMMYFUNCTION("""COMPUTED_VALUE"""),100)</f>
        <v>100</v>
      </c>
      <c r="G179" s="56">
        <f ca="1">IFERROR(__xludf.DUMMYFUNCTION("""COMPUTED_VALUE"""),1)</f>
        <v>1</v>
      </c>
      <c r="H179" s="57">
        <f ca="1">IFERROR(__xludf.DUMMYFUNCTION("""COMPUTED_VALUE"""),96)</f>
        <v>96</v>
      </c>
      <c r="I179" s="57">
        <f ca="1">IFERROR(__xludf.DUMMYFUNCTION("""COMPUTED_VALUE"""),117.6)</f>
        <v>117.6</v>
      </c>
      <c r="J179" s="70" t="str">
        <f ca="1">IFERROR(__xludf.DUMMYFUNCTION("""COMPUTED_VALUE"""),"Goto link: 9988.Hk")</f>
        <v>Goto link: 9988.Hk</v>
      </c>
      <c r="K179" s="19"/>
      <c r="L179" s="19"/>
      <c r="M179" s="19"/>
      <c r="N179" s="19"/>
      <c r="O179" s="59"/>
      <c r="P179" s="7"/>
      <c r="Q179" s="55"/>
      <c r="R179" s="55"/>
      <c r="S179" s="7"/>
      <c r="T179" s="55"/>
      <c r="U179" s="7"/>
      <c r="V179" s="55"/>
      <c r="W179" s="60"/>
      <c r="X179" s="55"/>
    </row>
    <row r="180" spans="1:24" ht="13" x14ac:dyDescent="0.15">
      <c r="A180" s="25" t="str">
        <f ca="1">IFERROR(__xludf.DUMMYFUNCTION("""COMPUTED_VALUE"""),"38209")</f>
        <v>38209</v>
      </c>
      <c r="B180" s="69">
        <f ca="1">IFERROR(__xludf.DUMMYFUNCTION("""COMPUTED_VALUE"""),44629)</f>
        <v>44629</v>
      </c>
      <c r="C180" s="69" t="str">
        <f ca="1">IFERROR(__xludf.DUMMYFUNCTION("""COMPUTED_VALUE"""),"Stock")</f>
        <v>Stock</v>
      </c>
      <c r="D180" s="71" t="str">
        <f ca="1">IFERROR(__xludf.DUMMYFUNCTION("""COMPUTED_VALUE"""),"1024.HK")</f>
        <v>1024.HK</v>
      </c>
      <c r="E180" s="5" t="str">
        <f ca="1">IFERROR(__xludf.DUMMYFUNCTION("""COMPUTED_VALUE"""),"HKD")</f>
        <v>HKD</v>
      </c>
      <c r="F180" s="55">
        <f ca="1">IFERROR(__xludf.DUMMYFUNCTION("""COMPUTED_VALUE"""),400)</f>
        <v>400</v>
      </c>
      <c r="G180" s="56">
        <f ca="1">IFERROR(__xludf.DUMMYFUNCTION("""COMPUTED_VALUE"""),1)</f>
        <v>1</v>
      </c>
      <c r="H180" s="57">
        <f ca="1">IFERROR(__xludf.DUMMYFUNCTION("""COMPUTED_VALUE"""),71.95)</f>
        <v>71.95</v>
      </c>
      <c r="I180" s="57">
        <f ca="1">IFERROR(__xludf.DUMMYFUNCTION("""COMPUTED_VALUE"""),80.2)</f>
        <v>80.2</v>
      </c>
      <c r="J180" s="70" t="str">
        <f ca="1">IFERROR(__xludf.DUMMYFUNCTION("""COMPUTED_VALUE"""),"Goto link: 1024.HK")</f>
        <v>Goto link: 1024.HK</v>
      </c>
      <c r="K180" s="19"/>
      <c r="L180" s="19"/>
      <c r="M180" s="19"/>
      <c r="N180" s="19"/>
      <c r="O180" s="59"/>
      <c r="P180" s="7"/>
      <c r="Q180" s="55"/>
      <c r="R180" s="55"/>
      <c r="S180" s="7"/>
      <c r="T180" s="55"/>
      <c r="U180" s="7"/>
      <c r="V180" s="55"/>
      <c r="W180" s="60"/>
      <c r="X180" s="55"/>
    </row>
    <row r="181" spans="1:24" ht="13" x14ac:dyDescent="0.15">
      <c r="A181" s="25" t="str">
        <f ca="1">IFERROR(__xludf.DUMMYFUNCTION("""COMPUTED_VALUE"""),"38209")</f>
        <v>38209</v>
      </c>
      <c r="B181" s="69">
        <f ca="1">IFERROR(__xludf.DUMMYFUNCTION("""COMPUTED_VALUE"""),44629)</f>
        <v>44629</v>
      </c>
      <c r="C181" s="69" t="str">
        <f ca="1">IFERROR(__xludf.DUMMYFUNCTION("""COMPUTED_VALUE"""),"Stock")</f>
        <v>Stock</v>
      </c>
      <c r="D181" s="71" t="str">
        <f ca="1">IFERROR(__xludf.DUMMYFUNCTION("""COMPUTED_VALUE"""),"1810.HK")</f>
        <v>1810.HK</v>
      </c>
      <c r="E181" s="5" t="str">
        <f ca="1">IFERROR(__xludf.DUMMYFUNCTION("""COMPUTED_VALUE"""),"HKD")</f>
        <v>HKD</v>
      </c>
      <c r="F181" s="55">
        <f ca="1">IFERROR(__xludf.DUMMYFUNCTION("""COMPUTED_VALUE"""),0)</f>
        <v>0</v>
      </c>
      <c r="G181" s="56">
        <f ca="1">IFERROR(__xludf.DUMMYFUNCTION("""COMPUTED_VALUE"""),1)</f>
        <v>1</v>
      </c>
      <c r="H181" s="57">
        <f ca="1">IFERROR(__xludf.DUMMYFUNCTION("""COMPUTED_VALUE"""),0)</f>
        <v>0</v>
      </c>
      <c r="I181" s="57">
        <f ca="1">IFERROR(__xludf.DUMMYFUNCTION("""COMPUTED_VALUE"""),14.78)</f>
        <v>14.78</v>
      </c>
      <c r="J181" s="70" t="str">
        <f ca="1">IFERROR(__xludf.DUMMYFUNCTION("""COMPUTED_VALUE"""),"Goto link: 1810.HK")</f>
        <v>Goto link: 1810.HK</v>
      </c>
      <c r="K181" s="19"/>
      <c r="L181" s="19"/>
      <c r="M181" s="19"/>
      <c r="N181" s="19"/>
      <c r="O181" s="59"/>
      <c r="P181" s="7"/>
      <c r="Q181" s="55"/>
      <c r="R181" s="55"/>
      <c r="S181" s="7"/>
      <c r="T181" s="55"/>
      <c r="U181" s="7"/>
      <c r="V181" s="55"/>
      <c r="W181" s="60"/>
      <c r="X181" s="55"/>
    </row>
    <row r="182" spans="1:24" ht="13" x14ac:dyDescent="0.15">
      <c r="A182" s="25" t="str">
        <f ca="1">IFERROR(__xludf.DUMMYFUNCTION("""COMPUTED_VALUE"""),"38209")</f>
        <v>38209</v>
      </c>
      <c r="B182" s="69">
        <f ca="1">IFERROR(__xludf.DUMMYFUNCTION("""COMPUTED_VALUE"""),44629)</f>
        <v>44629</v>
      </c>
      <c r="C182" s="69" t="str">
        <f ca="1">IFERROR(__xludf.DUMMYFUNCTION("""COMPUTED_VALUE"""),"Stock")</f>
        <v>Stock</v>
      </c>
      <c r="D182" s="71" t="str">
        <f ca="1">IFERROR(__xludf.DUMMYFUNCTION("""COMPUTED_VALUE"""),"6680.HK")</f>
        <v>6680.HK</v>
      </c>
      <c r="E182" s="5" t="str">
        <f ca="1">IFERROR(__xludf.DUMMYFUNCTION("""COMPUTED_VALUE"""),"HKD")</f>
        <v>HKD</v>
      </c>
      <c r="F182" s="55">
        <f ca="1">IFERROR(__xludf.DUMMYFUNCTION("""COMPUTED_VALUE"""),1000)</f>
        <v>1000</v>
      </c>
      <c r="G182" s="56">
        <f ca="1">IFERROR(__xludf.DUMMYFUNCTION("""COMPUTED_VALUE"""),1)</f>
        <v>1</v>
      </c>
      <c r="H182" s="57">
        <f ca="1">IFERROR(__xludf.DUMMYFUNCTION("""COMPUTED_VALUE"""),26.65)</f>
        <v>26.65</v>
      </c>
      <c r="I182" s="57">
        <f ca="1">IFERROR(__xludf.DUMMYFUNCTION("""COMPUTED_VALUE"""),25.55)</f>
        <v>25.55</v>
      </c>
      <c r="J182" s="70" t="str">
        <f ca="1">IFERROR(__xludf.DUMMYFUNCTION("""COMPUTED_VALUE"""),"Goto link: 6680.HK")</f>
        <v>Goto link: 6680.HK</v>
      </c>
      <c r="K182" s="19"/>
      <c r="L182" s="19"/>
      <c r="M182" s="19"/>
      <c r="N182" s="19"/>
      <c r="O182" s="59"/>
      <c r="P182" s="7"/>
      <c r="Q182" s="55"/>
      <c r="R182" s="55"/>
      <c r="S182" s="7"/>
      <c r="T182" s="55"/>
      <c r="U182" s="7"/>
      <c r="V182" s="55"/>
      <c r="W182" s="60"/>
      <c r="X182" s="55"/>
    </row>
    <row r="183" spans="1:24" ht="13" x14ac:dyDescent="0.15">
      <c r="A183" s="25" t="str">
        <f ca="1">IFERROR(__xludf.DUMMYFUNCTION("""COMPUTED_VALUE"""),"38209")</f>
        <v>38209</v>
      </c>
      <c r="B183" s="69">
        <f ca="1">IFERROR(__xludf.DUMMYFUNCTION("""COMPUTED_VALUE"""),44629)</f>
        <v>44629</v>
      </c>
      <c r="C183" s="69" t="str">
        <f ca="1">IFERROR(__xludf.DUMMYFUNCTION("""COMPUTED_VALUE"""),"Stock")</f>
        <v>Stock</v>
      </c>
      <c r="D183" s="71" t="str">
        <f ca="1">IFERROR(__xludf.DUMMYFUNCTION("""COMPUTED_VALUE"""),"9988.HK")</f>
        <v>9988.HK</v>
      </c>
      <c r="E183" s="5" t="str">
        <f ca="1">IFERROR(__xludf.DUMMYFUNCTION("""COMPUTED_VALUE"""),"HKD")</f>
        <v>HKD</v>
      </c>
      <c r="F183" s="55">
        <f ca="1">IFERROR(__xludf.DUMMYFUNCTION("""COMPUTED_VALUE"""),300)</f>
        <v>300</v>
      </c>
      <c r="G183" s="56">
        <f ca="1">IFERROR(__xludf.DUMMYFUNCTION("""COMPUTED_VALUE"""),1)</f>
        <v>1</v>
      </c>
      <c r="H183" s="57">
        <f ca="1">IFERROR(__xludf.DUMMYFUNCTION("""COMPUTED_VALUE"""),96.25)</f>
        <v>96.25</v>
      </c>
      <c r="I183" s="57">
        <f ca="1">IFERROR(__xludf.DUMMYFUNCTION("""COMPUTED_VALUE"""),117.6)</f>
        <v>117.6</v>
      </c>
      <c r="J183" s="70" t="str">
        <f ca="1">IFERROR(__xludf.DUMMYFUNCTION("""COMPUTED_VALUE"""),"Goto link: 9988.HK")</f>
        <v>Goto link: 9988.HK</v>
      </c>
      <c r="K183" s="19"/>
      <c r="L183" s="19"/>
      <c r="M183" s="19"/>
      <c r="N183" s="19"/>
      <c r="O183" s="59"/>
      <c r="P183" s="7"/>
      <c r="Q183" s="55"/>
      <c r="R183" s="55"/>
      <c r="S183" s="7"/>
      <c r="T183" s="55"/>
      <c r="U183" s="7"/>
      <c r="V183" s="55"/>
      <c r="W183" s="60"/>
      <c r="X183" s="55"/>
    </row>
    <row r="184" spans="1:24" ht="13" x14ac:dyDescent="0.15">
      <c r="A184" s="25" t="str">
        <f ca="1">IFERROR(__xludf.DUMMYFUNCTION("""COMPUTED_VALUE"""),"38209")</f>
        <v>38209</v>
      </c>
      <c r="B184" s="69">
        <f ca="1">IFERROR(__xludf.DUMMYFUNCTION("""COMPUTED_VALUE"""),44630)</f>
        <v>44630</v>
      </c>
      <c r="C184" s="69" t="str">
        <f ca="1">IFERROR(__xludf.DUMMYFUNCTION("""COMPUTED_VALUE"""),"Stock")</f>
        <v>Stock</v>
      </c>
      <c r="D184" s="71" t="str">
        <f ca="1">IFERROR(__xludf.DUMMYFUNCTION("""COMPUTED_VALUE"""),"1024.HK")</f>
        <v>1024.HK</v>
      </c>
      <c r="E184" s="5" t="str">
        <f ca="1">IFERROR(__xludf.DUMMYFUNCTION("""COMPUTED_VALUE"""),"HKD")</f>
        <v>HKD</v>
      </c>
      <c r="F184" s="55">
        <f ca="1">IFERROR(__xludf.DUMMYFUNCTION("""COMPUTED_VALUE"""),0)</f>
        <v>0</v>
      </c>
      <c r="G184" s="56">
        <f ca="1">IFERROR(__xludf.DUMMYFUNCTION("""COMPUTED_VALUE"""),1)</f>
        <v>1</v>
      </c>
      <c r="H184" s="57">
        <f ca="1">IFERROR(__xludf.DUMMYFUNCTION("""COMPUTED_VALUE"""),0)</f>
        <v>0</v>
      </c>
      <c r="I184" s="57">
        <f ca="1">IFERROR(__xludf.DUMMYFUNCTION("""COMPUTED_VALUE"""),80.2)</f>
        <v>80.2</v>
      </c>
      <c r="J184" s="70" t="str">
        <f ca="1">IFERROR(__xludf.DUMMYFUNCTION("""COMPUTED_VALUE"""),"Goto link: 1024.HK")</f>
        <v>Goto link: 1024.HK</v>
      </c>
      <c r="K184" s="19"/>
      <c r="L184" s="19"/>
      <c r="M184" s="19"/>
      <c r="N184" s="19"/>
      <c r="O184" s="59"/>
      <c r="P184" s="7"/>
      <c r="Q184" s="55"/>
      <c r="R184" s="55"/>
      <c r="S184" s="7"/>
      <c r="T184" s="55"/>
      <c r="U184" s="7"/>
      <c r="V184" s="55"/>
      <c r="W184" s="60"/>
      <c r="X184" s="55"/>
    </row>
    <row r="185" spans="1:24" ht="13" x14ac:dyDescent="0.15">
      <c r="A185" s="25" t="str">
        <f ca="1">IFERROR(__xludf.DUMMYFUNCTION("""COMPUTED_VALUE"""),"38209")</f>
        <v>38209</v>
      </c>
      <c r="B185" s="69">
        <f ca="1">IFERROR(__xludf.DUMMYFUNCTION("""COMPUTED_VALUE"""),44630)</f>
        <v>44630</v>
      </c>
      <c r="C185" s="69" t="str">
        <f ca="1">IFERROR(__xludf.DUMMYFUNCTION("""COMPUTED_VALUE"""),"Stock")</f>
        <v>Stock</v>
      </c>
      <c r="D185" s="71" t="str">
        <f ca="1">IFERROR(__xludf.DUMMYFUNCTION("""COMPUTED_VALUE"""),"1024.HK")</f>
        <v>1024.HK</v>
      </c>
      <c r="E185" s="5" t="str">
        <f ca="1">IFERROR(__xludf.DUMMYFUNCTION("""COMPUTED_VALUE"""),"HKD")</f>
        <v>HKD</v>
      </c>
      <c r="F185" s="55">
        <f ca="1">IFERROR(__xludf.DUMMYFUNCTION("""COMPUTED_VALUE"""),800)</f>
        <v>800</v>
      </c>
      <c r="G185" s="56">
        <f ca="1">IFERROR(__xludf.DUMMYFUNCTION("""COMPUTED_VALUE"""),1)</f>
        <v>1</v>
      </c>
      <c r="H185" s="57">
        <f ca="1">IFERROR(__xludf.DUMMYFUNCTION("""COMPUTED_VALUE"""),73.9)</f>
        <v>73.900000000000006</v>
      </c>
      <c r="I185" s="57">
        <f ca="1">IFERROR(__xludf.DUMMYFUNCTION("""COMPUTED_VALUE"""),80.2)</f>
        <v>80.2</v>
      </c>
      <c r="J185" s="70" t="str">
        <f ca="1">IFERROR(__xludf.DUMMYFUNCTION("""COMPUTED_VALUE"""),"Goto link: 1024.HK")</f>
        <v>Goto link: 1024.HK</v>
      </c>
      <c r="K185" s="19"/>
      <c r="L185" s="19"/>
      <c r="M185" s="19"/>
      <c r="N185" s="19"/>
      <c r="O185" s="59"/>
      <c r="P185" s="7"/>
      <c r="Q185" s="55"/>
      <c r="R185" s="55"/>
      <c r="S185" s="7"/>
      <c r="T185" s="55"/>
      <c r="U185" s="7"/>
      <c r="V185" s="55"/>
      <c r="W185" s="60"/>
      <c r="X185" s="55"/>
    </row>
    <row r="186" spans="1:24" ht="13" x14ac:dyDescent="0.15">
      <c r="A186" s="25" t="str">
        <f ca="1">IFERROR(__xludf.DUMMYFUNCTION("""COMPUTED_VALUE"""),"38209")</f>
        <v>38209</v>
      </c>
      <c r="B186" s="69">
        <f ca="1">IFERROR(__xludf.DUMMYFUNCTION("""COMPUTED_VALUE"""),44630)</f>
        <v>44630</v>
      </c>
      <c r="C186" s="69" t="str">
        <f ca="1">IFERROR(__xludf.DUMMYFUNCTION("""COMPUTED_VALUE"""),"Stock")</f>
        <v>Stock</v>
      </c>
      <c r="D186" s="71" t="str">
        <f ca="1">IFERROR(__xludf.DUMMYFUNCTION("""COMPUTED_VALUE"""),"6680.HK")</f>
        <v>6680.HK</v>
      </c>
      <c r="E186" s="5" t="str">
        <f ca="1">IFERROR(__xludf.DUMMYFUNCTION("""COMPUTED_VALUE"""),"HKD")</f>
        <v>HKD</v>
      </c>
      <c r="F186" s="55">
        <f ca="1">IFERROR(__xludf.DUMMYFUNCTION("""COMPUTED_VALUE"""),0)</f>
        <v>0</v>
      </c>
      <c r="G186" s="56">
        <f ca="1">IFERROR(__xludf.DUMMYFUNCTION("""COMPUTED_VALUE"""),1)</f>
        <v>1</v>
      </c>
      <c r="H186" s="57">
        <f ca="1">IFERROR(__xludf.DUMMYFUNCTION("""COMPUTED_VALUE"""),0)</f>
        <v>0</v>
      </c>
      <c r="I186" s="57">
        <f ca="1">IFERROR(__xludf.DUMMYFUNCTION("""COMPUTED_VALUE"""),25.55)</f>
        <v>25.55</v>
      </c>
      <c r="J186" s="70" t="str">
        <f ca="1">IFERROR(__xludf.DUMMYFUNCTION("""COMPUTED_VALUE"""),"Goto link: 6680.HK")</f>
        <v>Goto link: 6680.HK</v>
      </c>
      <c r="K186" s="19"/>
      <c r="L186" s="19"/>
      <c r="M186" s="19"/>
      <c r="N186" s="19"/>
      <c r="O186" s="59"/>
      <c r="P186" s="7"/>
      <c r="Q186" s="55"/>
      <c r="R186" s="55"/>
      <c r="S186" s="7"/>
      <c r="T186" s="55"/>
      <c r="U186" s="7"/>
      <c r="V186" s="55"/>
      <c r="W186" s="60"/>
      <c r="X186" s="55"/>
    </row>
    <row r="187" spans="1:24" ht="13" x14ac:dyDescent="0.15">
      <c r="A187" s="25" t="str">
        <f ca="1">IFERROR(__xludf.DUMMYFUNCTION("""COMPUTED_VALUE"""),"38209")</f>
        <v>38209</v>
      </c>
      <c r="B187" s="69">
        <f ca="1">IFERROR(__xludf.DUMMYFUNCTION("""COMPUTED_VALUE"""),44630)</f>
        <v>44630</v>
      </c>
      <c r="C187" s="69" t="str">
        <f ca="1">IFERROR(__xludf.DUMMYFUNCTION("""COMPUTED_VALUE"""),"Stock")</f>
        <v>Stock</v>
      </c>
      <c r="D187" s="71" t="str">
        <f ca="1">IFERROR(__xludf.DUMMYFUNCTION("""COMPUTED_VALUE"""),"9988.HK")</f>
        <v>9988.HK</v>
      </c>
      <c r="E187" s="5" t="str">
        <f ca="1">IFERROR(__xludf.DUMMYFUNCTION("""COMPUTED_VALUE"""),"HKD")</f>
        <v>HKD</v>
      </c>
      <c r="F187" s="55">
        <f ca="1">IFERROR(__xludf.DUMMYFUNCTION("""COMPUTED_VALUE"""),0)</f>
        <v>0</v>
      </c>
      <c r="G187" s="56">
        <f ca="1">IFERROR(__xludf.DUMMYFUNCTION("""COMPUTED_VALUE"""),1)</f>
        <v>1</v>
      </c>
      <c r="H187" s="57">
        <f ca="1">IFERROR(__xludf.DUMMYFUNCTION("""COMPUTED_VALUE"""),0)</f>
        <v>0</v>
      </c>
      <c r="I187" s="57">
        <f ca="1">IFERROR(__xludf.DUMMYFUNCTION("""COMPUTED_VALUE"""),117.6)</f>
        <v>117.6</v>
      </c>
      <c r="J187" s="70" t="str">
        <f ca="1">IFERROR(__xludf.DUMMYFUNCTION("""COMPUTED_VALUE"""),"Goto link: 9988.HK")</f>
        <v>Goto link: 9988.HK</v>
      </c>
      <c r="K187" s="19"/>
      <c r="L187" s="19"/>
      <c r="M187" s="19"/>
      <c r="N187" s="19"/>
      <c r="O187" s="59"/>
      <c r="P187" s="7"/>
      <c r="Q187" s="55"/>
      <c r="R187" s="55"/>
      <c r="S187" s="7"/>
      <c r="T187" s="55"/>
      <c r="U187" s="7"/>
      <c r="V187" s="55"/>
      <c r="W187" s="60"/>
      <c r="X187" s="55"/>
    </row>
    <row r="188" spans="1:24" ht="13" x14ac:dyDescent="0.15">
      <c r="A188" s="25" t="str">
        <f ca="1">IFERROR(__xludf.DUMMYFUNCTION("""COMPUTED_VALUE"""),"38209")</f>
        <v>38209</v>
      </c>
      <c r="B188" s="69">
        <f ca="1">IFERROR(__xludf.DUMMYFUNCTION("""COMPUTED_VALUE"""),44634)</f>
        <v>44634</v>
      </c>
      <c r="C188" s="69" t="str">
        <f ca="1">IFERROR(__xludf.DUMMYFUNCTION("""COMPUTED_VALUE"""),"Stock")</f>
        <v>Stock</v>
      </c>
      <c r="D188" s="71" t="str">
        <f ca="1">IFERROR(__xludf.DUMMYFUNCTION("""COMPUTED_VALUE"""),"1024.HK")</f>
        <v>1024.HK</v>
      </c>
      <c r="E188" s="5" t="str">
        <f ca="1">IFERROR(__xludf.DUMMYFUNCTION("""COMPUTED_VALUE"""),"HKD")</f>
        <v>HKD</v>
      </c>
      <c r="F188" s="55">
        <f ca="1">IFERROR(__xludf.DUMMYFUNCTION("""COMPUTED_VALUE"""),-1600)</f>
        <v>-1600</v>
      </c>
      <c r="G188" s="56">
        <f ca="1">IFERROR(__xludf.DUMMYFUNCTION("""COMPUTED_VALUE"""),1)</f>
        <v>1</v>
      </c>
      <c r="H188" s="57">
        <f ca="1">IFERROR(__xludf.DUMMYFUNCTION("""COMPUTED_VALUE"""),60.2)</f>
        <v>60.2</v>
      </c>
      <c r="I188" s="57">
        <f ca="1">IFERROR(__xludf.DUMMYFUNCTION("""COMPUTED_VALUE"""),80.2)</f>
        <v>80.2</v>
      </c>
      <c r="J188" s="70" t="str">
        <f ca="1">IFERROR(__xludf.DUMMYFUNCTION("""COMPUTED_VALUE"""),"Goto link: 1024.HK")</f>
        <v>Goto link: 1024.HK</v>
      </c>
      <c r="K188" s="19"/>
      <c r="L188" s="19"/>
      <c r="M188" s="19"/>
      <c r="N188" s="19"/>
      <c r="O188" s="59"/>
      <c r="P188" s="7"/>
      <c r="Q188" s="55"/>
      <c r="R188" s="55"/>
      <c r="S188" s="7"/>
      <c r="T188" s="55"/>
      <c r="U188" s="7"/>
      <c r="V188" s="55"/>
      <c r="W188" s="60"/>
      <c r="X188" s="55"/>
    </row>
    <row r="189" spans="1:24" ht="13" x14ac:dyDescent="0.15">
      <c r="A189" s="25" t="str">
        <f ca="1">IFERROR(__xludf.DUMMYFUNCTION("""COMPUTED_VALUE"""),"38209")</f>
        <v>38209</v>
      </c>
      <c r="B189" s="69">
        <f ca="1">IFERROR(__xludf.DUMMYFUNCTION("""COMPUTED_VALUE"""),44634)</f>
        <v>44634</v>
      </c>
      <c r="C189" s="69" t="str">
        <f ca="1">IFERROR(__xludf.DUMMYFUNCTION("""COMPUTED_VALUE"""),"Stock")</f>
        <v>Stock</v>
      </c>
      <c r="D189" s="71" t="str">
        <f ca="1">IFERROR(__xludf.DUMMYFUNCTION("""COMPUTED_VALUE"""),"9988.HK")</f>
        <v>9988.HK</v>
      </c>
      <c r="E189" s="5" t="str">
        <f ca="1">IFERROR(__xludf.DUMMYFUNCTION("""COMPUTED_VALUE"""),"HKD")</f>
        <v>HKD</v>
      </c>
      <c r="F189" s="55">
        <f ca="1">IFERROR(__xludf.DUMMYFUNCTION("""COMPUTED_VALUE"""),-600)</f>
        <v>-600</v>
      </c>
      <c r="G189" s="56">
        <f ca="1">IFERROR(__xludf.DUMMYFUNCTION("""COMPUTED_VALUE"""),1)</f>
        <v>1</v>
      </c>
      <c r="H189" s="57">
        <f ca="1">IFERROR(__xludf.DUMMYFUNCTION("""COMPUTED_VALUE"""),80.9)</f>
        <v>80.900000000000006</v>
      </c>
      <c r="I189" s="57">
        <f ca="1">IFERROR(__xludf.DUMMYFUNCTION("""COMPUTED_VALUE"""),117.6)</f>
        <v>117.6</v>
      </c>
      <c r="J189" s="70" t="str">
        <f ca="1">IFERROR(__xludf.DUMMYFUNCTION("""COMPUTED_VALUE"""),"Goto link: 9988.HK")</f>
        <v>Goto link: 9988.HK</v>
      </c>
      <c r="K189" s="19"/>
      <c r="L189" s="19"/>
      <c r="M189" s="19"/>
      <c r="N189" s="19"/>
      <c r="O189" s="59"/>
      <c r="P189" s="7"/>
      <c r="Q189" s="55"/>
      <c r="R189" s="55"/>
      <c r="S189" s="7"/>
      <c r="T189" s="55"/>
      <c r="U189" s="7"/>
      <c r="V189" s="55"/>
      <c r="W189" s="60"/>
      <c r="X189" s="55"/>
    </row>
    <row r="190" spans="1:24" ht="13" x14ac:dyDescent="0.15">
      <c r="A190" s="25" t="str">
        <f ca="1">IFERROR(__xludf.DUMMYFUNCTION("""COMPUTED_VALUE"""),"38209")</f>
        <v>38209</v>
      </c>
      <c r="B190" s="69">
        <f ca="1">IFERROR(__xludf.DUMMYFUNCTION("""COMPUTED_VALUE"""),44635)</f>
        <v>44635</v>
      </c>
      <c r="C190" s="69" t="str">
        <f ca="1">IFERROR(__xludf.DUMMYFUNCTION("""COMPUTED_VALUE"""),"Stock")</f>
        <v>Stock</v>
      </c>
      <c r="D190" s="71" t="str">
        <f ca="1">IFERROR(__xludf.DUMMYFUNCTION("""COMPUTED_VALUE"""),"600519.SS")</f>
        <v>600519.SS</v>
      </c>
      <c r="E190" s="5" t="str">
        <f ca="1">IFERROR(__xludf.DUMMYFUNCTION("""COMPUTED_VALUE"""),"CNY")</f>
        <v>CNY</v>
      </c>
      <c r="F190" s="55">
        <f ca="1">IFERROR(__xludf.DUMMYFUNCTION("""COMPUTED_VALUE"""),100)</f>
        <v>100</v>
      </c>
      <c r="G190" s="56">
        <f ca="1">IFERROR(__xludf.DUMMYFUNCTION("""COMPUTED_VALUE"""),1.23044399999999)</f>
        <v>1.2304439999999901</v>
      </c>
      <c r="H190" s="57">
        <f ca="1">IFERROR(__xludf.DUMMYFUNCTION("""COMPUTED_VALUE"""),1603)</f>
        <v>1603</v>
      </c>
      <c r="I190" s="57">
        <f ca="1">IFERROR(__xludf.DUMMYFUNCTION("""COMPUTED_VALUE"""),1752.19)</f>
        <v>1752.19</v>
      </c>
      <c r="J190" s="70" t="str">
        <f ca="1">IFERROR(__xludf.DUMMYFUNCTION("""COMPUTED_VALUE"""),"Goto link: 600519.SS")</f>
        <v>Goto link: 600519.SS</v>
      </c>
      <c r="K190" s="19"/>
      <c r="L190" s="19"/>
      <c r="M190" s="19"/>
      <c r="N190" s="19"/>
      <c r="O190" s="59"/>
      <c r="P190" s="7"/>
      <c r="Q190" s="55"/>
      <c r="R190" s="55"/>
      <c r="S190" s="7"/>
      <c r="T190" s="55"/>
      <c r="U190" s="7"/>
      <c r="V190" s="55"/>
      <c r="W190" s="60"/>
      <c r="X190" s="55"/>
    </row>
    <row r="191" spans="1:24" ht="13" x14ac:dyDescent="0.15">
      <c r="A191" s="25" t="str">
        <f ca="1">IFERROR(__xludf.DUMMYFUNCTION("""COMPUTED_VALUE"""),"38209")</f>
        <v>38209</v>
      </c>
      <c r="B191" s="69">
        <f ca="1">IFERROR(__xludf.DUMMYFUNCTION("""COMPUTED_VALUE"""),44635)</f>
        <v>44635</v>
      </c>
      <c r="C191" s="69" t="str">
        <f ca="1">IFERROR(__xludf.DUMMYFUNCTION("""COMPUTED_VALUE"""),"Stock")</f>
        <v>Stock</v>
      </c>
      <c r="D191" s="71" t="str">
        <f ca="1">IFERROR(__xludf.DUMMYFUNCTION("""COMPUTED_VALUE"""),"6862.HK")</f>
        <v>6862.HK</v>
      </c>
      <c r="E191" s="5" t="str">
        <f ca="1">IFERROR(__xludf.DUMMYFUNCTION("""COMPUTED_VALUE"""),"HKD")</f>
        <v>HKD</v>
      </c>
      <c r="F191" s="55">
        <f ca="1">IFERROR(__xludf.DUMMYFUNCTION("""COMPUTED_VALUE"""),2500)</f>
        <v>2500</v>
      </c>
      <c r="G191" s="56">
        <f ca="1">IFERROR(__xludf.DUMMYFUNCTION("""COMPUTED_VALUE"""),1)</f>
        <v>1</v>
      </c>
      <c r="H191" s="57">
        <f ca="1">IFERROR(__xludf.DUMMYFUNCTION("""COMPUTED_VALUE"""),10.08)</f>
        <v>10.08</v>
      </c>
      <c r="I191" s="57">
        <f ca="1">IFERROR(__xludf.DUMMYFUNCTION("""COMPUTED_VALUE"""),13.24)</f>
        <v>13.24</v>
      </c>
      <c r="J191" s="70" t="str">
        <f ca="1">IFERROR(__xludf.DUMMYFUNCTION("""COMPUTED_VALUE"""),"Goto link: 6862.HK")</f>
        <v>Goto link: 6862.HK</v>
      </c>
      <c r="K191" s="19"/>
      <c r="L191" s="19"/>
      <c r="M191" s="19"/>
      <c r="N191" s="19"/>
      <c r="O191" s="59"/>
      <c r="P191" s="7"/>
      <c r="Q191" s="55"/>
      <c r="R191" s="55"/>
      <c r="S191" s="7"/>
      <c r="T191" s="55"/>
      <c r="U191" s="7"/>
      <c r="V191" s="55"/>
      <c r="W191" s="60"/>
      <c r="X191" s="55"/>
    </row>
    <row r="192" spans="1:24" ht="13" x14ac:dyDescent="0.15">
      <c r="A192" s="25" t="str">
        <f ca="1">IFERROR(__xludf.DUMMYFUNCTION("""COMPUTED_VALUE"""),"38209")</f>
        <v>38209</v>
      </c>
      <c r="B192" s="69">
        <f ca="1">IFERROR(__xludf.DUMMYFUNCTION("""COMPUTED_VALUE"""),44635)</f>
        <v>44635</v>
      </c>
      <c r="C192" s="69" t="str">
        <f ca="1">IFERROR(__xludf.DUMMYFUNCTION("""COMPUTED_VALUE"""),"Stock")</f>
        <v>Stock</v>
      </c>
      <c r="D192" s="71" t="str">
        <f ca="1">IFERROR(__xludf.DUMMYFUNCTION("""COMPUTED_VALUE"""),"9988.HK")</f>
        <v>9988.HK</v>
      </c>
      <c r="E192" s="5" t="str">
        <f ca="1">IFERROR(__xludf.DUMMYFUNCTION("""COMPUTED_VALUE"""),"HKD")</f>
        <v>HKD</v>
      </c>
      <c r="F192" s="55">
        <f ca="1">IFERROR(__xludf.DUMMYFUNCTION("""COMPUTED_VALUE"""),1000)</f>
        <v>1000</v>
      </c>
      <c r="G192" s="56">
        <f ca="1">IFERROR(__xludf.DUMMYFUNCTION("""COMPUTED_VALUE"""),1)</f>
        <v>1</v>
      </c>
      <c r="H192" s="57">
        <f ca="1">IFERROR(__xludf.DUMMYFUNCTION("""COMPUTED_VALUE"""),71.25)</f>
        <v>71.25</v>
      </c>
      <c r="I192" s="57">
        <f ca="1">IFERROR(__xludf.DUMMYFUNCTION("""COMPUTED_VALUE"""),117.6)</f>
        <v>117.6</v>
      </c>
      <c r="J192" s="70" t="str">
        <f ca="1">IFERROR(__xludf.DUMMYFUNCTION("""COMPUTED_VALUE"""),"Goto link: 9988.HK")</f>
        <v>Goto link: 9988.HK</v>
      </c>
      <c r="K192" s="19"/>
      <c r="L192" s="19"/>
      <c r="M192" s="19"/>
      <c r="N192" s="19"/>
      <c r="O192" s="59"/>
      <c r="P192" s="7"/>
      <c r="Q192" s="55"/>
      <c r="R192" s="55"/>
      <c r="S192" s="7"/>
      <c r="T192" s="55"/>
      <c r="U192" s="7"/>
      <c r="V192" s="55"/>
      <c r="W192" s="60"/>
      <c r="X192" s="55"/>
    </row>
    <row r="193" spans="1:24" ht="13" x14ac:dyDescent="0.15">
      <c r="A193" s="25" t="str">
        <f ca="1">IFERROR(__xludf.DUMMYFUNCTION("""COMPUTED_VALUE"""),"38209")</f>
        <v>38209</v>
      </c>
      <c r="B193" s="69">
        <f ca="1">IFERROR(__xludf.DUMMYFUNCTION("""COMPUTED_VALUE"""),44635)</f>
        <v>44635</v>
      </c>
      <c r="C193" s="69" t="str">
        <f ca="1">IFERROR(__xludf.DUMMYFUNCTION("""COMPUTED_VALUE"""),"Stock")</f>
        <v>Stock</v>
      </c>
      <c r="D193" s="5" t="str">
        <f ca="1">IFERROR(__xludf.DUMMYFUNCTION("""COMPUTED_VALUE"""),"XLV")</f>
        <v>XLV</v>
      </c>
      <c r="E193" s="5" t="str">
        <f ca="1">IFERROR(__xludf.DUMMYFUNCTION("""COMPUTED_VALUE"""),"USD")</f>
        <v>USD</v>
      </c>
      <c r="F193" s="55">
        <f ca="1">IFERROR(__xludf.DUMMYFUNCTION("""COMPUTED_VALUE"""),200)</f>
        <v>200</v>
      </c>
      <c r="G193" s="56">
        <f ca="1">IFERROR(__xludf.DUMMYFUNCTION("""COMPUTED_VALUE"""),7.823749375)</f>
        <v>7.8237493750000002</v>
      </c>
      <c r="H193" s="57">
        <f ca="1">IFERROR(__xludf.DUMMYFUNCTION("""COMPUTED_VALUE"""),132.44)</f>
        <v>132.44</v>
      </c>
      <c r="I193" s="57">
        <f ca="1">IFERROR(__xludf.DUMMYFUNCTION("""COMPUTED_VALUE"""),134.04)</f>
        <v>134.04</v>
      </c>
      <c r="J193" s="70" t="str">
        <f ca="1">IFERROR(__xludf.DUMMYFUNCTION("""COMPUTED_VALUE"""),"Goto link: XLV")</f>
        <v>Goto link: XLV</v>
      </c>
      <c r="K193" s="19"/>
      <c r="L193" s="19"/>
      <c r="M193" s="19"/>
      <c r="N193" s="19"/>
      <c r="O193" s="59"/>
      <c r="P193" s="7"/>
      <c r="Q193" s="55"/>
      <c r="R193" s="55"/>
      <c r="S193" s="7"/>
      <c r="T193" s="55"/>
      <c r="U193" s="7"/>
      <c r="V193" s="55"/>
      <c r="W193" s="60"/>
      <c r="X193" s="55"/>
    </row>
    <row r="194" spans="1:24" ht="13" x14ac:dyDescent="0.15">
      <c r="A194" s="25" t="str">
        <f ca="1">IFERROR(__xludf.DUMMYFUNCTION("""COMPUTED_VALUE"""),"38209")</f>
        <v>38209</v>
      </c>
      <c r="B194" s="69">
        <f ca="1">IFERROR(__xludf.DUMMYFUNCTION("""COMPUTED_VALUE"""),44636)</f>
        <v>44636</v>
      </c>
      <c r="C194" s="69" t="str">
        <f ca="1">IFERROR(__xludf.DUMMYFUNCTION("""COMPUTED_VALUE"""),"Stock")</f>
        <v>Stock</v>
      </c>
      <c r="D194" s="71" t="str">
        <f ca="1">IFERROR(__xludf.DUMMYFUNCTION("""COMPUTED_VALUE"""),"1810.HK")</f>
        <v>1810.HK</v>
      </c>
      <c r="E194" s="5" t="str">
        <f ca="1">IFERROR(__xludf.DUMMYFUNCTION("""COMPUTED_VALUE"""),"HKD")</f>
        <v>HKD</v>
      </c>
      <c r="F194" s="55">
        <f ca="1">IFERROR(__xludf.DUMMYFUNCTION("""COMPUTED_VALUE"""),3000)</f>
        <v>3000</v>
      </c>
      <c r="G194" s="56">
        <f ca="1">IFERROR(__xludf.DUMMYFUNCTION("""COMPUTED_VALUE"""),1)</f>
        <v>1</v>
      </c>
      <c r="H194" s="57">
        <f ca="1">IFERROR(__xludf.DUMMYFUNCTION("""COMPUTED_VALUE"""),13.4)</f>
        <v>13.4</v>
      </c>
      <c r="I194" s="57">
        <f ca="1">IFERROR(__xludf.DUMMYFUNCTION("""COMPUTED_VALUE"""),14.78)</f>
        <v>14.78</v>
      </c>
      <c r="J194" s="70" t="str">
        <f ca="1">IFERROR(__xludf.DUMMYFUNCTION("""COMPUTED_VALUE"""),"Goto link: 1810.HK")</f>
        <v>Goto link: 1810.HK</v>
      </c>
      <c r="K194" s="19"/>
      <c r="L194" s="19"/>
      <c r="M194" s="19"/>
      <c r="N194" s="19"/>
      <c r="O194" s="59"/>
      <c r="P194" s="7"/>
      <c r="Q194" s="55"/>
      <c r="R194" s="55"/>
      <c r="S194" s="7"/>
      <c r="T194" s="55"/>
      <c r="U194" s="7"/>
      <c r="V194" s="55"/>
      <c r="W194" s="60"/>
      <c r="X194" s="55"/>
    </row>
    <row r="195" spans="1:24" ht="13" x14ac:dyDescent="0.15">
      <c r="A195" s="25" t="str">
        <f ca="1">IFERROR(__xludf.DUMMYFUNCTION("""COMPUTED_VALUE"""),"38209")</f>
        <v>38209</v>
      </c>
      <c r="B195" s="69">
        <f ca="1">IFERROR(__xludf.DUMMYFUNCTION("""COMPUTED_VALUE"""),44637)</f>
        <v>44637</v>
      </c>
      <c r="C195" s="69" t="str">
        <f ca="1">IFERROR(__xludf.DUMMYFUNCTION("""COMPUTED_VALUE"""),"Stock")</f>
        <v>Stock</v>
      </c>
      <c r="D195" s="71" t="str">
        <f ca="1">IFERROR(__xludf.DUMMYFUNCTION("""COMPUTED_VALUE"""),"9988.HK")</f>
        <v>9988.HK</v>
      </c>
      <c r="E195" s="5" t="str">
        <f ca="1">IFERROR(__xludf.DUMMYFUNCTION("""COMPUTED_VALUE"""),"HKD")</f>
        <v>HKD</v>
      </c>
      <c r="F195" s="55">
        <f ca="1">IFERROR(__xludf.DUMMYFUNCTION("""COMPUTED_VALUE"""),-1000)</f>
        <v>-1000</v>
      </c>
      <c r="G195" s="56">
        <f ca="1">IFERROR(__xludf.DUMMYFUNCTION("""COMPUTED_VALUE"""),1)</f>
        <v>1</v>
      </c>
      <c r="H195" s="57">
        <f ca="1">IFERROR(__xludf.DUMMYFUNCTION("""COMPUTED_VALUE"""),102)</f>
        <v>102</v>
      </c>
      <c r="I195" s="57">
        <f ca="1">IFERROR(__xludf.DUMMYFUNCTION("""COMPUTED_VALUE"""),117.6)</f>
        <v>117.6</v>
      </c>
      <c r="J195" s="70" t="str">
        <f ca="1">IFERROR(__xludf.DUMMYFUNCTION("""COMPUTED_VALUE"""),"Goto link: 9988.HK")</f>
        <v>Goto link: 9988.HK</v>
      </c>
      <c r="K195" s="19"/>
      <c r="L195" s="19"/>
      <c r="M195" s="19"/>
      <c r="N195" s="19"/>
      <c r="O195" s="59"/>
      <c r="P195" s="7"/>
      <c r="Q195" s="55"/>
      <c r="R195" s="55"/>
      <c r="S195" s="7"/>
      <c r="T195" s="55"/>
      <c r="U195" s="7"/>
      <c r="V195" s="55"/>
      <c r="W195" s="60"/>
      <c r="X195" s="55"/>
    </row>
    <row r="196" spans="1:24" ht="13" x14ac:dyDescent="0.15">
      <c r="A196" s="25" t="str">
        <f ca="1">IFERROR(__xludf.DUMMYFUNCTION("""COMPUTED_VALUE"""),"38209")</f>
        <v>38209</v>
      </c>
      <c r="B196" s="69">
        <f ca="1">IFERROR(__xludf.DUMMYFUNCTION("""COMPUTED_VALUE"""),44638)</f>
        <v>44638</v>
      </c>
      <c r="C196" s="69" t="str">
        <f ca="1">IFERROR(__xludf.DUMMYFUNCTION("""COMPUTED_VALUE"""),"Stock")</f>
        <v>Stock</v>
      </c>
      <c r="D196" s="71" t="str">
        <f ca="1">IFERROR(__xludf.DUMMYFUNCTION("""COMPUTED_VALUE"""),"600519.SS")</f>
        <v>600519.SS</v>
      </c>
      <c r="E196" s="5" t="str">
        <f ca="1">IFERROR(__xludf.DUMMYFUNCTION("""COMPUTED_VALUE"""),"CNY")</f>
        <v>CNY</v>
      </c>
      <c r="F196" s="55">
        <f ca="1">IFERROR(__xludf.DUMMYFUNCTION("""COMPUTED_VALUE"""),-100)</f>
        <v>-100</v>
      </c>
      <c r="G196" s="56">
        <f ca="1">IFERROR(__xludf.DUMMYFUNCTION("""COMPUTED_VALUE"""),1.2304204)</f>
        <v>1.2304204000000001</v>
      </c>
      <c r="H196" s="57">
        <f ca="1">IFERROR(__xludf.DUMMYFUNCTION("""COMPUTED_VALUE"""),1707.79)</f>
        <v>1707.79</v>
      </c>
      <c r="I196" s="57">
        <f ca="1">IFERROR(__xludf.DUMMYFUNCTION("""COMPUTED_VALUE"""),1752.19)</f>
        <v>1752.19</v>
      </c>
      <c r="J196" s="70" t="str">
        <f ca="1">IFERROR(__xludf.DUMMYFUNCTION("""COMPUTED_VALUE"""),"Goto link: 600519.SS")</f>
        <v>Goto link: 600519.SS</v>
      </c>
      <c r="K196" s="19"/>
      <c r="L196" s="19"/>
      <c r="M196" s="19"/>
      <c r="N196" s="19"/>
      <c r="O196" s="59"/>
      <c r="P196" s="7"/>
      <c r="Q196" s="55"/>
      <c r="R196" s="55"/>
      <c r="S196" s="7"/>
      <c r="T196" s="55"/>
      <c r="U196" s="7"/>
      <c r="V196" s="55"/>
      <c r="W196" s="60"/>
      <c r="X196" s="55"/>
    </row>
    <row r="197" spans="1:24" ht="13" x14ac:dyDescent="0.15">
      <c r="A197" s="25" t="str">
        <f ca="1">IFERROR(__xludf.DUMMYFUNCTION("""COMPUTED_VALUE"""),"38209")</f>
        <v>38209</v>
      </c>
      <c r="B197" s="69">
        <f ca="1">IFERROR(__xludf.DUMMYFUNCTION("""COMPUTED_VALUE"""),44638)</f>
        <v>44638</v>
      </c>
      <c r="C197" s="69" t="str">
        <f ca="1">IFERROR(__xludf.DUMMYFUNCTION("""COMPUTED_VALUE"""),"Stock")</f>
        <v>Stock</v>
      </c>
      <c r="D197" s="5" t="str">
        <f ca="1">IFERROR(__xludf.DUMMYFUNCTION("""COMPUTED_VALUE"""),"XLV")</f>
        <v>XLV</v>
      </c>
      <c r="E197" s="5" t="str">
        <f ca="1">IFERROR(__xludf.DUMMYFUNCTION("""COMPUTED_VALUE"""),"USD")</f>
        <v>USD</v>
      </c>
      <c r="F197" s="55">
        <f ca="1">IFERROR(__xludf.DUMMYFUNCTION("""COMPUTED_VALUE"""),-200)</f>
        <v>-200</v>
      </c>
      <c r="G197" s="56">
        <f ca="1">IFERROR(__xludf.DUMMYFUNCTION("""COMPUTED_VALUE"""),7.825109)</f>
        <v>7.8251090000000003</v>
      </c>
      <c r="H197" s="57">
        <f ca="1">IFERROR(__xludf.DUMMYFUNCTION("""COMPUTED_VALUE"""),136.99)</f>
        <v>136.99</v>
      </c>
      <c r="I197" s="57">
        <f ca="1">IFERROR(__xludf.DUMMYFUNCTION("""COMPUTED_VALUE"""),134.04)</f>
        <v>134.04</v>
      </c>
      <c r="J197" s="70" t="str">
        <f ca="1">IFERROR(__xludf.DUMMYFUNCTION("""COMPUTED_VALUE"""),"Goto link: XLV")</f>
        <v>Goto link: XLV</v>
      </c>
      <c r="K197" s="19"/>
      <c r="L197" s="19"/>
      <c r="M197" s="19"/>
      <c r="N197" s="19"/>
      <c r="O197" s="59"/>
      <c r="P197" s="7"/>
      <c r="Q197" s="55"/>
      <c r="R197" s="55"/>
      <c r="S197" s="7"/>
      <c r="T197" s="55"/>
      <c r="U197" s="7"/>
      <c r="V197" s="55"/>
      <c r="W197" s="60"/>
      <c r="X197" s="55"/>
    </row>
    <row r="198" spans="1:24" ht="13" x14ac:dyDescent="0.15">
      <c r="A198" s="25" t="str">
        <f ca="1">IFERROR(__xludf.DUMMYFUNCTION("""COMPUTED_VALUE"""),"38209 Total")</f>
        <v>38209 Total</v>
      </c>
      <c r="B198" s="5"/>
      <c r="C198" s="69"/>
      <c r="D198" s="5"/>
      <c r="E198" s="5"/>
      <c r="F198" s="55"/>
      <c r="G198" s="56">
        <f ca="1">IFERROR(__xludf.DUMMYFUNCTION("""COMPUTED_VALUE"""),1.2426222063492)</f>
        <v>1.2426222063492001</v>
      </c>
      <c r="H198" s="57">
        <f ca="1">IFERROR(__xludf.DUMMYFUNCTION("""COMPUTED_VALUE"""),1707.79)</f>
        <v>1707.79</v>
      </c>
      <c r="I198" s="57" t="str">
        <f ca="1">IFERROR(__xludf.DUMMYFUNCTION("""COMPUTED_VALUE"""),"")</f>
        <v/>
      </c>
      <c r="J198" s="19" t="str">
        <f ca="1">IFERROR(__xludf.DUMMYFUNCTION("""COMPUTED_VALUE"""),"")</f>
        <v/>
      </c>
      <c r="K198" s="19"/>
      <c r="L198" s="19"/>
      <c r="M198" s="19"/>
      <c r="N198" s="19"/>
      <c r="O198" s="59"/>
      <c r="P198" s="7"/>
      <c r="Q198" s="55"/>
      <c r="R198" s="55"/>
      <c r="S198" s="7"/>
      <c r="T198" s="55"/>
      <c r="U198" s="7"/>
      <c r="V198" s="55"/>
      <c r="W198" s="60"/>
      <c r="X198" s="55"/>
    </row>
    <row r="199" spans="1:24" ht="13" x14ac:dyDescent="0.15">
      <c r="A199" s="25" t="str">
        <f ca="1">IFERROR(__xludf.DUMMYFUNCTION("""COMPUTED_VALUE"""),"38302")</f>
        <v>38302</v>
      </c>
      <c r="B199" s="69">
        <f ca="1">IFERROR(__xludf.DUMMYFUNCTION("""COMPUTED_VALUE"""),44597)</f>
        <v>44597</v>
      </c>
      <c r="C199" s="69" t="str">
        <f ca="1">IFERROR(__xludf.DUMMYFUNCTION("""COMPUTED_VALUE"""),"Cash")</f>
        <v>Cash</v>
      </c>
      <c r="D199" s="5" t="str">
        <f ca="1">IFERROR(__xludf.DUMMYFUNCTION("""COMPUTED_VALUE"""),"Cash")</f>
        <v>Cash</v>
      </c>
      <c r="E199" s="5" t="str">
        <f ca="1">IFERROR(__xludf.DUMMYFUNCTION("""COMPUTED_VALUE"""),"HKD")</f>
        <v>HKD</v>
      </c>
      <c r="F199" s="55" t="str">
        <f ca="1">IFERROR(__xludf.DUMMYFUNCTION("""COMPUTED_VALUE"""),"")</f>
        <v/>
      </c>
      <c r="G199" s="56">
        <f ca="1">IFERROR(__xludf.DUMMYFUNCTION("""COMPUTED_VALUE"""),1)</f>
        <v>1</v>
      </c>
      <c r="H199" s="57">
        <f ca="1">IFERROR(__xludf.DUMMYFUNCTION("""COMPUTED_VALUE"""),1)</f>
        <v>1</v>
      </c>
      <c r="I199" s="57">
        <f ca="1">IFERROR(__xludf.DUMMYFUNCTION("""COMPUTED_VALUE"""),1)</f>
        <v>1</v>
      </c>
      <c r="J199" s="19" t="str">
        <f ca="1">IFERROR(__xludf.DUMMYFUNCTION("""COMPUTED_VALUE"""),"")</f>
        <v/>
      </c>
      <c r="K199" s="19"/>
      <c r="L199" s="19"/>
      <c r="M199" s="19"/>
      <c r="N199" s="19"/>
      <c r="O199" s="59"/>
      <c r="P199" s="7"/>
      <c r="Q199" s="55"/>
      <c r="R199" s="55"/>
      <c r="S199" s="7"/>
      <c r="T199" s="55"/>
      <c r="U199" s="7"/>
      <c r="V199" s="55"/>
      <c r="W199" s="60"/>
      <c r="X199" s="55"/>
    </row>
    <row r="200" spans="1:24" ht="13" x14ac:dyDescent="0.15">
      <c r="A200" s="25" t="str">
        <f ca="1">IFERROR(__xludf.DUMMYFUNCTION("""COMPUTED_VALUE"""),"38302 Total")</f>
        <v>38302 Total</v>
      </c>
      <c r="B200" s="5"/>
      <c r="C200" s="69"/>
      <c r="D200" s="5"/>
      <c r="E200" s="5"/>
      <c r="F200" s="55"/>
      <c r="G200" s="56">
        <f ca="1">IFERROR(__xludf.DUMMYFUNCTION("""COMPUTED_VALUE"""),1)</f>
        <v>1</v>
      </c>
      <c r="H200" s="57">
        <f ca="1">IFERROR(__xludf.DUMMYFUNCTION("""COMPUTED_VALUE"""),1)</f>
        <v>1</v>
      </c>
      <c r="I200" s="57" t="str">
        <f ca="1">IFERROR(__xludf.DUMMYFUNCTION("""COMPUTED_VALUE"""),"")</f>
        <v/>
      </c>
      <c r="J200" s="19" t="str">
        <f ca="1">IFERROR(__xludf.DUMMYFUNCTION("""COMPUTED_VALUE"""),"")</f>
        <v/>
      </c>
      <c r="K200" s="19"/>
      <c r="L200" s="19"/>
      <c r="M200" s="19"/>
      <c r="N200" s="19"/>
      <c r="O200" s="59"/>
      <c r="P200" s="7"/>
      <c r="Q200" s="55"/>
      <c r="R200" s="55"/>
      <c r="S200" s="7"/>
      <c r="T200" s="55"/>
      <c r="U200" s="7"/>
      <c r="V200" s="55"/>
      <c r="W200" s="60"/>
      <c r="X200" s="55"/>
    </row>
    <row r="201" spans="1:24" ht="13" x14ac:dyDescent="0.15">
      <c r="A201" s="25" t="str">
        <f ca="1">IFERROR(__xludf.DUMMYFUNCTION("""COMPUTED_VALUE"""),"38307")</f>
        <v>38307</v>
      </c>
      <c r="B201" s="69">
        <f ca="1">IFERROR(__xludf.DUMMYFUNCTION("""COMPUTED_VALUE"""),44597)</f>
        <v>44597</v>
      </c>
      <c r="C201" s="69" t="str">
        <f ca="1">IFERROR(__xludf.DUMMYFUNCTION("""COMPUTED_VALUE"""),"Cash")</f>
        <v>Cash</v>
      </c>
      <c r="D201" s="5" t="str">
        <f ca="1">IFERROR(__xludf.DUMMYFUNCTION("""COMPUTED_VALUE"""),"Cash")</f>
        <v>Cash</v>
      </c>
      <c r="E201" s="5" t="str">
        <f ca="1">IFERROR(__xludf.DUMMYFUNCTION("""COMPUTED_VALUE"""),"HKD")</f>
        <v>HKD</v>
      </c>
      <c r="F201" s="55" t="str">
        <f ca="1">IFERROR(__xludf.DUMMYFUNCTION("""COMPUTED_VALUE"""),"")</f>
        <v/>
      </c>
      <c r="G201" s="56">
        <f ca="1">IFERROR(__xludf.DUMMYFUNCTION("""COMPUTED_VALUE"""),1)</f>
        <v>1</v>
      </c>
      <c r="H201" s="57">
        <f ca="1">IFERROR(__xludf.DUMMYFUNCTION("""COMPUTED_VALUE"""),1)</f>
        <v>1</v>
      </c>
      <c r="I201" s="57">
        <f ca="1">IFERROR(__xludf.DUMMYFUNCTION("""COMPUTED_VALUE"""),1)</f>
        <v>1</v>
      </c>
      <c r="J201" s="19" t="str">
        <f ca="1">IFERROR(__xludf.DUMMYFUNCTION("""COMPUTED_VALUE"""),"")</f>
        <v/>
      </c>
      <c r="K201" s="19"/>
      <c r="L201" s="19"/>
      <c r="M201" s="19"/>
      <c r="N201" s="19"/>
      <c r="O201" s="59"/>
      <c r="P201" s="7"/>
      <c r="Q201" s="55"/>
      <c r="R201" s="55"/>
      <c r="S201" s="7"/>
      <c r="T201" s="55"/>
      <c r="U201" s="7"/>
      <c r="V201" s="55"/>
      <c r="W201" s="60"/>
      <c r="X201" s="55"/>
    </row>
    <row r="202" spans="1:24" ht="13" x14ac:dyDescent="0.15">
      <c r="A202" s="25" t="str">
        <f ca="1">IFERROR(__xludf.DUMMYFUNCTION("""COMPUTED_VALUE"""),"38307")</f>
        <v>38307</v>
      </c>
      <c r="B202" s="69">
        <f ca="1">IFERROR(__xludf.DUMMYFUNCTION("""COMPUTED_VALUE"""),44634)</f>
        <v>44634</v>
      </c>
      <c r="C202" s="69" t="str">
        <f ca="1">IFERROR(__xludf.DUMMYFUNCTION("""COMPUTED_VALUE"""),"Stock")</f>
        <v>Stock</v>
      </c>
      <c r="D202" s="5" t="str">
        <f ca="1">IFERROR(__xludf.DUMMYFUNCTION("""COMPUTED_VALUE"""),"NVAX")</f>
        <v>NVAX</v>
      </c>
      <c r="E202" s="5" t="str">
        <f ca="1">IFERROR(__xludf.DUMMYFUNCTION("""COMPUTED_VALUE"""),"USD")</f>
        <v>USD</v>
      </c>
      <c r="F202" s="55">
        <f ca="1">IFERROR(__xludf.DUMMYFUNCTION("""COMPUTED_VALUE"""),300)</f>
        <v>300</v>
      </c>
      <c r="G202" s="56">
        <f ca="1">IFERROR(__xludf.DUMMYFUNCTION("""COMPUTED_VALUE"""),7.82436055555555)</f>
        <v>7.8243605555555504</v>
      </c>
      <c r="H202" s="57">
        <f ca="1">IFERROR(__xludf.DUMMYFUNCTION("""COMPUTED_VALUE"""),71.93)</f>
        <v>71.930000000000007</v>
      </c>
      <c r="I202" s="57">
        <f ca="1">IFERROR(__xludf.DUMMYFUNCTION("""COMPUTED_VALUE"""),80.18)</f>
        <v>80.180000000000007</v>
      </c>
      <c r="J202" s="70" t="str">
        <f ca="1">IFERROR(__xludf.DUMMYFUNCTION("""COMPUTED_VALUE"""),"Goto link: NVAX")</f>
        <v>Goto link: NVAX</v>
      </c>
      <c r="K202" s="19"/>
      <c r="L202" s="19"/>
      <c r="M202" s="19"/>
      <c r="N202" s="19"/>
      <c r="O202" s="59"/>
      <c r="P202" s="7"/>
      <c r="Q202" s="55"/>
      <c r="R202" s="55"/>
      <c r="S202" s="7"/>
      <c r="T202" s="55"/>
      <c r="U202" s="7"/>
      <c r="V202" s="55"/>
      <c r="W202" s="60"/>
      <c r="X202" s="55"/>
    </row>
    <row r="203" spans="1:24" ht="13" x14ac:dyDescent="0.15">
      <c r="A203" s="25" t="str">
        <f ca="1">IFERROR(__xludf.DUMMYFUNCTION("""COMPUTED_VALUE"""),"38307")</f>
        <v>38307</v>
      </c>
      <c r="B203" s="69">
        <f ca="1">IFERROR(__xludf.DUMMYFUNCTION("""COMPUTED_VALUE"""),44634)</f>
        <v>44634</v>
      </c>
      <c r="C203" s="69" t="str">
        <f ca="1">IFERROR(__xludf.DUMMYFUNCTION("""COMPUTED_VALUE"""),"Stock")</f>
        <v>Stock</v>
      </c>
      <c r="D203" s="5" t="str">
        <f ca="1">IFERROR(__xludf.DUMMYFUNCTION("""COMPUTED_VALUE"""),"PFE")</f>
        <v>PFE</v>
      </c>
      <c r="E203" s="5" t="str">
        <f ca="1">IFERROR(__xludf.DUMMYFUNCTION("""COMPUTED_VALUE"""),"USD")</f>
        <v>USD</v>
      </c>
      <c r="F203" s="55">
        <f ca="1">IFERROR(__xludf.DUMMYFUNCTION("""COMPUTED_VALUE"""),500)</f>
        <v>500</v>
      </c>
      <c r="G203" s="56">
        <f ca="1">IFERROR(__xludf.DUMMYFUNCTION("""COMPUTED_VALUE"""),7.82436055555555)</f>
        <v>7.8243605555555504</v>
      </c>
      <c r="H203" s="57">
        <f ca="1">IFERROR(__xludf.DUMMYFUNCTION("""COMPUTED_VALUE"""),52.25)</f>
        <v>52.25</v>
      </c>
      <c r="I203" s="57">
        <f ca="1">IFERROR(__xludf.DUMMYFUNCTION("""COMPUTED_VALUE"""),52.19)</f>
        <v>52.19</v>
      </c>
      <c r="J203" s="70" t="str">
        <f ca="1">IFERROR(__xludf.DUMMYFUNCTION("""COMPUTED_VALUE"""),"Goto link: PFE")</f>
        <v>Goto link: PFE</v>
      </c>
      <c r="K203" s="19"/>
      <c r="L203" s="19"/>
      <c r="M203" s="19"/>
      <c r="N203" s="19"/>
      <c r="O203" s="59"/>
      <c r="P203" s="7"/>
      <c r="Q203" s="55"/>
      <c r="R203" s="55"/>
      <c r="S203" s="7"/>
      <c r="T203" s="55"/>
      <c r="U203" s="7"/>
      <c r="V203" s="55"/>
      <c r="W203" s="60"/>
      <c r="X203" s="55"/>
    </row>
    <row r="204" spans="1:24" ht="13" x14ac:dyDescent="0.15">
      <c r="A204" s="25" t="str">
        <f ca="1">IFERROR(__xludf.DUMMYFUNCTION("""COMPUTED_VALUE"""),"38307")</f>
        <v>38307</v>
      </c>
      <c r="B204" s="69">
        <f ca="1">IFERROR(__xludf.DUMMYFUNCTION("""COMPUTED_VALUE"""),44635)</f>
        <v>44635</v>
      </c>
      <c r="C204" s="69" t="str">
        <f ca="1">IFERROR(__xludf.DUMMYFUNCTION("""COMPUTED_VALUE"""),"Stock")</f>
        <v>Stock</v>
      </c>
      <c r="D204" s="71" t="str">
        <f ca="1">IFERROR(__xludf.DUMMYFUNCTION("""COMPUTED_VALUE"""),"603392.SS")</f>
        <v>603392.SS</v>
      </c>
      <c r="E204" s="5" t="str">
        <f ca="1">IFERROR(__xludf.DUMMYFUNCTION("""COMPUTED_VALUE"""),"CNY")</f>
        <v>CNY</v>
      </c>
      <c r="F204" s="55" t="str">
        <f ca="1">IFERROR(__xludf.DUMMYFUNCTION("""COMPUTED_VALUE"""),"")</f>
        <v/>
      </c>
      <c r="G204" s="56">
        <f ca="1">IFERROR(__xludf.DUMMYFUNCTION("""COMPUTED_VALUE"""),1.23044399999999)</f>
        <v>1.2304439999999901</v>
      </c>
      <c r="H204" s="57">
        <f ca="1">IFERROR(__xludf.DUMMYFUNCTION("""COMPUTED_VALUE"""),246)</f>
        <v>246</v>
      </c>
      <c r="I204" s="57">
        <f ca="1">IFERROR(__xludf.DUMMYFUNCTION("""COMPUTED_VALUE"""),271.97)</f>
        <v>271.97000000000003</v>
      </c>
      <c r="J204" s="70" t="str">
        <f ca="1">IFERROR(__xludf.DUMMYFUNCTION("""COMPUTED_VALUE"""),"Goto link: 603392.SS")</f>
        <v>Goto link: 603392.SS</v>
      </c>
      <c r="K204" s="19"/>
      <c r="L204" s="19"/>
      <c r="M204" s="19"/>
      <c r="N204" s="19"/>
      <c r="O204" s="59"/>
      <c r="P204" s="7"/>
      <c r="Q204" s="55"/>
      <c r="R204" s="55"/>
      <c r="S204" s="7"/>
      <c r="T204" s="55"/>
      <c r="U204" s="7"/>
      <c r="V204" s="55"/>
      <c r="W204" s="60"/>
      <c r="X204" s="55"/>
    </row>
    <row r="205" spans="1:24" ht="13" x14ac:dyDescent="0.15">
      <c r="A205" s="25" t="str">
        <f ca="1">IFERROR(__xludf.DUMMYFUNCTION("""COMPUTED_VALUE"""),"38307")</f>
        <v>38307</v>
      </c>
      <c r="B205" s="69">
        <f ca="1">IFERROR(__xludf.DUMMYFUNCTION("""COMPUTED_VALUE"""),44635)</f>
        <v>44635</v>
      </c>
      <c r="C205" s="69" t="str">
        <f ca="1">IFERROR(__xludf.DUMMYFUNCTION("""COMPUTED_VALUE"""),"Stock")</f>
        <v>Stock</v>
      </c>
      <c r="D205" s="71" t="str">
        <f ca="1">IFERROR(__xludf.DUMMYFUNCTION("""COMPUTED_VALUE"""),"603939.SS")</f>
        <v>603939.SS</v>
      </c>
      <c r="E205" s="5" t="str">
        <f ca="1">IFERROR(__xludf.DUMMYFUNCTION("""COMPUTED_VALUE"""),"CNY")</f>
        <v>CNY</v>
      </c>
      <c r="F205" s="55">
        <f ca="1">IFERROR(__xludf.DUMMYFUNCTION("""COMPUTED_VALUE"""),700)</f>
        <v>700</v>
      </c>
      <c r="G205" s="56">
        <f ca="1">IFERROR(__xludf.DUMMYFUNCTION("""COMPUTED_VALUE"""),1.23044399999999)</f>
        <v>1.2304439999999901</v>
      </c>
      <c r="H205" s="57">
        <f ca="1">IFERROR(__xludf.DUMMYFUNCTION("""COMPUTED_VALUE"""),42.46)</f>
        <v>42.46</v>
      </c>
      <c r="I205" s="57">
        <f ca="1">IFERROR(__xludf.DUMMYFUNCTION("""COMPUTED_VALUE"""),41.45)</f>
        <v>41.45</v>
      </c>
      <c r="J205" s="70" t="str">
        <f ca="1">IFERROR(__xludf.DUMMYFUNCTION("""COMPUTED_VALUE"""),"Goto link: 603939.SS")</f>
        <v>Goto link: 603939.SS</v>
      </c>
      <c r="K205" s="19"/>
      <c r="L205" s="19"/>
      <c r="M205" s="19"/>
      <c r="N205" s="19"/>
      <c r="O205" s="59"/>
      <c r="P205" s="7"/>
      <c r="Q205" s="55"/>
      <c r="R205" s="55"/>
      <c r="S205" s="7"/>
      <c r="T205" s="55"/>
      <c r="U205" s="7"/>
      <c r="V205" s="55"/>
      <c r="W205" s="60"/>
      <c r="X205" s="55"/>
    </row>
    <row r="206" spans="1:24" ht="13" x14ac:dyDescent="0.15">
      <c r="A206" s="25" t="str">
        <f ca="1">IFERROR(__xludf.DUMMYFUNCTION("""COMPUTED_VALUE"""),"38307 Total")</f>
        <v>38307 Total</v>
      </c>
      <c r="B206" s="5"/>
      <c r="C206" s="69"/>
      <c r="D206" s="5"/>
      <c r="E206" s="5"/>
      <c r="F206" s="55"/>
      <c r="G206" s="56">
        <f ca="1">IFERROR(__xludf.DUMMYFUNCTION("""COMPUTED_VALUE"""),3.11173976404494)</f>
        <v>3.1117397640449398</v>
      </c>
      <c r="H206" s="57">
        <f ca="1">IFERROR(__xludf.DUMMYFUNCTION("""COMPUTED_VALUE"""),246)</f>
        <v>246</v>
      </c>
      <c r="I206" s="57" t="str">
        <f ca="1">IFERROR(__xludf.DUMMYFUNCTION("""COMPUTED_VALUE"""),"")</f>
        <v/>
      </c>
      <c r="J206" s="19" t="str">
        <f ca="1">IFERROR(__xludf.DUMMYFUNCTION("""COMPUTED_VALUE"""),"")</f>
        <v/>
      </c>
      <c r="K206" s="19"/>
      <c r="L206" s="19"/>
      <c r="M206" s="19"/>
      <c r="N206" s="19"/>
      <c r="O206" s="59"/>
      <c r="P206" s="7"/>
      <c r="Q206" s="55"/>
      <c r="R206" s="55"/>
      <c r="S206" s="7"/>
      <c r="T206" s="55"/>
      <c r="U206" s="7"/>
      <c r="V206" s="55"/>
      <c r="W206" s="60"/>
      <c r="X206" s="55"/>
    </row>
    <row r="207" spans="1:24" ht="13" x14ac:dyDescent="0.15">
      <c r="A207" s="25" t="str">
        <f ca="1">IFERROR(__xludf.DUMMYFUNCTION("""COMPUTED_VALUE"""),"38369")</f>
        <v>38369</v>
      </c>
      <c r="B207" s="69">
        <f ca="1">IFERROR(__xludf.DUMMYFUNCTION("""COMPUTED_VALUE"""),44597)</f>
        <v>44597</v>
      </c>
      <c r="C207" s="69" t="str">
        <f ca="1">IFERROR(__xludf.DUMMYFUNCTION("""COMPUTED_VALUE"""),"Cash")</f>
        <v>Cash</v>
      </c>
      <c r="D207" s="5" t="str">
        <f ca="1">IFERROR(__xludf.DUMMYFUNCTION("""COMPUTED_VALUE"""),"Cash")</f>
        <v>Cash</v>
      </c>
      <c r="E207" s="5" t="str">
        <f ca="1">IFERROR(__xludf.DUMMYFUNCTION("""COMPUTED_VALUE"""),"HKD")</f>
        <v>HKD</v>
      </c>
      <c r="F207" s="55" t="str">
        <f ca="1">IFERROR(__xludf.DUMMYFUNCTION("""COMPUTED_VALUE"""),"")</f>
        <v/>
      </c>
      <c r="G207" s="56">
        <f ca="1">IFERROR(__xludf.DUMMYFUNCTION("""COMPUTED_VALUE"""),1)</f>
        <v>1</v>
      </c>
      <c r="H207" s="57">
        <f ca="1">IFERROR(__xludf.DUMMYFUNCTION("""COMPUTED_VALUE"""),1)</f>
        <v>1</v>
      </c>
      <c r="I207" s="57">
        <f ca="1">IFERROR(__xludf.DUMMYFUNCTION("""COMPUTED_VALUE"""),1)</f>
        <v>1</v>
      </c>
      <c r="J207" s="19" t="str">
        <f ca="1">IFERROR(__xludf.DUMMYFUNCTION("""COMPUTED_VALUE"""),"")</f>
        <v/>
      </c>
      <c r="K207" s="19"/>
      <c r="L207" s="19"/>
      <c r="M207" s="19"/>
      <c r="N207" s="19"/>
      <c r="O207" s="59"/>
      <c r="P207" s="7"/>
      <c r="Q207" s="55"/>
      <c r="R207" s="55"/>
      <c r="S207" s="7"/>
      <c r="T207" s="55"/>
      <c r="U207" s="7"/>
      <c r="V207" s="55"/>
      <c r="W207" s="60"/>
      <c r="X207" s="55"/>
    </row>
    <row r="208" spans="1:24" ht="13" x14ac:dyDescent="0.15">
      <c r="A208" s="25" t="str">
        <f ca="1">IFERROR(__xludf.DUMMYFUNCTION("""COMPUTED_VALUE"""),"38369 Total")</f>
        <v>38369 Total</v>
      </c>
      <c r="B208" s="5"/>
      <c r="C208" s="69"/>
      <c r="D208" s="5"/>
      <c r="E208" s="5"/>
      <c r="F208" s="55"/>
      <c r="G208" s="56">
        <f ca="1">IFERROR(__xludf.DUMMYFUNCTION("""COMPUTED_VALUE"""),1)</f>
        <v>1</v>
      </c>
      <c r="H208" s="57">
        <f ca="1">IFERROR(__xludf.DUMMYFUNCTION("""COMPUTED_VALUE"""),1)</f>
        <v>1</v>
      </c>
      <c r="I208" s="57" t="str">
        <f ca="1">IFERROR(__xludf.DUMMYFUNCTION("""COMPUTED_VALUE"""),"")</f>
        <v/>
      </c>
      <c r="J208" s="19" t="str">
        <f ca="1">IFERROR(__xludf.DUMMYFUNCTION("""COMPUTED_VALUE"""),"")</f>
        <v/>
      </c>
      <c r="K208" s="19"/>
      <c r="L208" s="19"/>
      <c r="M208" s="19"/>
      <c r="N208" s="19"/>
      <c r="O208" s="59"/>
      <c r="P208" s="7"/>
      <c r="Q208" s="55"/>
      <c r="R208" s="55"/>
      <c r="S208" s="7"/>
      <c r="T208" s="55"/>
      <c r="U208" s="7"/>
      <c r="V208" s="55"/>
      <c r="W208" s="60"/>
      <c r="X208" s="55"/>
    </row>
    <row r="209" spans="1:24" ht="13" x14ac:dyDescent="0.15">
      <c r="A209" s="25" t="str">
        <f ca="1">IFERROR(__xludf.DUMMYFUNCTION("""COMPUTED_VALUE"""),"38381")</f>
        <v>38381</v>
      </c>
      <c r="B209" s="69">
        <f ca="1">IFERROR(__xludf.DUMMYFUNCTION("""COMPUTED_VALUE"""),44597)</f>
        <v>44597</v>
      </c>
      <c r="C209" s="69" t="str">
        <f ca="1">IFERROR(__xludf.DUMMYFUNCTION("""COMPUTED_VALUE"""),"Cash")</f>
        <v>Cash</v>
      </c>
      <c r="D209" s="5" t="str">
        <f ca="1">IFERROR(__xludf.DUMMYFUNCTION("""COMPUTED_VALUE"""),"Cash")</f>
        <v>Cash</v>
      </c>
      <c r="E209" s="5" t="str">
        <f ca="1">IFERROR(__xludf.DUMMYFUNCTION("""COMPUTED_VALUE"""),"HKD")</f>
        <v>HKD</v>
      </c>
      <c r="F209" s="55" t="str">
        <f ca="1">IFERROR(__xludf.DUMMYFUNCTION("""COMPUTED_VALUE"""),"")</f>
        <v/>
      </c>
      <c r="G209" s="56">
        <f ca="1">IFERROR(__xludf.DUMMYFUNCTION("""COMPUTED_VALUE"""),1)</f>
        <v>1</v>
      </c>
      <c r="H209" s="57">
        <f ca="1">IFERROR(__xludf.DUMMYFUNCTION("""COMPUTED_VALUE"""),1)</f>
        <v>1</v>
      </c>
      <c r="I209" s="57">
        <f ca="1">IFERROR(__xludf.DUMMYFUNCTION("""COMPUTED_VALUE"""),1)</f>
        <v>1</v>
      </c>
      <c r="J209" s="19" t="str">
        <f ca="1">IFERROR(__xludf.DUMMYFUNCTION("""COMPUTED_VALUE"""),"")</f>
        <v/>
      </c>
      <c r="K209" s="19"/>
      <c r="L209" s="19"/>
      <c r="M209" s="19"/>
      <c r="N209" s="19"/>
      <c r="O209" s="59"/>
      <c r="P209" s="7"/>
      <c r="Q209" s="55"/>
      <c r="R209" s="55"/>
      <c r="S209" s="7"/>
      <c r="T209" s="55"/>
      <c r="U209" s="7"/>
      <c r="V209" s="55"/>
      <c r="W209" s="60"/>
      <c r="X209" s="55"/>
    </row>
    <row r="210" spans="1:24" ht="13" x14ac:dyDescent="0.15">
      <c r="A210" s="25" t="str">
        <f ca="1">IFERROR(__xludf.DUMMYFUNCTION("""COMPUTED_VALUE"""),"38381")</f>
        <v>38381</v>
      </c>
      <c r="B210" s="69">
        <f ca="1">IFERROR(__xludf.DUMMYFUNCTION("""COMPUTED_VALUE"""),44636)</f>
        <v>44636</v>
      </c>
      <c r="C210" s="69" t="str">
        <f ca="1">IFERROR(__xludf.DUMMYFUNCTION("""COMPUTED_VALUE"""),"Stock")</f>
        <v>Stock</v>
      </c>
      <c r="D210" s="5" t="str">
        <f ca="1">IFERROR(__xludf.DUMMYFUNCTION("""COMPUTED_VALUE"""),"AAPL")</f>
        <v>AAPL</v>
      </c>
      <c r="E210" s="5" t="str">
        <f ca="1">IFERROR(__xludf.DUMMYFUNCTION("""COMPUTED_VALUE"""),"USD")</f>
        <v>USD</v>
      </c>
      <c r="F210" s="55">
        <f ca="1">IFERROR(__xludf.DUMMYFUNCTION("""COMPUTED_VALUE"""),300)</f>
        <v>300</v>
      </c>
      <c r="G210" s="56">
        <f ca="1">IFERROR(__xludf.DUMMYFUNCTION("""COMPUTED_VALUE"""),7.82329214285714)</f>
        <v>7.8232921428571398</v>
      </c>
      <c r="H210" s="57">
        <f ca="1">IFERROR(__xludf.DUMMYFUNCTION("""COMPUTED_VALUE"""),159.59)</f>
        <v>159.59</v>
      </c>
      <c r="I210" s="57">
        <f ca="1">IFERROR(__xludf.DUMMYFUNCTION("""COMPUTED_VALUE"""),170.21)</f>
        <v>170.21</v>
      </c>
      <c r="J210" s="70" t="str">
        <f ca="1">IFERROR(__xludf.DUMMYFUNCTION("""COMPUTED_VALUE"""),"Goto link: AAPL")</f>
        <v>Goto link: AAPL</v>
      </c>
      <c r="K210" s="19"/>
      <c r="L210" s="19"/>
      <c r="M210" s="19"/>
      <c r="N210" s="19"/>
      <c r="O210" s="59"/>
      <c r="P210" s="7"/>
      <c r="Q210" s="55"/>
      <c r="R210" s="55"/>
      <c r="S210" s="7"/>
      <c r="T210" s="55"/>
      <c r="U210" s="7"/>
      <c r="V210" s="55"/>
      <c r="W210" s="60"/>
      <c r="X210" s="55"/>
    </row>
    <row r="211" spans="1:24" ht="13" x14ac:dyDescent="0.15">
      <c r="A211" s="25" t="str">
        <f ca="1">IFERROR(__xludf.DUMMYFUNCTION("""COMPUTED_VALUE"""),"38381")</f>
        <v>38381</v>
      </c>
      <c r="B211" s="69">
        <f ca="1">IFERROR(__xludf.DUMMYFUNCTION("""COMPUTED_VALUE"""),44636)</f>
        <v>44636</v>
      </c>
      <c r="C211" s="69" t="str">
        <f ca="1">IFERROR(__xludf.DUMMYFUNCTION("""COMPUTED_VALUE"""),"Stock")</f>
        <v>Stock</v>
      </c>
      <c r="D211" s="5" t="str">
        <f ca="1">IFERROR(__xludf.DUMMYFUNCTION("""COMPUTED_VALUE"""),"BZ=F")</f>
        <v>BZ=F</v>
      </c>
      <c r="E211" s="5" t="str">
        <f ca="1">IFERROR(__xludf.DUMMYFUNCTION("""COMPUTED_VALUE"""),"USD")</f>
        <v>USD</v>
      </c>
      <c r="F211" s="55">
        <f ca="1">IFERROR(__xludf.DUMMYFUNCTION("""COMPUTED_VALUE"""),200)</f>
        <v>200</v>
      </c>
      <c r="G211" s="56">
        <f ca="1">IFERROR(__xludf.DUMMYFUNCTION("""COMPUTED_VALUE"""),7.82329214285714)</f>
        <v>7.8232921428571398</v>
      </c>
      <c r="H211" s="57">
        <f ca="1">IFERROR(__xludf.DUMMYFUNCTION("""COMPUTED_VALUE"""),98.51)</f>
        <v>98.51</v>
      </c>
      <c r="I211" s="57">
        <f ca="1">IFERROR(__xludf.DUMMYFUNCTION("""COMPUTED_VALUE"""),122.65)</f>
        <v>122.65</v>
      </c>
      <c r="J211" s="70" t="str">
        <f ca="1">IFERROR(__xludf.DUMMYFUNCTION("""COMPUTED_VALUE"""),"Goto link: BZ=F")</f>
        <v>Goto link: BZ=F</v>
      </c>
      <c r="K211" s="19"/>
      <c r="L211" s="19"/>
      <c r="M211" s="19"/>
      <c r="N211" s="19"/>
      <c r="O211" s="59"/>
      <c r="P211" s="7"/>
      <c r="Q211" s="55"/>
      <c r="R211" s="55"/>
      <c r="S211" s="7"/>
      <c r="T211" s="55"/>
      <c r="U211" s="7"/>
      <c r="V211" s="55"/>
      <c r="W211" s="60"/>
      <c r="X211" s="55"/>
    </row>
    <row r="212" spans="1:24" ht="13" x14ac:dyDescent="0.15">
      <c r="A212" s="25" t="str">
        <f ca="1">IFERROR(__xludf.DUMMYFUNCTION("""COMPUTED_VALUE"""),"38381")</f>
        <v>38381</v>
      </c>
      <c r="B212" s="69">
        <f ca="1">IFERROR(__xludf.DUMMYFUNCTION("""COMPUTED_VALUE"""),44637)</f>
        <v>44637</v>
      </c>
      <c r="C212" s="69" t="str">
        <f ca="1">IFERROR(__xludf.DUMMYFUNCTION("""COMPUTED_VALUE"""),"Stock")</f>
        <v>Stock</v>
      </c>
      <c r="D212" s="71" t="str">
        <f ca="1">IFERROR(__xludf.DUMMYFUNCTION("""COMPUTED_VALUE"""),"3988.HK")</f>
        <v>3988.HK</v>
      </c>
      <c r="E212" s="5" t="str">
        <f ca="1">IFERROR(__xludf.DUMMYFUNCTION("""COMPUTED_VALUE"""),"HKD")</f>
        <v>HKD</v>
      </c>
      <c r="F212" s="55">
        <f ca="1">IFERROR(__xludf.DUMMYFUNCTION("""COMPUTED_VALUE"""),300)</f>
        <v>300</v>
      </c>
      <c r="G212" s="56">
        <f ca="1">IFERROR(__xludf.DUMMYFUNCTION("""COMPUTED_VALUE"""),1)</f>
        <v>1</v>
      </c>
      <c r="H212" s="57">
        <f ca="1">IFERROR(__xludf.DUMMYFUNCTION("""COMPUTED_VALUE"""),2.98)</f>
        <v>2.98</v>
      </c>
      <c r="I212" s="57">
        <f ca="1">IFERROR(__xludf.DUMMYFUNCTION("""COMPUTED_VALUE"""),3)</f>
        <v>3</v>
      </c>
      <c r="J212" s="70" t="str">
        <f ca="1">IFERROR(__xludf.DUMMYFUNCTION("""COMPUTED_VALUE"""),"Goto link: 3988.HK")</f>
        <v>Goto link: 3988.HK</v>
      </c>
      <c r="K212" s="19"/>
      <c r="L212" s="19"/>
      <c r="M212" s="19"/>
      <c r="N212" s="19"/>
      <c r="O212" s="59"/>
      <c r="P212" s="7"/>
      <c r="Q212" s="55"/>
      <c r="R212" s="55"/>
      <c r="S212" s="7"/>
      <c r="T212" s="55"/>
      <c r="U212" s="7"/>
      <c r="V212" s="55"/>
      <c r="W212" s="60"/>
      <c r="X212" s="55"/>
    </row>
    <row r="213" spans="1:24" ht="13" x14ac:dyDescent="0.15">
      <c r="A213" s="25" t="str">
        <f ca="1">IFERROR(__xludf.DUMMYFUNCTION("""COMPUTED_VALUE"""),"38381")</f>
        <v>38381</v>
      </c>
      <c r="B213" s="69">
        <f ca="1">IFERROR(__xludf.DUMMYFUNCTION("""COMPUTED_VALUE"""),44637)</f>
        <v>44637</v>
      </c>
      <c r="C213" s="69" t="str">
        <f ca="1">IFERROR(__xludf.DUMMYFUNCTION("""COMPUTED_VALUE"""),"Stock")</f>
        <v>Stock</v>
      </c>
      <c r="D213" s="5" t="str">
        <f ca="1">IFERROR(__xludf.DUMMYFUNCTION("""COMPUTED_VALUE"""),"JPM")</f>
        <v>JPM</v>
      </c>
      <c r="E213" s="5" t="str">
        <f ca="1">IFERROR(__xludf.DUMMYFUNCTION("""COMPUTED_VALUE"""),"USD")</f>
        <v>USD</v>
      </c>
      <c r="F213" s="55" t="str">
        <f ca="1">IFERROR(__xludf.DUMMYFUNCTION("""COMPUTED_VALUE"""),"")</f>
        <v/>
      </c>
      <c r="G213" s="56">
        <f ca="1">IFERROR(__xludf.DUMMYFUNCTION("""COMPUTED_VALUE"""),7.82374916666666)</f>
        <v>7.8237491666666603</v>
      </c>
      <c r="H213" s="57">
        <f ca="1">IFERROR(__xludf.DUMMYFUNCTION("""COMPUTED_VALUE"""),140.15)</f>
        <v>140.15</v>
      </c>
      <c r="I213" s="57">
        <f ca="1">IFERROR(__xludf.DUMMYFUNCTION("""COMPUTED_VALUE"""),139.78)</f>
        <v>139.78</v>
      </c>
      <c r="J213" s="70" t="str">
        <f ca="1">IFERROR(__xludf.DUMMYFUNCTION("""COMPUTED_VALUE"""),"Goto link: JPM")</f>
        <v>Goto link: JPM</v>
      </c>
      <c r="K213" s="19"/>
      <c r="L213" s="19"/>
      <c r="M213" s="19"/>
      <c r="N213" s="19"/>
      <c r="O213" s="59"/>
      <c r="P213" s="7"/>
      <c r="Q213" s="55"/>
      <c r="R213" s="55"/>
      <c r="S213" s="7"/>
      <c r="T213" s="55"/>
      <c r="U213" s="7"/>
      <c r="V213" s="55"/>
      <c r="W213" s="60"/>
      <c r="X213" s="55"/>
    </row>
    <row r="214" spans="1:24" ht="13" x14ac:dyDescent="0.15">
      <c r="A214" s="25" t="str">
        <f ca="1">IFERROR(__xludf.DUMMYFUNCTION("""COMPUTED_VALUE"""),"38381 Total")</f>
        <v>38381 Total</v>
      </c>
      <c r="B214" s="5"/>
      <c r="C214" s="69"/>
      <c r="D214" s="5"/>
      <c r="E214" s="5"/>
      <c r="F214" s="55"/>
      <c r="G214" s="56">
        <f ca="1">IFERROR(__xludf.DUMMYFUNCTION("""COMPUTED_VALUE"""),2.89539701388888)</f>
        <v>2.8953970138888798</v>
      </c>
      <c r="H214" s="57">
        <f ca="1">IFERROR(__xludf.DUMMYFUNCTION("""COMPUTED_VALUE"""),159.59)</f>
        <v>159.59</v>
      </c>
      <c r="I214" s="57" t="str">
        <f ca="1">IFERROR(__xludf.DUMMYFUNCTION("""COMPUTED_VALUE"""),"")</f>
        <v/>
      </c>
      <c r="J214" s="19" t="str">
        <f ca="1">IFERROR(__xludf.DUMMYFUNCTION("""COMPUTED_VALUE"""),"")</f>
        <v/>
      </c>
      <c r="K214" s="19"/>
      <c r="L214" s="19"/>
      <c r="M214" s="19"/>
      <c r="N214" s="19"/>
      <c r="O214" s="59"/>
      <c r="P214" s="7"/>
      <c r="Q214" s="55"/>
      <c r="R214" s="55"/>
      <c r="S214" s="7"/>
      <c r="T214" s="55"/>
      <c r="U214" s="7"/>
      <c r="V214" s="55"/>
      <c r="W214" s="60"/>
      <c r="X214" s="55"/>
    </row>
    <row r="215" spans="1:24" ht="13" x14ac:dyDescent="0.15">
      <c r="A215" s="25" t="str">
        <f ca="1">IFERROR(__xludf.DUMMYFUNCTION("""COMPUTED_VALUE"""),"38705")</f>
        <v>38705</v>
      </c>
      <c r="B215" s="69">
        <f ca="1">IFERROR(__xludf.DUMMYFUNCTION("""COMPUTED_VALUE"""),44597)</f>
        <v>44597</v>
      </c>
      <c r="C215" s="69" t="str">
        <f ca="1">IFERROR(__xludf.DUMMYFUNCTION("""COMPUTED_VALUE"""),"Cash")</f>
        <v>Cash</v>
      </c>
      <c r="D215" s="5" t="str">
        <f ca="1">IFERROR(__xludf.DUMMYFUNCTION("""COMPUTED_VALUE"""),"Cash")</f>
        <v>Cash</v>
      </c>
      <c r="E215" s="5" t="str">
        <f ca="1">IFERROR(__xludf.DUMMYFUNCTION("""COMPUTED_VALUE"""),"HKD")</f>
        <v>HKD</v>
      </c>
      <c r="F215" s="55" t="str">
        <f ca="1">IFERROR(__xludf.DUMMYFUNCTION("""COMPUTED_VALUE"""),"")</f>
        <v/>
      </c>
      <c r="G215" s="56">
        <f ca="1">IFERROR(__xludf.DUMMYFUNCTION("""COMPUTED_VALUE"""),1)</f>
        <v>1</v>
      </c>
      <c r="H215" s="57">
        <f ca="1">IFERROR(__xludf.DUMMYFUNCTION("""COMPUTED_VALUE"""),1)</f>
        <v>1</v>
      </c>
      <c r="I215" s="57">
        <f ca="1">IFERROR(__xludf.DUMMYFUNCTION("""COMPUTED_VALUE"""),1)</f>
        <v>1</v>
      </c>
      <c r="J215" s="19" t="str">
        <f ca="1">IFERROR(__xludf.DUMMYFUNCTION("""COMPUTED_VALUE"""),"")</f>
        <v/>
      </c>
      <c r="K215" s="19"/>
      <c r="L215" s="19"/>
      <c r="M215" s="19"/>
      <c r="N215" s="19"/>
      <c r="O215" s="59"/>
      <c r="P215" s="7"/>
      <c r="Q215" s="55"/>
      <c r="R215" s="55"/>
      <c r="S215" s="7"/>
      <c r="T215" s="55"/>
      <c r="U215" s="7"/>
      <c r="V215" s="55"/>
      <c r="W215" s="60"/>
      <c r="X215" s="55"/>
    </row>
    <row r="216" spans="1:24" ht="13" x14ac:dyDescent="0.15">
      <c r="A216" s="25" t="str">
        <f ca="1">IFERROR(__xludf.DUMMYFUNCTION("""COMPUTED_VALUE"""),"38705")</f>
        <v>38705</v>
      </c>
      <c r="B216" s="69">
        <f ca="1">IFERROR(__xludf.DUMMYFUNCTION("""COMPUTED_VALUE"""),44641)</f>
        <v>44641</v>
      </c>
      <c r="C216" s="69" t="str">
        <f ca="1">IFERROR(__xludf.DUMMYFUNCTION("""COMPUTED_VALUE"""),"Stock")</f>
        <v>Stock</v>
      </c>
      <c r="D216" s="5" t="str">
        <f ca="1">IFERROR(__xludf.DUMMYFUNCTION("""COMPUTED_VALUE"""),"ANTM")</f>
        <v>ANTM</v>
      </c>
      <c r="E216" s="5" t="str">
        <f ca="1">IFERROR(__xludf.DUMMYFUNCTION("""COMPUTED_VALUE"""),"USD")</f>
        <v>USD</v>
      </c>
      <c r="F216" s="55">
        <f ca="1">IFERROR(__xludf.DUMMYFUNCTION("""COMPUTED_VALUE"""),100)</f>
        <v>100</v>
      </c>
      <c r="G216" s="56">
        <f ca="1">IFERROR(__xludf.DUMMYFUNCTION("""COMPUTED_VALUE"""),7.8262)</f>
        <v>7.8262</v>
      </c>
      <c r="H216" s="57">
        <f ca="1">IFERROR(__xludf.DUMMYFUNCTION("""COMPUTED_VALUE"""),476)</f>
        <v>476</v>
      </c>
      <c r="I216" s="57">
        <f ca="1">IFERROR(__xludf.DUMMYFUNCTION("""COMPUTED_VALUE"""),462.17)</f>
        <v>462.17</v>
      </c>
      <c r="J216" s="70" t="str">
        <f ca="1">IFERROR(__xludf.DUMMYFUNCTION("""COMPUTED_VALUE"""),"Goto link: ANTM")</f>
        <v>Goto link: ANTM</v>
      </c>
      <c r="K216" s="19"/>
      <c r="L216" s="19"/>
      <c r="M216" s="19"/>
      <c r="N216" s="19"/>
      <c r="O216" s="59"/>
      <c r="P216" s="7"/>
      <c r="Q216" s="55"/>
      <c r="R216" s="55"/>
      <c r="S216" s="7"/>
      <c r="T216" s="55"/>
      <c r="U216" s="7"/>
      <c r="V216" s="55"/>
      <c r="W216" s="60"/>
      <c r="X216" s="55"/>
    </row>
    <row r="217" spans="1:24" ht="13" x14ac:dyDescent="0.15">
      <c r="A217" s="25" t="str">
        <f ca="1">IFERROR(__xludf.DUMMYFUNCTION("""COMPUTED_VALUE"""),"38705")</f>
        <v>38705</v>
      </c>
      <c r="B217" s="69">
        <f ca="1">IFERROR(__xludf.DUMMYFUNCTION("""COMPUTED_VALUE"""),44641)</f>
        <v>44641</v>
      </c>
      <c r="C217" s="69" t="str">
        <f ca="1">IFERROR(__xludf.DUMMYFUNCTION("""COMPUTED_VALUE"""),"Stock")</f>
        <v>Stock</v>
      </c>
      <c r="D217" s="5" t="str">
        <f ca="1">IFERROR(__xludf.DUMMYFUNCTION("""COMPUTED_VALUE"""),"NKE")</f>
        <v>NKE</v>
      </c>
      <c r="E217" s="5" t="str">
        <f ca="1">IFERROR(__xludf.DUMMYFUNCTION("""COMPUTED_VALUE"""),"USD")</f>
        <v>USD</v>
      </c>
      <c r="F217" s="55">
        <f ca="1">IFERROR(__xludf.DUMMYFUNCTION("""COMPUTED_VALUE"""),50)</f>
        <v>50</v>
      </c>
      <c r="G217" s="56">
        <f ca="1">IFERROR(__xludf.DUMMYFUNCTION("""COMPUTED_VALUE"""),7.8262)</f>
        <v>7.8262</v>
      </c>
      <c r="H217" s="57">
        <f ca="1">IFERROR(__xludf.DUMMYFUNCTION("""COMPUTED_VALUE"""),130.19)</f>
        <v>130.19</v>
      </c>
      <c r="I217" s="57">
        <f ca="1">IFERROR(__xludf.DUMMYFUNCTION("""COMPUTED_VALUE"""),133)</f>
        <v>133</v>
      </c>
      <c r="J217" s="70" t="str">
        <f ca="1">IFERROR(__xludf.DUMMYFUNCTION("""COMPUTED_VALUE"""),"Goto link: NKE")</f>
        <v>Goto link: NKE</v>
      </c>
      <c r="K217" s="19"/>
      <c r="L217" s="19"/>
      <c r="M217" s="19"/>
      <c r="N217" s="19"/>
      <c r="O217" s="59"/>
      <c r="P217" s="7"/>
      <c r="Q217" s="55"/>
      <c r="R217" s="55"/>
      <c r="S217" s="7"/>
      <c r="T217" s="55"/>
      <c r="U217" s="7"/>
      <c r="V217" s="55"/>
      <c r="W217" s="60"/>
      <c r="X217" s="55"/>
    </row>
    <row r="218" spans="1:24" ht="13" x14ac:dyDescent="0.15">
      <c r="A218" s="25" t="str">
        <f ca="1">IFERROR(__xludf.DUMMYFUNCTION("""COMPUTED_VALUE"""),"38705")</f>
        <v>38705</v>
      </c>
      <c r="B218" s="69">
        <f ca="1">IFERROR(__xludf.DUMMYFUNCTION("""COMPUTED_VALUE"""),44642)</f>
        <v>44642</v>
      </c>
      <c r="C218" s="69" t="str">
        <f ca="1">IFERROR(__xludf.DUMMYFUNCTION("""COMPUTED_VALUE"""),"Stock")</f>
        <v>Stock</v>
      </c>
      <c r="D218" s="5" t="str">
        <f ca="1">IFERROR(__xludf.DUMMYFUNCTION("""COMPUTED_VALUE"""),"NKE")</f>
        <v>NKE</v>
      </c>
      <c r="E218" s="5" t="str">
        <f ca="1">IFERROR(__xludf.DUMMYFUNCTION("""COMPUTED_VALUE"""),"USD")</f>
        <v>USD</v>
      </c>
      <c r="F218" s="55">
        <f ca="1">IFERROR(__xludf.DUMMYFUNCTION("""COMPUTED_VALUE"""),-50)</f>
        <v>-50</v>
      </c>
      <c r="G218" s="56">
        <f ca="1">IFERROR(__xludf.DUMMYFUNCTION("""COMPUTED_VALUE"""),7.82695)</f>
        <v>7.8269500000000001</v>
      </c>
      <c r="H218" s="57">
        <f ca="1">IFERROR(__xludf.DUMMYFUNCTION("""COMPUTED_VALUE"""),133.09)</f>
        <v>133.09</v>
      </c>
      <c r="I218" s="57">
        <f ca="1">IFERROR(__xludf.DUMMYFUNCTION("""COMPUTED_VALUE"""),133)</f>
        <v>133</v>
      </c>
      <c r="J218" s="70" t="str">
        <f ca="1">IFERROR(__xludf.DUMMYFUNCTION("""COMPUTED_VALUE"""),"Goto link: NKE")</f>
        <v>Goto link: NKE</v>
      </c>
      <c r="K218" s="19"/>
      <c r="L218" s="19"/>
      <c r="M218" s="19"/>
      <c r="N218" s="19"/>
      <c r="O218" s="59"/>
      <c r="P218" s="7"/>
      <c r="Q218" s="55"/>
      <c r="R218" s="55"/>
      <c r="S218" s="7"/>
      <c r="T218" s="55"/>
      <c r="U218" s="7"/>
      <c r="V218" s="55"/>
      <c r="W218" s="60"/>
      <c r="X218" s="55"/>
    </row>
    <row r="219" spans="1:24" ht="13" x14ac:dyDescent="0.15">
      <c r="A219" s="25" t="str">
        <f ca="1">IFERROR(__xludf.DUMMYFUNCTION("""COMPUTED_VALUE"""),"38705 Total")</f>
        <v>38705 Total</v>
      </c>
      <c r="B219" s="5"/>
      <c r="C219" s="69"/>
      <c r="D219" s="5"/>
      <c r="E219" s="5"/>
      <c r="F219" s="55"/>
      <c r="G219" s="56">
        <f ca="1">IFERROR(__xludf.DUMMYFUNCTION("""COMPUTED_VALUE"""),1.66925)</f>
        <v>1.6692499999999999</v>
      </c>
      <c r="H219" s="57">
        <f ca="1">IFERROR(__xludf.DUMMYFUNCTION("""COMPUTED_VALUE"""),476)</f>
        <v>476</v>
      </c>
      <c r="I219" s="57" t="str">
        <f ca="1">IFERROR(__xludf.DUMMYFUNCTION("""COMPUTED_VALUE"""),"")</f>
        <v/>
      </c>
      <c r="J219" s="19" t="str">
        <f ca="1">IFERROR(__xludf.DUMMYFUNCTION("""COMPUTED_VALUE"""),"")</f>
        <v/>
      </c>
      <c r="K219" s="19"/>
      <c r="L219" s="19"/>
      <c r="M219" s="19"/>
      <c r="N219" s="19"/>
      <c r="O219" s="59"/>
      <c r="P219" s="7"/>
      <c r="Q219" s="55"/>
      <c r="R219" s="55"/>
      <c r="S219" s="7"/>
      <c r="T219" s="55"/>
      <c r="U219" s="7"/>
      <c r="V219" s="55"/>
      <c r="W219" s="60"/>
      <c r="X219" s="55"/>
    </row>
    <row r="220" spans="1:24" ht="13" x14ac:dyDescent="0.15">
      <c r="A220" s="25" t="str">
        <f ca="1">IFERROR(__xludf.DUMMYFUNCTION("""COMPUTED_VALUE"""),"38758")</f>
        <v>38758</v>
      </c>
      <c r="B220" s="69">
        <f ca="1">IFERROR(__xludf.DUMMYFUNCTION("""COMPUTED_VALUE"""),44597)</f>
        <v>44597</v>
      </c>
      <c r="C220" s="69" t="str">
        <f ca="1">IFERROR(__xludf.DUMMYFUNCTION("""COMPUTED_VALUE"""),"Cash")</f>
        <v>Cash</v>
      </c>
      <c r="D220" s="5" t="str">
        <f ca="1">IFERROR(__xludf.DUMMYFUNCTION("""COMPUTED_VALUE"""),"Cash")</f>
        <v>Cash</v>
      </c>
      <c r="E220" s="5" t="str">
        <f ca="1">IFERROR(__xludf.DUMMYFUNCTION("""COMPUTED_VALUE"""),"HKD")</f>
        <v>HKD</v>
      </c>
      <c r="F220" s="55" t="str">
        <f ca="1">IFERROR(__xludf.DUMMYFUNCTION("""COMPUTED_VALUE"""),"")</f>
        <v/>
      </c>
      <c r="G220" s="56">
        <f ca="1">IFERROR(__xludf.DUMMYFUNCTION("""COMPUTED_VALUE"""),1)</f>
        <v>1</v>
      </c>
      <c r="H220" s="57">
        <f ca="1">IFERROR(__xludf.DUMMYFUNCTION("""COMPUTED_VALUE"""),1)</f>
        <v>1</v>
      </c>
      <c r="I220" s="57">
        <f ca="1">IFERROR(__xludf.DUMMYFUNCTION("""COMPUTED_VALUE"""),1)</f>
        <v>1</v>
      </c>
      <c r="J220" s="19" t="str">
        <f ca="1">IFERROR(__xludf.DUMMYFUNCTION("""COMPUTED_VALUE"""),"")</f>
        <v/>
      </c>
      <c r="K220" s="19"/>
      <c r="L220" s="19"/>
      <c r="M220" s="19"/>
      <c r="N220" s="19"/>
      <c r="O220" s="59"/>
      <c r="P220" s="7"/>
      <c r="Q220" s="55"/>
      <c r="R220" s="55"/>
      <c r="S220" s="7"/>
      <c r="T220" s="55"/>
      <c r="U220" s="7"/>
      <c r="V220" s="55"/>
      <c r="W220" s="60"/>
      <c r="X220" s="55"/>
    </row>
    <row r="221" spans="1:24" ht="13" x14ac:dyDescent="0.15">
      <c r="A221" s="25" t="str">
        <f ca="1">IFERROR(__xludf.DUMMYFUNCTION("""COMPUTED_VALUE"""),"38758")</f>
        <v>38758</v>
      </c>
      <c r="B221" s="69">
        <f ca="1">IFERROR(__xludf.DUMMYFUNCTION("""COMPUTED_VALUE"""),44642)</f>
        <v>44642</v>
      </c>
      <c r="C221" s="69" t="str">
        <f ca="1">IFERROR(__xludf.DUMMYFUNCTION("""COMPUTED_VALUE"""),"Stock")</f>
        <v>Stock</v>
      </c>
      <c r="D221" s="71" t="str">
        <f ca="1">IFERROR(__xludf.DUMMYFUNCTION("""COMPUTED_VALUE"""),"0700.HK")</f>
        <v>0700.HK</v>
      </c>
      <c r="E221" s="5" t="str">
        <f ca="1">IFERROR(__xludf.DUMMYFUNCTION("""COMPUTED_VALUE"""),"HKD")</f>
        <v>HKD</v>
      </c>
      <c r="F221" s="55">
        <f ca="1">IFERROR(__xludf.DUMMYFUNCTION("""COMPUTED_VALUE"""),-20)</f>
        <v>-20</v>
      </c>
      <c r="G221" s="56">
        <f ca="1">IFERROR(__xludf.DUMMYFUNCTION("""COMPUTED_VALUE"""),1)</f>
        <v>1</v>
      </c>
      <c r="H221" s="57">
        <f ca="1">IFERROR(__xludf.DUMMYFUNCTION("""COMPUTED_VALUE"""),388)</f>
        <v>388</v>
      </c>
      <c r="I221" s="57">
        <f ca="1">IFERROR(__xludf.DUMMYFUNCTION("""COMPUTED_VALUE"""),389)</f>
        <v>389</v>
      </c>
      <c r="J221" s="70" t="str">
        <f ca="1">IFERROR(__xludf.DUMMYFUNCTION("""COMPUTED_VALUE"""),"Goto link: 0700.HK")</f>
        <v>Goto link: 0700.HK</v>
      </c>
      <c r="K221" s="19"/>
      <c r="L221" s="19"/>
      <c r="M221" s="19"/>
      <c r="N221" s="19"/>
      <c r="O221" s="59"/>
      <c r="P221" s="7"/>
      <c r="Q221" s="55"/>
      <c r="R221" s="55"/>
      <c r="S221" s="7"/>
      <c r="T221" s="55"/>
      <c r="U221" s="7"/>
      <c r="V221" s="55"/>
      <c r="W221" s="60"/>
      <c r="X221" s="55"/>
    </row>
    <row r="222" spans="1:24" ht="13" x14ac:dyDescent="0.15">
      <c r="A222" s="25" t="str">
        <f ca="1">IFERROR(__xludf.DUMMYFUNCTION("""COMPUTED_VALUE"""),"38758")</f>
        <v>38758</v>
      </c>
      <c r="B222" s="69">
        <f ca="1">IFERROR(__xludf.DUMMYFUNCTION("""COMPUTED_VALUE"""),44642)</f>
        <v>44642</v>
      </c>
      <c r="C222" s="69" t="str">
        <f ca="1">IFERROR(__xludf.DUMMYFUNCTION("""COMPUTED_VALUE"""),"Stock")</f>
        <v>Stock</v>
      </c>
      <c r="D222" s="71" t="str">
        <f ca="1">IFERROR(__xludf.DUMMYFUNCTION("""COMPUTED_VALUE"""),"600519.SS")</f>
        <v>600519.SS</v>
      </c>
      <c r="E222" s="5" t="str">
        <f ca="1">IFERROR(__xludf.DUMMYFUNCTION("""COMPUTED_VALUE"""),"CNY")</f>
        <v>CNY</v>
      </c>
      <c r="F222" s="55">
        <f ca="1">IFERROR(__xludf.DUMMYFUNCTION("""COMPUTED_VALUE"""),-15)</f>
        <v>-15</v>
      </c>
      <c r="G222" s="56">
        <f ca="1">IFERROR(__xludf.DUMMYFUNCTION("""COMPUTED_VALUE"""),1.229312)</f>
        <v>1.229312</v>
      </c>
      <c r="H222" s="57">
        <f ca="1">IFERROR(__xludf.DUMMYFUNCTION("""COMPUTED_VALUE"""),1695)</f>
        <v>1695</v>
      </c>
      <c r="I222" s="57">
        <f ca="1">IFERROR(__xludf.DUMMYFUNCTION("""COMPUTED_VALUE"""),1752.19)</f>
        <v>1752.19</v>
      </c>
      <c r="J222" s="70" t="str">
        <f ca="1">IFERROR(__xludf.DUMMYFUNCTION("""COMPUTED_VALUE"""),"Goto link: 600519.SS")</f>
        <v>Goto link: 600519.SS</v>
      </c>
      <c r="K222" s="19"/>
      <c r="L222" s="19"/>
      <c r="M222" s="19"/>
      <c r="N222" s="19"/>
      <c r="O222" s="59"/>
      <c r="P222" s="7"/>
      <c r="Q222" s="55"/>
      <c r="R222" s="55"/>
      <c r="S222" s="7"/>
      <c r="T222" s="55"/>
      <c r="U222" s="7"/>
      <c r="V222" s="55"/>
      <c r="W222" s="60"/>
      <c r="X222" s="55"/>
    </row>
    <row r="223" spans="1:24" ht="13" x14ac:dyDescent="0.15">
      <c r="A223" s="25" t="str">
        <f ca="1">IFERROR(__xludf.DUMMYFUNCTION("""COMPUTED_VALUE"""),"38758 Total")</f>
        <v>38758 Total</v>
      </c>
      <c r="B223" s="5"/>
      <c r="C223" s="69"/>
      <c r="D223" s="5"/>
      <c r="E223" s="5"/>
      <c r="F223" s="55"/>
      <c r="G223" s="56">
        <f ca="1">IFERROR(__xludf.DUMMYFUNCTION("""COMPUTED_VALUE"""),1.00477733333333)</f>
        <v>1.0047773333333301</v>
      </c>
      <c r="H223" s="57">
        <f ca="1">IFERROR(__xludf.DUMMYFUNCTION("""COMPUTED_VALUE"""),1695)</f>
        <v>1695</v>
      </c>
      <c r="I223" s="57" t="str">
        <f ca="1">IFERROR(__xludf.DUMMYFUNCTION("""COMPUTED_VALUE"""),"")</f>
        <v/>
      </c>
      <c r="J223" s="19" t="str">
        <f ca="1">IFERROR(__xludf.DUMMYFUNCTION("""COMPUTED_VALUE"""),"")</f>
        <v/>
      </c>
      <c r="K223" s="19"/>
      <c r="L223" s="19"/>
      <c r="M223" s="19"/>
      <c r="N223" s="19"/>
      <c r="O223" s="59"/>
      <c r="P223" s="7"/>
      <c r="Q223" s="55"/>
      <c r="R223" s="55"/>
      <c r="S223" s="7"/>
      <c r="T223" s="55"/>
      <c r="U223" s="7"/>
      <c r="V223" s="55"/>
      <c r="W223" s="60"/>
      <c r="X223" s="55"/>
    </row>
    <row r="224" spans="1:24" ht="13" x14ac:dyDescent="0.15">
      <c r="A224" s="25" t="str">
        <f ca="1">IFERROR(__xludf.DUMMYFUNCTION("""COMPUTED_VALUE"""),"39011")</f>
        <v>39011</v>
      </c>
      <c r="B224" s="69">
        <f ca="1">IFERROR(__xludf.DUMMYFUNCTION("""COMPUTED_VALUE"""),44597)</f>
        <v>44597</v>
      </c>
      <c r="C224" s="69" t="str">
        <f ca="1">IFERROR(__xludf.DUMMYFUNCTION("""COMPUTED_VALUE"""),"Cash")</f>
        <v>Cash</v>
      </c>
      <c r="D224" s="5" t="str">
        <f ca="1">IFERROR(__xludf.DUMMYFUNCTION("""COMPUTED_VALUE"""),"Cash")</f>
        <v>Cash</v>
      </c>
      <c r="E224" s="5" t="str">
        <f ca="1">IFERROR(__xludf.DUMMYFUNCTION("""COMPUTED_VALUE"""),"HKD")</f>
        <v>HKD</v>
      </c>
      <c r="F224" s="55" t="str">
        <f ca="1">IFERROR(__xludf.DUMMYFUNCTION("""COMPUTED_VALUE"""),"")</f>
        <v/>
      </c>
      <c r="G224" s="56">
        <f ca="1">IFERROR(__xludf.DUMMYFUNCTION("""COMPUTED_VALUE"""),1)</f>
        <v>1</v>
      </c>
      <c r="H224" s="57">
        <f ca="1">IFERROR(__xludf.DUMMYFUNCTION("""COMPUTED_VALUE"""),1)</f>
        <v>1</v>
      </c>
      <c r="I224" s="57">
        <f ca="1">IFERROR(__xludf.DUMMYFUNCTION("""COMPUTED_VALUE"""),1)</f>
        <v>1</v>
      </c>
      <c r="J224" s="19" t="str">
        <f ca="1">IFERROR(__xludf.DUMMYFUNCTION("""COMPUTED_VALUE"""),"")</f>
        <v/>
      </c>
      <c r="K224" s="19"/>
      <c r="L224" s="19"/>
      <c r="M224" s="19"/>
      <c r="N224" s="19"/>
      <c r="O224" s="59"/>
      <c r="P224" s="7"/>
      <c r="Q224" s="55"/>
      <c r="R224" s="55"/>
      <c r="S224" s="7"/>
      <c r="T224" s="55"/>
      <c r="U224" s="7"/>
      <c r="V224" s="55"/>
      <c r="W224" s="60"/>
      <c r="X224" s="55"/>
    </row>
    <row r="225" spans="1:24" ht="13" x14ac:dyDescent="0.15">
      <c r="A225" s="25" t="str">
        <f ca="1">IFERROR(__xludf.DUMMYFUNCTION("""COMPUTED_VALUE"""),"39011 Total")</f>
        <v>39011 Total</v>
      </c>
      <c r="B225" s="5"/>
      <c r="C225" s="69"/>
      <c r="D225" s="5"/>
      <c r="E225" s="5"/>
      <c r="F225" s="55"/>
      <c r="G225" s="56">
        <f ca="1">IFERROR(__xludf.DUMMYFUNCTION("""COMPUTED_VALUE"""),1)</f>
        <v>1</v>
      </c>
      <c r="H225" s="57">
        <f ca="1">IFERROR(__xludf.DUMMYFUNCTION("""COMPUTED_VALUE"""),1)</f>
        <v>1</v>
      </c>
      <c r="I225" s="57" t="str">
        <f ca="1">IFERROR(__xludf.DUMMYFUNCTION("""COMPUTED_VALUE"""),"")</f>
        <v/>
      </c>
      <c r="J225" s="19" t="str">
        <f ca="1">IFERROR(__xludf.DUMMYFUNCTION("""COMPUTED_VALUE"""),"")</f>
        <v/>
      </c>
      <c r="K225" s="19"/>
      <c r="L225" s="19"/>
      <c r="M225" s="19"/>
      <c r="N225" s="19"/>
      <c r="O225" s="59"/>
      <c r="P225" s="7"/>
      <c r="Q225" s="55"/>
      <c r="R225" s="55"/>
      <c r="S225" s="7"/>
      <c r="T225" s="55"/>
      <c r="U225" s="7"/>
      <c r="V225" s="55"/>
      <c r="W225" s="60"/>
      <c r="X225" s="55"/>
    </row>
    <row r="226" spans="1:24" ht="13" x14ac:dyDescent="0.15">
      <c r="A226" s="25" t="str">
        <f ca="1">IFERROR(__xludf.DUMMYFUNCTION("""COMPUTED_VALUE"""),"39296")</f>
        <v>39296</v>
      </c>
      <c r="B226" s="69">
        <f ca="1">IFERROR(__xludf.DUMMYFUNCTION("""COMPUTED_VALUE"""),44597)</f>
        <v>44597</v>
      </c>
      <c r="C226" s="69" t="str">
        <f ca="1">IFERROR(__xludf.DUMMYFUNCTION("""COMPUTED_VALUE"""),"Cash")</f>
        <v>Cash</v>
      </c>
      <c r="D226" s="5" t="str">
        <f ca="1">IFERROR(__xludf.DUMMYFUNCTION("""COMPUTED_VALUE"""),"Cash")</f>
        <v>Cash</v>
      </c>
      <c r="E226" s="5" t="str">
        <f ca="1">IFERROR(__xludf.DUMMYFUNCTION("""COMPUTED_VALUE"""),"HKD")</f>
        <v>HKD</v>
      </c>
      <c r="F226" s="55" t="str">
        <f ca="1">IFERROR(__xludf.DUMMYFUNCTION("""COMPUTED_VALUE"""),"")</f>
        <v/>
      </c>
      <c r="G226" s="56">
        <f ca="1">IFERROR(__xludf.DUMMYFUNCTION("""COMPUTED_VALUE"""),1)</f>
        <v>1</v>
      </c>
      <c r="H226" s="57">
        <f ca="1">IFERROR(__xludf.DUMMYFUNCTION("""COMPUTED_VALUE"""),1)</f>
        <v>1</v>
      </c>
      <c r="I226" s="57">
        <f ca="1">IFERROR(__xludf.DUMMYFUNCTION("""COMPUTED_VALUE"""),1)</f>
        <v>1</v>
      </c>
      <c r="J226" s="19" t="str">
        <f ca="1">IFERROR(__xludf.DUMMYFUNCTION("""COMPUTED_VALUE"""),"")</f>
        <v/>
      </c>
      <c r="K226" s="19"/>
      <c r="L226" s="19"/>
      <c r="M226" s="19"/>
      <c r="N226" s="19"/>
      <c r="O226" s="59"/>
      <c r="P226" s="7"/>
      <c r="Q226" s="55"/>
      <c r="R226" s="55"/>
      <c r="S226" s="7"/>
      <c r="T226" s="55"/>
      <c r="U226" s="7"/>
      <c r="V226" s="55"/>
      <c r="W226" s="60"/>
      <c r="X226" s="55"/>
    </row>
    <row r="227" spans="1:24" ht="13" x14ac:dyDescent="0.15">
      <c r="A227" s="25" t="str">
        <f ca="1">IFERROR(__xludf.DUMMYFUNCTION("""COMPUTED_VALUE"""),"39296")</f>
        <v>39296</v>
      </c>
      <c r="B227" s="69">
        <f ca="1">IFERROR(__xludf.DUMMYFUNCTION("""COMPUTED_VALUE"""),44600)</f>
        <v>44600</v>
      </c>
      <c r="C227" s="69" t="str">
        <f ca="1">IFERROR(__xludf.DUMMYFUNCTION("""COMPUTED_VALUE"""),"Stock")</f>
        <v>Stock</v>
      </c>
      <c r="D227" s="71" t="str">
        <f ca="1">IFERROR(__xludf.DUMMYFUNCTION("""COMPUTED_VALUE"""),"0700.HK")</f>
        <v>0700.HK</v>
      </c>
      <c r="E227" s="5" t="str">
        <f ca="1">IFERROR(__xludf.DUMMYFUNCTION("""COMPUTED_VALUE"""),"HKD")</f>
        <v>HKD</v>
      </c>
      <c r="F227" s="55">
        <f ca="1">IFERROR(__xludf.DUMMYFUNCTION("""COMPUTED_VALUE"""),1000)</f>
        <v>1000</v>
      </c>
      <c r="G227" s="56">
        <f ca="1">IFERROR(__xludf.DUMMYFUNCTION("""COMPUTED_VALUE"""),1)</f>
        <v>1</v>
      </c>
      <c r="H227" s="57">
        <f ca="1">IFERROR(__xludf.DUMMYFUNCTION("""COMPUTED_VALUE"""),470)</f>
        <v>470</v>
      </c>
      <c r="I227" s="57">
        <f ca="1">IFERROR(__xludf.DUMMYFUNCTION("""COMPUTED_VALUE"""),389)</f>
        <v>389</v>
      </c>
      <c r="J227" s="70" t="str">
        <f ca="1">IFERROR(__xludf.DUMMYFUNCTION("""COMPUTED_VALUE"""),"Goto link: 0700.HK")</f>
        <v>Goto link: 0700.HK</v>
      </c>
      <c r="K227" s="19"/>
      <c r="L227" s="19"/>
      <c r="M227" s="19"/>
      <c r="N227" s="19"/>
      <c r="O227" s="59"/>
      <c r="P227" s="7"/>
      <c r="Q227" s="55"/>
      <c r="R227" s="55"/>
      <c r="S227" s="7"/>
      <c r="T227" s="55"/>
      <c r="U227" s="7"/>
      <c r="V227" s="55"/>
      <c r="W227" s="60"/>
      <c r="X227" s="55"/>
    </row>
    <row r="228" spans="1:24" ht="13" x14ac:dyDescent="0.15">
      <c r="A228" s="25" t="str">
        <f ca="1">IFERROR(__xludf.DUMMYFUNCTION("""COMPUTED_VALUE"""),"39296 Total")</f>
        <v>39296 Total</v>
      </c>
      <c r="B228" s="5"/>
      <c r="C228" s="69"/>
      <c r="D228" s="5"/>
      <c r="E228" s="5"/>
      <c r="F228" s="55"/>
      <c r="G228" s="56">
        <f ca="1">IFERROR(__xludf.DUMMYFUNCTION("""COMPUTED_VALUE"""),1)</f>
        <v>1</v>
      </c>
      <c r="H228" s="57">
        <f ca="1">IFERROR(__xludf.DUMMYFUNCTION("""COMPUTED_VALUE"""),470)</f>
        <v>470</v>
      </c>
      <c r="I228" s="57" t="str">
        <f ca="1">IFERROR(__xludf.DUMMYFUNCTION("""COMPUTED_VALUE"""),"")</f>
        <v/>
      </c>
      <c r="J228" s="19" t="str">
        <f ca="1">IFERROR(__xludf.DUMMYFUNCTION("""COMPUTED_VALUE"""),"")</f>
        <v/>
      </c>
      <c r="K228" s="19"/>
      <c r="L228" s="19"/>
      <c r="M228" s="19"/>
      <c r="N228" s="19"/>
      <c r="O228" s="59"/>
      <c r="P228" s="7"/>
      <c r="Q228" s="55"/>
      <c r="R228" s="55"/>
      <c r="S228" s="7"/>
      <c r="T228" s="55"/>
      <c r="U228" s="7"/>
      <c r="V228" s="55"/>
      <c r="W228" s="60"/>
      <c r="X228" s="55"/>
    </row>
    <row r="229" spans="1:24" ht="13" x14ac:dyDescent="0.15">
      <c r="A229" s="25" t="str">
        <f ca="1">IFERROR(__xludf.DUMMYFUNCTION("""COMPUTED_VALUE"""),"39302")</f>
        <v>39302</v>
      </c>
      <c r="B229" s="69">
        <f ca="1">IFERROR(__xludf.DUMMYFUNCTION("""COMPUTED_VALUE"""),44597)</f>
        <v>44597</v>
      </c>
      <c r="C229" s="69" t="str">
        <f ca="1">IFERROR(__xludf.DUMMYFUNCTION("""COMPUTED_VALUE"""),"Cash")</f>
        <v>Cash</v>
      </c>
      <c r="D229" s="5" t="str">
        <f ca="1">IFERROR(__xludf.DUMMYFUNCTION("""COMPUTED_VALUE"""),"Cash")</f>
        <v>Cash</v>
      </c>
      <c r="E229" s="5" t="str">
        <f ca="1">IFERROR(__xludf.DUMMYFUNCTION("""COMPUTED_VALUE"""),"HKD")</f>
        <v>HKD</v>
      </c>
      <c r="F229" s="55" t="str">
        <f ca="1">IFERROR(__xludf.DUMMYFUNCTION("""COMPUTED_VALUE"""),"")</f>
        <v/>
      </c>
      <c r="G229" s="56">
        <f ca="1">IFERROR(__xludf.DUMMYFUNCTION("""COMPUTED_VALUE"""),1)</f>
        <v>1</v>
      </c>
      <c r="H229" s="57">
        <f ca="1">IFERROR(__xludf.DUMMYFUNCTION("""COMPUTED_VALUE"""),1)</f>
        <v>1</v>
      </c>
      <c r="I229" s="57">
        <f ca="1">IFERROR(__xludf.DUMMYFUNCTION("""COMPUTED_VALUE"""),1)</f>
        <v>1</v>
      </c>
      <c r="J229" s="19" t="str">
        <f ca="1">IFERROR(__xludf.DUMMYFUNCTION("""COMPUTED_VALUE"""),"")</f>
        <v/>
      </c>
      <c r="K229" s="19"/>
      <c r="L229" s="19"/>
      <c r="M229" s="19"/>
      <c r="N229" s="19"/>
      <c r="O229" s="59"/>
      <c r="P229" s="7"/>
      <c r="Q229" s="55"/>
      <c r="R229" s="55"/>
      <c r="S229" s="7"/>
      <c r="T229" s="55"/>
      <c r="U229" s="7"/>
      <c r="V229" s="55"/>
      <c r="W229" s="60"/>
      <c r="X229" s="55"/>
    </row>
    <row r="230" spans="1:24" ht="13" x14ac:dyDescent="0.15">
      <c r="A230" s="25" t="str">
        <f ca="1">IFERROR(__xludf.DUMMYFUNCTION("""COMPUTED_VALUE"""),"39302 Total")</f>
        <v>39302 Total</v>
      </c>
      <c r="B230" s="5"/>
      <c r="C230" s="69"/>
      <c r="D230" s="5"/>
      <c r="E230" s="5"/>
      <c r="F230" s="55"/>
      <c r="G230" s="56">
        <f ca="1">IFERROR(__xludf.DUMMYFUNCTION("""COMPUTED_VALUE"""),1)</f>
        <v>1</v>
      </c>
      <c r="H230" s="57">
        <f ca="1">IFERROR(__xludf.DUMMYFUNCTION("""COMPUTED_VALUE"""),1)</f>
        <v>1</v>
      </c>
      <c r="I230" s="57" t="str">
        <f ca="1">IFERROR(__xludf.DUMMYFUNCTION("""COMPUTED_VALUE"""),"")</f>
        <v/>
      </c>
      <c r="J230" s="19" t="str">
        <f ca="1">IFERROR(__xludf.DUMMYFUNCTION("""COMPUTED_VALUE"""),"")</f>
        <v/>
      </c>
      <c r="K230" s="19"/>
      <c r="L230" s="19"/>
      <c r="M230" s="19"/>
      <c r="N230" s="19"/>
      <c r="O230" s="59"/>
      <c r="P230" s="7"/>
      <c r="Q230" s="55"/>
      <c r="R230" s="55"/>
      <c r="S230" s="7"/>
      <c r="T230" s="55"/>
      <c r="U230" s="7"/>
      <c r="V230" s="55"/>
      <c r="W230" s="60"/>
      <c r="X230" s="55"/>
    </row>
    <row r="231" spans="1:24" ht="13" x14ac:dyDescent="0.15">
      <c r="A231" s="25" t="str">
        <f ca="1">IFERROR(__xludf.DUMMYFUNCTION("""COMPUTED_VALUE"""),"39441")</f>
        <v>39441</v>
      </c>
      <c r="B231" s="69">
        <f ca="1">IFERROR(__xludf.DUMMYFUNCTION("""COMPUTED_VALUE"""),44597)</f>
        <v>44597</v>
      </c>
      <c r="C231" s="69" t="str">
        <f ca="1">IFERROR(__xludf.DUMMYFUNCTION("""COMPUTED_VALUE"""),"Cash")</f>
        <v>Cash</v>
      </c>
      <c r="D231" s="5" t="str">
        <f ca="1">IFERROR(__xludf.DUMMYFUNCTION("""COMPUTED_VALUE"""),"Cash")</f>
        <v>Cash</v>
      </c>
      <c r="E231" s="5" t="str">
        <f ca="1">IFERROR(__xludf.DUMMYFUNCTION("""COMPUTED_VALUE"""),"HKD")</f>
        <v>HKD</v>
      </c>
      <c r="F231" s="55" t="str">
        <f ca="1">IFERROR(__xludf.DUMMYFUNCTION("""COMPUTED_VALUE"""),"")</f>
        <v/>
      </c>
      <c r="G231" s="56">
        <f ca="1">IFERROR(__xludf.DUMMYFUNCTION("""COMPUTED_VALUE"""),1)</f>
        <v>1</v>
      </c>
      <c r="H231" s="57">
        <f ca="1">IFERROR(__xludf.DUMMYFUNCTION("""COMPUTED_VALUE"""),1)</f>
        <v>1</v>
      </c>
      <c r="I231" s="57">
        <f ca="1">IFERROR(__xludf.DUMMYFUNCTION("""COMPUTED_VALUE"""),1)</f>
        <v>1</v>
      </c>
      <c r="J231" s="19" t="str">
        <f ca="1">IFERROR(__xludf.DUMMYFUNCTION("""COMPUTED_VALUE"""),"")</f>
        <v/>
      </c>
      <c r="K231" s="19"/>
      <c r="L231" s="19"/>
      <c r="M231" s="19"/>
      <c r="N231" s="19"/>
      <c r="O231" s="59"/>
      <c r="P231" s="7"/>
      <c r="Q231" s="55"/>
      <c r="R231" s="55"/>
      <c r="S231" s="7"/>
      <c r="T231" s="55"/>
      <c r="U231" s="7"/>
      <c r="V231" s="55"/>
      <c r="W231" s="60"/>
      <c r="X231" s="55"/>
    </row>
    <row r="232" spans="1:24" ht="13" x14ac:dyDescent="0.15">
      <c r="A232" s="25" t="str">
        <f ca="1">IFERROR(__xludf.DUMMYFUNCTION("""COMPUTED_VALUE"""),"39441")</f>
        <v>39441</v>
      </c>
      <c r="B232" s="69">
        <f ca="1">IFERROR(__xludf.DUMMYFUNCTION("""COMPUTED_VALUE"""),44602)</f>
        <v>44602</v>
      </c>
      <c r="C232" s="69" t="str">
        <f ca="1">IFERROR(__xludf.DUMMYFUNCTION("""COMPUTED_VALUE"""),"Stock")</f>
        <v>Stock</v>
      </c>
      <c r="D232" s="5" t="str">
        <f ca="1">IFERROR(__xludf.DUMMYFUNCTION("""COMPUTED_VALUE"""),"AMZN")</f>
        <v>AMZN</v>
      </c>
      <c r="E232" s="5" t="str">
        <f ca="1">IFERROR(__xludf.DUMMYFUNCTION("""COMPUTED_VALUE"""),"USD")</f>
        <v>USD</v>
      </c>
      <c r="F232" s="55">
        <f ca="1">IFERROR(__xludf.DUMMYFUNCTION("""COMPUTED_VALUE"""),6)</f>
        <v>6</v>
      </c>
      <c r="G232" s="56">
        <f ca="1">IFERROR(__xludf.DUMMYFUNCTION("""COMPUTED_VALUE"""),7.81304158536585)</f>
        <v>7.8130415853658501</v>
      </c>
      <c r="H232" s="57">
        <f ca="1">IFERROR(__xludf.DUMMYFUNCTION("""COMPUTED_VALUE"""),3180.07)</f>
        <v>3180.07</v>
      </c>
      <c r="I232" s="57">
        <f ca="1">IFERROR(__xludf.DUMMYFUNCTION("""COMPUTED_VALUE"""),3268.16)</f>
        <v>3268.16</v>
      </c>
      <c r="J232" s="70" t="str">
        <f ca="1">IFERROR(__xludf.DUMMYFUNCTION("""COMPUTED_VALUE"""),"Goto link: AMZN")</f>
        <v>Goto link: AMZN</v>
      </c>
      <c r="K232" s="19"/>
      <c r="L232" s="19"/>
      <c r="M232" s="19"/>
      <c r="N232" s="19"/>
      <c r="O232" s="59"/>
      <c r="P232" s="7"/>
      <c r="Q232" s="55"/>
      <c r="R232" s="55"/>
      <c r="S232" s="7"/>
      <c r="T232" s="55"/>
      <c r="U232" s="7"/>
      <c r="V232" s="55"/>
      <c r="W232" s="60"/>
      <c r="X232" s="55"/>
    </row>
    <row r="233" spans="1:24" ht="13" x14ac:dyDescent="0.15">
      <c r="A233" s="25" t="str">
        <f ca="1">IFERROR(__xludf.DUMMYFUNCTION("""COMPUTED_VALUE"""),"39441")</f>
        <v>39441</v>
      </c>
      <c r="B233" s="69">
        <f ca="1">IFERROR(__xludf.DUMMYFUNCTION("""COMPUTED_VALUE"""),44602)</f>
        <v>44602</v>
      </c>
      <c r="C233" s="69" t="str">
        <f ca="1">IFERROR(__xludf.DUMMYFUNCTION("""COMPUTED_VALUE"""),"Stock")</f>
        <v>Stock</v>
      </c>
      <c r="D233" s="5" t="str">
        <f ca="1">IFERROR(__xludf.DUMMYFUNCTION("""COMPUTED_VALUE"""),"GOOG")</f>
        <v>GOOG</v>
      </c>
      <c r="E233" s="5" t="str">
        <f ca="1">IFERROR(__xludf.DUMMYFUNCTION("""COMPUTED_VALUE"""),"USD")</f>
        <v>USD</v>
      </c>
      <c r="F233" s="55">
        <f ca="1">IFERROR(__xludf.DUMMYFUNCTION("""COMPUTED_VALUE"""),-5)</f>
        <v>-5</v>
      </c>
      <c r="G233" s="56">
        <f ca="1">IFERROR(__xludf.DUMMYFUNCTION("""COMPUTED_VALUE"""),7.81304158536585)</f>
        <v>7.8130415853658501</v>
      </c>
      <c r="H233" s="57">
        <f ca="1">IFERROR(__xludf.DUMMYFUNCTION("""COMPUTED_VALUE"""),2772.05)</f>
        <v>2772.05</v>
      </c>
      <c r="I233" s="57">
        <f ca="1">IFERROR(__xludf.DUMMYFUNCTION("""COMPUTED_VALUE"""),2770.07)</f>
        <v>2770.07</v>
      </c>
      <c r="J233" s="70" t="str">
        <f ca="1">IFERROR(__xludf.DUMMYFUNCTION("""COMPUTED_VALUE"""),"Goto link: GOOG")</f>
        <v>Goto link: GOOG</v>
      </c>
      <c r="K233" s="19"/>
      <c r="L233" s="19"/>
      <c r="M233" s="19"/>
      <c r="N233" s="19"/>
      <c r="O233" s="59"/>
      <c r="P233" s="7"/>
      <c r="Q233" s="55"/>
      <c r="R233" s="55"/>
      <c r="S233" s="7"/>
      <c r="T233" s="55"/>
      <c r="U233" s="7"/>
      <c r="V233" s="55"/>
      <c r="W233" s="60"/>
      <c r="X233" s="55"/>
    </row>
    <row r="234" spans="1:24" ht="13" x14ac:dyDescent="0.15">
      <c r="A234" s="25" t="str">
        <f ca="1">IFERROR(__xludf.DUMMYFUNCTION("""COMPUTED_VALUE"""),"39441")</f>
        <v>39441</v>
      </c>
      <c r="B234" s="69">
        <f ca="1">IFERROR(__xludf.DUMMYFUNCTION("""COMPUTED_VALUE"""),44603)</f>
        <v>44603</v>
      </c>
      <c r="C234" s="69" t="str">
        <f ca="1">IFERROR(__xludf.DUMMYFUNCTION("""COMPUTED_VALUE"""),"Time Deposit")</f>
        <v>Time Deposit</v>
      </c>
      <c r="D234" s="5" t="str">
        <f ca="1">IFERROR(__xludf.DUMMYFUNCTION("""COMPUTED_VALUE"""),"3m")</f>
        <v>3m</v>
      </c>
      <c r="E234" s="5" t="str">
        <f ca="1">IFERROR(__xludf.DUMMYFUNCTION("""COMPUTED_VALUE"""),"HKD")</f>
        <v>HKD</v>
      </c>
      <c r="F234" s="55">
        <f ca="1">IFERROR(__xludf.DUMMYFUNCTION("""COMPUTED_VALUE"""),100000)</f>
        <v>100000</v>
      </c>
      <c r="G234" s="56">
        <f ca="1">IFERROR(__xludf.DUMMYFUNCTION("""COMPUTED_VALUE"""),1)</f>
        <v>1</v>
      </c>
      <c r="H234" s="57">
        <f ca="1">IFERROR(__xludf.DUMMYFUNCTION("""COMPUTED_VALUE"""),1)</f>
        <v>1</v>
      </c>
      <c r="I234" s="57" t="str">
        <f ca="1">IFERROR(__xludf.DUMMYFUNCTION("""COMPUTED_VALUE"""),"#N/A")</f>
        <v>#N/A</v>
      </c>
      <c r="J234" s="19" t="str">
        <f ca="1">IFERROR(__xludf.DUMMYFUNCTION("""COMPUTED_VALUE"""),"")</f>
        <v/>
      </c>
      <c r="K234" s="19"/>
      <c r="L234" s="19"/>
      <c r="M234" s="19"/>
      <c r="N234" s="19"/>
      <c r="O234" s="59"/>
      <c r="P234" s="7"/>
      <c r="Q234" s="55"/>
      <c r="R234" s="55"/>
      <c r="S234" s="7"/>
      <c r="T234" s="55"/>
      <c r="U234" s="7"/>
      <c r="V234" s="55"/>
      <c r="W234" s="60"/>
      <c r="X234" s="55"/>
    </row>
    <row r="235" spans="1:24" ht="13" x14ac:dyDescent="0.15">
      <c r="A235" s="25" t="str">
        <f ca="1">IFERROR(__xludf.DUMMYFUNCTION("""COMPUTED_VALUE"""),"39441")</f>
        <v>39441</v>
      </c>
      <c r="B235" s="69">
        <f ca="1">IFERROR(__xludf.DUMMYFUNCTION("""COMPUTED_VALUE"""),44631)</f>
        <v>44631</v>
      </c>
      <c r="C235" s="69" t="str">
        <f ca="1">IFERROR(__xludf.DUMMYFUNCTION("""COMPUTED_VALUE"""),"Stock")</f>
        <v>Stock</v>
      </c>
      <c r="D235" s="5" t="str">
        <f ca="1">IFERROR(__xludf.DUMMYFUNCTION("""COMPUTED_VALUE"""),"BABA")</f>
        <v>BABA</v>
      </c>
      <c r="E235" s="5" t="str">
        <f ca="1">IFERROR(__xludf.DUMMYFUNCTION("""COMPUTED_VALUE"""),"USD")</f>
        <v>USD</v>
      </c>
      <c r="F235" s="55">
        <f ca="1">IFERROR(__xludf.DUMMYFUNCTION("""COMPUTED_VALUE"""),100)</f>
        <v>100</v>
      </c>
      <c r="G235" s="56">
        <f ca="1">IFERROR(__xludf.DUMMYFUNCTION("""COMPUTED_VALUE"""),7.82558958333333)</f>
        <v>7.82558958333333</v>
      </c>
      <c r="H235" s="57">
        <f ca="1">IFERROR(__xludf.DUMMYFUNCTION("""COMPUTED_VALUE"""),86.71)</f>
        <v>86.71</v>
      </c>
      <c r="I235" s="57">
        <f ca="1">IFERROR(__xludf.DUMMYFUNCTION("""COMPUTED_VALUE"""),117.24)</f>
        <v>117.24</v>
      </c>
      <c r="J235" s="70" t="str">
        <f ca="1">IFERROR(__xludf.DUMMYFUNCTION("""COMPUTED_VALUE"""),"Goto link: BABA")</f>
        <v>Goto link: BABA</v>
      </c>
      <c r="K235" s="19"/>
      <c r="L235" s="19"/>
      <c r="M235" s="19"/>
      <c r="N235" s="19"/>
      <c r="O235" s="59"/>
      <c r="P235" s="7"/>
      <c r="Q235" s="55"/>
      <c r="R235" s="55"/>
      <c r="S235" s="7"/>
      <c r="T235" s="55"/>
      <c r="U235" s="7"/>
      <c r="V235" s="55"/>
      <c r="W235" s="60"/>
      <c r="X235" s="55"/>
    </row>
    <row r="236" spans="1:24" ht="13" x14ac:dyDescent="0.15">
      <c r="A236" s="25" t="str">
        <f ca="1">IFERROR(__xludf.DUMMYFUNCTION("""COMPUTED_VALUE"""),"39441")</f>
        <v>39441</v>
      </c>
      <c r="B236" s="69">
        <f ca="1">IFERROR(__xludf.DUMMYFUNCTION("""COMPUTED_VALUE"""),44631)</f>
        <v>44631</v>
      </c>
      <c r="C236" s="69" t="str">
        <f ca="1">IFERROR(__xludf.DUMMYFUNCTION("""COMPUTED_VALUE"""),"Stock")</f>
        <v>Stock</v>
      </c>
      <c r="D236" s="5" t="str">
        <f ca="1">IFERROR(__xludf.DUMMYFUNCTION("""COMPUTED_VALUE"""),"CL=F")</f>
        <v>CL=F</v>
      </c>
      <c r="E236" s="5" t="str">
        <f ca="1">IFERROR(__xludf.DUMMYFUNCTION("""COMPUTED_VALUE"""),"USD")</f>
        <v>USD</v>
      </c>
      <c r="F236" s="55">
        <f ca="1">IFERROR(__xludf.DUMMYFUNCTION("""COMPUTED_VALUE"""),-20)</f>
        <v>-20</v>
      </c>
      <c r="G236" s="56">
        <f ca="1">IFERROR(__xludf.DUMMYFUNCTION("""COMPUTED_VALUE"""),7.82558958333333)</f>
        <v>7.82558958333333</v>
      </c>
      <c r="H236" s="57">
        <f ca="1">IFERROR(__xludf.DUMMYFUNCTION("""COMPUTED_VALUE"""),109.09)</f>
        <v>109.09</v>
      </c>
      <c r="I236" s="57">
        <f ca="1">IFERROR(__xludf.DUMMYFUNCTION("""COMPUTED_VALUE"""),115.83)</f>
        <v>115.83</v>
      </c>
      <c r="J236" s="70" t="str">
        <f ca="1">IFERROR(__xludf.DUMMYFUNCTION("""COMPUTED_VALUE"""),"Goto link: CL=F")</f>
        <v>Goto link: CL=F</v>
      </c>
      <c r="K236" s="19"/>
      <c r="L236" s="19"/>
      <c r="M236" s="19"/>
      <c r="N236" s="19"/>
      <c r="O236" s="59"/>
      <c r="P236" s="7"/>
      <c r="Q236" s="55"/>
      <c r="R236" s="55"/>
      <c r="S236" s="7"/>
      <c r="T236" s="55"/>
      <c r="U236" s="7"/>
      <c r="V236" s="55"/>
      <c r="W236" s="60"/>
      <c r="X236" s="55"/>
    </row>
    <row r="237" spans="1:24" ht="13" x14ac:dyDescent="0.15">
      <c r="A237" s="25" t="str">
        <f ca="1">IFERROR(__xludf.DUMMYFUNCTION("""COMPUTED_VALUE"""),"39441")</f>
        <v>39441</v>
      </c>
      <c r="B237" s="69">
        <f ca="1">IFERROR(__xludf.DUMMYFUNCTION("""COMPUTED_VALUE"""),44631)</f>
        <v>44631</v>
      </c>
      <c r="C237" s="69" t="str">
        <f ca="1">IFERROR(__xludf.DUMMYFUNCTION("""COMPUTED_VALUE"""),"Stock")</f>
        <v>Stock</v>
      </c>
      <c r="D237" s="5" t="str">
        <f ca="1">IFERROR(__xludf.DUMMYFUNCTION("""COMPUTED_VALUE"""),"GOOG")</f>
        <v>GOOG</v>
      </c>
      <c r="E237" s="5" t="str">
        <f ca="1">IFERROR(__xludf.DUMMYFUNCTION("""COMPUTED_VALUE"""),"USD")</f>
        <v>USD</v>
      </c>
      <c r="F237" s="55">
        <f ca="1">IFERROR(__xludf.DUMMYFUNCTION("""COMPUTED_VALUE"""),5)</f>
        <v>5</v>
      </c>
      <c r="G237" s="56">
        <f ca="1">IFERROR(__xludf.DUMMYFUNCTION("""COMPUTED_VALUE"""),7.82558958333333)</f>
        <v>7.82558958333333</v>
      </c>
      <c r="H237" s="57">
        <f ca="1">IFERROR(__xludf.DUMMYFUNCTION("""COMPUTED_VALUE"""),2609.51)</f>
        <v>2609.5100000000002</v>
      </c>
      <c r="I237" s="57">
        <f ca="1">IFERROR(__xludf.DUMMYFUNCTION("""COMPUTED_VALUE"""),2770.07)</f>
        <v>2770.07</v>
      </c>
      <c r="J237" s="70" t="str">
        <f ca="1">IFERROR(__xludf.DUMMYFUNCTION("""COMPUTED_VALUE"""),"Goto link: GOOG")</f>
        <v>Goto link: GOOG</v>
      </c>
      <c r="K237" s="19"/>
      <c r="L237" s="19"/>
      <c r="M237" s="19"/>
      <c r="N237" s="19"/>
      <c r="O237" s="59"/>
      <c r="P237" s="7"/>
      <c r="Q237" s="55"/>
      <c r="R237" s="55"/>
      <c r="S237" s="7"/>
      <c r="T237" s="55"/>
      <c r="U237" s="7"/>
      <c r="V237" s="55"/>
      <c r="W237" s="60"/>
      <c r="X237" s="55"/>
    </row>
    <row r="238" spans="1:24" ht="13" x14ac:dyDescent="0.15">
      <c r="A238" s="25" t="str">
        <f ca="1">IFERROR(__xludf.DUMMYFUNCTION("""COMPUTED_VALUE"""),"39441")</f>
        <v>39441</v>
      </c>
      <c r="B238" s="69">
        <f ca="1">IFERROR(__xludf.DUMMYFUNCTION("""COMPUTED_VALUE"""),44634)</f>
        <v>44634</v>
      </c>
      <c r="C238" s="69" t="str">
        <f ca="1">IFERROR(__xludf.DUMMYFUNCTION("""COMPUTED_VALUE"""),"Stock")</f>
        <v>Stock</v>
      </c>
      <c r="D238" s="5" t="str">
        <f ca="1">IFERROR(__xludf.DUMMYFUNCTION("""COMPUTED_VALUE"""),"AMZN")</f>
        <v>AMZN</v>
      </c>
      <c r="E238" s="5" t="str">
        <f ca="1">IFERROR(__xludf.DUMMYFUNCTION("""COMPUTED_VALUE"""),"USD")</f>
        <v>USD</v>
      </c>
      <c r="F238" s="55">
        <f ca="1">IFERROR(__xludf.DUMMYFUNCTION("""COMPUTED_VALUE"""),5)</f>
        <v>5</v>
      </c>
      <c r="G238" s="56">
        <f ca="1">IFERROR(__xludf.DUMMYFUNCTION("""COMPUTED_VALUE"""),7.82436055555555)</f>
        <v>7.8243605555555504</v>
      </c>
      <c r="H238" s="57">
        <f ca="1">IFERROR(__xludf.DUMMYFUNCTION("""COMPUTED_VALUE"""),2837.06)</f>
        <v>2837.06</v>
      </c>
      <c r="I238" s="57">
        <f ca="1">IFERROR(__xludf.DUMMYFUNCTION("""COMPUTED_VALUE"""),3268.16)</f>
        <v>3268.16</v>
      </c>
      <c r="J238" s="70" t="str">
        <f ca="1">IFERROR(__xludf.DUMMYFUNCTION("""COMPUTED_VALUE"""),"Goto link: AMZN")</f>
        <v>Goto link: AMZN</v>
      </c>
      <c r="K238" s="19"/>
      <c r="L238" s="19"/>
      <c r="M238" s="19"/>
      <c r="N238" s="19"/>
      <c r="O238" s="59"/>
      <c r="P238" s="7"/>
      <c r="Q238" s="55"/>
      <c r="R238" s="55"/>
      <c r="S238" s="7"/>
      <c r="T238" s="55"/>
      <c r="U238" s="7"/>
      <c r="V238" s="55"/>
      <c r="W238" s="60"/>
      <c r="X238" s="55"/>
    </row>
    <row r="239" spans="1:24" ht="13" x14ac:dyDescent="0.15">
      <c r="A239" s="25" t="str">
        <f ca="1">IFERROR(__xludf.DUMMYFUNCTION("""COMPUTED_VALUE"""),"39441")</f>
        <v>39441</v>
      </c>
      <c r="B239" s="69">
        <f ca="1">IFERROR(__xludf.DUMMYFUNCTION("""COMPUTED_VALUE"""),44634)</f>
        <v>44634</v>
      </c>
      <c r="C239" s="69" t="str">
        <f ca="1">IFERROR(__xludf.DUMMYFUNCTION("""COMPUTED_VALUE"""),"Stock")</f>
        <v>Stock</v>
      </c>
      <c r="D239" s="5" t="str">
        <f ca="1">IFERROR(__xludf.DUMMYFUNCTION("""COMPUTED_VALUE"""),"BABA")</f>
        <v>BABA</v>
      </c>
      <c r="E239" s="5" t="str">
        <f ca="1">IFERROR(__xludf.DUMMYFUNCTION("""COMPUTED_VALUE"""),"USD")</f>
        <v>USD</v>
      </c>
      <c r="F239" s="55">
        <f ca="1">IFERROR(__xludf.DUMMYFUNCTION("""COMPUTED_VALUE"""),20)</f>
        <v>20</v>
      </c>
      <c r="G239" s="56">
        <f ca="1">IFERROR(__xludf.DUMMYFUNCTION("""COMPUTED_VALUE"""),7.82436055555555)</f>
        <v>7.8243605555555504</v>
      </c>
      <c r="H239" s="57">
        <f ca="1">IFERROR(__xludf.DUMMYFUNCTION("""COMPUTED_VALUE"""),77.76)</f>
        <v>77.760000000000005</v>
      </c>
      <c r="I239" s="57">
        <f ca="1">IFERROR(__xludf.DUMMYFUNCTION("""COMPUTED_VALUE"""),117.24)</f>
        <v>117.24</v>
      </c>
      <c r="J239" s="70" t="str">
        <f ca="1">IFERROR(__xludf.DUMMYFUNCTION("""COMPUTED_VALUE"""),"Goto link: BABA")</f>
        <v>Goto link: BABA</v>
      </c>
      <c r="K239" s="19"/>
      <c r="L239" s="19"/>
      <c r="M239" s="19"/>
      <c r="N239" s="19"/>
      <c r="O239" s="59"/>
      <c r="P239" s="7"/>
      <c r="Q239" s="55"/>
      <c r="R239" s="55"/>
      <c r="S239" s="7"/>
      <c r="T239" s="55"/>
      <c r="U239" s="7"/>
      <c r="V239" s="55"/>
      <c r="W239" s="60"/>
      <c r="X239" s="55"/>
    </row>
    <row r="240" spans="1:24" ht="13" x14ac:dyDescent="0.15">
      <c r="A240" s="25" t="str">
        <f ca="1">IFERROR(__xludf.DUMMYFUNCTION("""COMPUTED_VALUE"""),"39441")</f>
        <v>39441</v>
      </c>
      <c r="B240" s="69">
        <f ca="1">IFERROR(__xludf.DUMMYFUNCTION("""COMPUTED_VALUE"""),44635)</f>
        <v>44635</v>
      </c>
      <c r="C240" s="69" t="str">
        <f ca="1">IFERROR(__xludf.DUMMYFUNCTION("""COMPUTED_VALUE"""),"Stock")</f>
        <v>Stock</v>
      </c>
      <c r="D240" s="71" t="str">
        <f ca="1">IFERROR(__xludf.DUMMYFUNCTION("""COMPUTED_VALUE"""),"0070.HK")</f>
        <v>0070.HK</v>
      </c>
      <c r="E240" s="5" t="str">
        <f ca="1">IFERROR(__xludf.DUMMYFUNCTION("""COMPUTED_VALUE"""),"HKD")</f>
        <v>HKD</v>
      </c>
      <c r="F240" s="55">
        <f ca="1">IFERROR(__xludf.DUMMYFUNCTION("""COMPUTED_VALUE"""),-100)</f>
        <v>-100</v>
      </c>
      <c r="G240" s="56">
        <f ca="1">IFERROR(__xludf.DUMMYFUNCTION("""COMPUTED_VALUE"""),1)</f>
        <v>1</v>
      </c>
      <c r="H240" s="57">
        <f ca="1">IFERROR(__xludf.DUMMYFUNCTION("""COMPUTED_VALUE"""),0.058)</f>
        <v>5.8000000000000003E-2</v>
      </c>
      <c r="I240" s="57">
        <f ca="1">IFERROR(__xludf.DUMMYFUNCTION("""COMPUTED_VALUE"""),0.067)</f>
        <v>6.7000000000000004E-2</v>
      </c>
      <c r="J240" s="70" t="str">
        <f ca="1">IFERROR(__xludf.DUMMYFUNCTION("""COMPUTED_VALUE"""),"Goto link: 0070.HK")</f>
        <v>Goto link: 0070.HK</v>
      </c>
      <c r="K240" s="19"/>
      <c r="L240" s="19"/>
      <c r="M240" s="19"/>
      <c r="N240" s="19"/>
      <c r="O240" s="59"/>
      <c r="P240" s="7"/>
      <c r="Q240" s="55"/>
      <c r="R240" s="55"/>
      <c r="S240" s="7"/>
      <c r="T240" s="55"/>
      <c r="U240" s="7"/>
      <c r="V240" s="55"/>
      <c r="W240" s="60"/>
      <c r="X240" s="55"/>
    </row>
    <row r="241" spans="1:24" ht="13" x14ac:dyDescent="0.15">
      <c r="A241" s="25" t="str">
        <f ca="1">IFERROR(__xludf.DUMMYFUNCTION("""COMPUTED_VALUE"""),"39441")</f>
        <v>39441</v>
      </c>
      <c r="B241" s="69">
        <f ca="1">IFERROR(__xludf.DUMMYFUNCTION("""COMPUTED_VALUE"""),44635)</f>
        <v>44635</v>
      </c>
      <c r="C241" s="69" t="str">
        <f ca="1">IFERROR(__xludf.DUMMYFUNCTION("""COMPUTED_VALUE"""),"Stock")</f>
        <v>Stock</v>
      </c>
      <c r="D241" s="5" t="str">
        <f ca="1">IFERROR(__xludf.DUMMYFUNCTION("""COMPUTED_VALUE"""),"BABA")</f>
        <v>BABA</v>
      </c>
      <c r="E241" s="5" t="str">
        <f ca="1">IFERROR(__xludf.DUMMYFUNCTION("""COMPUTED_VALUE"""),"USD")</f>
        <v>USD</v>
      </c>
      <c r="F241" s="55">
        <f ca="1">IFERROR(__xludf.DUMMYFUNCTION("""COMPUTED_VALUE"""),-200)</f>
        <v>-200</v>
      </c>
      <c r="G241" s="56">
        <f ca="1">IFERROR(__xludf.DUMMYFUNCTION("""COMPUTED_VALUE"""),7.823749375)</f>
        <v>7.8237493750000002</v>
      </c>
      <c r="H241" s="57">
        <f ca="1">IFERROR(__xludf.DUMMYFUNCTION("""COMPUTED_VALUE"""),76.76)</f>
        <v>76.760000000000005</v>
      </c>
      <c r="I241" s="57">
        <f ca="1">IFERROR(__xludf.DUMMYFUNCTION("""COMPUTED_VALUE"""),117.24)</f>
        <v>117.24</v>
      </c>
      <c r="J241" s="70" t="str">
        <f ca="1">IFERROR(__xludf.DUMMYFUNCTION("""COMPUTED_VALUE"""),"Goto link: BABA")</f>
        <v>Goto link: BABA</v>
      </c>
      <c r="K241" s="19"/>
      <c r="L241" s="19"/>
      <c r="M241" s="19"/>
      <c r="N241" s="19"/>
      <c r="O241" s="59"/>
      <c r="P241" s="7"/>
      <c r="Q241" s="55"/>
      <c r="R241" s="55"/>
      <c r="S241" s="7"/>
      <c r="T241" s="55"/>
      <c r="U241" s="7"/>
      <c r="V241" s="55"/>
      <c r="W241" s="60"/>
      <c r="X241" s="55"/>
    </row>
    <row r="242" spans="1:24" ht="13" x14ac:dyDescent="0.15">
      <c r="A242" s="25" t="str">
        <f ca="1">IFERROR(__xludf.DUMMYFUNCTION("""COMPUTED_VALUE"""),"39441")</f>
        <v>39441</v>
      </c>
      <c r="B242" s="69">
        <f ca="1">IFERROR(__xludf.DUMMYFUNCTION("""COMPUTED_VALUE"""),44636)</f>
        <v>44636</v>
      </c>
      <c r="C242" s="69" t="str">
        <f ca="1">IFERROR(__xludf.DUMMYFUNCTION("""COMPUTED_VALUE"""),"Stock")</f>
        <v>Stock</v>
      </c>
      <c r="D242" s="71" t="str">
        <f ca="1">IFERROR(__xludf.DUMMYFUNCTION("""COMPUTED_VALUE"""),"0700.HK")</f>
        <v>0700.HK</v>
      </c>
      <c r="E242" s="5" t="str">
        <f ca="1">IFERROR(__xludf.DUMMYFUNCTION("""COMPUTED_VALUE"""),"HKD")</f>
        <v>HKD</v>
      </c>
      <c r="F242" s="55">
        <f ca="1">IFERROR(__xludf.DUMMYFUNCTION("""COMPUTED_VALUE"""),-20)</f>
        <v>-20</v>
      </c>
      <c r="G242" s="56">
        <f ca="1">IFERROR(__xludf.DUMMYFUNCTION("""COMPUTED_VALUE"""),1)</f>
        <v>1</v>
      </c>
      <c r="H242" s="57">
        <f ca="1">IFERROR(__xludf.DUMMYFUNCTION("""COMPUTED_VALUE"""),367)</f>
        <v>367</v>
      </c>
      <c r="I242" s="57">
        <f ca="1">IFERROR(__xludf.DUMMYFUNCTION("""COMPUTED_VALUE"""),389)</f>
        <v>389</v>
      </c>
      <c r="J242" s="70" t="str">
        <f ca="1">IFERROR(__xludf.DUMMYFUNCTION("""COMPUTED_VALUE"""),"Goto link: 0700.HK")</f>
        <v>Goto link: 0700.HK</v>
      </c>
      <c r="K242" s="19"/>
      <c r="L242" s="19"/>
      <c r="M242" s="19"/>
      <c r="N242" s="19"/>
      <c r="O242" s="59"/>
      <c r="P242" s="7"/>
      <c r="Q242" s="55"/>
      <c r="R242" s="55"/>
      <c r="S242" s="7"/>
      <c r="T242" s="55"/>
      <c r="U242" s="7"/>
      <c r="V242" s="55"/>
      <c r="W242" s="60"/>
      <c r="X242" s="55"/>
    </row>
    <row r="243" spans="1:24" ht="13" x14ac:dyDescent="0.15">
      <c r="A243" s="25" t="str">
        <f ca="1">IFERROR(__xludf.DUMMYFUNCTION("""COMPUTED_VALUE"""),"39441")</f>
        <v>39441</v>
      </c>
      <c r="B243" s="69">
        <f ca="1">IFERROR(__xludf.DUMMYFUNCTION("""COMPUTED_VALUE"""),44636)</f>
        <v>44636</v>
      </c>
      <c r="C243" s="69" t="str">
        <f ca="1">IFERROR(__xludf.DUMMYFUNCTION("""COMPUTED_VALUE"""),"Stock")</f>
        <v>Stock</v>
      </c>
      <c r="D243" s="71" t="str">
        <f ca="1">IFERROR(__xludf.DUMMYFUNCTION("""COMPUTED_VALUE"""),"0700.HK")</f>
        <v>0700.HK</v>
      </c>
      <c r="E243" s="5" t="str">
        <f ca="1">IFERROR(__xludf.DUMMYFUNCTION("""COMPUTED_VALUE"""),"HKD")</f>
        <v>HKD</v>
      </c>
      <c r="F243" s="55">
        <f ca="1">IFERROR(__xludf.DUMMYFUNCTION("""COMPUTED_VALUE"""),10)</f>
        <v>10</v>
      </c>
      <c r="G243" s="56">
        <f ca="1">IFERROR(__xludf.DUMMYFUNCTION("""COMPUTED_VALUE"""),1)</f>
        <v>1</v>
      </c>
      <c r="H243" s="57">
        <f ca="1">IFERROR(__xludf.DUMMYFUNCTION("""COMPUTED_VALUE"""),298)</f>
        <v>298</v>
      </c>
      <c r="I243" s="57">
        <f ca="1">IFERROR(__xludf.DUMMYFUNCTION("""COMPUTED_VALUE"""),389)</f>
        <v>389</v>
      </c>
      <c r="J243" s="70" t="str">
        <f ca="1">IFERROR(__xludf.DUMMYFUNCTION("""COMPUTED_VALUE"""),"Goto link: 0700.HK")</f>
        <v>Goto link: 0700.HK</v>
      </c>
      <c r="K243" s="19"/>
      <c r="L243" s="19"/>
      <c r="M243" s="19"/>
      <c r="N243" s="19"/>
      <c r="O243" s="59"/>
      <c r="P243" s="7"/>
      <c r="Q243" s="55"/>
      <c r="R243" s="55"/>
      <c r="S243" s="7"/>
      <c r="T243" s="55"/>
      <c r="U243" s="7"/>
      <c r="V243" s="55"/>
      <c r="W243" s="60"/>
      <c r="X243" s="55"/>
    </row>
    <row r="244" spans="1:24" ht="13" x14ac:dyDescent="0.15">
      <c r="A244" s="25" t="str">
        <f ca="1">IFERROR(__xludf.DUMMYFUNCTION("""COMPUTED_VALUE"""),"39441")</f>
        <v>39441</v>
      </c>
      <c r="B244" s="69">
        <f ca="1">IFERROR(__xludf.DUMMYFUNCTION("""COMPUTED_VALUE"""),44636)</f>
        <v>44636</v>
      </c>
      <c r="C244" s="69" t="str">
        <f ca="1">IFERROR(__xludf.DUMMYFUNCTION("""COMPUTED_VALUE"""),"Stock")</f>
        <v>Stock</v>
      </c>
      <c r="D244" s="5" t="str">
        <f ca="1">IFERROR(__xludf.DUMMYFUNCTION("""COMPUTED_VALUE"""),"BABA")</f>
        <v>BABA</v>
      </c>
      <c r="E244" s="5" t="str">
        <f ca="1">IFERROR(__xludf.DUMMYFUNCTION("""COMPUTED_VALUE"""),"USD")</f>
        <v>USD</v>
      </c>
      <c r="F244" s="55">
        <f ca="1">IFERROR(__xludf.DUMMYFUNCTION("""COMPUTED_VALUE"""),-200)</f>
        <v>-200</v>
      </c>
      <c r="G244" s="56">
        <f ca="1">IFERROR(__xludf.DUMMYFUNCTION("""COMPUTED_VALUE"""),7.82329214285714)</f>
        <v>7.8232921428571398</v>
      </c>
      <c r="H244" s="57">
        <f ca="1">IFERROR(__xludf.DUMMYFUNCTION("""COMPUTED_VALUE"""),104.98)</f>
        <v>104.98</v>
      </c>
      <c r="I244" s="57">
        <f ca="1">IFERROR(__xludf.DUMMYFUNCTION("""COMPUTED_VALUE"""),117.24)</f>
        <v>117.24</v>
      </c>
      <c r="J244" s="70" t="str">
        <f ca="1">IFERROR(__xludf.DUMMYFUNCTION("""COMPUTED_VALUE"""),"Goto link: BABA")</f>
        <v>Goto link: BABA</v>
      </c>
      <c r="K244" s="19"/>
      <c r="L244" s="19"/>
      <c r="M244" s="19"/>
      <c r="N244" s="19"/>
      <c r="O244" s="59"/>
      <c r="P244" s="7"/>
      <c r="Q244" s="55"/>
      <c r="R244" s="55"/>
      <c r="S244" s="7"/>
      <c r="T244" s="55"/>
      <c r="U244" s="7"/>
      <c r="V244" s="55"/>
      <c r="W244" s="60"/>
      <c r="X244" s="55"/>
    </row>
    <row r="245" spans="1:24" ht="13" x14ac:dyDescent="0.15">
      <c r="A245" s="25" t="str">
        <f ca="1">IFERROR(__xludf.DUMMYFUNCTION("""COMPUTED_VALUE"""),"39441")</f>
        <v>39441</v>
      </c>
      <c r="B245" s="69">
        <f ca="1">IFERROR(__xludf.DUMMYFUNCTION("""COMPUTED_VALUE"""),44637)</f>
        <v>44637</v>
      </c>
      <c r="C245" s="69" t="str">
        <f ca="1">IFERROR(__xludf.DUMMYFUNCTION("""COMPUTED_VALUE"""),"Stock")</f>
        <v>Stock</v>
      </c>
      <c r="D245" s="5" t="str">
        <f ca="1">IFERROR(__xludf.DUMMYFUNCTION("""COMPUTED_VALUE"""),"BABA")</f>
        <v>BABA</v>
      </c>
      <c r="E245" s="5" t="str">
        <f ca="1">IFERROR(__xludf.DUMMYFUNCTION("""COMPUTED_VALUE"""),"USD")</f>
        <v>USD</v>
      </c>
      <c r="F245" s="55">
        <f ca="1">IFERROR(__xludf.DUMMYFUNCTION("""COMPUTED_VALUE"""),0)</f>
        <v>0</v>
      </c>
      <c r="G245" s="56">
        <f ca="1">IFERROR(__xludf.DUMMYFUNCTION("""COMPUTED_VALUE"""),7.82374916666666)</f>
        <v>7.8237491666666603</v>
      </c>
      <c r="H245" s="57">
        <f ca="1">IFERROR(__xludf.DUMMYFUNCTION("""COMPUTED_VALUE"""),0)</f>
        <v>0</v>
      </c>
      <c r="I245" s="57">
        <f ca="1">IFERROR(__xludf.DUMMYFUNCTION("""COMPUTED_VALUE"""),117.24)</f>
        <v>117.24</v>
      </c>
      <c r="J245" s="70" t="str">
        <f ca="1">IFERROR(__xludf.DUMMYFUNCTION("""COMPUTED_VALUE"""),"Goto link: BABA")</f>
        <v>Goto link: BABA</v>
      </c>
      <c r="K245" s="19"/>
      <c r="L245" s="19"/>
      <c r="M245" s="19"/>
      <c r="N245" s="19"/>
      <c r="O245" s="59"/>
      <c r="P245" s="7"/>
      <c r="Q245" s="55"/>
      <c r="R245" s="55"/>
      <c r="S245" s="7"/>
      <c r="T245" s="55"/>
      <c r="U245" s="7"/>
      <c r="V245" s="55"/>
      <c r="W245" s="60"/>
      <c r="X245" s="55"/>
    </row>
    <row r="246" spans="1:24" ht="13" x14ac:dyDescent="0.15">
      <c r="A246" s="25" t="str">
        <f ca="1">IFERROR(__xludf.DUMMYFUNCTION("""COMPUTED_VALUE"""),"39441")</f>
        <v>39441</v>
      </c>
      <c r="B246" s="69">
        <f ca="1">IFERROR(__xludf.DUMMYFUNCTION("""COMPUTED_VALUE"""),44638)</f>
        <v>44638</v>
      </c>
      <c r="C246" s="69" t="str">
        <f ca="1">IFERROR(__xludf.DUMMYFUNCTION("""COMPUTED_VALUE"""),"Stock")</f>
        <v>Stock</v>
      </c>
      <c r="D246" s="5" t="str">
        <f ca="1">IFERROR(__xludf.DUMMYFUNCTION("""COMPUTED_VALUE"""),"AMZN")</f>
        <v>AMZN</v>
      </c>
      <c r="E246" s="5" t="str">
        <f ca="1">IFERROR(__xludf.DUMMYFUNCTION("""COMPUTED_VALUE"""),"USD")</f>
        <v>USD</v>
      </c>
      <c r="F246" s="55">
        <f ca="1">IFERROR(__xludf.DUMMYFUNCTION("""COMPUTED_VALUE"""),-11)</f>
        <v>-11</v>
      </c>
      <c r="G246" s="56">
        <f ca="1">IFERROR(__xludf.DUMMYFUNCTION("""COMPUTED_VALUE"""),7.825109)</f>
        <v>7.8251090000000003</v>
      </c>
      <c r="H246" s="57">
        <f ca="1">IFERROR(__xludf.DUMMYFUNCTION("""COMPUTED_VALUE"""),3225.01)</f>
        <v>3225.01</v>
      </c>
      <c r="I246" s="57">
        <f ca="1">IFERROR(__xludf.DUMMYFUNCTION("""COMPUTED_VALUE"""),3268.16)</f>
        <v>3268.16</v>
      </c>
      <c r="J246" s="70" t="str">
        <f ca="1">IFERROR(__xludf.DUMMYFUNCTION("""COMPUTED_VALUE"""),"Goto link: AMZN")</f>
        <v>Goto link: AMZN</v>
      </c>
      <c r="K246" s="19"/>
      <c r="L246" s="19"/>
      <c r="M246" s="19"/>
      <c r="N246" s="19"/>
      <c r="O246" s="59"/>
      <c r="P246" s="7"/>
      <c r="Q246" s="55"/>
      <c r="R246" s="55"/>
      <c r="S246" s="7"/>
      <c r="T246" s="55"/>
      <c r="U246" s="7"/>
      <c r="V246" s="55"/>
      <c r="W246" s="60"/>
      <c r="X246" s="55"/>
    </row>
    <row r="247" spans="1:24" ht="13" x14ac:dyDescent="0.15">
      <c r="A247" s="25" t="str">
        <f ca="1">IFERROR(__xludf.DUMMYFUNCTION("""COMPUTED_VALUE"""),"39441")</f>
        <v>39441</v>
      </c>
      <c r="B247" s="69">
        <f ca="1">IFERROR(__xludf.DUMMYFUNCTION("""COMPUTED_VALUE"""),44638)</f>
        <v>44638</v>
      </c>
      <c r="C247" s="69" t="str">
        <f ca="1">IFERROR(__xludf.DUMMYFUNCTION("""COMPUTED_VALUE"""),"Stock")</f>
        <v>Stock</v>
      </c>
      <c r="D247" s="5" t="str">
        <f ca="1">IFERROR(__xludf.DUMMYFUNCTION("""COMPUTED_VALUE"""),"GC=F")</f>
        <v>GC=F</v>
      </c>
      <c r="E247" s="5" t="str">
        <f ca="1">IFERROR(__xludf.DUMMYFUNCTION("""COMPUTED_VALUE"""),"USD")</f>
        <v>USD</v>
      </c>
      <c r="F247" s="55">
        <f ca="1">IFERROR(__xludf.DUMMYFUNCTION("""COMPUTED_VALUE"""),0)</f>
        <v>0</v>
      </c>
      <c r="G247" s="56">
        <f ca="1">IFERROR(__xludf.DUMMYFUNCTION("""COMPUTED_VALUE"""),7.825109)</f>
        <v>7.8251090000000003</v>
      </c>
      <c r="H247" s="57">
        <f ca="1">IFERROR(__xludf.DUMMYFUNCTION("""COMPUTED_VALUE"""),0)</f>
        <v>0</v>
      </c>
      <c r="I247" s="57">
        <f ca="1">IFERROR(__xludf.DUMMYFUNCTION("""COMPUTED_VALUE"""),1947.3)</f>
        <v>1947.3</v>
      </c>
      <c r="J247" s="70" t="str">
        <f ca="1">IFERROR(__xludf.DUMMYFUNCTION("""COMPUTED_VALUE"""),"Goto link: GC=F")</f>
        <v>Goto link: GC=F</v>
      </c>
      <c r="K247" s="19"/>
      <c r="L247" s="19"/>
      <c r="M247" s="19"/>
      <c r="N247" s="19"/>
      <c r="O247" s="59"/>
      <c r="P247" s="7"/>
      <c r="Q247" s="55"/>
      <c r="R247" s="55"/>
      <c r="S247" s="7"/>
      <c r="T247" s="55"/>
      <c r="U247" s="7"/>
      <c r="V247" s="55"/>
      <c r="W247" s="60"/>
      <c r="X247" s="55"/>
    </row>
    <row r="248" spans="1:24" ht="13" x14ac:dyDescent="0.15">
      <c r="A248" s="25" t="str">
        <f ca="1">IFERROR(__xludf.DUMMYFUNCTION("""COMPUTED_VALUE"""),"39441")</f>
        <v>39441</v>
      </c>
      <c r="B248" s="69">
        <f ca="1">IFERROR(__xludf.DUMMYFUNCTION("""COMPUTED_VALUE"""),44641)</f>
        <v>44641</v>
      </c>
      <c r="C248" s="69" t="str">
        <f ca="1">IFERROR(__xludf.DUMMYFUNCTION("""COMPUTED_VALUE"""),"Stock")</f>
        <v>Stock</v>
      </c>
      <c r="D248" s="71" t="str">
        <f ca="1">IFERROR(__xludf.DUMMYFUNCTION("""COMPUTED_VALUE"""),"0700.HK")</f>
        <v>0700.HK</v>
      </c>
      <c r="E248" s="5" t="str">
        <f ca="1">IFERROR(__xludf.DUMMYFUNCTION("""COMPUTED_VALUE"""),"HKD")</f>
        <v>HKD</v>
      </c>
      <c r="F248" s="55">
        <f ca="1">IFERROR(__xludf.DUMMYFUNCTION("""COMPUTED_VALUE"""),10)</f>
        <v>10</v>
      </c>
      <c r="G248" s="56">
        <f ca="1">IFERROR(__xludf.DUMMYFUNCTION("""COMPUTED_VALUE"""),1)</f>
        <v>1</v>
      </c>
      <c r="H248" s="57">
        <f ca="1">IFERROR(__xludf.DUMMYFUNCTION("""COMPUTED_VALUE"""),372.4)</f>
        <v>372.4</v>
      </c>
      <c r="I248" s="57">
        <f ca="1">IFERROR(__xludf.DUMMYFUNCTION("""COMPUTED_VALUE"""),389)</f>
        <v>389</v>
      </c>
      <c r="J248" s="70" t="str">
        <f ca="1">IFERROR(__xludf.DUMMYFUNCTION("""COMPUTED_VALUE"""),"Goto link: 0700.HK")</f>
        <v>Goto link: 0700.HK</v>
      </c>
      <c r="K248" s="19"/>
      <c r="L248" s="19"/>
      <c r="M248" s="19"/>
      <c r="N248" s="19"/>
      <c r="O248" s="59"/>
      <c r="P248" s="7"/>
      <c r="Q248" s="55"/>
      <c r="R248" s="55"/>
      <c r="S248" s="7"/>
      <c r="T248" s="55"/>
      <c r="U248" s="7"/>
      <c r="V248" s="55"/>
      <c r="W248" s="60"/>
      <c r="X248" s="55"/>
    </row>
    <row r="249" spans="1:24" ht="13" x14ac:dyDescent="0.15">
      <c r="A249" s="25" t="str">
        <f ca="1">IFERROR(__xludf.DUMMYFUNCTION("""COMPUTED_VALUE"""),"39441")</f>
        <v>39441</v>
      </c>
      <c r="B249" s="69">
        <f ca="1">IFERROR(__xludf.DUMMYFUNCTION("""COMPUTED_VALUE"""),44641)</f>
        <v>44641</v>
      </c>
      <c r="C249" s="69" t="str">
        <f ca="1">IFERROR(__xludf.DUMMYFUNCTION("""COMPUTED_VALUE"""),"Stock")</f>
        <v>Stock</v>
      </c>
      <c r="D249" s="5" t="str">
        <f ca="1">IFERROR(__xludf.DUMMYFUNCTION("""COMPUTED_VALUE"""),"AAPL")</f>
        <v>AAPL</v>
      </c>
      <c r="E249" s="5" t="str">
        <f ca="1">IFERROR(__xludf.DUMMYFUNCTION("""COMPUTED_VALUE"""),"USD")</f>
        <v>USD</v>
      </c>
      <c r="F249" s="55">
        <f ca="1">IFERROR(__xludf.DUMMYFUNCTION("""COMPUTED_VALUE"""),100)</f>
        <v>100</v>
      </c>
      <c r="G249" s="56">
        <f ca="1">IFERROR(__xludf.DUMMYFUNCTION("""COMPUTED_VALUE"""),7.8262)</f>
        <v>7.8262</v>
      </c>
      <c r="H249" s="57">
        <f ca="1">IFERROR(__xludf.DUMMYFUNCTION("""COMPUTED_VALUE"""),165.38)</f>
        <v>165.38</v>
      </c>
      <c r="I249" s="57">
        <f ca="1">IFERROR(__xludf.DUMMYFUNCTION("""COMPUTED_VALUE"""),170.21)</f>
        <v>170.21</v>
      </c>
      <c r="J249" s="70" t="str">
        <f ca="1">IFERROR(__xludf.DUMMYFUNCTION("""COMPUTED_VALUE"""),"Goto link: AAPL")</f>
        <v>Goto link: AAPL</v>
      </c>
      <c r="K249" s="19"/>
      <c r="L249" s="19"/>
      <c r="M249" s="19"/>
      <c r="N249" s="19"/>
      <c r="O249" s="59"/>
      <c r="P249" s="7"/>
      <c r="Q249" s="55"/>
      <c r="R249" s="55"/>
      <c r="S249" s="7"/>
      <c r="T249" s="55"/>
      <c r="U249" s="7"/>
      <c r="V249" s="55"/>
      <c r="W249" s="60"/>
      <c r="X249" s="55"/>
    </row>
    <row r="250" spans="1:24" ht="13" x14ac:dyDescent="0.15">
      <c r="A250" s="25" t="str">
        <f ca="1">IFERROR(__xludf.DUMMYFUNCTION("""COMPUTED_VALUE"""),"39441")</f>
        <v>39441</v>
      </c>
      <c r="B250" s="69">
        <f ca="1">IFERROR(__xludf.DUMMYFUNCTION("""COMPUTED_VALUE"""),44641)</f>
        <v>44641</v>
      </c>
      <c r="C250" s="69" t="str">
        <f ca="1">IFERROR(__xludf.DUMMYFUNCTION("""COMPUTED_VALUE"""),"Stock")</f>
        <v>Stock</v>
      </c>
      <c r="D250" s="5" t="str">
        <f ca="1">IFERROR(__xludf.DUMMYFUNCTION("""COMPUTED_VALUE"""),"AMZN")</f>
        <v>AMZN</v>
      </c>
      <c r="E250" s="5" t="str">
        <f ca="1">IFERROR(__xludf.DUMMYFUNCTION("""COMPUTED_VALUE"""),"USD")</f>
        <v>USD</v>
      </c>
      <c r="F250" s="55" t="str">
        <f ca="1">IFERROR(__xludf.DUMMYFUNCTION("""COMPUTED_VALUE"""),"")</f>
        <v/>
      </c>
      <c r="G250" s="56">
        <f ca="1">IFERROR(__xludf.DUMMYFUNCTION("""COMPUTED_VALUE"""),7.8262)</f>
        <v>7.8262</v>
      </c>
      <c r="H250" s="57">
        <f ca="1">IFERROR(__xludf.DUMMYFUNCTION("""COMPUTED_VALUE"""),3229.83)</f>
        <v>3229.83</v>
      </c>
      <c r="I250" s="57">
        <f ca="1">IFERROR(__xludf.DUMMYFUNCTION("""COMPUTED_VALUE"""),3268.16)</f>
        <v>3268.16</v>
      </c>
      <c r="J250" s="70" t="str">
        <f ca="1">IFERROR(__xludf.DUMMYFUNCTION("""COMPUTED_VALUE"""),"Goto link: AMZN")</f>
        <v>Goto link: AMZN</v>
      </c>
      <c r="K250" s="19"/>
      <c r="L250" s="19"/>
      <c r="M250" s="19"/>
      <c r="N250" s="19"/>
      <c r="O250" s="59"/>
      <c r="P250" s="7"/>
      <c r="Q250" s="55"/>
      <c r="R250" s="55"/>
      <c r="S250" s="7"/>
      <c r="T250" s="55"/>
      <c r="U250" s="7"/>
      <c r="V250" s="55"/>
      <c r="W250" s="60"/>
      <c r="X250" s="55"/>
    </row>
    <row r="251" spans="1:24" ht="13" x14ac:dyDescent="0.15">
      <c r="A251" s="25" t="str">
        <f ca="1">IFERROR(__xludf.DUMMYFUNCTION("""COMPUTED_VALUE"""),"39441")</f>
        <v>39441</v>
      </c>
      <c r="B251" s="69">
        <f ca="1">IFERROR(__xludf.DUMMYFUNCTION("""COMPUTED_VALUE"""),44641)</f>
        <v>44641</v>
      </c>
      <c r="C251" s="69" t="str">
        <f ca="1">IFERROR(__xludf.DUMMYFUNCTION("""COMPUTED_VALUE"""),"Stock")</f>
        <v>Stock</v>
      </c>
      <c r="D251" s="5" t="str">
        <f ca="1">IFERROR(__xludf.DUMMYFUNCTION("""COMPUTED_VALUE"""),"BABA")</f>
        <v>BABA</v>
      </c>
      <c r="E251" s="5" t="str">
        <f ca="1">IFERROR(__xludf.DUMMYFUNCTION("""COMPUTED_VALUE"""),"USD")</f>
        <v>USD</v>
      </c>
      <c r="F251" s="55" t="str">
        <f ca="1">IFERROR(__xludf.DUMMYFUNCTION("""COMPUTED_VALUE"""),"")</f>
        <v/>
      </c>
      <c r="G251" s="56">
        <f ca="1">IFERROR(__xludf.DUMMYFUNCTION("""COMPUTED_VALUE"""),7.8262)</f>
        <v>7.8262</v>
      </c>
      <c r="H251" s="57">
        <f ca="1">IFERROR(__xludf.DUMMYFUNCTION("""COMPUTED_VALUE"""),103.59)</f>
        <v>103.59</v>
      </c>
      <c r="I251" s="57">
        <f ca="1">IFERROR(__xludf.DUMMYFUNCTION("""COMPUTED_VALUE"""),117.24)</f>
        <v>117.24</v>
      </c>
      <c r="J251" s="70" t="str">
        <f ca="1">IFERROR(__xludf.DUMMYFUNCTION("""COMPUTED_VALUE"""),"Goto link: BABA")</f>
        <v>Goto link: BABA</v>
      </c>
      <c r="K251" s="19"/>
      <c r="L251" s="19"/>
      <c r="M251" s="19"/>
      <c r="N251" s="19"/>
      <c r="O251" s="59"/>
      <c r="P251" s="7"/>
      <c r="Q251" s="55"/>
      <c r="R251" s="55"/>
      <c r="S251" s="7"/>
      <c r="T251" s="55"/>
      <c r="U251" s="7"/>
      <c r="V251" s="55"/>
      <c r="W251" s="60"/>
      <c r="X251" s="55"/>
    </row>
    <row r="252" spans="1:24" ht="13" x14ac:dyDescent="0.15">
      <c r="A252" s="25" t="str">
        <f ca="1">IFERROR(__xludf.DUMMYFUNCTION("""COMPUTED_VALUE"""),"39441")</f>
        <v>39441</v>
      </c>
      <c r="B252" s="69">
        <f ca="1">IFERROR(__xludf.DUMMYFUNCTION("""COMPUTED_VALUE"""),44642)</f>
        <v>44642</v>
      </c>
      <c r="C252" s="69" t="str">
        <f ca="1">IFERROR(__xludf.DUMMYFUNCTION("""COMPUTED_VALUE"""),"Stock")</f>
        <v>Stock</v>
      </c>
      <c r="D252" s="71" t="str">
        <f ca="1">IFERROR(__xludf.DUMMYFUNCTION("""COMPUTED_VALUE"""),"0700.HK")</f>
        <v>0700.HK</v>
      </c>
      <c r="E252" s="5" t="str">
        <f ca="1">IFERROR(__xludf.DUMMYFUNCTION("""COMPUTED_VALUE"""),"HKD")</f>
        <v>HKD</v>
      </c>
      <c r="F252" s="55">
        <f ca="1">IFERROR(__xludf.DUMMYFUNCTION("""COMPUTED_VALUE"""),0)</f>
        <v>0</v>
      </c>
      <c r="G252" s="56">
        <f ca="1">IFERROR(__xludf.DUMMYFUNCTION("""COMPUTED_VALUE"""),1)</f>
        <v>1</v>
      </c>
      <c r="H252" s="57">
        <f ca="1">IFERROR(__xludf.DUMMYFUNCTION("""COMPUTED_VALUE"""),0)</f>
        <v>0</v>
      </c>
      <c r="I252" s="57">
        <f ca="1">IFERROR(__xludf.DUMMYFUNCTION("""COMPUTED_VALUE"""),389)</f>
        <v>389</v>
      </c>
      <c r="J252" s="70" t="str">
        <f ca="1">IFERROR(__xludf.DUMMYFUNCTION("""COMPUTED_VALUE"""),"Goto link: 0700.HK")</f>
        <v>Goto link: 0700.HK</v>
      </c>
      <c r="K252" s="19"/>
      <c r="L252" s="19"/>
      <c r="M252" s="19"/>
      <c r="N252" s="19"/>
      <c r="O252" s="59"/>
      <c r="P252" s="7"/>
      <c r="Q252" s="55"/>
      <c r="R252" s="55"/>
      <c r="S252" s="7"/>
      <c r="T252" s="55"/>
      <c r="U252" s="7"/>
      <c r="V252" s="55"/>
      <c r="W252" s="60"/>
      <c r="X252" s="55"/>
    </row>
    <row r="253" spans="1:24" ht="13" x14ac:dyDescent="0.15">
      <c r="A253" s="25" t="str">
        <f ca="1">IFERROR(__xludf.DUMMYFUNCTION("""COMPUTED_VALUE"""),"39441 Total")</f>
        <v>39441 Total</v>
      </c>
      <c r="B253" s="5"/>
      <c r="C253" s="69"/>
      <c r="D253" s="5"/>
      <c r="E253" s="5"/>
      <c r="F253" s="55"/>
      <c r="G253" s="56">
        <f ca="1">IFERROR(__xludf.DUMMYFUNCTION("""COMPUTED_VALUE"""),5.15398926056337)</f>
        <v>5.1539892605633701</v>
      </c>
      <c r="H253" s="57">
        <f ca="1">IFERROR(__xludf.DUMMYFUNCTION("""COMPUTED_VALUE"""),3229.83)</f>
        <v>3229.83</v>
      </c>
      <c r="I253" s="57" t="str">
        <f ca="1">IFERROR(__xludf.DUMMYFUNCTION("""COMPUTED_VALUE"""),"")</f>
        <v/>
      </c>
      <c r="J253" s="19" t="str">
        <f ca="1">IFERROR(__xludf.DUMMYFUNCTION("""COMPUTED_VALUE"""),"")</f>
        <v/>
      </c>
      <c r="K253" s="19"/>
      <c r="L253" s="19"/>
      <c r="M253" s="19"/>
      <c r="N253" s="19"/>
      <c r="O253" s="59"/>
      <c r="P253" s="7"/>
      <c r="Q253" s="55"/>
      <c r="R253" s="55"/>
      <c r="S253" s="7"/>
      <c r="T253" s="55"/>
      <c r="U253" s="7"/>
      <c r="V253" s="55"/>
      <c r="W253" s="60"/>
      <c r="X253" s="55"/>
    </row>
    <row r="254" spans="1:24" ht="13" x14ac:dyDescent="0.15">
      <c r="A254" s="25" t="str">
        <f ca="1">IFERROR(__xludf.DUMMYFUNCTION("""COMPUTED_VALUE"""),"39494")</f>
        <v>39494</v>
      </c>
      <c r="B254" s="69">
        <f ca="1">IFERROR(__xludf.DUMMYFUNCTION("""COMPUTED_VALUE"""),44597)</f>
        <v>44597</v>
      </c>
      <c r="C254" s="69" t="str">
        <f ca="1">IFERROR(__xludf.DUMMYFUNCTION("""COMPUTED_VALUE"""),"Cash")</f>
        <v>Cash</v>
      </c>
      <c r="D254" s="5" t="str">
        <f ca="1">IFERROR(__xludf.DUMMYFUNCTION("""COMPUTED_VALUE"""),"Cash")</f>
        <v>Cash</v>
      </c>
      <c r="E254" s="5" t="str">
        <f ca="1">IFERROR(__xludf.DUMMYFUNCTION("""COMPUTED_VALUE"""),"HKD")</f>
        <v>HKD</v>
      </c>
      <c r="F254" s="55" t="str">
        <f ca="1">IFERROR(__xludf.DUMMYFUNCTION("""COMPUTED_VALUE"""),"")</f>
        <v/>
      </c>
      <c r="G254" s="56">
        <f ca="1">IFERROR(__xludf.DUMMYFUNCTION("""COMPUTED_VALUE"""),1)</f>
        <v>1</v>
      </c>
      <c r="H254" s="57">
        <f ca="1">IFERROR(__xludf.DUMMYFUNCTION("""COMPUTED_VALUE"""),1)</f>
        <v>1</v>
      </c>
      <c r="I254" s="57">
        <f ca="1">IFERROR(__xludf.DUMMYFUNCTION("""COMPUTED_VALUE"""),1)</f>
        <v>1</v>
      </c>
      <c r="J254" s="19" t="str">
        <f ca="1">IFERROR(__xludf.DUMMYFUNCTION("""COMPUTED_VALUE"""),"")</f>
        <v/>
      </c>
      <c r="K254" s="19"/>
      <c r="L254" s="19"/>
      <c r="M254" s="19"/>
      <c r="N254" s="19"/>
      <c r="O254" s="59"/>
      <c r="P254" s="7"/>
      <c r="Q254" s="55"/>
      <c r="R254" s="55"/>
      <c r="S254" s="7"/>
      <c r="T254" s="55"/>
      <c r="U254" s="7"/>
      <c r="V254" s="55"/>
      <c r="W254" s="60"/>
      <c r="X254" s="55"/>
    </row>
    <row r="255" spans="1:24" ht="13" x14ac:dyDescent="0.15">
      <c r="A255" s="25" t="str">
        <f ca="1">IFERROR(__xludf.DUMMYFUNCTION("""COMPUTED_VALUE"""),"39494")</f>
        <v>39494</v>
      </c>
      <c r="B255" s="69">
        <f ca="1">IFERROR(__xludf.DUMMYFUNCTION("""COMPUTED_VALUE"""),44606)</f>
        <v>44606</v>
      </c>
      <c r="C255" s="69" t="str">
        <f ca="1">IFERROR(__xludf.DUMMYFUNCTION("""COMPUTED_VALUE"""),"Stock")</f>
        <v>Stock</v>
      </c>
      <c r="D255" s="5" t="str">
        <f ca="1">IFERROR(__xludf.DUMMYFUNCTION("""COMPUTED_VALUE"""),"MSFT")</f>
        <v>MSFT</v>
      </c>
      <c r="E255" s="5" t="str">
        <f ca="1">IFERROR(__xludf.DUMMYFUNCTION("""COMPUTED_VALUE"""),"USD")</f>
        <v>USD</v>
      </c>
      <c r="F255" s="55">
        <f ca="1">IFERROR(__xludf.DUMMYFUNCTION("""COMPUTED_VALUE"""),3)</f>
        <v>3</v>
      </c>
      <c r="G255" s="56">
        <f ca="1">IFERROR(__xludf.DUMMYFUNCTION("""COMPUTED_VALUE"""),7.8144877027027)</f>
        <v>7.8144877027027002</v>
      </c>
      <c r="H255" s="57">
        <f ca="1">IFERROR(__xludf.DUMMYFUNCTION("""COMPUTED_VALUE"""),295)</f>
        <v>295</v>
      </c>
      <c r="I255" s="57">
        <f ca="1">IFERROR(__xludf.DUMMYFUNCTION("""COMPUTED_VALUE"""),299.49)</f>
        <v>299.49</v>
      </c>
      <c r="J255" s="70" t="str">
        <f ca="1">IFERROR(__xludf.DUMMYFUNCTION("""COMPUTED_VALUE"""),"Goto link: MSFT")</f>
        <v>Goto link: MSFT</v>
      </c>
      <c r="K255" s="19"/>
      <c r="L255" s="19"/>
      <c r="M255" s="19"/>
      <c r="N255" s="19"/>
      <c r="O255" s="59"/>
      <c r="P255" s="7"/>
      <c r="Q255" s="55"/>
      <c r="R255" s="55"/>
      <c r="S255" s="7"/>
      <c r="T255" s="55"/>
      <c r="U255" s="7"/>
      <c r="V255" s="55"/>
      <c r="W255" s="60"/>
      <c r="X255" s="55"/>
    </row>
    <row r="256" spans="1:24" ht="13" x14ac:dyDescent="0.15">
      <c r="A256" s="25" t="str">
        <f ca="1">IFERROR(__xludf.DUMMYFUNCTION("""COMPUTED_VALUE"""),"39494")</f>
        <v>39494</v>
      </c>
      <c r="B256" s="69">
        <f ca="1">IFERROR(__xludf.DUMMYFUNCTION("""COMPUTED_VALUE"""),44606)</f>
        <v>44606</v>
      </c>
      <c r="C256" s="69" t="str">
        <f ca="1">IFERROR(__xludf.DUMMYFUNCTION("""COMPUTED_VALUE"""),"Stock")</f>
        <v>Stock</v>
      </c>
      <c r="D256" s="71" t="str">
        <f ca="1">IFERROR(__xludf.DUMMYFUNCTION("""COMPUTED_VALUE"""),"UBI.PA")</f>
        <v>UBI.PA</v>
      </c>
      <c r="E256" s="5" t="str">
        <f ca="1">IFERROR(__xludf.DUMMYFUNCTION("""COMPUTED_VALUE"""),"EUR")</f>
        <v>EUR</v>
      </c>
      <c r="F256" s="55">
        <f ca="1">IFERROR(__xludf.DUMMYFUNCTION("""COMPUTED_VALUE"""),5)</f>
        <v>5</v>
      </c>
      <c r="G256" s="56">
        <f ca="1">IFERROR(__xludf.DUMMYFUNCTION("""COMPUTED_VALUE"""),8.6867477027027)</f>
        <v>8.6867477027027</v>
      </c>
      <c r="H256" s="57">
        <f ca="1">IFERROR(__xludf.DUMMYFUNCTION("""COMPUTED_VALUE"""),50.44)</f>
        <v>50.44</v>
      </c>
      <c r="I256" s="57">
        <f ca="1">IFERROR(__xludf.DUMMYFUNCTION("""COMPUTED_VALUE"""),41.58)</f>
        <v>41.58</v>
      </c>
      <c r="J256" s="70" t="str">
        <f ca="1">IFERROR(__xludf.DUMMYFUNCTION("""COMPUTED_VALUE"""),"Goto link: UBI.PA")</f>
        <v>Goto link: UBI.PA</v>
      </c>
      <c r="K256" s="19"/>
      <c r="L256" s="19"/>
      <c r="M256" s="19"/>
      <c r="N256" s="19"/>
      <c r="O256" s="59"/>
      <c r="P256" s="7"/>
      <c r="Q256" s="55"/>
      <c r="R256" s="55"/>
      <c r="S256" s="7"/>
      <c r="T256" s="55"/>
      <c r="U256" s="7"/>
      <c r="V256" s="55"/>
      <c r="W256" s="60"/>
      <c r="X256" s="55"/>
    </row>
    <row r="257" spans="1:24" ht="13" x14ac:dyDescent="0.15">
      <c r="A257" s="25" t="str">
        <f ca="1">IFERROR(__xludf.DUMMYFUNCTION("""COMPUTED_VALUE"""),"39494")</f>
        <v>39494</v>
      </c>
      <c r="B257" s="69">
        <f ca="1">IFERROR(__xludf.DUMMYFUNCTION("""COMPUTED_VALUE"""),44608)</f>
        <v>44608</v>
      </c>
      <c r="C257" s="69" t="str">
        <f ca="1">IFERROR(__xludf.DUMMYFUNCTION("""COMPUTED_VALUE"""),"Stock")</f>
        <v>Stock</v>
      </c>
      <c r="D257" s="5" t="str">
        <f ca="1">IFERROR(__xludf.DUMMYFUNCTION("""COMPUTED_VALUE"""),"NTDOY")</f>
        <v>NTDOY</v>
      </c>
      <c r="E257" s="5" t="str">
        <f ca="1">IFERROR(__xludf.DUMMYFUNCTION("""COMPUTED_VALUE"""),"USD")</f>
        <v>USD</v>
      </c>
      <c r="F257" s="55">
        <f ca="1">IFERROR(__xludf.DUMMYFUNCTION("""COMPUTED_VALUE"""),100)</f>
        <v>100</v>
      </c>
      <c r="G257" s="56">
        <f ca="1">IFERROR(__xludf.DUMMYFUNCTION("""COMPUTED_VALUE"""),7.81519271428571)</f>
        <v>7.8151927142857103</v>
      </c>
      <c r="H257" s="57">
        <f ca="1">IFERROR(__xludf.DUMMYFUNCTION("""COMPUTED_VALUE"""),63.55)</f>
        <v>63.55</v>
      </c>
      <c r="I257" s="57">
        <f ca="1">IFERROR(__xludf.DUMMYFUNCTION("""COMPUTED_VALUE"""),65.72)</f>
        <v>65.72</v>
      </c>
      <c r="J257" s="70" t="str">
        <f ca="1">IFERROR(__xludf.DUMMYFUNCTION("""COMPUTED_VALUE"""),"Goto link: NTDOY")</f>
        <v>Goto link: NTDOY</v>
      </c>
      <c r="K257" s="19"/>
      <c r="L257" s="19"/>
      <c r="M257" s="19"/>
      <c r="N257" s="19"/>
      <c r="O257" s="59"/>
      <c r="P257" s="7"/>
      <c r="Q257" s="55"/>
      <c r="R257" s="55"/>
      <c r="S257" s="7"/>
      <c r="T257" s="55"/>
      <c r="U257" s="7"/>
      <c r="V257" s="55"/>
      <c r="W257" s="60"/>
      <c r="X257" s="55"/>
    </row>
    <row r="258" spans="1:24" ht="13" x14ac:dyDescent="0.15">
      <c r="A258" s="25" t="str">
        <f ca="1">IFERROR(__xludf.DUMMYFUNCTION("""COMPUTED_VALUE"""),"39494")</f>
        <v>39494</v>
      </c>
      <c r="B258" s="69">
        <f ca="1">IFERROR(__xludf.DUMMYFUNCTION("""COMPUTED_VALUE"""),44608)</f>
        <v>44608</v>
      </c>
      <c r="C258" s="69" t="str">
        <f ca="1">IFERROR(__xludf.DUMMYFUNCTION("""COMPUTED_VALUE"""),"Stock")</f>
        <v>Stock</v>
      </c>
      <c r="D258" s="5" t="str">
        <f ca="1">IFERROR(__xludf.DUMMYFUNCTION("""COMPUTED_VALUE"""),"NVDA")</f>
        <v>NVDA</v>
      </c>
      <c r="E258" s="5" t="str">
        <f ca="1">IFERROR(__xludf.DUMMYFUNCTION("""COMPUTED_VALUE"""),"USD")</f>
        <v>USD</v>
      </c>
      <c r="F258" s="55">
        <f ca="1">IFERROR(__xludf.DUMMYFUNCTION("""COMPUTED_VALUE"""),100)</f>
        <v>100</v>
      </c>
      <c r="G258" s="56">
        <f ca="1">IFERROR(__xludf.DUMMYFUNCTION("""COMPUTED_VALUE"""),7.81519271428571)</f>
        <v>7.8151927142857103</v>
      </c>
      <c r="H258" s="57">
        <f ca="1">IFERROR(__xludf.DUMMYFUNCTION("""COMPUTED_VALUE"""),265.11)</f>
        <v>265.11</v>
      </c>
      <c r="I258" s="57">
        <f ca="1">IFERROR(__xludf.DUMMYFUNCTION("""COMPUTED_VALUE"""),256.34)</f>
        <v>256.33999999999997</v>
      </c>
      <c r="J258" s="70" t="str">
        <f ca="1">IFERROR(__xludf.DUMMYFUNCTION("""COMPUTED_VALUE"""),"Goto link: NVDA")</f>
        <v>Goto link: NVDA</v>
      </c>
      <c r="K258" s="19"/>
      <c r="L258" s="19"/>
      <c r="M258" s="19"/>
      <c r="N258" s="19"/>
      <c r="O258" s="59"/>
      <c r="P258" s="7"/>
      <c r="Q258" s="55"/>
      <c r="R258" s="55"/>
      <c r="S258" s="7"/>
      <c r="T258" s="55"/>
      <c r="U258" s="7"/>
      <c r="V258" s="55"/>
      <c r="W258" s="60"/>
      <c r="X258" s="55"/>
    </row>
    <row r="259" spans="1:24" ht="13" x14ac:dyDescent="0.15">
      <c r="A259" s="25" t="str">
        <f ca="1">IFERROR(__xludf.DUMMYFUNCTION("""COMPUTED_VALUE"""),"39494")</f>
        <v>39494</v>
      </c>
      <c r="B259" s="69">
        <f ca="1">IFERROR(__xludf.DUMMYFUNCTION("""COMPUTED_VALUE"""),44608)</f>
        <v>44608</v>
      </c>
      <c r="C259" s="69" t="str">
        <f ca="1">IFERROR(__xludf.DUMMYFUNCTION("""COMPUTED_VALUE"""),"Stock")</f>
        <v>Stock</v>
      </c>
      <c r="D259" s="5" t="str">
        <f ca="1">IFERROR(__xludf.DUMMYFUNCTION("""COMPUTED_VALUE"""),"SONY")</f>
        <v>SONY</v>
      </c>
      <c r="E259" s="5" t="str">
        <f ca="1">IFERROR(__xludf.DUMMYFUNCTION("""COMPUTED_VALUE"""),"USD")</f>
        <v>USD</v>
      </c>
      <c r="F259" s="55">
        <f ca="1">IFERROR(__xludf.DUMMYFUNCTION("""COMPUTED_VALUE"""),100)</f>
        <v>100</v>
      </c>
      <c r="G259" s="56">
        <f ca="1">IFERROR(__xludf.DUMMYFUNCTION("""COMPUTED_VALUE"""),7.81519271428571)</f>
        <v>7.8151927142857103</v>
      </c>
      <c r="H259" s="57">
        <f ca="1">IFERROR(__xludf.DUMMYFUNCTION("""COMPUTED_VALUE"""),106.52)</f>
        <v>106.52</v>
      </c>
      <c r="I259" s="57">
        <f ca="1">IFERROR(__xludf.DUMMYFUNCTION("""COMPUTED_VALUE"""),104.15)</f>
        <v>104.15</v>
      </c>
      <c r="J259" s="70" t="str">
        <f ca="1">IFERROR(__xludf.DUMMYFUNCTION("""COMPUTED_VALUE"""),"Goto link: SONY")</f>
        <v>Goto link: SONY</v>
      </c>
      <c r="K259" s="19"/>
      <c r="L259" s="19"/>
      <c r="M259" s="19"/>
      <c r="N259" s="19"/>
      <c r="O259" s="59"/>
      <c r="P259" s="7"/>
      <c r="Q259" s="55"/>
      <c r="R259" s="55"/>
      <c r="S259" s="7"/>
      <c r="T259" s="55"/>
      <c r="U259" s="7"/>
      <c r="V259" s="55"/>
      <c r="W259" s="60"/>
      <c r="X259" s="55"/>
    </row>
    <row r="260" spans="1:24" ht="13" x14ac:dyDescent="0.15">
      <c r="A260" s="25" t="str">
        <f ca="1">IFERROR(__xludf.DUMMYFUNCTION("""COMPUTED_VALUE"""),"39494 Total")</f>
        <v>39494 Total</v>
      </c>
      <c r="B260" s="5"/>
      <c r="C260" s="69"/>
      <c r="D260" s="5"/>
      <c r="E260" s="5"/>
      <c r="F260" s="55"/>
      <c r="G260" s="56">
        <f ca="1">IFERROR(__xludf.DUMMYFUNCTION("""COMPUTED_VALUE"""),6.56507086666665)</f>
        <v>6.56507086666665</v>
      </c>
      <c r="H260" s="57">
        <f ca="1">IFERROR(__xludf.DUMMYFUNCTION("""COMPUTED_VALUE"""),295)</f>
        <v>295</v>
      </c>
      <c r="I260" s="57" t="str">
        <f ca="1">IFERROR(__xludf.DUMMYFUNCTION("""COMPUTED_VALUE"""),"")</f>
        <v/>
      </c>
      <c r="J260" s="19" t="str">
        <f ca="1">IFERROR(__xludf.DUMMYFUNCTION("""COMPUTED_VALUE"""),"")</f>
        <v/>
      </c>
      <c r="K260" s="19"/>
      <c r="L260" s="19"/>
      <c r="M260" s="19"/>
      <c r="N260" s="19"/>
      <c r="O260" s="59"/>
      <c r="P260" s="7"/>
      <c r="Q260" s="55"/>
      <c r="R260" s="55"/>
      <c r="S260" s="7"/>
      <c r="T260" s="55"/>
      <c r="U260" s="7"/>
      <c r="V260" s="55"/>
      <c r="W260" s="60"/>
      <c r="X260" s="55"/>
    </row>
    <row r="261" spans="1:24" ht="13" x14ac:dyDescent="0.15">
      <c r="A261" s="25" t="str">
        <f ca="1">IFERROR(__xludf.DUMMYFUNCTION("""COMPUTED_VALUE"""),"39563")</f>
        <v>39563</v>
      </c>
      <c r="B261" s="69">
        <f ca="1">IFERROR(__xludf.DUMMYFUNCTION("""COMPUTED_VALUE"""),44597)</f>
        <v>44597</v>
      </c>
      <c r="C261" s="69" t="str">
        <f ca="1">IFERROR(__xludf.DUMMYFUNCTION("""COMPUTED_VALUE"""),"Cash")</f>
        <v>Cash</v>
      </c>
      <c r="D261" s="5" t="str">
        <f ca="1">IFERROR(__xludf.DUMMYFUNCTION("""COMPUTED_VALUE"""),"Cash")</f>
        <v>Cash</v>
      </c>
      <c r="E261" s="5" t="str">
        <f ca="1">IFERROR(__xludf.DUMMYFUNCTION("""COMPUTED_VALUE"""),"HKD")</f>
        <v>HKD</v>
      </c>
      <c r="F261" s="55" t="str">
        <f ca="1">IFERROR(__xludf.DUMMYFUNCTION("""COMPUTED_VALUE"""),"")</f>
        <v/>
      </c>
      <c r="G261" s="56">
        <f ca="1">IFERROR(__xludf.DUMMYFUNCTION("""COMPUTED_VALUE"""),1)</f>
        <v>1</v>
      </c>
      <c r="H261" s="57">
        <f ca="1">IFERROR(__xludf.DUMMYFUNCTION("""COMPUTED_VALUE"""),1)</f>
        <v>1</v>
      </c>
      <c r="I261" s="57">
        <f ca="1">IFERROR(__xludf.DUMMYFUNCTION("""COMPUTED_VALUE"""),1)</f>
        <v>1</v>
      </c>
      <c r="J261" s="19" t="str">
        <f ca="1">IFERROR(__xludf.DUMMYFUNCTION("""COMPUTED_VALUE"""),"")</f>
        <v/>
      </c>
      <c r="K261" s="19"/>
      <c r="L261" s="19"/>
      <c r="M261" s="19"/>
      <c r="N261" s="19"/>
      <c r="O261" s="59"/>
      <c r="P261" s="7"/>
      <c r="Q261" s="55"/>
      <c r="R261" s="55"/>
      <c r="S261" s="7"/>
      <c r="T261" s="55"/>
      <c r="U261" s="7"/>
      <c r="V261" s="55"/>
      <c r="W261" s="60"/>
      <c r="X261" s="55"/>
    </row>
    <row r="262" spans="1:24" ht="13" x14ac:dyDescent="0.15">
      <c r="A262" s="25" t="str">
        <f ca="1">IFERROR(__xludf.DUMMYFUNCTION("""COMPUTED_VALUE"""),"39563 Total")</f>
        <v>39563 Total</v>
      </c>
      <c r="B262" s="5"/>
      <c r="C262" s="69"/>
      <c r="D262" s="5"/>
      <c r="E262" s="5"/>
      <c r="F262" s="55"/>
      <c r="G262" s="56">
        <f ca="1">IFERROR(__xludf.DUMMYFUNCTION("""COMPUTED_VALUE"""),1)</f>
        <v>1</v>
      </c>
      <c r="H262" s="57">
        <f ca="1">IFERROR(__xludf.DUMMYFUNCTION("""COMPUTED_VALUE"""),1)</f>
        <v>1</v>
      </c>
      <c r="I262" s="57" t="str">
        <f ca="1">IFERROR(__xludf.DUMMYFUNCTION("""COMPUTED_VALUE"""),"")</f>
        <v/>
      </c>
      <c r="J262" s="19" t="str">
        <f ca="1">IFERROR(__xludf.DUMMYFUNCTION("""COMPUTED_VALUE"""),"")</f>
        <v/>
      </c>
      <c r="K262" s="19"/>
      <c r="L262" s="19"/>
      <c r="M262" s="19"/>
      <c r="N262" s="19"/>
      <c r="O262" s="59"/>
      <c r="P262" s="7"/>
      <c r="Q262" s="55"/>
      <c r="R262" s="55"/>
      <c r="S262" s="7"/>
      <c r="T262" s="55"/>
      <c r="U262" s="7"/>
      <c r="V262" s="55"/>
      <c r="W262" s="60"/>
      <c r="X262" s="55"/>
    </row>
    <row r="263" spans="1:24" ht="13" x14ac:dyDescent="0.15">
      <c r="A263" s="25" t="str">
        <f ca="1">IFERROR(__xludf.DUMMYFUNCTION("""COMPUTED_VALUE"""),"39608")</f>
        <v>39608</v>
      </c>
      <c r="B263" s="69">
        <f ca="1">IFERROR(__xludf.DUMMYFUNCTION("""COMPUTED_VALUE"""),44597)</f>
        <v>44597</v>
      </c>
      <c r="C263" s="69" t="str">
        <f ca="1">IFERROR(__xludf.DUMMYFUNCTION("""COMPUTED_VALUE"""),"Cash")</f>
        <v>Cash</v>
      </c>
      <c r="D263" s="5" t="str">
        <f ca="1">IFERROR(__xludf.DUMMYFUNCTION("""COMPUTED_VALUE"""),"Cash")</f>
        <v>Cash</v>
      </c>
      <c r="E263" s="5" t="str">
        <f ca="1">IFERROR(__xludf.DUMMYFUNCTION("""COMPUTED_VALUE"""),"HKD")</f>
        <v>HKD</v>
      </c>
      <c r="F263" s="55" t="str">
        <f ca="1">IFERROR(__xludf.DUMMYFUNCTION("""COMPUTED_VALUE"""),"")</f>
        <v/>
      </c>
      <c r="G263" s="56">
        <f ca="1">IFERROR(__xludf.DUMMYFUNCTION("""COMPUTED_VALUE"""),1)</f>
        <v>1</v>
      </c>
      <c r="H263" s="57">
        <f ca="1">IFERROR(__xludf.DUMMYFUNCTION("""COMPUTED_VALUE"""),1)</f>
        <v>1</v>
      </c>
      <c r="I263" s="57">
        <f ca="1">IFERROR(__xludf.DUMMYFUNCTION("""COMPUTED_VALUE"""),1)</f>
        <v>1</v>
      </c>
      <c r="J263" s="19" t="str">
        <f ca="1">IFERROR(__xludf.DUMMYFUNCTION("""COMPUTED_VALUE"""),"")</f>
        <v/>
      </c>
      <c r="K263" s="19"/>
      <c r="L263" s="19"/>
      <c r="M263" s="19"/>
      <c r="N263" s="19"/>
      <c r="O263" s="59"/>
      <c r="P263" s="7"/>
      <c r="Q263" s="55"/>
      <c r="R263" s="55"/>
      <c r="S263" s="7"/>
      <c r="T263" s="55"/>
      <c r="U263" s="7"/>
      <c r="V263" s="55"/>
      <c r="W263" s="60"/>
      <c r="X263" s="55"/>
    </row>
    <row r="264" spans="1:24" ht="13" x14ac:dyDescent="0.15">
      <c r="A264" s="25" t="str">
        <f ca="1">IFERROR(__xludf.DUMMYFUNCTION("""COMPUTED_VALUE"""),"39608")</f>
        <v>39608</v>
      </c>
      <c r="B264" s="69">
        <f ca="1">IFERROR(__xludf.DUMMYFUNCTION("""COMPUTED_VALUE"""),44608)</f>
        <v>44608</v>
      </c>
      <c r="C264" s="69" t="str">
        <f ca="1">IFERROR(__xludf.DUMMYFUNCTION("""COMPUTED_VALUE"""),"Stock")</f>
        <v>Stock</v>
      </c>
      <c r="D264" s="5" t="str">
        <f ca="1">IFERROR(__xludf.DUMMYFUNCTION("""COMPUTED_VALUE"""),"TSLA")</f>
        <v>TSLA</v>
      </c>
      <c r="E264" s="5" t="str">
        <f ca="1">IFERROR(__xludf.DUMMYFUNCTION("""COMPUTED_VALUE"""),"USD")</f>
        <v>USD</v>
      </c>
      <c r="F264" s="55">
        <f ca="1">IFERROR(__xludf.DUMMYFUNCTION("""COMPUTED_VALUE"""),0)</f>
        <v>0</v>
      </c>
      <c r="G264" s="56">
        <f ca="1">IFERROR(__xludf.DUMMYFUNCTION("""COMPUTED_VALUE"""),7.81519271428571)</f>
        <v>7.8151927142857103</v>
      </c>
      <c r="H264" s="57">
        <f ca="1">IFERROR(__xludf.DUMMYFUNCTION("""COMPUTED_VALUE"""),0)</f>
        <v>0</v>
      </c>
      <c r="I264" s="57">
        <f ca="1">IFERROR(__xludf.DUMMYFUNCTION("""COMPUTED_VALUE"""),999.11)</f>
        <v>999.11</v>
      </c>
      <c r="J264" s="70" t="str">
        <f ca="1">IFERROR(__xludf.DUMMYFUNCTION("""COMPUTED_VALUE"""),"Goto link: TSLA")</f>
        <v>Goto link: TSLA</v>
      </c>
      <c r="K264" s="19"/>
      <c r="L264" s="19"/>
      <c r="M264" s="19"/>
      <c r="N264" s="19"/>
      <c r="O264" s="59"/>
      <c r="P264" s="7"/>
      <c r="Q264" s="55"/>
      <c r="R264" s="55"/>
      <c r="S264" s="7"/>
      <c r="T264" s="55"/>
      <c r="U264" s="7"/>
      <c r="V264" s="55"/>
      <c r="W264" s="60"/>
      <c r="X264" s="55"/>
    </row>
    <row r="265" spans="1:24" ht="13" x14ac:dyDescent="0.15">
      <c r="A265" s="25" t="str">
        <f ca="1">IFERROR(__xludf.DUMMYFUNCTION("""COMPUTED_VALUE"""),"39608")</f>
        <v>39608</v>
      </c>
      <c r="B265" s="69">
        <f ca="1">IFERROR(__xludf.DUMMYFUNCTION("""COMPUTED_VALUE"""),44609)</f>
        <v>44609</v>
      </c>
      <c r="C265" s="69" t="str">
        <f ca="1">IFERROR(__xludf.DUMMYFUNCTION("""COMPUTED_VALUE"""),"Stock")</f>
        <v>Stock</v>
      </c>
      <c r="D265" s="5" t="str">
        <f ca="1">IFERROR(__xludf.DUMMYFUNCTION("""COMPUTED_VALUE"""),"TSLA")</f>
        <v>TSLA</v>
      </c>
      <c r="E265" s="5" t="str">
        <f ca="1">IFERROR(__xludf.DUMMYFUNCTION("""COMPUTED_VALUE"""),"USD")</f>
        <v>USD</v>
      </c>
      <c r="F265" s="55">
        <f ca="1">IFERROR(__xludf.DUMMYFUNCTION("""COMPUTED_VALUE"""),18)</f>
        <v>18</v>
      </c>
      <c r="G265" s="56">
        <f ca="1">IFERROR(__xludf.DUMMYFUNCTION("""COMPUTED_VALUE"""),7.81562485294117)</f>
        <v>7.8156248529411698</v>
      </c>
      <c r="H265" s="57">
        <f ca="1">IFERROR(__xludf.DUMMYFUNCTION("""COMPUTED_VALUE"""),876.35)</f>
        <v>876.35</v>
      </c>
      <c r="I265" s="57">
        <f ca="1">IFERROR(__xludf.DUMMYFUNCTION("""COMPUTED_VALUE"""),999.11)</f>
        <v>999.11</v>
      </c>
      <c r="J265" s="70" t="str">
        <f ca="1">IFERROR(__xludf.DUMMYFUNCTION("""COMPUTED_VALUE"""),"Goto link: TSLA")</f>
        <v>Goto link: TSLA</v>
      </c>
      <c r="K265" s="19"/>
      <c r="L265" s="19"/>
      <c r="M265" s="19"/>
      <c r="N265" s="19"/>
      <c r="O265" s="59"/>
      <c r="P265" s="7"/>
      <c r="Q265" s="55"/>
      <c r="R265" s="55"/>
      <c r="S265" s="7"/>
      <c r="T265" s="55"/>
      <c r="U265" s="7"/>
      <c r="V265" s="55"/>
      <c r="W265" s="60"/>
      <c r="X265" s="55"/>
    </row>
    <row r="266" spans="1:24" ht="13" x14ac:dyDescent="0.15">
      <c r="A266" s="25" t="str">
        <f ca="1">IFERROR(__xludf.DUMMYFUNCTION("""COMPUTED_VALUE"""),"39608")</f>
        <v>39608</v>
      </c>
      <c r="B266" s="69">
        <f ca="1">IFERROR(__xludf.DUMMYFUNCTION("""COMPUTED_VALUE"""),44610)</f>
        <v>44610</v>
      </c>
      <c r="C266" s="69" t="str">
        <f ca="1">IFERROR(__xludf.DUMMYFUNCTION("""COMPUTED_VALUE"""),"Stock")</f>
        <v>Stock</v>
      </c>
      <c r="D266" s="5" t="str">
        <f ca="1">IFERROR(__xludf.DUMMYFUNCTION("""COMPUTED_VALUE"""),"ANPDY")</f>
        <v>ANPDY</v>
      </c>
      <c r="E266" s="5" t="str">
        <f ca="1">IFERROR(__xludf.DUMMYFUNCTION("""COMPUTED_VALUE"""),"USD")</f>
        <v>USD</v>
      </c>
      <c r="F266" s="55">
        <f ca="1">IFERROR(__xludf.DUMMYFUNCTION("""COMPUTED_VALUE"""),30)</f>
        <v>30</v>
      </c>
      <c r="G266" s="56">
        <f ca="1">IFERROR(__xludf.DUMMYFUNCTION("""COMPUTED_VALUE"""),7.81612515151515)</f>
        <v>7.8161251515151502</v>
      </c>
      <c r="H266" s="57">
        <f ca="1">IFERROR(__xludf.DUMMYFUNCTION("""COMPUTED_VALUE"""),397.5)</f>
        <v>397.5</v>
      </c>
      <c r="I266" s="57">
        <f ca="1">IFERROR(__xludf.DUMMYFUNCTION("""COMPUTED_VALUE"""),308.83)</f>
        <v>308.83</v>
      </c>
      <c r="J266" s="70" t="str">
        <f ca="1">IFERROR(__xludf.DUMMYFUNCTION("""COMPUTED_VALUE"""),"Goto link: ANPDY")</f>
        <v>Goto link: ANPDY</v>
      </c>
      <c r="K266" s="19"/>
      <c r="L266" s="19"/>
      <c r="M266" s="19"/>
      <c r="N266" s="19"/>
      <c r="O266" s="59"/>
      <c r="P266" s="7"/>
      <c r="Q266" s="55"/>
      <c r="R266" s="55"/>
      <c r="S266" s="7"/>
      <c r="T266" s="55"/>
      <c r="U266" s="7"/>
      <c r="V266" s="55"/>
      <c r="W266" s="60"/>
      <c r="X266" s="55"/>
    </row>
    <row r="267" spans="1:24" ht="13" x14ac:dyDescent="0.15">
      <c r="A267" s="25" t="str">
        <f ca="1">IFERROR(__xludf.DUMMYFUNCTION("""COMPUTED_VALUE"""),"39608")</f>
        <v>39608</v>
      </c>
      <c r="B267" s="69">
        <f ca="1">IFERROR(__xludf.DUMMYFUNCTION("""COMPUTED_VALUE"""),44616)</f>
        <v>44616</v>
      </c>
      <c r="C267" s="69" t="str">
        <f ca="1">IFERROR(__xludf.DUMMYFUNCTION("""COMPUTED_VALUE"""),"Stock")</f>
        <v>Stock</v>
      </c>
      <c r="D267" s="5" t="str">
        <f ca="1">IFERROR(__xludf.DUMMYFUNCTION("""COMPUTED_VALUE"""),"GOLD")</f>
        <v>GOLD</v>
      </c>
      <c r="E267" s="5" t="str">
        <f ca="1">IFERROR(__xludf.DUMMYFUNCTION("""COMPUTED_VALUE"""),"USD")</f>
        <v>USD</v>
      </c>
      <c r="F267" s="55">
        <f ca="1">IFERROR(__xludf.DUMMYFUNCTION("""COMPUTED_VALUE"""),888)</f>
        <v>888</v>
      </c>
      <c r="G267" s="56">
        <f ca="1">IFERROR(__xludf.DUMMYFUNCTION("""COMPUTED_VALUE"""),7.81935777777777)</f>
        <v>7.8193577777777703</v>
      </c>
      <c r="H267" s="57">
        <f ca="1">IFERROR(__xludf.DUMMYFUNCTION("""COMPUTED_VALUE"""),22.54)</f>
        <v>22.54</v>
      </c>
      <c r="I267" s="57">
        <f ca="1">IFERROR(__xludf.DUMMYFUNCTION("""COMPUTED_VALUE"""),24.57)</f>
        <v>24.57</v>
      </c>
      <c r="J267" s="70" t="str">
        <f ca="1">IFERROR(__xludf.DUMMYFUNCTION("""COMPUTED_VALUE"""),"Goto link: GOLD")</f>
        <v>Goto link: GOLD</v>
      </c>
      <c r="K267" s="19"/>
      <c r="L267" s="19"/>
      <c r="M267" s="19"/>
      <c r="N267" s="19"/>
      <c r="O267" s="59"/>
      <c r="P267" s="7"/>
      <c r="Q267" s="55"/>
      <c r="R267" s="55"/>
      <c r="S267" s="7"/>
      <c r="T267" s="55"/>
      <c r="U267" s="7"/>
      <c r="V267" s="55"/>
      <c r="W267" s="60"/>
      <c r="X267" s="55"/>
    </row>
    <row r="268" spans="1:24" ht="13" x14ac:dyDescent="0.15">
      <c r="A268" s="25" t="str">
        <f ca="1">IFERROR(__xludf.DUMMYFUNCTION("""COMPUTED_VALUE"""),"39608")</f>
        <v>39608</v>
      </c>
      <c r="B268" s="69">
        <f ca="1">IFERROR(__xludf.DUMMYFUNCTION("""COMPUTED_VALUE"""),44623)</f>
        <v>44623</v>
      </c>
      <c r="C268" s="69" t="str">
        <f ca="1">IFERROR(__xludf.DUMMYFUNCTION("""COMPUTED_VALUE"""),"Stock")</f>
        <v>Stock</v>
      </c>
      <c r="D268" s="5" t="str">
        <f ca="1">IFERROR(__xludf.DUMMYFUNCTION("""COMPUTED_VALUE"""),"GOLD")</f>
        <v>GOLD</v>
      </c>
      <c r="E268" s="5" t="str">
        <f ca="1">IFERROR(__xludf.DUMMYFUNCTION("""COMPUTED_VALUE"""),"USD")</f>
        <v>USD</v>
      </c>
      <c r="F268" s="55">
        <f ca="1">IFERROR(__xludf.DUMMYFUNCTION("""COMPUTED_VALUE"""),-388)</f>
        <v>-388</v>
      </c>
      <c r="G268" s="56">
        <f ca="1">IFERROR(__xludf.DUMMYFUNCTION("""COMPUTED_VALUE"""),7.82232825)</f>
        <v>7.82232825</v>
      </c>
      <c r="H268" s="57">
        <f ca="1">IFERROR(__xludf.DUMMYFUNCTION("""COMPUTED_VALUE"""),23.57)</f>
        <v>23.57</v>
      </c>
      <c r="I268" s="57">
        <f ca="1">IFERROR(__xludf.DUMMYFUNCTION("""COMPUTED_VALUE"""),24.57)</f>
        <v>24.57</v>
      </c>
      <c r="J268" s="70" t="str">
        <f ca="1">IFERROR(__xludf.DUMMYFUNCTION("""COMPUTED_VALUE"""),"Goto link: GOLD")</f>
        <v>Goto link: GOLD</v>
      </c>
      <c r="K268" s="19"/>
      <c r="L268" s="19"/>
      <c r="M268" s="19"/>
      <c r="N268" s="19"/>
      <c r="O268" s="59"/>
      <c r="P268" s="7"/>
      <c r="Q268" s="55"/>
      <c r="R268" s="55"/>
      <c r="S268" s="7"/>
      <c r="T268" s="55"/>
      <c r="U268" s="7"/>
      <c r="V268" s="55"/>
      <c r="W268" s="60"/>
      <c r="X268" s="55"/>
    </row>
    <row r="269" spans="1:24" ht="13" x14ac:dyDescent="0.15">
      <c r="A269" s="25" t="str">
        <f ca="1">IFERROR(__xludf.DUMMYFUNCTION("""COMPUTED_VALUE"""),"39608")</f>
        <v>39608</v>
      </c>
      <c r="B269" s="69">
        <f ca="1">IFERROR(__xludf.DUMMYFUNCTION("""COMPUTED_VALUE"""),44624)</f>
        <v>44624</v>
      </c>
      <c r="C269" s="69" t="str">
        <f ca="1">IFERROR(__xludf.DUMMYFUNCTION("""COMPUTED_VALUE"""),"Stock")</f>
        <v>Stock</v>
      </c>
      <c r="D269" s="5" t="str">
        <f ca="1">IFERROR(__xludf.DUMMYFUNCTION("""COMPUTED_VALUE"""),"TSLA")</f>
        <v>TSLA</v>
      </c>
      <c r="E269" s="5" t="str">
        <f ca="1">IFERROR(__xludf.DUMMYFUNCTION("""COMPUTED_VALUE"""),"USD")</f>
        <v>USD</v>
      </c>
      <c r="F269" s="55">
        <f ca="1">IFERROR(__xludf.DUMMYFUNCTION("""COMPUTED_VALUE"""),18)</f>
        <v>18</v>
      </c>
      <c r="G269" s="56">
        <f ca="1">IFERROR(__xludf.DUMMYFUNCTION("""COMPUTED_VALUE"""),7.82266921052631)</f>
        <v>7.8226692105263096</v>
      </c>
      <c r="H269" s="57">
        <f ca="1">IFERROR(__xludf.DUMMYFUNCTION("""COMPUTED_VALUE"""),838.29)</f>
        <v>838.29</v>
      </c>
      <c r="I269" s="57">
        <f ca="1">IFERROR(__xludf.DUMMYFUNCTION("""COMPUTED_VALUE"""),999.11)</f>
        <v>999.11</v>
      </c>
      <c r="J269" s="70" t="str">
        <f ca="1">IFERROR(__xludf.DUMMYFUNCTION("""COMPUTED_VALUE"""),"Goto link: TSLA")</f>
        <v>Goto link: TSLA</v>
      </c>
      <c r="K269" s="19"/>
      <c r="L269" s="19"/>
      <c r="M269" s="19"/>
      <c r="N269" s="19"/>
      <c r="O269" s="59"/>
      <c r="P269" s="7"/>
      <c r="Q269" s="55"/>
      <c r="R269" s="55"/>
      <c r="S269" s="7"/>
      <c r="T269" s="55"/>
      <c r="U269" s="7"/>
      <c r="V269" s="55"/>
      <c r="W269" s="60"/>
      <c r="X269" s="55"/>
    </row>
    <row r="270" spans="1:24" ht="13" x14ac:dyDescent="0.15">
      <c r="A270" s="25" t="str">
        <f ca="1">IFERROR(__xludf.DUMMYFUNCTION("""COMPUTED_VALUE"""),"39608")</f>
        <v>39608</v>
      </c>
      <c r="B270" s="69">
        <f ca="1">IFERROR(__xludf.DUMMYFUNCTION("""COMPUTED_VALUE"""),44629)</f>
        <v>44629</v>
      </c>
      <c r="C270" s="69" t="str">
        <f ca="1">IFERROR(__xludf.DUMMYFUNCTION("""COMPUTED_VALUE"""),"Stock")</f>
        <v>Stock</v>
      </c>
      <c r="D270" s="5" t="str">
        <f ca="1">IFERROR(__xludf.DUMMYFUNCTION("""COMPUTED_VALUE"""),"ANPDY")</f>
        <v>ANPDY</v>
      </c>
      <c r="E270" s="5" t="str">
        <f ca="1">IFERROR(__xludf.DUMMYFUNCTION("""COMPUTED_VALUE"""),"USD")</f>
        <v>USD</v>
      </c>
      <c r="F270" s="55">
        <f ca="1">IFERROR(__xludf.DUMMYFUNCTION("""COMPUTED_VALUE"""),-30)</f>
        <v>-30</v>
      </c>
      <c r="G270" s="56">
        <f ca="1">IFERROR(__xludf.DUMMYFUNCTION("""COMPUTED_VALUE"""),7.82494821428571)</f>
        <v>7.8249482142857101</v>
      </c>
      <c r="H270" s="57">
        <f ca="1">IFERROR(__xludf.DUMMYFUNCTION("""COMPUTED_VALUE"""),314.05)</f>
        <v>314.05</v>
      </c>
      <c r="I270" s="57">
        <f ca="1">IFERROR(__xludf.DUMMYFUNCTION("""COMPUTED_VALUE"""),308.83)</f>
        <v>308.83</v>
      </c>
      <c r="J270" s="70" t="str">
        <f ca="1">IFERROR(__xludf.DUMMYFUNCTION("""COMPUTED_VALUE"""),"Goto link: ANPDY")</f>
        <v>Goto link: ANPDY</v>
      </c>
      <c r="K270" s="19"/>
      <c r="L270" s="19"/>
      <c r="M270" s="19"/>
      <c r="N270" s="19"/>
      <c r="O270" s="59"/>
      <c r="P270" s="7"/>
      <c r="Q270" s="55"/>
      <c r="R270" s="55"/>
      <c r="S270" s="7"/>
      <c r="T270" s="55"/>
      <c r="U270" s="7"/>
      <c r="V270" s="55"/>
      <c r="W270" s="60"/>
      <c r="X270" s="55"/>
    </row>
    <row r="271" spans="1:24" ht="13" x14ac:dyDescent="0.15">
      <c r="A271" s="25" t="str">
        <f ca="1">IFERROR(__xludf.DUMMYFUNCTION("""COMPUTED_VALUE"""),"39608")</f>
        <v>39608</v>
      </c>
      <c r="B271" s="69">
        <f ca="1">IFERROR(__xludf.DUMMYFUNCTION("""COMPUTED_VALUE"""),44641)</f>
        <v>44641</v>
      </c>
      <c r="C271" s="69" t="str">
        <f ca="1">IFERROR(__xludf.DUMMYFUNCTION("""COMPUTED_VALUE"""),"Stock")</f>
        <v>Stock</v>
      </c>
      <c r="D271" s="5" t="str">
        <f ca="1">IFERROR(__xludf.DUMMYFUNCTION("""COMPUTED_VALUE"""),"TSLA")</f>
        <v>TSLA</v>
      </c>
      <c r="E271" s="5" t="str">
        <f ca="1">IFERROR(__xludf.DUMMYFUNCTION("""COMPUTED_VALUE"""),"USD")</f>
        <v>USD</v>
      </c>
      <c r="F271" s="55">
        <f ca="1">IFERROR(__xludf.DUMMYFUNCTION("""COMPUTED_VALUE"""),-36)</f>
        <v>-36</v>
      </c>
      <c r="G271" s="56">
        <f ca="1">IFERROR(__xludf.DUMMYFUNCTION("""COMPUTED_VALUE"""),7.8262)</f>
        <v>7.8262</v>
      </c>
      <c r="H271" s="57">
        <f ca="1">IFERROR(__xludf.DUMMYFUNCTION("""COMPUTED_VALUE"""),921.16)</f>
        <v>921.16</v>
      </c>
      <c r="I271" s="57">
        <f ca="1">IFERROR(__xludf.DUMMYFUNCTION("""COMPUTED_VALUE"""),999.11)</f>
        <v>999.11</v>
      </c>
      <c r="J271" s="70" t="str">
        <f ca="1">IFERROR(__xludf.DUMMYFUNCTION("""COMPUTED_VALUE"""),"Goto link: TSLA")</f>
        <v>Goto link: TSLA</v>
      </c>
      <c r="K271" s="19"/>
      <c r="L271" s="19"/>
      <c r="M271" s="19"/>
      <c r="N271" s="19"/>
      <c r="O271" s="59"/>
      <c r="P271" s="7"/>
      <c r="Q271" s="55"/>
      <c r="R271" s="55"/>
      <c r="S271" s="7"/>
      <c r="T271" s="55"/>
      <c r="U271" s="7"/>
      <c r="V271" s="55"/>
      <c r="W271" s="60"/>
      <c r="X271" s="55"/>
    </row>
    <row r="272" spans="1:24" ht="13" x14ac:dyDescent="0.15">
      <c r="A272" s="25" t="str">
        <f ca="1">IFERROR(__xludf.DUMMYFUNCTION("""COMPUTED_VALUE"""),"39608 Total")</f>
        <v>39608 Total</v>
      </c>
      <c r="B272" s="5"/>
      <c r="C272" s="69"/>
      <c r="D272" s="5"/>
      <c r="E272" s="5"/>
      <c r="F272" s="55"/>
      <c r="G272" s="56">
        <f ca="1">IFERROR(__xludf.DUMMYFUNCTION("""COMPUTED_VALUE"""),6.45476841304346)</f>
        <v>6.4547684130434604</v>
      </c>
      <c r="H272" s="57">
        <f ca="1">IFERROR(__xludf.DUMMYFUNCTION("""COMPUTED_VALUE"""),921.16)</f>
        <v>921.16</v>
      </c>
      <c r="I272" s="57" t="str">
        <f ca="1">IFERROR(__xludf.DUMMYFUNCTION("""COMPUTED_VALUE"""),"")</f>
        <v/>
      </c>
      <c r="J272" s="19" t="str">
        <f ca="1">IFERROR(__xludf.DUMMYFUNCTION("""COMPUTED_VALUE"""),"")</f>
        <v/>
      </c>
      <c r="K272" s="19"/>
      <c r="L272" s="19"/>
      <c r="M272" s="19"/>
      <c r="N272" s="19"/>
      <c r="O272" s="59"/>
      <c r="P272" s="7"/>
      <c r="Q272" s="55"/>
      <c r="R272" s="55"/>
      <c r="S272" s="7"/>
      <c r="T272" s="55"/>
      <c r="U272" s="7"/>
      <c r="V272" s="55"/>
      <c r="W272" s="60"/>
      <c r="X272" s="55"/>
    </row>
    <row r="273" spans="1:24" ht="13" x14ac:dyDescent="0.15">
      <c r="A273" s="25" t="str">
        <f ca="1">IFERROR(__xludf.DUMMYFUNCTION("""COMPUTED_VALUE"""),"39670")</f>
        <v>39670</v>
      </c>
      <c r="B273" s="69">
        <f ca="1">IFERROR(__xludf.DUMMYFUNCTION("""COMPUTED_VALUE"""),44597)</f>
        <v>44597</v>
      </c>
      <c r="C273" s="69" t="str">
        <f ca="1">IFERROR(__xludf.DUMMYFUNCTION("""COMPUTED_VALUE"""),"Cash")</f>
        <v>Cash</v>
      </c>
      <c r="D273" s="5" t="str">
        <f ca="1">IFERROR(__xludf.DUMMYFUNCTION("""COMPUTED_VALUE"""),"Cash")</f>
        <v>Cash</v>
      </c>
      <c r="E273" s="5" t="str">
        <f ca="1">IFERROR(__xludf.DUMMYFUNCTION("""COMPUTED_VALUE"""),"HKD")</f>
        <v>HKD</v>
      </c>
      <c r="F273" s="55" t="str">
        <f ca="1">IFERROR(__xludf.DUMMYFUNCTION("""COMPUTED_VALUE"""),"")</f>
        <v/>
      </c>
      <c r="G273" s="56">
        <f ca="1">IFERROR(__xludf.DUMMYFUNCTION("""COMPUTED_VALUE"""),1)</f>
        <v>1</v>
      </c>
      <c r="H273" s="57">
        <f ca="1">IFERROR(__xludf.DUMMYFUNCTION("""COMPUTED_VALUE"""),1)</f>
        <v>1</v>
      </c>
      <c r="I273" s="57">
        <f ca="1">IFERROR(__xludf.DUMMYFUNCTION("""COMPUTED_VALUE"""),1)</f>
        <v>1</v>
      </c>
      <c r="J273" s="19" t="str">
        <f ca="1">IFERROR(__xludf.DUMMYFUNCTION("""COMPUTED_VALUE"""),"")</f>
        <v/>
      </c>
      <c r="K273" s="19"/>
      <c r="L273" s="19"/>
      <c r="M273" s="19"/>
      <c r="N273" s="19"/>
      <c r="O273" s="59"/>
      <c r="P273" s="7"/>
      <c r="Q273" s="55"/>
      <c r="R273" s="55"/>
      <c r="S273" s="7"/>
      <c r="T273" s="55"/>
      <c r="U273" s="7"/>
      <c r="V273" s="55"/>
      <c r="W273" s="60"/>
      <c r="X273" s="55"/>
    </row>
    <row r="274" spans="1:24" ht="13" x14ac:dyDescent="0.15">
      <c r="A274" s="25" t="str">
        <f ca="1">IFERROR(__xludf.DUMMYFUNCTION("""COMPUTED_VALUE"""),"39670 Total")</f>
        <v>39670 Total</v>
      </c>
      <c r="B274" s="5"/>
      <c r="C274" s="69"/>
      <c r="D274" s="5"/>
      <c r="E274" s="5"/>
      <c r="F274" s="55"/>
      <c r="G274" s="56">
        <f ca="1">IFERROR(__xludf.DUMMYFUNCTION("""COMPUTED_VALUE"""),1)</f>
        <v>1</v>
      </c>
      <c r="H274" s="57">
        <f ca="1">IFERROR(__xludf.DUMMYFUNCTION("""COMPUTED_VALUE"""),1)</f>
        <v>1</v>
      </c>
      <c r="I274" s="57" t="str">
        <f ca="1">IFERROR(__xludf.DUMMYFUNCTION("""COMPUTED_VALUE"""),"")</f>
        <v/>
      </c>
      <c r="J274" s="19" t="str">
        <f ca="1">IFERROR(__xludf.DUMMYFUNCTION("""COMPUTED_VALUE"""),"")</f>
        <v/>
      </c>
      <c r="K274" s="19"/>
      <c r="L274" s="19"/>
      <c r="M274" s="19"/>
      <c r="N274" s="19"/>
      <c r="O274" s="59"/>
      <c r="P274" s="7"/>
      <c r="Q274" s="55"/>
      <c r="R274" s="55"/>
      <c r="S274" s="7"/>
      <c r="T274" s="55"/>
      <c r="U274" s="7"/>
      <c r="V274" s="55"/>
      <c r="W274" s="60"/>
      <c r="X274" s="55"/>
    </row>
    <row r="275" spans="1:24" ht="13" x14ac:dyDescent="0.15">
      <c r="A275" s="25" t="str">
        <f ca="1">IFERROR(__xludf.DUMMYFUNCTION("""COMPUTED_VALUE"""),"39704")</f>
        <v>39704</v>
      </c>
      <c r="B275" s="69">
        <f ca="1">IFERROR(__xludf.DUMMYFUNCTION("""COMPUTED_VALUE"""),44597)</f>
        <v>44597</v>
      </c>
      <c r="C275" s="69" t="str">
        <f ca="1">IFERROR(__xludf.DUMMYFUNCTION("""COMPUTED_VALUE"""),"Cash")</f>
        <v>Cash</v>
      </c>
      <c r="D275" s="5" t="str">
        <f ca="1">IFERROR(__xludf.DUMMYFUNCTION("""COMPUTED_VALUE"""),"Cash")</f>
        <v>Cash</v>
      </c>
      <c r="E275" s="5" t="str">
        <f ca="1">IFERROR(__xludf.DUMMYFUNCTION("""COMPUTED_VALUE"""),"HKD")</f>
        <v>HKD</v>
      </c>
      <c r="F275" s="55" t="str">
        <f ca="1">IFERROR(__xludf.DUMMYFUNCTION("""COMPUTED_VALUE"""),"")</f>
        <v/>
      </c>
      <c r="G275" s="56">
        <f ca="1">IFERROR(__xludf.DUMMYFUNCTION("""COMPUTED_VALUE"""),1)</f>
        <v>1</v>
      </c>
      <c r="H275" s="57">
        <f ca="1">IFERROR(__xludf.DUMMYFUNCTION("""COMPUTED_VALUE"""),1)</f>
        <v>1</v>
      </c>
      <c r="I275" s="57">
        <f ca="1">IFERROR(__xludf.DUMMYFUNCTION("""COMPUTED_VALUE"""),1)</f>
        <v>1</v>
      </c>
      <c r="J275" s="19" t="str">
        <f ca="1">IFERROR(__xludf.DUMMYFUNCTION("""COMPUTED_VALUE"""),"")</f>
        <v/>
      </c>
      <c r="K275" s="19"/>
      <c r="L275" s="19"/>
      <c r="M275" s="19"/>
      <c r="N275" s="19"/>
      <c r="O275" s="59"/>
      <c r="P275" s="7"/>
      <c r="Q275" s="55"/>
      <c r="R275" s="55"/>
      <c r="S275" s="7"/>
      <c r="T275" s="55"/>
      <c r="U275" s="7"/>
      <c r="V275" s="55"/>
      <c r="W275" s="60"/>
      <c r="X275" s="55"/>
    </row>
    <row r="276" spans="1:24" ht="13" x14ac:dyDescent="0.15">
      <c r="A276" s="25" t="str">
        <f ca="1">IFERROR(__xludf.DUMMYFUNCTION("""COMPUTED_VALUE"""),"39704")</f>
        <v>39704</v>
      </c>
      <c r="B276" s="69">
        <f ca="1">IFERROR(__xludf.DUMMYFUNCTION("""COMPUTED_VALUE"""),44636)</f>
        <v>44636</v>
      </c>
      <c r="C276" s="69" t="str">
        <f ca="1">IFERROR(__xludf.DUMMYFUNCTION("""COMPUTED_VALUE"""),"Stock")</f>
        <v>Stock</v>
      </c>
      <c r="D276" s="5" t="str">
        <f ca="1">IFERROR(__xludf.DUMMYFUNCTION("""COMPUTED_VALUE"""),"AEP")</f>
        <v>AEP</v>
      </c>
      <c r="E276" s="5" t="str">
        <f ca="1">IFERROR(__xludf.DUMMYFUNCTION("""COMPUTED_VALUE"""),"USD")</f>
        <v>USD</v>
      </c>
      <c r="F276" s="55">
        <f ca="1">IFERROR(__xludf.DUMMYFUNCTION("""COMPUTED_VALUE"""),100)</f>
        <v>100</v>
      </c>
      <c r="G276" s="56">
        <f ca="1">IFERROR(__xludf.DUMMYFUNCTION("""COMPUTED_VALUE"""),7.82329214285714)</f>
        <v>7.8232921428571398</v>
      </c>
      <c r="H276" s="57">
        <f ca="1">IFERROR(__xludf.DUMMYFUNCTION("""COMPUTED_VALUE"""),95.07)</f>
        <v>95.07</v>
      </c>
      <c r="I276" s="57">
        <f ca="1">IFERROR(__xludf.DUMMYFUNCTION("""COMPUTED_VALUE"""),96.01)</f>
        <v>96.01</v>
      </c>
      <c r="J276" s="70" t="str">
        <f ca="1">IFERROR(__xludf.DUMMYFUNCTION("""COMPUTED_VALUE"""),"Goto link: AEP")</f>
        <v>Goto link: AEP</v>
      </c>
      <c r="K276" s="19"/>
      <c r="L276" s="19"/>
      <c r="M276" s="19"/>
      <c r="N276" s="19"/>
      <c r="O276" s="59"/>
      <c r="P276" s="7"/>
      <c r="Q276" s="55"/>
      <c r="R276" s="55"/>
      <c r="S276" s="7"/>
      <c r="T276" s="55"/>
      <c r="U276" s="7"/>
      <c r="V276" s="55"/>
      <c r="W276" s="60"/>
      <c r="X276" s="55"/>
    </row>
    <row r="277" spans="1:24" ht="13" x14ac:dyDescent="0.15">
      <c r="A277" s="25" t="str">
        <f ca="1">IFERROR(__xludf.DUMMYFUNCTION("""COMPUTED_VALUE"""),"39704 Total")</f>
        <v>39704 Total</v>
      </c>
      <c r="B277" s="5"/>
      <c r="C277" s="69"/>
      <c r="D277" s="5"/>
      <c r="E277" s="5"/>
      <c r="F277" s="55"/>
      <c r="G277" s="56">
        <f ca="1">IFERROR(__xludf.DUMMYFUNCTION("""COMPUTED_VALUE"""),1.90118952830188)</f>
        <v>1.90118952830188</v>
      </c>
      <c r="H277" s="57">
        <f ca="1">IFERROR(__xludf.DUMMYFUNCTION("""COMPUTED_VALUE"""),95.07)</f>
        <v>95.07</v>
      </c>
      <c r="I277" s="57" t="str">
        <f ca="1">IFERROR(__xludf.DUMMYFUNCTION("""COMPUTED_VALUE"""),"")</f>
        <v/>
      </c>
      <c r="J277" s="19" t="str">
        <f ca="1">IFERROR(__xludf.DUMMYFUNCTION("""COMPUTED_VALUE"""),"")</f>
        <v/>
      </c>
      <c r="K277" s="19"/>
      <c r="L277" s="19"/>
      <c r="M277" s="19"/>
      <c r="N277" s="19"/>
      <c r="O277" s="59"/>
      <c r="P277" s="7"/>
      <c r="Q277" s="55"/>
      <c r="R277" s="55"/>
      <c r="S277" s="7"/>
      <c r="T277" s="55"/>
      <c r="U277" s="7"/>
      <c r="V277" s="55"/>
      <c r="W277" s="60"/>
      <c r="X277" s="55"/>
    </row>
    <row r="278" spans="1:24" ht="13" x14ac:dyDescent="0.15">
      <c r="A278" s="25" t="str">
        <f ca="1">IFERROR(__xludf.DUMMYFUNCTION("""COMPUTED_VALUE"""),"39776")</f>
        <v>39776</v>
      </c>
      <c r="B278" s="69">
        <f ca="1">IFERROR(__xludf.DUMMYFUNCTION("""COMPUTED_VALUE"""),44597)</f>
        <v>44597</v>
      </c>
      <c r="C278" s="69" t="str">
        <f ca="1">IFERROR(__xludf.DUMMYFUNCTION("""COMPUTED_VALUE"""),"Cash")</f>
        <v>Cash</v>
      </c>
      <c r="D278" s="5" t="str">
        <f ca="1">IFERROR(__xludf.DUMMYFUNCTION("""COMPUTED_VALUE"""),"Cash")</f>
        <v>Cash</v>
      </c>
      <c r="E278" s="5" t="str">
        <f ca="1">IFERROR(__xludf.DUMMYFUNCTION("""COMPUTED_VALUE"""),"HKD")</f>
        <v>HKD</v>
      </c>
      <c r="F278" s="55" t="str">
        <f ca="1">IFERROR(__xludf.DUMMYFUNCTION("""COMPUTED_VALUE"""),"")</f>
        <v/>
      </c>
      <c r="G278" s="56">
        <f ca="1">IFERROR(__xludf.DUMMYFUNCTION("""COMPUTED_VALUE"""),1)</f>
        <v>1</v>
      </c>
      <c r="H278" s="57">
        <f ca="1">IFERROR(__xludf.DUMMYFUNCTION("""COMPUTED_VALUE"""),1)</f>
        <v>1</v>
      </c>
      <c r="I278" s="57">
        <f ca="1">IFERROR(__xludf.DUMMYFUNCTION("""COMPUTED_VALUE"""),1)</f>
        <v>1</v>
      </c>
      <c r="J278" s="19" t="str">
        <f ca="1">IFERROR(__xludf.DUMMYFUNCTION("""COMPUTED_VALUE"""),"")</f>
        <v/>
      </c>
      <c r="K278" s="19"/>
      <c r="L278" s="19"/>
      <c r="M278" s="19"/>
      <c r="N278" s="19"/>
      <c r="O278" s="59"/>
      <c r="P278" s="7"/>
      <c r="Q278" s="55"/>
      <c r="R278" s="55"/>
      <c r="S278" s="7"/>
      <c r="T278" s="55"/>
      <c r="U278" s="7"/>
      <c r="V278" s="55"/>
      <c r="W278" s="60"/>
      <c r="X278" s="55"/>
    </row>
    <row r="279" spans="1:24" ht="13" x14ac:dyDescent="0.15">
      <c r="A279" s="25" t="str">
        <f ca="1">IFERROR(__xludf.DUMMYFUNCTION("""COMPUTED_VALUE"""),"39776")</f>
        <v>39776</v>
      </c>
      <c r="B279" s="69">
        <f ca="1">IFERROR(__xludf.DUMMYFUNCTION("""COMPUTED_VALUE"""),44623)</f>
        <v>44623</v>
      </c>
      <c r="C279" s="69" t="str">
        <f ca="1">IFERROR(__xludf.DUMMYFUNCTION("""COMPUTED_VALUE"""),"Stock")</f>
        <v>Stock</v>
      </c>
      <c r="D279" s="71" t="str">
        <f ca="1">IFERROR(__xludf.DUMMYFUNCTION("""COMPUTED_VALUE"""),"1208.HK")</f>
        <v>1208.HK</v>
      </c>
      <c r="E279" s="5" t="str">
        <f ca="1">IFERROR(__xludf.DUMMYFUNCTION("""COMPUTED_VALUE"""),"HKD")</f>
        <v>HKD</v>
      </c>
      <c r="F279" s="55">
        <f ca="1">IFERROR(__xludf.DUMMYFUNCTION("""COMPUTED_VALUE"""),0)</f>
        <v>0</v>
      </c>
      <c r="G279" s="56">
        <f ca="1">IFERROR(__xludf.DUMMYFUNCTION("""COMPUTED_VALUE"""),1)</f>
        <v>1</v>
      </c>
      <c r="H279" s="57">
        <f ca="1">IFERROR(__xludf.DUMMYFUNCTION("""COMPUTED_VALUE"""),0)</f>
        <v>0</v>
      </c>
      <c r="I279" s="57">
        <f ca="1">IFERROR(__xludf.DUMMYFUNCTION("""COMPUTED_VALUE"""),2.95)</f>
        <v>2.95</v>
      </c>
      <c r="J279" s="70" t="str">
        <f ca="1">IFERROR(__xludf.DUMMYFUNCTION("""COMPUTED_VALUE"""),"Goto link: 1208.HK")</f>
        <v>Goto link: 1208.HK</v>
      </c>
      <c r="K279" s="19"/>
      <c r="L279" s="19"/>
      <c r="M279" s="19"/>
      <c r="N279" s="19"/>
      <c r="O279" s="59"/>
      <c r="P279" s="7"/>
      <c r="Q279" s="55"/>
      <c r="R279" s="55"/>
      <c r="S279" s="7"/>
      <c r="T279" s="55"/>
      <c r="U279" s="7"/>
      <c r="V279" s="55"/>
      <c r="W279" s="60"/>
      <c r="X279" s="55"/>
    </row>
    <row r="280" spans="1:24" ht="13" x14ac:dyDescent="0.15">
      <c r="A280" s="25" t="str">
        <f ca="1">IFERROR(__xludf.DUMMYFUNCTION("""COMPUTED_VALUE"""),"39776")</f>
        <v>39776</v>
      </c>
      <c r="B280" s="69">
        <f ca="1">IFERROR(__xludf.DUMMYFUNCTION("""COMPUTED_VALUE"""),44623)</f>
        <v>44623</v>
      </c>
      <c r="C280" s="69" t="str">
        <f ca="1">IFERROR(__xludf.DUMMYFUNCTION("""COMPUTED_VALUE"""),"Stock")</f>
        <v>Stock</v>
      </c>
      <c r="D280" s="71" t="str">
        <f ca="1">IFERROR(__xludf.DUMMYFUNCTION("""COMPUTED_VALUE"""),"3800.hk")</f>
        <v>3800.hk</v>
      </c>
      <c r="E280" s="5" t="str">
        <f ca="1">IFERROR(__xludf.DUMMYFUNCTION("""COMPUTED_VALUE"""),"HKD")</f>
        <v>HKD</v>
      </c>
      <c r="F280" s="55">
        <f ca="1">IFERROR(__xludf.DUMMYFUNCTION("""COMPUTED_VALUE"""),0)</f>
        <v>0</v>
      </c>
      <c r="G280" s="56">
        <f ca="1">IFERROR(__xludf.DUMMYFUNCTION("""COMPUTED_VALUE"""),1)</f>
        <v>1</v>
      </c>
      <c r="H280" s="57">
        <f ca="1">IFERROR(__xludf.DUMMYFUNCTION("""COMPUTED_VALUE"""),0)</f>
        <v>0</v>
      </c>
      <c r="I280" s="57">
        <f ca="1">IFERROR(__xludf.DUMMYFUNCTION("""COMPUTED_VALUE"""),2.56)</f>
        <v>2.56</v>
      </c>
      <c r="J280" s="70" t="str">
        <f ca="1">IFERROR(__xludf.DUMMYFUNCTION("""COMPUTED_VALUE"""),"Goto link: 3800.hk")</f>
        <v>Goto link: 3800.hk</v>
      </c>
      <c r="K280" s="19"/>
      <c r="L280" s="19"/>
      <c r="M280" s="19"/>
      <c r="N280" s="19"/>
      <c r="O280" s="59"/>
      <c r="P280" s="7"/>
      <c r="Q280" s="55"/>
      <c r="R280" s="55"/>
      <c r="S280" s="7"/>
      <c r="T280" s="55"/>
      <c r="U280" s="7"/>
      <c r="V280" s="55"/>
      <c r="W280" s="60"/>
      <c r="X280" s="55"/>
    </row>
    <row r="281" spans="1:24" ht="13" x14ac:dyDescent="0.15">
      <c r="A281" s="25" t="str">
        <f ca="1">IFERROR(__xludf.DUMMYFUNCTION("""COMPUTED_VALUE"""),"39776")</f>
        <v>39776</v>
      </c>
      <c r="B281" s="69">
        <f ca="1">IFERROR(__xludf.DUMMYFUNCTION("""COMPUTED_VALUE"""),44623)</f>
        <v>44623</v>
      </c>
      <c r="C281" s="69" t="str">
        <f ca="1">IFERROR(__xludf.DUMMYFUNCTION("""COMPUTED_VALUE"""),"Stock")</f>
        <v>Stock</v>
      </c>
      <c r="D281" s="71" t="str">
        <f ca="1">IFERROR(__xludf.DUMMYFUNCTION("""COMPUTED_VALUE"""),"3800.hk")</f>
        <v>3800.hk</v>
      </c>
      <c r="E281" s="5" t="str">
        <f ca="1">IFERROR(__xludf.DUMMYFUNCTION("""COMPUTED_VALUE"""),"HKD")</f>
        <v>HKD</v>
      </c>
      <c r="F281" s="55">
        <f ca="1">IFERROR(__xludf.DUMMYFUNCTION("""COMPUTED_VALUE"""),5000)</f>
        <v>5000</v>
      </c>
      <c r="G281" s="56">
        <f ca="1">IFERROR(__xludf.DUMMYFUNCTION("""COMPUTED_VALUE"""),1)</f>
        <v>1</v>
      </c>
      <c r="H281" s="57">
        <f ca="1">IFERROR(__xludf.DUMMYFUNCTION("""COMPUTED_VALUE"""),2.97)</f>
        <v>2.97</v>
      </c>
      <c r="I281" s="57">
        <f ca="1">IFERROR(__xludf.DUMMYFUNCTION("""COMPUTED_VALUE"""),2.56)</f>
        <v>2.56</v>
      </c>
      <c r="J281" s="70" t="str">
        <f ca="1">IFERROR(__xludf.DUMMYFUNCTION("""COMPUTED_VALUE"""),"Goto link: 3800.hk")</f>
        <v>Goto link: 3800.hk</v>
      </c>
      <c r="K281" s="19"/>
      <c r="L281" s="19"/>
      <c r="M281" s="19"/>
      <c r="N281" s="19"/>
      <c r="O281" s="59"/>
      <c r="P281" s="7"/>
      <c r="Q281" s="55"/>
      <c r="R281" s="55"/>
      <c r="S281" s="7"/>
      <c r="T281" s="55"/>
      <c r="U281" s="7"/>
      <c r="V281" s="55"/>
      <c r="W281" s="60"/>
      <c r="X281" s="55"/>
    </row>
    <row r="282" spans="1:24" ht="13" x14ac:dyDescent="0.15">
      <c r="A282" s="25" t="str">
        <f ca="1">IFERROR(__xludf.DUMMYFUNCTION("""COMPUTED_VALUE"""),"39776")</f>
        <v>39776</v>
      </c>
      <c r="B282" s="69">
        <f ca="1">IFERROR(__xludf.DUMMYFUNCTION("""COMPUTED_VALUE"""),44638)</f>
        <v>44638</v>
      </c>
      <c r="C282" s="69" t="str">
        <f ca="1">IFERROR(__xludf.DUMMYFUNCTION("""COMPUTED_VALUE"""),"Stock")</f>
        <v>Stock</v>
      </c>
      <c r="D282" s="71" t="str">
        <f ca="1">IFERROR(__xludf.DUMMYFUNCTION("""COMPUTED_VALUE"""),"3800.HK")</f>
        <v>3800.HK</v>
      </c>
      <c r="E282" s="5" t="str">
        <f ca="1">IFERROR(__xludf.DUMMYFUNCTION("""COMPUTED_VALUE"""),"HKD")</f>
        <v>HKD</v>
      </c>
      <c r="F282" s="55">
        <f ca="1">IFERROR(__xludf.DUMMYFUNCTION("""COMPUTED_VALUE"""),0)</f>
        <v>0</v>
      </c>
      <c r="G282" s="56">
        <f ca="1">IFERROR(__xludf.DUMMYFUNCTION("""COMPUTED_VALUE"""),1)</f>
        <v>1</v>
      </c>
      <c r="H282" s="57">
        <f ca="1">IFERROR(__xludf.DUMMYFUNCTION("""COMPUTED_VALUE"""),0)</f>
        <v>0</v>
      </c>
      <c r="I282" s="57">
        <f ca="1">IFERROR(__xludf.DUMMYFUNCTION("""COMPUTED_VALUE"""),2.56)</f>
        <v>2.56</v>
      </c>
      <c r="J282" s="70" t="str">
        <f ca="1">IFERROR(__xludf.DUMMYFUNCTION("""COMPUTED_VALUE"""),"Goto link: 3800.HK")</f>
        <v>Goto link: 3800.HK</v>
      </c>
      <c r="K282" s="19"/>
      <c r="L282" s="19"/>
      <c r="M282" s="19"/>
      <c r="N282" s="19"/>
      <c r="O282" s="59"/>
      <c r="P282" s="7"/>
      <c r="Q282" s="55"/>
      <c r="R282" s="55"/>
      <c r="S282" s="7"/>
      <c r="T282" s="55"/>
      <c r="U282" s="7"/>
      <c r="V282" s="55"/>
      <c r="W282" s="60"/>
      <c r="X282" s="55"/>
    </row>
    <row r="283" spans="1:24" ht="13" x14ac:dyDescent="0.15">
      <c r="A283" s="25" t="str">
        <f ca="1">IFERROR(__xludf.DUMMYFUNCTION("""COMPUTED_VALUE"""),"39776 Total")</f>
        <v>39776 Total</v>
      </c>
      <c r="B283" s="5"/>
      <c r="C283" s="69"/>
      <c r="D283" s="5"/>
      <c r="E283" s="5"/>
      <c r="F283" s="55"/>
      <c r="G283" s="56">
        <f ca="1">IFERROR(__xludf.DUMMYFUNCTION("""COMPUTED_VALUE"""),1)</f>
        <v>1</v>
      </c>
      <c r="H283" s="57">
        <f ca="1">IFERROR(__xludf.DUMMYFUNCTION("""COMPUTED_VALUE"""),2.97)</f>
        <v>2.97</v>
      </c>
      <c r="I283" s="57" t="str">
        <f ca="1">IFERROR(__xludf.DUMMYFUNCTION("""COMPUTED_VALUE"""),"")</f>
        <v/>
      </c>
      <c r="J283" s="19" t="str">
        <f ca="1">IFERROR(__xludf.DUMMYFUNCTION("""COMPUTED_VALUE"""),"")</f>
        <v/>
      </c>
      <c r="K283" s="19"/>
      <c r="L283" s="19"/>
      <c r="M283" s="19"/>
      <c r="N283" s="19"/>
      <c r="O283" s="59"/>
      <c r="P283" s="7"/>
      <c r="Q283" s="55"/>
      <c r="R283" s="55"/>
      <c r="S283" s="7"/>
      <c r="T283" s="55"/>
      <c r="U283" s="7"/>
      <c r="V283" s="55"/>
      <c r="W283" s="60"/>
      <c r="X283" s="55"/>
    </row>
    <row r="284" spans="1:24" ht="13" x14ac:dyDescent="0.15">
      <c r="A284" s="25" t="str">
        <f ca="1">IFERROR(__xludf.DUMMYFUNCTION("""COMPUTED_VALUE"""),"39815")</f>
        <v>39815</v>
      </c>
      <c r="B284" s="69">
        <f ca="1">IFERROR(__xludf.DUMMYFUNCTION("""COMPUTED_VALUE"""),44597)</f>
        <v>44597</v>
      </c>
      <c r="C284" s="69" t="str">
        <f ca="1">IFERROR(__xludf.DUMMYFUNCTION("""COMPUTED_VALUE"""),"Cash")</f>
        <v>Cash</v>
      </c>
      <c r="D284" s="5" t="str">
        <f ca="1">IFERROR(__xludf.DUMMYFUNCTION("""COMPUTED_VALUE"""),"Cash")</f>
        <v>Cash</v>
      </c>
      <c r="E284" s="5" t="str">
        <f ca="1">IFERROR(__xludf.DUMMYFUNCTION("""COMPUTED_VALUE"""),"HKD")</f>
        <v>HKD</v>
      </c>
      <c r="F284" s="55" t="str">
        <f ca="1">IFERROR(__xludf.DUMMYFUNCTION("""COMPUTED_VALUE"""),"")</f>
        <v/>
      </c>
      <c r="G284" s="56">
        <f ca="1">IFERROR(__xludf.DUMMYFUNCTION("""COMPUTED_VALUE"""),1)</f>
        <v>1</v>
      </c>
      <c r="H284" s="57">
        <f ca="1">IFERROR(__xludf.DUMMYFUNCTION("""COMPUTED_VALUE"""),1)</f>
        <v>1</v>
      </c>
      <c r="I284" s="57">
        <f ca="1">IFERROR(__xludf.DUMMYFUNCTION("""COMPUTED_VALUE"""),1)</f>
        <v>1</v>
      </c>
      <c r="J284" s="19" t="str">
        <f ca="1">IFERROR(__xludf.DUMMYFUNCTION("""COMPUTED_VALUE"""),"")</f>
        <v/>
      </c>
      <c r="K284" s="19"/>
      <c r="L284" s="19"/>
      <c r="M284" s="19"/>
      <c r="N284" s="19"/>
      <c r="O284" s="59"/>
      <c r="P284" s="7"/>
      <c r="Q284" s="55"/>
      <c r="R284" s="55"/>
      <c r="S284" s="7"/>
      <c r="T284" s="55"/>
      <c r="U284" s="7"/>
      <c r="V284" s="55"/>
      <c r="W284" s="60"/>
      <c r="X284" s="55"/>
    </row>
    <row r="285" spans="1:24" ht="13" x14ac:dyDescent="0.15">
      <c r="A285" s="25" t="str">
        <f ca="1">IFERROR(__xludf.DUMMYFUNCTION("""COMPUTED_VALUE"""),"39815 Total")</f>
        <v>39815 Total</v>
      </c>
      <c r="B285" s="5"/>
      <c r="C285" s="69"/>
      <c r="D285" s="5"/>
      <c r="E285" s="5"/>
      <c r="F285" s="55"/>
      <c r="G285" s="56">
        <f ca="1">IFERROR(__xludf.DUMMYFUNCTION("""COMPUTED_VALUE"""),1)</f>
        <v>1</v>
      </c>
      <c r="H285" s="57">
        <f ca="1">IFERROR(__xludf.DUMMYFUNCTION("""COMPUTED_VALUE"""),1)</f>
        <v>1</v>
      </c>
      <c r="I285" s="57" t="str">
        <f ca="1">IFERROR(__xludf.DUMMYFUNCTION("""COMPUTED_VALUE"""),"")</f>
        <v/>
      </c>
      <c r="J285" s="19" t="str">
        <f ca="1">IFERROR(__xludf.DUMMYFUNCTION("""COMPUTED_VALUE"""),"")</f>
        <v/>
      </c>
      <c r="K285" s="19"/>
      <c r="L285" s="19"/>
      <c r="M285" s="19"/>
      <c r="N285" s="19"/>
      <c r="O285" s="59"/>
      <c r="P285" s="7"/>
      <c r="Q285" s="55"/>
      <c r="R285" s="55"/>
      <c r="S285" s="7"/>
      <c r="T285" s="55"/>
      <c r="U285" s="7"/>
      <c r="V285" s="55"/>
      <c r="W285" s="60"/>
      <c r="X285" s="55"/>
    </row>
    <row r="286" spans="1:24" ht="13" x14ac:dyDescent="0.15">
      <c r="A286" s="25" t="str">
        <f ca="1">IFERROR(__xludf.DUMMYFUNCTION("""COMPUTED_VALUE"""),"39857")</f>
        <v>39857</v>
      </c>
      <c r="B286" s="69">
        <f ca="1">IFERROR(__xludf.DUMMYFUNCTION("""COMPUTED_VALUE"""),44597)</f>
        <v>44597</v>
      </c>
      <c r="C286" s="69" t="str">
        <f ca="1">IFERROR(__xludf.DUMMYFUNCTION("""COMPUTED_VALUE"""),"Cash")</f>
        <v>Cash</v>
      </c>
      <c r="D286" s="5" t="str">
        <f ca="1">IFERROR(__xludf.DUMMYFUNCTION("""COMPUTED_VALUE"""),"Cash")</f>
        <v>Cash</v>
      </c>
      <c r="E286" s="5" t="str">
        <f ca="1">IFERROR(__xludf.DUMMYFUNCTION("""COMPUTED_VALUE"""),"HKD")</f>
        <v>HKD</v>
      </c>
      <c r="F286" s="55" t="str">
        <f ca="1">IFERROR(__xludf.DUMMYFUNCTION("""COMPUTED_VALUE"""),"")</f>
        <v/>
      </c>
      <c r="G286" s="56">
        <f ca="1">IFERROR(__xludf.DUMMYFUNCTION("""COMPUTED_VALUE"""),1)</f>
        <v>1</v>
      </c>
      <c r="H286" s="57">
        <f ca="1">IFERROR(__xludf.DUMMYFUNCTION("""COMPUTED_VALUE"""),1)</f>
        <v>1</v>
      </c>
      <c r="I286" s="57">
        <f ca="1">IFERROR(__xludf.DUMMYFUNCTION("""COMPUTED_VALUE"""),1)</f>
        <v>1</v>
      </c>
      <c r="J286" s="19" t="str">
        <f ca="1">IFERROR(__xludf.DUMMYFUNCTION("""COMPUTED_VALUE"""),"")</f>
        <v/>
      </c>
      <c r="K286" s="19"/>
      <c r="L286" s="19"/>
      <c r="M286" s="19"/>
      <c r="N286" s="19"/>
      <c r="O286" s="59"/>
      <c r="P286" s="7"/>
      <c r="Q286" s="55"/>
      <c r="R286" s="55"/>
      <c r="S286" s="7"/>
      <c r="T286" s="55"/>
      <c r="U286" s="7"/>
      <c r="V286" s="55"/>
      <c r="W286" s="60"/>
      <c r="X286" s="55"/>
    </row>
    <row r="287" spans="1:24" ht="13" x14ac:dyDescent="0.15">
      <c r="A287" s="25" t="str">
        <f ca="1">IFERROR(__xludf.DUMMYFUNCTION("""COMPUTED_VALUE"""),"39857")</f>
        <v>39857</v>
      </c>
      <c r="B287" s="69">
        <f ca="1">IFERROR(__xludf.DUMMYFUNCTION("""COMPUTED_VALUE"""),44607)</f>
        <v>44607</v>
      </c>
      <c r="C287" s="69" t="str">
        <f ca="1">IFERROR(__xludf.DUMMYFUNCTION("""COMPUTED_VALUE"""),"Stock")</f>
        <v>Stock</v>
      </c>
      <c r="D287" s="5" t="str">
        <f ca="1">IFERROR(__xludf.DUMMYFUNCTION("""COMPUTED_VALUE"""),"TSLA")</f>
        <v>TSLA</v>
      </c>
      <c r="E287" s="5" t="str">
        <f ca="1">IFERROR(__xludf.DUMMYFUNCTION("""COMPUTED_VALUE"""),"USD")</f>
        <v>USD</v>
      </c>
      <c r="F287" s="55">
        <f ca="1">IFERROR(__xludf.DUMMYFUNCTION("""COMPUTED_VALUE"""),-2)</f>
        <v>-2</v>
      </c>
      <c r="G287" s="56">
        <f ca="1">IFERROR(__xludf.DUMMYFUNCTION("""COMPUTED_VALUE"""),7.81480833333333)</f>
        <v>7.81480833333333</v>
      </c>
      <c r="H287" s="57">
        <f ca="1">IFERROR(__xludf.DUMMYFUNCTION("""COMPUTED_VALUE"""),922.43)</f>
        <v>922.43</v>
      </c>
      <c r="I287" s="57">
        <f ca="1">IFERROR(__xludf.DUMMYFUNCTION("""COMPUTED_VALUE"""),999.11)</f>
        <v>999.11</v>
      </c>
      <c r="J287" s="70" t="str">
        <f ca="1">IFERROR(__xludf.DUMMYFUNCTION("""COMPUTED_VALUE"""),"Goto link: TSLA")</f>
        <v>Goto link: TSLA</v>
      </c>
      <c r="K287" s="19"/>
      <c r="L287" s="19"/>
      <c r="M287" s="19"/>
      <c r="N287" s="19"/>
      <c r="O287" s="59"/>
      <c r="P287" s="7"/>
      <c r="Q287" s="55"/>
      <c r="R287" s="55"/>
      <c r="S287" s="7"/>
      <c r="T287" s="55"/>
      <c r="U287" s="7"/>
      <c r="V287" s="55"/>
      <c r="W287" s="60"/>
      <c r="X287" s="55"/>
    </row>
    <row r="288" spans="1:24" ht="13" x14ac:dyDescent="0.15">
      <c r="A288" s="25" t="str">
        <f ca="1">IFERROR(__xludf.DUMMYFUNCTION("""COMPUTED_VALUE"""),"39857")</f>
        <v>39857</v>
      </c>
      <c r="B288" s="69">
        <f ca="1">IFERROR(__xludf.DUMMYFUNCTION("""COMPUTED_VALUE"""),44608)</f>
        <v>44608</v>
      </c>
      <c r="C288" s="69" t="str">
        <f ca="1">IFERROR(__xludf.DUMMYFUNCTION("""COMPUTED_VALUE"""),"Stock")</f>
        <v>Stock</v>
      </c>
      <c r="D288" s="5" t="str">
        <f ca="1">IFERROR(__xludf.DUMMYFUNCTION("""COMPUTED_VALUE"""),"DIS")</f>
        <v>DIS</v>
      </c>
      <c r="E288" s="5" t="str">
        <f ca="1">IFERROR(__xludf.DUMMYFUNCTION("""COMPUTED_VALUE"""),"USD")</f>
        <v>USD</v>
      </c>
      <c r="F288" s="55">
        <f ca="1">IFERROR(__xludf.DUMMYFUNCTION("""COMPUTED_VALUE"""),200)</f>
        <v>200</v>
      </c>
      <c r="G288" s="56">
        <f ca="1">IFERROR(__xludf.DUMMYFUNCTION("""COMPUTED_VALUE"""),7.81519271428571)</f>
        <v>7.8151927142857103</v>
      </c>
      <c r="H288" s="57">
        <f ca="1">IFERROR(__xludf.DUMMYFUNCTION("""COMPUTED_VALUE"""),156.35)</f>
        <v>156.35</v>
      </c>
      <c r="I288" s="57">
        <f ca="1">IFERROR(__xludf.DUMMYFUNCTION("""COMPUTED_VALUE"""),137.64)</f>
        <v>137.63999999999999</v>
      </c>
      <c r="J288" s="70" t="str">
        <f ca="1">IFERROR(__xludf.DUMMYFUNCTION("""COMPUTED_VALUE"""),"Goto link: DIS")</f>
        <v>Goto link: DIS</v>
      </c>
      <c r="K288" s="19"/>
      <c r="L288" s="19"/>
      <c r="M288" s="19"/>
      <c r="N288" s="19"/>
      <c r="O288" s="59"/>
      <c r="P288" s="7"/>
      <c r="Q288" s="55"/>
      <c r="R288" s="55"/>
      <c r="S288" s="7"/>
      <c r="T288" s="55"/>
      <c r="U288" s="7"/>
      <c r="V288" s="55"/>
      <c r="W288" s="60"/>
      <c r="X288" s="55"/>
    </row>
    <row r="289" spans="1:24" ht="13" x14ac:dyDescent="0.15">
      <c r="A289" s="25" t="str">
        <f ca="1">IFERROR(__xludf.DUMMYFUNCTION("""COMPUTED_VALUE"""),"39857")</f>
        <v>39857</v>
      </c>
      <c r="B289" s="69">
        <f ca="1">IFERROR(__xludf.DUMMYFUNCTION("""COMPUTED_VALUE"""),44609)</f>
        <v>44609</v>
      </c>
      <c r="C289" s="69" t="str">
        <f ca="1">IFERROR(__xludf.DUMMYFUNCTION("""COMPUTED_VALUE"""),"Stock")</f>
        <v>Stock</v>
      </c>
      <c r="D289" s="5" t="str">
        <f ca="1">IFERROR(__xludf.DUMMYFUNCTION("""COMPUTED_VALUE"""),"DIS")</f>
        <v>DIS</v>
      </c>
      <c r="E289" s="5" t="str">
        <f ca="1">IFERROR(__xludf.DUMMYFUNCTION("""COMPUTED_VALUE"""),"USD")</f>
        <v>USD</v>
      </c>
      <c r="F289" s="55">
        <f ca="1">IFERROR(__xludf.DUMMYFUNCTION("""COMPUTED_VALUE"""),300)</f>
        <v>300</v>
      </c>
      <c r="G289" s="56">
        <f ca="1">IFERROR(__xludf.DUMMYFUNCTION("""COMPUTED_VALUE"""),7.81562485294117)</f>
        <v>7.8156248529411698</v>
      </c>
      <c r="H289" s="57">
        <f ca="1">IFERROR(__xludf.DUMMYFUNCTION("""COMPUTED_VALUE"""),152.95)</f>
        <v>152.94999999999999</v>
      </c>
      <c r="I289" s="57">
        <f ca="1">IFERROR(__xludf.DUMMYFUNCTION("""COMPUTED_VALUE"""),137.64)</f>
        <v>137.63999999999999</v>
      </c>
      <c r="J289" s="70" t="str">
        <f ca="1">IFERROR(__xludf.DUMMYFUNCTION("""COMPUTED_VALUE"""),"Goto link: DIS")</f>
        <v>Goto link: DIS</v>
      </c>
      <c r="K289" s="19"/>
      <c r="L289" s="19"/>
      <c r="M289" s="19"/>
      <c r="N289" s="19"/>
      <c r="O289" s="59"/>
      <c r="P289" s="7"/>
      <c r="Q289" s="55"/>
      <c r="R289" s="55"/>
      <c r="S289" s="7"/>
      <c r="T289" s="55"/>
      <c r="U289" s="7"/>
      <c r="V289" s="55"/>
      <c r="W289" s="60"/>
      <c r="X289" s="55"/>
    </row>
    <row r="290" spans="1:24" ht="13" x14ac:dyDescent="0.15">
      <c r="A290" s="25" t="str">
        <f ca="1">IFERROR(__xludf.DUMMYFUNCTION("""COMPUTED_VALUE"""),"39857")</f>
        <v>39857</v>
      </c>
      <c r="B290" s="69">
        <f ca="1">IFERROR(__xludf.DUMMYFUNCTION("""COMPUTED_VALUE"""),44610)</f>
        <v>44610</v>
      </c>
      <c r="C290" s="69" t="str">
        <f ca="1">IFERROR(__xludf.DUMMYFUNCTION("""COMPUTED_VALUE"""),"Stock")</f>
        <v>Stock</v>
      </c>
      <c r="D290" s="5" t="str">
        <f ca="1">IFERROR(__xludf.DUMMYFUNCTION("""COMPUTED_VALUE"""),"RIVN")</f>
        <v>RIVN</v>
      </c>
      <c r="E290" s="5" t="str">
        <f ca="1">IFERROR(__xludf.DUMMYFUNCTION("""COMPUTED_VALUE"""),"USD")</f>
        <v>USD</v>
      </c>
      <c r="F290" s="55">
        <f ca="1">IFERROR(__xludf.DUMMYFUNCTION("""COMPUTED_VALUE"""),0)</f>
        <v>0</v>
      </c>
      <c r="G290" s="56">
        <f ca="1">IFERROR(__xludf.DUMMYFUNCTION("""COMPUTED_VALUE"""),7.81612515151515)</f>
        <v>7.8161251515151502</v>
      </c>
      <c r="H290" s="57">
        <f ca="1">IFERROR(__xludf.DUMMYFUNCTION("""COMPUTED_VALUE"""),0)</f>
        <v>0</v>
      </c>
      <c r="I290" s="57">
        <f ca="1">IFERROR(__xludf.DUMMYFUNCTION("""COMPUTED_VALUE"""),45.87)</f>
        <v>45.87</v>
      </c>
      <c r="J290" s="70" t="str">
        <f ca="1">IFERROR(__xludf.DUMMYFUNCTION("""COMPUTED_VALUE"""),"Goto link: RIVN")</f>
        <v>Goto link: RIVN</v>
      </c>
      <c r="K290" s="19"/>
      <c r="L290" s="19"/>
      <c r="M290" s="19"/>
      <c r="N290" s="19"/>
      <c r="O290" s="59"/>
      <c r="P290" s="7"/>
      <c r="Q290" s="55"/>
      <c r="R290" s="55"/>
      <c r="S290" s="7"/>
      <c r="T290" s="55"/>
      <c r="U290" s="7"/>
      <c r="V290" s="55"/>
      <c r="W290" s="60"/>
      <c r="X290" s="55"/>
    </row>
    <row r="291" spans="1:24" ht="13" x14ac:dyDescent="0.15">
      <c r="A291" s="25" t="str">
        <f ca="1">IFERROR(__xludf.DUMMYFUNCTION("""COMPUTED_VALUE"""),"39857")</f>
        <v>39857</v>
      </c>
      <c r="B291" s="69">
        <f ca="1">IFERROR(__xludf.DUMMYFUNCTION("""COMPUTED_VALUE"""),44610)</f>
        <v>44610</v>
      </c>
      <c r="C291" s="69" t="str">
        <f ca="1">IFERROR(__xludf.DUMMYFUNCTION("""COMPUTED_VALUE"""),"Stock")</f>
        <v>Stock</v>
      </c>
      <c r="D291" s="5" t="str">
        <f ca="1">IFERROR(__xludf.DUMMYFUNCTION("""COMPUTED_VALUE"""),"TSLA")</f>
        <v>TSLA</v>
      </c>
      <c r="E291" s="5" t="str">
        <f ca="1">IFERROR(__xludf.DUMMYFUNCTION("""COMPUTED_VALUE"""),"USD")</f>
        <v>USD</v>
      </c>
      <c r="F291" s="55">
        <f ca="1">IFERROR(__xludf.DUMMYFUNCTION("""COMPUTED_VALUE"""),2)</f>
        <v>2</v>
      </c>
      <c r="G291" s="56">
        <f ca="1">IFERROR(__xludf.DUMMYFUNCTION("""COMPUTED_VALUE"""),7.81612515151515)</f>
        <v>7.8161251515151502</v>
      </c>
      <c r="H291" s="57">
        <f ca="1">IFERROR(__xludf.DUMMYFUNCTION("""COMPUTED_VALUE"""),856.98)</f>
        <v>856.98</v>
      </c>
      <c r="I291" s="57">
        <f ca="1">IFERROR(__xludf.DUMMYFUNCTION("""COMPUTED_VALUE"""),999.11)</f>
        <v>999.11</v>
      </c>
      <c r="J291" s="70" t="str">
        <f ca="1">IFERROR(__xludf.DUMMYFUNCTION("""COMPUTED_VALUE"""),"Goto link: TSLA")</f>
        <v>Goto link: TSLA</v>
      </c>
      <c r="K291" s="19"/>
      <c r="L291" s="19"/>
      <c r="M291" s="19"/>
      <c r="N291" s="19"/>
      <c r="O291" s="59"/>
      <c r="P291" s="7"/>
      <c r="Q291" s="55"/>
      <c r="R291" s="55"/>
      <c r="S291" s="7"/>
      <c r="T291" s="55"/>
      <c r="U291" s="7"/>
      <c r="V291" s="55"/>
      <c r="W291" s="60"/>
      <c r="X291" s="55"/>
    </row>
    <row r="292" spans="1:24" ht="13" x14ac:dyDescent="0.15">
      <c r="A292" s="25" t="str">
        <f ca="1">IFERROR(__xludf.DUMMYFUNCTION("""COMPUTED_VALUE"""),"39857")</f>
        <v>39857</v>
      </c>
      <c r="B292" s="69">
        <f ca="1">IFERROR(__xludf.DUMMYFUNCTION("""COMPUTED_VALUE"""),44615)</f>
        <v>44615</v>
      </c>
      <c r="C292" s="69" t="str">
        <f ca="1">IFERROR(__xludf.DUMMYFUNCTION("""COMPUTED_VALUE"""),"Stock")</f>
        <v>Stock</v>
      </c>
      <c r="D292" s="5" t="str">
        <f ca="1">IFERROR(__xludf.DUMMYFUNCTION("""COMPUTED_VALUE"""),"TSLA")</f>
        <v>TSLA</v>
      </c>
      <c r="E292" s="5" t="str">
        <f ca="1">IFERROR(__xludf.DUMMYFUNCTION("""COMPUTED_VALUE"""),"USD")</f>
        <v>USD</v>
      </c>
      <c r="F292" s="55" t="str">
        <f ca="1">IFERROR(__xludf.DUMMYFUNCTION("""COMPUTED_VALUE"""),"")</f>
        <v/>
      </c>
      <c r="G292" s="56">
        <f ca="1">IFERROR(__xludf.DUMMYFUNCTION("""COMPUTED_VALUE"""),7.81886107142857)</f>
        <v>7.8188610714285698</v>
      </c>
      <c r="H292" s="57">
        <f ca="1">IFERROR(__xludf.DUMMYFUNCTION("""COMPUTED_VALUE"""),764.04)</f>
        <v>764.04</v>
      </c>
      <c r="I292" s="57">
        <f ca="1">IFERROR(__xludf.DUMMYFUNCTION("""COMPUTED_VALUE"""),999.11)</f>
        <v>999.11</v>
      </c>
      <c r="J292" s="70" t="str">
        <f ca="1">IFERROR(__xludf.DUMMYFUNCTION("""COMPUTED_VALUE"""),"Goto link: TSLA")</f>
        <v>Goto link: TSLA</v>
      </c>
      <c r="K292" s="19"/>
      <c r="L292" s="19"/>
      <c r="M292" s="19"/>
      <c r="N292" s="19"/>
      <c r="O292" s="59"/>
      <c r="P292" s="7"/>
      <c r="Q292" s="55"/>
      <c r="R292" s="55"/>
      <c r="S292" s="7"/>
      <c r="T292" s="55"/>
      <c r="U292" s="7"/>
      <c r="V292" s="55"/>
      <c r="W292" s="60"/>
      <c r="X292" s="55"/>
    </row>
    <row r="293" spans="1:24" ht="13" x14ac:dyDescent="0.15">
      <c r="A293" s="25" t="str">
        <f ca="1">IFERROR(__xludf.DUMMYFUNCTION("""COMPUTED_VALUE"""),"39857")</f>
        <v>39857</v>
      </c>
      <c r="B293" s="69">
        <f ca="1">IFERROR(__xludf.DUMMYFUNCTION("""COMPUTED_VALUE"""),44617)</f>
        <v>44617</v>
      </c>
      <c r="C293" s="69" t="str">
        <f ca="1">IFERROR(__xludf.DUMMYFUNCTION("""COMPUTED_VALUE"""),"Stock")</f>
        <v>Stock</v>
      </c>
      <c r="D293" s="5" t="str">
        <f ca="1">IFERROR(__xludf.DUMMYFUNCTION("""COMPUTED_VALUE"""),"DIS")</f>
        <v>DIS</v>
      </c>
      <c r="E293" s="5" t="str">
        <f ca="1">IFERROR(__xludf.DUMMYFUNCTION("""COMPUTED_VALUE"""),"USD")</f>
        <v>USD</v>
      </c>
      <c r="F293" s="55">
        <f ca="1">IFERROR(__xludf.DUMMYFUNCTION("""COMPUTED_VALUE"""),-500)</f>
        <v>-500</v>
      </c>
      <c r="G293" s="56">
        <f ca="1">IFERROR(__xludf.DUMMYFUNCTION("""COMPUTED_VALUE"""),7.81980423076923)</f>
        <v>7.8198042307692299</v>
      </c>
      <c r="H293" s="57">
        <f ca="1">IFERROR(__xludf.DUMMYFUNCTION("""COMPUTED_VALUE"""),149.53)</f>
        <v>149.53</v>
      </c>
      <c r="I293" s="57">
        <f ca="1">IFERROR(__xludf.DUMMYFUNCTION("""COMPUTED_VALUE"""),137.64)</f>
        <v>137.63999999999999</v>
      </c>
      <c r="J293" s="70" t="str">
        <f ca="1">IFERROR(__xludf.DUMMYFUNCTION("""COMPUTED_VALUE"""),"Goto link: DIS")</f>
        <v>Goto link: DIS</v>
      </c>
      <c r="K293" s="19"/>
      <c r="L293" s="19"/>
      <c r="M293" s="19"/>
      <c r="N293" s="19"/>
      <c r="O293" s="59"/>
      <c r="P293" s="7"/>
      <c r="Q293" s="55"/>
      <c r="R293" s="55"/>
      <c r="S293" s="7"/>
      <c r="T293" s="55"/>
      <c r="U293" s="7"/>
      <c r="V293" s="55"/>
      <c r="W293" s="60"/>
      <c r="X293" s="55"/>
    </row>
    <row r="294" spans="1:24" ht="13" x14ac:dyDescent="0.15">
      <c r="A294" s="25" t="str">
        <f ca="1">IFERROR(__xludf.DUMMYFUNCTION("""COMPUTED_VALUE"""),"39857")</f>
        <v>39857</v>
      </c>
      <c r="B294" s="69">
        <f ca="1">IFERROR(__xludf.DUMMYFUNCTION("""COMPUTED_VALUE"""),44617)</f>
        <v>44617</v>
      </c>
      <c r="C294" s="69" t="str">
        <f ca="1">IFERROR(__xludf.DUMMYFUNCTION("""COMPUTED_VALUE"""),"Stock")</f>
        <v>Stock</v>
      </c>
      <c r="D294" s="5" t="str">
        <f ca="1">IFERROR(__xludf.DUMMYFUNCTION("""COMPUTED_VALUE"""),"TSLA")</f>
        <v>TSLA</v>
      </c>
      <c r="E294" s="5" t="str">
        <f ca="1">IFERROR(__xludf.DUMMYFUNCTION("""COMPUTED_VALUE"""),"USD")</f>
        <v>USD</v>
      </c>
      <c r="F294" s="55">
        <f ca="1">IFERROR(__xludf.DUMMYFUNCTION("""COMPUTED_VALUE"""),-50)</f>
        <v>-50</v>
      </c>
      <c r="G294" s="56">
        <f ca="1">IFERROR(__xludf.DUMMYFUNCTION("""COMPUTED_VALUE"""),7.81980423076923)</f>
        <v>7.8198042307692299</v>
      </c>
      <c r="H294" s="57">
        <f ca="1">IFERROR(__xludf.DUMMYFUNCTION("""COMPUTED_VALUE"""),809.87)</f>
        <v>809.87</v>
      </c>
      <c r="I294" s="57">
        <f ca="1">IFERROR(__xludf.DUMMYFUNCTION("""COMPUTED_VALUE"""),999.11)</f>
        <v>999.11</v>
      </c>
      <c r="J294" s="70" t="str">
        <f ca="1">IFERROR(__xludf.DUMMYFUNCTION("""COMPUTED_VALUE"""),"Goto link: TSLA")</f>
        <v>Goto link: TSLA</v>
      </c>
      <c r="K294" s="19"/>
      <c r="L294" s="19"/>
      <c r="M294" s="19"/>
      <c r="N294" s="19"/>
      <c r="O294" s="59"/>
      <c r="P294" s="7"/>
      <c r="Q294" s="55"/>
      <c r="R294" s="55"/>
      <c r="S294" s="7"/>
      <c r="T294" s="55"/>
      <c r="U294" s="7"/>
      <c r="V294" s="55"/>
      <c r="W294" s="60"/>
      <c r="X294" s="55"/>
    </row>
    <row r="295" spans="1:24" ht="13" x14ac:dyDescent="0.15">
      <c r="A295" s="25" t="str">
        <f ca="1">IFERROR(__xludf.DUMMYFUNCTION("""COMPUTED_VALUE"""),"39857")</f>
        <v>39857</v>
      </c>
      <c r="B295" s="69">
        <f ca="1">IFERROR(__xludf.DUMMYFUNCTION("""COMPUTED_VALUE"""),44620)</f>
        <v>44620</v>
      </c>
      <c r="C295" s="69" t="str">
        <f ca="1">IFERROR(__xludf.DUMMYFUNCTION("""COMPUTED_VALUE"""),"Stock")</f>
        <v>Stock</v>
      </c>
      <c r="D295" s="5" t="str">
        <f ca="1">IFERROR(__xludf.DUMMYFUNCTION("""COMPUTED_VALUE"""),"TSLA")</f>
        <v>TSLA</v>
      </c>
      <c r="E295" s="5" t="str">
        <f ca="1">IFERROR(__xludf.DUMMYFUNCTION("""COMPUTED_VALUE"""),"USD")</f>
        <v>USD</v>
      </c>
      <c r="F295" s="55">
        <f ca="1">IFERROR(__xludf.DUMMYFUNCTION("""COMPUTED_VALUE"""),60)</f>
        <v>60</v>
      </c>
      <c r="G295" s="56">
        <f ca="1">IFERROR(__xludf.DUMMYFUNCTION("""COMPUTED_VALUE"""),7.82129434782608)</f>
        <v>7.8212943478260799</v>
      </c>
      <c r="H295" s="57">
        <f ca="1">IFERROR(__xludf.DUMMYFUNCTION("""COMPUTED_VALUE"""),870.43)</f>
        <v>870.43</v>
      </c>
      <c r="I295" s="57">
        <f ca="1">IFERROR(__xludf.DUMMYFUNCTION("""COMPUTED_VALUE"""),999.11)</f>
        <v>999.11</v>
      </c>
      <c r="J295" s="70" t="str">
        <f ca="1">IFERROR(__xludf.DUMMYFUNCTION("""COMPUTED_VALUE"""),"Goto link: TSLA")</f>
        <v>Goto link: TSLA</v>
      </c>
      <c r="K295" s="19"/>
      <c r="L295" s="19"/>
      <c r="M295" s="19"/>
      <c r="N295" s="19"/>
      <c r="O295" s="59"/>
      <c r="P295" s="7"/>
      <c r="Q295" s="55"/>
      <c r="R295" s="55"/>
      <c r="S295" s="7"/>
      <c r="T295" s="55"/>
      <c r="U295" s="7"/>
      <c r="V295" s="55"/>
      <c r="W295" s="60"/>
      <c r="X295" s="55"/>
    </row>
    <row r="296" spans="1:24" ht="13" x14ac:dyDescent="0.15">
      <c r="A296" s="25" t="str">
        <f ca="1">IFERROR(__xludf.DUMMYFUNCTION("""COMPUTED_VALUE"""),"39857 Total")</f>
        <v>39857 Total</v>
      </c>
      <c r="B296" s="5"/>
      <c r="C296" s="69"/>
      <c r="D296" s="5"/>
      <c r="E296" s="5"/>
      <c r="F296" s="55"/>
      <c r="G296" s="56">
        <f ca="1">IFERROR(__xludf.DUMMYFUNCTION("""COMPUTED_VALUE"""),6.9287257223796)</f>
        <v>6.9287257223795997</v>
      </c>
      <c r="H296" s="57">
        <f ca="1">IFERROR(__xludf.DUMMYFUNCTION("""COMPUTED_VALUE"""),922.43)</f>
        <v>922.43</v>
      </c>
      <c r="I296" s="57" t="str">
        <f ca="1">IFERROR(__xludf.DUMMYFUNCTION("""COMPUTED_VALUE"""),"")</f>
        <v/>
      </c>
      <c r="J296" s="19" t="str">
        <f ca="1">IFERROR(__xludf.DUMMYFUNCTION("""COMPUTED_VALUE"""),"")</f>
        <v/>
      </c>
      <c r="K296" s="19"/>
      <c r="L296" s="19"/>
      <c r="M296" s="19"/>
      <c r="N296" s="19"/>
      <c r="O296" s="59"/>
      <c r="P296" s="7"/>
      <c r="Q296" s="55"/>
      <c r="R296" s="55"/>
      <c r="S296" s="7"/>
      <c r="T296" s="55"/>
      <c r="U296" s="7"/>
      <c r="V296" s="55"/>
      <c r="W296" s="60"/>
      <c r="X296" s="55"/>
    </row>
    <row r="297" spans="1:24" ht="13" x14ac:dyDescent="0.15">
      <c r="A297" s="25" t="str">
        <f ca="1">IFERROR(__xludf.DUMMYFUNCTION("""COMPUTED_VALUE"""),"40105")</f>
        <v>40105</v>
      </c>
      <c r="B297" s="69">
        <f ca="1">IFERROR(__xludf.DUMMYFUNCTION("""COMPUTED_VALUE"""),44597)</f>
        <v>44597</v>
      </c>
      <c r="C297" s="69" t="str">
        <f ca="1">IFERROR(__xludf.DUMMYFUNCTION("""COMPUTED_VALUE"""),"Cash")</f>
        <v>Cash</v>
      </c>
      <c r="D297" s="5" t="str">
        <f ca="1">IFERROR(__xludf.DUMMYFUNCTION("""COMPUTED_VALUE"""),"Cash")</f>
        <v>Cash</v>
      </c>
      <c r="E297" s="5" t="str">
        <f ca="1">IFERROR(__xludf.DUMMYFUNCTION("""COMPUTED_VALUE"""),"HKD")</f>
        <v>HKD</v>
      </c>
      <c r="F297" s="55" t="str">
        <f ca="1">IFERROR(__xludf.DUMMYFUNCTION("""COMPUTED_VALUE"""),"")</f>
        <v/>
      </c>
      <c r="G297" s="56">
        <f ca="1">IFERROR(__xludf.DUMMYFUNCTION("""COMPUTED_VALUE"""),1)</f>
        <v>1</v>
      </c>
      <c r="H297" s="57">
        <f ca="1">IFERROR(__xludf.DUMMYFUNCTION("""COMPUTED_VALUE"""),1)</f>
        <v>1</v>
      </c>
      <c r="I297" s="57">
        <f ca="1">IFERROR(__xludf.DUMMYFUNCTION("""COMPUTED_VALUE"""),1)</f>
        <v>1</v>
      </c>
      <c r="J297" s="19" t="str">
        <f ca="1">IFERROR(__xludf.DUMMYFUNCTION("""COMPUTED_VALUE"""),"")</f>
        <v/>
      </c>
      <c r="K297" s="19"/>
      <c r="L297" s="19"/>
      <c r="M297" s="19"/>
      <c r="N297" s="19"/>
      <c r="O297" s="59"/>
      <c r="P297" s="7"/>
      <c r="Q297" s="55"/>
      <c r="R297" s="55"/>
      <c r="S297" s="7"/>
      <c r="T297" s="55"/>
      <c r="U297" s="7"/>
      <c r="V297" s="55"/>
      <c r="W297" s="60"/>
      <c r="X297" s="55"/>
    </row>
    <row r="298" spans="1:24" ht="13" x14ac:dyDescent="0.15">
      <c r="A298" s="25" t="str">
        <f ca="1">IFERROR(__xludf.DUMMYFUNCTION("""COMPUTED_VALUE"""),"40105")</f>
        <v>40105</v>
      </c>
      <c r="B298" s="69">
        <f ca="1">IFERROR(__xludf.DUMMYFUNCTION("""COMPUTED_VALUE"""),44605)</f>
        <v>44605</v>
      </c>
      <c r="C298" s="69" t="str">
        <f ca="1">IFERROR(__xludf.DUMMYFUNCTION("""COMPUTED_VALUE"""),"Time Deposit")</f>
        <v>Time Deposit</v>
      </c>
      <c r="D298" s="5" t="str">
        <f ca="1">IFERROR(__xludf.DUMMYFUNCTION("""COMPUTED_VALUE"""),"3m")</f>
        <v>3m</v>
      </c>
      <c r="E298" s="5" t="str">
        <f ca="1">IFERROR(__xludf.DUMMYFUNCTION("""COMPUTED_VALUE"""),"HKD")</f>
        <v>HKD</v>
      </c>
      <c r="F298" s="55">
        <f ca="1">IFERROR(__xludf.DUMMYFUNCTION("""COMPUTED_VALUE"""),100000)</f>
        <v>100000</v>
      </c>
      <c r="G298" s="56">
        <f ca="1">IFERROR(__xludf.DUMMYFUNCTION("""COMPUTED_VALUE"""),1)</f>
        <v>1</v>
      </c>
      <c r="H298" s="57">
        <f ca="1">IFERROR(__xludf.DUMMYFUNCTION("""COMPUTED_VALUE"""),1)</f>
        <v>1</v>
      </c>
      <c r="I298" s="57" t="str">
        <f ca="1">IFERROR(__xludf.DUMMYFUNCTION("""COMPUTED_VALUE"""),"#N/A")</f>
        <v>#N/A</v>
      </c>
      <c r="J298" s="19" t="str">
        <f ca="1">IFERROR(__xludf.DUMMYFUNCTION("""COMPUTED_VALUE"""),"")</f>
        <v/>
      </c>
      <c r="K298" s="19"/>
      <c r="L298" s="19"/>
      <c r="M298" s="19"/>
      <c r="N298" s="19"/>
      <c r="O298" s="59"/>
      <c r="P298" s="7"/>
      <c r="Q298" s="55"/>
      <c r="R298" s="55"/>
      <c r="S298" s="7"/>
      <c r="T298" s="55"/>
      <c r="U298" s="7"/>
      <c r="V298" s="55"/>
      <c r="W298" s="60"/>
      <c r="X298" s="55"/>
    </row>
    <row r="299" spans="1:24" ht="13" x14ac:dyDescent="0.15">
      <c r="A299" s="25" t="str">
        <f ca="1">IFERROR(__xludf.DUMMYFUNCTION("""COMPUTED_VALUE"""),"40105")</f>
        <v>40105</v>
      </c>
      <c r="B299" s="69">
        <f ca="1">IFERROR(__xludf.DUMMYFUNCTION("""COMPUTED_VALUE"""),44608)</f>
        <v>44608</v>
      </c>
      <c r="C299" s="69" t="str">
        <f ca="1">IFERROR(__xludf.DUMMYFUNCTION("""COMPUTED_VALUE"""),"Stock")</f>
        <v>Stock</v>
      </c>
      <c r="D299" s="5" t="str">
        <f ca="1">IFERROR(__xludf.DUMMYFUNCTION("""COMPUTED_VALUE"""),"DIS")</f>
        <v>DIS</v>
      </c>
      <c r="E299" s="5" t="str">
        <f ca="1">IFERROR(__xludf.DUMMYFUNCTION("""COMPUTED_VALUE"""),"USD")</f>
        <v>USD</v>
      </c>
      <c r="F299" s="55">
        <f ca="1">IFERROR(__xludf.DUMMYFUNCTION("""COMPUTED_VALUE"""),0)</f>
        <v>0</v>
      </c>
      <c r="G299" s="56">
        <f ca="1">IFERROR(__xludf.DUMMYFUNCTION("""COMPUTED_VALUE"""),7.81519271428571)</f>
        <v>7.8151927142857103</v>
      </c>
      <c r="H299" s="57">
        <f ca="1">IFERROR(__xludf.DUMMYFUNCTION("""COMPUTED_VALUE"""),0)</f>
        <v>0</v>
      </c>
      <c r="I299" s="57">
        <f ca="1">IFERROR(__xludf.DUMMYFUNCTION("""COMPUTED_VALUE"""),137.64)</f>
        <v>137.63999999999999</v>
      </c>
      <c r="J299" s="70" t="str">
        <f ca="1">IFERROR(__xludf.DUMMYFUNCTION("""COMPUTED_VALUE"""),"Goto link: DIS")</f>
        <v>Goto link: DIS</v>
      </c>
      <c r="K299" s="19"/>
      <c r="L299" s="19"/>
      <c r="M299" s="19"/>
      <c r="N299" s="19"/>
      <c r="O299" s="59"/>
      <c r="P299" s="7"/>
      <c r="Q299" s="55"/>
      <c r="R299" s="55"/>
      <c r="S299" s="7"/>
      <c r="T299" s="55"/>
      <c r="U299" s="7"/>
      <c r="V299" s="55"/>
      <c r="W299" s="60"/>
      <c r="X299" s="55"/>
    </row>
    <row r="300" spans="1:24" ht="13" x14ac:dyDescent="0.15">
      <c r="A300" s="25" t="str">
        <f ca="1">IFERROR(__xludf.DUMMYFUNCTION("""COMPUTED_VALUE"""),"40105")</f>
        <v>40105</v>
      </c>
      <c r="B300" s="69">
        <f ca="1">IFERROR(__xludf.DUMMYFUNCTION("""COMPUTED_VALUE"""),44609)</f>
        <v>44609</v>
      </c>
      <c r="C300" s="69" t="str">
        <f ca="1">IFERROR(__xludf.DUMMYFUNCTION("""COMPUTED_VALUE"""),"Stock")</f>
        <v>Stock</v>
      </c>
      <c r="D300" s="5" t="str">
        <f ca="1">IFERROR(__xludf.DUMMYFUNCTION("""COMPUTED_VALUE"""),"DIS")</f>
        <v>DIS</v>
      </c>
      <c r="E300" s="5" t="str">
        <f ca="1">IFERROR(__xludf.DUMMYFUNCTION("""COMPUTED_VALUE"""),"USD")</f>
        <v>USD</v>
      </c>
      <c r="F300" s="55">
        <f ca="1">IFERROR(__xludf.DUMMYFUNCTION("""COMPUTED_VALUE"""),300)</f>
        <v>300</v>
      </c>
      <c r="G300" s="56">
        <f ca="1">IFERROR(__xludf.DUMMYFUNCTION("""COMPUTED_VALUE"""),7.81562485294117)</f>
        <v>7.8156248529411698</v>
      </c>
      <c r="H300" s="57">
        <f ca="1">IFERROR(__xludf.DUMMYFUNCTION("""COMPUTED_VALUE"""),152.95)</f>
        <v>152.94999999999999</v>
      </c>
      <c r="I300" s="57">
        <f ca="1">IFERROR(__xludf.DUMMYFUNCTION("""COMPUTED_VALUE"""),137.64)</f>
        <v>137.63999999999999</v>
      </c>
      <c r="J300" s="70" t="str">
        <f ca="1">IFERROR(__xludf.DUMMYFUNCTION("""COMPUTED_VALUE"""),"Goto link: DIS")</f>
        <v>Goto link: DIS</v>
      </c>
      <c r="K300" s="19"/>
      <c r="L300" s="19"/>
      <c r="M300" s="19"/>
      <c r="N300" s="19"/>
      <c r="O300" s="59"/>
      <c r="P300" s="7"/>
      <c r="Q300" s="55"/>
      <c r="R300" s="55"/>
      <c r="S300" s="7"/>
      <c r="T300" s="55"/>
      <c r="U300" s="7"/>
      <c r="V300" s="55"/>
      <c r="W300" s="60"/>
      <c r="X300" s="55"/>
    </row>
    <row r="301" spans="1:24" ht="13" x14ac:dyDescent="0.15">
      <c r="A301" s="25" t="str">
        <f ca="1">IFERROR(__xludf.DUMMYFUNCTION("""COMPUTED_VALUE"""),"40105")</f>
        <v>40105</v>
      </c>
      <c r="B301" s="69">
        <f ca="1">IFERROR(__xludf.DUMMYFUNCTION("""COMPUTED_VALUE"""),44641)</f>
        <v>44641</v>
      </c>
      <c r="C301" s="69" t="str">
        <f ca="1">IFERROR(__xludf.DUMMYFUNCTION("""COMPUTED_VALUE"""),"Bond")</f>
        <v>Bond</v>
      </c>
      <c r="D301" s="5" t="str">
        <f ca="1">IFERROR(__xludf.DUMMYFUNCTION("""COMPUTED_VALUE"""),"US88032XAE40")</f>
        <v>US88032XAE40</v>
      </c>
      <c r="E301" s="5" t="str">
        <f ca="1">IFERROR(__xludf.DUMMYFUNCTION("""COMPUTED_VALUE"""),"USD")</f>
        <v>USD</v>
      </c>
      <c r="F301" s="55" t="str">
        <f ca="1">IFERROR(__xludf.DUMMYFUNCTION("""COMPUTED_VALUE"""),"")</f>
        <v/>
      </c>
      <c r="G301" s="56">
        <f ca="1">IFERROR(__xludf.DUMMYFUNCTION("""COMPUTED_VALUE"""),7.8262)</f>
        <v>7.8262</v>
      </c>
      <c r="H301" s="57">
        <f ca="1">IFERROR(__xludf.DUMMYFUNCTION("""COMPUTED_VALUE"""),100.294)</f>
        <v>100.294</v>
      </c>
      <c r="I301" s="57">
        <f ca="1">IFERROR(__xludf.DUMMYFUNCTION("""COMPUTED_VALUE"""),0)</f>
        <v>0</v>
      </c>
      <c r="J301" s="70" t="str">
        <f ca="1">IFERROR(__xludf.DUMMYFUNCTION("""COMPUTED_VALUE"""),"Bond Fact Sheet")</f>
        <v>Bond Fact Sheet</v>
      </c>
      <c r="K301" s="19"/>
      <c r="L301" s="19"/>
      <c r="M301" s="19"/>
      <c r="N301" s="19"/>
      <c r="O301" s="59"/>
      <c r="P301" s="7"/>
      <c r="Q301" s="55"/>
      <c r="R301" s="55"/>
      <c r="S301" s="7"/>
      <c r="T301" s="55"/>
      <c r="U301" s="7"/>
      <c r="V301" s="55"/>
      <c r="W301" s="60"/>
      <c r="X301" s="55"/>
    </row>
    <row r="302" spans="1:24" ht="13" x14ac:dyDescent="0.15">
      <c r="A302" s="25" t="str">
        <f ca="1">IFERROR(__xludf.DUMMYFUNCTION("""COMPUTED_VALUE"""),"40105 Total")</f>
        <v>40105 Total</v>
      </c>
      <c r="B302" s="5"/>
      <c r="C302" s="69"/>
      <c r="D302" s="5"/>
      <c r="E302" s="5"/>
      <c r="F302" s="55"/>
      <c r="G302" s="56">
        <f ca="1">IFERROR(__xludf.DUMMYFUNCTION("""COMPUTED_VALUE"""),4.80235334210526)</f>
        <v>4.8023533421052598</v>
      </c>
      <c r="H302" s="57">
        <f ca="1">IFERROR(__xludf.DUMMYFUNCTION("""COMPUTED_VALUE"""),152.95)</f>
        <v>152.94999999999999</v>
      </c>
      <c r="I302" s="57" t="str">
        <f ca="1">IFERROR(__xludf.DUMMYFUNCTION("""COMPUTED_VALUE"""),"")</f>
        <v/>
      </c>
      <c r="J302" s="19" t="str">
        <f ca="1">IFERROR(__xludf.DUMMYFUNCTION("""COMPUTED_VALUE"""),"")</f>
        <v/>
      </c>
      <c r="K302" s="19"/>
      <c r="L302" s="19"/>
      <c r="M302" s="19"/>
      <c r="N302" s="19"/>
      <c r="O302" s="59"/>
      <c r="P302" s="7"/>
      <c r="Q302" s="55"/>
      <c r="R302" s="55"/>
      <c r="S302" s="7"/>
      <c r="T302" s="55"/>
      <c r="U302" s="7"/>
      <c r="V302" s="55"/>
      <c r="W302" s="60"/>
      <c r="X302" s="55"/>
    </row>
    <row r="303" spans="1:24" ht="13" x14ac:dyDescent="0.15">
      <c r="A303" s="25" t="str">
        <f ca="1">IFERROR(__xludf.DUMMYFUNCTION("""COMPUTED_VALUE"""),"40158")</f>
        <v>40158</v>
      </c>
      <c r="B303" s="69">
        <f ca="1">IFERROR(__xludf.DUMMYFUNCTION("""COMPUTED_VALUE"""),44597)</f>
        <v>44597</v>
      </c>
      <c r="C303" s="69" t="str">
        <f ca="1">IFERROR(__xludf.DUMMYFUNCTION("""COMPUTED_VALUE"""),"Cash")</f>
        <v>Cash</v>
      </c>
      <c r="D303" s="5" t="str">
        <f ca="1">IFERROR(__xludf.DUMMYFUNCTION("""COMPUTED_VALUE"""),"Cash")</f>
        <v>Cash</v>
      </c>
      <c r="E303" s="5" t="str">
        <f ca="1">IFERROR(__xludf.DUMMYFUNCTION("""COMPUTED_VALUE"""),"HKD")</f>
        <v>HKD</v>
      </c>
      <c r="F303" s="55" t="str">
        <f ca="1">IFERROR(__xludf.DUMMYFUNCTION("""COMPUTED_VALUE"""),"")</f>
        <v/>
      </c>
      <c r="G303" s="56">
        <f ca="1">IFERROR(__xludf.DUMMYFUNCTION("""COMPUTED_VALUE"""),1)</f>
        <v>1</v>
      </c>
      <c r="H303" s="57">
        <f ca="1">IFERROR(__xludf.DUMMYFUNCTION("""COMPUTED_VALUE"""),1)</f>
        <v>1</v>
      </c>
      <c r="I303" s="57">
        <f ca="1">IFERROR(__xludf.DUMMYFUNCTION("""COMPUTED_VALUE"""),1)</f>
        <v>1</v>
      </c>
      <c r="J303" s="19" t="str">
        <f ca="1">IFERROR(__xludf.DUMMYFUNCTION("""COMPUTED_VALUE"""),"")</f>
        <v/>
      </c>
      <c r="K303" s="19"/>
      <c r="L303" s="19"/>
      <c r="M303" s="19"/>
      <c r="N303" s="19"/>
      <c r="O303" s="59"/>
      <c r="P303" s="7"/>
      <c r="Q303" s="55"/>
      <c r="R303" s="55"/>
      <c r="S303" s="7"/>
      <c r="T303" s="55"/>
      <c r="U303" s="7"/>
      <c r="V303" s="55"/>
      <c r="W303" s="60"/>
      <c r="X303" s="55"/>
    </row>
    <row r="304" spans="1:24" ht="13" x14ac:dyDescent="0.15">
      <c r="A304" s="25" t="str">
        <f ca="1">IFERROR(__xludf.DUMMYFUNCTION("""COMPUTED_VALUE"""),"40158")</f>
        <v>40158</v>
      </c>
      <c r="B304" s="69">
        <f ca="1">IFERROR(__xludf.DUMMYFUNCTION("""COMPUTED_VALUE"""),44607)</f>
        <v>44607</v>
      </c>
      <c r="C304" s="69" t="str">
        <f ca="1">IFERROR(__xludf.DUMMYFUNCTION("""COMPUTED_VALUE"""),"Stock")</f>
        <v>Stock</v>
      </c>
      <c r="D304" s="71" t="str">
        <f ca="1">IFERROR(__xludf.DUMMYFUNCTION("""COMPUTED_VALUE"""),"2020.HK")</f>
        <v>2020.HK</v>
      </c>
      <c r="E304" s="5" t="str">
        <f ca="1">IFERROR(__xludf.DUMMYFUNCTION("""COMPUTED_VALUE"""),"HKD")</f>
        <v>HKD</v>
      </c>
      <c r="F304" s="55">
        <f ca="1">IFERROR(__xludf.DUMMYFUNCTION("""COMPUTED_VALUE"""),700)</f>
        <v>700</v>
      </c>
      <c r="G304" s="56">
        <f ca="1">IFERROR(__xludf.DUMMYFUNCTION("""COMPUTED_VALUE"""),1)</f>
        <v>1</v>
      </c>
      <c r="H304" s="57">
        <f ca="1">IFERROR(__xludf.DUMMYFUNCTION("""COMPUTED_VALUE"""),127.2)</f>
        <v>127.2</v>
      </c>
      <c r="I304" s="57">
        <f ca="1">IFERROR(__xludf.DUMMYFUNCTION("""COMPUTED_VALUE"""),97.9)</f>
        <v>97.9</v>
      </c>
      <c r="J304" s="70" t="str">
        <f ca="1">IFERROR(__xludf.DUMMYFUNCTION("""COMPUTED_VALUE"""),"Goto link: 2020.HK")</f>
        <v>Goto link: 2020.HK</v>
      </c>
      <c r="K304" s="19"/>
      <c r="L304" s="19"/>
      <c r="M304" s="19"/>
      <c r="N304" s="19"/>
      <c r="O304" s="59"/>
      <c r="P304" s="7"/>
      <c r="Q304" s="55"/>
      <c r="R304" s="55"/>
      <c r="S304" s="7"/>
      <c r="T304" s="55"/>
      <c r="U304" s="7"/>
      <c r="V304" s="55"/>
      <c r="W304" s="60"/>
      <c r="X304" s="55"/>
    </row>
    <row r="305" spans="1:24" ht="13" x14ac:dyDescent="0.15">
      <c r="A305" s="25" t="str">
        <f ca="1">IFERROR(__xludf.DUMMYFUNCTION("""COMPUTED_VALUE"""),"40158")</f>
        <v>40158</v>
      </c>
      <c r="B305" s="69">
        <f ca="1">IFERROR(__xludf.DUMMYFUNCTION("""COMPUTED_VALUE"""),44608)</f>
        <v>44608</v>
      </c>
      <c r="C305" s="69" t="str">
        <f ca="1">IFERROR(__xludf.DUMMYFUNCTION("""COMPUTED_VALUE"""),"Stock")</f>
        <v>Stock</v>
      </c>
      <c r="D305" s="71" t="str">
        <f ca="1">IFERROR(__xludf.DUMMYFUNCTION("""COMPUTED_VALUE"""),"2020.HK")</f>
        <v>2020.HK</v>
      </c>
      <c r="E305" s="5" t="str">
        <f ca="1">IFERROR(__xludf.DUMMYFUNCTION("""COMPUTED_VALUE"""),"HKD")</f>
        <v>HKD</v>
      </c>
      <c r="F305" s="55">
        <f ca="1">IFERROR(__xludf.DUMMYFUNCTION("""COMPUTED_VALUE"""),7)</f>
        <v>7</v>
      </c>
      <c r="G305" s="56">
        <f ca="1">IFERROR(__xludf.DUMMYFUNCTION("""COMPUTED_VALUE"""),1)</f>
        <v>1</v>
      </c>
      <c r="H305" s="57">
        <f ca="1">IFERROR(__xludf.DUMMYFUNCTION("""COMPUTED_VALUE"""),129.8)</f>
        <v>129.80000000000001</v>
      </c>
      <c r="I305" s="57">
        <f ca="1">IFERROR(__xludf.DUMMYFUNCTION("""COMPUTED_VALUE"""),97.9)</f>
        <v>97.9</v>
      </c>
      <c r="J305" s="70" t="str">
        <f ca="1">IFERROR(__xludf.DUMMYFUNCTION("""COMPUTED_VALUE"""),"Goto link: 2020.HK")</f>
        <v>Goto link: 2020.HK</v>
      </c>
      <c r="K305" s="19"/>
      <c r="L305" s="19"/>
      <c r="M305" s="19"/>
      <c r="N305" s="19"/>
      <c r="O305" s="59"/>
      <c r="P305" s="7"/>
      <c r="Q305" s="55"/>
      <c r="R305" s="55"/>
      <c r="S305" s="7"/>
      <c r="T305" s="55"/>
      <c r="U305" s="7"/>
      <c r="V305" s="55"/>
      <c r="W305" s="60"/>
      <c r="X305" s="55"/>
    </row>
    <row r="306" spans="1:24" ht="13" x14ac:dyDescent="0.15">
      <c r="A306" s="25" t="str">
        <f ca="1">IFERROR(__xludf.DUMMYFUNCTION("""COMPUTED_VALUE"""),"40158")</f>
        <v>40158</v>
      </c>
      <c r="B306" s="69">
        <f ca="1">IFERROR(__xludf.DUMMYFUNCTION("""COMPUTED_VALUE"""),44609)</f>
        <v>44609</v>
      </c>
      <c r="C306" s="69" t="str">
        <f ca="1">IFERROR(__xludf.DUMMYFUNCTION("""COMPUTED_VALUE"""),"Stock")</f>
        <v>Stock</v>
      </c>
      <c r="D306" s="5" t="str">
        <f ca="1">IFERROR(__xludf.DUMMYFUNCTION("""COMPUTED_VALUE"""),"TSLA")</f>
        <v>TSLA</v>
      </c>
      <c r="E306" s="5" t="str">
        <f ca="1">IFERROR(__xludf.DUMMYFUNCTION("""COMPUTED_VALUE"""),"USD")</f>
        <v>USD</v>
      </c>
      <c r="F306" s="55">
        <f ca="1">IFERROR(__xludf.DUMMYFUNCTION("""COMPUTED_VALUE"""),6)</f>
        <v>6</v>
      </c>
      <c r="G306" s="56">
        <f ca="1">IFERROR(__xludf.DUMMYFUNCTION("""COMPUTED_VALUE"""),7.81562485294117)</f>
        <v>7.8156248529411698</v>
      </c>
      <c r="H306" s="57">
        <f ca="1">IFERROR(__xludf.DUMMYFUNCTION("""COMPUTED_VALUE"""),876.35)</f>
        <v>876.35</v>
      </c>
      <c r="I306" s="57">
        <f ca="1">IFERROR(__xludf.DUMMYFUNCTION("""COMPUTED_VALUE"""),999.11)</f>
        <v>999.11</v>
      </c>
      <c r="J306" s="70" t="str">
        <f ca="1">IFERROR(__xludf.DUMMYFUNCTION("""COMPUTED_VALUE"""),"Goto link: TSLA")</f>
        <v>Goto link: TSLA</v>
      </c>
      <c r="K306" s="19"/>
      <c r="L306" s="19"/>
      <c r="M306" s="19"/>
      <c r="N306" s="19"/>
      <c r="O306" s="59"/>
      <c r="P306" s="7"/>
      <c r="Q306" s="55"/>
      <c r="R306" s="55"/>
      <c r="S306" s="7"/>
      <c r="T306" s="55"/>
      <c r="U306" s="7"/>
      <c r="V306" s="55"/>
      <c r="W306" s="60"/>
      <c r="X306" s="55"/>
    </row>
    <row r="307" spans="1:24" ht="13" x14ac:dyDescent="0.15">
      <c r="A307" s="25" t="str">
        <f ca="1">IFERROR(__xludf.DUMMYFUNCTION("""COMPUTED_VALUE"""),"40158 Total")</f>
        <v>40158 Total</v>
      </c>
      <c r="B307" s="5"/>
      <c r="C307" s="69"/>
      <c r="D307" s="5"/>
      <c r="E307" s="5"/>
      <c r="F307" s="55"/>
      <c r="G307" s="56">
        <f ca="1">IFERROR(__xludf.DUMMYFUNCTION("""COMPUTED_VALUE"""),2.53464400662251)</f>
        <v>2.5346440066225102</v>
      </c>
      <c r="H307" s="57">
        <f ca="1">IFERROR(__xludf.DUMMYFUNCTION("""COMPUTED_VALUE"""),876.35)</f>
        <v>876.35</v>
      </c>
      <c r="I307" s="57" t="str">
        <f ca="1">IFERROR(__xludf.DUMMYFUNCTION("""COMPUTED_VALUE"""),"")</f>
        <v/>
      </c>
      <c r="J307" s="19" t="str">
        <f ca="1">IFERROR(__xludf.DUMMYFUNCTION("""COMPUTED_VALUE"""),"")</f>
        <v/>
      </c>
      <c r="K307" s="19"/>
      <c r="L307" s="19"/>
      <c r="M307" s="19"/>
      <c r="N307" s="19"/>
      <c r="O307" s="59"/>
      <c r="P307" s="7"/>
      <c r="Q307" s="55"/>
      <c r="R307" s="55"/>
      <c r="S307" s="7"/>
      <c r="T307" s="55"/>
      <c r="U307" s="7"/>
      <c r="V307" s="55"/>
      <c r="W307" s="60"/>
      <c r="X307" s="55"/>
    </row>
    <row r="308" spans="1:24" ht="13" x14ac:dyDescent="0.15">
      <c r="A308" s="25" t="str">
        <f ca="1">IFERROR(__xludf.DUMMYFUNCTION("""COMPUTED_VALUE"""),"40318")</f>
        <v>40318</v>
      </c>
      <c r="B308" s="69">
        <f ca="1">IFERROR(__xludf.DUMMYFUNCTION("""COMPUTED_VALUE"""),44597)</f>
        <v>44597</v>
      </c>
      <c r="C308" s="69" t="str">
        <f ca="1">IFERROR(__xludf.DUMMYFUNCTION("""COMPUTED_VALUE"""),"Cash")</f>
        <v>Cash</v>
      </c>
      <c r="D308" s="5" t="str">
        <f ca="1">IFERROR(__xludf.DUMMYFUNCTION("""COMPUTED_VALUE"""),"Cash")</f>
        <v>Cash</v>
      </c>
      <c r="E308" s="5" t="str">
        <f ca="1">IFERROR(__xludf.DUMMYFUNCTION("""COMPUTED_VALUE"""),"HKD")</f>
        <v>HKD</v>
      </c>
      <c r="F308" s="55" t="str">
        <f ca="1">IFERROR(__xludf.DUMMYFUNCTION("""COMPUTED_VALUE"""),"")</f>
        <v/>
      </c>
      <c r="G308" s="56">
        <f ca="1">IFERROR(__xludf.DUMMYFUNCTION("""COMPUTED_VALUE"""),1)</f>
        <v>1</v>
      </c>
      <c r="H308" s="57">
        <f ca="1">IFERROR(__xludf.DUMMYFUNCTION("""COMPUTED_VALUE"""),1)</f>
        <v>1</v>
      </c>
      <c r="I308" s="57">
        <f ca="1">IFERROR(__xludf.DUMMYFUNCTION("""COMPUTED_VALUE"""),1)</f>
        <v>1</v>
      </c>
      <c r="J308" s="19" t="str">
        <f ca="1">IFERROR(__xludf.DUMMYFUNCTION("""COMPUTED_VALUE"""),"")</f>
        <v/>
      </c>
      <c r="K308" s="19"/>
      <c r="L308" s="19"/>
      <c r="M308" s="19"/>
      <c r="N308" s="19"/>
      <c r="O308" s="59"/>
      <c r="P308" s="7"/>
      <c r="Q308" s="55"/>
      <c r="R308" s="55"/>
      <c r="S308" s="7"/>
      <c r="T308" s="55"/>
      <c r="U308" s="7"/>
      <c r="V308" s="55"/>
      <c r="W308" s="60"/>
      <c r="X308" s="55"/>
    </row>
    <row r="309" spans="1:24" ht="13" x14ac:dyDescent="0.15">
      <c r="A309" s="25" t="str">
        <f ca="1">IFERROR(__xludf.DUMMYFUNCTION("""COMPUTED_VALUE"""),"40318")</f>
        <v>40318</v>
      </c>
      <c r="B309" s="69">
        <f ca="1">IFERROR(__xludf.DUMMYFUNCTION("""COMPUTED_VALUE"""),44629)</f>
        <v>44629</v>
      </c>
      <c r="C309" s="69" t="str">
        <f ca="1">IFERROR(__xludf.DUMMYFUNCTION("""COMPUTED_VALUE"""),"Stock")</f>
        <v>Stock</v>
      </c>
      <c r="D309" s="5" t="str">
        <f ca="1">IFERROR(__xludf.DUMMYFUNCTION("""COMPUTED_VALUE"""),"AAPL")</f>
        <v>AAPL</v>
      </c>
      <c r="E309" s="5" t="str">
        <f ca="1">IFERROR(__xludf.DUMMYFUNCTION("""COMPUTED_VALUE"""),"USD")</f>
        <v>USD</v>
      </c>
      <c r="F309" s="55">
        <f ca="1">IFERROR(__xludf.DUMMYFUNCTION("""COMPUTED_VALUE"""),80)</f>
        <v>80</v>
      </c>
      <c r="G309" s="56">
        <f ca="1">IFERROR(__xludf.DUMMYFUNCTION("""COMPUTED_VALUE"""),7.82494821428571)</f>
        <v>7.8249482142857101</v>
      </c>
      <c r="H309" s="57">
        <f ca="1">IFERROR(__xludf.DUMMYFUNCTION("""COMPUTED_VALUE"""),162.95)</f>
        <v>162.94999999999999</v>
      </c>
      <c r="I309" s="57">
        <f ca="1">IFERROR(__xludf.DUMMYFUNCTION("""COMPUTED_VALUE"""),170.21)</f>
        <v>170.21</v>
      </c>
      <c r="J309" s="70" t="str">
        <f ca="1">IFERROR(__xludf.DUMMYFUNCTION("""COMPUTED_VALUE"""),"Goto link: AAPL")</f>
        <v>Goto link: AAPL</v>
      </c>
      <c r="K309" s="19"/>
      <c r="L309" s="19"/>
      <c r="M309" s="19"/>
      <c r="N309" s="19"/>
      <c r="O309" s="59"/>
      <c r="P309" s="7"/>
      <c r="Q309" s="55"/>
      <c r="R309" s="55"/>
      <c r="S309" s="7"/>
      <c r="T309" s="55"/>
      <c r="U309" s="7"/>
      <c r="V309" s="55"/>
      <c r="W309" s="60"/>
      <c r="X309" s="55"/>
    </row>
    <row r="310" spans="1:24" ht="13" x14ac:dyDescent="0.15">
      <c r="A310" s="25" t="str">
        <f ca="1">IFERROR(__xludf.DUMMYFUNCTION("""COMPUTED_VALUE"""),"40318")</f>
        <v>40318</v>
      </c>
      <c r="B310" s="69">
        <f ca="1">IFERROR(__xludf.DUMMYFUNCTION("""COMPUTED_VALUE"""),44629)</f>
        <v>44629</v>
      </c>
      <c r="C310" s="69" t="str">
        <f ca="1">IFERROR(__xludf.DUMMYFUNCTION("""COMPUTED_VALUE"""),"Stock")</f>
        <v>Stock</v>
      </c>
      <c r="D310" s="5" t="str">
        <f ca="1">IFERROR(__xludf.DUMMYFUNCTION("""COMPUTED_VALUE"""),"ABNB")</f>
        <v>ABNB</v>
      </c>
      <c r="E310" s="5" t="str">
        <f ca="1">IFERROR(__xludf.DUMMYFUNCTION("""COMPUTED_VALUE"""),"USD")</f>
        <v>USD</v>
      </c>
      <c r="F310" s="55">
        <f ca="1">IFERROR(__xludf.DUMMYFUNCTION("""COMPUTED_VALUE"""),60)</f>
        <v>60</v>
      </c>
      <c r="G310" s="56">
        <f ca="1">IFERROR(__xludf.DUMMYFUNCTION("""COMPUTED_VALUE"""),7.82537884615384)</f>
        <v>7.8253788461538401</v>
      </c>
      <c r="H310" s="57">
        <f ca="1">IFERROR(__xludf.DUMMYFUNCTION("""COMPUTED_VALUE"""),148.31)</f>
        <v>148.31</v>
      </c>
      <c r="I310" s="57">
        <f ca="1">IFERROR(__xludf.DUMMYFUNCTION("""COMPUTED_VALUE"""),164.16)</f>
        <v>164.16</v>
      </c>
      <c r="J310" s="70" t="str">
        <f ca="1">IFERROR(__xludf.DUMMYFUNCTION("""COMPUTED_VALUE"""),"Goto link: ABNB")</f>
        <v>Goto link: ABNB</v>
      </c>
      <c r="K310" s="19"/>
      <c r="L310" s="19"/>
      <c r="M310" s="19"/>
      <c r="N310" s="19"/>
      <c r="O310" s="59"/>
      <c r="P310" s="7"/>
      <c r="Q310" s="55"/>
      <c r="R310" s="55"/>
      <c r="S310" s="7"/>
      <c r="T310" s="55"/>
      <c r="U310" s="7"/>
      <c r="V310" s="55"/>
      <c r="W310" s="60"/>
      <c r="X310" s="55"/>
    </row>
    <row r="311" spans="1:24" ht="13" x14ac:dyDescent="0.15">
      <c r="A311" s="25" t="str">
        <f ca="1">IFERROR(__xludf.DUMMYFUNCTION("""COMPUTED_VALUE"""),"40318")</f>
        <v>40318</v>
      </c>
      <c r="B311" s="69">
        <f ca="1">IFERROR(__xludf.DUMMYFUNCTION("""COMPUTED_VALUE"""),44629)</f>
        <v>44629</v>
      </c>
      <c r="C311" s="69" t="str">
        <f ca="1">IFERROR(__xludf.DUMMYFUNCTION("""COMPUTED_VALUE"""),"Stock")</f>
        <v>Stock</v>
      </c>
      <c r="D311" s="5" t="str">
        <f ca="1">IFERROR(__xludf.DUMMYFUNCTION("""COMPUTED_VALUE"""),"LMT")</f>
        <v>LMT</v>
      </c>
      <c r="E311" s="5" t="str">
        <f ca="1">IFERROR(__xludf.DUMMYFUNCTION("""COMPUTED_VALUE"""),"USD")</f>
        <v>USD</v>
      </c>
      <c r="F311" s="55">
        <f ca="1">IFERROR(__xludf.DUMMYFUNCTION("""COMPUTED_VALUE"""),20)</f>
        <v>20</v>
      </c>
      <c r="G311" s="56">
        <f ca="1">IFERROR(__xludf.DUMMYFUNCTION("""COMPUTED_VALUE"""),7.82494821428571)</f>
        <v>7.8249482142857101</v>
      </c>
      <c r="H311" s="57">
        <f ca="1">IFERROR(__xludf.DUMMYFUNCTION("""COMPUTED_VALUE"""),448.72)</f>
        <v>448.72</v>
      </c>
      <c r="I311" s="57">
        <f ca="1">IFERROR(__xludf.DUMMYFUNCTION("""COMPUTED_VALUE"""),445.25)</f>
        <v>445.25</v>
      </c>
      <c r="J311" s="70" t="str">
        <f ca="1">IFERROR(__xludf.DUMMYFUNCTION("""COMPUTED_VALUE"""),"Goto link: LMT")</f>
        <v>Goto link: LMT</v>
      </c>
      <c r="K311" s="19"/>
      <c r="L311" s="19"/>
      <c r="M311" s="19"/>
      <c r="N311" s="19"/>
      <c r="O311" s="59"/>
      <c r="P311" s="7"/>
      <c r="Q311" s="55"/>
      <c r="R311" s="55"/>
      <c r="S311" s="7"/>
      <c r="T311" s="55"/>
      <c r="U311" s="7"/>
      <c r="V311" s="55"/>
      <c r="W311" s="60"/>
      <c r="X311" s="55"/>
    </row>
    <row r="312" spans="1:24" ht="13" x14ac:dyDescent="0.15">
      <c r="A312" s="25" t="str">
        <f ca="1">IFERROR(__xludf.DUMMYFUNCTION("""COMPUTED_VALUE"""),"40318")</f>
        <v>40318</v>
      </c>
      <c r="B312" s="69">
        <f ca="1">IFERROR(__xludf.DUMMYFUNCTION("""COMPUTED_VALUE"""),44637)</f>
        <v>44637</v>
      </c>
      <c r="C312" s="69" t="str">
        <f ca="1">IFERROR(__xludf.DUMMYFUNCTION("""COMPUTED_VALUE"""),"Stock")</f>
        <v>Stock</v>
      </c>
      <c r="D312" s="5" t="str">
        <f ca="1">IFERROR(__xludf.DUMMYFUNCTION("""COMPUTED_VALUE"""),"AAPL")</f>
        <v>AAPL</v>
      </c>
      <c r="E312" s="5" t="str">
        <f ca="1">IFERROR(__xludf.DUMMYFUNCTION("""COMPUTED_VALUE"""),"USD")</f>
        <v>USD</v>
      </c>
      <c r="F312" s="55">
        <f ca="1">IFERROR(__xludf.DUMMYFUNCTION("""COMPUTED_VALUE"""),-80)</f>
        <v>-80</v>
      </c>
      <c r="G312" s="56">
        <f ca="1">IFERROR(__xludf.DUMMYFUNCTION("""COMPUTED_VALUE"""),7.82374916666666)</f>
        <v>7.8237491666666603</v>
      </c>
      <c r="H312" s="57">
        <f ca="1">IFERROR(__xludf.DUMMYFUNCTION("""COMPUTED_VALUE"""),160.62)</f>
        <v>160.62</v>
      </c>
      <c r="I312" s="57">
        <f ca="1">IFERROR(__xludf.DUMMYFUNCTION("""COMPUTED_VALUE"""),170.21)</f>
        <v>170.21</v>
      </c>
      <c r="J312" s="70" t="str">
        <f ca="1">IFERROR(__xludf.DUMMYFUNCTION("""COMPUTED_VALUE"""),"Goto link: AAPL")</f>
        <v>Goto link: AAPL</v>
      </c>
      <c r="K312" s="19"/>
      <c r="L312" s="19"/>
      <c r="M312" s="19"/>
      <c r="N312" s="19"/>
      <c r="O312" s="59"/>
      <c r="P312" s="7"/>
      <c r="Q312" s="55"/>
      <c r="R312" s="55"/>
      <c r="S312" s="7"/>
      <c r="T312" s="55"/>
      <c r="U312" s="7"/>
      <c r="V312" s="55"/>
      <c r="W312" s="60"/>
      <c r="X312" s="55"/>
    </row>
    <row r="313" spans="1:24" ht="13" x14ac:dyDescent="0.15">
      <c r="A313" s="25" t="str">
        <f ca="1">IFERROR(__xludf.DUMMYFUNCTION("""COMPUTED_VALUE"""),"40318")</f>
        <v>40318</v>
      </c>
      <c r="B313" s="69">
        <f ca="1">IFERROR(__xludf.DUMMYFUNCTION("""COMPUTED_VALUE"""),44641)</f>
        <v>44641</v>
      </c>
      <c r="C313" s="69" t="str">
        <f ca="1">IFERROR(__xludf.DUMMYFUNCTION("""COMPUTED_VALUE"""),"Stock")</f>
        <v>Stock</v>
      </c>
      <c r="D313" s="5" t="str">
        <f ca="1">IFERROR(__xludf.DUMMYFUNCTION("""COMPUTED_VALUE"""),"BA")</f>
        <v>BA</v>
      </c>
      <c r="E313" s="5" t="str">
        <f ca="1">IFERROR(__xludf.DUMMYFUNCTION("""COMPUTED_VALUE"""),"USD")</f>
        <v>USD</v>
      </c>
      <c r="F313" s="55">
        <f ca="1">IFERROR(__xludf.DUMMYFUNCTION("""COMPUTED_VALUE"""),0)</f>
        <v>0</v>
      </c>
      <c r="G313" s="56">
        <f ca="1">IFERROR(__xludf.DUMMYFUNCTION("""COMPUTED_VALUE"""),7.8262)</f>
        <v>7.8262</v>
      </c>
      <c r="H313" s="57">
        <f ca="1">IFERROR(__xludf.DUMMYFUNCTION("""COMPUTED_VALUE"""),0)</f>
        <v>0</v>
      </c>
      <c r="I313" s="57">
        <f ca="1">IFERROR(__xludf.DUMMYFUNCTION("""COMPUTED_VALUE"""),186.04)</f>
        <v>186.04</v>
      </c>
      <c r="J313" s="70" t="str">
        <f ca="1">IFERROR(__xludf.DUMMYFUNCTION("""COMPUTED_VALUE"""),"Goto link: BA")</f>
        <v>Goto link: BA</v>
      </c>
      <c r="K313" s="19"/>
      <c r="L313" s="19"/>
      <c r="M313" s="19"/>
      <c r="N313" s="19"/>
      <c r="O313" s="59"/>
      <c r="P313" s="7"/>
      <c r="Q313" s="55"/>
      <c r="R313" s="55"/>
      <c r="S313" s="7"/>
      <c r="T313" s="55"/>
      <c r="U313" s="7"/>
      <c r="V313" s="55"/>
      <c r="W313" s="60"/>
      <c r="X313" s="55"/>
    </row>
    <row r="314" spans="1:24" ht="13" x14ac:dyDescent="0.15">
      <c r="A314" s="25" t="str">
        <f ca="1">IFERROR(__xludf.DUMMYFUNCTION("""COMPUTED_VALUE"""),"40318 Total")</f>
        <v>40318 Total</v>
      </c>
      <c r="B314" s="5"/>
      <c r="C314" s="69"/>
      <c r="D314" s="5"/>
      <c r="E314" s="5"/>
      <c r="F314" s="55"/>
      <c r="G314" s="56">
        <f ca="1">IFERROR(__xludf.DUMMYFUNCTION("""COMPUTED_VALUE"""),4.52024599999999)</f>
        <v>4.5202459999999904</v>
      </c>
      <c r="H314" s="57">
        <f ca="1">IFERROR(__xludf.DUMMYFUNCTION("""COMPUTED_VALUE"""),448.72)</f>
        <v>448.72</v>
      </c>
      <c r="I314" s="57" t="str">
        <f ca="1">IFERROR(__xludf.DUMMYFUNCTION("""COMPUTED_VALUE"""),"")</f>
        <v/>
      </c>
      <c r="J314" s="19" t="str">
        <f ca="1">IFERROR(__xludf.DUMMYFUNCTION("""COMPUTED_VALUE"""),"")</f>
        <v/>
      </c>
      <c r="K314" s="19"/>
      <c r="L314" s="19"/>
      <c r="M314" s="19"/>
      <c r="N314" s="19"/>
      <c r="O314" s="59"/>
      <c r="P314" s="7"/>
      <c r="Q314" s="55"/>
      <c r="R314" s="55"/>
      <c r="S314" s="7"/>
      <c r="T314" s="55"/>
      <c r="U314" s="7"/>
      <c r="V314" s="55"/>
      <c r="W314" s="60"/>
      <c r="X314" s="55"/>
    </row>
    <row r="315" spans="1:24" ht="13" x14ac:dyDescent="0.15">
      <c r="A315" s="25" t="str">
        <f ca="1">IFERROR(__xludf.DUMMYFUNCTION("""COMPUTED_VALUE"""),"40433")</f>
        <v>40433</v>
      </c>
      <c r="B315" s="69">
        <f ca="1">IFERROR(__xludf.DUMMYFUNCTION("""COMPUTED_VALUE"""),44597)</f>
        <v>44597</v>
      </c>
      <c r="C315" s="69" t="str">
        <f ca="1">IFERROR(__xludf.DUMMYFUNCTION("""COMPUTED_VALUE"""),"Cash")</f>
        <v>Cash</v>
      </c>
      <c r="D315" s="5" t="str">
        <f ca="1">IFERROR(__xludf.DUMMYFUNCTION("""COMPUTED_VALUE"""),"Cash")</f>
        <v>Cash</v>
      </c>
      <c r="E315" s="5" t="str">
        <f ca="1">IFERROR(__xludf.DUMMYFUNCTION("""COMPUTED_VALUE"""),"HKD")</f>
        <v>HKD</v>
      </c>
      <c r="F315" s="55" t="str">
        <f ca="1">IFERROR(__xludf.DUMMYFUNCTION("""COMPUTED_VALUE"""),"")</f>
        <v/>
      </c>
      <c r="G315" s="56">
        <f ca="1">IFERROR(__xludf.DUMMYFUNCTION("""COMPUTED_VALUE"""),1)</f>
        <v>1</v>
      </c>
      <c r="H315" s="57">
        <f ca="1">IFERROR(__xludf.DUMMYFUNCTION("""COMPUTED_VALUE"""),1)</f>
        <v>1</v>
      </c>
      <c r="I315" s="57">
        <f ca="1">IFERROR(__xludf.DUMMYFUNCTION("""COMPUTED_VALUE"""),1)</f>
        <v>1</v>
      </c>
      <c r="J315" s="19" t="str">
        <f ca="1">IFERROR(__xludf.DUMMYFUNCTION("""COMPUTED_VALUE"""),"")</f>
        <v/>
      </c>
      <c r="K315" s="19"/>
      <c r="L315" s="19"/>
      <c r="M315" s="19"/>
      <c r="N315" s="19"/>
      <c r="O315" s="59"/>
      <c r="P315" s="7"/>
      <c r="Q315" s="55"/>
      <c r="R315" s="55"/>
      <c r="S315" s="7"/>
      <c r="T315" s="55"/>
      <c r="U315" s="7"/>
      <c r="V315" s="55"/>
      <c r="W315" s="60"/>
      <c r="X315" s="55"/>
    </row>
    <row r="316" spans="1:24" ht="13" x14ac:dyDescent="0.15">
      <c r="A316" s="25" t="str">
        <f ca="1">IFERROR(__xludf.DUMMYFUNCTION("""COMPUTED_VALUE"""),"40433")</f>
        <v>40433</v>
      </c>
      <c r="B316" s="69">
        <f ca="1">IFERROR(__xludf.DUMMYFUNCTION("""COMPUTED_VALUE"""),44607)</f>
        <v>44607</v>
      </c>
      <c r="C316" s="69" t="str">
        <f ca="1">IFERROR(__xludf.DUMMYFUNCTION("""COMPUTED_VALUE"""),"Stock")</f>
        <v>Stock</v>
      </c>
      <c r="D316" s="5" t="str">
        <f ca="1">IFERROR(__xludf.DUMMYFUNCTION("""COMPUTED_VALUE"""),"TSLA")</f>
        <v>TSLA</v>
      </c>
      <c r="E316" s="5" t="str">
        <f ca="1">IFERROR(__xludf.DUMMYFUNCTION("""COMPUTED_VALUE"""),"USD")</f>
        <v>USD</v>
      </c>
      <c r="F316" s="55">
        <f ca="1">IFERROR(__xludf.DUMMYFUNCTION("""COMPUTED_VALUE"""),0)</f>
        <v>0</v>
      </c>
      <c r="G316" s="56">
        <f ca="1">IFERROR(__xludf.DUMMYFUNCTION("""COMPUTED_VALUE"""),7.81480833333333)</f>
        <v>7.81480833333333</v>
      </c>
      <c r="H316" s="57">
        <f ca="1">IFERROR(__xludf.DUMMYFUNCTION("""COMPUTED_VALUE"""),0)</f>
        <v>0</v>
      </c>
      <c r="I316" s="57">
        <f ca="1">IFERROR(__xludf.DUMMYFUNCTION("""COMPUTED_VALUE"""),999.11)</f>
        <v>999.11</v>
      </c>
      <c r="J316" s="70" t="str">
        <f ca="1">IFERROR(__xludf.DUMMYFUNCTION("""COMPUTED_VALUE"""),"Goto link: TSLA")</f>
        <v>Goto link: TSLA</v>
      </c>
      <c r="K316" s="19"/>
      <c r="L316" s="19"/>
      <c r="M316" s="19"/>
      <c r="N316" s="19"/>
      <c r="O316" s="59"/>
      <c r="P316" s="7"/>
      <c r="Q316" s="55"/>
      <c r="R316" s="55"/>
      <c r="S316" s="7"/>
      <c r="T316" s="55"/>
      <c r="U316" s="7"/>
      <c r="V316" s="55"/>
      <c r="W316" s="60"/>
      <c r="X316" s="55"/>
    </row>
    <row r="317" spans="1:24" ht="13" x14ac:dyDescent="0.15">
      <c r="A317" s="25" t="str">
        <f ca="1">IFERROR(__xludf.DUMMYFUNCTION("""COMPUTED_VALUE"""),"40433")</f>
        <v>40433</v>
      </c>
      <c r="B317" s="69">
        <f ca="1">IFERROR(__xludf.DUMMYFUNCTION("""COMPUTED_VALUE"""),44608)</f>
        <v>44608</v>
      </c>
      <c r="C317" s="69" t="str">
        <f ca="1">IFERROR(__xludf.DUMMYFUNCTION("""COMPUTED_VALUE"""),"Stock")</f>
        <v>Stock</v>
      </c>
      <c r="D317" s="5" t="str">
        <f ca="1">IFERROR(__xludf.DUMMYFUNCTION("""COMPUTED_VALUE"""),"TSLA")</f>
        <v>TSLA</v>
      </c>
      <c r="E317" s="5" t="str">
        <f ca="1">IFERROR(__xludf.DUMMYFUNCTION("""COMPUTED_VALUE"""),"USD")</f>
        <v>USD</v>
      </c>
      <c r="F317" s="55" t="str">
        <f ca="1">IFERROR(__xludf.DUMMYFUNCTION("""COMPUTED_VALUE"""),"")</f>
        <v/>
      </c>
      <c r="G317" s="56">
        <f ca="1">IFERROR(__xludf.DUMMYFUNCTION("""COMPUTED_VALUE"""),7.81519271428571)</f>
        <v>7.8151927142857103</v>
      </c>
      <c r="H317" s="57">
        <f ca="1">IFERROR(__xludf.DUMMYFUNCTION("""COMPUTED_VALUE"""),923.39)</f>
        <v>923.39</v>
      </c>
      <c r="I317" s="57">
        <f ca="1">IFERROR(__xludf.DUMMYFUNCTION("""COMPUTED_VALUE"""),999.11)</f>
        <v>999.11</v>
      </c>
      <c r="J317" s="70" t="str">
        <f ca="1">IFERROR(__xludf.DUMMYFUNCTION("""COMPUTED_VALUE"""),"Goto link: TSLA")</f>
        <v>Goto link: TSLA</v>
      </c>
      <c r="K317" s="19"/>
      <c r="L317" s="19"/>
      <c r="M317" s="19"/>
      <c r="N317" s="19"/>
      <c r="O317" s="59"/>
      <c r="P317" s="7"/>
      <c r="Q317" s="55"/>
      <c r="R317" s="55"/>
      <c r="S317" s="7"/>
      <c r="T317" s="55"/>
      <c r="U317" s="7"/>
      <c r="V317" s="55"/>
      <c r="W317" s="60"/>
      <c r="X317" s="55"/>
    </row>
    <row r="318" spans="1:24" ht="13" x14ac:dyDescent="0.15">
      <c r="A318" s="25" t="str">
        <f ca="1">IFERROR(__xludf.DUMMYFUNCTION("""COMPUTED_VALUE"""),"40433")</f>
        <v>40433</v>
      </c>
      <c r="B318" s="69">
        <f ca="1">IFERROR(__xludf.DUMMYFUNCTION("""COMPUTED_VALUE"""),44610)</f>
        <v>44610</v>
      </c>
      <c r="C318" s="69" t="str">
        <f ca="1">IFERROR(__xludf.DUMMYFUNCTION("""COMPUTED_VALUE"""),"Stock")</f>
        <v>Stock</v>
      </c>
      <c r="D318" s="5" t="str">
        <f ca="1">IFERROR(__xludf.DUMMYFUNCTION("""COMPUTED_VALUE"""),"DIS")</f>
        <v>DIS</v>
      </c>
      <c r="E318" s="5" t="str">
        <f ca="1">IFERROR(__xludf.DUMMYFUNCTION("""COMPUTED_VALUE"""),"USD")</f>
        <v>USD</v>
      </c>
      <c r="F318" s="55">
        <f ca="1">IFERROR(__xludf.DUMMYFUNCTION("""COMPUTED_VALUE"""),6)</f>
        <v>6</v>
      </c>
      <c r="G318" s="56">
        <f ca="1">IFERROR(__xludf.DUMMYFUNCTION("""COMPUTED_VALUE"""),7.81612515151515)</f>
        <v>7.8161251515151502</v>
      </c>
      <c r="H318" s="57">
        <f ca="1">IFERROR(__xludf.DUMMYFUNCTION("""COMPUTED_VALUE"""),151.36)</f>
        <v>151.36000000000001</v>
      </c>
      <c r="I318" s="57">
        <f ca="1">IFERROR(__xludf.DUMMYFUNCTION("""COMPUTED_VALUE"""),137.64)</f>
        <v>137.63999999999999</v>
      </c>
      <c r="J318" s="70" t="str">
        <f ca="1">IFERROR(__xludf.DUMMYFUNCTION("""COMPUTED_VALUE"""),"Goto link: DIS")</f>
        <v>Goto link: DIS</v>
      </c>
      <c r="K318" s="19"/>
      <c r="L318" s="19"/>
      <c r="M318" s="19"/>
      <c r="N318" s="19"/>
      <c r="O318" s="59"/>
      <c r="P318" s="7"/>
      <c r="Q318" s="55"/>
      <c r="R318" s="55"/>
      <c r="S318" s="7"/>
      <c r="T318" s="55"/>
      <c r="U318" s="7"/>
      <c r="V318" s="55"/>
      <c r="W318" s="60"/>
      <c r="X318" s="55"/>
    </row>
    <row r="319" spans="1:24" ht="13" x14ac:dyDescent="0.15">
      <c r="A319" s="25" t="str">
        <f ca="1">IFERROR(__xludf.DUMMYFUNCTION("""COMPUTED_VALUE"""),"40433")</f>
        <v>40433</v>
      </c>
      <c r="B319" s="69">
        <f ca="1">IFERROR(__xludf.DUMMYFUNCTION("""COMPUTED_VALUE"""),44610)</f>
        <v>44610</v>
      </c>
      <c r="C319" s="69" t="str">
        <f ca="1">IFERROR(__xludf.DUMMYFUNCTION("""COMPUTED_VALUE"""),"Stock")</f>
        <v>Stock</v>
      </c>
      <c r="D319" s="5" t="str">
        <f ca="1">IFERROR(__xludf.DUMMYFUNCTION("""COMPUTED_VALUE"""),"LVMHF")</f>
        <v>LVMHF</v>
      </c>
      <c r="E319" s="5" t="str">
        <f ca="1">IFERROR(__xludf.DUMMYFUNCTION("""COMPUTED_VALUE"""),"USD")</f>
        <v>USD</v>
      </c>
      <c r="F319" s="55">
        <f ca="1">IFERROR(__xludf.DUMMYFUNCTION("""COMPUTED_VALUE"""),4)</f>
        <v>4</v>
      </c>
      <c r="G319" s="56">
        <f ca="1">IFERROR(__xludf.DUMMYFUNCTION("""COMPUTED_VALUE"""),7.81612515151515)</f>
        <v>7.8161251515151502</v>
      </c>
      <c r="H319" s="57">
        <f ca="1">IFERROR(__xludf.DUMMYFUNCTION("""COMPUTED_VALUE"""),780)</f>
        <v>780</v>
      </c>
      <c r="I319" s="57">
        <f ca="1">IFERROR(__xludf.DUMMYFUNCTION("""COMPUTED_VALUE"""),685.55)</f>
        <v>685.55</v>
      </c>
      <c r="J319" s="70" t="str">
        <f ca="1">IFERROR(__xludf.DUMMYFUNCTION("""COMPUTED_VALUE"""),"Goto link: LVMHF")</f>
        <v>Goto link: LVMHF</v>
      </c>
      <c r="K319" s="19"/>
      <c r="L319" s="19"/>
      <c r="M319" s="19"/>
      <c r="N319" s="19"/>
      <c r="O319" s="59"/>
      <c r="P319" s="7"/>
      <c r="Q319" s="55"/>
      <c r="R319" s="55"/>
      <c r="S319" s="7"/>
      <c r="T319" s="55"/>
      <c r="U319" s="7"/>
      <c r="V319" s="55"/>
      <c r="W319" s="60"/>
      <c r="X319" s="55"/>
    </row>
    <row r="320" spans="1:24" ht="13" x14ac:dyDescent="0.15">
      <c r="A320" s="25" t="str">
        <f ca="1">IFERROR(__xludf.DUMMYFUNCTION("""COMPUTED_VALUE"""),"40433")</f>
        <v>40433</v>
      </c>
      <c r="B320" s="69">
        <f ca="1">IFERROR(__xludf.DUMMYFUNCTION("""COMPUTED_VALUE"""),44641)</f>
        <v>44641</v>
      </c>
      <c r="C320" s="69" t="str">
        <f ca="1">IFERROR(__xludf.DUMMYFUNCTION("""COMPUTED_VALUE"""),"Stock")</f>
        <v>Stock</v>
      </c>
      <c r="D320" s="71" t="str">
        <f ca="1">IFERROR(__xludf.DUMMYFUNCTION("""COMPUTED_VALUE"""),"2222.SR")</f>
        <v>2222.SR</v>
      </c>
      <c r="E320" s="5" t="str">
        <f ca="1">IFERROR(__xludf.DUMMYFUNCTION("""COMPUTED_VALUE"""),"SAR")</f>
        <v>SAR</v>
      </c>
      <c r="F320" s="55">
        <f ca="1">IFERROR(__xludf.DUMMYFUNCTION("""COMPUTED_VALUE"""),10)</f>
        <v>10</v>
      </c>
      <c r="G320" s="56">
        <f ca="1">IFERROR(__xludf.DUMMYFUNCTION("""COMPUTED_VALUE"""),2.0861566075)</f>
        <v>2.0861566075</v>
      </c>
      <c r="H320" s="57">
        <f ca="1">IFERROR(__xludf.DUMMYFUNCTION("""COMPUTED_VALUE"""),42.95)</f>
        <v>42.95</v>
      </c>
      <c r="I320" s="57">
        <f ca="1">IFERROR(__xludf.DUMMYFUNCTION("""COMPUTED_VALUE"""),42.6)</f>
        <v>42.6</v>
      </c>
      <c r="J320" s="70" t="str">
        <f ca="1">IFERROR(__xludf.DUMMYFUNCTION("""COMPUTED_VALUE"""),"Goto link: 2222.SR")</f>
        <v>Goto link: 2222.SR</v>
      </c>
      <c r="K320" s="19"/>
      <c r="L320" s="19"/>
      <c r="M320" s="19"/>
      <c r="N320" s="19"/>
      <c r="O320" s="59"/>
      <c r="P320" s="7"/>
      <c r="Q320" s="55"/>
      <c r="R320" s="55"/>
      <c r="S320" s="7"/>
      <c r="T320" s="55"/>
      <c r="U320" s="7"/>
      <c r="V320" s="55"/>
      <c r="W320" s="60"/>
      <c r="X320" s="55"/>
    </row>
    <row r="321" spans="1:24" ht="13" x14ac:dyDescent="0.15">
      <c r="A321" s="25" t="str">
        <f ca="1">IFERROR(__xludf.DUMMYFUNCTION("""COMPUTED_VALUE"""),"40433")</f>
        <v>40433</v>
      </c>
      <c r="B321" s="69">
        <f ca="1">IFERROR(__xludf.DUMMYFUNCTION("""COMPUTED_VALUE"""),44641)</f>
        <v>44641</v>
      </c>
      <c r="C321" s="69" t="str">
        <f ca="1">IFERROR(__xludf.DUMMYFUNCTION("""COMPUTED_VALUE"""),"Stock")</f>
        <v>Stock</v>
      </c>
      <c r="D321" s="71" t="str">
        <f ca="1">IFERROR(__xludf.DUMMYFUNCTION("""COMPUTED_VALUE"""),"2222.SR")</f>
        <v>2222.SR</v>
      </c>
      <c r="E321" s="5" t="str">
        <f ca="1">IFERROR(__xludf.DUMMYFUNCTION("""COMPUTED_VALUE"""),"SAR")</f>
        <v>SAR</v>
      </c>
      <c r="F321" s="55">
        <f ca="1">IFERROR(__xludf.DUMMYFUNCTION("""COMPUTED_VALUE"""),20)</f>
        <v>20</v>
      </c>
      <c r="G321" s="56">
        <f ca="1">IFERROR(__xludf.DUMMYFUNCTION("""COMPUTED_VALUE"""),2.0861566075)</f>
        <v>2.0861566075</v>
      </c>
      <c r="H321" s="57">
        <f ca="1">IFERROR(__xludf.DUMMYFUNCTION("""COMPUTED_VALUE"""),42.95)</f>
        <v>42.95</v>
      </c>
      <c r="I321" s="57">
        <f ca="1">IFERROR(__xludf.DUMMYFUNCTION("""COMPUTED_VALUE"""),42.6)</f>
        <v>42.6</v>
      </c>
      <c r="J321" s="70" t="str">
        <f ca="1">IFERROR(__xludf.DUMMYFUNCTION("""COMPUTED_VALUE"""),"Goto link: 2222.SR")</f>
        <v>Goto link: 2222.SR</v>
      </c>
      <c r="K321" s="19"/>
      <c r="L321" s="19"/>
      <c r="M321" s="19"/>
      <c r="N321" s="19"/>
      <c r="O321" s="59"/>
      <c r="P321" s="7"/>
      <c r="Q321" s="55"/>
      <c r="R321" s="55"/>
      <c r="S321" s="7"/>
      <c r="T321" s="55"/>
      <c r="U321" s="7"/>
      <c r="V321" s="55"/>
      <c r="W321" s="60"/>
      <c r="X321" s="55"/>
    </row>
    <row r="322" spans="1:24" ht="13" x14ac:dyDescent="0.15">
      <c r="A322" s="25" t="str">
        <f ca="1">IFERROR(__xludf.DUMMYFUNCTION("""COMPUTED_VALUE"""),"40433")</f>
        <v>40433</v>
      </c>
      <c r="B322" s="69">
        <f ca="1">IFERROR(__xludf.DUMMYFUNCTION("""COMPUTED_VALUE"""),44641)</f>
        <v>44641</v>
      </c>
      <c r="C322" s="69" t="str">
        <f ca="1">IFERROR(__xludf.DUMMYFUNCTION("""COMPUTED_VALUE"""),"Stock")</f>
        <v>Stock</v>
      </c>
      <c r="D322" s="5" t="str">
        <f ca="1">IFERROR(__xludf.DUMMYFUNCTION("""COMPUTED_VALUE"""),"GOLD")</f>
        <v>GOLD</v>
      </c>
      <c r="E322" s="5" t="str">
        <f ca="1">IFERROR(__xludf.DUMMYFUNCTION("""COMPUTED_VALUE"""),"USD")</f>
        <v>USD</v>
      </c>
      <c r="F322" s="55">
        <f ca="1">IFERROR(__xludf.DUMMYFUNCTION("""COMPUTED_VALUE"""),5)</f>
        <v>5</v>
      </c>
      <c r="G322" s="56">
        <f ca="1">IFERROR(__xludf.DUMMYFUNCTION("""COMPUTED_VALUE"""),7.8262)</f>
        <v>7.8262</v>
      </c>
      <c r="H322" s="57">
        <f ca="1">IFERROR(__xludf.DUMMYFUNCTION("""COMPUTED_VALUE"""),24.3)</f>
        <v>24.3</v>
      </c>
      <c r="I322" s="57">
        <f ca="1">IFERROR(__xludf.DUMMYFUNCTION("""COMPUTED_VALUE"""),24.57)</f>
        <v>24.57</v>
      </c>
      <c r="J322" s="70" t="str">
        <f ca="1">IFERROR(__xludf.DUMMYFUNCTION("""COMPUTED_VALUE"""),"Goto link: GOLD")</f>
        <v>Goto link: GOLD</v>
      </c>
      <c r="K322" s="19"/>
      <c r="L322" s="19"/>
      <c r="M322" s="19"/>
      <c r="N322" s="19"/>
      <c r="O322" s="59"/>
      <c r="P322" s="7"/>
      <c r="Q322" s="55"/>
      <c r="R322" s="55"/>
      <c r="S322" s="7"/>
      <c r="T322" s="55"/>
      <c r="U322" s="7"/>
      <c r="V322" s="55"/>
      <c r="W322" s="60"/>
      <c r="X322" s="55"/>
    </row>
    <row r="323" spans="1:24" ht="13" x14ac:dyDescent="0.15">
      <c r="A323" s="25" t="str">
        <f ca="1">IFERROR(__xludf.DUMMYFUNCTION("""COMPUTED_VALUE"""),"40433 Total")</f>
        <v>40433 Total</v>
      </c>
      <c r="B323" s="5"/>
      <c r="C323" s="69"/>
      <c r="D323" s="5"/>
      <c r="E323" s="5"/>
      <c r="F323" s="55"/>
      <c r="G323" s="56">
        <f ca="1">IFERROR(__xludf.DUMMYFUNCTION("""COMPUTED_VALUE"""),6.03558799698412)</f>
        <v>6.0355879969841197</v>
      </c>
      <c r="H323" s="57">
        <f ca="1">IFERROR(__xludf.DUMMYFUNCTION("""COMPUTED_VALUE"""),923.39)</f>
        <v>923.39</v>
      </c>
      <c r="I323" s="57" t="str">
        <f ca="1">IFERROR(__xludf.DUMMYFUNCTION("""COMPUTED_VALUE"""),"")</f>
        <v/>
      </c>
      <c r="J323" s="19" t="str">
        <f ca="1">IFERROR(__xludf.DUMMYFUNCTION("""COMPUTED_VALUE"""),"")</f>
        <v/>
      </c>
      <c r="K323" s="19"/>
      <c r="L323" s="19"/>
      <c r="M323" s="19"/>
      <c r="N323" s="19"/>
      <c r="O323" s="59"/>
      <c r="P323" s="7"/>
      <c r="Q323" s="55"/>
      <c r="R323" s="55"/>
      <c r="S323" s="7"/>
      <c r="T323" s="55"/>
      <c r="U323" s="7"/>
      <c r="V323" s="55"/>
      <c r="W323" s="60"/>
      <c r="X323" s="55"/>
    </row>
    <row r="324" spans="1:24" ht="13" x14ac:dyDescent="0.15">
      <c r="A324" s="25" t="str">
        <f ca="1">IFERROR(__xludf.DUMMYFUNCTION("""COMPUTED_VALUE"""),"40658")</f>
        <v>40658</v>
      </c>
      <c r="B324" s="69">
        <f ca="1">IFERROR(__xludf.DUMMYFUNCTION("""COMPUTED_VALUE"""),44597)</f>
        <v>44597</v>
      </c>
      <c r="C324" s="69" t="str">
        <f ca="1">IFERROR(__xludf.DUMMYFUNCTION("""COMPUTED_VALUE"""),"Cash")</f>
        <v>Cash</v>
      </c>
      <c r="D324" s="5" t="str">
        <f ca="1">IFERROR(__xludf.DUMMYFUNCTION("""COMPUTED_VALUE"""),"Cash")</f>
        <v>Cash</v>
      </c>
      <c r="E324" s="5" t="str">
        <f ca="1">IFERROR(__xludf.DUMMYFUNCTION("""COMPUTED_VALUE"""),"HKD")</f>
        <v>HKD</v>
      </c>
      <c r="F324" s="55" t="str">
        <f ca="1">IFERROR(__xludf.DUMMYFUNCTION("""COMPUTED_VALUE"""),"")</f>
        <v/>
      </c>
      <c r="G324" s="56">
        <f ca="1">IFERROR(__xludf.DUMMYFUNCTION("""COMPUTED_VALUE"""),1)</f>
        <v>1</v>
      </c>
      <c r="H324" s="57">
        <f ca="1">IFERROR(__xludf.DUMMYFUNCTION("""COMPUTED_VALUE"""),1)</f>
        <v>1</v>
      </c>
      <c r="I324" s="57">
        <f ca="1">IFERROR(__xludf.DUMMYFUNCTION("""COMPUTED_VALUE"""),1)</f>
        <v>1</v>
      </c>
      <c r="J324" s="19" t="str">
        <f ca="1">IFERROR(__xludf.DUMMYFUNCTION("""COMPUTED_VALUE"""),"")</f>
        <v/>
      </c>
      <c r="K324" s="19"/>
      <c r="L324" s="19"/>
      <c r="M324" s="19"/>
      <c r="N324" s="19"/>
      <c r="O324" s="59"/>
      <c r="P324" s="7"/>
      <c r="Q324" s="55"/>
      <c r="R324" s="55"/>
      <c r="S324" s="7"/>
      <c r="T324" s="55"/>
      <c r="U324" s="7"/>
      <c r="V324" s="55"/>
      <c r="W324" s="60"/>
      <c r="X324" s="55"/>
    </row>
    <row r="325" spans="1:24" ht="13" x14ac:dyDescent="0.15">
      <c r="A325" s="25" t="str">
        <f ca="1">IFERROR(__xludf.DUMMYFUNCTION("""COMPUTED_VALUE"""),"40658 Total")</f>
        <v>40658 Total</v>
      </c>
      <c r="B325" s="5"/>
      <c r="C325" s="69"/>
      <c r="D325" s="5"/>
      <c r="E325" s="5"/>
      <c r="F325" s="55"/>
      <c r="G325" s="56">
        <f ca="1">IFERROR(__xludf.DUMMYFUNCTION("""COMPUTED_VALUE"""),1)</f>
        <v>1</v>
      </c>
      <c r="H325" s="57">
        <f ca="1">IFERROR(__xludf.DUMMYFUNCTION("""COMPUTED_VALUE"""),1)</f>
        <v>1</v>
      </c>
      <c r="I325" s="57" t="str">
        <f ca="1">IFERROR(__xludf.DUMMYFUNCTION("""COMPUTED_VALUE"""),"")</f>
        <v/>
      </c>
      <c r="J325" s="19" t="str">
        <f ca="1">IFERROR(__xludf.DUMMYFUNCTION("""COMPUTED_VALUE"""),"")</f>
        <v/>
      </c>
      <c r="K325" s="19"/>
      <c r="L325" s="19"/>
      <c r="M325" s="19"/>
      <c r="N325" s="19"/>
      <c r="O325" s="59"/>
      <c r="P325" s="7"/>
      <c r="Q325" s="55"/>
      <c r="R325" s="55"/>
      <c r="S325" s="7"/>
      <c r="T325" s="55"/>
      <c r="U325" s="7"/>
      <c r="V325" s="55"/>
      <c r="W325" s="60"/>
      <c r="X325" s="55"/>
    </row>
    <row r="326" spans="1:24" ht="13" x14ac:dyDescent="0.15">
      <c r="A326" s="25" t="str">
        <f ca="1">IFERROR(__xludf.DUMMYFUNCTION("""COMPUTED_VALUE"""),"40776")</f>
        <v>40776</v>
      </c>
      <c r="B326" s="69">
        <f ca="1">IFERROR(__xludf.DUMMYFUNCTION("""COMPUTED_VALUE"""),44597)</f>
        <v>44597</v>
      </c>
      <c r="C326" s="69" t="str">
        <f ca="1">IFERROR(__xludf.DUMMYFUNCTION("""COMPUTED_VALUE"""),"Cash")</f>
        <v>Cash</v>
      </c>
      <c r="D326" s="5" t="str">
        <f ca="1">IFERROR(__xludf.DUMMYFUNCTION("""COMPUTED_VALUE"""),"Cash")</f>
        <v>Cash</v>
      </c>
      <c r="E326" s="5" t="str">
        <f ca="1">IFERROR(__xludf.DUMMYFUNCTION("""COMPUTED_VALUE"""),"HKD")</f>
        <v>HKD</v>
      </c>
      <c r="F326" s="55" t="str">
        <f ca="1">IFERROR(__xludf.DUMMYFUNCTION("""COMPUTED_VALUE"""),"")</f>
        <v/>
      </c>
      <c r="G326" s="56">
        <f ca="1">IFERROR(__xludf.DUMMYFUNCTION("""COMPUTED_VALUE"""),1)</f>
        <v>1</v>
      </c>
      <c r="H326" s="57">
        <f ca="1">IFERROR(__xludf.DUMMYFUNCTION("""COMPUTED_VALUE"""),1)</f>
        <v>1</v>
      </c>
      <c r="I326" s="57">
        <f ca="1">IFERROR(__xludf.DUMMYFUNCTION("""COMPUTED_VALUE"""),1)</f>
        <v>1</v>
      </c>
      <c r="J326" s="19" t="str">
        <f ca="1">IFERROR(__xludf.DUMMYFUNCTION("""COMPUTED_VALUE"""),"")</f>
        <v/>
      </c>
      <c r="K326" s="19"/>
      <c r="L326" s="19"/>
      <c r="M326" s="19"/>
      <c r="N326" s="19"/>
      <c r="O326" s="59"/>
      <c r="P326" s="7"/>
      <c r="Q326" s="55"/>
      <c r="R326" s="55"/>
      <c r="S326" s="7"/>
      <c r="T326" s="55"/>
      <c r="U326" s="7"/>
      <c r="V326" s="55"/>
      <c r="W326" s="60"/>
      <c r="X326" s="55"/>
    </row>
    <row r="327" spans="1:24" ht="13" x14ac:dyDescent="0.15">
      <c r="A327" s="25" t="str">
        <f ca="1">IFERROR(__xludf.DUMMYFUNCTION("""COMPUTED_VALUE"""),"40776 Total")</f>
        <v>40776 Total</v>
      </c>
      <c r="B327" s="5"/>
      <c r="C327" s="69"/>
      <c r="D327" s="5"/>
      <c r="E327" s="5"/>
      <c r="F327" s="55"/>
      <c r="G327" s="56">
        <f ca="1">IFERROR(__xludf.DUMMYFUNCTION("""COMPUTED_VALUE"""),1)</f>
        <v>1</v>
      </c>
      <c r="H327" s="57">
        <f ca="1">IFERROR(__xludf.DUMMYFUNCTION("""COMPUTED_VALUE"""),1)</f>
        <v>1</v>
      </c>
      <c r="I327" s="57" t="str">
        <f ca="1">IFERROR(__xludf.DUMMYFUNCTION("""COMPUTED_VALUE"""),"")</f>
        <v/>
      </c>
      <c r="J327" s="19" t="str">
        <f ca="1">IFERROR(__xludf.DUMMYFUNCTION("""COMPUTED_VALUE"""),"")</f>
        <v/>
      </c>
      <c r="K327" s="19"/>
      <c r="L327" s="19"/>
      <c r="M327" s="19"/>
      <c r="N327" s="19"/>
      <c r="O327" s="59"/>
      <c r="P327" s="7"/>
      <c r="Q327" s="55"/>
      <c r="R327" s="55"/>
      <c r="S327" s="7"/>
      <c r="T327" s="55"/>
      <c r="U327" s="7"/>
      <c r="V327" s="55"/>
      <c r="W327" s="60"/>
      <c r="X327" s="55"/>
    </row>
    <row r="328" spans="1:24" ht="13" x14ac:dyDescent="0.15">
      <c r="A328" s="25" t="str">
        <f ca="1">IFERROR(__xludf.DUMMYFUNCTION("""COMPUTED_VALUE"""),"45962")</f>
        <v>45962</v>
      </c>
      <c r="B328" s="69">
        <f ca="1">IFERROR(__xludf.DUMMYFUNCTION("""COMPUTED_VALUE"""),44597)</f>
        <v>44597</v>
      </c>
      <c r="C328" s="69" t="str">
        <f ca="1">IFERROR(__xludf.DUMMYFUNCTION("""COMPUTED_VALUE"""),"Cash")</f>
        <v>Cash</v>
      </c>
      <c r="D328" s="5" t="str">
        <f ca="1">IFERROR(__xludf.DUMMYFUNCTION("""COMPUTED_VALUE"""),"Cash")</f>
        <v>Cash</v>
      </c>
      <c r="E328" s="5" t="str">
        <f ca="1">IFERROR(__xludf.DUMMYFUNCTION("""COMPUTED_VALUE"""),"HKD")</f>
        <v>HKD</v>
      </c>
      <c r="F328" s="55" t="str">
        <f ca="1">IFERROR(__xludf.DUMMYFUNCTION("""COMPUTED_VALUE"""),"")</f>
        <v/>
      </c>
      <c r="G328" s="56">
        <f ca="1">IFERROR(__xludf.DUMMYFUNCTION("""COMPUTED_VALUE"""),1)</f>
        <v>1</v>
      </c>
      <c r="H328" s="57">
        <f ca="1">IFERROR(__xludf.DUMMYFUNCTION("""COMPUTED_VALUE"""),1)</f>
        <v>1</v>
      </c>
      <c r="I328" s="57">
        <f ca="1">IFERROR(__xludf.DUMMYFUNCTION("""COMPUTED_VALUE"""),1)</f>
        <v>1</v>
      </c>
      <c r="J328" s="19" t="str">
        <f ca="1">IFERROR(__xludf.DUMMYFUNCTION("""COMPUTED_VALUE"""),"")</f>
        <v/>
      </c>
      <c r="K328" s="19"/>
      <c r="L328" s="19"/>
      <c r="M328" s="19"/>
      <c r="N328" s="19"/>
      <c r="O328" s="59"/>
      <c r="P328" s="7"/>
      <c r="Q328" s="55"/>
      <c r="R328" s="55"/>
      <c r="S328" s="7"/>
      <c r="T328" s="55"/>
      <c r="U328" s="7"/>
      <c r="V328" s="55"/>
      <c r="W328" s="60"/>
      <c r="X328" s="55"/>
    </row>
    <row r="329" spans="1:24" ht="13" x14ac:dyDescent="0.15">
      <c r="A329" s="25" t="str">
        <f ca="1">IFERROR(__xludf.DUMMYFUNCTION("""COMPUTED_VALUE"""),"45962")</f>
        <v>45962</v>
      </c>
      <c r="B329" s="69">
        <f ca="1">IFERROR(__xludf.DUMMYFUNCTION("""COMPUTED_VALUE"""),44621)</f>
        <v>44621</v>
      </c>
      <c r="C329" s="69" t="str">
        <f ca="1">IFERROR(__xludf.DUMMYFUNCTION("""COMPUTED_VALUE"""),"Stock")</f>
        <v>Stock</v>
      </c>
      <c r="D329" s="71" t="str">
        <f ca="1">IFERROR(__xludf.DUMMYFUNCTION("""COMPUTED_VALUE"""),"0700.HK")</f>
        <v>0700.HK</v>
      </c>
      <c r="E329" s="5" t="str">
        <f ca="1">IFERROR(__xludf.DUMMYFUNCTION("""COMPUTED_VALUE"""),"HKD")</f>
        <v>HKD</v>
      </c>
      <c r="F329" s="55">
        <f ca="1">IFERROR(__xludf.DUMMYFUNCTION("""COMPUTED_VALUE"""),1000)</f>
        <v>1000</v>
      </c>
      <c r="G329" s="56">
        <f ca="1">IFERROR(__xludf.DUMMYFUNCTION("""COMPUTED_VALUE"""),1)</f>
        <v>1</v>
      </c>
      <c r="H329" s="57">
        <f ca="1">IFERROR(__xludf.DUMMYFUNCTION("""COMPUTED_VALUE"""),421.2)</f>
        <v>421.2</v>
      </c>
      <c r="I329" s="57">
        <f ca="1">IFERROR(__xludf.DUMMYFUNCTION("""COMPUTED_VALUE"""),389)</f>
        <v>389</v>
      </c>
      <c r="J329" s="70" t="str">
        <f ca="1">IFERROR(__xludf.DUMMYFUNCTION("""COMPUTED_VALUE"""),"Goto link: 0700.HK")</f>
        <v>Goto link: 0700.HK</v>
      </c>
      <c r="K329" s="19"/>
      <c r="L329" s="19"/>
      <c r="M329" s="19"/>
      <c r="N329" s="19"/>
      <c r="O329" s="59"/>
      <c r="P329" s="7"/>
      <c r="Q329" s="55"/>
      <c r="R329" s="55"/>
      <c r="S329" s="7"/>
      <c r="T329" s="55"/>
      <c r="U329" s="7"/>
      <c r="V329" s="55"/>
      <c r="W329" s="60"/>
      <c r="X329" s="55"/>
    </row>
    <row r="330" spans="1:24" ht="13" x14ac:dyDescent="0.15">
      <c r="A330" s="25" t="str">
        <f ca="1">IFERROR(__xludf.DUMMYFUNCTION("""COMPUTED_VALUE"""),"45962")</f>
        <v>45962</v>
      </c>
      <c r="B330" s="69">
        <f ca="1">IFERROR(__xludf.DUMMYFUNCTION("""COMPUTED_VALUE"""),44636)</f>
        <v>44636</v>
      </c>
      <c r="C330" s="69" t="str">
        <f ca="1">IFERROR(__xludf.DUMMYFUNCTION("""COMPUTED_VALUE"""),"Stock")</f>
        <v>Stock</v>
      </c>
      <c r="D330" s="71" t="str">
        <f ca="1">IFERROR(__xludf.DUMMYFUNCTION("""COMPUTED_VALUE"""),"0700.hk")</f>
        <v>0700.hk</v>
      </c>
      <c r="E330" s="5" t="str">
        <f ca="1">IFERROR(__xludf.DUMMYFUNCTION("""COMPUTED_VALUE"""),"HKD")</f>
        <v>HKD</v>
      </c>
      <c r="F330" s="55">
        <f ca="1">IFERROR(__xludf.DUMMYFUNCTION("""COMPUTED_VALUE"""),200)</f>
        <v>200</v>
      </c>
      <c r="G330" s="56">
        <f ca="1">IFERROR(__xludf.DUMMYFUNCTION("""COMPUTED_VALUE"""),1)</f>
        <v>1</v>
      </c>
      <c r="H330" s="57">
        <f ca="1">IFERROR(__xludf.DUMMYFUNCTION("""COMPUTED_VALUE"""),367)</f>
        <v>367</v>
      </c>
      <c r="I330" s="57">
        <f ca="1">IFERROR(__xludf.DUMMYFUNCTION("""COMPUTED_VALUE"""),389)</f>
        <v>389</v>
      </c>
      <c r="J330" s="70" t="str">
        <f ca="1">IFERROR(__xludf.DUMMYFUNCTION("""COMPUTED_VALUE"""),"Goto link: 0700.hk")</f>
        <v>Goto link: 0700.hk</v>
      </c>
      <c r="K330" s="19"/>
      <c r="L330" s="19"/>
      <c r="M330" s="19"/>
      <c r="N330" s="19"/>
      <c r="O330" s="59"/>
      <c r="P330" s="7"/>
      <c r="Q330" s="55"/>
      <c r="R330" s="55"/>
      <c r="S330" s="7"/>
      <c r="T330" s="55"/>
      <c r="U330" s="7"/>
      <c r="V330" s="55"/>
      <c r="W330" s="60"/>
      <c r="X330" s="55"/>
    </row>
    <row r="331" spans="1:24" ht="13" x14ac:dyDescent="0.15">
      <c r="A331" s="25" t="str">
        <f ca="1">IFERROR(__xludf.DUMMYFUNCTION("""COMPUTED_VALUE"""),"45962 Total")</f>
        <v>45962 Total</v>
      </c>
      <c r="B331" s="5"/>
      <c r="C331" s="69"/>
      <c r="D331" s="5"/>
      <c r="E331" s="5"/>
      <c r="F331" s="55"/>
      <c r="G331" s="56">
        <f ca="1">IFERROR(__xludf.DUMMYFUNCTION("""COMPUTED_VALUE"""),1)</f>
        <v>1</v>
      </c>
      <c r="H331" s="57">
        <f ca="1">IFERROR(__xludf.DUMMYFUNCTION("""COMPUTED_VALUE"""),421.2)</f>
        <v>421.2</v>
      </c>
      <c r="I331" s="57" t="str">
        <f ca="1">IFERROR(__xludf.DUMMYFUNCTION("""COMPUTED_VALUE"""),"")</f>
        <v/>
      </c>
      <c r="J331" s="19" t="str">
        <f ca="1">IFERROR(__xludf.DUMMYFUNCTION("""COMPUTED_VALUE"""),"")</f>
        <v/>
      </c>
      <c r="K331" s="19"/>
      <c r="L331" s="19"/>
      <c r="M331" s="19"/>
      <c r="N331" s="19"/>
      <c r="O331" s="59"/>
      <c r="P331" s="7"/>
      <c r="Q331" s="55"/>
      <c r="R331" s="55"/>
      <c r="S331" s="7"/>
      <c r="T331" s="55"/>
      <c r="U331" s="7"/>
      <c r="V331" s="55"/>
      <c r="W331" s="60"/>
      <c r="X331" s="55"/>
    </row>
    <row r="332" spans="1:24" ht="13" x14ac:dyDescent="0.15">
      <c r="A332" s="25" t="str">
        <f ca="1">IFERROR(__xludf.DUMMYFUNCTION("""COMPUTED_VALUE"""),"45969")</f>
        <v>45969</v>
      </c>
      <c r="B332" s="69">
        <f ca="1">IFERROR(__xludf.DUMMYFUNCTION("""COMPUTED_VALUE"""),44597)</f>
        <v>44597</v>
      </c>
      <c r="C332" s="69" t="str">
        <f ca="1">IFERROR(__xludf.DUMMYFUNCTION("""COMPUTED_VALUE"""),"Cash")</f>
        <v>Cash</v>
      </c>
      <c r="D332" s="5" t="str">
        <f ca="1">IFERROR(__xludf.DUMMYFUNCTION("""COMPUTED_VALUE"""),"Cash")</f>
        <v>Cash</v>
      </c>
      <c r="E332" s="5" t="str">
        <f ca="1">IFERROR(__xludf.DUMMYFUNCTION("""COMPUTED_VALUE"""),"HKD")</f>
        <v>HKD</v>
      </c>
      <c r="F332" s="55" t="str">
        <f ca="1">IFERROR(__xludf.DUMMYFUNCTION("""COMPUTED_VALUE"""),"")</f>
        <v/>
      </c>
      <c r="G332" s="56">
        <f ca="1">IFERROR(__xludf.DUMMYFUNCTION("""COMPUTED_VALUE"""),1)</f>
        <v>1</v>
      </c>
      <c r="H332" s="57">
        <f ca="1">IFERROR(__xludf.DUMMYFUNCTION("""COMPUTED_VALUE"""),1)</f>
        <v>1</v>
      </c>
      <c r="I332" s="57">
        <f ca="1">IFERROR(__xludf.DUMMYFUNCTION("""COMPUTED_VALUE"""),1)</f>
        <v>1</v>
      </c>
      <c r="J332" s="19" t="str">
        <f ca="1">IFERROR(__xludf.DUMMYFUNCTION("""COMPUTED_VALUE"""),"")</f>
        <v/>
      </c>
      <c r="K332" s="19"/>
      <c r="L332" s="19"/>
      <c r="M332" s="19"/>
      <c r="N332" s="19"/>
      <c r="O332" s="59"/>
      <c r="P332" s="7"/>
      <c r="Q332" s="55"/>
      <c r="R332" s="55"/>
      <c r="S332" s="7"/>
      <c r="T332" s="55"/>
      <c r="U332" s="7"/>
      <c r="V332" s="55"/>
      <c r="W332" s="60"/>
      <c r="X332" s="55"/>
    </row>
    <row r="333" spans="1:24" ht="13" x14ac:dyDescent="0.15">
      <c r="A333" s="25" t="str">
        <f ca="1">IFERROR(__xludf.DUMMYFUNCTION("""COMPUTED_VALUE"""),"45969")</f>
        <v>45969</v>
      </c>
      <c r="B333" s="69">
        <f ca="1">IFERROR(__xludf.DUMMYFUNCTION("""COMPUTED_VALUE"""),44600)</f>
        <v>44600</v>
      </c>
      <c r="C333" s="69" t="str">
        <f ca="1">IFERROR(__xludf.DUMMYFUNCTION("""COMPUTED_VALUE"""),"Option")</f>
        <v>Option</v>
      </c>
      <c r="D333" s="5" t="str">
        <f ca="1">IFERROR(__xludf.DUMMYFUNCTION("""COMPUTED_VALUE"""),"BAC220325C00045000")</f>
        <v>BAC220325C00045000</v>
      </c>
      <c r="E333" s="5" t="str">
        <f ca="1">IFERROR(__xludf.DUMMYFUNCTION("""COMPUTED_VALUE"""),"USD")</f>
        <v>USD</v>
      </c>
      <c r="F333" s="55">
        <f ca="1">IFERROR(__xludf.DUMMYFUNCTION("""COMPUTED_VALUE"""),30)</f>
        <v>30</v>
      </c>
      <c r="G333" s="56">
        <f ca="1">IFERROR(__xludf.DUMMYFUNCTION("""COMPUTED_VALUE"""),7.81208372093023)</f>
        <v>7.8120837209302296</v>
      </c>
      <c r="H333" s="57">
        <f ca="1">IFERROR(__xludf.DUMMYFUNCTION("""COMPUTED_VALUE"""),5)</f>
        <v>5</v>
      </c>
      <c r="I333" s="57">
        <f ca="1">IFERROR(__xludf.DUMMYFUNCTION("""COMPUTED_VALUE"""),0.04)</f>
        <v>0.04</v>
      </c>
      <c r="J333" s="19" t="str">
        <f ca="1">IFERROR(__xludf.DUMMYFUNCTION("""COMPUTED_VALUE"""),"")</f>
        <v/>
      </c>
      <c r="K333" s="19"/>
      <c r="L333" s="19"/>
      <c r="M333" s="19"/>
      <c r="N333" s="19"/>
      <c r="O333" s="59"/>
      <c r="P333" s="7"/>
      <c r="Q333" s="55"/>
      <c r="R333" s="55"/>
      <c r="S333" s="7"/>
      <c r="T333" s="55"/>
      <c r="U333" s="7"/>
      <c r="V333" s="55"/>
      <c r="W333" s="60"/>
      <c r="X333" s="55"/>
    </row>
    <row r="334" spans="1:24" ht="13" x14ac:dyDescent="0.15">
      <c r="A334" s="25" t="str">
        <f ca="1">IFERROR(__xludf.DUMMYFUNCTION("""COMPUTED_VALUE"""),"45969")</f>
        <v>45969</v>
      </c>
      <c r="B334" s="69">
        <f ca="1">IFERROR(__xludf.DUMMYFUNCTION("""COMPUTED_VALUE"""),44600)</f>
        <v>44600</v>
      </c>
      <c r="C334" s="69" t="str">
        <f ca="1">IFERROR(__xludf.DUMMYFUNCTION("""COMPUTED_VALUE"""),"Option")</f>
        <v>Option</v>
      </c>
      <c r="D334" s="5" t="str">
        <f ca="1">IFERROR(__xludf.DUMMYFUNCTION("""COMPUTED_VALUE"""),"BILI220318P00040000")</f>
        <v>BILI220318P00040000</v>
      </c>
      <c r="E334" s="5" t="str">
        <f ca="1">IFERROR(__xludf.DUMMYFUNCTION("""COMPUTED_VALUE"""),"USD")</f>
        <v>USD</v>
      </c>
      <c r="F334" s="55">
        <f ca="1">IFERROR(__xludf.DUMMYFUNCTION("""COMPUTED_VALUE"""),7)</f>
        <v>7</v>
      </c>
      <c r="G334" s="56">
        <f ca="1">IFERROR(__xludf.DUMMYFUNCTION("""COMPUTED_VALUE"""),7.81208372093023)</f>
        <v>7.8120837209302296</v>
      </c>
      <c r="H334" s="57">
        <f ca="1">IFERROR(__xludf.DUMMYFUNCTION("""COMPUTED_VALUE"""),8.5)</f>
        <v>8.5</v>
      </c>
      <c r="I334" s="57">
        <f ca="1">IFERROR(__xludf.DUMMYFUNCTION("""COMPUTED_VALUE"""),0)</f>
        <v>0</v>
      </c>
      <c r="J334" s="19" t="str">
        <f ca="1">IFERROR(__xludf.DUMMYFUNCTION("""COMPUTED_VALUE"""),"")</f>
        <v/>
      </c>
      <c r="K334" s="19"/>
      <c r="L334" s="19"/>
      <c r="M334" s="19"/>
      <c r="N334" s="19"/>
      <c r="O334" s="59"/>
      <c r="P334" s="7"/>
      <c r="Q334" s="55"/>
      <c r="R334" s="55"/>
      <c r="S334" s="7"/>
      <c r="T334" s="55"/>
      <c r="U334" s="7"/>
      <c r="V334" s="55"/>
      <c r="W334" s="60"/>
      <c r="X334" s="55"/>
    </row>
    <row r="335" spans="1:24" ht="13" x14ac:dyDescent="0.15">
      <c r="A335" s="25" t="str">
        <f ca="1">IFERROR(__xludf.DUMMYFUNCTION("""COMPUTED_VALUE"""),"45969")</f>
        <v>45969</v>
      </c>
      <c r="B335" s="69">
        <f ca="1">IFERROR(__xludf.DUMMYFUNCTION("""COMPUTED_VALUE"""),44600)</f>
        <v>44600</v>
      </c>
      <c r="C335" s="69" t="str">
        <f ca="1">IFERROR(__xludf.DUMMYFUNCTION("""COMPUTED_VALUE"""),"Option")</f>
        <v>Option</v>
      </c>
      <c r="D335" s="5" t="str">
        <f ca="1">IFERROR(__xludf.DUMMYFUNCTION("""COMPUTED_VALUE"""),"FB220325P00210000")</f>
        <v>FB220325P00210000</v>
      </c>
      <c r="E335" s="5" t="str">
        <f ca="1">IFERROR(__xludf.DUMMYFUNCTION("""COMPUTED_VALUE"""),"USD")</f>
        <v>USD</v>
      </c>
      <c r="F335" s="55">
        <f ca="1">IFERROR(__xludf.DUMMYFUNCTION("""COMPUTED_VALUE"""),16)</f>
        <v>16</v>
      </c>
      <c r="G335" s="56">
        <f ca="1">IFERROR(__xludf.DUMMYFUNCTION("""COMPUTED_VALUE"""),7.81208372093023)</f>
        <v>7.8120837209302296</v>
      </c>
      <c r="H335" s="57">
        <f ca="1">IFERROR(__xludf.DUMMYFUNCTION("""COMPUTED_VALUE"""),8.95)</f>
        <v>8.9499999999999993</v>
      </c>
      <c r="I335" s="57">
        <f ca="1">IFERROR(__xludf.DUMMYFUNCTION("""COMPUTED_VALUE"""),1.43)</f>
        <v>1.43</v>
      </c>
      <c r="J335" s="19" t="str">
        <f ca="1">IFERROR(__xludf.DUMMYFUNCTION("""COMPUTED_VALUE"""),"")</f>
        <v/>
      </c>
      <c r="K335" s="19"/>
      <c r="L335" s="19"/>
      <c r="M335" s="19"/>
      <c r="N335" s="19"/>
      <c r="O335" s="59"/>
      <c r="P335" s="7"/>
      <c r="Q335" s="55"/>
      <c r="R335" s="55"/>
      <c r="S335" s="7"/>
      <c r="T335" s="55"/>
      <c r="U335" s="7"/>
      <c r="V335" s="55"/>
      <c r="W335" s="60"/>
      <c r="X335" s="55"/>
    </row>
    <row r="336" spans="1:24" ht="13" x14ac:dyDescent="0.15">
      <c r="A336" s="25" t="str">
        <f ca="1">IFERROR(__xludf.DUMMYFUNCTION("""COMPUTED_VALUE"""),"45969")</f>
        <v>45969</v>
      </c>
      <c r="B336" s="69">
        <f ca="1">IFERROR(__xludf.DUMMYFUNCTION("""COMPUTED_VALUE"""),44628)</f>
        <v>44628</v>
      </c>
      <c r="C336" s="69" t="str">
        <f ca="1">IFERROR(__xludf.DUMMYFUNCTION("""COMPUTED_VALUE"""),"Option")</f>
        <v>Option</v>
      </c>
      <c r="D336" s="5" t="str">
        <f ca="1">IFERROR(__xludf.DUMMYFUNCTION("""COMPUTED_VALUE"""),"BILI220318P00040000")</f>
        <v>BILI220318P00040000</v>
      </c>
      <c r="E336" s="5" t="str">
        <f ca="1">IFERROR(__xludf.DUMMYFUNCTION("""COMPUTED_VALUE"""),"USD")</f>
        <v>USD</v>
      </c>
      <c r="F336" s="55">
        <f ca="1">IFERROR(__xludf.DUMMYFUNCTION("""COMPUTED_VALUE"""),-7)</f>
        <v>-7</v>
      </c>
      <c r="G336" s="56">
        <f ca="1">IFERROR(__xludf.DUMMYFUNCTION("""COMPUTED_VALUE"""),7.82455)</f>
        <v>7.8245500000000003</v>
      </c>
      <c r="H336" s="57">
        <f ca="1">IFERROR(__xludf.DUMMYFUNCTION("""COMPUTED_VALUE"""),18.15)</f>
        <v>18.149999999999999</v>
      </c>
      <c r="I336" s="57">
        <f ca="1">IFERROR(__xludf.DUMMYFUNCTION("""COMPUTED_VALUE"""),0)</f>
        <v>0</v>
      </c>
      <c r="J336" s="19" t="str">
        <f ca="1">IFERROR(__xludf.DUMMYFUNCTION("""COMPUTED_VALUE"""),"")</f>
        <v/>
      </c>
      <c r="K336" s="19"/>
      <c r="L336" s="19"/>
      <c r="M336" s="19"/>
      <c r="N336" s="19"/>
      <c r="O336" s="59"/>
      <c r="P336" s="7"/>
      <c r="Q336" s="55"/>
      <c r="R336" s="55"/>
      <c r="S336" s="7"/>
      <c r="T336" s="55"/>
      <c r="U336" s="7"/>
      <c r="V336" s="55"/>
      <c r="W336" s="60"/>
      <c r="X336" s="55"/>
    </row>
    <row r="337" spans="1:24" ht="13" x14ac:dyDescent="0.15">
      <c r="A337" s="25" t="str">
        <f ca="1">IFERROR(__xludf.DUMMYFUNCTION("""COMPUTED_VALUE"""),"45969")</f>
        <v>45969</v>
      </c>
      <c r="B337" s="69">
        <f ca="1">IFERROR(__xludf.DUMMYFUNCTION("""COMPUTED_VALUE"""),44628)</f>
        <v>44628</v>
      </c>
      <c r="C337" s="69" t="str">
        <f ca="1">IFERROR(__xludf.DUMMYFUNCTION("""COMPUTED_VALUE"""),"Option")</f>
        <v>Option</v>
      </c>
      <c r="D337" s="5" t="str">
        <f ca="1">IFERROR(__xludf.DUMMYFUNCTION("""COMPUTED_VALUE"""),"FB220325P00210000")</f>
        <v>FB220325P00210000</v>
      </c>
      <c r="E337" s="5" t="str">
        <f ca="1">IFERROR(__xludf.DUMMYFUNCTION("""COMPUTED_VALUE"""),"USD")</f>
        <v>USD</v>
      </c>
      <c r="F337" s="55">
        <f ca="1">IFERROR(__xludf.DUMMYFUNCTION("""COMPUTED_VALUE"""),-16)</f>
        <v>-16</v>
      </c>
      <c r="G337" s="56">
        <f ca="1">IFERROR(__xludf.DUMMYFUNCTION("""COMPUTED_VALUE"""),7.82455)</f>
        <v>7.8245500000000003</v>
      </c>
      <c r="H337" s="57">
        <f ca="1">IFERROR(__xludf.DUMMYFUNCTION("""COMPUTED_VALUE"""),19.36)</f>
        <v>19.36</v>
      </c>
      <c r="I337" s="57">
        <f ca="1">IFERROR(__xludf.DUMMYFUNCTION("""COMPUTED_VALUE"""),1.43)</f>
        <v>1.43</v>
      </c>
      <c r="J337" s="19" t="str">
        <f ca="1">IFERROR(__xludf.DUMMYFUNCTION("""COMPUTED_VALUE"""),"")</f>
        <v/>
      </c>
      <c r="K337" s="19"/>
      <c r="L337" s="19"/>
      <c r="M337" s="19"/>
      <c r="N337" s="19"/>
      <c r="O337" s="59"/>
      <c r="P337" s="7"/>
      <c r="Q337" s="55"/>
      <c r="R337" s="55"/>
      <c r="S337" s="7"/>
      <c r="T337" s="55"/>
      <c r="U337" s="7"/>
      <c r="V337" s="55"/>
      <c r="W337" s="60"/>
      <c r="X337" s="55"/>
    </row>
    <row r="338" spans="1:24" ht="13" x14ac:dyDescent="0.15">
      <c r="A338" s="25" t="str">
        <f ca="1">IFERROR(__xludf.DUMMYFUNCTION("""COMPUTED_VALUE"""),"45969")</f>
        <v>45969</v>
      </c>
      <c r="B338" s="69">
        <f ca="1">IFERROR(__xludf.DUMMYFUNCTION("""COMPUTED_VALUE"""),44631)</f>
        <v>44631</v>
      </c>
      <c r="C338" s="69" t="str">
        <f ca="1">IFERROR(__xludf.DUMMYFUNCTION("""COMPUTED_VALUE"""),"Option")</f>
        <v>Option</v>
      </c>
      <c r="D338" s="5" t="str">
        <f ca="1">IFERROR(__xludf.DUMMYFUNCTION("""COMPUTED_VALUE"""),"BILI220401P00020000")</f>
        <v>BILI220401P00020000</v>
      </c>
      <c r="E338" s="5" t="str">
        <f ca="1">IFERROR(__xludf.DUMMYFUNCTION("""COMPUTED_VALUE"""),"USD")</f>
        <v>USD</v>
      </c>
      <c r="F338" s="55">
        <f ca="1">IFERROR(__xludf.DUMMYFUNCTION("""COMPUTED_VALUE"""),30)</f>
        <v>30</v>
      </c>
      <c r="G338" s="56">
        <f ca="1">IFERROR(__xludf.DUMMYFUNCTION("""COMPUTED_VALUE"""),7.82558958333333)</f>
        <v>7.82558958333333</v>
      </c>
      <c r="H338" s="57">
        <f ca="1">IFERROR(__xludf.DUMMYFUNCTION("""COMPUTED_VALUE"""),2.82)</f>
        <v>2.82</v>
      </c>
      <c r="I338" s="57">
        <f ca="1">IFERROR(__xludf.DUMMYFUNCTION("""COMPUTED_VALUE"""),0.1)</f>
        <v>0.1</v>
      </c>
      <c r="J338" s="19" t="str">
        <f ca="1">IFERROR(__xludf.DUMMYFUNCTION("""COMPUTED_VALUE"""),"")</f>
        <v/>
      </c>
      <c r="K338" s="19"/>
      <c r="L338" s="19"/>
      <c r="M338" s="19"/>
      <c r="N338" s="19"/>
      <c r="O338" s="59"/>
      <c r="P338" s="7"/>
      <c r="Q338" s="55"/>
      <c r="R338" s="55"/>
      <c r="S338" s="7"/>
      <c r="T338" s="55"/>
      <c r="U338" s="7"/>
      <c r="V338" s="55"/>
      <c r="W338" s="60"/>
      <c r="X338" s="55"/>
    </row>
    <row r="339" spans="1:24" ht="13" x14ac:dyDescent="0.15">
      <c r="A339" s="25" t="str">
        <f ca="1">IFERROR(__xludf.DUMMYFUNCTION("""COMPUTED_VALUE"""),"45969 Total")</f>
        <v>45969 Total</v>
      </c>
      <c r="B339" s="5"/>
      <c r="C339" s="69"/>
      <c r="D339" s="5"/>
      <c r="E339" s="5"/>
      <c r="F339" s="55"/>
      <c r="G339" s="56">
        <f ca="1">IFERROR(__xludf.DUMMYFUNCTION("""COMPUTED_VALUE"""),6.37051785714285)</f>
        <v>6.3705178571428496</v>
      </c>
      <c r="H339" s="57">
        <f ca="1">IFERROR(__xludf.DUMMYFUNCTION("""COMPUTED_VALUE"""),19.36)</f>
        <v>19.36</v>
      </c>
      <c r="I339" s="57" t="str">
        <f ca="1">IFERROR(__xludf.DUMMYFUNCTION("""COMPUTED_VALUE"""),"")</f>
        <v/>
      </c>
      <c r="J339" s="19" t="str">
        <f ca="1">IFERROR(__xludf.DUMMYFUNCTION("""COMPUTED_VALUE"""),"")</f>
        <v/>
      </c>
      <c r="K339" s="19"/>
      <c r="L339" s="19"/>
      <c r="M339" s="19"/>
      <c r="N339" s="19"/>
      <c r="O339" s="59"/>
      <c r="P339" s="7"/>
      <c r="Q339" s="55"/>
      <c r="R339" s="55"/>
      <c r="S339" s="7"/>
      <c r="T339" s="55"/>
      <c r="U339" s="7"/>
      <c r="V339" s="55"/>
      <c r="W339" s="60"/>
      <c r="X339" s="55"/>
    </row>
    <row r="340" spans="1:24" ht="13" x14ac:dyDescent="0.15">
      <c r="A340" s="25" t="str">
        <f ca="1">IFERROR(__xludf.DUMMYFUNCTION("""COMPUTED_VALUE"""),"46104")</f>
        <v>46104</v>
      </c>
      <c r="B340" s="69">
        <f ca="1">IFERROR(__xludf.DUMMYFUNCTION("""COMPUTED_VALUE"""),44597)</f>
        <v>44597</v>
      </c>
      <c r="C340" s="69" t="str">
        <f ca="1">IFERROR(__xludf.DUMMYFUNCTION("""COMPUTED_VALUE"""),"Cash")</f>
        <v>Cash</v>
      </c>
      <c r="D340" s="5" t="str">
        <f ca="1">IFERROR(__xludf.DUMMYFUNCTION("""COMPUTED_VALUE"""),"Cash")</f>
        <v>Cash</v>
      </c>
      <c r="E340" s="5" t="str">
        <f ca="1">IFERROR(__xludf.DUMMYFUNCTION("""COMPUTED_VALUE"""),"HKD")</f>
        <v>HKD</v>
      </c>
      <c r="F340" s="55" t="str">
        <f ca="1">IFERROR(__xludf.DUMMYFUNCTION("""COMPUTED_VALUE"""),"")</f>
        <v/>
      </c>
      <c r="G340" s="56">
        <f ca="1">IFERROR(__xludf.DUMMYFUNCTION("""COMPUTED_VALUE"""),1)</f>
        <v>1</v>
      </c>
      <c r="H340" s="57">
        <f ca="1">IFERROR(__xludf.DUMMYFUNCTION("""COMPUTED_VALUE"""),1)</f>
        <v>1</v>
      </c>
      <c r="I340" s="57">
        <f ca="1">IFERROR(__xludf.DUMMYFUNCTION("""COMPUTED_VALUE"""),1)</f>
        <v>1</v>
      </c>
      <c r="J340" s="19" t="str">
        <f ca="1">IFERROR(__xludf.DUMMYFUNCTION("""COMPUTED_VALUE"""),"")</f>
        <v/>
      </c>
      <c r="K340" s="19"/>
      <c r="L340" s="19"/>
      <c r="M340" s="19"/>
      <c r="N340" s="19"/>
      <c r="O340" s="59"/>
      <c r="P340" s="7"/>
      <c r="Q340" s="55"/>
      <c r="R340" s="55"/>
      <c r="S340" s="7"/>
      <c r="T340" s="55"/>
      <c r="U340" s="7"/>
      <c r="V340" s="55"/>
      <c r="W340" s="60"/>
      <c r="X340" s="55"/>
    </row>
    <row r="341" spans="1:24" ht="13" x14ac:dyDescent="0.15">
      <c r="A341" s="25" t="str">
        <f ca="1">IFERROR(__xludf.DUMMYFUNCTION("""COMPUTED_VALUE"""),"46104 Total")</f>
        <v>46104 Total</v>
      </c>
      <c r="B341" s="5"/>
      <c r="C341" s="69"/>
      <c r="D341" s="5"/>
      <c r="E341" s="5"/>
      <c r="F341" s="55"/>
      <c r="G341" s="56">
        <f ca="1">IFERROR(__xludf.DUMMYFUNCTION("""COMPUTED_VALUE"""),1)</f>
        <v>1</v>
      </c>
      <c r="H341" s="57">
        <f ca="1">IFERROR(__xludf.DUMMYFUNCTION("""COMPUTED_VALUE"""),1)</f>
        <v>1</v>
      </c>
      <c r="I341" s="57" t="str">
        <f ca="1">IFERROR(__xludf.DUMMYFUNCTION("""COMPUTED_VALUE"""),"")</f>
        <v/>
      </c>
      <c r="J341" s="19" t="str">
        <f ca="1">IFERROR(__xludf.DUMMYFUNCTION("""COMPUTED_VALUE"""),"")</f>
        <v/>
      </c>
      <c r="K341" s="19"/>
      <c r="L341" s="19"/>
      <c r="M341" s="19"/>
      <c r="N341" s="19"/>
      <c r="O341" s="59"/>
      <c r="P341" s="7"/>
      <c r="Q341" s="55"/>
      <c r="R341" s="55"/>
      <c r="S341" s="7"/>
      <c r="T341" s="55"/>
      <c r="U341" s="7"/>
      <c r="V341" s="55"/>
      <c r="W341" s="60"/>
      <c r="X341" s="55"/>
    </row>
    <row r="342" spans="1:24" ht="13" x14ac:dyDescent="0.15">
      <c r="A342" s="25" t="str">
        <f ca="1">IFERROR(__xludf.DUMMYFUNCTION("""COMPUTED_VALUE"""),"46220")</f>
        <v>46220</v>
      </c>
      <c r="B342" s="69">
        <f ca="1">IFERROR(__xludf.DUMMYFUNCTION("""COMPUTED_VALUE"""),44597)</f>
        <v>44597</v>
      </c>
      <c r="C342" s="69" t="str">
        <f ca="1">IFERROR(__xludf.DUMMYFUNCTION("""COMPUTED_VALUE"""),"Cash")</f>
        <v>Cash</v>
      </c>
      <c r="D342" s="5" t="str">
        <f ca="1">IFERROR(__xludf.DUMMYFUNCTION("""COMPUTED_VALUE"""),"Cash")</f>
        <v>Cash</v>
      </c>
      <c r="E342" s="5" t="str">
        <f ca="1">IFERROR(__xludf.DUMMYFUNCTION("""COMPUTED_VALUE"""),"HKD")</f>
        <v>HKD</v>
      </c>
      <c r="F342" s="55" t="str">
        <f ca="1">IFERROR(__xludf.DUMMYFUNCTION("""COMPUTED_VALUE"""),"")</f>
        <v/>
      </c>
      <c r="G342" s="56">
        <f ca="1">IFERROR(__xludf.DUMMYFUNCTION("""COMPUTED_VALUE"""),1)</f>
        <v>1</v>
      </c>
      <c r="H342" s="57">
        <f ca="1">IFERROR(__xludf.DUMMYFUNCTION("""COMPUTED_VALUE"""),1)</f>
        <v>1</v>
      </c>
      <c r="I342" s="57">
        <f ca="1">IFERROR(__xludf.DUMMYFUNCTION("""COMPUTED_VALUE"""),1)</f>
        <v>1</v>
      </c>
      <c r="J342" s="19" t="str">
        <f ca="1">IFERROR(__xludf.DUMMYFUNCTION("""COMPUTED_VALUE"""),"")</f>
        <v/>
      </c>
      <c r="K342" s="19"/>
      <c r="L342" s="19"/>
      <c r="M342" s="19"/>
      <c r="N342" s="19"/>
      <c r="O342" s="59"/>
      <c r="P342" s="7"/>
      <c r="Q342" s="55"/>
      <c r="R342" s="55"/>
      <c r="S342" s="7"/>
      <c r="T342" s="55"/>
      <c r="U342" s="7"/>
      <c r="V342" s="55"/>
      <c r="W342" s="60"/>
      <c r="X342" s="55"/>
    </row>
    <row r="343" spans="1:24" ht="13" x14ac:dyDescent="0.15">
      <c r="A343" s="25" t="str">
        <f ca="1">IFERROR(__xludf.DUMMYFUNCTION("""COMPUTED_VALUE"""),"46220")</f>
        <v>46220</v>
      </c>
      <c r="B343" s="69">
        <f ca="1">IFERROR(__xludf.DUMMYFUNCTION("""COMPUTED_VALUE"""),44599)</f>
        <v>44599</v>
      </c>
      <c r="C343" s="69" t="str">
        <f ca="1">IFERROR(__xludf.DUMMYFUNCTION("""COMPUTED_VALUE"""),"Stock")</f>
        <v>Stock</v>
      </c>
      <c r="D343" s="5" t="str">
        <f ca="1">IFERROR(__xludf.DUMMYFUNCTION("""COMPUTED_VALUE"""),"FB")</f>
        <v>FB</v>
      </c>
      <c r="E343" s="5" t="str">
        <f ca="1">IFERROR(__xludf.DUMMYFUNCTION("""COMPUTED_VALUE"""),"USD")</f>
        <v>USD</v>
      </c>
      <c r="F343" s="55">
        <f ca="1">IFERROR(__xludf.DUMMYFUNCTION("""COMPUTED_VALUE"""),25)</f>
        <v>25</v>
      </c>
      <c r="G343" s="56">
        <f ca="1">IFERROR(__xludf.DUMMYFUNCTION("""COMPUTED_VALUE"""),7.8116284090909)</f>
        <v>7.8116284090908996</v>
      </c>
      <c r="H343" s="57">
        <f ca="1">IFERROR(__xludf.DUMMYFUNCTION("""COMPUTED_VALUE"""),224.91)</f>
        <v>224.91</v>
      </c>
      <c r="I343" s="57">
        <f ca="1">IFERROR(__xludf.DUMMYFUNCTION("""COMPUTED_VALUE"""),213.46)</f>
        <v>213.46</v>
      </c>
      <c r="J343" s="70" t="str">
        <f ca="1">IFERROR(__xludf.DUMMYFUNCTION("""COMPUTED_VALUE"""),"Goto link: FB")</f>
        <v>Goto link: FB</v>
      </c>
      <c r="K343" s="19"/>
      <c r="L343" s="19"/>
      <c r="M343" s="19"/>
      <c r="N343" s="19"/>
      <c r="O343" s="59"/>
      <c r="P343" s="7"/>
      <c r="Q343" s="55"/>
      <c r="R343" s="55"/>
      <c r="S343" s="7"/>
      <c r="T343" s="55"/>
      <c r="U343" s="7"/>
      <c r="V343" s="55"/>
      <c r="W343" s="60"/>
      <c r="X343" s="55"/>
    </row>
    <row r="344" spans="1:24" ht="13" x14ac:dyDescent="0.15">
      <c r="A344" s="25" t="str">
        <f ca="1">IFERROR(__xludf.DUMMYFUNCTION("""COMPUTED_VALUE"""),"46220")</f>
        <v>46220</v>
      </c>
      <c r="B344" s="69">
        <f ca="1">IFERROR(__xludf.DUMMYFUNCTION("""COMPUTED_VALUE"""),44600)</f>
        <v>44600</v>
      </c>
      <c r="C344" s="69" t="str">
        <f ca="1">IFERROR(__xludf.DUMMYFUNCTION("""COMPUTED_VALUE"""),"Stock")</f>
        <v>Stock</v>
      </c>
      <c r="D344" s="71" t="str">
        <f ca="1">IFERROR(__xludf.DUMMYFUNCTION("""COMPUTED_VALUE"""),"0883.HK")</f>
        <v>0883.HK</v>
      </c>
      <c r="E344" s="5" t="str">
        <f ca="1">IFERROR(__xludf.DUMMYFUNCTION("""COMPUTED_VALUE"""),"HKD")</f>
        <v>HKD</v>
      </c>
      <c r="F344" s="55">
        <f ca="1">IFERROR(__xludf.DUMMYFUNCTION("""COMPUTED_VALUE"""),20)</f>
        <v>20</v>
      </c>
      <c r="G344" s="56">
        <f ca="1">IFERROR(__xludf.DUMMYFUNCTION("""COMPUTED_VALUE"""),1)</f>
        <v>1</v>
      </c>
      <c r="H344" s="57">
        <f ca="1">IFERROR(__xludf.DUMMYFUNCTION("""COMPUTED_VALUE"""),9.79)</f>
        <v>9.7899999999999991</v>
      </c>
      <c r="I344" s="57">
        <f ca="1">IFERROR(__xludf.DUMMYFUNCTION("""COMPUTED_VALUE"""),10.2)</f>
        <v>10.199999999999999</v>
      </c>
      <c r="J344" s="70" t="str">
        <f ca="1">IFERROR(__xludf.DUMMYFUNCTION("""COMPUTED_VALUE"""),"Goto link: 0883.HK")</f>
        <v>Goto link: 0883.HK</v>
      </c>
      <c r="K344" s="19"/>
      <c r="L344" s="19"/>
      <c r="M344" s="19"/>
      <c r="N344" s="19"/>
      <c r="O344" s="59"/>
      <c r="P344" s="7"/>
      <c r="Q344" s="55"/>
      <c r="R344" s="55"/>
      <c r="S344" s="7"/>
      <c r="T344" s="55"/>
      <c r="U344" s="7"/>
      <c r="V344" s="55"/>
      <c r="W344" s="60"/>
      <c r="X344" s="55"/>
    </row>
    <row r="345" spans="1:24" ht="13" x14ac:dyDescent="0.15">
      <c r="A345" s="25" t="str">
        <f ca="1">IFERROR(__xludf.DUMMYFUNCTION("""COMPUTED_VALUE"""),"46220")</f>
        <v>46220</v>
      </c>
      <c r="B345" s="69">
        <f ca="1">IFERROR(__xludf.DUMMYFUNCTION("""COMPUTED_VALUE"""),44600)</f>
        <v>44600</v>
      </c>
      <c r="C345" s="69" t="str">
        <f ca="1">IFERROR(__xludf.DUMMYFUNCTION("""COMPUTED_VALUE"""),"Stock")</f>
        <v>Stock</v>
      </c>
      <c r="D345" s="5" t="str">
        <f ca="1">IFERROR(__xludf.DUMMYFUNCTION("""COMPUTED_VALUE"""),"FB")</f>
        <v>FB</v>
      </c>
      <c r="E345" s="5" t="str">
        <f ca="1">IFERROR(__xludf.DUMMYFUNCTION("""COMPUTED_VALUE"""),"USD")</f>
        <v>USD</v>
      </c>
      <c r="F345" s="55">
        <f ca="1">IFERROR(__xludf.DUMMYFUNCTION("""COMPUTED_VALUE"""),20)</f>
        <v>20</v>
      </c>
      <c r="G345" s="56">
        <f ca="1">IFERROR(__xludf.DUMMYFUNCTION("""COMPUTED_VALUE"""),7.81208372093023)</f>
        <v>7.8120837209302296</v>
      </c>
      <c r="H345" s="57">
        <f ca="1">IFERROR(__xludf.DUMMYFUNCTION("""COMPUTED_VALUE"""),220.18)</f>
        <v>220.18</v>
      </c>
      <c r="I345" s="57">
        <f ca="1">IFERROR(__xludf.DUMMYFUNCTION("""COMPUTED_VALUE"""),213.46)</f>
        <v>213.46</v>
      </c>
      <c r="J345" s="70" t="str">
        <f ca="1">IFERROR(__xludf.DUMMYFUNCTION("""COMPUTED_VALUE"""),"Goto link: FB")</f>
        <v>Goto link: FB</v>
      </c>
      <c r="K345" s="19"/>
      <c r="L345" s="19"/>
      <c r="M345" s="19"/>
      <c r="N345" s="19"/>
      <c r="O345" s="59"/>
      <c r="P345" s="7"/>
      <c r="Q345" s="55"/>
      <c r="R345" s="55"/>
      <c r="S345" s="7"/>
      <c r="T345" s="55"/>
      <c r="U345" s="7"/>
      <c r="V345" s="55"/>
      <c r="W345" s="60"/>
      <c r="X345" s="55"/>
    </row>
    <row r="346" spans="1:24" ht="13" x14ac:dyDescent="0.15">
      <c r="A346" s="25" t="str">
        <f ca="1">IFERROR(__xludf.DUMMYFUNCTION("""COMPUTED_VALUE"""),"46220")</f>
        <v>46220</v>
      </c>
      <c r="B346" s="69">
        <f ca="1">IFERROR(__xludf.DUMMYFUNCTION("""COMPUTED_VALUE"""),44601)</f>
        <v>44601</v>
      </c>
      <c r="C346" s="69" t="str">
        <f ca="1">IFERROR(__xludf.DUMMYFUNCTION("""COMPUTED_VALUE"""),"Stock")</f>
        <v>Stock</v>
      </c>
      <c r="D346" s="5" t="str">
        <f ca="1">IFERROR(__xludf.DUMMYFUNCTION("""COMPUTED_VALUE"""),"BTC-USD")</f>
        <v>BTC-USD</v>
      </c>
      <c r="E346" s="5" t="str">
        <f ca="1">IFERROR(__xludf.DUMMYFUNCTION("""COMPUTED_VALUE"""),"USD")</f>
        <v>USD</v>
      </c>
      <c r="F346" s="55" t="str">
        <f ca="1">IFERROR(__xludf.DUMMYFUNCTION("""COMPUTED_VALUE"""),"")</f>
        <v/>
      </c>
      <c r="G346" s="56">
        <f ca="1">IFERROR(__xludf.DUMMYFUNCTION("""COMPUTED_VALUE"""),7.81252511904762)</f>
        <v>7.8125251190476197</v>
      </c>
      <c r="H346" s="57">
        <f ca="1">IFERROR(__xludf.DUMMYFUNCTION("""COMPUTED_VALUE"""),44162.117)</f>
        <v>44162.116999999998</v>
      </c>
      <c r="I346" s="57">
        <f ca="1">IFERROR(__xludf.DUMMYFUNCTION("""COMPUTED_VALUE"""),42977.3)</f>
        <v>42977.3</v>
      </c>
      <c r="J346" s="70" t="str">
        <f ca="1">IFERROR(__xludf.DUMMYFUNCTION("""COMPUTED_VALUE"""),"Goto link: BTC-USD")</f>
        <v>Goto link: BTC-USD</v>
      </c>
      <c r="K346" s="19"/>
      <c r="L346" s="19"/>
      <c r="M346" s="19"/>
      <c r="N346" s="19"/>
      <c r="O346" s="59"/>
      <c r="P346" s="7"/>
      <c r="Q346" s="55"/>
      <c r="R346" s="55"/>
      <c r="S346" s="7"/>
      <c r="T346" s="55"/>
      <c r="U346" s="7"/>
      <c r="V346" s="55"/>
      <c r="W346" s="60"/>
      <c r="X346" s="55"/>
    </row>
    <row r="347" spans="1:24" ht="13" x14ac:dyDescent="0.15">
      <c r="A347" s="25" t="str">
        <f ca="1">IFERROR(__xludf.DUMMYFUNCTION("""COMPUTED_VALUE"""),"46220")</f>
        <v>46220</v>
      </c>
      <c r="B347" s="69">
        <f ca="1">IFERROR(__xludf.DUMMYFUNCTION("""COMPUTED_VALUE"""),44601)</f>
        <v>44601</v>
      </c>
      <c r="C347" s="69" t="str">
        <f ca="1">IFERROR(__xludf.DUMMYFUNCTION("""COMPUTED_VALUE"""),"Stock")</f>
        <v>Stock</v>
      </c>
      <c r="D347" s="5" t="str">
        <f ca="1">IFERROR(__xludf.DUMMYFUNCTION("""COMPUTED_VALUE"""),"NFLX")</f>
        <v>NFLX</v>
      </c>
      <c r="E347" s="5" t="str">
        <f ca="1">IFERROR(__xludf.DUMMYFUNCTION("""COMPUTED_VALUE"""),"USD")</f>
        <v>USD</v>
      </c>
      <c r="F347" s="55">
        <f ca="1">IFERROR(__xludf.DUMMYFUNCTION("""COMPUTED_VALUE"""),15)</f>
        <v>15</v>
      </c>
      <c r="G347" s="56">
        <f ca="1">IFERROR(__xludf.DUMMYFUNCTION("""COMPUTED_VALUE"""),7.81252511904762)</f>
        <v>7.8125251190476197</v>
      </c>
      <c r="H347" s="57">
        <f ca="1">IFERROR(__xludf.DUMMYFUNCTION("""COMPUTED_VALUE"""),412.89)</f>
        <v>412.89</v>
      </c>
      <c r="I347" s="57">
        <f ca="1">IFERROR(__xludf.DUMMYFUNCTION("""COMPUTED_VALUE"""),374.49)</f>
        <v>374.49</v>
      </c>
      <c r="J347" s="70" t="str">
        <f ca="1">IFERROR(__xludf.DUMMYFUNCTION("""COMPUTED_VALUE"""),"Goto link: NFLX")</f>
        <v>Goto link: NFLX</v>
      </c>
      <c r="K347" s="19"/>
      <c r="L347" s="19"/>
      <c r="M347" s="19"/>
      <c r="N347" s="19"/>
      <c r="O347" s="59"/>
      <c r="P347" s="7"/>
      <c r="Q347" s="55"/>
      <c r="R347" s="55"/>
      <c r="S347" s="7"/>
      <c r="T347" s="55"/>
      <c r="U347" s="7"/>
      <c r="V347" s="55"/>
      <c r="W347" s="60"/>
      <c r="X347" s="55"/>
    </row>
    <row r="348" spans="1:24" ht="13" x14ac:dyDescent="0.15">
      <c r="A348" s="25" t="str">
        <f ca="1">IFERROR(__xludf.DUMMYFUNCTION("""COMPUTED_VALUE"""),"46220")</f>
        <v>46220</v>
      </c>
      <c r="B348" s="69">
        <f ca="1">IFERROR(__xludf.DUMMYFUNCTION("""COMPUTED_VALUE"""),44602)</f>
        <v>44602</v>
      </c>
      <c r="C348" s="69" t="str">
        <f ca="1">IFERROR(__xludf.DUMMYFUNCTION("""COMPUTED_VALUE"""),"Stock")</f>
        <v>Stock</v>
      </c>
      <c r="D348" s="5" t="str">
        <f ca="1">IFERROR(__xludf.DUMMYFUNCTION("""COMPUTED_VALUE"""),"MCD")</f>
        <v>MCD</v>
      </c>
      <c r="E348" s="5" t="str">
        <f ca="1">IFERROR(__xludf.DUMMYFUNCTION("""COMPUTED_VALUE"""),"USD")</f>
        <v>USD</v>
      </c>
      <c r="F348" s="55">
        <f ca="1">IFERROR(__xludf.DUMMYFUNCTION("""COMPUTED_VALUE"""),10)</f>
        <v>10</v>
      </c>
      <c r="G348" s="56">
        <f ca="1">IFERROR(__xludf.DUMMYFUNCTION("""COMPUTED_VALUE"""),7.81304158536585)</f>
        <v>7.8130415853658501</v>
      </c>
      <c r="H348" s="57">
        <f ca="1">IFERROR(__xludf.DUMMYFUNCTION("""COMPUTED_VALUE"""),256.87)</f>
        <v>256.87</v>
      </c>
      <c r="I348" s="57">
        <f ca="1">IFERROR(__xludf.DUMMYFUNCTION("""COMPUTED_VALUE"""),236.12)</f>
        <v>236.12</v>
      </c>
      <c r="J348" s="70" t="str">
        <f ca="1">IFERROR(__xludf.DUMMYFUNCTION("""COMPUTED_VALUE"""),"Goto link: MCD")</f>
        <v>Goto link: MCD</v>
      </c>
      <c r="K348" s="19"/>
      <c r="L348" s="19"/>
      <c r="M348" s="19"/>
      <c r="N348" s="19"/>
      <c r="O348" s="59"/>
      <c r="P348" s="7"/>
      <c r="Q348" s="55"/>
      <c r="R348" s="55"/>
      <c r="S348" s="7"/>
      <c r="T348" s="55"/>
      <c r="U348" s="7"/>
      <c r="V348" s="55"/>
      <c r="W348" s="60"/>
      <c r="X348" s="55"/>
    </row>
    <row r="349" spans="1:24" ht="13" x14ac:dyDescent="0.15">
      <c r="A349" s="25" t="str">
        <f ca="1">IFERROR(__xludf.DUMMYFUNCTION("""COMPUTED_VALUE"""),"46220")</f>
        <v>46220</v>
      </c>
      <c r="B349" s="69">
        <f ca="1">IFERROR(__xludf.DUMMYFUNCTION("""COMPUTED_VALUE"""),44603)</f>
        <v>44603</v>
      </c>
      <c r="C349" s="69" t="str">
        <f ca="1">IFERROR(__xludf.DUMMYFUNCTION("""COMPUTED_VALUE"""),"Stock")</f>
        <v>Stock</v>
      </c>
      <c r="D349" s="5" t="str">
        <f ca="1">IFERROR(__xludf.DUMMYFUNCTION("""COMPUTED_VALUE"""),"TSLA")</f>
        <v>TSLA</v>
      </c>
      <c r="E349" s="5" t="str">
        <f ca="1">IFERROR(__xludf.DUMMYFUNCTION("""COMPUTED_VALUE"""),"USD")</f>
        <v>USD</v>
      </c>
      <c r="F349" s="55">
        <f ca="1">IFERROR(__xludf.DUMMYFUNCTION("""COMPUTED_VALUE"""),15)</f>
        <v>15</v>
      </c>
      <c r="G349" s="56">
        <f ca="1">IFERROR(__xludf.DUMMYFUNCTION("""COMPUTED_VALUE"""),7.81344825)</f>
        <v>7.8134482500000004</v>
      </c>
      <c r="H349" s="57">
        <f ca="1">IFERROR(__xludf.DUMMYFUNCTION("""COMPUTED_VALUE"""),860)</f>
        <v>860</v>
      </c>
      <c r="I349" s="57">
        <f ca="1">IFERROR(__xludf.DUMMYFUNCTION("""COMPUTED_VALUE"""),999.11)</f>
        <v>999.11</v>
      </c>
      <c r="J349" s="70" t="str">
        <f ca="1">IFERROR(__xludf.DUMMYFUNCTION("""COMPUTED_VALUE"""),"Goto link: TSLA")</f>
        <v>Goto link: TSLA</v>
      </c>
      <c r="K349" s="19"/>
      <c r="L349" s="19"/>
      <c r="M349" s="19"/>
      <c r="N349" s="19"/>
      <c r="O349" s="59"/>
      <c r="P349" s="7"/>
      <c r="Q349" s="55"/>
      <c r="R349" s="55"/>
      <c r="S349" s="7"/>
      <c r="T349" s="55"/>
      <c r="U349" s="7"/>
      <c r="V349" s="55"/>
      <c r="W349" s="60"/>
      <c r="X349" s="55"/>
    </row>
    <row r="350" spans="1:24" ht="13" x14ac:dyDescent="0.15">
      <c r="A350" s="25" t="str">
        <f ca="1">IFERROR(__xludf.DUMMYFUNCTION("""COMPUTED_VALUE"""),"46220")</f>
        <v>46220</v>
      </c>
      <c r="B350" s="69">
        <f ca="1">IFERROR(__xludf.DUMMYFUNCTION("""COMPUTED_VALUE"""),44608)</f>
        <v>44608</v>
      </c>
      <c r="C350" s="69" t="str">
        <f ca="1">IFERROR(__xludf.DUMMYFUNCTION("""COMPUTED_VALUE"""),"Stock")</f>
        <v>Stock</v>
      </c>
      <c r="D350" s="71" t="str">
        <f ca="1">IFERROR(__xludf.DUMMYFUNCTION("""COMPUTED_VALUE"""),"0883.hk")</f>
        <v>0883.hk</v>
      </c>
      <c r="E350" s="5" t="str">
        <f ca="1">IFERROR(__xludf.DUMMYFUNCTION("""COMPUTED_VALUE"""),"HKD")</f>
        <v>HKD</v>
      </c>
      <c r="F350" s="55">
        <f ca="1">IFERROR(__xludf.DUMMYFUNCTION("""COMPUTED_VALUE"""),-20)</f>
        <v>-20</v>
      </c>
      <c r="G350" s="56">
        <f ca="1">IFERROR(__xludf.DUMMYFUNCTION("""COMPUTED_VALUE"""),1)</f>
        <v>1</v>
      </c>
      <c r="H350" s="57">
        <f ca="1">IFERROR(__xludf.DUMMYFUNCTION("""COMPUTED_VALUE"""),9.82)</f>
        <v>9.82</v>
      </c>
      <c r="I350" s="57">
        <f ca="1">IFERROR(__xludf.DUMMYFUNCTION("""COMPUTED_VALUE"""),10.2)</f>
        <v>10.199999999999999</v>
      </c>
      <c r="J350" s="70" t="str">
        <f ca="1">IFERROR(__xludf.DUMMYFUNCTION("""COMPUTED_VALUE"""),"Goto link: 0883.hk")</f>
        <v>Goto link: 0883.hk</v>
      </c>
      <c r="K350" s="19"/>
      <c r="L350" s="19"/>
      <c r="M350" s="19"/>
      <c r="N350" s="19"/>
      <c r="O350" s="59"/>
      <c r="P350" s="7"/>
      <c r="Q350" s="55"/>
      <c r="R350" s="55"/>
      <c r="S350" s="7"/>
      <c r="T350" s="55"/>
      <c r="U350" s="7"/>
      <c r="V350" s="55"/>
      <c r="W350" s="60"/>
      <c r="X350" s="55"/>
    </row>
    <row r="351" spans="1:24" ht="13" x14ac:dyDescent="0.15">
      <c r="A351" s="25" t="str">
        <f ca="1">IFERROR(__xludf.DUMMYFUNCTION("""COMPUTED_VALUE"""),"46220")</f>
        <v>46220</v>
      </c>
      <c r="B351" s="69">
        <f ca="1">IFERROR(__xludf.DUMMYFUNCTION("""COMPUTED_VALUE"""),44608)</f>
        <v>44608</v>
      </c>
      <c r="C351" s="69" t="str">
        <f ca="1">IFERROR(__xludf.DUMMYFUNCTION("""COMPUTED_VALUE"""),"Stock")</f>
        <v>Stock</v>
      </c>
      <c r="D351" s="5" t="str">
        <f ca="1">IFERROR(__xludf.DUMMYFUNCTION("""COMPUTED_VALUE"""),"BTC-USD")</f>
        <v>BTC-USD</v>
      </c>
      <c r="E351" s="5" t="str">
        <f ca="1">IFERROR(__xludf.DUMMYFUNCTION("""COMPUTED_VALUE"""),"USD")</f>
        <v>USD</v>
      </c>
      <c r="F351" s="55" t="str">
        <f ca="1">IFERROR(__xludf.DUMMYFUNCTION("""COMPUTED_VALUE"""),"")</f>
        <v/>
      </c>
      <c r="G351" s="56">
        <f ca="1">IFERROR(__xludf.DUMMYFUNCTION("""COMPUTED_VALUE"""),7.81519271428571)</f>
        <v>7.8151927142857103</v>
      </c>
      <c r="H351" s="57">
        <f ca="1">IFERROR(__xludf.DUMMYFUNCTION("""COMPUTED_VALUE"""),43926.6)</f>
        <v>43926.6</v>
      </c>
      <c r="I351" s="57">
        <f ca="1">IFERROR(__xludf.DUMMYFUNCTION("""COMPUTED_VALUE"""),42977.3)</f>
        <v>42977.3</v>
      </c>
      <c r="J351" s="70" t="str">
        <f ca="1">IFERROR(__xludf.DUMMYFUNCTION("""COMPUTED_VALUE"""),"Goto link: BTC-USD")</f>
        <v>Goto link: BTC-USD</v>
      </c>
      <c r="K351" s="19"/>
      <c r="L351" s="19"/>
      <c r="M351" s="19"/>
      <c r="N351" s="19"/>
      <c r="O351" s="59"/>
      <c r="P351" s="7"/>
      <c r="Q351" s="55"/>
      <c r="R351" s="55"/>
      <c r="S351" s="7"/>
      <c r="T351" s="55"/>
      <c r="U351" s="7"/>
      <c r="V351" s="55"/>
      <c r="W351" s="60"/>
      <c r="X351" s="55"/>
    </row>
    <row r="352" spans="1:24" ht="13" x14ac:dyDescent="0.15">
      <c r="A352" s="25" t="str">
        <f ca="1">IFERROR(__xludf.DUMMYFUNCTION("""COMPUTED_VALUE"""),"46220")</f>
        <v>46220</v>
      </c>
      <c r="B352" s="69">
        <f ca="1">IFERROR(__xludf.DUMMYFUNCTION("""COMPUTED_VALUE"""),44608)</f>
        <v>44608</v>
      </c>
      <c r="C352" s="69" t="str">
        <f ca="1">IFERROR(__xludf.DUMMYFUNCTION("""COMPUTED_VALUE"""),"Stock")</f>
        <v>Stock</v>
      </c>
      <c r="D352" s="5" t="str">
        <f ca="1">IFERROR(__xludf.DUMMYFUNCTION("""COMPUTED_VALUE"""),"GOOG")</f>
        <v>GOOG</v>
      </c>
      <c r="E352" s="5" t="str">
        <f ca="1">IFERROR(__xludf.DUMMYFUNCTION("""COMPUTED_VALUE"""),"USD")</f>
        <v>USD</v>
      </c>
      <c r="F352" s="55">
        <f ca="1">IFERROR(__xludf.DUMMYFUNCTION("""COMPUTED_VALUE"""),20)</f>
        <v>20</v>
      </c>
      <c r="G352" s="56">
        <f ca="1">IFERROR(__xludf.DUMMYFUNCTION("""COMPUTED_VALUE"""),7.81519271428571)</f>
        <v>7.8151927142857103</v>
      </c>
      <c r="H352" s="57">
        <f ca="1">IFERROR(__xludf.DUMMYFUNCTION("""COMPUTED_VALUE"""),2749.75)</f>
        <v>2749.75</v>
      </c>
      <c r="I352" s="57">
        <f ca="1">IFERROR(__xludf.DUMMYFUNCTION("""COMPUTED_VALUE"""),2770.07)</f>
        <v>2770.07</v>
      </c>
      <c r="J352" s="70" t="str">
        <f ca="1">IFERROR(__xludf.DUMMYFUNCTION("""COMPUTED_VALUE"""),"Goto link: GOOG")</f>
        <v>Goto link: GOOG</v>
      </c>
      <c r="K352" s="19"/>
      <c r="L352" s="19"/>
      <c r="M352" s="19"/>
      <c r="N352" s="19"/>
      <c r="O352" s="59"/>
      <c r="P352" s="7"/>
      <c r="Q352" s="55"/>
      <c r="R352" s="55"/>
      <c r="S352" s="7"/>
      <c r="T352" s="55"/>
      <c r="U352" s="7"/>
      <c r="V352" s="55"/>
      <c r="W352" s="60"/>
      <c r="X352" s="55"/>
    </row>
    <row r="353" spans="1:24" ht="13" x14ac:dyDescent="0.15">
      <c r="A353" s="25" t="str">
        <f ca="1">IFERROR(__xludf.DUMMYFUNCTION("""COMPUTED_VALUE"""),"46220")</f>
        <v>46220</v>
      </c>
      <c r="B353" s="69">
        <f ca="1">IFERROR(__xludf.DUMMYFUNCTION("""COMPUTED_VALUE"""),44609)</f>
        <v>44609</v>
      </c>
      <c r="C353" s="69" t="str">
        <f ca="1">IFERROR(__xludf.DUMMYFUNCTION("""COMPUTED_VALUE"""),"Stock")</f>
        <v>Stock</v>
      </c>
      <c r="D353" s="5" t="str">
        <f ca="1">IFERROR(__xludf.DUMMYFUNCTION("""COMPUTED_VALUE"""),"RBLX")</f>
        <v>RBLX</v>
      </c>
      <c r="E353" s="5" t="str">
        <f ca="1">IFERROR(__xludf.DUMMYFUNCTION("""COMPUTED_VALUE"""),"USD")</f>
        <v>USD</v>
      </c>
      <c r="F353" s="55">
        <f ca="1">IFERROR(__xludf.DUMMYFUNCTION("""COMPUTED_VALUE"""),50)</f>
        <v>50</v>
      </c>
      <c r="G353" s="56">
        <f ca="1">IFERROR(__xludf.DUMMYFUNCTION("""COMPUTED_VALUE"""),7.81562485294117)</f>
        <v>7.8156248529411698</v>
      </c>
      <c r="H353" s="57">
        <f ca="1">IFERROR(__xludf.DUMMYFUNCTION("""COMPUTED_VALUE"""),54.49)</f>
        <v>54.49</v>
      </c>
      <c r="I353" s="57">
        <f ca="1">IFERROR(__xludf.DUMMYFUNCTION("""COMPUTED_VALUE"""),50.71)</f>
        <v>50.71</v>
      </c>
      <c r="J353" s="70" t="str">
        <f ca="1">IFERROR(__xludf.DUMMYFUNCTION("""COMPUTED_VALUE"""),"Goto link: RBLX")</f>
        <v>Goto link: RBLX</v>
      </c>
      <c r="K353" s="19"/>
      <c r="L353" s="19"/>
      <c r="M353" s="19"/>
      <c r="N353" s="19"/>
      <c r="O353" s="59"/>
      <c r="P353" s="7"/>
      <c r="Q353" s="55"/>
      <c r="R353" s="55"/>
      <c r="S353" s="7"/>
      <c r="T353" s="55"/>
      <c r="U353" s="7"/>
      <c r="V353" s="55"/>
      <c r="W353" s="60"/>
      <c r="X353" s="55"/>
    </row>
    <row r="354" spans="1:24" ht="13" x14ac:dyDescent="0.15">
      <c r="A354" s="25" t="str">
        <f ca="1">IFERROR(__xludf.DUMMYFUNCTION("""COMPUTED_VALUE"""),"46220")</f>
        <v>46220</v>
      </c>
      <c r="B354" s="69">
        <f ca="1">IFERROR(__xludf.DUMMYFUNCTION("""COMPUTED_VALUE"""),44610)</f>
        <v>44610</v>
      </c>
      <c r="C354" s="69" t="str">
        <f ca="1">IFERROR(__xludf.DUMMYFUNCTION("""COMPUTED_VALUE"""),"Stock")</f>
        <v>Stock</v>
      </c>
      <c r="D354" s="5" t="str">
        <f ca="1">IFERROR(__xludf.DUMMYFUNCTION("""COMPUTED_VALUE"""),"BTC-USD")</f>
        <v>BTC-USD</v>
      </c>
      <c r="E354" s="5" t="str">
        <f ca="1">IFERROR(__xludf.DUMMYFUNCTION("""COMPUTED_VALUE"""),"USD")</f>
        <v>USD</v>
      </c>
      <c r="F354" s="55" t="str">
        <f ca="1">IFERROR(__xludf.DUMMYFUNCTION("""COMPUTED_VALUE"""),"")</f>
        <v/>
      </c>
      <c r="G354" s="56">
        <f ca="1">IFERROR(__xludf.DUMMYFUNCTION("""COMPUTED_VALUE"""),7.81612515151515)</f>
        <v>7.8161251515151502</v>
      </c>
      <c r="H354" s="57">
        <f ca="1">IFERROR(__xludf.DUMMYFUNCTION("""COMPUTED_VALUE"""),40132.258)</f>
        <v>40132.258000000002</v>
      </c>
      <c r="I354" s="57">
        <f ca="1">IFERROR(__xludf.DUMMYFUNCTION("""COMPUTED_VALUE"""),42977.3)</f>
        <v>42977.3</v>
      </c>
      <c r="J354" s="70" t="str">
        <f ca="1">IFERROR(__xludf.DUMMYFUNCTION("""COMPUTED_VALUE"""),"Goto link: BTC-USD")</f>
        <v>Goto link: BTC-USD</v>
      </c>
      <c r="K354" s="19"/>
      <c r="L354" s="19"/>
      <c r="M354" s="19"/>
      <c r="N354" s="19"/>
      <c r="O354" s="59"/>
      <c r="P354" s="7"/>
      <c r="Q354" s="55"/>
      <c r="R354" s="55"/>
      <c r="S354" s="7"/>
      <c r="T354" s="55"/>
      <c r="U354" s="7"/>
      <c r="V354" s="55"/>
      <c r="W354" s="60"/>
      <c r="X354" s="55"/>
    </row>
    <row r="355" spans="1:24" ht="13" x14ac:dyDescent="0.15">
      <c r="A355" s="25" t="str">
        <f ca="1">IFERROR(__xludf.DUMMYFUNCTION("""COMPUTED_VALUE"""),"46220")</f>
        <v>46220</v>
      </c>
      <c r="B355" s="69">
        <f ca="1">IFERROR(__xludf.DUMMYFUNCTION("""COMPUTED_VALUE"""),44613)</f>
        <v>44613</v>
      </c>
      <c r="C355" s="69" t="str">
        <f ca="1">IFERROR(__xludf.DUMMYFUNCTION("""COMPUTED_VALUE"""),"Stock")</f>
        <v>Stock</v>
      </c>
      <c r="D355" s="71" t="str">
        <f ca="1">IFERROR(__xludf.DUMMYFUNCTION("""COMPUTED_VALUE"""),"6969.HK")</f>
        <v>6969.HK</v>
      </c>
      <c r="E355" s="5" t="str">
        <f ca="1">IFERROR(__xludf.DUMMYFUNCTION("""COMPUTED_VALUE"""),"HKD")</f>
        <v>HKD</v>
      </c>
      <c r="F355" s="55" t="str">
        <f ca="1">IFERROR(__xludf.DUMMYFUNCTION("""COMPUTED_VALUE"""),"")</f>
        <v/>
      </c>
      <c r="G355" s="56">
        <f ca="1">IFERROR(__xludf.DUMMYFUNCTION("""COMPUTED_VALUE"""),1)</f>
        <v>1</v>
      </c>
      <c r="H355" s="57">
        <f ca="1">IFERROR(__xludf.DUMMYFUNCTION("""COMPUTED_VALUE"""),35.5)</f>
        <v>35.5</v>
      </c>
      <c r="I355" s="57">
        <f ca="1">IFERROR(__xludf.DUMMYFUNCTION("""COMPUTED_VALUE"""),20.9)</f>
        <v>20.9</v>
      </c>
      <c r="J355" s="70" t="str">
        <f ca="1">IFERROR(__xludf.DUMMYFUNCTION("""COMPUTED_VALUE"""),"Goto link: 6969.HK")</f>
        <v>Goto link: 6969.HK</v>
      </c>
      <c r="K355" s="19"/>
      <c r="L355" s="19"/>
      <c r="M355" s="19"/>
      <c r="N355" s="19"/>
      <c r="O355" s="59"/>
      <c r="P355" s="7"/>
      <c r="Q355" s="55"/>
      <c r="R355" s="55"/>
      <c r="S355" s="7"/>
      <c r="T355" s="55"/>
      <c r="U355" s="7"/>
      <c r="V355" s="55"/>
      <c r="W355" s="60"/>
      <c r="X355" s="55"/>
    </row>
    <row r="356" spans="1:24" ht="13" x14ac:dyDescent="0.15">
      <c r="A356" s="25" t="str">
        <f ca="1">IFERROR(__xludf.DUMMYFUNCTION("""COMPUTED_VALUE"""),"46220")</f>
        <v>46220</v>
      </c>
      <c r="B356" s="69">
        <f ca="1">IFERROR(__xludf.DUMMYFUNCTION("""COMPUTED_VALUE"""),44615)</f>
        <v>44615</v>
      </c>
      <c r="C356" s="69" t="str">
        <f ca="1">IFERROR(__xludf.DUMMYFUNCTION("""COMPUTED_VALUE"""),"Stock")</f>
        <v>Stock</v>
      </c>
      <c r="D356" s="5" t="str">
        <f ca="1">IFERROR(__xludf.DUMMYFUNCTION("""COMPUTED_VALUE"""),"TSLA")</f>
        <v>TSLA</v>
      </c>
      <c r="E356" s="5" t="str">
        <f ca="1">IFERROR(__xludf.DUMMYFUNCTION("""COMPUTED_VALUE"""),"USD")</f>
        <v>USD</v>
      </c>
      <c r="F356" s="55" t="str">
        <f ca="1">IFERROR(__xludf.DUMMYFUNCTION("""COMPUTED_VALUE"""),"")</f>
        <v/>
      </c>
      <c r="G356" s="56">
        <f ca="1">IFERROR(__xludf.DUMMYFUNCTION("""COMPUTED_VALUE"""),7.81886107142857)</f>
        <v>7.8188610714285698</v>
      </c>
      <c r="H356" s="57">
        <f ca="1">IFERROR(__xludf.DUMMYFUNCTION("""COMPUTED_VALUE"""),764.04)</f>
        <v>764.04</v>
      </c>
      <c r="I356" s="57">
        <f ca="1">IFERROR(__xludf.DUMMYFUNCTION("""COMPUTED_VALUE"""),999.11)</f>
        <v>999.11</v>
      </c>
      <c r="J356" s="70" t="str">
        <f ca="1">IFERROR(__xludf.DUMMYFUNCTION("""COMPUTED_VALUE"""),"Goto link: TSLA")</f>
        <v>Goto link: TSLA</v>
      </c>
      <c r="K356" s="19"/>
      <c r="L356" s="19"/>
      <c r="M356" s="19"/>
      <c r="N356" s="19"/>
      <c r="O356" s="59"/>
      <c r="P356" s="7"/>
      <c r="Q356" s="55"/>
      <c r="R356" s="55"/>
      <c r="S356" s="7"/>
      <c r="T356" s="55"/>
      <c r="U356" s="7"/>
      <c r="V356" s="55"/>
      <c r="W356" s="60"/>
      <c r="X356" s="55"/>
    </row>
    <row r="357" spans="1:24" ht="13" x14ac:dyDescent="0.15">
      <c r="A357" s="25" t="str">
        <f ca="1">IFERROR(__xludf.DUMMYFUNCTION("""COMPUTED_VALUE"""),"46220")</f>
        <v>46220</v>
      </c>
      <c r="B357" s="69">
        <f ca="1">IFERROR(__xludf.DUMMYFUNCTION("""COMPUTED_VALUE"""),44615)</f>
        <v>44615</v>
      </c>
      <c r="C357" s="69" t="str">
        <f ca="1">IFERROR(__xludf.DUMMYFUNCTION("""COMPUTED_VALUE"""),"Stock")</f>
        <v>Stock</v>
      </c>
      <c r="D357" s="5" t="str">
        <f ca="1">IFERROR(__xludf.DUMMYFUNCTION("""COMPUTED_VALUE"""),"YINN")</f>
        <v>YINN</v>
      </c>
      <c r="E357" s="5" t="str">
        <f ca="1">IFERROR(__xludf.DUMMYFUNCTION("""COMPUTED_VALUE"""),"USD")</f>
        <v>USD</v>
      </c>
      <c r="F357" s="55">
        <f ca="1">IFERROR(__xludf.DUMMYFUNCTION("""COMPUTED_VALUE"""),50)</f>
        <v>50</v>
      </c>
      <c r="G357" s="56">
        <f ca="1">IFERROR(__xludf.DUMMYFUNCTION("""COMPUTED_VALUE"""),7.81886107142857)</f>
        <v>7.8188610714285698</v>
      </c>
      <c r="H357" s="57">
        <f ca="1">IFERROR(__xludf.DUMMYFUNCTION("""COMPUTED_VALUE"""),7.24)</f>
        <v>7.24</v>
      </c>
      <c r="I357" s="57">
        <f ca="1">IFERROR(__xludf.DUMMYFUNCTION("""COMPUTED_VALUE"""),5.09)</f>
        <v>5.09</v>
      </c>
      <c r="J357" s="70" t="str">
        <f ca="1">IFERROR(__xludf.DUMMYFUNCTION("""COMPUTED_VALUE"""),"Goto link: YINN")</f>
        <v>Goto link: YINN</v>
      </c>
      <c r="K357" s="19"/>
      <c r="L357" s="19"/>
      <c r="M357" s="19"/>
      <c r="N357" s="19"/>
      <c r="O357" s="59"/>
      <c r="P357" s="7"/>
      <c r="Q357" s="55"/>
      <c r="R357" s="55"/>
      <c r="S357" s="7"/>
      <c r="T357" s="55"/>
      <c r="U357" s="7"/>
      <c r="V357" s="55"/>
      <c r="W357" s="60"/>
      <c r="X357" s="55"/>
    </row>
    <row r="358" spans="1:24" ht="13" x14ac:dyDescent="0.15">
      <c r="A358" s="25" t="str">
        <f ca="1">IFERROR(__xludf.DUMMYFUNCTION("""COMPUTED_VALUE"""),"46220")</f>
        <v>46220</v>
      </c>
      <c r="B358" s="69">
        <f ca="1">IFERROR(__xludf.DUMMYFUNCTION("""COMPUTED_VALUE"""),44616)</f>
        <v>44616</v>
      </c>
      <c r="C358" s="69" t="str">
        <f ca="1">IFERROR(__xludf.DUMMYFUNCTION("""COMPUTED_VALUE"""),"Stock")</f>
        <v>Stock</v>
      </c>
      <c r="D358" s="5" t="str">
        <f ca="1">IFERROR(__xludf.DUMMYFUNCTION("""COMPUTED_VALUE"""),"AMZN")</f>
        <v>AMZN</v>
      </c>
      <c r="E358" s="5" t="str">
        <f ca="1">IFERROR(__xludf.DUMMYFUNCTION("""COMPUTED_VALUE"""),"USD")</f>
        <v>USD</v>
      </c>
      <c r="F358" s="55" t="str">
        <f ca="1">IFERROR(__xludf.DUMMYFUNCTION("""COMPUTED_VALUE"""),"")</f>
        <v/>
      </c>
      <c r="G358" s="56">
        <f ca="1">IFERROR(__xludf.DUMMYFUNCTION("""COMPUTED_VALUE"""),7.81935777777777)</f>
        <v>7.8193577777777703</v>
      </c>
      <c r="H358" s="57">
        <f ca="1">IFERROR(__xludf.DUMMYFUNCTION("""COMPUTED_VALUE"""),3027.16)</f>
        <v>3027.16</v>
      </c>
      <c r="I358" s="57">
        <f ca="1">IFERROR(__xludf.DUMMYFUNCTION("""COMPUTED_VALUE"""),3268.16)</f>
        <v>3268.16</v>
      </c>
      <c r="J358" s="70" t="str">
        <f ca="1">IFERROR(__xludf.DUMMYFUNCTION("""COMPUTED_VALUE"""),"Goto link: AMZN")</f>
        <v>Goto link: AMZN</v>
      </c>
      <c r="K358" s="19"/>
      <c r="L358" s="19"/>
      <c r="M358" s="19"/>
      <c r="N358" s="19"/>
      <c r="O358" s="59"/>
      <c r="P358" s="7"/>
      <c r="Q358" s="55"/>
      <c r="R358" s="55"/>
      <c r="S358" s="7"/>
      <c r="T358" s="55"/>
      <c r="U358" s="7"/>
      <c r="V358" s="55"/>
      <c r="W358" s="60"/>
      <c r="X358" s="55"/>
    </row>
    <row r="359" spans="1:24" ht="13" x14ac:dyDescent="0.15">
      <c r="A359" s="25" t="str">
        <f ca="1">IFERROR(__xludf.DUMMYFUNCTION("""COMPUTED_VALUE"""),"46220")</f>
        <v>46220</v>
      </c>
      <c r="B359" s="69">
        <f ca="1">IFERROR(__xludf.DUMMYFUNCTION("""COMPUTED_VALUE"""),44617)</f>
        <v>44617</v>
      </c>
      <c r="C359" s="69" t="str">
        <f ca="1">IFERROR(__xludf.DUMMYFUNCTION("""COMPUTED_VALUE"""),"Stock")</f>
        <v>Stock</v>
      </c>
      <c r="D359" s="5" t="str">
        <f ca="1">IFERROR(__xludf.DUMMYFUNCTION("""COMPUTED_VALUE"""),"NFLX")</f>
        <v>NFLX</v>
      </c>
      <c r="E359" s="5" t="str">
        <f ca="1">IFERROR(__xludf.DUMMYFUNCTION("""COMPUTED_VALUE"""),"USD")</f>
        <v>USD</v>
      </c>
      <c r="F359" s="55" t="str">
        <f ca="1">IFERROR(__xludf.DUMMYFUNCTION("""COMPUTED_VALUE"""),"")</f>
        <v/>
      </c>
      <c r="G359" s="56">
        <f ca="1">IFERROR(__xludf.DUMMYFUNCTION("""COMPUTED_VALUE"""),7.81980423076923)</f>
        <v>7.8198042307692299</v>
      </c>
      <c r="H359" s="57">
        <f ca="1">IFERROR(__xludf.DUMMYFUNCTION("""COMPUTED_VALUE"""),390.8)</f>
        <v>390.8</v>
      </c>
      <c r="I359" s="57">
        <f ca="1">IFERROR(__xludf.DUMMYFUNCTION("""COMPUTED_VALUE"""),374.49)</f>
        <v>374.49</v>
      </c>
      <c r="J359" s="70" t="str">
        <f ca="1">IFERROR(__xludf.DUMMYFUNCTION("""COMPUTED_VALUE"""),"Goto link: NFLX")</f>
        <v>Goto link: NFLX</v>
      </c>
      <c r="K359" s="19"/>
      <c r="L359" s="19"/>
      <c r="M359" s="19"/>
      <c r="N359" s="19"/>
      <c r="O359" s="59"/>
      <c r="P359" s="7"/>
      <c r="Q359" s="55"/>
      <c r="R359" s="55"/>
      <c r="S359" s="7"/>
      <c r="T359" s="55"/>
      <c r="U359" s="7"/>
      <c r="V359" s="55"/>
      <c r="W359" s="60"/>
      <c r="X359" s="55"/>
    </row>
    <row r="360" spans="1:24" ht="13" x14ac:dyDescent="0.15">
      <c r="A360" s="25" t="str">
        <f ca="1">IFERROR(__xludf.DUMMYFUNCTION("""COMPUTED_VALUE"""),"46220")</f>
        <v>46220</v>
      </c>
      <c r="B360" s="69">
        <f ca="1">IFERROR(__xludf.DUMMYFUNCTION("""COMPUTED_VALUE"""),44624)</f>
        <v>44624</v>
      </c>
      <c r="C360" s="69" t="str">
        <f ca="1">IFERROR(__xludf.DUMMYFUNCTION("""COMPUTED_VALUE"""),"Stock")</f>
        <v>Stock</v>
      </c>
      <c r="D360" s="71" t="str">
        <f ca="1">IFERROR(__xludf.DUMMYFUNCTION("""COMPUTED_VALUE"""),"9988.HK")</f>
        <v>9988.HK</v>
      </c>
      <c r="E360" s="5" t="str">
        <f ca="1">IFERROR(__xludf.DUMMYFUNCTION("""COMPUTED_VALUE"""),"HKD")</f>
        <v>HKD</v>
      </c>
      <c r="F360" s="55" t="str">
        <f ca="1">IFERROR(__xludf.DUMMYFUNCTION("""COMPUTED_VALUE"""),"")</f>
        <v/>
      </c>
      <c r="G360" s="56">
        <f ca="1">IFERROR(__xludf.DUMMYFUNCTION("""COMPUTED_VALUE"""),1)</f>
        <v>1</v>
      </c>
      <c r="H360" s="57">
        <f ca="1">IFERROR(__xludf.DUMMYFUNCTION("""COMPUTED_VALUE"""),99)</f>
        <v>99</v>
      </c>
      <c r="I360" s="57">
        <f ca="1">IFERROR(__xludf.DUMMYFUNCTION("""COMPUTED_VALUE"""),117.6)</f>
        <v>117.6</v>
      </c>
      <c r="J360" s="70" t="str">
        <f ca="1">IFERROR(__xludf.DUMMYFUNCTION("""COMPUTED_VALUE"""),"Goto link: 9988.HK")</f>
        <v>Goto link: 9988.HK</v>
      </c>
      <c r="K360" s="19"/>
      <c r="L360" s="19"/>
      <c r="M360" s="19"/>
      <c r="N360" s="19"/>
      <c r="O360" s="59"/>
      <c r="P360" s="7"/>
      <c r="Q360" s="55"/>
      <c r="R360" s="55"/>
      <c r="S360" s="7"/>
      <c r="T360" s="55"/>
      <c r="U360" s="7"/>
      <c r="V360" s="55"/>
      <c r="W360" s="60"/>
      <c r="X360" s="55"/>
    </row>
    <row r="361" spans="1:24" ht="13" x14ac:dyDescent="0.15">
      <c r="A361" s="25" t="str">
        <f ca="1">IFERROR(__xludf.DUMMYFUNCTION("""COMPUTED_VALUE"""),"46220")</f>
        <v>46220</v>
      </c>
      <c r="B361" s="69">
        <f ca="1">IFERROR(__xludf.DUMMYFUNCTION("""COMPUTED_VALUE"""),44634)</f>
        <v>44634</v>
      </c>
      <c r="C361" s="69" t="str">
        <f ca="1">IFERROR(__xludf.DUMMYFUNCTION("""COMPUTED_VALUE"""),"Stock")</f>
        <v>Stock</v>
      </c>
      <c r="D361" s="5" t="str">
        <f ca="1">IFERROR(__xludf.DUMMYFUNCTION("""COMPUTED_VALUE"""),"GC=F")</f>
        <v>GC=F</v>
      </c>
      <c r="E361" s="5" t="str">
        <f ca="1">IFERROR(__xludf.DUMMYFUNCTION("""COMPUTED_VALUE"""),"USD")</f>
        <v>USD</v>
      </c>
      <c r="F361" s="55" t="str">
        <f ca="1">IFERROR(__xludf.DUMMYFUNCTION("""COMPUTED_VALUE"""),"")</f>
        <v/>
      </c>
      <c r="G361" s="56">
        <f ca="1">IFERROR(__xludf.DUMMYFUNCTION("""COMPUTED_VALUE"""),7.82436055555555)</f>
        <v>7.8243605555555504</v>
      </c>
      <c r="H361" s="57">
        <f ca="1">IFERROR(__xludf.DUMMYFUNCTION("""COMPUTED_VALUE"""),1954.6)</f>
        <v>1954.6</v>
      </c>
      <c r="I361" s="57">
        <f ca="1">IFERROR(__xludf.DUMMYFUNCTION("""COMPUTED_VALUE"""),1947.3)</f>
        <v>1947.3</v>
      </c>
      <c r="J361" s="70" t="str">
        <f ca="1">IFERROR(__xludf.DUMMYFUNCTION("""COMPUTED_VALUE"""),"Goto link: GC=F")</f>
        <v>Goto link: GC=F</v>
      </c>
      <c r="K361" s="19"/>
      <c r="L361" s="19"/>
      <c r="M361" s="19"/>
      <c r="N361" s="19"/>
      <c r="O361" s="59"/>
      <c r="P361" s="7"/>
      <c r="Q361" s="55"/>
      <c r="R361" s="55"/>
      <c r="S361" s="7"/>
      <c r="T361" s="55"/>
      <c r="U361" s="7"/>
      <c r="V361" s="55"/>
      <c r="W361" s="60"/>
      <c r="X361" s="55"/>
    </row>
    <row r="362" spans="1:24" ht="13" x14ac:dyDescent="0.15">
      <c r="A362" s="25" t="str">
        <f ca="1">IFERROR(__xludf.DUMMYFUNCTION("""COMPUTED_VALUE"""),"46220 Total")</f>
        <v>46220 Total</v>
      </c>
      <c r="B362" s="5"/>
      <c r="C362" s="69"/>
      <c r="D362" s="5"/>
      <c r="E362" s="5"/>
      <c r="F362" s="55"/>
      <c r="G362" s="56">
        <f ca="1">IFERROR(__xludf.DUMMYFUNCTION("""COMPUTED_VALUE"""),6.08117043382353)</f>
        <v>6.0811704338235302</v>
      </c>
      <c r="H362" s="57">
        <f ca="1">IFERROR(__xludf.DUMMYFUNCTION("""COMPUTED_VALUE"""),44162.117)</f>
        <v>44162.116999999998</v>
      </c>
      <c r="I362" s="57" t="str">
        <f ca="1">IFERROR(__xludf.DUMMYFUNCTION("""COMPUTED_VALUE"""),"")</f>
        <v/>
      </c>
      <c r="J362" s="19" t="str">
        <f ca="1">IFERROR(__xludf.DUMMYFUNCTION("""COMPUTED_VALUE"""),"")</f>
        <v/>
      </c>
      <c r="K362" s="19"/>
      <c r="L362" s="19"/>
      <c r="M362" s="19"/>
      <c r="N362" s="19"/>
      <c r="O362" s="59"/>
      <c r="P362" s="7"/>
      <c r="Q362" s="55"/>
      <c r="R362" s="55"/>
      <c r="S362" s="7"/>
      <c r="T362" s="55"/>
      <c r="U362" s="7"/>
      <c r="V362" s="55"/>
      <c r="W362" s="60"/>
      <c r="X362" s="55"/>
    </row>
    <row r="363" spans="1:24" ht="13" x14ac:dyDescent="0.15">
      <c r="A363" s="25" t="str">
        <f ca="1">IFERROR(__xludf.DUMMYFUNCTION("""COMPUTED_VALUE"""),"46225")</f>
        <v>46225</v>
      </c>
      <c r="B363" s="69">
        <f ca="1">IFERROR(__xludf.DUMMYFUNCTION("""COMPUTED_VALUE"""),44597)</f>
        <v>44597</v>
      </c>
      <c r="C363" s="69" t="str">
        <f ca="1">IFERROR(__xludf.DUMMYFUNCTION("""COMPUTED_VALUE"""),"Cash")</f>
        <v>Cash</v>
      </c>
      <c r="D363" s="5" t="str">
        <f ca="1">IFERROR(__xludf.DUMMYFUNCTION("""COMPUTED_VALUE"""),"Cash")</f>
        <v>Cash</v>
      </c>
      <c r="E363" s="5" t="str">
        <f ca="1">IFERROR(__xludf.DUMMYFUNCTION("""COMPUTED_VALUE"""),"HKD")</f>
        <v>HKD</v>
      </c>
      <c r="F363" s="55" t="str">
        <f ca="1">IFERROR(__xludf.DUMMYFUNCTION("""COMPUTED_VALUE"""),"")</f>
        <v/>
      </c>
      <c r="G363" s="56">
        <f ca="1">IFERROR(__xludf.DUMMYFUNCTION("""COMPUTED_VALUE"""),1)</f>
        <v>1</v>
      </c>
      <c r="H363" s="57">
        <f ca="1">IFERROR(__xludf.DUMMYFUNCTION("""COMPUTED_VALUE"""),1)</f>
        <v>1</v>
      </c>
      <c r="I363" s="57">
        <f ca="1">IFERROR(__xludf.DUMMYFUNCTION("""COMPUTED_VALUE"""),1)</f>
        <v>1</v>
      </c>
      <c r="J363" s="19" t="str">
        <f ca="1">IFERROR(__xludf.DUMMYFUNCTION("""COMPUTED_VALUE"""),"")</f>
        <v/>
      </c>
      <c r="K363" s="19"/>
      <c r="L363" s="19"/>
      <c r="M363" s="19"/>
      <c r="N363" s="19"/>
      <c r="O363" s="59"/>
      <c r="P363" s="7"/>
      <c r="Q363" s="55"/>
      <c r="R363" s="55"/>
      <c r="S363" s="7"/>
      <c r="T363" s="55"/>
      <c r="U363" s="7"/>
      <c r="V363" s="55"/>
      <c r="W363" s="60"/>
      <c r="X363" s="55"/>
    </row>
    <row r="364" spans="1:24" ht="13" x14ac:dyDescent="0.15">
      <c r="A364" s="25" t="str">
        <f ca="1">IFERROR(__xludf.DUMMYFUNCTION("""COMPUTED_VALUE"""),"46225 Total")</f>
        <v>46225 Total</v>
      </c>
      <c r="B364" s="5"/>
      <c r="C364" s="69"/>
      <c r="D364" s="5"/>
      <c r="E364" s="5"/>
      <c r="F364" s="55"/>
      <c r="G364" s="56">
        <f ca="1">IFERROR(__xludf.DUMMYFUNCTION("""COMPUTED_VALUE"""),1)</f>
        <v>1</v>
      </c>
      <c r="H364" s="57">
        <f ca="1">IFERROR(__xludf.DUMMYFUNCTION("""COMPUTED_VALUE"""),1)</f>
        <v>1</v>
      </c>
      <c r="I364" s="57" t="str">
        <f ca="1">IFERROR(__xludf.DUMMYFUNCTION("""COMPUTED_VALUE"""),"")</f>
        <v/>
      </c>
      <c r="J364" s="19" t="str">
        <f ca="1">IFERROR(__xludf.DUMMYFUNCTION("""COMPUTED_VALUE"""),"")</f>
        <v/>
      </c>
      <c r="K364" s="19"/>
      <c r="L364" s="19"/>
      <c r="M364" s="19"/>
      <c r="N364" s="19"/>
      <c r="O364" s="59"/>
      <c r="P364" s="7"/>
      <c r="Q364" s="55"/>
      <c r="R364" s="55"/>
      <c r="S364" s="7"/>
      <c r="T364" s="55"/>
      <c r="U364" s="7"/>
      <c r="V364" s="55"/>
      <c r="W364" s="60"/>
      <c r="X364" s="55"/>
    </row>
    <row r="365" spans="1:24" ht="13" x14ac:dyDescent="0.15">
      <c r="A365" s="25" t="str">
        <f ca="1">IFERROR(__xludf.DUMMYFUNCTION("""COMPUTED_VALUE"""),"46276")</f>
        <v>46276</v>
      </c>
      <c r="B365" s="69">
        <f ca="1">IFERROR(__xludf.DUMMYFUNCTION("""COMPUTED_VALUE"""),44597)</f>
        <v>44597</v>
      </c>
      <c r="C365" s="69" t="str">
        <f ca="1">IFERROR(__xludf.DUMMYFUNCTION("""COMPUTED_VALUE"""),"Cash")</f>
        <v>Cash</v>
      </c>
      <c r="D365" s="5" t="str">
        <f ca="1">IFERROR(__xludf.DUMMYFUNCTION("""COMPUTED_VALUE"""),"Cash")</f>
        <v>Cash</v>
      </c>
      <c r="E365" s="5" t="str">
        <f ca="1">IFERROR(__xludf.DUMMYFUNCTION("""COMPUTED_VALUE"""),"HKD")</f>
        <v>HKD</v>
      </c>
      <c r="F365" s="55" t="str">
        <f ca="1">IFERROR(__xludf.DUMMYFUNCTION("""COMPUTED_VALUE"""),"")</f>
        <v/>
      </c>
      <c r="G365" s="56">
        <f ca="1">IFERROR(__xludf.DUMMYFUNCTION("""COMPUTED_VALUE"""),1)</f>
        <v>1</v>
      </c>
      <c r="H365" s="57">
        <f ca="1">IFERROR(__xludf.DUMMYFUNCTION("""COMPUTED_VALUE"""),1)</f>
        <v>1</v>
      </c>
      <c r="I365" s="57">
        <f ca="1">IFERROR(__xludf.DUMMYFUNCTION("""COMPUTED_VALUE"""),1)</f>
        <v>1</v>
      </c>
      <c r="J365" s="19" t="str">
        <f ca="1">IFERROR(__xludf.DUMMYFUNCTION("""COMPUTED_VALUE"""),"")</f>
        <v/>
      </c>
      <c r="K365" s="19"/>
      <c r="L365" s="19"/>
      <c r="M365" s="19"/>
      <c r="N365" s="19"/>
      <c r="O365" s="59"/>
      <c r="P365" s="7"/>
      <c r="Q365" s="55"/>
      <c r="R365" s="55"/>
      <c r="S365" s="7"/>
      <c r="T365" s="55"/>
      <c r="U365" s="7"/>
      <c r="V365" s="55"/>
      <c r="W365" s="60"/>
      <c r="X365" s="55"/>
    </row>
    <row r="366" spans="1:24" ht="13" x14ac:dyDescent="0.15">
      <c r="A366" s="25" t="str">
        <f ca="1">IFERROR(__xludf.DUMMYFUNCTION("""COMPUTED_VALUE"""),"46276")</f>
        <v>46276</v>
      </c>
      <c r="B366" s="69">
        <f ca="1">IFERROR(__xludf.DUMMYFUNCTION("""COMPUTED_VALUE"""),44607)</f>
        <v>44607</v>
      </c>
      <c r="C366" s="69" t="str">
        <f ca="1">IFERROR(__xludf.DUMMYFUNCTION("""COMPUTED_VALUE"""),"Stock")</f>
        <v>Stock</v>
      </c>
      <c r="D366" s="5" t="str">
        <f ca="1">IFERROR(__xludf.DUMMYFUNCTION("""COMPUTED_VALUE"""),"BAC")</f>
        <v>BAC</v>
      </c>
      <c r="E366" s="5" t="str">
        <f ca="1">IFERROR(__xludf.DUMMYFUNCTION("""COMPUTED_VALUE"""),"USD")</f>
        <v>USD</v>
      </c>
      <c r="F366" s="55">
        <f ca="1">IFERROR(__xludf.DUMMYFUNCTION("""COMPUTED_VALUE"""),400)</f>
        <v>400</v>
      </c>
      <c r="G366" s="56">
        <f ca="1">IFERROR(__xludf.DUMMYFUNCTION("""COMPUTED_VALUE"""),7.81480833333333)</f>
        <v>7.81480833333333</v>
      </c>
      <c r="H366" s="57">
        <f ca="1">IFERROR(__xludf.DUMMYFUNCTION("""COMPUTED_VALUE"""),47.79)</f>
        <v>47.79</v>
      </c>
      <c r="I366" s="57">
        <f ca="1">IFERROR(__xludf.DUMMYFUNCTION("""COMPUTED_VALUE"""),43.09)</f>
        <v>43.09</v>
      </c>
      <c r="J366" s="70" t="str">
        <f ca="1">IFERROR(__xludf.DUMMYFUNCTION("""COMPUTED_VALUE"""),"Goto link: BAC")</f>
        <v>Goto link: BAC</v>
      </c>
      <c r="K366" s="19"/>
      <c r="L366" s="19"/>
      <c r="M366" s="19"/>
      <c r="N366" s="19"/>
      <c r="O366" s="59"/>
      <c r="P366" s="7"/>
      <c r="Q366" s="55"/>
      <c r="R366" s="55"/>
      <c r="S366" s="7"/>
      <c r="T366" s="55"/>
      <c r="U366" s="7"/>
      <c r="V366" s="55"/>
      <c r="W366" s="60"/>
      <c r="X366" s="55"/>
    </row>
    <row r="367" spans="1:24" ht="13" x14ac:dyDescent="0.15">
      <c r="A367" s="25" t="str">
        <f ca="1">IFERROR(__xludf.DUMMYFUNCTION("""COMPUTED_VALUE"""),"46276")</f>
        <v>46276</v>
      </c>
      <c r="B367" s="69">
        <f ca="1">IFERROR(__xludf.DUMMYFUNCTION("""COMPUTED_VALUE"""),44607)</f>
        <v>44607</v>
      </c>
      <c r="C367" s="69" t="str">
        <f ca="1">IFERROR(__xludf.DUMMYFUNCTION("""COMPUTED_VALUE"""),"Stock")</f>
        <v>Stock</v>
      </c>
      <c r="D367" s="5" t="str">
        <f ca="1">IFERROR(__xludf.DUMMYFUNCTION("""COMPUTED_VALUE"""),"BRK-B")</f>
        <v>BRK-B</v>
      </c>
      <c r="E367" s="5" t="str">
        <f ca="1">IFERROR(__xludf.DUMMYFUNCTION("""COMPUTED_VALUE"""),"USD")</f>
        <v>USD</v>
      </c>
      <c r="F367" s="55">
        <f ca="1">IFERROR(__xludf.DUMMYFUNCTION("""COMPUTED_VALUE"""),65)</f>
        <v>65</v>
      </c>
      <c r="G367" s="56">
        <f ca="1">IFERROR(__xludf.DUMMYFUNCTION("""COMPUTED_VALUE"""),7.81480833333333)</f>
        <v>7.81480833333333</v>
      </c>
      <c r="H367" s="57">
        <f ca="1">IFERROR(__xludf.DUMMYFUNCTION("""COMPUTED_VALUE"""),316.2)</f>
        <v>316.2</v>
      </c>
      <c r="I367" s="57">
        <f ca="1">IFERROR(__xludf.DUMMYFUNCTION("""COMPUTED_VALUE"""),348.16)</f>
        <v>348.16</v>
      </c>
      <c r="J367" s="70" t="str">
        <f ca="1">IFERROR(__xludf.DUMMYFUNCTION("""COMPUTED_VALUE"""),"Goto link: BRK-B")</f>
        <v>Goto link: BRK-B</v>
      </c>
      <c r="K367" s="19"/>
      <c r="L367" s="19"/>
      <c r="M367" s="19"/>
      <c r="N367" s="19"/>
      <c r="O367" s="59"/>
      <c r="P367" s="7"/>
      <c r="Q367" s="55"/>
      <c r="R367" s="55"/>
      <c r="S367" s="7"/>
      <c r="T367" s="55"/>
      <c r="U367" s="7"/>
      <c r="V367" s="55"/>
      <c r="W367" s="60"/>
      <c r="X367" s="55"/>
    </row>
    <row r="368" spans="1:24" ht="13" x14ac:dyDescent="0.15">
      <c r="A368" s="25" t="str">
        <f ca="1">IFERROR(__xludf.DUMMYFUNCTION("""COMPUTED_VALUE"""),"46276")</f>
        <v>46276</v>
      </c>
      <c r="B368" s="69">
        <f ca="1">IFERROR(__xludf.DUMMYFUNCTION("""COMPUTED_VALUE"""),44610)</f>
        <v>44610</v>
      </c>
      <c r="C368" s="69" t="str">
        <f ca="1">IFERROR(__xludf.DUMMYFUNCTION("""COMPUTED_VALUE"""),"Stock")</f>
        <v>Stock</v>
      </c>
      <c r="D368" s="5" t="str">
        <f ca="1">IFERROR(__xludf.DUMMYFUNCTION("""COMPUTED_VALUE"""),"BRK-B")</f>
        <v>BRK-B</v>
      </c>
      <c r="E368" s="5" t="str">
        <f ca="1">IFERROR(__xludf.DUMMYFUNCTION("""COMPUTED_VALUE"""),"USD")</f>
        <v>USD</v>
      </c>
      <c r="F368" s="55">
        <f ca="1">IFERROR(__xludf.DUMMYFUNCTION("""COMPUTED_VALUE"""),10)</f>
        <v>10</v>
      </c>
      <c r="G368" s="56">
        <f ca="1">IFERROR(__xludf.DUMMYFUNCTION("""COMPUTED_VALUE"""),7.81612515151515)</f>
        <v>7.8161251515151502</v>
      </c>
      <c r="H368" s="57">
        <f ca="1">IFERROR(__xludf.DUMMYFUNCTION("""COMPUTED_VALUE"""),314.8)</f>
        <v>314.8</v>
      </c>
      <c r="I368" s="57">
        <f ca="1">IFERROR(__xludf.DUMMYFUNCTION("""COMPUTED_VALUE"""),348.16)</f>
        <v>348.16</v>
      </c>
      <c r="J368" s="70" t="str">
        <f ca="1">IFERROR(__xludf.DUMMYFUNCTION("""COMPUTED_VALUE"""),"Goto link: BRK-B")</f>
        <v>Goto link: BRK-B</v>
      </c>
      <c r="K368" s="19"/>
      <c r="L368" s="19"/>
      <c r="M368" s="19"/>
      <c r="N368" s="19"/>
      <c r="O368" s="59"/>
      <c r="P368" s="7"/>
      <c r="Q368" s="55"/>
      <c r="R368" s="55"/>
      <c r="S368" s="7"/>
      <c r="T368" s="55"/>
      <c r="U368" s="7"/>
      <c r="V368" s="55"/>
      <c r="W368" s="60"/>
      <c r="X368" s="55"/>
    </row>
    <row r="369" spans="1:24" ht="13" x14ac:dyDescent="0.15">
      <c r="A369" s="25" t="str">
        <f ca="1">IFERROR(__xludf.DUMMYFUNCTION("""COMPUTED_VALUE"""),"46276 Total")</f>
        <v>46276 Total</v>
      </c>
      <c r="B369" s="5"/>
      <c r="C369" s="69"/>
      <c r="D369" s="5"/>
      <c r="E369" s="5"/>
      <c r="F369" s="55"/>
      <c r="G369" s="56">
        <f ca="1">IFERROR(__xludf.DUMMYFUNCTION("""COMPUTED_VALUE"""),5.73906178807947)</f>
        <v>5.7390617880794697</v>
      </c>
      <c r="H369" s="57">
        <f ca="1">IFERROR(__xludf.DUMMYFUNCTION("""COMPUTED_VALUE"""),316.2)</f>
        <v>316.2</v>
      </c>
      <c r="I369" s="57" t="str">
        <f ca="1">IFERROR(__xludf.DUMMYFUNCTION("""COMPUTED_VALUE"""),"")</f>
        <v/>
      </c>
      <c r="J369" s="19" t="str">
        <f ca="1">IFERROR(__xludf.DUMMYFUNCTION("""COMPUTED_VALUE"""),"")</f>
        <v/>
      </c>
      <c r="K369" s="19"/>
      <c r="L369" s="19"/>
      <c r="M369" s="19"/>
      <c r="N369" s="19"/>
      <c r="O369" s="59"/>
      <c r="P369" s="7"/>
      <c r="Q369" s="55"/>
      <c r="R369" s="55"/>
      <c r="S369" s="7"/>
      <c r="T369" s="55"/>
      <c r="U369" s="7"/>
      <c r="V369" s="55"/>
      <c r="W369" s="60"/>
      <c r="X369" s="55"/>
    </row>
    <row r="370" spans="1:24" ht="13" x14ac:dyDescent="0.15">
      <c r="A370" s="25" t="str">
        <f ca="1">IFERROR(__xludf.DUMMYFUNCTION("""COMPUTED_VALUE"""),"46322")</f>
        <v>46322</v>
      </c>
      <c r="B370" s="69">
        <f ca="1">IFERROR(__xludf.DUMMYFUNCTION("""COMPUTED_VALUE"""),44597)</f>
        <v>44597</v>
      </c>
      <c r="C370" s="69" t="str">
        <f ca="1">IFERROR(__xludf.DUMMYFUNCTION("""COMPUTED_VALUE"""),"Cash")</f>
        <v>Cash</v>
      </c>
      <c r="D370" s="5" t="str">
        <f ca="1">IFERROR(__xludf.DUMMYFUNCTION("""COMPUTED_VALUE"""),"Cash")</f>
        <v>Cash</v>
      </c>
      <c r="E370" s="5" t="str">
        <f ca="1">IFERROR(__xludf.DUMMYFUNCTION("""COMPUTED_VALUE"""),"HKD")</f>
        <v>HKD</v>
      </c>
      <c r="F370" s="55" t="str">
        <f ca="1">IFERROR(__xludf.DUMMYFUNCTION("""COMPUTED_VALUE"""),"")</f>
        <v/>
      </c>
      <c r="G370" s="56">
        <f ca="1">IFERROR(__xludf.DUMMYFUNCTION("""COMPUTED_VALUE"""),1)</f>
        <v>1</v>
      </c>
      <c r="H370" s="57">
        <f ca="1">IFERROR(__xludf.DUMMYFUNCTION("""COMPUTED_VALUE"""),1)</f>
        <v>1</v>
      </c>
      <c r="I370" s="57">
        <f ca="1">IFERROR(__xludf.DUMMYFUNCTION("""COMPUTED_VALUE"""),1)</f>
        <v>1</v>
      </c>
      <c r="J370" s="19" t="str">
        <f ca="1">IFERROR(__xludf.DUMMYFUNCTION("""COMPUTED_VALUE"""),"")</f>
        <v/>
      </c>
      <c r="K370" s="19"/>
      <c r="L370" s="19"/>
      <c r="M370" s="19"/>
      <c r="N370" s="19"/>
      <c r="O370" s="59"/>
      <c r="P370" s="7"/>
      <c r="Q370" s="55"/>
      <c r="R370" s="55"/>
      <c r="S370" s="7"/>
      <c r="T370" s="55"/>
      <c r="U370" s="7"/>
      <c r="V370" s="55"/>
      <c r="W370" s="60"/>
      <c r="X370" s="55"/>
    </row>
    <row r="371" spans="1:24" ht="13" x14ac:dyDescent="0.15">
      <c r="A371" s="25" t="str">
        <f ca="1">IFERROR(__xludf.DUMMYFUNCTION("""COMPUTED_VALUE"""),"46322")</f>
        <v>46322</v>
      </c>
      <c r="B371" s="69">
        <f ca="1">IFERROR(__xludf.DUMMYFUNCTION("""COMPUTED_VALUE"""),44616)</f>
        <v>44616</v>
      </c>
      <c r="C371" s="69" t="str">
        <f ca="1">IFERROR(__xludf.DUMMYFUNCTION("""COMPUTED_VALUE"""),"Stock")</f>
        <v>Stock</v>
      </c>
      <c r="D371" s="71" t="str">
        <f ca="1">IFERROR(__xludf.DUMMYFUNCTION("""COMPUTED_VALUE"""),"0941.HK")</f>
        <v>0941.HK</v>
      </c>
      <c r="E371" s="5" t="str">
        <f ca="1">IFERROR(__xludf.DUMMYFUNCTION("""COMPUTED_VALUE"""),"HKD")</f>
        <v>HKD</v>
      </c>
      <c r="F371" s="55">
        <f ca="1">IFERROR(__xludf.DUMMYFUNCTION("""COMPUTED_VALUE"""),2)</f>
        <v>2</v>
      </c>
      <c r="G371" s="56">
        <f ca="1">IFERROR(__xludf.DUMMYFUNCTION("""COMPUTED_VALUE"""),1)</f>
        <v>1</v>
      </c>
      <c r="H371" s="57">
        <f ca="1">IFERROR(__xludf.DUMMYFUNCTION("""COMPUTED_VALUE"""),54)</f>
        <v>54</v>
      </c>
      <c r="I371" s="57">
        <f ca="1">IFERROR(__xludf.DUMMYFUNCTION("""COMPUTED_VALUE"""),54.35)</f>
        <v>54.35</v>
      </c>
      <c r="J371" s="70" t="str">
        <f ca="1">IFERROR(__xludf.DUMMYFUNCTION("""COMPUTED_VALUE"""),"Goto link: 0941.HK")</f>
        <v>Goto link: 0941.HK</v>
      </c>
      <c r="K371" s="19"/>
      <c r="L371" s="19"/>
      <c r="M371" s="19"/>
      <c r="N371" s="19"/>
      <c r="O371" s="59"/>
      <c r="P371" s="7"/>
      <c r="Q371" s="55"/>
      <c r="R371" s="55"/>
      <c r="S371" s="7"/>
      <c r="T371" s="55"/>
      <c r="U371" s="7"/>
      <c r="V371" s="55"/>
      <c r="W371" s="60"/>
      <c r="X371" s="55"/>
    </row>
    <row r="372" spans="1:24" ht="13" x14ac:dyDescent="0.15">
      <c r="A372" s="25" t="str">
        <f ca="1">IFERROR(__xludf.DUMMYFUNCTION("""COMPUTED_VALUE"""),"46322")</f>
        <v>46322</v>
      </c>
      <c r="B372" s="69">
        <f ca="1">IFERROR(__xludf.DUMMYFUNCTION("""COMPUTED_VALUE"""),44616)</f>
        <v>44616</v>
      </c>
      <c r="C372" s="69" t="str">
        <f ca="1">IFERROR(__xludf.DUMMYFUNCTION("""COMPUTED_VALUE"""),"Stock")</f>
        <v>Stock</v>
      </c>
      <c r="D372" s="71" t="str">
        <f ca="1">IFERROR(__xludf.DUMMYFUNCTION("""COMPUTED_VALUE"""),"3047.HK")</f>
        <v>3047.HK</v>
      </c>
      <c r="E372" s="5" t="str">
        <f ca="1">IFERROR(__xludf.DUMMYFUNCTION("""COMPUTED_VALUE"""),"HKD")</f>
        <v>HKD</v>
      </c>
      <c r="F372" s="55">
        <f ca="1">IFERROR(__xludf.DUMMYFUNCTION("""COMPUTED_VALUE"""),5)</f>
        <v>5</v>
      </c>
      <c r="G372" s="56">
        <f ca="1">IFERROR(__xludf.DUMMYFUNCTION("""COMPUTED_VALUE"""),1)</f>
        <v>1</v>
      </c>
      <c r="H372" s="57">
        <f ca="1">IFERROR(__xludf.DUMMYFUNCTION("""COMPUTED_VALUE"""),13)</f>
        <v>13</v>
      </c>
      <c r="I372" s="57">
        <f ca="1">IFERROR(__xludf.DUMMYFUNCTION("""COMPUTED_VALUE"""),14.9)</f>
        <v>14.9</v>
      </c>
      <c r="J372" s="70" t="str">
        <f ca="1">IFERROR(__xludf.DUMMYFUNCTION("""COMPUTED_VALUE"""),"Goto link: 3047.HK")</f>
        <v>Goto link: 3047.HK</v>
      </c>
      <c r="K372" s="19"/>
      <c r="L372" s="19"/>
      <c r="M372" s="19"/>
      <c r="N372" s="19"/>
      <c r="O372" s="59"/>
      <c r="P372" s="7"/>
      <c r="Q372" s="55"/>
      <c r="R372" s="55"/>
      <c r="S372" s="7"/>
      <c r="T372" s="55"/>
      <c r="U372" s="7"/>
      <c r="V372" s="55"/>
      <c r="W372" s="60"/>
      <c r="X372" s="55"/>
    </row>
    <row r="373" spans="1:24" ht="13" x14ac:dyDescent="0.15">
      <c r="A373" s="25" t="str">
        <f ca="1">IFERROR(__xludf.DUMMYFUNCTION("""COMPUTED_VALUE"""),"46322")</f>
        <v>46322</v>
      </c>
      <c r="B373" s="69">
        <f ca="1">IFERROR(__xludf.DUMMYFUNCTION("""COMPUTED_VALUE"""),44616)</f>
        <v>44616</v>
      </c>
      <c r="C373" s="69" t="str">
        <f ca="1">IFERROR(__xludf.DUMMYFUNCTION("""COMPUTED_VALUE"""),"Stock")</f>
        <v>Stock</v>
      </c>
      <c r="D373" s="71" t="str">
        <f ca="1">IFERROR(__xludf.DUMMYFUNCTION("""COMPUTED_VALUE"""),"9988.HK")</f>
        <v>9988.HK</v>
      </c>
      <c r="E373" s="5" t="str">
        <f ca="1">IFERROR(__xludf.DUMMYFUNCTION("""COMPUTED_VALUE"""),"HKD")</f>
        <v>HKD</v>
      </c>
      <c r="F373" s="55">
        <f ca="1">IFERROR(__xludf.DUMMYFUNCTION("""COMPUTED_VALUE"""),2)</f>
        <v>2</v>
      </c>
      <c r="G373" s="56">
        <f ca="1">IFERROR(__xludf.DUMMYFUNCTION("""COMPUTED_VALUE"""),1)</f>
        <v>1</v>
      </c>
      <c r="H373" s="57">
        <f ca="1">IFERROR(__xludf.DUMMYFUNCTION("""COMPUTED_VALUE"""),104.9)</f>
        <v>104.9</v>
      </c>
      <c r="I373" s="57">
        <f ca="1">IFERROR(__xludf.DUMMYFUNCTION("""COMPUTED_VALUE"""),117.6)</f>
        <v>117.6</v>
      </c>
      <c r="J373" s="70" t="str">
        <f ca="1">IFERROR(__xludf.DUMMYFUNCTION("""COMPUTED_VALUE"""),"Goto link: 9988.HK")</f>
        <v>Goto link: 9988.HK</v>
      </c>
      <c r="K373" s="19"/>
      <c r="L373" s="19"/>
      <c r="M373" s="19"/>
      <c r="N373" s="19"/>
      <c r="O373" s="59"/>
      <c r="P373" s="7"/>
      <c r="Q373" s="55"/>
      <c r="R373" s="55"/>
      <c r="S373" s="7"/>
      <c r="T373" s="55"/>
      <c r="U373" s="7"/>
      <c r="V373" s="55"/>
      <c r="W373" s="60"/>
      <c r="X373" s="55"/>
    </row>
    <row r="374" spans="1:24" ht="13" x14ac:dyDescent="0.15">
      <c r="A374" s="25" t="str">
        <f ca="1">IFERROR(__xludf.DUMMYFUNCTION("""COMPUTED_VALUE"""),"46322")</f>
        <v>46322</v>
      </c>
      <c r="B374" s="69">
        <f ca="1">IFERROR(__xludf.DUMMYFUNCTION("""COMPUTED_VALUE"""),44617)</f>
        <v>44617</v>
      </c>
      <c r="C374" s="69" t="str">
        <f ca="1">IFERROR(__xludf.DUMMYFUNCTION("""COMPUTED_VALUE"""),"Stock")</f>
        <v>Stock</v>
      </c>
      <c r="D374" s="5" t="str">
        <f ca="1">IFERROR(__xludf.DUMMYFUNCTION("""COMPUTED_VALUE"""),"SARK")</f>
        <v>SARK</v>
      </c>
      <c r="E374" s="5" t="str">
        <f ca="1">IFERROR(__xludf.DUMMYFUNCTION("""COMPUTED_VALUE"""),"USD")</f>
        <v>USD</v>
      </c>
      <c r="F374" s="55">
        <f ca="1">IFERROR(__xludf.DUMMYFUNCTION("""COMPUTED_VALUE"""),200)</f>
        <v>200</v>
      </c>
      <c r="G374" s="56">
        <f ca="1">IFERROR(__xludf.DUMMYFUNCTION("""COMPUTED_VALUE"""),7.81980423076923)</f>
        <v>7.8198042307692299</v>
      </c>
      <c r="H374" s="57">
        <f ca="1">IFERROR(__xludf.DUMMYFUNCTION("""COMPUTED_VALUE"""),48)</f>
        <v>48</v>
      </c>
      <c r="I374" s="57">
        <f ca="1">IFERROR(__xludf.DUMMYFUNCTION("""COMPUTED_VALUE"""),47.17)</f>
        <v>47.17</v>
      </c>
      <c r="J374" s="70" t="str">
        <f ca="1">IFERROR(__xludf.DUMMYFUNCTION("""COMPUTED_VALUE"""),"Goto link: SARK")</f>
        <v>Goto link: SARK</v>
      </c>
      <c r="K374" s="19"/>
      <c r="L374" s="19"/>
      <c r="M374" s="19"/>
      <c r="N374" s="19"/>
      <c r="O374" s="59"/>
      <c r="P374" s="7"/>
      <c r="Q374" s="55"/>
      <c r="R374" s="55"/>
      <c r="S374" s="7"/>
      <c r="T374" s="55"/>
      <c r="U374" s="7"/>
      <c r="V374" s="55"/>
      <c r="W374" s="60"/>
      <c r="X374" s="55"/>
    </row>
    <row r="375" spans="1:24" ht="13" x14ac:dyDescent="0.15">
      <c r="A375" s="25" t="str">
        <f ca="1">IFERROR(__xludf.DUMMYFUNCTION("""COMPUTED_VALUE"""),"46322")</f>
        <v>46322</v>
      </c>
      <c r="B375" s="69">
        <f ca="1">IFERROR(__xludf.DUMMYFUNCTION("""COMPUTED_VALUE"""),44619)</f>
        <v>44619</v>
      </c>
      <c r="C375" s="69" t="str">
        <f ca="1">IFERROR(__xludf.DUMMYFUNCTION("""COMPUTED_VALUE"""),"Stock")</f>
        <v>Stock</v>
      </c>
      <c r="D375" s="5" t="str">
        <f ca="1">IFERROR(__xludf.DUMMYFUNCTION("""COMPUTED_VALUE"""),"ARKK")</f>
        <v>ARKK</v>
      </c>
      <c r="E375" s="5" t="str">
        <f ca="1">IFERROR(__xludf.DUMMYFUNCTION("""COMPUTED_VALUE"""),"USD")</f>
        <v>USD</v>
      </c>
      <c r="F375" s="55">
        <f ca="1">IFERROR(__xludf.DUMMYFUNCTION("""COMPUTED_VALUE"""),200)</f>
        <v>200</v>
      </c>
      <c r="G375" s="56">
        <f ca="1">IFERROR(__xludf.DUMMYFUNCTION("""COMPUTED_VALUE"""),7.82129434782608)</f>
        <v>7.8212943478260799</v>
      </c>
      <c r="H375" s="57">
        <f ca="1">IFERROR(__xludf.DUMMYFUNCTION("""COMPUTED_VALUE"""),70.47)</f>
        <v>70.47</v>
      </c>
      <c r="I375" s="57">
        <f ca="1">IFERROR(__xludf.DUMMYFUNCTION("""COMPUTED_VALUE"""),65.67)</f>
        <v>65.67</v>
      </c>
      <c r="J375" s="70" t="str">
        <f ca="1">IFERROR(__xludf.DUMMYFUNCTION("""COMPUTED_VALUE"""),"Goto link: ARKK")</f>
        <v>Goto link: ARKK</v>
      </c>
      <c r="K375" s="19"/>
      <c r="L375" s="19"/>
      <c r="M375" s="19"/>
      <c r="N375" s="19"/>
      <c r="O375" s="59"/>
      <c r="P375" s="7"/>
      <c r="Q375" s="55"/>
      <c r="R375" s="55"/>
      <c r="S375" s="7"/>
      <c r="T375" s="55"/>
      <c r="U375" s="7"/>
      <c r="V375" s="55"/>
      <c r="W375" s="60"/>
      <c r="X375" s="55"/>
    </row>
    <row r="376" spans="1:24" ht="13" x14ac:dyDescent="0.15">
      <c r="A376" s="25" t="str">
        <f ca="1">IFERROR(__xludf.DUMMYFUNCTION("""COMPUTED_VALUE"""),"46322")</f>
        <v>46322</v>
      </c>
      <c r="B376" s="69">
        <f ca="1">IFERROR(__xludf.DUMMYFUNCTION("""COMPUTED_VALUE"""),44622)</f>
        <v>44622</v>
      </c>
      <c r="C376" s="69" t="str">
        <f ca="1">IFERROR(__xludf.DUMMYFUNCTION("""COMPUTED_VALUE"""),"Stock")</f>
        <v>Stock</v>
      </c>
      <c r="D376" s="5" t="str">
        <f ca="1">IFERROR(__xludf.DUMMYFUNCTION("""COMPUTED_VALUE"""),"ARKK")</f>
        <v>ARKK</v>
      </c>
      <c r="E376" s="5" t="str">
        <f ca="1">IFERROR(__xludf.DUMMYFUNCTION("""COMPUTED_VALUE"""),"USD")</f>
        <v>USD</v>
      </c>
      <c r="F376" s="55">
        <f ca="1">IFERROR(__xludf.DUMMYFUNCTION("""COMPUTED_VALUE"""),-200)</f>
        <v>-200</v>
      </c>
      <c r="G376" s="56">
        <f ca="1">IFERROR(__xludf.DUMMYFUNCTION("""COMPUTED_VALUE"""),7.82192928571428)</f>
        <v>7.8219292857142797</v>
      </c>
      <c r="H376" s="57">
        <f ca="1">IFERROR(__xludf.DUMMYFUNCTION("""COMPUTED_VALUE"""),67.56)</f>
        <v>67.56</v>
      </c>
      <c r="I376" s="57">
        <f ca="1">IFERROR(__xludf.DUMMYFUNCTION("""COMPUTED_VALUE"""),65.67)</f>
        <v>65.67</v>
      </c>
      <c r="J376" s="70" t="str">
        <f ca="1">IFERROR(__xludf.DUMMYFUNCTION("""COMPUTED_VALUE"""),"Goto link: ARKK")</f>
        <v>Goto link: ARKK</v>
      </c>
      <c r="K376" s="19"/>
      <c r="L376" s="19"/>
      <c r="M376" s="19"/>
      <c r="N376" s="19"/>
      <c r="O376" s="59"/>
      <c r="P376" s="7"/>
      <c r="Q376" s="55"/>
      <c r="R376" s="55"/>
      <c r="S376" s="7"/>
      <c r="T376" s="55"/>
      <c r="U376" s="7"/>
      <c r="V376" s="55"/>
      <c r="W376" s="60"/>
      <c r="X376" s="55"/>
    </row>
    <row r="377" spans="1:24" ht="13" x14ac:dyDescent="0.15">
      <c r="A377" s="25" t="str">
        <f ca="1">IFERROR(__xludf.DUMMYFUNCTION("""COMPUTED_VALUE"""),"46322")</f>
        <v>46322</v>
      </c>
      <c r="B377" s="69">
        <f ca="1">IFERROR(__xludf.DUMMYFUNCTION("""COMPUTED_VALUE"""),44627)</f>
        <v>44627</v>
      </c>
      <c r="C377" s="69" t="str">
        <f ca="1">IFERROR(__xludf.DUMMYFUNCTION("""COMPUTED_VALUE"""),"Stock")</f>
        <v>Stock</v>
      </c>
      <c r="D377" s="5" t="str">
        <f ca="1">IFERROR(__xludf.DUMMYFUNCTION("""COMPUTED_VALUE"""),"SARK")</f>
        <v>SARK</v>
      </c>
      <c r="E377" s="5" t="str">
        <f ca="1">IFERROR(__xludf.DUMMYFUNCTION("""COMPUTED_VALUE"""),"USD")</f>
        <v>USD</v>
      </c>
      <c r="F377" s="55">
        <f ca="1">IFERROR(__xludf.DUMMYFUNCTION("""COMPUTED_VALUE"""),300)</f>
        <v>300</v>
      </c>
      <c r="G377" s="56">
        <f ca="1">IFERROR(__xludf.DUMMYFUNCTION("""COMPUTED_VALUE"""),7.824175)</f>
        <v>7.8241750000000003</v>
      </c>
      <c r="H377" s="57">
        <f ca="1">IFERROR(__xludf.DUMMYFUNCTION("""COMPUTED_VALUE"""),55.25)</f>
        <v>55.25</v>
      </c>
      <c r="I377" s="57">
        <f ca="1">IFERROR(__xludf.DUMMYFUNCTION("""COMPUTED_VALUE"""),47.17)</f>
        <v>47.17</v>
      </c>
      <c r="J377" s="70" t="str">
        <f ca="1">IFERROR(__xludf.DUMMYFUNCTION("""COMPUTED_VALUE"""),"Goto link: SARK")</f>
        <v>Goto link: SARK</v>
      </c>
      <c r="K377" s="19"/>
      <c r="L377" s="19"/>
      <c r="M377" s="19"/>
      <c r="N377" s="19"/>
      <c r="O377" s="59"/>
      <c r="P377" s="7"/>
      <c r="Q377" s="55"/>
      <c r="R377" s="55"/>
      <c r="S377" s="7"/>
      <c r="T377" s="55"/>
      <c r="U377" s="7"/>
      <c r="V377" s="55"/>
      <c r="W377" s="60"/>
      <c r="X377" s="55"/>
    </row>
    <row r="378" spans="1:24" ht="13" x14ac:dyDescent="0.15">
      <c r="A378" s="25" t="str">
        <f ca="1">IFERROR(__xludf.DUMMYFUNCTION("""COMPUTED_VALUE"""),"46322")</f>
        <v>46322</v>
      </c>
      <c r="B378" s="69">
        <f ca="1">IFERROR(__xludf.DUMMYFUNCTION("""COMPUTED_VALUE"""),44628)</f>
        <v>44628</v>
      </c>
      <c r="C378" s="69" t="str">
        <f ca="1">IFERROR(__xludf.DUMMYFUNCTION("""COMPUTED_VALUE"""),"Stock")</f>
        <v>Stock</v>
      </c>
      <c r="D378" s="71" t="str">
        <f ca="1">IFERROR(__xludf.DUMMYFUNCTION("""COMPUTED_VALUE"""),"3047.HK")</f>
        <v>3047.HK</v>
      </c>
      <c r="E378" s="5" t="str">
        <f ca="1">IFERROR(__xludf.DUMMYFUNCTION("""COMPUTED_VALUE"""),"HKD")</f>
        <v>HKD</v>
      </c>
      <c r="F378" s="55">
        <f ca="1">IFERROR(__xludf.DUMMYFUNCTION("""COMPUTED_VALUE"""),5)</f>
        <v>5</v>
      </c>
      <c r="G378" s="56">
        <f ca="1">IFERROR(__xludf.DUMMYFUNCTION("""COMPUTED_VALUE"""),1)</f>
        <v>1</v>
      </c>
      <c r="H378" s="57">
        <f ca="1">IFERROR(__xludf.DUMMYFUNCTION("""COMPUTED_VALUE"""),15.6)</f>
        <v>15.6</v>
      </c>
      <c r="I378" s="57">
        <f ca="1">IFERROR(__xludf.DUMMYFUNCTION("""COMPUTED_VALUE"""),14.9)</f>
        <v>14.9</v>
      </c>
      <c r="J378" s="70" t="str">
        <f ca="1">IFERROR(__xludf.DUMMYFUNCTION("""COMPUTED_VALUE"""),"Goto link: 3047.HK")</f>
        <v>Goto link: 3047.HK</v>
      </c>
      <c r="K378" s="19"/>
      <c r="L378" s="19"/>
      <c r="M378" s="19"/>
      <c r="N378" s="19"/>
      <c r="O378" s="59"/>
      <c r="P378" s="7"/>
      <c r="Q378" s="55"/>
      <c r="R378" s="55"/>
      <c r="S378" s="7"/>
      <c r="T378" s="55"/>
      <c r="U378" s="7"/>
      <c r="V378" s="55"/>
      <c r="W378" s="60"/>
      <c r="X378" s="55"/>
    </row>
    <row r="379" spans="1:24" ht="13" x14ac:dyDescent="0.15">
      <c r="A379" s="25" t="str">
        <f ca="1">IFERROR(__xludf.DUMMYFUNCTION("""COMPUTED_VALUE"""),"46322")</f>
        <v>46322</v>
      </c>
      <c r="B379" s="69">
        <f ca="1">IFERROR(__xludf.DUMMYFUNCTION("""COMPUTED_VALUE"""),44628)</f>
        <v>44628</v>
      </c>
      <c r="C379" s="69" t="str">
        <f ca="1">IFERROR(__xludf.DUMMYFUNCTION("""COMPUTED_VALUE"""),"Stock")</f>
        <v>Stock</v>
      </c>
      <c r="D379" s="71" t="str">
        <f ca="1">IFERROR(__xludf.DUMMYFUNCTION("""COMPUTED_VALUE"""),"9988.HK")</f>
        <v>9988.HK</v>
      </c>
      <c r="E379" s="5" t="str">
        <f ca="1">IFERROR(__xludf.DUMMYFUNCTION("""COMPUTED_VALUE"""),"HKD")</f>
        <v>HKD</v>
      </c>
      <c r="F379" s="55">
        <f ca="1">IFERROR(__xludf.DUMMYFUNCTION("""COMPUTED_VALUE"""),300)</f>
        <v>300</v>
      </c>
      <c r="G379" s="56">
        <f ca="1">IFERROR(__xludf.DUMMYFUNCTION("""COMPUTED_VALUE"""),1)</f>
        <v>1</v>
      </c>
      <c r="H379" s="57">
        <f ca="1">IFERROR(__xludf.DUMMYFUNCTION("""COMPUTED_VALUE"""),92.15)</f>
        <v>92.15</v>
      </c>
      <c r="I379" s="57">
        <f ca="1">IFERROR(__xludf.DUMMYFUNCTION("""COMPUTED_VALUE"""),117.6)</f>
        <v>117.6</v>
      </c>
      <c r="J379" s="70" t="str">
        <f ca="1">IFERROR(__xludf.DUMMYFUNCTION("""COMPUTED_VALUE"""),"Goto link: 9988.HK")</f>
        <v>Goto link: 9988.HK</v>
      </c>
      <c r="K379" s="19"/>
      <c r="L379" s="19"/>
      <c r="M379" s="19"/>
      <c r="N379" s="19"/>
      <c r="O379" s="59"/>
      <c r="P379" s="7"/>
      <c r="Q379" s="55"/>
      <c r="R379" s="55"/>
      <c r="S379" s="7"/>
      <c r="T379" s="55"/>
      <c r="U379" s="7"/>
      <c r="V379" s="55"/>
      <c r="W379" s="60"/>
      <c r="X379" s="55"/>
    </row>
    <row r="380" spans="1:24" ht="13" x14ac:dyDescent="0.15">
      <c r="A380" s="25" t="str">
        <f ca="1">IFERROR(__xludf.DUMMYFUNCTION("""COMPUTED_VALUE"""),"46322")</f>
        <v>46322</v>
      </c>
      <c r="B380" s="69">
        <f ca="1">IFERROR(__xludf.DUMMYFUNCTION("""COMPUTED_VALUE"""),44628)</f>
        <v>44628</v>
      </c>
      <c r="C380" s="69" t="str">
        <f ca="1">IFERROR(__xludf.DUMMYFUNCTION("""COMPUTED_VALUE"""),"Stock")</f>
        <v>Stock</v>
      </c>
      <c r="D380" s="71" t="str">
        <f ca="1">IFERROR(__xludf.DUMMYFUNCTION("""COMPUTED_VALUE"""),"9988.HK")</f>
        <v>9988.HK</v>
      </c>
      <c r="E380" s="5" t="str">
        <f ca="1">IFERROR(__xludf.DUMMYFUNCTION("""COMPUTED_VALUE"""),"HKD")</f>
        <v>HKD</v>
      </c>
      <c r="F380" s="55" t="str">
        <f ca="1">IFERROR(__xludf.DUMMYFUNCTION("""COMPUTED_VALUE"""),"")</f>
        <v/>
      </c>
      <c r="G380" s="56">
        <f ca="1">IFERROR(__xludf.DUMMYFUNCTION("""COMPUTED_VALUE"""),1)</f>
        <v>1</v>
      </c>
      <c r="H380" s="57">
        <f ca="1">IFERROR(__xludf.DUMMYFUNCTION("""COMPUTED_VALUE"""),96)</f>
        <v>96</v>
      </c>
      <c r="I380" s="57">
        <f ca="1">IFERROR(__xludf.DUMMYFUNCTION("""COMPUTED_VALUE"""),117.6)</f>
        <v>117.6</v>
      </c>
      <c r="J380" s="70" t="str">
        <f ca="1">IFERROR(__xludf.DUMMYFUNCTION("""COMPUTED_VALUE"""),"Goto link: 9988.HK")</f>
        <v>Goto link: 9988.HK</v>
      </c>
      <c r="K380" s="19"/>
      <c r="L380" s="19"/>
      <c r="M380" s="19"/>
      <c r="N380" s="19"/>
      <c r="O380" s="59"/>
      <c r="P380" s="7"/>
      <c r="Q380" s="55"/>
      <c r="R380" s="55"/>
      <c r="S380" s="7"/>
      <c r="T380" s="55"/>
      <c r="U380" s="7"/>
      <c r="V380" s="55"/>
      <c r="W380" s="60"/>
      <c r="X380" s="55"/>
    </row>
    <row r="381" spans="1:24" ht="13" x14ac:dyDescent="0.15">
      <c r="A381" s="25" t="str">
        <f ca="1">IFERROR(__xludf.DUMMYFUNCTION("""COMPUTED_VALUE"""),"46322")</f>
        <v>46322</v>
      </c>
      <c r="B381" s="69">
        <f ca="1">IFERROR(__xludf.DUMMYFUNCTION("""COMPUTED_VALUE"""),44628)</f>
        <v>44628</v>
      </c>
      <c r="C381" s="69" t="str">
        <f ca="1">IFERROR(__xludf.DUMMYFUNCTION("""COMPUTED_VALUE"""),"Stock")</f>
        <v>Stock</v>
      </c>
      <c r="D381" s="5" t="str">
        <f ca="1">IFERROR(__xludf.DUMMYFUNCTION("""COMPUTED_VALUE"""),"NET")</f>
        <v>NET</v>
      </c>
      <c r="E381" s="5" t="str">
        <f ca="1">IFERROR(__xludf.DUMMYFUNCTION("""COMPUTED_VALUE"""),"USD")</f>
        <v>USD</v>
      </c>
      <c r="F381" s="55">
        <f ca="1">IFERROR(__xludf.DUMMYFUNCTION("""COMPUTED_VALUE"""),0)</f>
        <v>0</v>
      </c>
      <c r="G381" s="56">
        <f ca="1">IFERROR(__xludf.DUMMYFUNCTION("""COMPUTED_VALUE"""),7.82455)</f>
        <v>7.8245500000000003</v>
      </c>
      <c r="H381" s="57">
        <f ca="1">IFERROR(__xludf.DUMMYFUNCTION("""COMPUTED_VALUE"""),0)</f>
        <v>0</v>
      </c>
      <c r="I381" s="57">
        <f ca="1">IFERROR(__xludf.DUMMYFUNCTION("""COMPUTED_VALUE"""),117.59)</f>
        <v>117.59</v>
      </c>
      <c r="J381" s="70" t="str">
        <f ca="1">IFERROR(__xludf.DUMMYFUNCTION("""COMPUTED_VALUE"""),"Goto link: NET")</f>
        <v>Goto link: NET</v>
      </c>
      <c r="K381" s="19"/>
      <c r="L381" s="19"/>
      <c r="M381" s="19"/>
      <c r="N381" s="19"/>
      <c r="O381" s="59"/>
      <c r="P381" s="7"/>
      <c r="Q381" s="55"/>
      <c r="R381" s="55"/>
      <c r="S381" s="7"/>
      <c r="T381" s="55"/>
      <c r="U381" s="7"/>
      <c r="V381" s="55"/>
      <c r="W381" s="60"/>
      <c r="X381" s="55"/>
    </row>
    <row r="382" spans="1:24" ht="13" x14ac:dyDescent="0.15">
      <c r="A382" s="25" t="str">
        <f ca="1">IFERROR(__xludf.DUMMYFUNCTION("""COMPUTED_VALUE"""),"46322")</f>
        <v>46322</v>
      </c>
      <c r="B382" s="69">
        <f ca="1">IFERROR(__xludf.DUMMYFUNCTION("""COMPUTED_VALUE"""),44634)</f>
        <v>44634</v>
      </c>
      <c r="C382" s="69" t="str">
        <f ca="1">IFERROR(__xludf.DUMMYFUNCTION("""COMPUTED_VALUE"""),"Stock")</f>
        <v>Stock</v>
      </c>
      <c r="D382" s="5" t="str">
        <f ca="1">IFERROR(__xludf.DUMMYFUNCTION("""COMPUTED_VALUE"""),"SARK")</f>
        <v>SARK</v>
      </c>
      <c r="E382" s="5" t="str">
        <f ca="1">IFERROR(__xludf.DUMMYFUNCTION("""COMPUTED_VALUE"""),"USD")</f>
        <v>USD</v>
      </c>
      <c r="F382" s="55">
        <f ca="1">IFERROR(__xludf.DUMMYFUNCTION("""COMPUTED_VALUE"""),-800)</f>
        <v>-800</v>
      </c>
      <c r="G382" s="56">
        <f ca="1">IFERROR(__xludf.DUMMYFUNCTION("""COMPUTED_VALUE"""),7.82436055555555)</f>
        <v>7.8243605555555504</v>
      </c>
      <c r="H382" s="57">
        <f ca="1">IFERROR(__xludf.DUMMYFUNCTION("""COMPUTED_VALUE"""),60.61)</f>
        <v>60.61</v>
      </c>
      <c r="I382" s="57">
        <f ca="1">IFERROR(__xludf.DUMMYFUNCTION("""COMPUTED_VALUE"""),47.17)</f>
        <v>47.17</v>
      </c>
      <c r="J382" s="70" t="str">
        <f ca="1">IFERROR(__xludf.DUMMYFUNCTION("""COMPUTED_VALUE"""),"Goto link: SARK")</f>
        <v>Goto link: SARK</v>
      </c>
      <c r="K382" s="19"/>
      <c r="L382" s="19"/>
      <c r="M382" s="19"/>
      <c r="N382" s="19"/>
      <c r="O382" s="59"/>
      <c r="P382" s="7"/>
      <c r="Q382" s="55"/>
      <c r="R382" s="55"/>
      <c r="S382" s="7"/>
      <c r="T382" s="55"/>
      <c r="U382" s="7"/>
      <c r="V382" s="55"/>
      <c r="W382" s="60"/>
      <c r="X382" s="55"/>
    </row>
    <row r="383" spans="1:24" ht="13" x14ac:dyDescent="0.15">
      <c r="A383" s="25" t="str">
        <f ca="1">IFERROR(__xludf.DUMMYFUNCTION("""COMPUTED_VALUE"""),"46322")</f>
        <v>46322</v>
      </c>
      <c r="B383" s="69">
        <f ca="1">IFERROR(__xludf.DUMMYFUNCTION("""COMPUTED_VALUE"""),44634)</f>
        <v>44634</v>
      </c>
      <c r="C383" s="69" t="str">
        <f ca="1">IFERROR(__xludf.DUMMYFUNCTION("""COMPUTED_VALUE"""),"Stock")</f>
        <v>Stock</v>
      </c>
      <c r="D383" s="5" t="str">
        <f ca="1">IFERROR(__xludf.DUMMYFUNCTION("""COMPUTED_VALUE"""),"SARK")</f>
        <v>SARK</v>
      </c>
      <c r="E383" s="5" t="str">
        <f ca="1">IFERROR(__xludf.DUMMYFUNCTION("""COMPUTED_VALUE"""),"USD")</f>
        <v>USD</v>
      </c>
      <c r="F383" s="55">
        <f ca="1">IFERROR(__xludf.DUMMYFUNCTION("""COMPUTED_VALUE"""),1000)</f>
        <v>1000</v>
      </c>
      <c r="G383" s="56">
        <f ca="1">IFERROR(__xludf.DUMMYFUNCTION("""COMPUTED_VALUE"""),7.82436055555555)</f>
        <v>7.8243605555555504</v>
      </c>
      <c r="H383" s="57">
        <f ca="1">IFERROR(__xludf.DUMMYFUNCTION("""COMPUTED_VALUE"""),60.61)</f>
        <v>60.61</v>
      </c>
      <c r="I383" s="57">
        <f ca="1">IFERROR(__xludf.DUMMYFUNCTION("""COMPUTED_VALUE"""),47.17)</f>
        <v>47.17</v>
      </c>
      <c r="J383" s="70" t="str">
        <f ca="1">IFERROR(__xludf.DUMMYFUNCTION("""COMPUTED_VALUE"""),"Goto link: SARK")</f>
        <v>Goto link: SARK</v>
      </c>
      <c r="K383" s="19"/>
      <c r="L383" s="19"/>
      <c r="M383" s="19"/>
      <c r="N383" s="19"/>
      <c r="O383" s="59"/>
      <c r="P383" s="7"/>
      <c r="Q383" s="55"/>
      <c r="R383" s="55"/>
      <c r="S383" s="7"/>
      <c r="T383" s="55"/>
      <c r="U383" s="7"/>
      <c r="V383" s="55"/>
      <c r="W383" s="60"/>
      <c r="X383" s="55"/>
    </row>
    <row r="384" spans="1:24" ht="13" x14ac:dyDescent="0.15">
      <c r="A384" s="25" t="str">
        <f ca="1">IFERROR(__xludf.DUMMYFUNCTION("""COMPUTED_VALUE"""),"46322")</f>
        <v>46322</v>
      </c>
      <c r="B384" s="69">
        <f ca="1">IFERROR(__xludf.DUMMYFUNCTION("""COMPUTED_VALUE"""),44638)</f>
        <v>44638</v>
      </c>
      <c r="C384" s="69" t="str">
        <f ca="1">IFERROR(__xludf.DUMMYFUNCTION("""COMPUTED_VALUE"""),"Stock")</f>
        <v>Stock</v>
      </c>
      <c r="D384" s="5" t="str">
        <f ca="1">IFERROR(__xludf.DUMMYFUNCTION("""COMPUTED_VALUE"""),"SARK")</f>
        <v>SARK</v>
      </c>
      <c r="E384" s="5" t="str">
        <f ca="1">IFERROR(__xludf.DUMMYFUNCTION("""COMPUTED_VALUE"""),"USD")</f>
        <v>USD</v>
      </c>
      <c r="F384" s="55">
        <f ca="1">IFERROR(__xludf.DUMMYFUNCTION("""COMPUTED_VALUE"""),800)</f>
        <v>800</v>
      </c>
      <c r="G384" s="56">
        <f ca="1">IFERROR(__xludf.DUMMYFUNCTION("""COMPUTED_VALUE"""),7.825109)</f>
        <v>7.8251090000000003</v>
      </c>
      <c r="H384" s="57">
        <f ca="1">IFERROR(__xludf.DUMMYFUNCTION("""COMPUTED_VALUE"""),47.37)</f>
        <v>47.37</v>
      </c>
      <c r="I384" s="57">
        <f ca="1">IFERROR(__xludf.DUMMYFUNCTION("""COMPUTED_VALUE"""),47.17)</f>
        <v>47.17</v>
      </c>
      <c r="J384" s="70" t="str">
        <f ca="1">IFERROR(__xludf.DUMMYFUNCTION("""COMPUTED_VALUE"""),"Goto link: SARK")</f>
        <v>Goto link: SARK</v>
      </c>
      <c r="K384" s="19"/>
      <c r="L384" s="19"/>
      <c r="M384" s="19"/>
      <c r="N384" s="19"/>
      <c r="O384" s="59"/>
      <c r="P384" s="7"/>
      <c r="Q384" s="55"/>
      <c r="R384" s="55"/>
      <c r="S384" s="7"/>
      <c r="T384" s="55"/>
      <c r="U384" s="7"/>
      <c r="V384" s="55"/>
      <c r="W384" s="60"/>
      <c r="X384" s="55"/>
    </row>
    <row r="385" spans="1:24" ht="13" x14ac:dyDescent="0.15">
      <c r="A385" s="25" t="str">
        <f ca="1">IFERROR(__xludf.DUMMYFUNCTION("""COMPUTED_VALUE"""),"46322 Total")</f>
        <v>46322 Total</v>
      </c>
      <c r="B385" s="5"/>
      <c r="C385" s="69"/>
      <c r="D385" s="5"/>
      <c r="E385" s="5"/>
      <c r="F385" s="55"/>
      <c r="G385" s="56">
        <f ca="1">IFERROR(__xludf.DUMMYFUNCTION("""COMPUTED_VALUE"""),3.86774332203389)</f>
        <v>3.8677433220338902</v>
      </c>
      <c r="H385" s="57">
        <f ca="1">IFERROR(__xludf.DUMMYFUNCTION("""COMPUTED_VALUE"""),104.9)</f>
        <v>104.9</v>
      </c>
      <c r="I385" s="57" t="str">
        <f ca="1">IFERROR(__xludf.DUMMYFUNCTION("""COMPUTED_VALUE"""),"")</f>
        <v/>
      </c>
      <c r="J385" s="19" t="str">
        <f ca="1">IFERROR(__xludf.DUMMYFUNCTION("""COMPUTED_VALUE"""),"")</f>
        <v/>
      </c>
      <c r="K385" s="19"/>
      <c r="L385" s="19"/>
      <c r="M385" s="19"/>
      <c r="N385" s="19"/>
      <c r="O385" s="59"/>
      <c r="P385" s="7"/>
      <c r="Q385" s="55"/>
      <c r="R385" s="55"/>
      <c r="S385" s="7"/>
      <c r="T385" s="55"/>
      <c r="U385" s="7"/>
      <c r="V385" s="55"/>
      <c r="W385" s="60"/>
      <c r="X385" s="55"/>
    </row>
    <row r="386" spans="1:24" ht="13" x14ac:dyDescent="0.15">
      <c r="A386" s="25" t="str">
        <f ca="1">IFERROR(__xludf.DUMMYFUNCTION("""COMPUTED_VALUE"""),"46446")</f>
        <v>46446</v>
      </c>
      <c r="B386" s="69">
        <f ca="1">IFERROR(__xludf.DUMMYFUNCTION("""COMPUTED_VALUE"""),44597)</f>
        <v>44597</v>
      </c>
      <c r="C386" s="69" t="str">
        <f ca="1">IFERROR(__xludf.DUMMYFUNCTION("""COMPUTED_VALUE"""),"Cash")</f>
        <v>Cash</v>
      </c>
      <c r="D386" s="5" t="str">
        <f ca="1">IFERROR(__xludf.DUMMYFUNCTION("""COMPUTED_VALUE"""),"Cash")</f>
        <v>Cash</v>
      </c>
      <c r="E386" s="5" t="str">
        <f ca="1">IFERROR(__xludf.DUMMYFUNCTION("""COMPUTED_VALUE"""),"HKD")</f>
        <v>HKD</v>
      </c>
      <c r="F386" s="55" t="str">
        <f ca="1">IFERROR(__xludf.DUMMYFUNCTION("""COMPUTED_VALUE"""),"")</f>
        <v/>
      </c>
      <c r="G386" s="56">
        <f ca="1">IFERROR(__xludf.DUMMYFUNCTION("""COMPUTED_VALUE"""),1)</f>
        <v>1</v>
      </c>
      <c r="H386" s="57">
        <f ca="1">IFERROR(__xludf.DUMMYFUNCTION("""COMPUTED_VALUE"""),1)</f>
        <v>1</v>
      </c>
      <c r="I386" s="57">
        <f ca="1">IFERROR(__xludf.DUMMYFUNCTION("""COMPUTED_VALUE"""),1)</f>
        <v>1</v>
      </c>
      <c r="J386" s="19" t="str">
        <f ca="1">IFERROR(__xludf.DUMMYFUNCTION("""COMPUTED_VALUE"""),"")</f>
        <v/>
      </c>
      <c r="K386" s="19"/>
      <c r="L386" s="19"/>
      <c r="M386" s="19"/>
      <c r="N386" s="19"/>
      <c r="O386" s="59"/>
      <c r="P386" s="7"/>
      <c r="Q386" s="55"/>
      <c r="R386" s="55"/>
      <c r="S386" s="7"/>
      <c r="T386" s="55"/>
      <c r="U386" s="7"/>
      <c r="V386" s="55"/>
      <c r="W386" s="60"/>
      <c r="X386" s="55"/>
    </row>
    <row r="387" spans="1:24" ht="13" x14ac:dyDescent="0.15">
      <c r="A387" s="25" t="str">
        <f ca="1">IFERROR(__xludf.DUMMYFUNCTION("""COMPUTED_VALUE"""),"46446 Total")</f>
        <v>46446 Total</v>
      </c>
      <c r="B387" s="5"/>
      <c r="C387" s="69"/>
      <c r="D387" s="5"/>
      <c r="E387" s="5"/>
      <c r="F387" s="55"/>
      <c r="G387" s="56">
        <f ca="1">IFERROR(__xludf.DUMMYFUNCTION("""COMPUTED_VALUE"""),1)</f>
        <v>1</v>
      </c>
      <c r="H387" s="57">
        <f ca="1">IFERROR(__xludf.DUMMYFUNCTION("""COMPUTED_VALUE"""),1)</f>
        <v>1</v>
      </c>
      <c r="I387" s="57" t="str">
        <f ca="1">IFERROR(__xludf.DUMMYFUNCTION("""COMPUTED_VALUE"""),"")</f>
        <v/>
      </c>
      <c r="J387" s="19" t="str">
        <f ca="1">IFERROR(__xludf.DUMMYFUNCTION("""COMPUTED_VALUE"""),"")</f>
        <v/>
      </c>
      <c r="K387" s="19"/>
      <c r="L387" s="19"/>
      <c r="M387" s="19"/>
      <c r="N387" s="19"/>
      <c r="O387" s="59"/>
      <c r="P387" s="7"/>
      <c r="Q387" s="55"/>
      <c r="R387" s="55"/>
      <c r="S387" s="7"/>
      <c r="T387" s="55"/>
      <c r="U387" s="7"/>
      <c r="V387" s="55"/>
      <c r="W387" s="60"/>
      <c r="X387" s="55"/>
    </row>
    <row r="388" spans="1:24" ht="13" x14ac:dyDescent="0.15">
      <c r="A388" s="25" t="str">
        <f ca="1">IFERROR(__xludf.DUMMYFUNCTION("""COMPUTED_VALUE"""),"46600")</f>
        <v>46600</v>
      </c>
      <c r="B388" s="69">
        <f ca="1">IFERROR(__xludf.DUMMYFUNCTION("""COMPUTED_VALUE"""),44597)</f>
        <v>44597</v>
      </c>
      <c r="C388" s="69" t="str">
        <f ca="1">IFERROR(__xludf.DUMMYFUNCTION("""COMPUTED_VALUE"""),"Cash")</f>
        <v>Cash</v>
      </c>
      <c r="D388" s="5" t="str">
        <f ca="1">IFERROR(__xludf.DUMMYFUNCTION("""COMPUTED_VALUE"""),"Cash")</f>
        <v>Cash</v>
      </c>
      <c r="E388" s="5" t="str">
        <f ca="1">IFERROR(__xludf.DUMMYFUNCTION("""COMPUTED_VALUE"""),"HKD")</f>
        <v>HKD</v>
      </c>
      <c r="F388" s="55" t="str">
        <f ca="1">IFERROR(__xludf.DUMMYFUNCTION("""COMPUTED_VALUE"""),"")</f>
        <v/>
      </c>
      <c r="G388" s="56">
        <f ca="1">IFERROR(__xludf.DUMMYFUNCTION("""COMPUTED_VALUE"""),1)</f>
        <v>1</v>
      </c>
      <c r="H388" s="57">
        <f ca="1">IFERROR(__xludf.DUMMYFUNCTION("""COMPUTED_VALUE"""),1)</f>
        <v>1</v>
      </c>
      <c r="I388" s="57">
        <f ca="1">IFERROR(__xludf.DUMMYFUNCTION("""COMPUTED_VALUE"""),1)</f>
        <v>1</v>
      </c>
      <c r="J388" s="19" t="str">
        <f ca="1">IFERROR(__xludf.DUMMYFUNCTION("""COMPUTED_VALUE"""),"")</f>
        <v/>
      </c>
      <c r="K388" s="19"/>
      <c r="L388" s="19"/>
      <c r="M388" s="19"/>
      <c r="N388" s="19"/>
      <c r="O388" s="59"/>
      <c r="P388" s="7"/>
      <c r="Q388" s="55"/>
      <c r="R388" s="55"/>
      <c r="S388" s="7"/>
      <c r="T388" s="55"/>
      <c r="U388" s="7"/>
      <c r="V388" s="55"/>
      <c r="W388" s="60"/>
      <c r="X388" s="55"/>
    </row>
    <row r="389" spans="1:24" ht="13" x14ac:dyDescent="0.15">
      <c r="A389" s="25" t="str">
        <f ca="1">IFERROR(__xludf.DUMMYFUNCTION("""COMPUTED_VALUE"""),"46600")</f>
        <v>46600</v>
      </c>
      <c r="B389" s="69">
        <f ca="1">IFERROR(__xludf.DUMMYFUNCTION("""COMPUTED_VALUE"""),44635)</f>
        <v>44635</v>
      </c>
      <c r="C389" s="69" t="str">
        <f ca="1">IFERROR(__xludf.DUMMYFUNCTION("""COMPUTED_VALUE"""),"Stock")</f>
        <v>Stock</v>
      </c>
      <c r="D389" s="71" t="str">
        <f ca="1">IFERROR(__xludf.DUMMYFUNCTION("""COMPUTED_VALUE"""),"0700.HK")</f>
        <v>0700.HK</v>
      </c>
      <c r="E389" s="5" t="str">
        <f ca="1">IFERROR(__xludf.DUMMYFUNCTION("""COMPUTED_VALUE"""),"HKD")</f>
        <v>HKD</v>
      </c>
      <c r="F389" s="55">
        <f ca="1">IFERROR(__xludf.DUMMYFUNCTION("""COMPUTED_VALUE"""),200)</f>
        <v>200</v>
      </c>
      <c r="G389" s="56">
        <f ca="1">IFERROR(__xludf.DUMMYFUNCTION("""COMPUTED_VALUE"""),1)</f>
        <v>1</v>
      </c>
      <c r="H389" s="57">
        <f ca="1">IFERROR(__xludf.DUMMYFUNCTION("""COMPUTED_VALUE"""),298)</f>
        <v>298</v>
      </c>
      <c r="I389" s="57">
        <f ca="1">IFERROR(__xludf.DUMMYFUNCTION("""COMPUTED_VALUE"""),389)</f>
        <v>389</v>
      </c>
      <c r="J389" s="70" t="str">
        <f ca="1">IFERROR(__xludf.DUMMYFUNCTION("""COMPUTED_VALUE"""),"Goto link: 0700.HK")</f>
        <v>Goto link: 0700.HK</v>
      </c>
      <c r="K389" s="19"/>
      <c r="L389" s="19"/>
      <c r="M389" s="19"/>
      <c r="N389" s="19"/>
      <c r="O389" s="59"/>
      <c r="P389" s="7"/>
      <c r="Q389" s="55"/>
      <c r="R389" s="55"/>
      <c r="S389" s="7"/>
      <c r="T389" s="55"/>
      <c r="U389" s="7"/>
      <c r="V389" s="55"/>
      <c r="W389" s="60"/>
      <c r="X389" s="55"/>
    </row>
    <row r="390" spans="1:24" ht="13" x14ac:dyDescent="0.15">
      <c r="A390" s="25" t="str">
        <f ca="1">IFERROR(__xludf.DUMMYFUNCTION("""COMPUTED_VALUE"""),"46600")</f>
        <v>46600</v>
      </c>
      <c r="B390" s="69">
        <f ca="1">IFERROR(__xludf.DUMMYFUNCTION("""COMPUTED_VALUE"""),44637)</f>
        <v>44637</v>
      </c>
      <c r="C390" s="69" t="str">
        <f ca="1">IFERROR(__xludf.DUMMYFUNCTION("""COMPUTED_VALUE"""),"Stock")</f>
        <v>Stock</v>
      </c>
      <c r="D390" s="71" t="str">
        <f ca="1">IFERROR(__xludf.DUMMYFUNCTION("""COMPUTED_VALUE"""),"0700.HK")</f>
        <v>0700.HK</v>
      </c>
      <c r="E390" s="5" t="str">
        <f ca="1">IFERROR(__xludf.DUMMYFUNCTION("""COMPUTED_VALUE"""),"HKD")</f>
        <v>HKD</v>
      </c>
      <c r="F390" s="55">
        <f ca="1">IFERROR(__xludf.DUMMYFUNCTION("""COMPUTED_VALUE"""),0)</f>
        <v>0</v>
      </c>
      <c r="G390" s="56">
        <f ca="1">IFERROR(__xludf.DUMMYFUNCTION("""COMPUTED_VALUE"""),1)</f>
        <v>1</v>
      </c>
      <c r="H390" s="57">
        <f ca="1">IFERROR(__xludf.DUMMYFUNCTION("""COMPUTED_VALUE"""),0)</f>
        <v>0</v>
      </c>
      <c r="I390" s="57">
        <f ca="1">IFERROR(__xludf.DUMMYFUNCTION("""COMPUTED_VALUE"""),389)</f>
        <v>389</v>
      </c>
      <c r="J390" s="70" t="str">
        <f ca="1">IFERROR(__xludf.DUMMYFUNCTION("""COMPUTED_VALUE"""),"Goto link: 0700.HK")</f>
        <v>Goto link: 0700.HK</v>
      </c>
      <c r="K390" s="19"/>
      <c r="L390" s="19"/>
      <c r="M390" s="19"/>
      <c r="N390" s="19"/>
      <c r="O390" s="59"/>
      <c r="P390" s="7"/>
      <c r="Q390" s="55"/>
      <c r="R390" s="55"/>
      <c r="S390" s="7"/>
      <c r="T390" s="55"/>
      <c r="U390" s="7"/>
      <c r="V390" s="55"/>
      <c r="W390" s="60"/>
      <c r="X390" s="55"/>
    </row>
    <row r="391" spans="1:24" ht="13" x14ac:dyDescent="0.15">
      <c r="A391" s="25" t="str">
        <f ca="1">IFERROR(__xludf.DUMMYFUNCTION("""COMPUTED_VALUE"""),"46600")</f>
        <v>46600</v>
      </c>
      <c r="B391" s="69">
        <f ca="1">IFERROR(__xludf.DUMMYFUNCTION("""COMPUTED_VALUE"""),44638)</f>
        <v>44638</v>
      </c>
      <c r="C391" s="69" t="str">
        <f ca="1">IFERROR(__xludf.DUMMYFUNCTION("""COMPUTED_VALUE"""),"Stock")</f>
        <v>Stock</v>
      </c>
      <c r="D391" s="71" t="str">
        <f ca="1">IFERROR(__xludf.DUMMYFUNCTION("""COMPUTED_VALUE"""),"0700.HK")</f>
        <v>0700.HK</v>
      </c>
      <c r="E391" s="5" t="str">
        <f ca="1">IFERROR(__xludf.DUMMYFUNCTION("""COMPUTED_VALUE"""),"HKD")</f>
        <v>HKD</v>
      </c>
      <c r="F391" s="55">
        <f ca="1">IFERROR(__xludf.DUMMYFUNCTION("""COMPUTED_VALUE"""),50)</f>
        <v>50</v>
      </c>
      <c r="G391" s="56">
        <f ca="1">IFERROR(__xludf.DUMMYFUNCTION("""COMPUTED_VALUE"""),1)</f>
        <v>1</v>
      </c>
      <c r="H391" s="57">
        <f ca="1">IFERROR(__xludf.DUMMYFUNCTION("""COMPUTED_VALUE"""),381)</f>
        <v>381</v>
      </c>
      <c r="I391" s="57">
        <f ca="1">IFERROR(__xludf.DUMMYFUNCTION("""COMPUTED_VALUE"""),389)</f>
        <v>389</v>
      </c>
      <c r="J391" s="70" t="str">
        <f ca="1">IFERROR(__xludf.DUMMYFUNCTION("""COMPUTED_VALUE"""),"Goto link: 0700.HK")</f>
        <v>Goto link: 0700.HK</v>
      </c>
      <c r="K391" s="19"/>
      <c r="L391" s="19"/>
      <c r="M391" s="19"/>
      <c r="N391" s="19"/>
      <c r="O391" s="59"/>
      <c r="P391" s="7"/>
      <c r="Q391" s="55"/>
      <c r="R391" s="55"/>
      <c r="S391" s="7"/>
      <c r="T391" s="55"/>
      <c r="U391" s="7"/>
      <c r="V391" s="55"/>
      <c r="W391" s="60"/>
      <c r="X391" s="55"/>
    </row>
    <row r="392" spans="1:24" ht="13" x14ac:dyDescent="0.15">
      <c r="A392" s="25" t="str">
        <f ca="1">IFERROR(__xludf.DUMMYFUNCTION("""COMPUTED_VALUE"""),"46600")</f>
        <v>46600</v>
      </c>
      <c r="B392" s="69">
        <f ca="1">IFERROR(__xludf.DUMMYFUNCTION("""COMPUTED_VALUE"""),44638)</f>
        <v>44638</v>
      </c>
      <c r="C392" s="69" t="str">
        <f ca="1">IFERROR(__xludf.DUMMYFUNCTION("""COMPUTED_VALUE"""),"Stock")</f>
        <v>Stock</v>
      </c>
      <c r="D392" s="71" t="str">
        <f ca="1">IFERROR(__xludf.DUMMYFUNCTION("""COMPUTED_VALUE"""),"9988.HK")</f>
        <v>9988.HK</v>
      </c>
      <c r="E392" s="5" t="str">
        <f ca="1">IFERROR(__xludf.DUMMYFUNCTION("""COMPUTED_VALUE"""),"HKD")</f>
        <v>HKD</v>
      </c>
      <c r="F392" s="55">
        <f ca="1">IFERROR(__xludf.DUMMYFUNCTION("""COMPUTED_VALUE"""),30)</f>
        <v>30</v>
      </c>
      <c r="G392" s="56">
        <f ca="1">IFERROR(__xludf.DUMMYFUNCTION("""COMPUTED_VALUE"""),1)</f>
        <v>1</v>
      </c>
      <c r="H392" s="57">
        <f ca="1">IFERROR(__xludf.DUMMYFUNCTION("""COMPUTED_VALUE"""),98.35)</f>
        <v>98.35</v>
      </c>
      <c r="I392" s="57">
        <f ca="1">IFERROR(__xludf.DUMMYFUNCTION("""COMPUTED_VALUE"""),117.6)</f>
        <v>117.6</v>
      </c>
      <c r="J392" s="70" t="str">
        <f ca="1">IFERROR(__xludf.DUMMYFUNCTION("""COMPUTED_VALUE"""),"Goto link: 9988.HK")</f>
        <v>Goto link: 9988.HK</v>
      </c>
      <c r="K392" s="19"/>
      <c r="L392" s="19"/>
      <c r="M392" s="19"/>
      <c r="N392" s="19"/>
      <c r="O392" s="59"/>
      <c r="P392" s="7"/>
      <c r="Q392" s="55"/>
      <c r="R392" s="55"/>
      <c r="S392" s="7"/>
      <c r="T392" s="55"/>
      <c r="U392" s="7"/>
      <c r="V392" s="55"/>
      <c r="W392" s="60"/>
      <c r="X392" s="55"/>
    </row>
    <row r="393" spans="1:24" ht="13" x14ac:dyDescent="0.15">
      <c r="A393" s="25" t="str">
        <f ca="1">IFERROR(__xludf.DUMMYFUNCTION("""COMPUTED_VALUE"""),"46600")</f>
        <v>46600</v>
      </c>
      <c r="B393" s="69">
        <f ca="1">IFERROR(__xludf.DUMMYFUNCTION("""COMPUTED_VALUE"""),44641)</f>
        <v>44641</v>
      </c>
      <c r="C393" s="69" t="str">
        <f ca="1">IFERROR(__xludf.DUMMYFUNCTION("""COMPUTED_VALUE"""),"Stock")</f>
        <v>Stock</v>
      </c>
      <c r="D393" s="71" t="str">
        <f ca="1">IFERROR(__xludf.DUMMYFUNCTION("""COMPUTED_VALUE"""),"9988.HK")</f>
        <v>9988.HK</v>
      </c>
      <c r="E393" s="5" t="str">
        <f ca="1">IFERROR(__xludf.DUMMYFUNCTION("""COMPUTED_VALUE"""),"HKD")</f>
        <v>HKD</v>
      </c>
      <c r="F393" s="55">
        <f ca="1">IFERROR(__xludf.DUMMYFUNCTION("""COMPUTED_VALUE"""),100)</f>
        <v>100</v>
      </c>
      <c r="G393" s="56">
        <f ca="1">IFERROR(__xludf.DUMMYFUNCTION("""COMPUTED_VALUE"""),1)</f>
        <v>1</v>
      </c>
      <c r="H393" s="57">
        <f ca="1">IFERROR(__xludf.DUMMYFUNCTION("""COMPUTED_VALUE"""),99.1)</f>
        <v>99.1</v>
      </c>
      <c r="I393" s="57">
        <f ca="1">IFERROR(__xludf.DUMMYFUNCTION("""COMPUTED_VALUE"""),117.6)</f>
        <v>117.6</v>
      </c>
      <c r="J393" s="70" t="str">
        <f ca="1">IFERROR(__xludf.DUMMYFUNCTION("""COMPUTED_VALUE"""),"Goto link: 9988.HK")</f>
        <v>Goto link: 9988.HK</v>
      </c>
      <c r="K393" s="19"/>
      <c r="L393" s="19"/>
      <c r="M393" s="19"/>
      <c r="N393" s="19"/>
      <c r="O393" s="59"/>
      <c r="P393" s="7"/>
      <c r="Q393" s="55"/>
      <c r="R393" s="55"/>
      <c r="S393" s="7"/>
      <c r="T393" s="55"/>
      <c r="U393" s="7"/>
      <c r="V393" s="55"/>
      <c r="W393" s="60"/>
      <c r="X393" s="55"/>
    </row>
    <row r="394" spans="1:24" ht="13" x14ac:dyDescent="0.15">
      <c r="A394" s="25" t="str">
        <f ca="1">IFERROR(__xludf.DUMMYFUNCTION("""COMPUTED_VALUE"""),"46600 Total")</f>
        <v>46600 Total</v>
      </c>
      <c r="B394" s="5"/>
      <c r="C394" s="69"/>
      <c r="D394" s="5"/>
      <c r="E394" s="5"/>
      <c r="F394" s="55"/>
      <c r="G394" s="56">
        <f ca="1">IFERROR(__xludf.DUMMYFUNCTION("""COMPUTED_VALUE"""),1)</f>
        <v>1</v>
      </c>
      <c r="H394" s="57">
        <f ca="1">IFERROR(__xludf.DUMMYFUNCTION("""COMPUTED_VALUE"""),381)</f>
        <v>381</v>
      </c>
      <c r="I394" s="57" t="str">
        <f ca="1">IFERROR(__xludf.DUMMYFUNCTION("""COMPUTED_VALUE"""),"")</f>
        <v/>
      </c>
      <c r="J394" s="19" t="str">
        <f ca="1">IFERROR(__xludf.DUMMYFUNCTION("""COMPUTED_VALUE"""),"")</f>
        <v/>
      </c>
      <c r="K394" s="19"/>
      <c r="L394" s="19"/>
      <c r="M394" s="19"/>
      <c r="N394" s="19"/>
      <c r="O394" s="59"/>
      <c r="P394" s="7"/>
      <c r="Q394" s="55"/>
      <c r="R394" s="55"/>
      <c r="S394" s="7"/>
      <c r="T394" s="55"/>
      <c r="U394" s="7"/>
      <c r="V394" s="55"/>
      <c r="W394" s="60"/>
      <c r="X394" s="55"/>
    </row>
    <row r="395" spans="1:24" ht="13" x14ac:dyDescent="0.15">
      <c r="A395" s="25" t="str">
        <f ca="1">IFERROR(__xludf.DUMMYFUNCTION("""COMPUTED_VALUE"""),"46699")</f>
        <v>46699</v>
      </c>
      <c r="B395" s="69">
        <f ca="1">IFERROR(__xludf.DUMMYFUNCTION("""COMPUTED_VALUE"""),44597)</f>
        <v>44597</v>
      </c>
      <c r="C395" s="69" t="str">
        <f ca="1">IFERROR(__xludf.DUMMYFUNCTION("""COMPUTED_VALUE"""),"Cash")</f>
        <v>Cash</v>
      </c>
      <c r="D395" s="5" t="str">
        <f ca="1">IFERROR(__xludf.DUMMYFUNCTION("""COMPUTED_VALUE"""),"Cash")</f>
        <v>Cash</v>
      </c>
      <c r="E395" s="5" t="str">
        <f ca="1">IFERROR(__xludf.DUMMYFUNCTION("""COMPUTED_VALUE"""),"HKD")</f>
        <v>HKD</v>
      </c>
      <c r="F395" s="55" t="str">
        <f ca="1">IFERROR(__xludf.DUMMYFUNCTION("""COMPUTED_VALUE"""),"")</f>
        <v/>
      </c>
      <c r="G395" s="56">
        <f ca="1">IFERROR(__xludf.DUMMYFUNCTION("""COMPUTED_VALUE"""),1)</f>
        <v>1</v>
      </c>
      <c r="H395" s="57">
        <f ca="1">IFERROR(__xludf.DUMMYFUNCTION("""COMPUTED_VALUE"""),1)</f>
        <v>1</v>
      </c>
      <c r="I395" s="57">
        <f ca="1">IFERROR(__xludf.DUMMYFUNCTION("""COMPUTED_VALUE"""),1)</f>
        <v>1</v>
      </c>
      <c r="J395" s="19" t="str">
        <f ca="1">IFERROR(__xludf.DUMMYFUNCTION("""COMPUTED_VALUE"""),"")</f>
        <v/>
      </c>
      <c r="K395" s="19"/>
      <c r="L395" s="19"/>
      <c r="M395" s="19"/>
      <c r="N395" s="19"/>
      <c r="O395" s="59"/>
      <c r="P395" s="7"/>
      <c r="Q395" s="55"/>
      <c r="R395" s="55"/>
      <c r="S395" s="7"/>
      <c r="T395" s="55"/>
      <c r="U395" s="7"/>
      <c r="V395" s="55"/>
      <c r="W395" s="60"/>
      <c r="X395" s="55"/>
    </row>
    <row r="396" spans="1:24" ht="13" x14ac:dyDescent="0.15">
      <c r="A396" s="25" t="str">
        <f ca="1">IFERROR(__xludf.DUMMYFUNCTION("""COMPUTED_VALUE"""),"46699")</f>
        <v>46699</v>
      </c>
      <c r="B396" s="69">
        <f ca="1">IFERROR(__xludf.DUMMYFUNCTION("""COMPUTED_VALUE"""),44600)</f>
        <v>44600</v>
      </c>
      <c r="C396" s="69" t="str">
        <f ca="1">IFERROR(__xludf.DUMMYFUNCTION("""COMPUTED_VALUE"""),"Stock")</f>
        <v>Stock</v>
      </c>
      <c r="D396" s="5" t="str">
        <f ca="1">IFERROR(__xludf.DUMMYFUNCTION("""COMPUTED_VALUE"""),"AAPL")</f>
        <v>AAPL</v>
      </c>
      <c r="E396" s="5" t="str">
        <f ca="1">IFERROR(__xludf.DUMMYFUNCTION("""COMPUTED_VALUE"""),"USD")</f>
        <v>USD</v>
      </c>
      <c r="F396" s="55">
        <f ca="1">IFERROR(__xludf.DUMMYFUNCTION("""COMPUTED_VALUE"""),20)</f>
        <v>20</v>
      </c>
      <c r="G396" s="56">
        <f ca="1">IFERROR(__xludf.DUMMYFUNCTION("""COMPUTED_VALUE"""),7.81208372093023)</f>
        <v>7.8120837209302296</v>
      </c>
      <c r="H396" s="57">
        <f ca="1">IFERROR(__xludf.DUMMYFUNCTION("""COMPUTED_VALUE"""),174.83)</f>
        <v>174.83</v>
      </c>
      <c r="I396" s="57">
        <f ca="1">IFERROR(__xludf.DUMMYFUNCTION("""COMPUTED_VALUE"""),170.21)</f>
        <v>170.21</v>
      </c>
      <c r="J396" s="70" t="str">
        <f ca="1">IFERROR(__xludf.DUMMYFUNCTION("""COMPUTED_VALUE"""),"Goto link: AAPL")</f>
        <v>Goto link: AAPL</v>
      </c>
      <c r="K396" s="19"/>
      <c r="L396" s="19"/>
      <c r="M396" s="19"/>
      <c r="N396" s="19"/>
      <c r="O396" s="59"/>
      <c r="P396" s="7"/>
      <c r="Q396" s="55"/>
      <c r="R396" s="55"/>
      <c r="S396" s="7"/>
      <c r="T396" s="55"/>
      <c r="U396" s="7"/>
      <c r="V396" s="55"/>
      <c r="W396" s="60"/>
      <c r="X396" s="55"/>
    </row>
    <row r="397" spans="1:24" ht="13" x14ac:dyDescent="0.15">
      <c r="A397" s="25" t="str">
        <f ca="1">IFERROR(__xludf.DUMMYFUNCTION("""COMPUTED_VALUE"""),"46699")</f>
        <v>46699</v>
      </c>
      <c r="B397" s="69">
        <f ca="1">IFERROR(__xludf.DUMMYFUNCTION("""COMPUTED_VALUE"""),44603)</f>
        <v>44603</v>
      </c>
      <c r="C397" s="69" t="str">
        <f ca="1">IFERROR(__xludf.DUMMYFUNCTION("""COMPUTED_VALUE"""),"Stock")</f>
        <v>Stock</v>
      </c>
      <c r="D397" s="5" t="str">
        <f ca="1">IFERROR(__xludf.DUMMYFUNCTION("""COMPUTED_VALUE"""),"NFLX")</f>
        <v>NFLX</v>
      </c>
      <c r="E397" s="5" t="str">
        <f ca="1">IFERROR(__xludf.DUMMYFUNCTION("""COMPUTED_VALUE"""),"USD")</f>
        <v>USD</v>
      </c>
      <c r="F397" s="55">
        <f ca="1">IFERROR(__xludf.DUMMYFUNCTION("""COMPUTED_VALUE"""),20)</f>
        <v>20</v>
      </c>
      <c r="G397" s="56">
        <f ca="1">IFERROR(__xludf.DUMMYFUNCTION("""COMPUTED_VALUE"""),7.81344825)</f>
        <v>7.8134482500000004</v>
      </c>
      <c r="H397" s="57">
        <f ca="1">IFERROR(__xludf.DUMMYFUNCTION("""COMPUTED_VALUE"""),391.31)</f>
        <v>391.31</v>
      </c>
      <c r="I397" s="57">
        <f ca="1">IFERROR(__xludf.DUMMYFUNCTION("""COMPUTED_VALUE"""),374.49)</f>
        <v>374.49</v>
      </c>
      <c r="J397" s="70" t="str">
        <f ca="1">IFERROR(__xludf.DUMMYFUNCTION("""COMPUTED_VALUE"""),"Goto link: NFLX")</f>
        <v>Goto link: NFLX</v>
      </c>
      <c r="K397" s="19"/>
      <c r="L397" s="19"/>
      <c r="M397" s="19"/>
      <c r="N397" s="19"/>
      <c r="O397" s="59"/>
      <c r="P397" s="7"/>
      <c r="Q397" s="55"/>
      <c r="R397" s="55"/>
      <c r="S397" s="7"/>
      <c r="T397" s="55"/>
      <c r="U397" s="7"/>
      <c r="V397" s="55"/>
      <c r="W397" s="60"/>
      <c r="X397" s="55"/>
    </row>
    <row r="398" spans="1:24" ht="13" x14ac:dyDescent="0.15">
      <c r="A398" s="25" t="str">
        <f ca="1">IFERROR(__xludf.DUMMYFUNCTION("""COMPUTED_VALUE"""),"46699 Total")</f>
        <v>46699 Total</v>
      </c>
      <c r="B398" s="5"/>
      <c r="C398" s="69"/>
      <c r="D398" s="5"/>
      <c r="E398" s="5"/>
      <c r="F398" s="55"/>
      <c r="G398" s="56">
        <f ca="1">IFERROR(__xludf.DUMMYFUNCTION("""COMPUTED_VALUE"""),5.38339170542636)</f>
        <v>5.3833917054263596</v>
      </c>
      <c r="H398" s="57">
        <f ca="1">IFERROR(__xludf.DUMMYFUNCTION("""COMPUTED_VALUE"""),391.31)</f>
        <v>391.31</v>
      </c>
      <c r="I398" s="57" t="str">
        <f ca="1">IFERROR(__xludf.DUMMYFUNCTION("""COMPUTED_VALUE"""),"")</f>
        <v/>
      </c>
      <c r="J398" s="19" t="str">
        <f ca="1">IFERROR(__xludf.DUMMYFUNCTION("""COMPUTED_VALUE"""),"")</f>
        <v/>
      </c>
      <c r="K398" s="19"/>
      <c r="L398" s="19"/>
      <c r="M398" s="19"/>
      <c r="N398" s="19"/>
      <c r="O398" s="59"/>
      <c r="P398" s="7"/>
      <c r="Q398" s="55"/>
      <c r="R398" s="55"/>
      <c r="S398" s="7"/>
      <c r="T398" s="55"/>
      <c r="U398" s="7"/>
      <c r="V398" s="55"/>
      <c r="W398" s="60"/>
      <c r="X398" s="55"/>
    </row>
    <row r="399" spans="1:24" ht="13" x14ac:dyDescent="0.15">
      <c r="A399" s="25" t="str">
        <f ca="1">IFERROR(__xludf.DUMMYFUNCTION("""COMPUTED_VALUE"""),"46763")</f>
        <v>46763</v>
      </c>
      <c r="B399" s="69">
        <f ca="1">IFERROR(__xludf.DUMMYFUNCTION("""COMPUTED_VALUE"""),44597)</f>
        <v>44597</v>
      </c>
      <c r="C399" s="69" t="str">
        <f ca="1">IFERROR(__xludf.DUMMYFUNCTION("""COMPUTED_VALUE"""),"Cash")</f>
        <v>Cash</v>
      </c>
      <c r="D399" s="5" t="str">
        <f ca="1">IFERROR(__xludf.DUMMYFUNCTION("""COMPUTED_VALUE"""),"Cash")</f>
        <v>Cash</v>
      </c>
      <c r="E399" s="5" t="str">
        <f ca="1">IFERROR(__xludf.DUMMYFUNCTION("""COMPUTED_VALUE"""),"HKD")</f>
        <v>HKD</v>
      </c>
      <c r="F399" s="55" t="str">
        <f ca="1">IFERROR(__xludf.DUMMYFUNCTION("""COMPUTED_VALUE"""),"")</f>
        <v/>
      </c>
      <c r="G399" s="56">
        <f ca="1">IFERROR(__xludf.DUMMYFUNCTION("""COMPUTED_VALUE"""),1)</f>
        <v>1</v>
      </c>
      <c r="H399" s="57">
        <f ca="1">IFERROR(__xludf.DUMMYFUNCTION("""COMPUTED_VALUE"""),1)</f>
        <v>1</v>
      </c>
      <c r="I399" s="57">
        <f ca="1">IFERROR(__xludf.DUMMYFUNCTION("""COMPUTED_VALUE"""),1)</f>
        <v>1</v>
      </c>
      <c r="J399" s="19" t="str">
        <f ca="1">IFERROR(__xludf.DUMMYFUNCTION("""COMPUTED_VALUE"""),"")</f>
        <v/>
      </c>
      <c r="K399" s="19"/>
      <c r="L399" s="19"/>
      <c r="M399" s="19"/>
      <c r="N399" s="19"/>
      <c r="O399" s="59"/>
      <c r="P399" s="7"/>
      <c r="Q399" s="55"/>
      <c r="R399" s="55"/>
      <c r="S399" s="7"/>
      <c r="T399" s="55"/>
      <c r="U399" s="7"/>
      <c r="V399" s="55"/>
      <c r="W399" s="60"/>
      <c r="X399" s="55"/>
    </row>
    <row r="400" spans="1:24" ht="13" x14ac:dyDescent="0.15">
      <c r="A400" s="25" t="str">
        <f ca="1">IFERROR(__xludf.DUMMYFUNCTION("""COMPUTED_VALUE"""),"46763")</f>
        <v>46763</v>
      </c>
      <c r="B400" s="69">
        <f ca="1">IFERROR(__xludf.DUMMYFUNCTION("""COMPUTED_VALUE"""),44627)</f>
        <v>44627</v>
      </c>
      <c r="C400" s="69" t="str">
        <f ca="1">IFERROR(__xludf.DUMMYFUNCTION("""COMPUTED_VALUE"""),"Stock")</f>
        <v>Stock</v>
      </c>
      <c r="D400" s="71" t="str">
        <f ca="1">IFERROR(__xludf.DUMMYFUNCTION("""COMPUTED_VALUE"""),"0001.HK")</f>
        <v>0001.HK</v>
      </c>
      <c r="E400" s="5" t="str">
        <f ca="1">IFERROR(__xludf.DUMMYFUNCTION("""COMPUTED_VALUE"""),"HKD")</f>
        <v>HKD</v>
      </c>
      <c r="F400" s="55">
        <f ca="1">IFERROR(__xludf.DUMMYFUNCTION("""COMPUTED_VALUE"""),1500)</f>
        <v>1500</v>
      </c>
      <c r="G400" s="56">
        <f ca="1">IFERROR(__xludf.DUMMYFUNCTION("""COMPUTED_VALUE"""),1)</f>
        <v>1</v>
      </c>
      <c r="H400" s="57">
        <f ca="1">IFERROR(__xludf.DUMMYFUNCTION("""COMPUTED_VALUE"""),52.5)</f>
        <v>52.5</v>
      </c>
      <c r="I400" s="57">
        <f ca="1">IFERROR(__xludf.DUMMYFUNCTION("""COMPUTED_VALUE"""),57.75)</f>
        <v>57.75</v>
      </c>
      <c r="J400" s="70" t="str">
        <f ca="1">IFERROR(__xludf.DUMMYFUNCTION("""COMPUTED_VALUE"""),"Goto link: 0001.HK")</f>
        <v>Goto link: 0001.HK</v>
      </c>
      <c r="K400" s="19"/>
      <c r="L400" s="19"/>
      <c r="M400" s="19"/>
      <c r="N400" s="19"/>
      <c r="O400" s="59"/>
      <c r="P400" s="7"/>
      <c r="Q400" s="55"/>
      <c r="R400" s="55"/>
      <c r="S400" s="7"/>
      <c r="T400" s="55"/>
      <c r="U400" s="7"/>
      <c r="V400" s="55"/>
      <c r="W400" s="60"/>
      <c r="X400" s="55"/>
    </row>
    <row r="401" spans="1:24" ht="13" x14ac:dyDescent="0.15">
      <c r="A401" s="25" t="str">
        <f ca="1">IFERROR(__xludf.DUMMYFUNCTION("""COMPUTED_VALUE"""),"46763")</f>
        <v>46763</v>
      </c>
      <c r="B401" s="69">
        <f ca="1">IFERROR(__xludf.DUMMYFUNCTION("""COMPUTED_VALUE"""),44627)</f>
        <v>44627</v>
      </c>
      <c r="C401" s="69" t="str">
        <f ca="1">IFERROR(__xludf.DUMMYFUNCTION("""COMPUTED_VALUE"""),"Stock")</f>
        <v>Stock</v>
      </c>
      <c r="D401" s="71" t="str">
        <f ca="1">IFERROR(__xludf.DUMMYFUNCTION("""COMPUTED_VALUE"""),"0151.HK")</f>
        <v>0151.HK</v>
      </c>
      <c r="E401" s="5" t="str">
        <f ca="1">IFERROR(__xludf.DUMMYFUNCTION("""COMPUTED_VALUE"""),"HKD")</f>
        <v>HKD</v>
      </c>
      <c r="F401" s="55">
        <f ca="1">IFERROR(__xludf.DUMMYFUNCTION("""COMPUTED_VALUE"""),10000)</f>
        <v>10000</v>
      </c>
      <c r="G401" s="56">
        <f ca="1">IFERROR(__xludf.DUMMYFUNCTION("""COMPUTED_VALUE"""),1)</f>
        <v>1</v>
      </c>
      <c r="H401" s="57">
        <f ca="1">IFERROR(__xludf.DUMMYFUNCTION("""COMPUTED_VALUE"""),7.95)</f>
        <v>7.95</v>
      </c>
      <c r="I401" s="57">
        <f ca="1">IFERROR(__xludf.DUMMYFUNCTION("""COMPUTED_VALUE"""),7.14)</f>
        <v>7.14</v>
      </c>
      <c r="J401" s="70" t="str">
        <f ca="1">IFERROR(__xludf.DUMMYFUNCTION("""COMPUTED_VALUE"""),"Goto link: 0151.HK")</f>
        <v>Goto link: 0151.HK</v>
      </c>
      <c r="K401" s="19"/>
      <c r="L401" s="19"/>
      <c r="M401" s="19"/>
      <c r="N401" s="19"/>
      <c r="O401" s="59"/>
      <c r="P401" s="7"/>
      <c r="Q401" s="55"/>
      <c r="R401" s="55"/>
      <c r="S401" s="7"/>
      <c r="T401" s="55"/>
      <c r="U401" s="7"/>
      <c r="V401" s="55"/>
      <c r="W401" s="60"/>
      <c r="X401" s="55"/>
    </row>
    <row r="402" spans="1:24" ht="13" x14ac:dyDescent="0.15">
      <c r="A402" s="25" t="str">
        <f ca="1">IFERROR(__xludf.DUMMYFUNCTION("""COMPUTED_VALUE"""),"46763")</f>
        <v>46763</v>
      </c>
      <c r="B402" s="69">
        <f ca="1">IFERROR(__xludf.DUMMYFUNCTION("""COMPUTED_VALUE"""),44628)</f>
        <v>44628</v>
      </c>
      <c r="C402" s="69" t="str">
        <f ca="1">IFERROR(__xludf.DUMMYFUNCTION("""COMPUTED_VALUE"""),"Stock")</f>
        <v>Stock</v>
      </c>
      <c r="D402" s="71" t="str">
        <f ca="1">IFERROR(__xludf.DUMMYFUNCTION("""COMPUTED_VALUE"""),"0151.HK")</f>
        <v>0151.HK</v>
      </c>
      <c r="E402" s="5" t="str">
        <f ca="1">IFERROR(__xludf.DUMMYFUNCTION("""COMPUTED_VALUE"""),"HKD")</f>
        <v>HKD</v>
      </c>
      <c r="F402" s="55">
        <f ca="1">IFERROR(__xludf.DUMMYFUNCTION("""COMPUTED_VALUE"""),-10000)</f>
        <v>-10000</v>
      </c>
      <c r="G402" s="56">
        <f ca="1">IFERROR(__xludf.DUMMYFUNCTION("""COMPUTED_VALUE"""),1)</f>
        <v>1</v>
      </c>
      <c r="H402" s="57">
        <f ca="1">IFERROR(__xludf.DUMMYFUNCTION("""COMPUTED_VALUE"""),7.95)</f>
        <v>7.95</v>
      </c>
      <c r="I402" s="57">
        <f ca="1">IFERROR(__xludf.DUMMYFUNCTION("""COMPUTED_VALUE"""),7.14)</f>
        <v>7.14</v>
      </c>
      <c r="J402" s="70" t="str">
        <f ca="1">IFERROR(__xludf.DUMMYFUNCTION("""COMPUTED_VALUE"""),"Goto link: 0151.HK")</f>
        <v>Goto link: 0151.HK</v>
      </c>
      <c r="K402" s="19"/>
      <c r="L402" s="19"/>
      <c r="M402" s="19"/>
      <c r="N402" s="19"/>
      <c r="O402" s="59"/>
      <c r="P402" s="7"/>
      <c r="Q402" s="55"/>
      <c r="R402" s="55"/>
      <c r="S402" s="7"/>
      <c r="T402" s="55"/>
      <c r="U402" s="7"/>
      <c r="V402" s="55"/>
      <c r="W402" s="60"/>
      <c r="X402" s="55"/>
    </row>
    <row r="403" spans="1:24" ht="13" x14ac:dyDescent="0.15">
      <c r="A403" s="25" t="str">
        <f ca="1">IFERROR(__xludf.DUMMYFUNCTION("""COMPUTED_VALUE"""),"46763")</f>
        <v>46763</v>
      </c>
      <c r="B403" s="69">
        <f ca="1">IFERROR(__xludf.DUMMYFUNCTION("""COMPUTED_VALUE"""),44634)</f>
        <v>44634</v>
      </c>
      <c r="C403" s="69" t="str">
        <f ca="1">IFERROR(__xludf.DUMMYFUNCTION("""COMPUTED_VALUE"""),"Stock")</f>
        <v>Stock</v>
      </c>
      <c r="D403" s="71" t="str">
        <f ca="1">IFERROR(__xludf.DUMMYFUNCTION("""COMPUTED_VALUE"""),"0151.HK")</f>
        <v>0151.HK</v>
      </c>
      <c r="E403" s="5" t="str">
        <f ca="1">IFERROR(__xludf.DUMMYFUNCTION("""COMPUTED_VALUE"""),"HKD")</f>
        <v>HKD</v>
      </c>
      <c r="F403" s="55">
        <f ca="1">IFERROR(__xludf.DUMMYFUNCTION("""COMPUTED_VALUE"""),10000)</f>
        <v>10000</v>
      </c>
      <c r="G403" s="56">
        <f ca="1">IFERROR(__xludf.DUMMYFUNCTION("""COMPUTED_VALUE"""),1)</f>
        <v>1</v>
      </c>
      <c r="H403" s="57">
        <f ca="1">IFERROR(__xludf.DUMMYFUNCTION("""COMPUTED_VALUE"""),7.78)</f>
        <v>7.78</v>
      </c>
      <c r="I403" s="57">
        <f ca="1">IFERROR(__xludf.DUMMYFUNCTION("""COMPUTED_VALUE"""),7.14)</f>
        <v>7.14</v>
      </c>
      <c r="J403" s="70" t="str">
        <f ca="1">IFERROR(__xludf.DUMMYFUNCTION("""COMPUTED_VALUE"""),"Goto link: 0151.HK")</f>
        <v>Goto link: 0151.HK</v>
      </c>
      <c r="K403" s="19"/>
      <c r="L403" s="19"/>
      <c r="M403" s="19"/>
      <c r="N403" s="19"/>
      <c r="O403" s="59"/>
      <c r="P403" s="7"/>
      <c r="Q403" s="55"/>
      <c r="R403" s="55"/>
      <c r="S403" s="7"/>
      <c r="T403" s="55"/>
      <c r="U403" s="7"/>
      <c r="V403" s="55"/>
      <c r="W403" s="60"/>
      <c r="X403" s="55"/>
    </row>
    <row r="404" spans="1:24" ht="13" x14ac:dyDescent="0.15">
      <c r="A404" s="25" t="str">
        <f ca="1">IFERROR(__xludf.DUMMYFUNCTION("""COMPUTED_VALUE"""),"46763 Total")</f>
        <v>46763 Total</v>
      </c>
      <c r="B404" s="5"/>
      <c r="C404" s="69"/>
      <c r="D404" s="5"/>
      <c r="E404" s="5"/>
      <c r="F404" s="55"/>
      <c r="G404" s="56">
        <f ca="1">IFERROR(__xludf.DUMMYFUNCTION("""COMPUTED_VALUE"""),1)</f>
        <v>1</v>
      </c>
      <c r="H404" s="57">
        <f ca="1">IFERROR(__xludf.DUMMYFUNCTION("""COMPUTED_VALUE"""),52.5)</f>
        <v>52.5</v>
      </c>
      <c r="I404" s="57" t="str">
        <f ca="1">IFERROR(__xludf.DUMMYFUNCTION("""COMPUTED_VALUE"""),"")</f>
        <v/>
      </c>
      <c r="J404" s="19" t="str">
        <f ca="1">IFERROR(__xludf.DUMMYFUNCTION("""COMPUTED_VALUE"""),"")</f>
        <v/>
      </c>
      <c r="K404" s="19"/>
      <c r="L404" s="19"/>
      <c r="M404" s="19"/>
      <c r="N404" s="19"/>
      <c r="O404" s="59"/>
      <c r="P404" s="7"/>
      <c r="Q404" s="55"/>
      <c r="R404" s="55"/>
      <c r="S404" s="7"/>
      <c r="T404" s="55"/>
      <c r="U404" s="7"/>
      <c r="V404" s="55"/>
      <c r="W404" s="60"/>
      <c r="X404" s="55"/>
    </row>
    <row r="405" spans="1:24" ht="13" x14ac:dyDescent="0.15">
      <c r="A405" s="25" t="str">
        <f ca="1">IFERROR(__xludf.DUMMYFUNCTION("""COMPUTED_VALUE"""),"46876")</f>
        <v>46876</v>
      </c>
      <c r="B405" s="69">
        <f ca="1">IFERROR(__xludf.DUMMYFUNCTION("""COMPUTED_VALUE"""),44597)</f>
        <v>44597</v>
      </c>
      <c r="C405" s="69" t="str">
        <f ca="1">IFERROR(__xludf.DUMMYFUNCTION("""COMPUTED_VALUE"""),"Cash")</f>
        <v>Cash</v>
      </c>
      <c r="D405" s="5" t="str">
        <f ca="1">IFERROR(__xludf.DUMMYFUNCTION("""COMPUTED_VALUE"""),"Cash")</f>
        <v>Cash</v>
      </c>
      <c r="E405" s="5" t="str">
        <f ca="1">IFERROR(__xludf.DUMMYFUNCTION("""COMPUTED_VALUE"""),"HKD")</f>
        <v>HKD</v>
      </c>
      <c r="F405" s="55" t="str">
        <f ca="1">IFERROR(__xludf.DUMMYFUNCTION("""COMPUTED_VALUE"""),"")</f>
        <v/>
      </c>
      <c r="G405" s="56">
        <f ca="1">IFERROR(__xludf.DUMMYFUNCTION("""COMPUTED_VALUE"""),1)</f>
        <v>1</v>
      </c>
      <c r="H405" s="57">
        <f ca="1">IFERROR(__xludf.DUMMYFUNCTION("""COMPUTED_VALUE"""),1)</f>
        <v>1</v>
      </c>
      <c r="I405" s="57">
        <f ca="1">IFERROR(__xludf.DUMMYFUNCTION("""COMPUTED_VALUE"""),1)</f>
        <v>1</v>
      </c>
      <c r="J405" s="19" t="str">
        <f ca="1">IFERROR(__xludf.DUMMYFUNCTION("""COMPUTED_VALUE"""),"")</f>
        <v/>
      </c>
      <c r="K405" s="19"/>
      <c r="L405" s="19"/>
      <c r="M405" s="19"/>
      <c r="N405" s="19"/>
      <c r="O405" s="59"/>
      <c r="P405" s="7"/>
      <c r="Q405" s="55"/>
      <c r="R405" s="55"/>
      <c r="S405" s="7"/>
      <c r="T405" s="55"/>
      <c r="U405" s="7"/>
      <c r="V405" s="55"/>
      <c r="W405" s="60"/>
      <c r="X405" s="55"/>
    </row>
    <row r="406" spans="1:24" ht="13" x14ac:dyDescent="0.15">
      <c r="A406" s="25" t="str">
        <f ca="1">IFERROR(__xludf.DUMMYFUNCTION("""COMPUTED_VALUE"""),"46876")</f>
        <v>46876</v>
      </c>
      <c r="B406" s="69">
        <f ca="1">IFERROR(__xludf.DUMMYFUNCTION("""COMPUTED_VALUE"""),44628)</f>
        <v>44628</v>
      </c>
      <c r="C406" s="69" t="str">
        <f ca="1">IFERROR(__xludf.DUMMYFUNCTION("""COMPUTED_VALUE"""),"Stock")</f>
        <v>Stock</v>
      </c>
      <c r="D406" s="5" t="str">
        <f ca="1">IFERROR(__xludf.DUMMYFUNCTION("""COMPUTED_VALUE"""),"FSR")</f>
        <v>FSR</v>
      </c>
      <c r="E406" s="5" t="str">
        <f ca="1">IFERROR(__xludf.DUMMYFUNCTION("""COMPUTED_VALUE"""),"USD")</f>
        <v>USD</v>
      </c>
      <c r="F406" s="55">
        <f ca="1">IFERROR(__xludf.DUMMYFUNCTION("""COMPUTED_VALUE"""),0)</f>
        <v>0</v>
      </c>
      <c r="G406" s="56">
        <f ca="1">IFERROR(__xludf.DUMMYFUNCTION("""COMPUTED_VALUE"""),7.82455)</f>
        <v>7.8245500000000003</v>
      </c>
      <c r="H406" s="57">
        <f ca="1">IFERROR(__xludf.DUMMYFUNCTION("""COMPUTED_VALUE"""),0)</f>
        <v>0</v>
      </c>
      <c r="I406" s="57">
        <f ca="1">IFERROR(__xludf.DUMMYFUNCTION("""COMPUTED_VALUE"""),12.19)</f>
        <v>12.19</v>
      </c>
      <c r="J406" s="70" t="str">
        <f ca="1">IFERROR(__xludf.DUMMYFUNCTION("""COMPUTED_VALUE"""),"Goto link: FSR")</f>
        <v>Goto link: FSR</v>
      </c>
      <c r="K406" s="19"/>
      <c r="L406" s="19"/>
      <c r="M406" s="19"/>
      <c r="N406" s="19"/>
      <c r="O406" s="59"/>
      <c r="P406" s="7"/>
      <c r="Q406" s="55"/>
      <c r="R406" s="55"/>
      <c r="S406" s="7"/>
      <c r="T406" s="55"/>
      <c r="U406" s="7"/>
      <c r="V406" s="55"/>
      <c r="W406" s="60"/>
      <c r="X406" s="55"/>
    </row>
    <row r="407" spans="1:24" ht="13" x14ac:dyDescent="0.15">
      <c r="A407" s="25" t="str">
        <f ca="1">IFERROR(__xludf.DUMMYFUNCTION("""COMPUTED_VALUE"""),"46876")</f>
        <v>46876</v>
      </c>
      <c r="B407" s="69">
        <f ca="1">IFERROR(__xludf.DUMMYFUNCTION("""COMPUTED_VALUE"""),44634)</f>
        <v>44634</v>
      </c>
      <c r="C407" s="69" t="str">
        <f ca="1">IFERROR(__xludf.DUMMYFUNCTION("""COMPUTED_VALUE"""),"Stock")</f>
        <v>Stock</v>
      </c>
      <c r="D407" s="71" t="str">
        <f ca="1">IFERROR(__xludf.DUMMYFUNCTION("""COMPUTED_VALUE"""),"1898.HK")</f>
        <v>1898.HK</v>
      </c>
      <c r="E407" s="5" t="str">
        <f ca="1">IFERROR(__xludf.DUMMYFUNCTION("""COMPUTED_VALUE"""),"HKD")</f>
        <v>HKD</v>
      </c>
      <c r="F407" s="55">
        <f ca="1">IFERROR(__xludf.DUMMYFUNCTION("""COMPUTED_VALUE"""),55000)</f>
        <v>55000</v>
      </c>
      <c r="G407" s="56">
        <f ca="1">IFERROR(__xludf.DUMMYFUNCTION("""COMPUTED_VALUE"""),1)</f>
        <v>1</v>
      </c>
      <c r="H407" s="57">
        <f ca="1">IFERROR(__xludf.DUMMYFUNCTION("""COMPUTED_VALUE"""),4.59)</f>
        <v>4.59</v>
      </c>
      <c r="I407" s="57">
        <f ca="1">IFERROR(__xludf.DUMMYFUNCTION("""COMPUTED_VALUE"""),5.47)</f>
        <v>5.47</v>
      </c>
      <c r="J407" s="70" t="str">
        <f ca="1">IFERROR(__xludf.DUMMYFUNCTION("""COMPUTED_VALUE"""),"Goto link: 1898.HK")</f>
        <v>Goto link: 1898.HK</v>
      </c>
      <c r="K407" s="19"/>
      <c r="L407" s="19"/>
      <c r="M407" s="19"/>
      <c r="N407" s="19"/>
      <c r="O407" s="59"/>
      <c r="P407" s="7"/>
      <c r="Q407" s="55"/>
      <c r="R407" s="55"/>
      <c r="S407" s="7"/>
      <c r="T407" s="55"/>
      <c r="U407" s="7"/>
      <c r="V407" s="55"/>
      <c r="W407" s="60"/>
      <c r="X407" s="55"/>
    </row>
    <row r="408" spans="1:24" ht="13" x14ac:dyDescent="0.15">
      <c r="A408" s="25" t="str">
        <f ca="1">IFERROR(__xludf.DUMMYFUNCTION("""COMPUTED_VALUE"""),"46876")</f>
        <v>46876</v>
      </c>
      <c r="B408" s="69">
        <f ca="1">IFERROR(__xludf.DUMMYFUNCTION("""COMPUTED_VALUE"""),44638)</f>
        <v>44638</v>
      </c>
      <c r="C408" s="69" t="str">
        <f ca="1">IFERROR(__xludf.DUMMYFUNCTION("""COMPUTED_VALUE"""),"Stock")</f>
        <v>Stock</v>
      </c>
      <c r="D408" s="71" t="str">
        <f ca="1">IFERROR(__xludf.DUMMYFUNCTION("""COMPUTED_VALUE"""),"9988.HK")</f>
        <v>9988.HK</v>
      </c>
      <c r="E408" s="5" t="str">
        <f ca="1">IFERROR(__xludf.DUMMYFUNCTION("""COMPUTED_VALUE"""),"HKD")</f>
        <v>HKD</v>
      </c>
      <c r="F408" s="55">
        <f ca="1">IFERROR(__xludf.DUMMYFUNCTION("""COMPUTED_VALUE"""),-1000)</f>
        <v>-1000</v>
      </c>
      <c r="G408" s="56">
        <f ca="1">IFERROR(__xludf.DUMMYFUNCTION("""COMPUTED_VALUE"""),1)</f>
        <v>1</v>
      </c>
      <c r="H408" s="57">
        <f ca="1">IFERROR(__xludf.DUMMYFUNCTION("""COMPUTED_VALUE"""),98.35)</f>
        <v>98.35</v>
      </c>
      <c r="I408" s="57">
        <f ca="1">IFERROR(__xludf.DUMMYFUNCTION("""COMPUTED_VALUE"""),117.6)</f>
        <v>117.6</v>
      </c>
      <c r="J408" s="70" t="str">
        <f ca="1">IFERROR(__xludf.DUMMYFUNCTION("""COMPUTED_VALUE"""),"Goto link: 9988.HK")</f>
        <v>Goto link: 9988.HK</v>
      </c>
      <c r="K408" s="19"/>
      <c r="L408" s="19"/>
      <c r="M408" s="19"/>
      <c r="N408" s="19"/>
      <c r="O408" s="59"/>
      <c r="P408" s="7"/>
      <c r="Q408" s="55"/>
      <c r="R408" s="55"/>
      <c r="S408" s="7"/>
      <c r="T408" s="55"/>
      <c r="U408" s="7"/>
      <c r="V408" s="55"/>
      <c r="W408" s="60"/>
      <c r="X408" s="55"/>
    </row>
    <row r="409" spans="1:24" ht="13" x14ac:dyDescent="0.15">
      <c r="A409" s="25" t="str">
        <f ca="1">IFERROR(__xludf.DUMMYFUNCTION("""COMPUTED_VALUE"""),"46876 Total")</f>
        <v>46876 Total</v>
      </c>
      <c r="B409" s="5"/>
      <c r="C409" s="69"/>
      <c r="D409" s="5"/>
      <c r="E409" s="5"/>
      <c r="F409" s="55"/>
      <c r="G409" s="56">
        <f ca="1">IFERROR(__xludf.DUMMYFUNCTION("""COMPUTED_VALUE"""),2.36491)</f>
        <v>2.3649100000000001</v>
      </c>
      <c r="H409" s="57">
        <f ca="1">IFERROR(__xludf.DUMMYFUNCTION("""COMPUTED_VALUE"""),98.35)</f>
        <v>98.35</v>
      </c>
      <c r="I409" s="57" t="str">
        <f ca="1">IFERROR(__xludf.DUMMYFUNCTION("""COMPUTED_VALUE"""),"")</f>
        <v/>
      </c>
      <c r="J409" s="19" t="str">
        <f ca="1">IFERROR(__xludf.DUMMYFUNCTION("""COMPUTED_VALUE"""),"")</f>
        <v/>
      </c>
      <c r="K409" s="19"/>
      <c r="L409" s="19"/>
      <c r="M409" s="19"/>
      <c r="N409" s="19"/>
      <c r="O409" s="59"/>
      <c r="P409" s="7"/>
      <c r="Q409" s="55"/>
      <c r="R409" s="55"/>
      <c r="S409" s="7"/>
      <c r="T409" s="55"/>
      <c r="U409" s="7"/>
      <c r="V409" s="55"/>
      <c r="W409" s="60"/>
      <c r="X409" s="55"/>
    </row>
    <row r="410" spans="1:24" ht="13" x14ac:dyDescent="0.15">
      <c r="A410" s="25" t="str">
        <f ca="1">IFERROR(__xludf.DUMMYFUNCTION("""COMPUTED_VALUE"""),"46975")</f>
        <v>46975</v>
      </c>
      <c r="B410" s="69">
        <f ca="1">IFERROR(__xludf.DUMMYFUNCTION("""COMPUTED_VALUE"""),44597)</f>
        <v>44597</v>
      </c>
      <c r="C410" s="69" t="str">
        <f ca="1">IFERROR(__xludf.DUMMYFUNCTION("""COMPUTED_VALUE"""),"Cash")</f>
        <v>Cash</v>
      </c>
      <c r="D410" s="5" t="str">
        <f ca="1">IFERROR(__xludf.DUMMYFUNCTION("""COMPUTED_VALUE"""),"Cash")</f>
        <v>Cash</v>
      </c>
      <c r="E410" s="5" t="str">
        <f ca="1">IFERROR(__xludf.DUMMYFUNCTION("""COMPUTED_VALUE"""),"HKD")</f>
        <v>HKD</v>
      </c>
      <c r="F410" s="55" t="str">
        <f ca="1">IFERROR(__xludf.DUMMYFUNCTION("""COMPUTED_VALUE"""),"")</f>
        <v/>
      </c>
      <c r="G410" s="56">
        <f ca="1">IFERROR(__xludf.DUMMYFUNCTION("""COMPUTED_VALUE"""),1)</f>
        <v>1</v>
      </c>
      <c r="H410" s="57">
        <f ca="1">IFERROR(__xludf.DUMMYFUNCTION("""COMPUTED_VALUE"""),1)</f>
        <v>1</v>
      </c>
      <c r="I410" s="57">
        <f ca="1">IFERROR(__xludf.DUMMYFUNCTION("""COMPUTED_VALUE"""),1)</f>
        <v>1</v>
      </c>
      <c r="J410" s="19" t="str">
        <f ca="1">IFERROR(__xludf.DUMMYFUNCTION("""COMPUTED_VALUE"""),"")</f>
        <v/>
      </c>
      <c r="K410" s="19"/>
      <c r="L410" s="19"/>
      <c r="M410" s="19"/>
      <c r="N410" s="19"/>
      <c r="O410" s="59"/>
      <c r="P410" s="7"/>
      <c r="Q410" s="55"/>
      <c r="R410" s="55"/>
      <c r="S410" s="7"/>
      <c r="T410" s="55"/>
      <c r="U410" s="7"/>
      <c r="V410" s="55"/>
      <c r="W410" s="60"/>
      <c r="X410" s="55"/>
    </row>
    <row r="411" spans="1:24" ht="13" x14ac:dyDescent="0.15">
      <c r="A411" s="25" t="str">
        <f ca="1">IFERROR(__xludf.DUMMYFUNCTION("""COMPUTED_VALUE"""),"46975")</f>
        <v>46975</v>
      </c>
      <c r="B411" s="69">
        <f ca="1">IFERROR(__xludf.DUMMYFUNCTION("""COMPUTED_VALUE"""),44621)</f>
        <v>44621</v>
      </c>
      <c r="C411" s="69" t="str">
        <f ca="1">IFERROR(__xludf.DUMMYFUNCTION("""COMPUTED_VALUE"""),"Stock")</f>
        <v>Stock</v>
      </c>
      <c r="D411" s="5" t="str">
        <f ca="1">IFERROR(__xludf.DUMMYFUNCTION("""COMPUTED_VALUE"""),"AAPL")</f>
        <v>AAPL</v>
      </c>
      <c r="E411" s="5" t="str">
        <f ca="1">IFERROR(__xludf.DUMMYFUNCTION("""COMPUTED_VALUE"""),"USD")</f>
        <v>USD</v>
      </c>
      <c r="F411" s="55">
        <f ca="1">IFERROR(__xludf.DUMMYFUNCTION("""COMPUTED_VALUE"""),100)</f>
        <v>100</v>
      </c>
      <c r="G411" s="56">
        <f ca="1">IFERROR(__xludf.DUMMYFUNCTION("""COMPUTED_VALUE"""),7.8216509090909)</f>
        <v>7.8216509090909003</v>
      </c>
      <c r="H411" s="57">
        <f ca="1">IFERROR(__xludf.DUMMYFUNCTION("""COMPUTED_VALUE"""),163.2)</f>
        <v>163.19999999999999</v>
      </c>
      <c r="I411" s="57">
        <f ca="1">IFERROR(__xludf.DUMMYFUNCTION("""COMPUTED_VALUE"""),170.21)</f>
        <v>170.21</v>
      </c>
      <c r="J411" s="70" t="str">
        <f ca="1">IFERROR(__xludf.DUMMYFUNCTION("""COMPUTED_VALUE"""),"Goto link: AAPL")</f>
        <v>Goto link: AAPL</v>
      </c>
      <c r="K411" s="19"/>
      <c r="L411" s="19"/>
      <c r="M411" s="19"/>
      <c r="N411" s="19"/>
      <c r="O411" s="59"/>
      <c r="P411" s="7"/>
      <c r="Q411" s="55"/>
      <c r="R411" s="55"/>
      <c r="S411" s="7"/>
      <c r="T411" s="55"/>
      <c r="U411" s="7"/>
      <c r="V411" s="55"/>
      <c r="W411" s="60"/>
      <c r="X411" s="55"/>
    </row>
    <row r="412" spans="1:24" ht="13" x14ac:dyDescent="0.15">
      <c r="A412" s="25" t="str">
        <f ca="1">IFERROR(__xludf.DUMMYFUNCTION("""COMPUTED_VALUE"""),"46975")</f>
        <v>46975</v>
      </c>
      <c r="B412" s="69">
        <f ca="1">IFERROR(__xludf.DUMMYFUNCTION("""COMPUTED_VALUE"""),44634)</f>
        <v>44634</v>
      </c>
      <c r="C412" s="69" t="str">
        <f ca="1">IFERROR(__xludf.DUMMYFUNCTION("""COMPUTED_VALUE"""),"Stock")</f>
        <v>Stock</v>
      </c>
      <c r="D412" s="71" t="str">
        <f ca="1">IFERROR(__xludf.DUMMYFUNCTION("""COMPUTED_VALUE"""),"6862.HK")</f>
        <v>6862.HK</v>
      </c>
      <c r="E412" s="5" t="str">
        <f ca="1">IFERROR(__xludf.DUMMYFUNCTION("""COMPUTED_VALUE"""),"HKD")</f>
        <v>HKD</v>
      </c>
      <c r="F412" s="55">
        <f ca="1">IFERROR(__xludf.DUMMYFUNCTION("""COMPUTED_VALUE"""),-100)</f>
        <v>-100</v>
      </c>
      <c r="G412" s="56">
        <f ca="1">IFERROR(__xludf.DUMMYFUNCTION("""COMPUTED_VALUE"""),1)</f>
        <v>1</v>
      </c>
      <c r="H412" s="57">
        <f ca="1">IFERROR(__xludf.DUMMYFUNCTION("""COMPUTED_VALUE"""),11.22)</f>
        <v>11.22</v>
      </c>
      <c r="I412" s="57">
        <f ca="1">IFERROR(__xludf.DUMMYFUNCTION("""COMPUTED_VALUE"""),13.24)</f>
        <v>13.24</v>
      </c>
      <c r="J412" s="70" t="str">
        <f ca="1">IFERROR(__xludf.DUMMYFUNCTION("""COMPUTED_VALUE"""),"Goto link: 6862.HK")</f>
        <v>Goto link: 6862.HK</v>
      </c>
      <c r="K412" s="19"/>
      <c r="L412" s="19"/>
      <c r="M412" s="19"/>
      <c r="N412" s="19"/>
      <c r="O412" s="59"/>
      <c r="P412" s="7"/>
      <c r="Q412" s="55"/>
      <c r="R412" s="55"/>
      <c r="S412" s="7"/>
      <c r="T412" s="55"/>
      <c r="U412" s="7"/>
      <c r="V412" s="55"/>
      <c r="W412" s="60"/>
      <c r="X412" s="55"/>
    </row>
    <row r="413" spans="1:24" ht="13" x14ac:dyDescent="0.15">
      <c r="A413" s="25" t="str">
        <f ca="1">IFERROR(__xludf.DUMMYFUNCTION("""COMPUTED_VALUE"""),"46975")</f>
        <v>46975</v>
      </c>
      <c r="B413" s="69">
        <f ca="1">IFERROR(__xludf.DUMMYFUNCTION("""COMPUTED_VALUE"""),44635)</f>
        <v>44635</v>
      </c>
      <c r="C413" s="69" t="str">
        <f ca="1">IFERROR(__xludf.DUMMYFUNCTION("""COMPUTED_VALUE"""),"Stock")</f>
        <v>Stock</v>
      </c>
      <c r="D413" s="71" t="str">
        <f ca="1">IFERROR(__xludf.DUMMYFUNCTION("""COMPUTED_VALUE"""),"0700.HK")</f>
        <v>0700.HK</v>
      </c>
      <c r="E413" s="5" t="str">
        <f ca="1">IFERROR(__xludf.DUMMYFUNCTION("""COMPUTED_VALUE"""),"HKD")</f>
        <v>HKD</v>
      </c>
      <c r="F413" s="55">
        <f ca="1">IFERROR(__xludf.DUMMYFUNCTION("""COMPUTED_VALUE"""),-100)</f>
        <v>-100</v>
      </c>
      <c r="G413" s="56">
        <f ca="1">IFERROR(__xludf.DUMMYFUNCTION("""COMPUTED_VALUE"""),1)</f>
        <v>1</v>
      </c>
      <c r="H413" s="57">
        <f ca="1">IFERROR(__xludf.DUMMYFUNCTION("""COMPUTED_VALUE"""),298)</f>
        <v>298</v>
      </c>
      <c r="I413" s="57">
        <f ca="1">IFERROR(__xludf.DUMMYFUNCTION("""COMPUTED_VALUE"""),389)</f>
        <v>389</v>
      </c>
      <c r="J413" s="70" t="str">
        <f ca="1">IFERROR(__xludf.DUMMYFUNCTION("""COMPUTED_VALUE"""),"Goto link: 0700.HK")</f>
        <v>Goto link: 0700.HK</v>
      </c>
      <c r="K413" s="19"/>
      <c r="L413" s="19"/>
      <c r="M413" s="19"/>
      <c r="N413" s="19"/>
      <c r="O413" s="59"/>
      <c r="P413" s="7"/>
      <c r="Q413" s="55"/>
      <c r="R413" s="55"/>
      <c r="S413" s="7"/>
      <c r="T413" s="55"/>
      <c r="U413" s="7"/>
      <c r="V413" s="55"/>
      <c r="W413" s="60"/>
      <c r="X413" s="55"/>
    </row>
    <row r="414" spans="1:24" ht="13" x14ac:dyDescent="0.15">
      <c r="A414" s="25" t="str">
        <f ca="1">IFERROR(__xludf.DUMMYFUNCTION("""COMPUTED_VALUE"""),"46975")</f>
        <v>46975</v>
      </c>
      <c r="B414" s="69">
        <f ca="1">IFERROR(__xludf.DUMMYFUNCTION("""COMPUTED_VALUE"""),44636)</f>
        <v>44636</v>
      </c>
      <c r="C414" s="69" t="str">
        <f ca="1">IFERROR(__xludf.DUMMYFUNCTION("""COMPUTED_VALUE"""),"Stock")</f>
        <v>Stock</v>
      </c>
      <c r="D414" s="71" t="str">
        <f ca="1">IFERROR(__xludf.DUMMYFUNCTION("""COMPUTED_VALUE"""),"0700.HK")</f>
        <v>0700.HK</v>
      </c>
      <c r="E414" s="5" t="str">
        <f ca="1">IFERROR(__xludf.DUMMYFUNCTION("""COMPUTED_VALUE"""),"HKD")</f>
        <v>HKD</v>
      </c>
      <c r="F414" s="55">
        <f ca="1">IFERROR(__xludf.DUMMYFUNCTION("""COMPUTED_VALUE"""),200)</f>
        <v>200</v>
      </c>
      <c r="G414" s="56">
        <f ca="1">IFERROR(__xludf.DUMMYFUNCTION("""COMPUTED_VALUE"""),1)</f>
        <v>1</v>
      </c>
      <c r="H414" s="57">
        <f ca="1">IFERROR(__xludf.DUMMYFUNCTION("""COMPUTED_VALUE"""),367)</f>
        <v>367</v>
      </c>
      <c r="I414" s="57">
        <f ca="1">IFERROR(__xludf.DUMMYFUNCTION("""COMPUTED_VALUE"""),389)</f>
        <v>389</v>
      </c>
      <c r="J414" s="70" t="str">
        <f ca="1">IFERROR(__xludf.DUMMYFUNCTION("""COMPUTED_VALUE"""),"Goto link: 0700.HK")</f>
        <v>Goto link: 0700.HK</v>
      </c>
      <c r="K414" s="19"/>
      <c r="L414" s="19"/>
      <c r="M414" s="19"/>
      <c r="N414" s="19"/>
      <c r="O414" s="59"/>
      <c r="P414" s="7"/>
      <c r="Q414" s="55"/>
      <c r="R414" s="55"/>
      <c r="S414" s="7"/>
      <c r="T414" s="55"/>
      <c r="U414" s="7"/>
      <c r="V414" s="55"/>
      <c r="W414" s="60"/>
      <c r="X414" s="55"/>
    </row>
    <row r="415" spans="1:24" ht="13" x14ac:dyDescent="0.15">
      <c r="A415" s="25" t="str">
        <f ca="1">IFERROR(__xludf.DUMMYFUNCTION("""COMPUTED_VALUE"""),"46975")</f>
        <v>46975</v>
      </c>
      <c r="B415" s="69">
        <f ca="1">IFERROR(__xludf.DUMMYFUNCTION("""COMPUTED_VALUE"""),44636)</f>
        <v>44636</v>
      </c>
      <c r="C415" s="69" t="str">
        <f ca="1">IFERROR(__xludf.DUMMYFUNCTION("""COMPUTED_VALUE"""),"Stock")</f>
        <v>Stock</v>
      </c>
      <c r="D415" s="71" t="str">
        <f ca="1">IFERROR(__xludf.DUMMYFUNCTION("""COMPUTED_VALUE"""),"6862.HK")</f>
        <v>6862.HK</v>
      </c>
      <c r="E415" s="5" t="str">
        <f ca="1">IFERROR(__xludf.DUMMYFUNCTION("""COMPUTED_VALUE"""),"HKD")</f>
        <v>HKD</v>
      </c>
      <c r="F415" s="55">
        <f ca="1">IFERROR(__xludf.DUMMYFUNCTION("""COMPUTED_VALUE"""),200)</f>
        <v>200</v>
      </c>
      <c r="G415" s="56">
        <f ca="1">IFERROR(__xludf.DUMMYFUNCTION("""COMPUTED_VALUE"""),1)</f>
        <v>1</v>
      </c>
      <c r="H415" s="57">
        <f ca="1">IFERROR(__xludf.DUMMYFUNCTION("""COMPUTED_VALUE"""),12.22)</f>
        <v>12.22</v>
      </c>
      <c r="I415" s="57">
        <f ca="1">IFERROR(__xludf.DUMMYFUNCTION("""COMPUTED_VALUE"""),13.24)</f>
        <v>13.24</v>
      </c>
      <c r="J415" s="70" t="str">
        <f ca="1">IFERROR(__xludf.DUMMYFUNCTION("""COMPUTED_VALUE"""),"Goto link: 6862.HK")</f>
        <v>Goto link: 6862.HK</v>
      </c>
      <c r="K415" s="19"/>
      <c r="L415" s="19"/>
      <c r="M415" s="19"/>
      <c r="N415" s="19"/>
      <c r="O415" s="59"/>
      <c r="P415" s="7"/>
      <c r="Q415" s="55"/>
      <c r="R415" s="55"/>
      <c r="S415" s="7"/>
      <c r="T415" s="55"/>
      <c r="U415" s="7"/>
      <c r="V415" s="55"/>
      <c r="W415" s="60"/>
      <c r="X415" s="55"/>
    </row>
    <row r="416" spans="1:24" ht="13" x14ac:dyDescent="0.15">
      <c r="A416" s="25" t="str">
        <f ca="1">IFERROR(__xludf.DUMMYFUNCTION("""COMPUTED_VALUE"""),"46975 Total")</f>
        <v>46975 Total</v>
      </c>
      <c r="B416" s="5"/>
      <c r="C416" s="69"/>
      <c r="D416" s="5"/>
      <c r="E416" s="5"/>
      <c r="F416" s="55"/>
      <c r="G416" s="56">
        <f ca="1">IFERROR(__xludf.DUMMYFUNCTION("""COMPUTED_VALUE"""),2.51592242424242)</f>
        <v>2.5159224242424201</v>
      </c>
      <c r="H416" s="57">
        <f ca="1">IFERROR(__xludf.DUMMYFUNCTION("""COMPUTED_VALUE"""),367)</f>
        <v>367</v>
      </c>
      <c r="I416" s="57" t="str">
        <f ca="1">IFERROR(__xludf.DUMMYFUNCTION("""COMPUTED_VALUE"""),"")</f>
        <v/>
      </c>
      <c r="J416" s="19" t="str">
        <f ca="1">IFERROR(__xludf.DUMMYFUNCTION("""COMPUTED_VALUE"""),"")</f>
        <v/>
      </c>
      <c r="K416" s="19"/>
      <c r="L416" s="19"/>
      <c r="M416" s="19"/>
      <c r="N416" s="19"/>
      <c r="O416" s="59"/>
      <c r="P416" s="7"/>
      <c r="Q416" s="55"/>
      <c r="R416" s="55"/>
      <c r="S416" s="7"/>
      <c r="T416" s="55"/>
      <c r="U416" s="7"/>
      <c r="V416" s="55"/>
      <c r="W416" s="60"/>
      <c r="X416" s="55"/>
    </row>
    <row r="417" spans="1:24" ht="13" x14ac:dyDescent="0.15">
      <c r="A417" s="25" t="str">
        <f ca="1">IFERROR(__xludf.DUMMYFUNCTION("""COMPUTED_VALUE"""),"52981")</f>
        <v>52981</v>
      </c>
      <c r="B417" s="69">
        <f ca="1">IFERROR(__xludf.DUMMYFUNCTION("""COMPUTED_VALUE"""),44597)</f>
        <v>44597</v>
      </c>
      <c r="C417" s="69" t="str">
        <f ca="1">IFERROR(__xludf.DUMMYFUNCTION("""COMPUTED_VALUE"""),"Cash")</f>
        <v>Cash</v>
      </c>
      <c r="D417" s="5" t="str">
        <f ca="1">IFERROR(__xludf.DUMMYFUNCTION("""COMPUTED_VALUE"""),"Cash")</f>
        <v>Cash</v>
      </c>
      <c r="E417" s="5" t="str">
        <f ca="1">IFERROR(__xludf.DUMMYFUNCTION("""COMPUTED_VALUE"""),"HKD")</f>
        <v>HKD</v>
      </c>
      <c r="F417" s="55" t="str">
        <f ca="1">IFERROR(__xludf.DUMMYFUNCTION("""COMPUTED_VALUE"""),"")</f>
        <v/>
      </c>
      <c r="G417" s="56">
        <f ca="1">IFERROR(__xludf.DUMMYFUNCTION("""COMPUTED_VALUE"""),1)</f>
        <v>1</v>
      </c>
      <c r="H417" s="57">
        <f ca="1">IFERROR(__xludf.DUMMYFUNCTION("""COMPUTED_VALUE"""),1)</f>
        <v>1</v>
      </c>
      <c r="I417" s="57">
        <f ca="1">IFERROR(__xludf.DUMMYFUNCTION("""COMPUTED_VALUE"""),1)</f>
        <v>1</v>
      </c>
      <c r="J417" s="19" t="str">
        <f ca="1">IFERROR(__xludf.DUMMYFUNCTION("""COMPUTED_VALUE"""),"")</f>
        <v/>
      </c>
      <c r="K417" s="19"/>
      <c r="L417" s="19"/>
      <c r="M417" s="19"/>
      <c r="N417" s="19"/>
      <c r="O417" s="59"/>
      <c r="P417" s="7"/>
      <c r="Q417" s="55"/>
      <c r="R417" s="55"/>
      <c r="S417" s="7"/>
      <c r="T417" s="55"/>
      <c r="U417" s="7"/>
      <c r="V417" s="55"/>
      <c r="W417" s="60"/>
      <c r="X417" s="55"/>
    </row>
    <row r="418" spans="1:24" ht="13" x14ac:dyDescent="0.15">
      <c r="A418" s="25" t="str">
        <f ca="1">IFERROR(__xludf.DUMMYFUNCTION("""COMPUTED_VALUE"""),"52981 Total")</f>
        <v>52981 Total</v>
      </c>
      <c r="B418" s="5"/>
      <c r="C418" s="69"/>
      <c r="D418" s="5"/>
      <c r="E418" s="5"/>
      <c r="F418" s="55"/>
      <c r="G418" s="56">
        <f ca="1">IFERROR(__xludf.DUMMYFUNCTION("""COMPUTED_VALUE"""),1)</f>
        <v>1</v>
      </c>
      <c r="H418" s="57">
        <f ca="1">IFERROR(__xludf.DUMMYFUNCTION("""COMPUTED_VALUE"""),1)</f>
        <v>1</v>
      </c>
      <c r="I418" s="57" t="str">
        <f ca="1">IFERROR(__xludf.DUMMYFUNCTION("""COMPUTED_VALUE"""),"")</f>
        <v/>
      </c>
      <c r="J418" s="19" t="str">
        <f ca="1">IFERROR(__xludf.DUMMYFUNCTION("""COMPUTED_VALUE"""),"")</f>
        <v/>
      </c>
      <c r="K418" s="19"/>
      <c r="L418" s="19"/>
      <c r="M418" s="19"/>
      <c r="N418" s="19"/>
      <c r="O418" s="59"/>
      <c r="P418" s="7"/>
      <c r="Q418" s="55"/>
      <c r="R418" s="55"/>
      <c r="S418" s="7"/>
      <c r="T418" s="55"/>
      <c r="U418" s="7"/>
      <c r="V418" s="55"/>
      <c r="W418" s="60"/>
      <c r="X418" s="55"/>
    </row>
    <row r="419" spans="1:24" ht="13" x14ac:dyDescent="0.15">
      <c r="A419" s="25" t="str">
        <f ca="1">IFERROR(__xludf.DUMMYFUNCTION("""COMPUTED_VALUE"""),"56118")</f>
        <v>56118</v>
      </c>
      <c r="B419" s="69">
        <f ca="1">IFERROR(__xludf.DUMMYFUNCTION("""COMPUTED_VALUE"""),44597)</f>
        <v>44597</v>
      </c>
      <c r="C419" s="69" t="str">
        <f ca="1">IFERROR(__xludf.DUMMYFUNCTION("""COMPUTED_VALUE"""),"Cash")</f>
        <v>Cash</v>
      </c>
      <c r="D419" s="5" t="str">
        <f ca="1">IFERROR(__xludf.DUMMYFUNCTION("""COMPUTED_VALUE"""),"Cash")</f>
        <v>Cash</v>
      </c>
      <c r="E419" s="5" t="str">
        <f ca="1">IFERROR(__xludf.DUMMYFUNCTION("""COMPUTED_VALUE"""),"HKD")</f>
        <v>HKD</v>
      </c>
      <c r="F419" s="55" t="str">
        <f ca="1">IFERROR(__xludf.DUMMYFUNCTION("""COMPUTED_VALUE"""),"")</f>
        <v/>
      </c>
      <c r="G419" s="56">
        <f ca="1">IFERROR(__xludf.DUMMYFUNCTION("""COMPUTED_VALUE"""),1)</f>
        <v>1</v>
      </c>
      <c r="H419" s="57">
        <f ca="1">IFERROR(__xludf.DUMMYFUNCTION("""COMPUTED_VALUE"""),1)</f>
        <v>1</v>
      </c>
      <c r="I419" s="57">
        <f ca="1">IFERROR(__xludf.DUMMYFUNCTION("""COMPUTED_VALUE"""),1)</f>
        <v>1</v>
      </c>
      <c r="J419" s="19" t="str">
        <f ca="1">IFERROR(__xludf.DUMMYFUNCTION("""COMPUTED_VALUE"""),"")</f>
        <v/>
      </c>
      <c r="K419" s="19"/>
      <c r="L419" s="19"/>
      <c r="M419" s="19"/>
      <c r="N419" s="19"/>
      <c r="O419" s="59"/>
      <c r="P419" s="7"/>
      <c r="Q419" s="55"/>
      <c r="R419" s="55"/>
      <c r="S419" s="7"/>
      <c r="T419" s="55"/>
      <c r="U419" s="7"/>
      <c r="V419" s="55"/>
      <c r="W419" s="60"/>
      <c r="X419" s="55"/>
    </row>
    <row r="420" spans="1:24" ht="13" x14ac:dyDescent="0.15">
      <c r="A420" s="25" t="str">
        <f ca="1">IFERROR(__xludf.DUMMYFUNCTION("""COMPUTED_VALUE"""),"56118")</f>
        <v>56118</v>
      </c>
      <c r="B420" s="69">
        <f ca="1">IFERROR(__xludf.DUMMYFUNCTION("""COMPUTED_VALUE"""),44635)</f>
        <v>44635</v>
      </c>
      <c r="C420" s="69" t="str">
        <f ca="1">IFERROR(__xludf.DUMMYFUNCTION("""COMPUTED_VALUE"""),"Stock")</f>
        <v>Stock</v>
      </c>
      <c r="D420" s="71" t="str">
        <f ca="1">IFERROR(__xludf.DUMMYFUNCTION("""COMPUTED_VALUE"""),"3339.HK")</f>
        <v>3339.HK</v>
      </c>
      <c r="E420" s="5" t="str">
        <f ca="1">IFERROR(__xludf.DUMMYFUNCTION("""COMPUTED_VALUE"""),"HKD")</f>
        <v>HKD</v>
      </c>
      <c r="F420" s="55">
        <f ca="1">IFERROR(__xludf.DUMMYFUNCTION("""COMPUTED_VALUE"""),100000)</f>
        <v>100000</v>
      </c>
      <c r="G420" s="56">
        <f ca="1">IFERROR(__xludf.DUMMYFUNCTION("""COMPUTED_VALUE"""),1)</f>
        <v>1</v>
      </c>
      <c r="H420" s="57">
        <f ca="1">IFERROR(__xludf.DUMMYFUNCTION("""COMPUTED_VALUE"""),1.98)</f>
        <v>1.98</v>
      </c>
      <c r="I420" s="57">
        <f ca="1">IFERROR(__xludf.DUMMYFUNCTION("""COMPUTED_VALUE"""),2.15)</f>
        <v>2.15</v>
      </c>
      <c r="J420" s="70" t="str">
        <f ca="1">IFERROR(__xludf.DUMMYFUNCTION("""COMPUTED_VALUE"""),"Goto link: 3339.HK")</f>
        <v>Goto link: 3339.HK</v>
      </c>
      <c r="K420" s="19"/>
      <c r="L420" s="19"/>
      <c r="M420" s="19"/>
      <c r="N420" s="19"/>
      <c r="O420" s="59"/>
      <c r="P420" s="7"/>
      <c r="Q420" s="55"/>
      <c r="R420" s="55"/>
      <c r="S420" s="7"/>
      <c r="T420" s="55"/>
      <c r="U420" s="7"/>
      <c r="V420" s="55"/>
      <c r="W420" s="60"/>
      <c r="X420" s="55"/>
    </row>
    <row r="421" spans="1:24" ht="13" x14ac:dyDescent="0.15">
      <c r="A421" s="25" t="str">
        <f ca="1">IFERROR(__xludf.DUMMYFUNCTION("""COMPUTED_VALUE"""),"56118")</f>
        <v>56118</v>
      </c>
      <c r="B421" s="69">
        <f ca="1">IFERROR(__xludf.DUMMYFUNCTION("""COMPUTED_VALUE"""),44635)</f>
        <v>44635</v>
      </c>
      <c r="C421" s="69" t="str">
        <f ca="1">IFERROR(__xludf.DUMMYFUNCTION("""COMPUTED_VALUE"""),"Stock")</f>
        <v>Stock</v>
      </c>
      <c r="D421" s="5" t="str">
        <f ca="1">IFERROR(__xludf.DUMMYFUNCTION("""COMPUTED_VALUE"""),"LMT")</f>
        <v>LMT</v>
      </c>
      <c r="E421" s="5" t="str">
        <f ca="1">IFERROR(__xludf.DUMMYFUNCTION("""COMPUTED_VALUE"""),"USD")</f>
        <v>USD</v>
      </c>
      <c r="F421" s="55">
        <f ca="1">IFERROR(__xludf.DUMMYFUNCTION("""COMPUTED_VALUE"""),20)</f>
        <v>20</v>
      </c>
      <c r="G421" s="56">
        <f ca="1">IFERROR(__xludf.DUMMYFUNCTION("""COMPUTED_VALUE"""),7.823749375)</f>
        <v>7.8237493750000002</v>
      </c>
      <c r="H421" s="57">
        <f ca="1">IFERROR(__xludf.DUMMYFUNCTION("""COMPUTED_VALUE"""),448.67)</f>
        <v>448.67</v>
      </c>
      <c r="I421" s="57">
        <f ca="1">IFERROR(__xludf.DUMMYFUNCTION("""COMPUTED_VALUE"""),445.25)</f>
        <v>445.25</v>
      </c>
      <c r="J421" s="70" t="str">
        <f ca="1">IFERROR(__xludf.DUMMYFUNCTION("""COMPUTED_VALUE"""),"Goto link: LMT")</f>
        <v>Goto link: LMT</v>
      </c>
      <c r="K421" s="19"/>
      <c r="L421" s="19"/>
      <c r="M421" s="19"/>
      <c r="N421" s="19"/>
      <c r="O421" s="59"/>
      <c r="P421" s="7"/>
      <c r="Q421" s="55"/>
      <c r="R421" s="55"/>
      <c r="S421" s="7"/>
      <c r="T421" s="55"/>
      <c r="U421" s="7"/>
      <c r="V421" s="55"/>
      <c r="W421" s="60"/>
      <c r="X421" s="55"/>
    </row>
    <row r="422" spans="1:24" ht="13" x14ac:dyDescent="0.15">
      <c r="A422" s="25" t="str">
        <f ca="1">IFERROR(__xludf.DUMMYFUNCTION("""COMPUTED_VALUE"""),"56118")</f>
        <v>56118</v>
      </c>
      <c r="B422" s="69">
        <f ca="1">IFERROR(__xludf.DUMMYFUNCTION("""COMPUTED_VALUE"""),44635)</f>
        <v>44635</v>
      </c>
      <c r="C422" s="69" t="str">
        <f ca="1">IFERROR(__xludf.DUMMYFUNCTION("""COMPUTED_VALUE"""),"Stock")</f>
        <v>Stock</v>
      </c>
      <c r="D422" s="5" t="str">
        <f ca="1">IFERROR(__xludf.DUMMYFUNCTION("""COMPUTED_VALUE"""),"PFE")</f>
        <v>PFE</v>
      </c>
      <c r="E422" s="5" t="str">
        <f ca="1">IFERROR(__xludf.DUMMYFUNCTION("""COMPUTED_VALUE"""),"USD")</f>
        <v>USD</v>
      </c>
      <c r="F422" s="55">
        <f ca="1">IFERROR(__xludf.DUMMYFUNCTION("""COMPUTED_VALUE"""),500)</f>
        <v>500</v>
      </c>
      <c r="G422" s="56">
        <f ca="1">IFERROR(__xludf.DUMMYFUNCTION("""COMPUTED_VALUE"""),7.823749375)</f>
        <v>7.8237493750000002</v>
      </c>
      <c r="H422" s="57">
        <f ca="1">IFERROR(__xludf.DUMMYFUNCTION("""COMPUTED_VALUE"""),52.21)</f>
        <v>52.21</v>
      </c>
      <c r="I422" s="57">
        <f ca="1">IFERROR(__xludf.DUMMYFUNCTION("""COMPUTED_VALUE"""),52.19)</f>
        <v>52.19</v>
      </c>
      <c r="J422" s="70" t="str">
        <f ca="1">IFERROR(__xludf.DUMMYFUNCTION("""COMPUTED_VALUE"""),"Goto link: PFE")</f>
        <v>Goto link: PFE</v>
      </c>
      <c r="K422" s="19"/>
      <c r="L422" s="19"/>
      <c r="M422" s="19"/>
      <c r="N422" s="19"/>
      <c r="O422" s="59"/>
      <c r="P422" s="7"/>
      <c r="Q422" s="55"/>
      <c r="R422" s="55"/>
      <c r="S422" s="7"/>
      <c r="T422" s="55"/>
      <c r="U422" s="7"/>
      <c r="V422" s="55"/>
      <c r="W422" s="60"/>
      <c r="X422" s="55"/>
    </row>
    <row r="423" spans="1:24" ht="13" x14ac:dyDescent="0.15">
      <c r="A423" s="25" t="str">
        <f ca="1">IFERROR(__xludf.DUMMYFUNCTION("""COMPUTED_VALUE"""),"56118")</f>
        <v>56118</v>
      </c>
      <c r="B423" s="69">
        <f ca="1">IFERROR(__xludf.DUMMYFUNCTION("""COMPUTED_VALUE"""),44636)</f>
        <v>44636</v>
      </c>
      <c r="C423" s="69" t="str">
        <f ca="1">IFERROR(__xludf.DUMMYFUNCTION("""COMPUTED_VALUE"""),"Stock")</f>
        <v>Stock</v>
      </c>
      <c r="D423" s="5" t="str">
        <f ca="1">IFERROR(__xludf.DUMMYFUNCTION("""COMPUTED_VALUE"""),"PFE")</f>
        <v>PFE</v>
      </c>
      <c r="E423" s="5" t="str">
        <f ca="1">IFERROR(__xludf.DUMMYFUNCTION("""COMPUTED_VALUE"""),"USD")</f>
        <v>USD</v>
      </c>
      <c r="F423" s="55">
        <f ca="1">IFERROR(__xludf.DUMMYFUNCTION("""COMPUTED_VALUE"""),500)</f>
        <v>500</v>
      </c>
      <c r="G423" s="56">
        <f ca="1">IFERROR(__xludf.DUMMYFUNCTION("""COMPUTED_VALUE"""),7.82329214285714)</f>
        <v>7.8232921428571398</v>
      </c>
      <c r="H423" s="57">
        <f ca="1">IFERROR(__xludf.DUMMYFUNCTION("""COMPUTED_VALUE"""),52.92)</f>
        <v>52.92</v>
      </c>
      <c r="I423" s="57">
        <f ca="1">IFERROR(__xludf.DUMMYFUNCTION("""COMPUTED_VALUE"""),52.19)</f>
        <v>52.19</v>
      </c>
      <c r="J423" s="70" t="str">
        <f ca="1">IFERROR(__xludf.DUMMYFUNCTION("""COMPUTED_VALUE"""),"Goto link: PFE")</f>
        <v>Goto link: PFE</v>
      </c>
      <c r="K423" s="19"/>
      <c r="L423" s="19"/>
      <c r="M423" s="19"/>
      <c r="N423" s="19"/>
      <c r="O423" s="59"/>
      <c r="P423" s="7"/>
      <c r="Q423" s="55"/>
      <c r="R423" s="55"/>
      <c r="S423" s="7"/>
      <c r="T423" s="55"/>
      <c r="U423" s="7"/>
      <c r="V423" s="55"/>
      <c r="W423" s="60"/>
      <c r="X423" s="55"/>
    </row>
    <row r="424" spans="1:24" ht="13" x14ac:dyDescent="0.15">
      <c r="A424" s="25" t="str">
        <f ca="1">IFERROR(__xludf.DUMMYFUNCTION("""COMPUTED_VALUE"""),"56118")</f>
        <v>56118</v>
      </c>
      <c r="B424" s="69">
        <f ca="1">IFERROR(__xludf.DUMMYFUNCTION("""COMPUTED_VALUE"""),44637)</f>
        <v>44637</v>
      </c>
      <c r="C424" s="69" t="str">
        <f ca="1">IFERROR(__xludf.DUMMYFUNCTION("""COMPUTED_VALUE"""),"Stock")</f>
        <v>Stock</v>
      </c>
      <c r="D424" s="5" t="str">
        <f ca="1">IFERROR(__xludf.DUMMYFUNCTION("""COMPUTED_VALUE"""),"SOFI")</f>
        <v>SOFI</v>
      </c>
      <c r="E424" s="5" t="str">
        <f ca="1">IFERROR(__xludf.DUMMYFUNCTION("""COMPUTED_VALUE"""),"USD")</f>
        <v>USD</v>
      </c>
      <c r="F424" s="55">
        <f ca="1">IFERROR(__xludf.DUMMYFUNCTION("""COMPUTED_VALUE"""),200)</f>
        <v>200</v>
      </c>
      <c r="G424" s="56">
        <f ca="1">IFERROR(__xludf.DUMMYFUNCTION("""COMPUTED_VALUE"""),7.82374916666666)</f>
        <v>7.8237491666666603</v>
      </c>
      <c r="H424" s="57">
        <f ca="1">IFERROR(__xludf.DUMMYFUNCTION("""COMPUTED_VALUE"""),8.91)</f>
        <v>8.91</v>
      </c>
      <c r="I424" s="57">
        <f ca="1">IFERROR(__xludf.DUMMYFUNCTION("""COMPUTED_VALUE"""),9.37)</f>
        <v>9.3699999999999992</v>
      </c>
      <c r="J424" s="70" t="str">
        <f ca="1">IFERROR(__xludf.DUMMYFUNCTION("""COMPUTED_VALUE"""),"Goto link: SOFI")</f>
        <v>Goto link: SOFI</v>
      </c>
      <c r="K424" s="19"/>
      <c r="L424" s="19"/>
      <c r="M424" s="19"/>
      <c r="N424" s="19"/>
      <c r="O424" s="59"/>
      <c r="P424" s="7"/>
      <c r="Q424" s="55"/>
      <c r="R424" s="55"/>
      <c r="S424" s="7"/>
      <c r="T424" s="55"/>
      <c r="U424" s="7"/>
      <c r="V424" s="55"/>
      <c r="W424" s="60"/>
      <c r="X424" s="55"/>
    </row>
    <row r="425" spans="1:24" ht="13" x14ac:dyDescent="0.15">
      <c r="A425" s="25" t="str">
        <f ca="1">IFERROR(__xludf.DUMMYFUNCTION("""COMPUTED_VALUE"""),"56118")</f>
        <v>56118</v>
      </c>
      <c r="B425" s="69">
        <f ca="1">IFERROR(__xludf.DUMMYFUNCTION("""COMPUTED_VALUE"""),44641)</f>
        <v>44641</v>
      </c>
      <c r="C425" s="69" t="str">
        <f ca="1">IFERROR(__xludf.DUMMYFUNCTION("""COMPUTED_VALUE"""),"Stock")</f>
        <v>Stock</v>
      </c>
      <c r="D425" s="5" t="str">
        <f ca="1">IFERROR(__xludf.DUMMYFUNCTION("""COMPUTED_VALUE"""),"LMT")</f>
        <v>LMT</v>
      </c>
      <c r="E425" s="5" t="str">
        <f ca="1">IFERROR(__xludf.DUMMYFUNCTION("""COMPUTED_VALUE"""),"USD")</f>
        <v>USD</v>
      </c>
      <c r="F425" s="55">
        <f ca="1">IFERROR(__xludf.DUMMYFUNCTION("""COMPUTED_VALUE"""),-20)</f>
        <v>-20</v>
      </c>
      <c r="G425" s="56">
        <f ca="1">IFERROR(__xludf.DUMMYFUNCTION("""COMPUTED_VALUE"""),7.8262)</f>
        <v>7.8262</v>
      </c>
      <c r="H425" s="57">
        <f ca="1">IFERROR(__xludf.DUMMYFUNCTION("""COMPUTED_VALUE"""),440)</f>
        <v>440</v>
      </c>
      <c r="I425" s="57">
        <f ca="1">IFERROR(__xludf.DUMMYFUNCTION("""COMPUTED_VALUE"""),445.25)</f>
        <v>445.25</v>
      </c>
      <c r="J425" s="70" t="str">
        <f ca="1">IFERROR(__xludf.DUMMYFUNCTION("""COMPUTED_VALUE"""),"Goto link: LMT")</f>
        <v>Goto link: LMT</v>
      </c>
      <c r="K425" s="19"/>
      <c r="L425" s="19"/>
      <c r="M425" s="19"/>
      <c r="N425" s="19"/>
      <c r="O425" s="59"/>
      <c r="P425" s="7"/>
      <c r="Q425" s="55"/>
      <c r="R425" s="55"/>
      <c r="S425" s="7"/>
      <c r="T425" s="55"/>
      <c r="U425" s="7"/>
      <c r="V425" s="55"/>
      <c r="W425" s="60"/>
      <c r="X425" s="55"/>
    </row>
    <row r="426" spans="1:24" ht="13" x14ac:dyDescent="0.15">
      <c r="A426" s="25" t="str">
        <f ca="1">IFERROR(__xludf.DUMMYFUNCTION("""COMPUTED_VALUE"""),"56118")</f>
        <v>56118</v>
      </c>
      <c r="B426" s="69">
        <f ca="1">IFERROR(__xludf.DUMMYFUNCTION("""COMPUTED_VALUE"""),44641)</f>
        <v>44641</v>
      </c>
      <c r="C426" s="69" t="str">
        <f ca="1">IFERROR(__xludf.DUMMYFUNCTION("""COMPUTED_VALUE"""),"Stock")</f>
        <v>Stock</v>
      </c>
      <c r="D426" s="5" t="str">
        <f ca="1">IFERROR(__xludf.DUMMYFUNCTION("""COMPUTED_VALUE"""),"NFLX")</f>
        <v>NFLX</v>
      </c>
      <c r="E426" s="5" t="str">
        <f ca="1">IFERROR(__xludf.DUMMYFUNCTION("""COMPUTED_VALUE"""),"USD")</f>
        <v>USD</v>
      </c>
      <c r="F426" s="55">
        <f ca="1">IFERROR(__xludf.DUMMYFUNCTION("""COMPUTED_VALUE"""),10)</f>
        <v>10</v>
      </c>
      <c r="G426" s="56">
        <f ca="1">IFERROR(__xludf.DUMMYFUNCTION("""COMPUTED_VALUE"""),7.8262)</f>
        <v>7.8262</v>
      </c>
      <c r="H426" s="57">
        <f ca="1">IFERROR(__xludf.DUMMYFUNCTION("""COMPUTED_VALUE"""),374.59)</f>
        <v>374.59</v>
      </c>
      <c r="I426" s="57">
        <f ca="1">IFERROR(__xludf.DUMMYFUNCTION("""COMPUTED_VALUE"""),374.49)</f>
        <v>374.49</v>
      </c>
      <c r="J426" s="70" t="str">
        <f ca="1">IFERROR(__xludf.DUMMYFUNCTION("""COMPUTED_VALUE"""),"Goto link: NFLX")</f>
        <v>Goto link: NFLX</v>
      </c>
      <c r="K426" s="19"/>
      <c r="L426" s="19"/>
      <c r="M426" s="19"/>
      <c r="N426" s="19"/>
      <c r="O426" s="59"/>
      <c r="P426" s="7"/>
      <c r="Q426" s="55"/>
      <c r="R426" s="55"/>
      <c r="S426" s="7"/>
      <c r="T426" s="55"/>
      <c r="U426" s="7"/>
      <c r="V426" s="55"/>
      <c r="W426" s="60"/>
      <c r="X426" s="55"/>
    </row>
    <row r="427" spans="1:24" ht="13" x14ac:dyDescent="0.15">
      <c r="A427" s="25" t="str">
        <f ca="1">IFERROR(__xludf.DUMMYFUNCTION("""COMPUTED_VALUE"""),"56118")</f>
        <v>56118</v>
      </c>
      <c r="B427" s="69">
        <f ca="1">IFERROR(__xludf.DUMMYFUNCTION("""COMPUTED_VALUE"""),44641)</f>
        <v>44641</v>
      </c>
      <c r="C427" s="69" t="str">
        <f ca="1">IFERROR(__xludf.DUMMYFUNCTION("""COMPUTED_VALUE"""),"Stock")</f>
        <v>Stock</v>
      </c>
      <c r="D427" s="5" t="str">
        <f ca="1">IFERROR(__xludf.DUMMYFUNCTION("""COMPUTED_VALUE"""),"SOFI")</f>
        <v>SOFI</v>
      </c>
      <c r="E427" s="5" t="str">
        <f ca="1">IFERROR(__xludf.DUMMYFUNCTION("""COMPUTED_VALUE"""),"USD")</f>
        <v>USD</v>
      </c>
      <c r="F427" s="55">
        <f ca="1">IFERROR(__xludf.DUMMYFUNCTION("""COMPUTED_VALUE"""),0)</f>
        <v>0</v>
      </c>
      <c r="G427" s="56">
        <f ca="1">IFERROR(__xludf.DUMMYFUNCTION("""COMPUTED_VALUE"""),7.8262)</f>
        <v>7.8262</v>
      </c>
      <c r="H427" s="57">
        <f ca="1">IFERROR(__xludf.DUMMYFUNCTION("""COMPUTED_VALUE"""),0)</f>
        <v>0</v>
      </c>
      <c r="I427" s="57">
        <f ca="1">IFERROR(__xludf.DUMMYFUNCTION("""COMPUTED_VALUE"""),9.37)</f>
        <v>9.3699999999999992</v>
      </c>
      <c r="J427" s="70" t="str">
        <f ca="1">IFERROR(__xludf.DUMMYFUNCTION("""COMPUTED_VALUE"""),"Goto link: SOFI")</f>
        <v>Goto link: SOFI</v>
      </c>
      <c r="K427" s="19"/>
      <c r="L427" s="19"/>
      <c r="M427" s="19"/>
      <c r="N427" s="19"/>
      <c r="O427" s="59"/>
      <c r="P427" s="7"/>
      <c r="Q427" s="55"/>
      <c r="R427" s="55"/>
      <c r="S427" s="7"/>
      <c r="T427" s="55"/>
      <c r="U427" s="7"/>
      <c r="V427" s="55"/>
      <c r="W427" s="60"/>
      <c r="X427" s="55"/>
    </row>
    <row r="428" spans="1:24" ht="13" x14ac:dyDescent="0.15">
      <c r="A428" s="25" t="str">
        <f ca="1">IFERROR(__xludf.DUMMYFUNCTION("""COMPUTED_VALUE"""),"56118 Total")</f>
        <v>56118 Total</v>
      </c>
      <c r="B428" s="5"/>
      <c r="C428" s="69"/>
      <c r="D428" s="5"/>
      <c r="E428" s="5"/>
      <c r="F428" s="55"/>
      <c r="G428" s="56">
        <f ca="1">IFERROR(__xludf.DUMMYFUNCTION("""COMPUTED_VALUE"""),3.68362617977528)</f>
        <v>3.6836261797752798</v>
      </c>
      <c r="H428" s="57">
        <f ca="1">IFERROR(__xludf.DUMMYFUNCTION("""COMPUTED_VALUE"""),448.67)</f>
        <v>448.67</v>
      </c>
      <c r="I428" s="57" t="str">
        <f ca="1">IFERROR(__xludf.DUMMYFUNCTION("""COMPUTED_VALUE"""),"")</f>
        <v/>
      </c>
      <c r="J428" s="19" t="str">
        <f ca="1">IFERROR(__xludf.DUMMYFUNCTION("""COMPUTED_VALUE"""),"")</f>
        <v/>
      </c>
      <c r="K428" s="19"/>
      <c r="L428" s="19"/>
      <c r="M428" s="19"/>
      <c r="N428" s="19"/>
      <c r="O428" s="59"/>
      <c r="P428" s="7"/>
      <c r="Q428" s="55"/>
      <c r="R428" s="55"/>
      <c r="S428" s="7"/>
      <c r="T428" s="55"/>
      <c r="U428" s="7"/>
      <c r="V428" s="55"/>
      <c r="W428" s="60"/>
      <c r="X428" s="55"/>
    </row>
    <row r="429" spans="1:24" ht="13" x14ac:dyDescent="0.15">
      <c r="A429" s="25" t="str">
        <f ca="1">IFERROR(__xludf.DUMMYFUNCTION("""COMPUTED_VALUE"""),"69930")</f>
        <v>69930</v>
      </c>
      <c r="B429" s="69">
        <f ca="1">IFERROR(__xludf.DUMMYFUNCTION("""COMPUTED_VALUE"""),44597)</f>
        <v>44597</v>
      </c>
      <c r="C429" s="69" t="str">
        <f ca="1">IFERROR(__xludf.DUMMYFUNCTION("""COMPUTED_VALUE"""),"Cash")</f>
        <v>Cash</v>
      </c>
      <c r="D429" s="5" t="str">
        <f ca="1">IFERROR(__xludf.DUMMYFUNCTION("""COMPUTED_VALUE"""),"Cash")</f>
        <v>Cash</v>
      </c>
      <c r="E429" s="5" t="str">
        <f ca="1">IFERROR(__xludf.DUMMYFUNCTION("""COMPUTED_VALUE"""),"HKD")</f>
        <v>HKD</v>
      </c>
      <c r="F429" s="55" t="str">
        <f ca="1">IFERROR(__xludf.DUMMYFUNCTION("""COMPUTED_VALUE"""),"")</f>
        <v/>
      </c>
      <c r="G429" s="56">
        <f ca="1">IFERROR(__xludf.DUMMYFUNCTION("""COMPUTED_VALUE"""),1)</f>
        <v>1</v>
      </c>
      <c r="H429" s="57">
        <f ca="1">IFERROR(__xludf.DUMMYFUNCTION("""COMPUTED_VALUE"""),1)</f>
        <v>1</v>
      </c>
      <c r="I429" s="57">
        <f ca="1">IFERROR(__xludf.DUMMYFUNCTION("""COMPUTED_VALUE"""),1)</f>
        <v>1</v>
      </c>
      <c r="J429" s="19" t="str">
        <f ca="1">IFERROR(__xludf.DUMMYFUNCTION("""COMPUTED_VALUE"""),"")</f>
        <v/>
      </c>
      <c r="K429" s="19"/>
      <c r="L429" s="19"/>
      <c r="M429" s="19"/>
      <c r="N429" s="19"/>
      <c r="O429" s="59"/>
      <c r="P429" s="7"/>
      <c r="Q429" s="55"/>
      <c r="R429" s="55"/>
      <c r="S429" s="7"/>
      <c r="T429" s="55"/>
      <c r="U429" s="7"/>
      <c r="V429" s="55"/>
      <c r="W429" s="60"/>
      <c r="X429" s="55"/>
    </row>
    <row r="430" spans="1:24" ht="13" x14ac:dyDescent="0.15">
      <c r="A430" s="25" t="str">
        <f ca="1">IFERROR(__xludf.DUMMYFUNCTION("""COMPUTED_VALUE"""),"69930")</f>
        <v>69930</v>
      </c>
      <c r="B430" s="69">
        <f ca="1">IFERROR(__xludf.DUMMYFUNCTION("""COMPUTED_VALUE"""),44603)</f>
        <v>44603</v>
      </c>
      <c r="C430" s="69" t="str">
        <f ca="1">IFERROR(__xludf.DUMMYFUNCTION("""COMPUTED_VALUE"""),"Stock")</f>
        <v>Stock</v>
      </c>
      <c r="D430" s="71" t="str">
        <f ca="1">IFERROR(__xludf.DUMMYFUNCTION("""COMPUTED_VALUE"""),"2318.HK")</f>
        <v>2318.HK</v>
      </c>
      <c r="E430" s="5" t="str">
        <f ca="1">IFERROR(__xludf.DUMMYFUNCTION("""COMPUTED_VALUE"""),"HKD")</f>
        <v>HKD</v>
      </c>
      <c r="F430" s="55">
        <f ca="1">IFERROR(__xludf.DUMMYFUNCTION("""COMPUTED_VALUE"""),100)</f>
        <v>100</v>
      </c>
      <c r="G430" s="56">
        <f ca="1">IFERROR(__xludf.DUMMYFUNCTION("""COMPUTED_VALUE"""),1)</f>
        <v>1</v>
      </c>
      <c r="H430" s="57">
        <f ca="1">IFERROR(__xludf.DUMMYFUNCTION("""COMPUTED_VALUE"""),69.3)</f>
        <v>69.3</v>
      </c>
      <c r="I430" s="57">
        <f ca="1">IFERROR(__xludf.DUMMYFUNCTION("""COMPUTED_VALUE"""),56.7)</f>
        <v>56.7</v>
      </c>
      <c r="J430" s="70" t="str">
        <f ca="1">IFERROR(__xludf.DUMMYFUNCTION("""COMPUTED_VALUE"""),"Goto link: 2318.HK")</f>
        <v>Goto link: 2318.HK</v>
      </c>
      <c r="K430" s="19"/>
      <c r="L430" s="19"/>
      <c r="M430" s="19"/>
      <c r="N430" s="19"/>
      <c r="O430" s="59"/>
      <c r="P430" s="7"/>
      <c r="Q430" s="55"/>
      <c r="R430" s="55"/>
      <c r="S430" s="7"/>
      <c r="T430" s="55"/>
      <c r="U430" s="7"/>
      <c r="V430" s="55"/>
      <c r="W430" s="60"/>
      <c r="X430" s="55"/>
    </row>
    <row r="431" spans="1:24" ht="13" x14ac:dyDescent="0.15">
      <c r="A431" s="25" t="str">
        <f ca="1">IFERROR(__xludf.DUMMYFUNCTION("""COMPUTED_VALUE"""),"69930")</f>
        <v>69930</v>
      </c>
      <c r="B431" s="69">
        <f ca="1">IFERROR(__xludf.DUMMYFUNCTION("""COMPUTED_VALUE"""),44629)</f>
        <v>44629</v>
      </c>
      <c r="C431" s="69" t="str">
        <f ca="1">IFERROR(__xludf.DUMMYFUNCTION("""COMPUTED_VALUE"""),"Stock")</f>
        <v>Stock</v>
      </c>
      <c r="D431" s="71" t="str">
        <f ca="1">IFERROR(__xludf.DUMMYFUNCTION("""COMPUTED_VALUE"""),"2318.HK")</f>
        <v>2318.HK</v>
      </c>
      <c r="E431" s="5" t="str">
        <f ca="1">IFERROR(__xludf.DUMMYFUNCTION("""COMPUTED_VALUE"""),"HKD")</f>
        <v>HKD</v>
      </c>
      <c r="F431" s="55">
        <f ca="1">IFERROR(__xludf.DUMMYFUNCTION("""COMPUTED_VALUE"""),-50)</f>
        <v>-50</v>
      </c>
      <c r="G431" s="56">
        <f ca="1">IFERROR(__xludf.DUMMYFUNCTION("""COMPUTED_VALUE"""),1)</f>
        <v>1</v>
      </c>
      <c r="H431" s="57">
        <f ca="1">IFERROR(__xludf.DUMMYFUNCTION("""COMPUTED_VALUE"""),53.35)</f>
        <v>53.35</v>
      </c>
      <c r="I431" s="57">
        <f ca="1">IFERROR(__xludf.DUMMYFUNCTION("""COMPUTED_VALUE"""),56.7)</f>
        <v>56.7</v>
      </c>
      <c r="J431" s="70" t="str">
        <f ca="1">IFERROR(__xludf.DUMMYFUNCTION("""COMPUTED_VALUE"""),"Goto link: 2318.HK")</f>
        <v>Goto link: 2318.HK</v>
      </c>
      <c r="K431" s="19"/>
      <c r="L431" s="19"/>
      <c r="M431" s="19"/>
      <c r="N431" s="19"/>
      <c r="O431" s="59"/>
      <c r="P431" s="7"/>
      <c r="Q431" s="55"/>
      <c r="R431" s="55"/>
      <c r="S431" s="7"/>
      <c r="T431" s="55"/>
      <c r="U431" s="7"/>
      <c r="V431" s="55"/>
      <c r="W431" s="60"/>
      <c r="X431" s="55"/>
    </row>
    <row r="432" spans="1:24" ht="13" x14ac:dyDescent="0.15">
      <c r="A432" s="25" t="str">
        <f ca="1">IFERROR(__xludf.DUMMYFUNCTION("""COMPUTED_VALUE"""),"69930 Total")</f>
        <v>69930 Total</v>
      </c>
      <c r="B432" s="5"/>
      <c r="C432" s="69"/>
      <c r="D432" s="5"/>
      <c r="E432" s="5"/>
      <c r="F432" s="55"/>
      <c r="G432" s="56">
        <f ca="1">IFERROR(__xludf.DUMMYFUNCTION("""COMPUTED_VALUE"""),1)</f>
        <v>1</v>
      </c>
      <c r="H432" s="57">
        <f ca="1">IFERROR(__xludf.DUMMYFUNCTION("""COMPUTED_VALUE"""),69.3)</f>
        <v>69.3</v>
      </c>
      <c r="I432" s="57" t="str">
        <f ca="1">IFERROR(__xludf.DUMMYFUNCTION("""COMPUTED_VALUE"""),"")</f>
        <v/>
      </c>
      <c r="J432" s="19" t="str">
        <f ca="1">IFERROR(__xludf.DUMMYFUNCTION("""COMPUTED_VALUE"""),"")</f>
        <v/>
      </c>
      <c r="K432" s="19"/>
      <c r="L432" s="19"/>
      <c r="M432" s="19"/>
      <c r="N432" s="19"/>
      <c r="O432" s="59"/>
      <c r="P432" s="7"/>
      <c r="Q432" s="55"/>
      <c r="R432" s="55"/>
      <c r="S432" s="7"/>
      <c r="T432" s="55"/>
      <c r="U432" s="7"/>
      <c r="V432" s="55"/>
      <c r="W432" s="60"/>
      <c r="X432" s="55"/>
    </row>
    <row r="433" spans="1:24" ht="13" x14ac:dyDescent="0.15">
      <c r="A433" s="25" t="str">
        <f ca="1">IFERROR(__xludf.DUMMYFUNCTION("""COMPUTED_VALUE"""),"70227")</f>
        <v>70227</v>
      </c>
      <c r="B433" s="69">
        <f ca="1">IFERROR(__xludf.DUMMYFUNCTION("""COMPUTED_VALUE"""),44597)</f>
        <v>44597</v>
      </c>
      <c r="C433" s="69" t="str">
        <f ca="1">IFERROR(__xludf.DUMMYFUNCTION("""COMPUTED_VALUE"""),"Cash")</f>
        <v>Cash</v>
      </c>
      <c r="D433" s="5" t="str">
        <f ca="1">IFERROR(__xludf.DUMMYFUNCTION("""COMPUTED_VALUE"""),"Cash")</f>
        <v>Cash</v>
      </c>
      <c r="E433" s="5" t="str">
        <f ca="1">IFERROR(__xludf.DUMMYFUNCTION("""COMPUTED_VALUE"""),"HKD")</f>
        <v>HKD</v>
      </c>
      <c r="F433" s="55" t="str">
        <f ca="1">IFERROR(__xludf.DUMMYFUNCTION("""COMPUTED_VALUE"""),"")</f>
        <v/>
      </c>
      <c r="G433" s="56">
        <f ca="1">IFERROR(__xludf.DUMMYFUNCTION("""COMPUTED_VALUE"""),1)</f>
        <v>1</v>
      </c>
      <c r="H433" s="57">
        <f ca="1">IFERROR(__xludf.DUMMYFUNCTION("""COMPUTED_VALUE"""),1)</f>
        <v>1</v>
      </c>
      <c r="I433" s="57">
        <f ca="1">IFERROR(__xludf.DUMMYFUNCTION("""COMPUTED_VALUE"""),1)</f>
        <v>1</v>
      </c>
      <c r="J433" s="19" t="str">
        <f ca="1">IFERROR(__xludf.DUMMYFUNCTION("""COMPUTED_VALUE"""),"")</f>
        <v/>
      </c>
      <c r="K433" s="19"/>
      <c r="L433" s="19"/>
      <c r="M433" s="19"/>
      <c r="N433" s="19"/>
      <c r="O433" s="59"/>
      <c r="P433" s="7"/>
      <c r="Q433" s="55"/>
      <c r="R433" s="55"/>
      <c r="S433" s="7"/>
      <c r="T433" s="55"/>
      <c r="U433" s="7"/>
      <c r="V433" s="55"/>
      <c r="W433" s="60"/>
      <c r="X433" s="55"/>
    </row>
    <row r="434" spans="1:24" ht="13" x14ac:dyDescent="0.15">
      <c r="A434" s="25" t="str">
        <f ca="1">IFERROR(__xludf.DUMMYFUNCTION("""COMPUTED_VALUE"""),"70227 Total")</f>
        <v>70227 Total</v>
      </c>
      <c r="B434" s="5"/>
      <c r="C434" s="69"/>
      <c r="D434" s="5"/>
      <c r="E434" s="5"/>
      <c r="F434" s="55"/>
      <c r="G434" s="56">
        <f ca="1">IFERROR(__xludf.DUMMYFUNCTION("""COMPUTED_VALUE"""),1)</f>
        <v>1</v>
      </c>
      <c r="H434" s="57">
        <f ca="1">IFERROR(__xludf.DUMMYFUNCTION("""COMPUTED_VALUE"""),1)</f>
        <v>1</v>
      </c>
      <c r="I434" s="57" t="str">
        <f ca="1">IFERROR(__xludf.DUMMYFUNCTION("""COMPUTED_VALUE"""),"")</f>
        <v/>
      </c>
      <c r="J434" s="19" t="str">
        <f ca="1">IFERROR(__xludf.DUMMYFUNCTION("""COMPUTED_VALUE"""),"")</f>
        <v/>
      </c>
      <c r="K434" s="19"/>
      <c r="L434" s="19"/>
      <c r="M434" s="19"/>
      <c r="N434" s="19"/>
      <c r="O434" s="59"/>
      <c r="P434" s="7"/>
      <c r="Q434" s="55"/>
      <c r="R434" s="55"/>
      <c r="S434" s="7"/>
      <c r="T434" s="55"/>
      <c r="U434" s="7"/>
      <c r="V434" s="55"/>
      <c r="W434" s="60"/>
      <c r="X434" s="55"/>
    </row>
    <row r="435" spans="1:24" ht="13" x14ac:dyDescent="0.15">
      <c r="A435" s="25" t="str">
        <f ca="1">IFERROR(__xludf.DUMMYFUNCTION("""COMPUTED_VALUE"""),"70236")</f>
        <v>70236</v>
      </c>
      <c r="B435" s="69">
        <f ca="1">IFERROR(__xludf.DUMMYFUNCTION("""COMPUTED_VALUE"""),44597)</f>
        <v>44597</v>
      </c>
      <c r="C435" s="69" t="str">
        <f ca="1">IFERROR(__xludf.DUMMYFUNCTION("""COMPUTED_VALUE"""),"Cash")</f>
        <v>Cash</v>
      </c>
      <c r="D435" s="5" t="str">
        <f ca="1">IFERROR(__xludf.DUMMYFUNCTION("""COMPUTED_VALUE"""),"Cash")</f>
        <v>Cash</v>
      </c>
      <c r="E435" s="5" t="str">
        <f ca="1">IFERROR(__xludf.DUMMYFUNCTION("""COMPUTED_VALUE"""),"HKD")</f>
        <v>HKD</v>
      </c>
      <c r="F435" s="55" t="str">
        <f ca="1">IFERROR(__xludf.DUMMYFUNCTION("""COMPUTED_VALUE"""),"")</f>
        <v/>
      </c>
      <c r="G435" s="56">
        <f ca="1">IFERROR(__xludf.DUMMYFUNCTION("""COMPUTED_VALUE"""),1)</f>
        <v>1</v>
      </c>
      <c r="H435" s="57">
        <f ca="1">IFERROR(__xludf.DUMMYFUNCTION("""COMPUTED_VALUE"""),1)</f>
        <v>1</v>
      </c>
      <c r="I435" s="57">
        <f ca="1">IFERROR(__xludf.DUMMYFUNCTION("""COMPUTED_VALUE"""),1)</f>
        <v>1</v>
      </c>
      <c r="J435" s="19" t="str">
        <f ca="1">IFERROR(__xludf.DUMMYFUNCTION("""COMPUTED_VALUE"""),"")</f>
        <v/>
      </c>
      <c r="K435" s="19"/>
      <c r="L435" s="19"/>
      <c r="M435" s="19"/>
      <c r="N435" s="19"/>
      <c r="O435" s="59"/>
      <c r="P435" s="7"/>
      <c r="Q435" s="55"/>
      <c r="R435" s="55"/>
      <c r="S435" s="7"/>
      <c r="T435" s="55"/>
      <c r="U435" s="7"/>
      <c r="V435" s="55"/>
      <c r="W435" s="60"/>
      <c r="X435" s="55"/>
    </row>
    <row r="436" spans="1:24" ht="13" x14ac:dyDescent="0.15">
      <c r="A436" s="25" t="str">
        <f ca="1">IFERROR(__xludf.DUMMYFUNCTION("""COMPUTED_VALUE"""),"70236 Total")</f>
        <v>70236 Total</v>
      </c>
      <c r="B436" s="5"/>
      <c r="C436" s="69"/>
      <c r="D436" s="5"/>
      <c r="E436" s="5"/>
      <c r="F436" s="55"/>
      <c r="G436" s="56">
        <f ca="1">IFERROR(__xludf.DUMMYFUNCTION("""COMPUTED_VALUE"""),1)</f>
        <v>1</v>
      </c>
      <c r="H436" s="57">
        <f ca="1">IFERROR(__xludf.DUMMYFUNCTION("""COMPUTED_VALUE"""),1)</f>
        <v>1</v>
      </c>
      <c r="I436" s="57" t="str">
        <f ca="1">IFERROR(__xludf.DUMMYFUNCTION("""COMPUTED_VALUE"""),"")</f>
        <v/>
      </c>
      <c r="J436" s="19" t="str">
        <f ca="1">IFERROR(__xludf.DUMMYFUNCTION("""COMPUTED_VALUE"""),"")</f>
        <v/>
      </c>
      <c r="K436" s="19"/>
      <c r="L436" s="19"/>
      <c r="M436" s="19"/>
      <c r="N436" s="19"/>
      <c r="O436" s="59"/>
      <c r="P436" s="7"/>
      <c r="Q436" s="55"/>
      <c r="R436" s="55"/>
      <c r="S436" s="7"/>
      <c r="T436" s="55"/>
      <c r="U436" s="7"/>
      <c r="V436" s="55"/>
      <c r="W436" s="60"/>
      <c r="X436" s="55"/>
    </row>
    <row r="437" spans="1:24" ht="13" x14ac:dyDescent="0.15">
      <c r="A437" s="25" t="str">
        <f ca="1">IFERROR(__xludf.DUMMYFUNCTION("""COMPUTED_VALUE"""),"70628")</f>
        <v>70628</v>
      </c>
      <c r="B437" s="69">
        <f ca="1">IFERROR(__xludf.DUMMYFUNCTION("""COMPUTED_VALUE"""),44597)</f>
        <v>44597</v>
      </c>
      <c r="C437" s="69" t="str">
        <f ca="1">IFERROR(__xludf.DUMMYFUNCTION("""COMPUTED_VALUE"""),"Cash")</f>
        <v>Cash</v>
      </c>
      <c r="D437" s="5" t="str">
        <f ca="1">IFERROR(__xludf.DUMMYFUNCTION("""COMPUTED_VALUE"""),"Cash")</f>
        <v>Cash</v>
      </c>
      <c r="E437" s="5" t="str">
        <f ca="1">IFERROR(__xludf.DUMMYFUNCTION("""COMPUTED_VALUE"""),"HKD")</f>
        <v>HKD</v>
      </c>
      <c r="F437" s="55" t="str">
        <f ca="1">IFERROR(__xludf.DUMMYFUNCTION("""COMPUTED_VALUE"""),"")</f>
        <v/>
      </c>
      <c r="G437" s="56">
        <f ca="1">IFERROR(__xludf.DUMMYFUNCTION("""COMPUTED_VALUE"""),1)</f>
        <v>1</v>
      </c>
      <c r="H437" s="57">
        <f ca="1">IFERROR(__xludf.DUMMYFUNCTION("""COMPUTED_VALUE"""),1)</f>
        <v>1</v>
      </c>
      <c r="I437" s="57">
        <f ca="1">IFERROR(__xludf.DUMMYFUNCTION("""COMPUTED_VALUE"""),1)</f>
        <v>1</v>
      </c>
      <c r="J437" s="19" t="str">
        <f ca="1">IFERROR(__xludf.DUMMYFUNCTION("""COMPUTED_VALUE"""),"")</f>
        <v/>
      </c>
      <c r="K437" s="19"/>
      <c r="L437" s="19"/>
      <c r="M437" s="19"/>
      <c r="N437" s="19"/>
      <c r="O437" s="59"/>
      <c r="P437" s="7"/>
      <c r="Q437" s="55"/>
      <c r="R437" s="55"/>
      <c r="S437" s="7"/>
      <c r="T437" s="55"/>
      <c r="U437" s="7"/>
      <c r="V437" s="55"/>
      <c r="W437" s="60"/>
      <c r="X437" s="55"/>
    </row>
    <row r="438" spans="1:24" ht="13" x14ac:dyDescent="0.15">
      <c r="A438" s="25" t="str">
        <f ca="1">IFERROR(__xludf.DUMMYFUNCTION("""COMPUTED_VALUE"""),"70628")</f>
        <v>70628</v>
      </c>
      <c r="B438" s="69">
        <f ca="1">IFERROR(__xludf.DUMMYFUNCTION("""COMPUTED_VALUE"""),44607)</f>
        <v>44607</v>
      </c>
      <c r="C438" s="69" t="str">
        <f ca="1">IFERROR(__xludf.DUMMYFUNCTION("""COMPUTED_VALUE"""),"Stock")</f>
        <v>Stock</v>
      </c>
      <c r="D438" s="71" t="str">
        <f ca="1">IFERROR(__xludf.DUMMYFUNCTION("""COMPUTED_VALUE"""),"1610.HK")</f>
        <v>1610.HK</v>
      </c>
      <c r="E438" s="5" t="str">
        <f ca="1">IFERROR(__xludf.DUMMYFUNCTION("""COMPUTED_VALUE"""),"HKD")</f>
        <v>HKD</v>
      </c>
      <c r="F438" s="55">
        <f ca="1">IFERROR(__xludf.DUMMYFUNCTION("""COMPUTED_VALUE"""),0)</f>
        <v>0</v>
      </c>
      <c r="G438" s="56">
        <f ca="1">IFERROR(__xludf.DUMMYFUNCTION("""COMPUTED_VALUE"""),1)</f>
        <v>1</v>
      </c>
      <c r="H438" s="57">
        <f ca="1">IFERROR(__xludf.DUMMYFUNCTION("""COMPUTED_VALUE"""),0)</f>
        <v>0</v>
      </c>
      <c r="I438" s="57">
        <f ca="1">IFERROR(__xludf.DUMMYFUNCTION("""COMPUTED_VALUE"""),3.36)</f>
        <v>3.36</v>
      </c>
      <c r="J438" s="70" t="str">
        <f ca="1">IFERROR(__xludf.DUMMYFUNCTION("""COMPUTED_VALUE"""),"Goto link: 1610.HK")</f>
        <v>Goto link: 1610.HK</v>
      </c>
      <c r="K438" s="19"/>
      <c r="L438" s="19"/>
      <c r="M438" s="19"/>
      <c r="N438" s="19"/>
      <c r="O438" s="59"/>
      <c r="P438" s="7"/>
      <c r="Q438" s="55"/>
      <c r="R438" s="55"/>
      <c r="S438" s="7"/>
      <c r="T438" s="55"/>
      <c r="U438" s="7"/>
      <c r="V438" s="55"/>
      <c r="W438" s="60"/>
      <c r="X438" s="55"/>
    </row>
    <row r="439" spans="1:24" ht="13" x14ac:dyDescent="0.15">
      <c r="A439" s="25" t="str">
        <f ca="1">IFERROR(__xludf.DUMMYFUNCTION("""COMPUTED_VALUE"""),"70628")</f>
        <v>70628</v>
      </c>
      <c r="B439" s="69">
        <f ca="1">IFERROR(__xludf.DUMMYFUNCTION("""COMPUTED_VALUE"""),44607)</f>
        <v>44607</v>
      </c>
      <c r="C439" s="69" t="str">
        <f ca="1">IFERROR(__xludf.DUMMYFUNCTION("""COMPUTED_VALUE"""),"Stock")</f>
        <v>Stock</v>
      </c>
      <c r="D439" s="71" t="str">
        <f ca="1">IFERROR(__xludf.DUMMYFUNCTION("""COMPUTED_VALUE"""),"1810.HK")</f>
        <v>1810.HK</v>
      </c>
      <c r="E439" s="5" t="str">
        <f ca="1">IFERROR(__xludf.DUMMYFUNCTION("""COMPUTED_VALUE"""),"HKD")</f>
        <v>HKD</v>
      </c>
      <c r="F439" s="55">
        <f ca="1">IFERROR(__xludf.DUMMYFUNCTION("""COMPUTED_VALUE"""),0)</f>
        <v>0</v>
      </c>
      <c r="G439" s="56">
        <f ca="1">IFERROR(__xludf.DUMMYFUNCTION("""COMPUTED_VALUE"""),1)</f>
        <v>1</v>
      </c>
      <c r="H439" s="57">
        <f ca="1">IFERROR(__xludf.DUMMYFUNCTION("""COMPUTED_VALUE"""),0)</f>
        <v>0</v>
      </c>
      <c r="I439" s="57">
        <f ca="1">IFERROR(__xludf.DUMMYFUNCTION("""COMPUTED_VALUE"""),14.78)</f>
        <v>14.78</v>
      </c>
      <c r="J439" s="70" t="str">
        <f ca="1">IFERROR(__xludf.DUMMYFUNCTION("""COMPUTED_VALUE"""),"Goto link: 1810.HK")</f>
        <v>Goto link: 1810.HK</v>
      </c>
      <c r="K439" s="19"/>
      <c r="L439" s="19"/>
      <c r="M439" s="19"/>
      <c r="N439" s="19"/>
      <c r="O439" s="59"/>
      <c r="P439" s="7"/>
      <c r="Q439" s="55"/>
      <c r="R439" s="55"/>
      <c r="S439" s="7"/>
      <c r="T439" s="55"/>
      <c r="U439" s="7"/>
      <c r="V439" s="55"/>
      <c r="W439" s="60"/>
      <c r="X439" s="55"/>
    </row>
    <row r="440" spans="1:24" ht="13" x14ac:dyDescent="0.15">
      <c r="A440" s="25" t="str">
        <f ca="1">IFERROR(__xludf.DUMMYFUNCTION("""COMPUTED_VALUE"""),"70628")</f>
        <v>70628</v>
      </c>
      <c r="B440" s="69">
        <f ca="1">IFERROR(__xludf.DUMMYFUNCTION("""COMPUTED_VALUE"""),44607)</f>
        <v>44607</v>
      </c>
      <c r="C440" s="69" t="str">
        <f ca="1">IFERROR(__xludf.DUMMYFUNCTION("""COMPUTED_VALUE"""),"Stock")</f>
        <v>Stock</v>
      </c>
      <c r="D440" s="71" t="str">
        <f ca="1">IFERROR(__xludf.DUMMYFUNCTION("""COMPUTED_VALUE"""),"2333.HK")</f>
        <v>2333.HK</v>
      </c>
      <c r="E440" s="5" t="str">
        <f ca="1">IFERROR(__xludf.DUMMYFUNCTION("""COMPUTED_VALUE"""),"HKD")</f>
        <v>HKD</v>
      </c>
      <c r="F440" s="55">
        <f ca="1">IFERROR(__xludf.DUMMYFUNCTION("""COMPUTED_VALUE"""),0)</f>
        <v>0</v>
      </c>
      <c r="G440" s="56">
        <f ca="1">IFERROR(__xludf.DUMMYFUNCTION("""COMPUTED_VALUE"""),1)</f>
        <v>1</v>
      </c>
      <c r="H440" s="57">
        <f ca="1">IFERROR(__xludf.DUMMYFUNCTION("""COMPUTED_VALUE"""),0)</f>
        <v>0</v>
      </c>
      <c r="I440" s="57">
        <f ca="1">IFERROR(__xludf.DUMMYFUNCTION("""COMPUTED_VALUE"""),13.08)</f>
        <v>13.08</v>
      </c>
      <c r="J440" s="70" t="str">
        <f ca="1">IFERROR(__xludf.DUMMYFUNCTION("""COMPUTED_VALUE"""),"Goto link: 2333.HK")</f>
        <v>Goto link: 2333.HK</v>
      </c>
      <c r="K440" s="19"/>
      <c r="L440" s="19"/>
      <c r="M440" s="19"/>
      <c r="N440" s="19"/>
      <c r="O440" s="59"/>
      <c r="P440" s="7"/>
      <c r="Q440" s="55"/>
      <c r="R440" s="55"/>
      <c r="S440" s="7"/>
      <c r="T440" s="55"/>
      <c r="U440" s="7"/>
      <c r="V440" s="55"/>
      <c r="W440" s="60"/>
      <c r="X440" s="55"/>
    </row>
    <row r="441" spans="1:24" ht="13" x14ac:dyDescent="0.15">
      <c r="A441" s="25" t="str">
        <f ca="1">IFERROR(__xludf.DUMMYFUNCTION("""COMPUTED_VALUE"""),"70628")</f>
        <v>70628</v>
      </c>
      <c r="B441" s="69">
        <f ca="1">IFERROR(__xludf.DUMMYFUNCTION("""COMPUTED_VALUE"""),44607)</f>
        <v>44607</v>
      </c>
      <c r="C441" s="69" t="str">
        <f ca="1">IFERROR(__xludf.DUMMYFUNCTION("""COMPUTED_VALUE"""),"Stock")</f>
        <v>Stock</v>
      </c>
      <c r="D441" s="71" t="str">
        <f ca="1">IFERROR(__xludf.DUMMYFUNCTION("""COMPUTED_VALUE"""),"3339.HK")</f>
        <v>3339.HK</v>
      </c>
      <c r="E441" s="5" t="str">
        <f ca="1">IFERROR(__xludf.DUMMYFUNCTION("""COMPUTED_VALUE"""),"HKD")</f>
        <v>HKD</v>
      </c>
      <c r="F441" s="55">
        <f ca="1">IFERROR(__xludf.DUMMYFUNCTION("""COMPUTED_VALUE"""),0)</f>
        <v>0</v>
      </c>
      <c r="G441" s="56">
        <f ca="1">IFERROR(__xludf.DUMMYFUNCTION("""COMPUTED_VALUE"""),1)</f>
        <v>1</v>
      </c>
      <c r="H441" s="57">
        <f ca="1">IFERROR(__xludf.DUMMYFUNCTION("""COMPUTED_VALUE"""),0)</f>
        <v>0</v>
      </c>
      <c r="I441" s="57">
        <f ca="1">IFERROR(__xludf.DUMMYFUNCTION("""COMPUTED_VALUE"""),2.15)</f>
        <v>2.15</v>
      </c>
      <c r="J441" s="70" t="str">
        <f ca="1">IFERROR(__xludf.DUMMYFUNCTION("""COMPUTED_VALUE"""),"Goto link: 3339.HK")</f>
        <v>Goto link: 3339.HK</v>
      </c>
      <c r="K441" s="19"/>
      <c r="L441" s="19"/>
      <c r="M441" s="19"/>
      <c r="N441" s="19"/>
      <c r="O441" s="59"/>
      <c r="P441" s="7"/>
      <c r="Q441" s="55"/>
      <c r="R441" s="55"/>
      <c r="S441" s="7"/>
      <c r="T441" s="55"/>
      <c r="U441" s="7"/>
      <c r="V441" s="55"/>
      <c r="W441" s="60"/>
      <c r="X441" s="55"/>
    </row>
    <row r="442" spans="1:24" ht="13" x14ac:dyDescent="0.15">
      <c r="A442" s="25" t="str">
        <f ca="1">IFERROR(__xludf.DUMMYFUNCTION("""COMPUTED_VALUE"""),"70628")</f>
        <v>70628</v>
      </c>
      <c r="B442" s="69">
        <f ca="1">IFERROR(__xludf.DUMMYFUNCTION("""COMPUTED_VALUE"""),44608)</f>
        <v>44608</v>
      </c>
      <c r="C442" s="69" t="str">
        <f ca="1">IFERROR(__xludf.DUMMYFUNCTION("""COMPUTED_VALUE"""),"Stock")</f>
        <v>Stock</v>
      </c>
      <c r="D442" s="71" t="str">
        <f ca="1">IFERROR(__xludf.DUMMYFUNCTION("""COMPUTED_VALUE"""),"1810.HK")</f>
        <v>1810.HK</v>
      </c>
      <c r="E442" s="5" t="str">
        <f ca="1">IFERROR(__xludf.DUMMYFUNCTION("""COMPUTED_VALUE"""),"HKD")</f>
        <v>HKD</v>
      </c>
      <c r="F442" s="55">
        <f ca="1">IFERROR(__xludf.DUMMYFUNCTION("""COMPUTED_VALUE"""),9000)</f>
        <v>9000</v>
      </c>
      <c r="G442" s="56">
        <f ca="1">IFERROR(__xludf.DUMMYFUNCTION("""COMPUTED_VALUE"""),1)</f>
        <v>1</v>
      </c>
      <c r="H442" s="57">
        <f ca="1">IFERROR(__xludf.DUMMYFUNCTION("""COMPUTED_VALUE"""),16.6)</f>
        <v>16.600000000000001</v>
      </c>
      <c r="I442" s="57">
        <f ca="1">IFERROR(__xludf.DUMMYFUNCTION("""COMPUTED_VALUE"""),14.78)</f>
        <v>14.78</v>
      </c>
      <c r="J442" s="70" t="str">
        <f ca="1">IFERROR(__xludf.DUMMYFUNCTION("""COMPUTED_VALUE"""),"Goto link: 1810.HK")</f>
        <v>Goto link: 1810.HK</v>
      </c>
      <c r="K442" s="19"/>
      <c r="L442" s="19"/>
      <c r="M442" s="19"/>
      <c r="N442" s="19"/>
      <c r="O442" s="59"/>
      <c r="P442" s="7"/>
      <c r="Q442" s="55"/>
      <c r="R442" s="55"/>
      <c r="S442" s="7"/>
      <c r="T442" s="55"/>
      <c r="U442" s="7"/>
      <c r="V442" s="55"/>
      <c r="W442" s="60"/>
      <c r="X442" s="55"/>
    </row>
    <row r="443" spans="1:24" ht="13" x14ac:dyDescent="0.15">
      <c r="A443" s="25" t="str">
        <f ca="1">IFERROR(__xludf.DUMMYFUNCTION("""COMPUTED_VALUE"""),"70628")</f>
        <v>70628</v>
      </c>
      <c r="B443" s="69">
        <f ca="1">IFERROR(__xludf.DUMMYFUNCTION("""COMPUTED_VALUE"""),44608)</f>
        <v>44608</v>
      </c>
      <c r="C443" s="69" t="str">
        <f ca="1">IFERROR(__xludf.DUMMYFUNCTION("""COMPUTED_VALUE"""),"Stock")</f>
        <v>Stock</v>
      </c>
      <c r="D443" s="71" t="str">
        <f ca="1">IFERROR(__xludf.DUMMYFUNCTION("""COMPUTED_VALUE"""),"2333.HK")</f>
        <v>2333.HK</v>
      </c>
      <c r="E443" s="5" t="str">
        <f ca="1">IFERROR(__xludf.DUMMYFUNCTION("""COMPUTED_VALUE"""),"HKD")</f>
        <v>HKD</v>
      </c>
      <c r="F443" s="55">
        <f ca="1">IFERROR(__xludf.DUMMYFUNCTION("""COMPUTED_VALUE"""),0)</f>
        <v>0</v>
      </c>
      <c r="G443" s="56">
        <f ca="1">IFERROR(__xludf.DUMMYFUNCTION("""COMPUTED_VALUE"""),1)</f>
        <v>1</v>
      </c>
      <c r="H443" s="57">
        <f ca="1">IFERROR(__xludf.DUMMYFUNCTION("""COMPUTED_VALUE"""),0)</f>
        <v>0</v>
      </c>
      <c r="I443" s="57">
        <f ca="1">IFERROR(__xludf.DUMMYFUNCTION("""COMPUTED_VALUE"""),13.08)</f>
        <v>13.08</v>
      </c>
      <c r="J443" s="70" t="str">
        <f ca="1">IFERROR(__xludf.DUMMYFUNCTION("""COMPUTED_VALUE"""),"Goto link: 2333.HK")</f>
        <v>Goto link: 2333.HK</v>
      </c>
      <c r="K443" s="19"/>
      <c r="L443" s="19"/>
      <c r="M443" s="19"/>
      <c r="N443" s="19"/>
      <c r="O443" s="59"/>
      <c r="P443" s="7"/>
      <c r="Q443" s="55"/>
      <c r="R443" s="55"/>
      <c r="S443" s="7"/>
      <c r="T443" s="55"/>
      <c r="U443" s="7"/>
      <c r="V443" s="55"/>
      <c r="W443" s="60"/>
      <c r="X443" s="55"/>
    </row>
    <row r="444" spans="1:24" ht="13" x14ac:dyDescent="0.15">
      <c r="A444" s="25" t="str">
        <f ca="1">IFERROR(__xludf.DUMMYFUNCTION("""COMPUTED_VALUE"""),"70628")</f>
        <v>70628</v>
      </c>
      <c r="B444" s="69">
        <f ca="1">IFERROR(__xludf.DUMMYFUNCTION("""COMPUTED_VALUE"""),44608)</f>
        <v>44608</v>
      </c>
      <c r="C444" s="69" t="str">
        <f ca="1">IFERROR(__xludf.DUMMYFUNCTION("""COMPUTED_VALUE"""),"Stock")</f>
        <v>Stock</v>
      </c>
      <c r="D444" s="71" t="str">
        <f ca="1">IFERROR(__xludf.DUMMYFUNCTION("""COMPUTED_VALUE"""),"3339.HK")</f>
        <v>3339.HK</v>
      </c>
      <c r="E444" s="5" t="str">
        <f ca="1">IFERROR(__xludf.DUMMYFUNCTION("""COMPUTED_VALUE"""),"HKD")</f>
        <v>HKD</v>
      </c>
      <c r="F444" s="55">
        <f ca="1">IFERROR(__xludf.DUMMYFUNCTION("""COMPUTED_VALUE"""),30000)</f>
        <v>30000</v>
      </c>
      <c r="G444" s="56">
        <f ca="1">IFERROR(__xludf.DUMMYFUNCTION("""COMPUTED_VALUE"""),1)</f>
        <v>1</v>
      </c>
      <c r="H444" s="57">
        <f ca="1">IFERROR(__xludf.DUMMYFUNCTION("""COMPUTED_VALUE"""),2.1)</f>
        <v>2.1</v>
      </c>
      <c r="I444" s="57">
        <f ca="1">IFERROR(__xludf.DUMMYFUNCTION("""COMPUTED_VALUE"""),2.15)</f>
        <v>2.15</v>
      </c>
      <c r="J444" s="70" t="str">
        <f ca="1">IFERROR(__xludf.DUMMYFUNCTION("""COMPUTED_VALUE"""),"Goto link: 3339.HK")</f>
        <v>Goto link: 3339.HK</v>
      </c>
      <c r="K444" s="19"/>
      <c r="L444" s="19"/>
      <c r="M444" s="19"/>
      <c r="N444" s="19"/>
      <c r="O444" s="59"/>
      <c r="P444" s="7"/>
      <c r="Q444" s="55"/>
      <c r="R444" s="55"/>
      <c r="S444" s="7"/>
      <c r="T444" s="55"/>
      <c r="U444" s="7"/>
      <c r="V444" s="55"/>
      <c r="W444" s="60"/>
      <c r="X444" s="55"/>
    </row>
    <row r="445" spans="1:24" ht="13" x14ac:dyDescent="0.15">
      <c r="A445" s="25" t="str">
        <f ca="1">IFERROR(__xludf.DUMMYFUNCTION("""COMPUTED_VALUE"""),"70628")</f>
        <v>70628</v>
      </c>
      <c r="B445" s="69">
        <f ca="1">IFERROR(__xludf.DUMMYFUNCTION("""COMPUTED_VALUE"""),44608)</f>
        <v>44608</v>
      </c>
      <c r="C445" s="69" t="str">
        <f ca="1">IFERROR(__xludf.DUMMYFUNCTION("""COMPUTED_VALUE"""),"Stock")</f>
        <v>Stock</v>
      </c>
      <c r="D445" s="71" t="str">
        <f ca="1">IFERROR(__xludf.DUMMYFUNCTION("""COMPUTED_VALUE"""),"3339.HK")</f>
        <v>3339.HK</v>
      </c>
      <c r="E445" s="5" t="str">
        <f ca="1">IFERROR(__xludf.DUMMYFUNCTION("""COMPUTED_VALUE"""),"HKD")</f>
        <v>HKD</v>
      </c>
      <c r="F445" s="55">
        <f ca="1">IFERROR(__xludf.DUMMYFUNCTION("""COMPUTED_VALUE"""),50000)</f>
        <v>50000</v>
      </c>
      <c r="G445" s="56">
        <f ca="1">IFERROR(__xludf.DUMMYFUNCTION("""COMPUTED_VALUE"""),1)</f>
        <v>1</v>
      </c>
      <c r="H445" s="57">
        <f ca="1">IFERROR(__xludf.DUMMYFUNCTION("""COMPUTED_VALUE"""),2.1)</f>
        <v>2.1</v>
      </c>
      <c r="I445" s="57">
        <f ca="1">IFERROR(__xludf.DUMMYFUNCTION("""COMPUTED_VALUE"""),2.15)</f>
        <v>2.15</v>
      </c>
      <c r="J445" s="70" t="str">
        <f ca="1">IFERROR(__xludf.DUMMYFUNCTION("""COMPUTED_VALUE"""),"Goto link: 3339.HK")</f>
        <v>Goto link: 3339.HK</v>
      </c>
      <c r="K445" s="19"/>
      <c r="L445" s="19"/>
      <c r="M445" s="19"/>
      <c r="N445" s="19"/>
      <c r="O445" s="59"/>
      <c r="P445" s="7"/>
      <c r="Q445" s="55"/>
      <c r="R445" s="55"/>
      <c r="S445" s="7"/>
      <c r="T445" s="55"/>
      <c r="U445" s="7"/>
      <c r="V445" s="55"/>
      <c r="W445" s="60"/>
      <c r="X445" s="55"/>
    </row>
    <row r="446" spans="1:24" ht="13" x14ac:dyDescent="0.15">
      <c r="A446" s="25" t="str">
        <f ca="1">IFERROR(__xludf.DUMMYFUNCTION("""COMPUTED_VALUE"""),"70628")</f>
        <v>70628</v>
      </c>
      <c r="B446" s="69">
        <f ca="1">IFERROR(__xludf.DUMMYFUNCTION("""COMPUTED_VALUE"""),44610)</f>
        <v>44610</v>
      </c>
      <c r="C446" s="69" t="str">
        <f ca="1">IFERROR(__xludf.DUMMYFUNCTION("""COMPUTED_VALUE"""),"Stock")</f>
        <v>Stock</v>
      </c>
      <c r="D446" s="71" t="str">
        <f ca="1">IFERROR(__xludf.DUMMYFUNCTION("""COMPUTED_VALUE"""),"0175.HK")</f>
        <v>0175.HK</v>
      </c>
      <c r="E446" s="5" t="str">
        <f ca="1">IFERROR(__xludf.DUMMYFUNCTION("""COMPUTED_VALUE"""),"HKD")</f>
        <v>HKD</v>
      </c>
      <c r="F446" s="55">
        <f ca="1">IFERROR(__xludf.DUMMYFUNCTION("""COMPUTED_VALUE"""),16.85)</f>
        <v>16.850000000000001</v>
      </c>
      <c r="G446" s="56">
        <f ca="1">IFERROR(__xludf.DUMMYFUNCTION("""COMPUTED_VALUE"""),1)</f>
        <v>1</v>
      </c>
      <c r="H446" s="57">
        <f ca="1">IFERROR(__xludf.DUMMYFUNCTION("""COMPUTED_VALUE"""),16.66)</f>
        <v>16.66</v>
      </c>
      <c r="I446" s="57">
        <f ca="1">IFERROR(__xludf.DUMMYFUNCTION("""COMPUTED_VALUE"""),11.96)</f>
        <v>11.96</v>
      </c>
      <c r="J446" s="70" t="str">
        <f ca="1">IFERROR(__xludf.DUMMYFUNCTION("""COMPUTED_VALUE"""),"Goto link: 0175.HK")</f>
        <v>Goto link: 0175.HK</v>
      </c>
      <c r="K446" s="19"/>
      <c r="L446" s="19"/>
      <c r="M446" s="19"/>
      <c r="N446" s="19"/>
      <c r="O446" s="59"/>
      <c r="P446" s="7"/>
      <c r="Q446" s="55"/>
      <c r="R446" s="55"/>
      <c r="S446" s="7"/>
      <c r="T446" s="55"/>
      <c r="U446" s="7"/>
      <c r="V446" s="55"/>
      <c r="W446" s="60"/>
      <c r="X446" s="55"/>
    </row>
    <row r="447" spans="1:24" ht="13" x14ac:dyDescent="0.15">
      <c r="A447" s="25" t="str">
        <f ca="1">IFERROR(__xludf.DUMMYFUNCTION("""COMPUTED_VALUE"""),"70628")</f>
        <v>70628</v>
      </c>
      <c r="B447" s="69">
        <f ca="1">IFERROR(__xludf.DUMMYFUNCTION("""COMPUTED_VALUE"""),44610)</f>
        <v>44610</v>
      </c>
      <c r="C447" s="69" t="str">
        <f ca="1">IFERROR(__xludf.DUMMYFUNCTION("""COMPUTED_VALUE"""),"Stock")</f>
        <v>Stock</v>
      </c>
      <c r="D447" s="71" t="str">
        <f ca="1">IFERROR(__xludf.DUMMYFUNCTION("""COMPUTED_VALUE"""),"2333.HK")</f>
        <v>2333.HK</v>
      </c>
      <c r="E447" s="5" t="str">
        <f ca="1">IFERROR(__xludf.DUMMYFUNCTION("""COMPUTED_VALUE"""),"HKD")</f>
        <v>HKD</v>
      </c>
      <c r="F447" s="55">
        <f ca="1">IFERROR(__xludf.DUMMYFUNCTION("""COMPUTED_VALUE"""),4000)</f>
        <v>4000</v>
      </c>
      <c r="G447" s="56">
        <f ca="1">IFERROR(__xludf.DUMMYFUNCTION("""COMPUTED_VALUE"""),1)</f>
        <v>1</v>
      </c>
      <c r="H447" s="57">
        <f ca="1">IFERROR(__xludf.DUMMYFUNCTION("""COMPUTED_VALUE"""),19.2)</f>
        <v>19.2</v>
      </c>
      <c r="I447" s="57">
        <f ca="1">IFERROR(__xludf.DUMMYFUNCTION("""COMPUTED_VALUE"""),13.08)</f>
        <v>13.08</v>
      </c>
      <c r="J447" s="70" t="str">
        <f ca="1">IFERROR(__xludf.DUMMYFUNCTION("""COMPUTED_VALUE"""),"Goto link: 2333.HK")</f>
        <v>Goto link: 2333.HK</v>
      </c>
      <c r="K447" s="19"/>
      <c r="L447" s="19"/>
      <c r="M447" s="19"/>
      <c r="N447" s="19"/>
      <c r="O447" s="59"/>
      <c r="P447" s="7"/>
      <c r="Q447" s="55"/>
      <c r="R447" s="55"/>
      <c r="S447" s="7"/>
      <c r="T447" s="55"/>
      <c r="U447" s="7"/>
      <c r="V447" s="55"/>
      <c r="W447" s="60"/>
      <c r="X447" s="55"/>
    </row>
    <row r="448" spans="1:24" ht="13" x14ac:dyDescent="0.15">
      <c r="A448" s="25" t="str">
        <f ca="1">IFERROR(__xludf.DUMMYFUNCTION("""COMPUTED_VALUE"""),"70628 Total")</f>
        <v>70628 Total</v>
      </c>
      <c r="B448" s="5"/>
      <c r="C448" s="69"/>
      <c r="D448" s="5"/>
      <c r="E448" s="5"/>
      <c r="F448" s="55"/>
      <c r="G448" s="56">
        <f ca="1">IFERROR(__xludf.DUMMYFUNCTION("""COMPUTED_VALUE"""),1)</f>
        <v>1</v>
      </c>
      <c r="H448" s="57">
        <f ca="1">IFERROR(__xludf.DUMMYFUNCTION("""COMPUTED_VALUE"""),19.2)</f>
        <v>19.2</v>
      </c>
      <c r="I448" s="57" t="str">
        <f ca="1">IFERROR(__xludf.DUMMYFUNCTION("""COMPUTED_VALUE"""),"")</f>
        <v/>
      </c>
      <c r="J448" s="19" t="str">
        <f ca="1">IFERROR(__xludf.DUMMYFUNCTION("""COMPUTED_VALUE"""),"")</f>
        <v/>
      </c>
      <c r="K448" s="19"/>
      <c r="L448" s="19"/>
      <c r="M448" s="19"/>
      <c r="N448" s="19"/>
      <c r="O448" s="59"/>
      <c r="P448" s="7"/>
      <c r="Q448" s="55"/>
      <c r="R448" s="55"/>
      <c r="S448" s="7"/>
      <c r="T448" s="55"/>
      <c r="U448" s="7"/>
      <c r="V448" s="55"/>
      <c r="W448" s="60"/>
      <c r="X448" s="55"/>
    </row>
    <row r="449" spans="1:24" ht="13" x14ac:dyDescent="0.15">
      <c r="A449" s="25" t="str">
        <f ca="1">IFERROR(__xludf.DUMMYFUNCTION("""COMPUTED_VALUE"""),"71502")</f>
        <v>71502</v>
      </c>
      <c r="B449" s="69">
        <f ca="1">IFERROR(__xludf.DUMMYFUNCTION("""COMPUTED_VALUE"""),44597)</f>
        <v>44597</v>
      </c>
      <c r="C449" s="69" t="str">
        <f ca="1">IFERROR(__xludf.DUMMYFUNCTION("""COMPUTED_VALUE"""),"Cash")</f>
        <v>Cash</v>
      </c>
      <c r="D449" s="5" t="str">
        <f ca="1">IFERROR(__xludf.DUMMYFUNCTION("""COMPUTED_VALUE"""),"Cash")</f>
        <v>Cash</v>
      </c>
      <c r="E449" s="5" t="str">
        <f ca="1">IFERROR(__xludf.DUMMYFUNCTION("""COMPUTED_VALUE"""),"HKD")</f>
        <v>HKD</v>
      </c>
      <c r="F449" s="55" t="str">
        <f ca="1">IFERROR(__xludf.DUMMYFUNCTION("""COMPUTED_VALUE"""),"")</f>
        <v/>
      </c>
      <c r="G449" s="56">
        <f ca="1">IFERROR(__xludf.DUMMYFUNCTION("""COMPUTED_VALUE"""),1)</f>
        <v>1</v>
      </c>
      <c r="H449" s="57">
        <f ca="1">IFERROR(__xludf.DUMMYFUNCTION("""COMPUTED_VALUE"""),1)</f>
        <v>1</v>
      </c>
      <c r="I449" s="57">
        <f ca="1">IFERROR(__xludf.DUMMYFUNCTION("""COMPUTED_VALUE"""),1)</f>
        <v>1</v>
      </c>
      <c r="J449" s="19" t="str">
        <f ca="1">IFERROR(__xludf.DUMMYFUNCTION("""COMPUTED_VALUE"""),"")</f>
        <v/>
      </c>
      <c r="K449" s="19"/>
      <c r="L449" s="19"/>
      <c r="M449" s="19"/>
      <c r="N449" s="19"/>
      <c r="O449" s="59"/>
      <c r="P449" s="7"/>
      <c r="Q449" s="55"/>
      <c r="R449" s="55"/>
      <c r="S449" s="7"/>
      <c r="T449" s="55"/>
      <c r="U449" s="7"/>
      <c r="V449" s="55"/>
      <c r="W449" s="60"/>
      <c r="X449" s="55"/>
    </row>
    <row r="450" spans="1:24" ht="13" x14ac:dyDescent="0.15">
      <c r="A450" s="25" t="str">
        <f ca="1">IFERROR(__xludf.DUMMYFUNCTION("""COMPUTED_VALUE"""),"71502 Total")</f>
        <v>71502 Total</v>
      </c>
      <c r="B450" s="5"/>
      <c r="C450" s="69"/>
      <c r="D450" s="5"/>
      <c r="E450" s="5"/>
      <c r="F450" s="55"/>
      <c r="G450" s="56">
        <f ca="1">IFERROR(__xludf.DUMMYFUNCTION("""COMPUTED_VALUE"""),1)</f>
        <v>1</v>
      </c>
      <c r="H450" s="57">
        <f ca="1">IFERROR(__xludf.DUMMYFUNCTION("""COMPUTED_VALUE"""),1)</f>
        <v>1</v>
      </c>
      <c r="I450" s="57" t="str">
        <f ca="1">IFERROR(__xludf.DUMMYFUNCTION("""COMPUTED_VALUE"""),"")</f>
        <v/>
      </c>
      <c r="J450" s="19" t="str">
        <f ca="1">IFERROR(__xludf.DUMMYFUNCTION("""COMPUTED_VALUE"""),"")</f>
        <v/>
      </c>
      <c r="K450" s="19"/>
      <c r="L450" s="19"/>
      <c r="M450" s="19"/>
      <c r="N450" s="19"/>
      <c r="O450" s="59"/>
      <c r="P450" s="7"/>
      <c r="Q450" s="55"/>
      <c r="R450" s="55"/>
      <c r="S450" s="7"/>
      <c r="T450" s="55"/>
      <c r="U450" s="7"/>
      <c r="V450" s="55"/>
      <c r="W450" s="60"/>
      <c r="X450" s="55"/>
    </row>
    <row r="451" spans="1:24" ht="13" x14ac:dyDescent="0.15">
      <c r="A451" s="25" t="str">
        <f ca="1">IFERROR(__xludf.DUMMYFUNCTION("""COMPUTED_VALUE"""),"73341")</f>
        <v>73341</v>
      </c>
      <c r="B451" s="69">
        <f ca="1">IFERROR(__xludf.DUMMYFUNCTION("""COMPUTED_VALUE"""),44597)</f>
        <v>44597</v>
      </c>
      <c r="C451" s="69" t="str">
        <f ca="1">IFERROR(__xludf.DUMMYFUNCTION("""COMPUTED_VALUE"""),"Cash")</f>
        <v>Cash</v>
      </c>
      <c r="D451" s="5" t="str">
        <f ca="1">IFERROR(__xludf.DUMMYFUNCTION("""COMPUTED_VALUE"""),"Cash")</f>
        <v>Cash</v>
      </c>
      <c r="E451" s="5" t="str">
        <f ca="1">IFERROR(__xludf.DUMMYFUNCTION("""COMPUTED_VALUE"""),"HKD")</f>
        <v>HKD</v>
      </c>
      <c r="F451" s="55" t="str">
        <f ca="1">IFERROR(__xludf.DUMMYFUNCTION("""COMPUTED_VALUE"""),"")</f>
        <v/>
      </c>
      <c r="G451" s="56">
        <f ca="1">IFERROR(__xludf.DUMMYFUNCTION("""COMPUTED_VALUE"""),1)</f>
        <v>1</v>
      </c>
      <c r="H451" s="57">
        <f ca="1">IFERROR(__xludf.DUMMYFUNCTION("""COMPUTED_VALUE"""),1)</f>
        <v>1</v>
      </c>
      <c r="I451" s="57">
        <f ca="1">IFERROR(__xludf.DUMMYFUNCTION("""COMPUTED_VALUE"""),1)</f>
        <v>1</v>
      </c>
      <c r="J451" s="19" t="str">
        <f ca="1">IFERROR(__xludf.DUMMYFUNCTION("""COMPUTED_VALUE"""),"")</f>
        <v/>
      </c>
      <c r="K451" s="19"/>
      <c r="L451" s="19"/>
      <c r="M451" s="19"/>
      <c r="N451" s="19"/>
      <c r="O451" s="59"/>
      <c r="P451" s="7"/>
      <c r="Q451" s="55"/>
      <c r="R451" s="55"/>
      <c r="S451" s="7"/>
      <c r="T451" s="55"/>
      <c r="U451" s="7"/>
      <c r="V451" s="55"/>
      <c r="W451" s="60"/>
      <c r="X451" s="55"/>
    </row>
    <row r="452" spans="1:24" ht="13" x14ac:dyDescent="0.15">
      <c r="A452" s="25" t="str">
        <f ca="1">IFERROR(__xludf.DUMMYFUNCTION("""COMPUTED_VALUE"""),"73341 Total")</f>
        <v>73341 Total</v>
      </c>
      <c r="B452" s="5"/>
      <c r="C452" s="69"/>
      <c r="D452" s="5"/>
      <c r="E452" s="5"/>
      <c r="F452" s="55"/>
      <c r="G452" s="56">
        <f ca="1">IFERROR(__xludf.DUMMYFUNCTION("""COMPUTED_VALUE"""),1)</f>
        <v>1</v>
      </c>
      <c r="H452" s="57">
        <f ca="1">IFERROR(__xludf.DUMMYFUNCTION("""COMPUTED_VALUE"""),1)</f>
        <v>1</v>
      </c>
      <c r="I452" s="57" t="str">
        <f ca="1">IFERROR(__xludf.DUMMYFUNCTION("""COMPUTED_VALUE"""),"")</f>
        <v/>
      </c>
      <c r="J452" s="19" t="str">
        <f ca="1">IFERROR(__xludf.DUMMYFUNCTION("""COMPUTED_VALUE"""),"")</f>
        <v/>
      </c>
      <c r="K452" s="19"/>
      <c r="L452" s="19"/>
      <c r="M452" s="19"/>
      <c r="N452" s="19"/>
      <c r="O452" s="59"/>
      <c r="P452" s="7"/>
      <c r="Q452" s="55"/>
      <c r="R452" s="55"/>
      <c r="S452" s="7"/>
      <c r="T452" s="55"/>
      <c r="U452" s="7"/>
      <c r="V452" s="55"/>
      <c r="W452" s="60"/>
      <c r="X452" s="55"/>
    </row>
    <row r="453" spans="1:24" ht="13" x14ac:dyDescent="0.15">
      <c r="A453" s="25" t="str">
        <f ca="1">IFERROR(__xludf.DUMMYFUNCTION("""COMPUTED_VALUE"""),"73542")</f>
        <v>73542</v>
      </c>
      <c r="B453" s="69">
        <f ca="1">IFERROR(__xludf.DUMMYFUNCTION("""COMPUTED_VALUE"""),44597)</f>
        <v>44597</v>
      </c>
      <c r="C453" s="69" t="str">
        <f ca="1">IFERROR(__xludf.DUMMYFUNCTION("""COMPUTED_VALUE"""),"Cash")</f>
        <v>Cash</v>
      </c>
      <c r="D453" s="5" t="str">
        <f ca="1">IFERROR(__xludf.DUMMYFUNCTION("""COMPUTED_VALUE"""),"Cash")</f>
        <v>Cash</v>
      </c>
      <c r="E453" s="5" t="str">
        <f ca="1">IFERROR(__xludf.DUMMYFUNCTION("""COMPUTED_VALUE"""),"HKD")</f>
        <v>HKD</v>
      </c>
      <c r="F453" s="55" t="str">
        <f ca="1">IFERROR(__xludf.DUMMYFUNCTION("""COMPUTED_VALUE"""),"")</f>
        <v/>
      </c>
      <c r="G453" s="56">
        <f ca="1">IFERROR(__xludf.DUMMYFUNCTION("""COMPUTED_VALUE"""),1)</f>
        <v>1</v>
      </c>
      <c r="H453" s="57">
        <f ca="1">IFERROR(__xludf.DUMMYFUNCTION("""COMPUTED_VALUE"""),1)</f>
        <v>1</v>
      </c>
      <c r="I453" s="57">
        <f ca="1">IFERROR(__xludf.DUMMYFUNCTION("""COMPUTED_VALUE"""),1)</f>
        <v>1</v>
      </c>
      <c r="J453" s="19" t="str">
        <f ca="1">IFERROR(__xludf.DUMMYFUNCTION("""COMPUTED_VALUE"""),"")</f>
        <v/>
      </c>
      <c r="K453" s="19"/>
      <c r="L453" s="19"/>
      <c r="M453" s="19"/>
      <c r="N453" s="19"/>
      <c r="O453" s="59"/>
      <c r="P453" s="7"/>
      <c r="Q453" s="55"/>
      <c r="R453" s="55"/>
      <c r="S453" s="7"/>
      <c r="T453" s="55"/>
      <c r="U453" s="7"/>
      <c r="V453" s="55"/>
      <c r="W453" s="60"/>
      <c r="X453" s="55"/>
    </row>
    <row r="454" spans="1:24" ht="13" x14ac:dyDescent="0.15">
      <c r="A454" s="25" t="str">
        <f ca="1">IFERROR(__xludf.DUMMYFUNCTION("""COMPUTED_VALUE"""),"73542 Total")</f>
        <v>73542 Total</v>
      </c>
      <c r="B454" s="5"/>
      <c r="C454" s="69"/>
      <c r="D454" s="5"/>
      <c r="E454" s="5"/>
      <c r="F454" s="55"/>
      <c r="G454" s="56">
        <f ca="1">IFERROR(__xludf.DUMMYFUNCTION("""COMPUTED_VALUE"""),1)</f>
        <v>1</v>
      </c>
      <c r="H454" s="57">
        <f ca="1">IFERROR(__xludf.DUMMYFUNCTION("""COMPUTED_VALUE"""),1)</f>
        <v>1</v>
      </c>
      <c r="I454" s="57" t="str">
        <f ca="1">IFERROR(__xludf.DUMMYFUNCTION("""COMPUTED_VALUE"""),"")</f>
        <v/>
      </c>
      <c r="J454" s="19" t="str">
        <f ca="1">IFERROR(__xludf.DUMMYFUNCTION("""COMPUTED_VALUE"""),"")</f>
        <v/>
      </c>
      <c r="K454" s="19"/>
      <c r="L454" s="19"/>
      <c r="M454" s="19"/>
      <c r="N454" s="19"/>
      <c r="O454" s="59"/>
      <c r="P454" s="7"/>
      <c r="Q454" s="55"/>
      <c r="R454" s="55"/>
      <c r="S454" s="7"/>
      <c r="T454" s="55"/>
      <c r="U454" s="7"/>
      <c r="V454" s="55"/>
      <c r="W454" s="60"/>
      <c r="X454" s="55"/>
    </row>
    <row r="455" spans="1:24" ht="13" x14ac:dyDescent="0.15">
      <c r="A455" s="25" t="str">
        <f ca="1">IFERROR(__xludf.DUMMYFUNCTION("""COMPUTED_VALUE"""),"73879")</f>
        <v>73879</v>
      </c>
      <c r="B455" s="69">
        <f ca="1">IFERROR(__xludf.DUMMYFUNCTION("""COMPUTED_VALUE"""),44597)</f>
        <v>44597</v>
      </c>
      <c r="C455" s="69" t="str">
        <f ca="1">IFERROR(__xludf.DUMMYFUNCTION("""COMPUTED_VALUE"""),"Cash")</f>
        <v>Cash</v>
      </c>
      <c r="D455" s="5" t="str">
        <f ca="1">IFERROR(__xludf.DUMMYFUNCTION("""COMPUTED_VALUE"""),"Cash")</f>
        <v>Cash</v>
      </c>
      <c r="E455" s="5" t="str">
        <f ca="1">IFERROR(__xludf.DUMMYFUNCTION("""COMPUTED_VALUE"""),"HKD")</f>
        <v>HKD</v>
      </c>
      <c r="F455" s="55" t="str">
        <f ca="1">IFERROR(__xludf.DUMMYFUNCTION("""COMPUTED_VALUE"""),"")</f>
        <v/>
      </c>
      <c r="G455" s="56">
        <f ca="1">IFERROR(__xludf.DUMMYFUNCTION("""COMPUTED_VALUE"""),1)</f>
        <v>1</v>
      </c>
      <c r="H455" s="57">
        <f ca="1">IFERROR(__xludf.DUMMYFUNCTION("""COMPUTED_VALUE"""),1)</f>
        <v>1</v>
      </c>
      <c r="I455" s="57">
        <f ca="1">IFERROR(__xludf.DUMMYFUNCTION("""COMPUTED_VALUE"""),1)</f>
        <v>1</v>
      </c>
      <c r="J455" s="19" t="str">
        <f ca="1">IFERROR(__xludf.DUMMYFUNCTION("""COMPUTED_VALUE"""),"")</f>
        <v/>
      </c>
      <c r="K455" s="19"/>
      <c r="L455" s="19"/>
      <c r="M455" s="19"/>
      <c r="N455" s="19"/>
      <c r="O455" s="59"/>
      <c r="P455" s="7"/>
      <c r="Q455" s="55"/>
      <c r="R455" s="55"/>
      <c r="S455" s="7"/>
      <c r="T455" s="55"/>
      <c r="U455" s="7"/>
      <c r="V455" s="55"/>
      <c r="W455" s="60"/>
      <c r="X455" s="55"/>
    </row>
    <row r="456" spans="1:24" ht="13" x14ac:dyDescent="0.15">
      <c r="A456" s="25" t="str">
        <f ca="1">IFERROR(__xludf.DUMMYFUNCTION("""COMPUTED_VALUE"""),"73879")</f>
        <v>73879</v>
      </c>
      <c r="B456" s="69">
        <f ca="1">IFERROR(__xludf.DUMMYFUNCTION("""COMPUTED_VALUE"""),44627)</f>
        <v>44627</v>
      </c>
      <c r="C456" s="69" t="str">
        <f ca="1">IFERROR(__xludf.DUMMYFUNCTION("""COMPUTED_VALUE"""),"Stock")</f>
        <v>Stock</v>
      </c>
      <c r="D456" s="71" t="str">
        <f ca="1">IFERROR(__xludf.DUMMYFUNCTION("""COMPUTED_VALUE"""),"0700.HK")</f>
        <v>0700.HK</v>
      </c>
      <c r="E456" s="5" t="str">
        <f ca="1">IFERROR(__xludf.DUMMYFUNCTION("""COMPUTED_VALUE"""),"HKD")</f>
        <v>HKD</v>
      </c>
      <c r="F456" s="55">
        <f ca="1">IFERROR(__xludf.DUMMYFUNCTION("""COMPUTED_VALUE"""),248)</f>
        <v>248</v>
      </c>
      <c r="G456" s="56">
        <f ca="1">IFERROR(__xludf.DUMMYFUNCTION("""COMPUTED_VALUE"""),1)</f>
        <v>1</v>
      </c>
      <c r="H456" s="57">
        <f ca="1">IFERROR(__xludf.DUMMYFUNCTION("""COMPUTED_VALUE"""),388)</f>
        <v>388</v>
      </c>
      <c r="I456" s="57">
        <f ca="1">IFERROR(__xludf.DUMMYFUNCTION("""COMPUTED_VALUE"""),389)</f>
        <v>389</v>
      </c>
      <c r="J456" s="70" t="str">
        <f ca="1">IFERROR(__xludf.DUMMYFUNCTION("""COMPUTED_VALUE"""),"Goto link: 0700.HK")</f>
        <v>Goto link: 0700.HK</v>
      </c>
      <c r="K456" s="19"/>
      <c r="L456" s="19"/>
      <c r="M456" s="19"/>
      <c r="N456" s="19"/>
      <c r="O456" s="59"/>
      <c r="P456" s="7"/>
      <c r="Q456" s="55"/>
      <c r="R456" s="55"/>
      <c r="S456" s="7"/>
      <c r="T456" s="55"/>
      <c r="U456" s="7"/>
      <c r="V456" s="55"/>
      <c r="W456" s="60"/>
      <c r="X456" s="55"/>
    </row>
    <row r="457" spans="1:24" ht="13" x14ac:dyDescent="0.15">
      <c r="A457" s="25" t="str">
        <f ca="1">IFERROR(__xludf.DUMMYFUNCTION("""COMPUTED_VALUE"""),"73879")</f>
        <v>73879</v>
      </c>
      <c r="B457" s="69">
        <f ca="1">IFERROR(__xludf.DUMMYFUNCTION("""COMPUTED_VALUE"""),44627)</f>
        <v>44627</v>
      </c>
      <c r="C457" s="69" t="str">
        <f ca="1">IFERROR(__xludf.DUMMYFUNCTION("""COMPUTED_VALUE"""),"Stock")</f>
        <v>Stock</v>
      </c>
      <c r="D457" s="71" t="str">
        <f ca="1">IFERROR(__xludf.DUMMYFUNCTION("""COMPUTED_VALUE"""),"3690.HK")</f>
        <v>3690.HK</v>
      </c>
      <c r="E457" s="5" t="str">
        <f ca="1">IFERROR(__xludf.DUMMYFUNCTION("""COMPUTED_VALUE"""),"HKD")</f>
        <v>HKD</v>
      </c>
      <c r="F457" s="55">
        <f ca="1">IFERROR(__xludf.DUMMYFUNCTION("""COMPUTED_VALUE"""),666)</f>
        <v>666</v>
      </c>
      <c r="G457" s="56">
        <f ca="1">IFERROR(__xludf.DUMMYFUNCTION("""COMPUTED_VALUE"""),1)</f>
        <v>1</v>
      </c>
      <c r="H457" s="57">
        <f ca="1">IFERROR(__xludf.DUMMYFUNCTION("""COMPUTED_VALUE"""),146.2)</f>
        <v>146.19999999999999</v>
      </c>
      <c r="I457" s="57">
        <f ca="1">IFERROR(__xludf.DUMMYFUNCTION("""COMPUTED_VALUE"""),156.2)</f>
        <v>156.19999999999999</v>
      </c>
      <c r="J457" s="70" t="str">
        <f ca="1">IFERROR(__xludf.DUMMYFUNCTION("""COMPUTED_VALUE"""),"Goto link: 3690.HK")</f>
        <v>Goto link: 3690.HK</v>
      </c>
      <c r="K457" s="19"/>
      <c r="L457" s="19"/>
      <c r="M457" s="19"/>
      <c r="N457" s="19"/>
      <c r="O457" s="59"/>
      <c r="P457" s="7"/>
      <c r="Q457" s="55"/>
      <c r="R457" s="55"/>
      <c r="S457" s="7"/>
      <c r="T457" s="55"/>
      <c r="U457" s="7"/>
      <c r="V457" s="55"/>
      <c r="W457" s="60"/>
      <c r="X457" s="55"/>
    </row>
    <row r="458" spans="1:24" ht="13" x14ac:dyDescent="0.15">
      <c r="A458" s="25" t="str">
        <f ca="1">IFERROR(__xludf.DUMMYFUNCTION("""COMPUTED_VALUE"""),"73879 Total")</f>
        <v>73879 Total</v>
      </c>
      <c r="B458" s="5"/>
      <c r="C458" s="69"/>
      <c r="D458" s="5"/>
      <c r="E458" s="5"/>
      <c r="F458" s="55"/>
      <c r="G458" s="56">
        <f ca="1">IFERROR(__xludf.DUMMYFUNCTION("""COMPUTED_VALUE"""),1)</f>
        <v>1</v>
      </c>
      <c r="H458" s="57">
        <f ca="1">IFERROR(__xludf.DUMMYFUNCTION("""COMPUTED_VALUE"""),388)</f>
        <v>388</v>
      </c>
      <c r="I458" s="57" t="str">
        <f ca="1">IFERROR(__xludf.DUMMYFUNCTION("""COMPUTED_VALUE"""),"")</f>
        <v/>
      </c>
      <c r="J458" s="19" t="str">
        <f ca="1">IFERROR(__xludf.DUMMYFUNCTION("""COMPUTED_VALUE"""),"")</f>
        <v/>
      </c>
      <c r="K458" s="19"/>
      <c r="L458" s="19"/>
      <c r="M458" s="19"/>
      <c r="N458" s="19"/>
      <c r="O458" s="59"/>
      <c r="P458" s="7"/>
      <c r="Q458" s="55"/>
      <c r="R458" s="55"/>
      <c r="S458" s="7"/>
      <c r="T458" s="55"/>
      <c r="U458" s="7"/>
      <c r="V458" s="55"/>
      <c r="W458" s="60"/>
      <c r="X458" s="55"/>
    </row>
    <row r="459" spans="1:24" ht="13" x14ac:dyDescent="0.15">
      <c r="A459" s="25" t="str">
        <f ca="1">IFERROR(__xludf.DUMMYFUNCTION("""COMPUTED_VALUE"""),"74356")</f>
        <v>74356</v>
      </c>
      <c r="B459" s="69">
        <f ca="1">IFERROR(__xludf.DUMMYFUNCTION("""COMPUTED_VALUE"""),44597)</f>
        <v>44597</v>
      </c>
      <c r="C459" s="69" t="str">
        <f ca="1">IFERROR(__xludf.DUMMYFUNCTION("""COMPUTED_VALUE"""),"Cash")</f>
        <v>Cash</v>
      </c>
      <c r="D459" s="5" t="str">
        <f ca="1">IFERROR(__xludf.DUMMYFUNCTION("""COMPUTED_VALUE"""),"Cash")</f>
        <v>Cash</v>
      </c>
      <c r="E459" s="5" t="str">
        <f ca="1">IFERROR(__xludf.DUMMYFUNCTION("""COMPUTED_VALUE"""),"HKD")</f>
        <v>HKD</v>
      </c>
      <c r="F459" s="55" t="str">
        <f ca="1">IFERROR(__xludf.DUMMYFUNCTION("""COMPUTED_VALUE"""),"")</f>
        <v/>
      </c>
      <c r="G459" s="56">
        <f ca="1">IFERROR(__xludf.DUMMYFUNCTION("""COMPUTED_VALUE"""),1)</f>
        <v>1</v>
      </c>
      <c r="H459" s="57">
        <f ca="1">IFERROR(__xludf.DUMMYFUNCTION("""COMPUTED_VALUE"""),1)</f>
        <v>1</v>
      </c>
      <c r="I459" s="57">
        <f ca="1">IFERROR(__xludf.DUMMYFUNCTION("""COMPUTED_VALUE"""),1)</f>
        <v>1</v>
      </c>
      <c r="J459" s="19" t="str">
        <f ca="1">IFERROR(__xludf.DUMMYFUNCTION("""COMPUTED_VALUE"""),"")</f>
        <v/>
      </c>
      <c r="K459" s="19"/>
      <c r="L459" s="19"/>
      <c r="M459" s="19"/>
      <c r="N459" s="19"/>
      <c r="O459" s="59"/>
      <c r="P459" s="7"/>
      <c r="Q459" s="55"/>
      <c r="R459" s="55"/>
      <c r="S459" s="7"/>
      <c r="T459" s="55"/>
      <c r="U459" s="7"/>
      <c r="V459" s="55"/>
      <c r="W459" s="60"/>
      <c r="X459" s="55"/>
    </row>
    <row r="460" spans="1:24" ht="13" x14ac:dyDescent="0.15">
      <c r="A460" s="25" t="str">
        <f ca="1">IFERROR(__xludf.DUMMYFUNCTION("""COMPUTED_VALUE"""),"74356")</f>
        <v>74356</v>
      </c>
      <c r="B460" s="69">
        <f ca="1">IFERROR(__xludf.DUMMYFUNCTION("""COMPUTED_VALUE"""),44603)</f>
        <v>44603</v>
      </c>
      <c r="C460" s="69" t="str">
        <f ca="1">IFERROR(__xludf.DUMMYFUNCTION("""COMPUTED_VALUE"""),"Stock")</f>
        <v>Stock</v>
      </c>
      <c r="D460" s="71" t="str">
        <f ca="1">IFERROR(__xludf.DUMMYFUNCTION("""COMPUTED_VALUE"""),"1398.HK")</f>
        <v>1398.HK</v>
      </c>
      <c r="E460" s="5" t="str">
        <f ca="1">IFERROR(__xludf.DUMMYFUNCTION("""COMPUTED_VALUE"""),"HKD")</f>
        <v>HKD</v>
      </c>
      <c r="F460" s="55">
        <f ca="1">IFERROR(__xludf.DUMMYFUNCTION("""COMPUTED_VALUE"""),500)</f>
        <v>500</v>
      </c>
      <c r="G460" s="56">
        <f ca="1">IFERROR(__xludf.DUMMYFUNCTION("""COMPUTED_VALUE"""),1)</f>
        <v>1</v>
      </c>
      <c r="H460" s="57">
        <f ca="1">IFERROR(__xludf.DUMMYFUNCTION("""COMPUTED_VALUE"""),4.93)</f>
        <v>4.93</v>
      </c>
      <c r="I460" s="57">
        <f ca="1">IFERROR(__xludf.DUMMYFUNCTION("""COMPUTED_VALUE"""),4.63)</f>
        <v>4.63</v>
      </c>
      <c r="J460" s="70" t="str">
        <f ca="1">IFERROR(__xludf.DUMMYFUNCTION("""COMPUTED_VALUE"""),"Goto link: 1398.HK")</f>
        <v>Goto link: 1398.HK</v>
      </c>
      <c r="K460" s="19"/>
      <c r="L460" s="19"/>
      <c r="M460" s="19"/>
      <c r="N460" s="19"/>
      <c r="O460" s="59"/>
      <c r="P460" s="7"/>
      <c r="Q460" s="55"/>
      <c r="R460" s="55"/>
      <c r="S460" s="7"/>
      <c r="T460" s="55"/>
      <c r="U460" s="7"/>
      <c r="V460" s="55"/>
      <c r="W460" s="60"/>
      <c r="X460" s="55"/>
    </row>
    <row r="461" spans="1:24" ht="13" x14ac:dyDescent="0.15">
      <c r="A461" s="25" t="str">
        <f ca="1">IFERROR(__xludf.DUMMYFUNCTION("""COMPUTED_VALUE"""),"74356")</f>
        <v>74356</v>
      </c>
      <c r="B461" s="69">
        <f ca="1">IFERROR(__xludf.DUMMYFUNCTION("""COMPUTED_VALUE"""),44603)</f>
        <v>44603</v>
      </c>
      <c r="C461" s="69" t="str">
        <f ca="1">IFERROR(__xludf.DUMMYFUNCTION("""COMPUTED_VALUE"""),"Stock")</f>
        <v>Stock</v>
      </c>
      <c r="D461" s="5" t="str">
        <f ca="1">IFERROR(__xludf.DUMMYFUNCTION("""COMPUTED_VALUE"""),"NET")</f>
        <v>NET</v>
      </c>
      <c r="E461" s="5" t="str">
        <f ca="1">IFERROR(__xludf.DUMMYFUNCTION("""COMPUTED_VALUE"""),"USD")</f>
        <v>USD</v>
      </c>
      <c r="F461" s="55">
        <f ca="1">IFERROR(__xludf.DUMMYFUNCTION("""COMPUTED_VALUE"""),10)</f>
        <v>10</v>
      </c>
      <c r="G461" s="56">
        <f ca="1">IFERROR(__xludf.DUMMYFUNCTION("""COMPUTED_VALUE"""),7.81344825)</f>
        <v>7.8134482500000004</v>
      </c>
      <c r="H461" s="57">
        <f ca="1">IFERROR(__xludf.DUMMYFUNCTION("""COMPUTED_VALUE"""),104.92)</f>
        <v>104.92</v>
      </c>
      <c r="I461" s="57">
        <f ca="1">IFERROR(__xludf.DUMMYFUNCTION("""COMPUTED_VALUE"""),117.59)</f>
        <v>117.59</v>
      </c>
      <c r="J461" s="70" t="str">
        <f ca="1">IFERROR(__xludf.DUMMYFUNCTION("""COMPUTED_VALUE"""),"Goto link: NET")</f>
        <v>Goto link: NET</v>
      </c>
      <c r="K461" s="19"/>
      <c r="L461" s="19"/>
      <c r="M461" s="19"/>
      <c r="N461" s="19"/>
      <c r="O461" s="59"/>
      <c r="P461" s="7"/>
      <c r="Q461" s="55"/>
      <c r="R461" s="55"/>
      <c r="S461" s="7"/>
      <c r="T461" s="55"/>
      <c r="U461" s="7"/>
      <c r="V461" s="55"/>
      <c r="W461" s="60"/>
      <c r="X461" s="55"/>
    </row>
    <row r="462" spans="1:24" ht="13" x14ac:dyDescent="0.15">
      <c r="A462" s="25" t="str">
        <f ca="1">IFERROR(__xludf.DUMMYFUNCTION("""COMPUTED_VALUE"""),"74356")</f>
        <v>74356</v>
      </c>
      <c r="B462" s="69">
        <f ca="1">IFERROR(__xludf.DUMMYFUNCTION("""COMPUTED_VALUE"""),44609)</f>
        <v>44609</v>
      </c>
      <c r="C462" s="69" t="str">
        <f ca="1">IFERROR(__xludf.DUMMYFUNCTION("""COMPUTED_VALUE"""),"Stock")</f>
        <v>Stock</v>
      </c>
      <c r="D462" s="5" t="str">
        <f ca="1">IFERROR(__xludf.DUMMYFUNCTION("""COMPUTED_VALUE"""),"AMAT")</f>
        <v>AMAT</v>
      </c>
      <c r="E462" s="5" t="str">
        <f ca="1">IFERROR(__xludf.DUMMYFUNCTION("""COMPUTED_VALUE"""),"USD")</f>
        <v>USD</v>
      </c>
      <c r="F462" s="55">
        <f ca="1">IFERROR(__xludf.DUMMYFUNCTION("""COMPUTED_VALUE"""),50)</f>
        <v>50</v>
      </c>
      <c r="G462" s="56">
        <f ca="1">IFERROR(__xludf.DUMMYFUNCTION("""COMPUTED_VALUE"""),7.81562485294117)</f>
        <v>7.8156248529411698</v>
      </c>
      <c r="H462" s="57">
        <f ca="1">IFERROR(__xludf.DUMMYFUNCTION("""COMPUTED_VALUE"""),136.47)</f>
        <v>136.47</v>
      </c>
      <c r="I462" s="57">
        <f ca="1">IFERROR(__xludf.DUMMYFUNCTION("""COMPUTED_VALUE"""),131.42)</f>
        <v>131.41999999999999</v>
      </c>
      <c r="J462" s="70" t="str">
        <f ca="1">IFERROR(__xludf.DUMMYFUNCTION("""COMPUTED_VALUE"""),"Goto link: AMAT")</f>
        <v>Goto link: AMAT</v>
      </c>
      <c r="K462" s="19"/>
      <c r="L462" s="19"/>
      <c r="M462" s="19"/>
      <c r="N462" s="19"/>
      <c r="O462" s="59"/>
      <c r="P462" s="7"/>
      <c r="Q462" s="55"/>
      <c r="R462" s="55"/>
      <c r="S462" s="7"/>
      <c r="T462" s="55"/>
      <c r="U462" s="7"/>
      <c r="V462" s="55"/>
      <c r="W462" s="60"/>
      <c r="X462" s="55"/>
    </row>
    <row r="463" spans="1:24" ht="13" x14ac:dyDescent="0.15">
      <c r="A463" s="25" t="str">
        <f ca="1">IFERROR(__xludf.DUMMYFUNCTION("""COMPUTED_VALUE"""),"74356")</f>
        <v>74356</v>
      </c>
      <c r="B463" s="69">
        <f ca="1">IFERROR(__xludf.DUMMYFUNCTION("""COMPUTED_VALUE"""),44616)</f>
        <v>44616</v>
      </c>
      <c r="C463" s="69" t="str">
        <f ca="1">IFERROR(__xludf.DUMMYFUNCTION("""COMPUTED_VALUE"""),"Stock")</f>
        <v>Stock</v>
      </c>
      <c r="D463" s="5" t="str">
        <f ca="1">IFERROR(__xludf.DUMMYFUNCTION("""COMPUTED_VALUE"""),"CL=F")</f>
        <v>CL=F</v>
      </c>
      <c r="E463" s="5" t="str">
        <f ca="1">IFERROR(__xludf.DUMMYFUNCTION("""COMPUTED_VALUE"""),"USD")</f>
        <v>USD</v>
      </c>
      <c r="F463" s="55">
        <f ca="1">IFERROR(__xludf.DUMMYFUNCTION("""COMPUTED_VALUE"""),0)</f>
        <v>0</v>
      </c>
      <c r="G463" s="56">
        <f ca="1">IFERROR(__xludf.DUMMYFUNCTION("""COMPUTED_VALUE"""),7.80775)</f>
        <v>7.8077500000000004</v>
      </c>
      <c r="H463" s="57">
        <f ca="1">IFERROR(__xludf.DUMMYFUNCTION("""COMPUTED_VALUE"""),0)</f>
        <v>0</v>
      </c>
      <c r="I463" s="57">
        <f ca="1">IFERROR(__xludf.DUMMYFUNCTION("""COMPUTED_VALUE"""),115.83)</f>
        <v>115.83</v>
      </c>
      <c r="J463" s="70" t="str">
        <f ca="1">IFERROR(__xludf.DUMMYFUNCTION("""COMPUTED_VALUE"""),"Goto link: CL=F")</f>
        <v>Goto link: CL=F</v>
      </c>
      <c r="K463" s="19"/>
      <c r="L463" s="19"/>
      <c r="M463" s="19"/>
      <c r="N463" s="19"/>
      <c r="O463" s="59"/>
      <c r="P463" s="7"/>
      <c r="Q463" s="55"/>
      <c r="R463" s="55"/>
      <c r="S463" s="7"/>
      <c r="T463" s="55"/>
      <c r="U463" s="7"/>
      <c r="V463" s="55"/>
      <c r="W463" s="60"/>
      <c r="X463" s="55"/>
    </row>
    <row r="464" spans="1:24" ht="13" x14ac:dyDescent="0.15">
      <c r="A464" s="25" t="str">
        <f ca="1">IFERROR(__xludf.DUMMYFUNCTION("""COMPUTED_VALUE"""),"74356")</f>
        <v>74356</v>
      </c>
      <c r="B464" s="69">
        <f ca="1">IFERROR(__xludf.DUMMYFUNCTION("""COMPUTED_VALUE"""),44616)</f>
        <v>44616</v>
      </c>
      <c r="C464" s="69" t="str">
        <f ca="1">IFERROR(__xludf.DUMMYFUNCTION("""COMPUTED_VALUE"""),"Stock")</f>
        <v>Stock</v>
      </c>
      <c r="D464" s="5" t="str">
        <f ca="1">IFERROR(__xludf.DUMMYFUNCTION("""COMPUTED_VALUE"""),"CL=F")</f>
        <v>CL=F</v>
      </c>
      <c r="E464" s="5" t="str">
        <f ca="1">IFERROR(__xludf.DUMMYFUNCTION("""COMPUTED_VALUE"""),"USD")</f>
        <v>USD</v>
      </c>
      <c r="F464" s="55">
        <f ca="1">IFERROR(__xludf.DUMMYFUNCTION("""COMPUTED_VALUE"""),100)</f>
        <v>100</v>
      </c>
      <c r="G464" s="56">
        <f ca="1">IFERROR(__xludf.DUMMYFUNCTION("""COMPUTED_VALUE"""),7.81980423076923)</f>
        <v>7.8198042307692299</v>
      </c>
      <c r="H464" s="57">
        <f ca="1">IFERROR(__xludf.DUMMYFUNCTION("""COMPUTED_VALUE"""),92.81)</f>
        <v>92.81</v>
      </c>
      <c r="I464" s="57">
        <f ca="1">IFERROR(__xludf.DUMMYFUNCTION("""COMPUTED_VALUE"""),115.83)</f>
        <v>115.83</v>
      </c>
      <c r="J464" s="70" t="str">
        <f ca="1">IFERROR(__xludf.DUMMYFUNCTION("""COMPUTED_VALUE"""),"Goto link: CL=F")</f>
        <v>Goto link: CL=F</v>
      </c>
      <c r="K464" s="19"/>
      <c r="L464" s="19"/>
      <c r="M464" s="19"/>
      <c r="N464" s="19"/>
      <c r="O464" s="59"/>
      <c r="P464" s="7"/>
      <c r="Q464" s="55"/>
      <c r="R464" s="55"/>
      <c r="S464" s="7"/>
      <c r="T464" s="55"/>
      <c r="U464" s="7"/>
      <c r="V464" s="55"/>
      <c r="W464" s="60"/>
      <c r="X464" s="55"/>
    </row>
    <row r="465" spans="1:24" ht="13" x14ac:dyDescent="0.15">
      <c r="A465" s="25" t="str">
        <f ca="1">IFERROR(__xludf.DUMMYFUNCTION("""COMPUTED_VALUE"""),"74356")</f>
        <v>74356</v>
      </c>
      <c r="B465" s="69">
        <f ca="1">IFERROR(__xludf.DUMMYFUNCTION("""COMPUTED_VALUE"""),44616)</f>
        <v>44616</v>
      </c>
      <c r="C465" s="69" t="str">
        <f ca="1">IFERROR(__xludf.DUMMYFUNCTION("""COMPUTED_VALUE"""),"Stock")</f>
        <v>Stock</v>
      </c>
      <c r="D465" s="5" t="str">
        <f ca="1">IFERROR(__xludf.DUMMYFUNCTION("""COMPUTED_VALUE"""),"NET")</f>
        <v>NET</v>
      </c>
      <c r="E465" s="5" t="str">
        <f ca="1">IFERROR(__xludf.DUMMYFUNCTION("""COMPUTED_VALUE"""),"USD")</f>
        <v>USD</v>
      </c>
      <c r="F465" s="55">
        <f ca="1">IFERROR(__xludf.DUMMYFUNCTION("""COMPUTED_VALUE"""),-10)</f>
        <v>-10</v>
      </c>
      <c r="G465" s="56">
        <f ca="1">IFERROR(__xludf.DUMMYFUNCTION("""COMPUTED_VALUE"""),7.81935777777777)</f>
        <v>7.8193577777777703</v>
      </c>
      <c r="H465" s="57">
        <f ca="1">IFERROR(__xludf.DUMMYFUNCTION("""COMPUTED_VALUE"""),108.38)</f>
        <v>108.38</v>
      </c>
      <c r="I465" s="57">
        <f ca="1">IFERROR(__xludf.DUMMYFUNCTION("""COMPUTED_VALUE"""),117.59)</f>
        <v>117.59</v>
      </c>
      <c r="J465" s="70" t="str">
        <f ca="1">IFERROR(__xludf.DUMMYFUNCTION("""COMPUTED_VALUE"""),"Goto link: NET")</f>
        <v>Goto link: NET</v>
      </c>
      <c r="K465" s="19"/>
      <c r="L465" s="19"/>
      <c r="M465" s="19"/>
      <c r="N465" s="19"/>
      <c r="O465" s="59"/>
      <c r="P465" s="7"/>
      <c r="Q465" s="55"/>
      <c r="R465" s="55"/>
      <c r="S465" s="7"/>
      <c r="T465" s="55"/>
      <c r="U465" s="7"/>
      <c r="V465" s="55"/>
      <c r="W465" s="60"/>
      <c r="X465" s="55"/>
    </row>
    <row r="466" spans="1:24" ht="13" x14ac:dyDescent="0.15">
      <c r="A466" s="25" t="str">
        <f ca="1">IFERROR(__xludf.DUMMYFUNCTION("""COMPUTED_VALUE"""),"74356")</f>
        <v>74356</v>
      </c>
      <c r="B466" s="69">
        <f ca="1">IFERROR(__xludf.DUMMYFUNCTION("""COMPUTED_VALUE"""),44617)</f>
        <v>44617</v>
      </c>
      <c r="C466" s="69" t="str">
        <f ca="1">IFERROR(__xludf.DUMMYFUNCTION("""COMPUTED_VALUE"""),"Stock")</f>
        <v>Stock</v>
      </c>
      <c r="D466" s="71" t="str">
        <f ca="1">IFERROR(__xludf.DUMMYFUNCTION("""COMPUTED_VALUE"""),"1398.HK")</f>
        <v>1398.HK</v>
      </c>
      <c r="E466" s="5" t="str">
        <f ca="1">IFERROR(__xludf.DUMMYFUNCTION("""COMPUTED_VALUE"""),"HKD")</f>
        <v>HKD</v>
      </c>
      <c r="F466" s="55">
        <f ca="1">IFERROR(__xludf.DUMMYFUNCTION("""COMPUTED_VALUE"""),1000)</f>
        <v>1000</v>
      </c>
      <c r="G466" s="56">
        <f ca="1">IFERROR(__xludf.DUMMYFUNCTION("""COMPUTED_VALUE"""),1)</f>
        <v>1</v>
      </c>
      <c r="H466" s="57">
        <f ca="1">IFERROR(__xludf.DUMMYFUNCTION("""COMPUTED_VALUE"""),4.58)</f>
        <v>4.58</v>
      </c>
      <c r="I466" s="57">
        <f ca="1">IFERROR(__xludf.DUMMYFUNCTION("""COMPUTED_VALUE"""),4.63)</f>
        <v>4.63</v>
      </c>
      <c r="J466" s="70" t="str">
        <f ca="1">IFERROR(__xludf.DUMMYFUNCTION("""COMPUTED_VALUE"""),"Goto link: 1398.HK")</f>
        <v>Goto link: 1398.HK</v>
      </c>
      <c r="K466" s="19"/>
      <c r="L466" s="19"/>
      <c r="M466" s="19"/>
      <c r="N466" s="19"/>
      <c r="O466" s="59"/>
      <c r="P466" s="7"/>
      <c r="Q466" s="55"/>
      <c r="R466" s="55"/>
      <c r="S466" s="7"/>
      <c r="T466" s="55"/>
      <c r="U466" s="7"/>
      <c r="V466" s="55"/>
      <c r="W466" s="60"/>
      <c r="X466" s="55"/>
    </row>
    <row r="467" spans="1:24" ht="13" x14ac:dyDescent="0.15">
      <c r="A467" s="25" t="str">
        <f ca="1">IFERROR(__xludf.DUMMYFUNCTION("""COMPUTED_VALUE"""),"74356")</f>
        <v>74356</v>
      </c>
      <c r="B467" s="69">
        <f ca="1">IFERROR(__xludf.DUMMYFUNCTION("""COMPUTED_VALUE"""),44617)</f>
        <v>44617</v>
      </c>
      <c r="C467" s="69" t="str">
        <f ca="1">IFERROR(__xludf.DUMMYFUNCTION("""COMPUTED_VALUE"""),"Stock")</f>
        <v>Stock</v>
      </c>
      <c r="D467" s="71" t="str">
        <f ca="1">IFERROR(__xludf.DUMMYFUNCTION("""COMPUTED_VALUE"""),"300157.SZ")</f>
        <v>300157.SZ</v>
      </c>
      <c r="E467" s="5" t="str">
        <f ca="1">IFERROR(__xludf.DUMMYFUNCTION("""COMPUTED_VALUE"""),"CNY")</f>
        <v>CNY</v>
      </c>
      <c r="F467" s="55">
        <f ca="1">IFERROR(__xludf.DUMMYFUNCTION("""COMPUTED_VALUE"""),0)</f>
        <v>0</v>
      </c>
      <c r="G467" s="56">
        <f ca="1">IFERROR(__xludf.DUMMYFUNCTION("""COMPUTED_VALUE"""),1.23384376923076)</f>
        <v>1.23384376923076</v>
      </c>
      <c r="H467" s="57">
        <f ca="1">IFERROR(__xludf.DUMMYFUNCTION("""COMPUTED_VALUE"""),0)</f>
        <v>0</v>
      </c>
      <c r="I467" s="57">
        <f ca="1">IFERROR(__xludf.DUMMYFUNCTION("""COMPUTED_VALUE"""),5.15)</f>
        <v>5.15</v>
      </c>
      <c r="J467" s="70" t="str">
        <f ca="1">IFERROR(__xludf.DUMMYFUNCTION("""COMPUTED_VALUE"""),"Goto link: 300157.SZ")</f>
        <v>Goto link: 300157.SZ</v>
      </c>
      <c r="K467" s="19"/>
      <c r="L467" s="19"/>
      <c r="M467" s="19"/>
      <c r="N467" s="19"/>
      <c r="O467" s="59"/>
      <c r="P467" s="7"/>
      <c r="Q467" s="55"/>
      <c r="R467" s="55"/>
      <c r="S467" s="7"/>
      <c r="T467" s="55"/>
      <c r="U467" s="7"/>
      <c r="V467" s="55"/>
      <c r="W467" s="60"/>
      <c r="X467" s="55"/>
    </row>
    <row r="468" spans="1:24" ht="13" x14ac:dyDescent="0.15">
      <c r="A468" s="25" t="str">
        <f ca="1">IFERROR(__xludf.DUMMYFUNCTION("""COMPUTED_VALUE"""),"74356")</f>
        <v>74356</v>
      </c>
      <c r="B468" s="69">
        <f ca="1">IFERROR(__xludf.DUMMYFUNCTION("""COMPUTED_VALUE"""),44624)</f>
        <v>44624</v>
      </c>
      <c r="C468" s="69" t="str">
        <f ca="1">IFERROR(__xludf.DUMMYFUNCTION("""COMPUTED_VALUE"""),"Stock")</f>
        <v>Stock</v>
      </c>
      <c r="D468" s="5" t="str">
        <f ca="1">IFERROR(__xludf.DUMMYFUNCTION("""COMPUTED_VALUE"""),"AMAT")</f>
        <v>AMAT</v>
      </c>
      <c r="E468" s="5" t="str">
        <f ca="1">IFERROR(__xludf.DUMMYFUNCTION("""COMPUTED_VALUE"""),"USD")</f>
        <v>USD</v>
      </c>
      <c r="F468" s="55">
        <f ca="1">IFERROR(__xludf.DUMMYFUNCTION("""COMPUTED_VALUE"""),0)</f>
        <v>0</v>
      </c>
      <c r="G468" s="56">
        <f ca="1">IFERROR(__xludf.DUMMYFUNCTION("""COMPUTED_VALUE"""),7.82266921052631)</f>
        <v>7.8226692105263096</v>
      </c>
      <c r="H468" s="57">
        <f ca="1">IFERROR(__xludf.DUMMYFUNCTION("""COMPUTED_VALUE"""),0)</f>
        <v>0</v>
      </c>
      <c r="I468" s="57">
        <f ca="1">IFERROR(__xludf.DUMMYFUNCTION("""COMPUTED_VALUE"""),131.42)</f>
        <v>131.41999999999999</v>
      </c>
      <c r="J468" s="70" t="str">
        <f ca="1">IFERROR(__xludf.DUMMYFUNCTION("""COMPUTED_VALUE"""),"Goto link: AMAT")</f>
        <v>Goto link: AMAT</v>
      </c>
      <c r="K468" s="19"/>
      <c r="L468" s="19"/>
      <c r="M468" s="19"/>
      <c r="N468" s="19"/>
      <c r="O468" s="59"/>
      <c r="P468" s="7"/>
      <c r="Q468" s="55"/>
      <c r="R468" s="55"/>
      <c r="S468" s="7"/>
      <c r="T468" s="55"/>
      <c r="U468" s="7"/>
      <c r="V468" s="55"/>
      <c r="W468" s="60"/>
      <c r="X468" s="55"/>
    </row>
    <row r="469" spans="1:24" ht="13" x14ac:dyDescent="0.15">
      <c r="A469" s="25" t="str">
        <f ca="1">IFERROR(__xludf.DUMMYFUNCTION("""COMPUTED_VALUE"""),"74356")</f>
        <v>74356</v>
      </c>
      <c r="B469" s="69">
        <f ca="1">IFERROR(__xludf.DUMMYFUNCTION("""COMPUTED_VALUE"""),44624)</f>
        <v>44624</v>
      </c>
      <c r="C469" s="69" t="str">
        <f ca="1">IFERROR(__xludf.DUMMYFUNCTION("""COMPUTED_VALUE"""),"Stock")</f>
        <v>Stock</v>
      </c>
      <c r="D469" s="5" t="str">
        <f ca="1">IFERROR(__xludf.DUMMYFUNCTION("""COMPUTED_VALUE"""),"BRK-B")</f>
        <v>BRK-B</v>
      </c>
      <c r="E469" s="5" t="str">
        <f ca="1">IFERROR(__xludf.DUMMYFUNCTION("""COMPUTED_VALUE"""),"USD")</f>
        <v>USD</v>
      </c>
      <c r="F469" s="55">
        <f ca="1">IFERROR(__xludf.DUMMYFUNCTION("""COMPUTED_VALUE"""),0)</f>
        <v>0</v>
      </c>
      <c r="G469" s="56">
        <f ca="1">IFERROR(__xludf.DUMMYFUNCTION("""COMPUTED_VALUE"""),7.82266921052631)</f>
        <v>7.8226692105263096</v>
      </c>
      <c r="H469" s="57">
        <f ca="1">IFERROR(__xludf.DUMMYFUNCTION("""COMPUTED_VALUE"""),0)</f>
        <v>0</v>
      </c>
      <c r="I469" s="57">
        <f ca="1">IFERROR(__xludf.DUMMYFUNCTION("""COMPUTED_VALUE"""),348.16)</f>
        <v>348.16</v>
      </c>
      <c r="J469" s="70" t="str">
        <f ca="1">IFERROR(__xludf.DUMMYFUNCTION("""COMPUTED_VALUE"""),"Goto link: BRK-B")</f>
        <v>Goto link: BRK-B</v>
      </c>
      <c r="K469" s="19"/>
      <c r="L469" s="19"/>
      <c r="M469" s="19"/>
      <c r="N469" s="19"/>
      <c r="O469" s="59"/>
      <c r="P469" s="7"/>
      <c r="Q469" s="55"/>
      <c r="R469" s="55"/>
      <c r="S469" s="7"/>
      <c r="T469" s="55"/>
      <c r="U469" s="7"/>
      <c r="V469" s="55"/>
      <c r="W469" s="60"/>
      <c r="X469" s="55"/>
    </row>
    <row r="470" spans="1:24" ht="13" x14ac:dyDescent="0.15">
      <c r="A470" s="25" t="str">
        <f ca="1">IFERROR(__xludf.DUMMYFUNCTION("""COMPUTED_VALUE"""),"74356")</f>
        <v>74356</v>
      </c>
      <c r="B470" s="69">
        <f ca="1">IFERROR(__xludf.DUMMYFUNCTION("""COMPUTED_VALUE"""),44624)</f>
        <v>44624</v>
      </c>
      <c r="C470" s="69" t="str">
        <f ca="1">IFERROR(__xludf.DUMMYFUNCTION("""COMPUTED_VALUE"""),"Stock")</f>
        <v>Stock</v>
      </c>
      <c r="D470" s="5" t="str">
        <f ca="1">IFERROR(__xludf.DUMMYFUNCTION("""COMPUTED_VALUE"""),"NET")</f>
        <v>NET</v>
      </c>
      <c r="E470" s="5" t="str">
        <f ca="1">IFERROR(__xludf.DUMMYFUNCTION("""COMPUTED_VALUE"""),"USD")</f>
        <v>USD</v>
      </c>
      <c r="F470" s="55">
        <f ca="1">IFERROR(__xludf.DUMMYFUNCTION("""COMPUTED_VALUE"""),10)</f>
        <v>10</v>
      </c>
      <c r="G470" s="56">
        <f ca="1">IFERROR(__xludf.DUMMYFUNCTION("""COMPUTED_VALUE"""),7.82266921052631)</f>
        <v>7.8226692105263096</v>
      </c>
      <c r="H470" s="57">
        <f ca="1">IFERROR(__xludf.DUMMYFUNCTION("""COMPUTED_VALUE"""),100.91)</f>
        <v>100.91</v>
      </c>
      <c r="I470" s="57">
        <f ca="1">IFERROR(__xludf.DUMMYFUNCTION("""COMPUTED_VALUE"""),117.59)</f>
        <v>117.59</v>
      </c>
      <c r="J470" s="70" t="str">
        <f ca="1">IFERROR(__xludf.DUMMYFUNCTION("""COMPUTED_VALUE"""),"Goto link: NET")</f>
        <v>Goto link: NET</v>
      </c>
      <c r="K470" s="19"/>
      <c r="L470" s="19"/>
      <c r="M470" s="19"/>
      <c r="N470" s="19"/>
      <c r="O470" s="59"/>
      <c r="P470" s="7"/>
      <c r="Q470" s="55"/>
      <c r="R470" s="55"/>
      <c r="S470" s="7"/>
      <c r="T470" s="55"/>
      <c r="U470" s="7"/>
      <c r="V470" s="55"/>
      <c r="W470" s="60"/>
      <c r="X470" s="55"/>
    </row>
    <row r="471" spans="1:24" ht="13" x14ac:dyDescent="0.15">
      <c r="A471" s="25" t="str">
        <f ca="1">IFERROR(__xludf.DUMMYFUNCTION("""COMPUTED_VALUE"""),"74356")</f>
        <v>74356</v>
      </c>
      <c r="B471" s="69">
        <f ca="1">IFERROR(__xludf.DUMMYFUNCTION("""COMPUTED_VALUE"""),44630)</f>
        <v>44630</v>
      </c>
      <c r="C471" s="69" t="str">
        <f ca="1">IFERROR(__xludf.DUMMYFUNCTION("""COMPUTED_VALUE"""),"Stock")</f>
        <v>Stock</v>
      </c>
      <c r="D471" s="5" t="str">
        <f ca="1">IFERROR(__xludf.DUMMYFUNCTION("""COMPUTED_VALUE"""),"AAPL")</f>
        <v>AAPL</v>
      </c>
      <c r="E471" s="5" t="str">
        <f ca="1">IFERROR(__xludf.DUMMYFUNCTION("""COMPUTED_VALUE"""),"USD")</f>
        <v>USD</v>
      </c>
      <c r="F471" s="55">
        <f ca="1">IFERROR(__xludf.DUMMYFUNCTION("""COMPUTED_VALUE"""),20)</f>
        <v>20</v>
      </c>
      <c r="G471" s="56">
        <f ca="1">IFERROR(__xludf.DUMMYFUNCTION("""COMPUTED_VALUE"""),7.82537884615384)</f>
        <v>7.8253788461538401</v>
      </c>
      <c r="H471" s="57">
        <f ca="1">IFERROR(__xludf.DUMMYFUNCTION("""COMPUTED_VALUE"""),162.95)</f>
        <v>162.94999999999999</v>
      </c>
      <c r="I471" s="57">
        <f ca="1">IFERROR(__xludf.DUMMYFUNCTION("""COMPUTED_VALUE"""),170.21)</f>
        <v>170.21</v>
      </c>
      <c r="J471" s="70" t="str">
        <f ca="1">IFERROR(__xludf.DUMMYFUNCTION("""COMPUTED_VALUE"""),"Goto link: AAPL")</f>
        <v>Goto link: AAPL</v>
      </c>
      <c r="K471" s="19"/>
      <c r="L471" s="19"/>
      <c r="M471" s="19"/>
      <c r="N471" s="19"/>
      <c r="O471" s="59"/>
      <c r="P471" s="7"/>
      <c r="Q471" s="55"/>
      <c r="R471" s="55"/>
      <c r="S471" s="7"/>
      <c r="T471" s="55"/>
      <c r="U471" s="7"/>
      <c r="V471" s="55"/>
      <c r="W471" s="60"/>
      <c r="X471" s="55"/>
    </row>
    <row r="472" spans="1:24" ht="13" x14ac:dyDescent="0.15">
      <c r="A472" s="25" t="str">
        <f ca="1">IFERROR(__xludf.DUMMYFUNCTION("""COMPUTED_VALUE"""),"74356")</f>
        <v>74356</v>
      </c>
      <c r="B472" s="69">
        <f ca="1">IFERROR(__xludf.DUMMYFUNCTION("""COMPUTED_VALUE"""),44630)</f>
        <v>44630</v>
      </c>
      <c r="C472" s="69" t="str">
        <f ca="1">IFERROR(__xludf.DUMMYFUNCTION("""COMPUTED_VALUE"""),"Stock")</f>
        <v>Stock</v>
      </c>
      <c r="D472" s="5" t="str">
        <f ca="1">IFERROR(__xludf.DUMMYFUNCTION("""COMPUTED_VALUE"""),"BRK-B")</f>
        <v>BRK-B</v>
      </c>
      <c r="E472" s="5" t="str">
        <f ca="1">IFERROR(__xludf.DUMMYFUNCTION("""COMPUTED_VALUE"""),"USD")</f>
        <v>USD</v>
      </c>
      <c r="F472" s="55">
        <f ca="1">IFERROR(__xludf.DUMMYFUNCTION("""COMPUTED_VALUE"""),40)</f>
        <v>40</v>
      </c>
      <c r="G472" s="56">
        <f ca="1">IFERROR(__xludf.DUMMYFUNCTION("""COMPUTED_VALUE"""),7.82537884615384)</f>
        <v>7.8253788461538401</v>
      </c>
      <c r="H472" s="57">
        <f ca="1">IFERROR(__xludf.DUMMYFUNCTION("""COMPUTED_VALUE"""),325.4)</f>
        <v>325.39999999999998</v>
      </c>
      <c r="I472" s="57">
        <f ca="1">IFERROR(__xludf.DUMMYFUNCTION("""COMPUTED_VALUE"""),348.16)</f>
        <v>348.16</v>
      </c>
      <c r="J472" s="70" t="str">
        <f ca="1">IFERROR(__xludf.DUMMYFUNCTION("""COMPUTED_VALUE"""),"Goto link: BRK-B")</f>
        <v>Goto link: BRK-B</v>
      </c>
      <c r="K472" s="19"/>
      <c r="L472" s="19"/>
      <c r="M472" s="19"/>
      <c r="N472" s="19"/>
      <c r="O472" s="59"/>
      <c r="P472" s="7"/>
      <c r="Q472" s="55"/>
      <c r="R472" s="55"/>
      <c r="S472" s="7"/>
      <c r="T472" s="55"/>
      <c r="U472" s="7"/>
      <c r="V472" s="55"/>
      <c r="W472" s="60"/>
      <c r="X472" s="55"/>
    </row>
    <row r="473" spans="1:24" ht="13" x14ac:dyDescent="0.15">
      <c r="A473" s="25" t="str">
        <f ca="1">IFERROR(__xludf.DUMMYFUNCTION("""COMPUTED_VALUE"""),"74356")</f>
        <v>74356</v>
      </c>
      <c r="B473" s="69">
        <f ca="1">IFERROR(__xludf.DUMMYFUNCTION("""COMPUTED_VALUE"""),44630)</f>
        <v>44630</v>
      </c>
      <c r="C473" s="69" t="str">
        <f ca="1">IFERROR(__xludf.DUMMYFUNCTION("""COMPUTED_VALUE"""),"Stock")</f>
        <v>Stock</v>
      </c>
      <c r="D473" s="5" t="str">
        <f ca="1">IFERROR(__xludf.DUMMYFUNCTION("""COMPUTED_VALUE"""),"CL=F")</f>
        <v>CL=F</v>
      </c>
      <c r="E473" s="5" t="str">
        <f ca="1">IFERROR(__xludf.DUMMYFUNCTION("""COMPUTED_VALUE"""),"USD")</f>
        <v>USD</v>
      </c>
      <c r="F473" s="55">
        <f ca="1">IFERROR(__xludf.DUMMYFUNCTION("""COMPUTED_VALUE"""),100)</f>
        <v>100</v>
      </c>
      <c r="G473" s="56">
        <f ca="1">IFERROR(__xludf.DUMMYFUNCTION("""COMPUTED_VALUE"""),7.82537884615384)</f>
        <v>7.8253788461538401</v>
      </c>
      <c r="H473" s="57">
        <f ca="1">IFERROR(__xludf.DUMMYFUNCTION("""COMPUTED_VALUE"""),106.04)</f>
        <v>106.04</v>
      </c>
      <c r="I473" s="57">
        <f ca="1">IFERROR(__xludf.DUMMYFUNCTION("""COMPUTED_VALUE"""),115.83)</f>
        <v>115.83</v>
      </c>
      <c r="J473" s="70" t="str">
        <f ca="1">IFERROR(__xludf.DUMMYFUNCTION("""COMPUTED_VALUE"""),"Goto link: CL=F")</f>
        <v>Goto link: CL=F</v>
      </c>
      <c r="K473" s="19"/>
      <c r="L473" s="19"/>
      <c r="M473" s="19"/>
      <c r="N473" s="19"/>
      <c r="O473" s="59"/>
      <c r="P473" s="7"/>
      <c r="Q473" s="55"/>
      <c r="R473" s="55"/>
      <c r="S473" s="7"/>
      <c r="T473" s="55"/>
      <c r="U473" s="7"/>
      <c r="V473" s="55"/>
      <c r="W473" s="60"/>
      <c r="X473" s="55"/>
    </row>
    <row r="474" spans="1:24" ht="13" x14ac:dyDescent="0.15">
      <c r="A474" s="25" t="str">
        <f ca="1">IFERROR(__xludf.DUMMYFUNCTION("""COMPUTED_VALUE"""),"74356")</f>
        <v>74356</v>
      </c>
      <c r="B474" s="69">
        <f ca="1">IFERROR(__xludf.DUMMYFUNCTION("""COMPUTED_VALUE"""),44635)</f>
        <v>44635</v>
      </c>
      <c r="C474" s="69" t="str">
        <f ca="1">IFERROR(__xludf.DUMMYFUNCTION("""COMPUTED_VALUE"""),"Stock")</f>
        <v>Stock</v>
      </c>
      <c r="D474" s="5" t="str">
        <f ca="1">IFERROR(__xludf.DUMMYFUNCTION("""COMPUTED_VALUE"""),"AAPL")</f>
        <v>AAPL</v>
      </c>
      <c r="E474" s="5" t="str">
        <f ca="1">IFERROR(__xludf.DUMMYFUNCTION("""COMPUTED_VALUE"""),"USD")</f>
        <v>USD</v>
      </c>
      <c r="F474" s="55">
        <f ca="1">IFERROR(__xludf.DUMMYFUNCTION("""COMPUTED_VALUE"""),-20)</f>
        <v>-20</v>
      </c>
      <c r="G474" s="56">
        <f ca="1">IFERROR(__xludf.DUMMYFUNCTION("""COMPUTED_VALUE"""),7.823749375)</f>
        <v>7.8237493750000002</v>
      </c>
      <c r="H474" s="57">
        <f ca="1">IFERROR(__xludf.DUMMYFUNCTION("""COMPUTED_VALUE"""),155.09)</f>
        <v>155.09</v>
      </c>
      <c r="I474" s="57">
        <f ca="1">IFERROR(__xludf.DUMMYFUNCTION("""COMPUTED_VALUE"""),170.21)</f>
        <v>170.21</v>
      </c>
      <c r="J474" s="70" t="str">
        <f ca="1">IFERROR(__xludf.DUMMYFUNCTION("""COMPUTED_VALUE"""),"Goto link: AAPL")</f>
        <v>Goto link: AAPL</v>
      </c>
      <c r="K474" s="19"/>
      <c r="L474" s="19"/>
      <c r="M474" s="19"/>
      <c r="N474" s="19"/>
      <c r="O474" s="59"/>
      <c r="P474" s="7"/>
      <c r="Q474" s="55"/>
      <c r="R474" s="55"/>
      <c r="S474" s="7"/>
      <c r="T474" s="55"/>
      <c r="U474" s="7"/>
      <c r="V474" s="55"/>
      <c r="W474" s="60"/>
      <c r="X474" s="55"/>
    </row>
    <row r="475" spans="1:24" ht="13" x14ac:dyDescent="0.15">
      <c r="A475" s="25" t="str">
        <f ca="1">IFERROR(__xludf.DUMMYFUNCTION("""COMPUTED_VALUE"""),"74356")</f>
        <v>74356</v>
      </c>
      <c r="B475" s="69">
        <f ca="1">IFERROR(__xludf.DUMMYFUNCTION("""COMPUTED_VALUE"""),44635)</f>
        <v>44635</v>
      </c>
      <c r="C475" s="69" t="str">
        <f ca="1">IFERROR(__xludf.DUMMYFUNCTION("""COMPUTED_VALUE"""),"Stock")</f>
        <v>Stock</v>
      </c>
      <c r="D475" s="5" t="str">
        <f ca="1">IFERROR(__xludf.DUMMYFUNCTION("""COMPUTED_VALUE"""),"AMAT")</f>
        <v>AMAT</v>
      </c>
      <c r="E475" s="5" t="str">
        <f ca="1">IFERROR(__xludf.DUMMYFUNCTION("""COMPUTED_VALUE"""),"USD")</f>
        <v>USD</v>
      </c>
      <c r="F475" s="55">
        <f ca="1">IFERROR(__xludf.DUMMYFUNCTION("""COMPUTED_VALUE"""),-50)</f>
        <v>-50</v>
      </c>
      <c r="G475" s="56">
        <f ca="1">IFERROR(__xludf.DUMMYFUNCTION("""COMPUTED_VALUE"""),7.823749375)</f>
        <v>7.8237493750000002</v>
      </c>
      <c r="H475" s="57">
        <f ca="1">IFERROR(__xludf.DUMMYFUNCTION("""COMPUTED_VALUE"""),124.41)</f>
        <v>124.41</v>
      </c>
      <c r="I475" s="57">
        <f ca="1">IFERROR(__xludf.DUMMYFUNCTION("""COMPUTED_VALUE"""),131.42)</f>
        <v>131.41999999999999</v>
      </c>
      <c r="J475" s="70" t="str">
        <f ca="1">IFERROR(__xludf.DUMMYFUNCTION("""COMPUTED_VALUE"""),"Goto link: AMAT")</f>
        <v>Goto link: AMAT</v>
      </c>
      <c r="K475" s="19"/>
      <c r="L475" s="19"/>
      <c r="M475" s="19"/>
      <c r="N475" s="19"/>
      <c r="O475" s="59"/>
      <c r="P475" s="7"/>
      <c r="Q475" s="55"/>
      <c r="R475" s="55"/>
      <c r="S475" s="7"/>
      <c r="T475" s="55"/>
      <c r="U475" s="7"/>
      <c r="V475" s="55"/>
      <c r="W475" s="60"/>
      <c r="X475" s="55"/>
    </row>
    <row r="476" spans="1:24" ht="13" x14ac:dyDescent="0.15">
      <c r="A476" s="25" t="str">
        <f ca="1">IFERROR(__xludf.DUMMYFUNCTION("""COMPUTED_VALUE"""),"74356")</f>
        <v>74356</v>
      </c>
      <c r="B476" s="69">
        <f ca="1">IFERROR(__xludf.DUMMYFUNCTION("""COMPUTED_VALUE"""),44635)</f>
        <v>44635</v>
      </c>
      <c r="C476" s="69" t="str">
        <f ca="1">IFERROR(__xludf.DUMMYFUNCTION("""COMPUTED_VALUE"""),"Stock")</f>
        <v>Stock</v>
      </c>
      <c r="D476" s="5" t="str">
        <f ca="1">IFERROR(__xludf.DUMMYFUNCTION("""COMPUTED_VALUE"""),"BRK-B")</f>
        <v>BRK-B</v>
      </c>
      <c r="E476" s="5" t="str">
        <f ca="1">IFERROR(__xludf.DUMMYFUNCTION("""COMPUTED_VALUE"""),"USD")</f>
        <v>USD</v>
      </c>
      <c r="F476" s="55">
        <f ca="1">IFERROR(__xludf.DUMMYFUNCTION("""COMPUTED_VALUE"""),100)</f>
        <v>100</v>
      </c>
      <c r="G476" s="56">
        <f ca="1">IFERROR(__xludf.DUMMYFUNCTION("""COMPUTED_VALUE"""),7.823749375)</f>
        <v>7.8237493750000002</v>
      </c>
      <c r="H476" s="57">
        <f ca="1">IFERROR(__xludf.DUMMYFUNCTION("""COMPUTED_VALUE"""),332.55)</f>
        <v>332.55</v>
      </c>
      <c r="I476" s="57">
        <f ca="1">IFERROR(__xludf.DUMMYFUNCTION("""COMPUTED_VALUE"""),348.16)</f>
        <v>348.16</v>
      </c>
      <c r="J476" s="70" t="str">
        <f ca="1">IFERROR(__xludf.DUMMYFUNCTION("""COMPUTED_VALUE"""),"Goto link: BRK-B")</f>
        <v>Goto link: BRK-B</v>
      </c>
      <c r="K476" s="19"/>
      <c r="L476" s="19"/>
      <c r="M476" s="19"/>
      <c r="N476" s="19"/>
      <c r="O476" s="59"/>
      <c r="P476" s="7"/>
      <c r="Q476" s="55"/>
      <c r="R476" s="55"/>
      <c r="S476" s="7"/>
      <c r="T476" s="55"/>
      <c r="U476" s="7"/>
      <c r="V476" s="55"/>
      <c r="W476" s="60"/>
      <c r="X476" s="55"/>
    </row>
    <row r="477" spans="1:24" ht="13" x14ac:dyDescent="0.15">
      <c r="A477" s="25" t="str">
        <f ca="1">IFERROR(__xludf.DUMMYFUNCTION("""COMPUTED_VALUE"""),"74356")</f>
        <v>74356</v>
      </c>
      <c r="B477" s="69">
        <f ca="1">IFERROR(__xludf.DUMMYFUNCTION("""COMPUTED_VALUE"""),44635)</f>
        <v>44635</v>
      </c>
      <c r="C477" s="69" t="str">
        <f ca="1">IFERROR(__xludf.DUMMYFUNCTION("""COMPUTED_VALUE"""),"Stock")</f>
        <v>Stock</v>
      </c>
      <c r="D477" s="5" t="str">
        <f ca="1">IFERROR(__xludf.DUMMYFUNCTION("""COMPUTED_VALUE"""),"CL=F")</f>
        <v>CL=F</v>
      </c>
      <c r="E477" s="5" t="str">
        <f ca="1">IFERROR(__xludf.DUMMYFUNCTION("""COMPUTED_VALUE"""),"USD")</f>
        <v>USD</v>
      </c>
      <c r="F477" s="55">
        <f ca="1">IFERROR(__xludf.DUMMYFUNCTION("""COMPUTED_VALUE"""),-200)</f>
        <v>-200</v>
      </c>
      <c r="G477" s="56">
        <f ca="1">IFERROR(__xludf.DUMMYFUNCTION("""COMPUTED_VALUE"""),7.823749375)</f>
        <v>7.8237493750000002</v>
      </c>
      <c r="H477" s="57">
        <f ca="1">IFERROR(__xludf.DUMMYFUNCTION("""COMPUTED_VALUE"""),96.13)</f>
        <v>96.13</v>
      </c>
      <c r="I477" s="57">
        <f ca="1">IFERROR(__xludf.DUMMYFUNCTION("""COMPUTED_VALUE"""),115.83)</f>
        <v>115.83</v>
      </c>
      <c r="J477" s="70" t="str">
        <f ca="1">IFERROR(__xludf.DUMMYFUNCTION("""COMPUTED_VALUE"""),"Goto link: CL=F")</f>
        <v>Goto link: CL=F</v>
      </c>
      <c r="K477" s="19"/>
      <c r="L477" s="19"/>
      <c r="M477" s="19"/>
      <c r="N477" s="19"/>
      <c r="O477" s="59"/>
      <c r="P477" s="7"/>
      <c r="Q477" s="55"/>
      <c r="R477" s="55"/>
      <c r="S477" s="7"/>
      <c r="T477" s="55"/>
      <c r="U477" s="7"/>
      <c r="V477" s="55"/>
      <c r="W477" s="60"/>
      <c r="X477" s="55"/>
    </row>
    <row r="478" spans="1:24" ht="13" x14ac:dyDescent="0.15">
      <c r="A478" s="25" t="str">
        <f ca="1">IFERROR(__xludf.DUMMYFUNCTION("""COMPUTED_VALUE"""),"74356")</f>
        <v>74356</v>
      </c>
      <c r="B478" s="69">
        <f ca="1">IFERROR(__xludf.DUMMYFUNCTION("""COMPUTED_VALUE"""),44635)</f>
        <v>44635</v>
      </c>
      <c r="C478" s="69" t="str">
        <f ca="1">IFERROR(__xludf.DUMMYFUNCTION("""COMPUTED_VALUE"""),"Stock")</f>
        <v>Stock</v>
      </c>
      <c r="D478" s="5" t="str">
        <f ca="1">IFERROR(__xludf.DUMMYFUNCTION("""COMPUTED_VALUE"""),"IXHL")</f>
        <v>IXHL</v>
      </c>
      <c r="E478" s="5" t="str">
        <f ca="1">IFERROR(__xludf.DUMMYFUNCTION("""COMPUTED_VALUE"""),"USD")</f>
        <v>USD</v>
      </c>
      <c r="F478" s="55">
        <f ca="1">IFERROR(__xludf.DUMMYFUNCTION("""COMPUTED_VALUE"""),0)</f>
        <v>0</v>
      </c>
      <c r="G478" s="56">
        <f ca="1">IFERROR(__xludf.DUMMYFUNCTION("""COMPUTED_VALUE"""),7.823749375)</f>
        <v>7.8237493750000002</v>
      </c>
      <c r="H478" s="57">
        <f ca="1">IFERROR(__xludf.DUMMYFUNCTION("""COMPUTED_VALUE"""),0)</f>
        <v>0</v>
      </c>
      <c r="I478" s="57">
        <f ca="1">IFERROR(__xludf.DUMMYFUNCTION("""COMPUTED_VALUE"""),11.78)</f>
        <v>11.78</v>
      </c>
      <c r="J478" s="70" t="str">
        <f ca="1">IFERROR(__xludf.DUMMYFUNCTION("""COMPUTED_VALUE"""),"Goto link: IXHL")</f>
        <v>Goto link: IXHL</v>
      </c>
      <c r="K478" s="19"/>
      <c r="L478" s="19"/>
      <c r="M478" s="19"/>
      <c r="N478" s="19"/>
      <c r="O478" s="59"/>
      <c r="P478" s="7"/>
      <c r="Q478" s="55"/>
      <c r="R478" s="55"/>
      <c r="S478" s="7"/>
      <c r="T478" s="55"/>
      <c r="U478" s="7"/>
      <c r="V478" s="55"/>
      <c r="W478" s="60"/>
      <c r="X478" s="55"/>
    </row>
    <row r="479" spans="1:24" ht="13" x14ac:dyDescent="0.15">
      <c r="A479" s="25" t="str">
        <f ca="1">IFERROR(__xludf.DUMMYFUNCTION("""COMPUTED_VALUE"""),"74356")</f>
        <v>74356</v>
      </c>
      <c r="B479" s="69">
        <f ca="1">IFERROR(__xludf.DUMMYFUNCTION("""COMPUTED_VALUE"""),44635)</f>
        <v>44635</v>
      </c>
      <c r="C479" s="69" t="str">
        <f ca="1">IFERROR(__xludf.DUMMYFUNCTION("""COMPUTED_VALUE"""),"Stock")</f>
        <v>Stock</v>
      </c>
      <c r="D479" s="5" t="str">
        <f ca="1">IFERROR(__xludf.DUMMYFUNCTION("""COMPUTED_VALUE"""),"NET")</f>
        <v>NET</v>
      </c>
      <c r="E479" s="5" t="str">
        <f ca="1">IFERROR(__xludf.DUMMYFUNCTION("""COMPUTED_VALUE"""),"USD")</f>
        <v>USD</v>
      </c>
      <c r="F479" s="55">
        <f ca="1">IFERROR(__xludf.DUMMYFUNCTION("""COMPUTED_VALUE"""),-10)</f>
        <v>-10</v>
      </c>
      <c r="G479" s="56">
        <f ca="1">IFERROR(__xludf.DUMMYFUNCTION("""COMPUTED_VALUE"""),7.823749375)</f>
        <v>7.8237493750000002</v>
      </c>
      <c r="H479" s="57">
        <f ca="1">IFERROR(__xludf.DUMMYFUNCTION("""COMPUTED_VALUE"""),85.94)</f>
        <v>85.94</v>
      </c>
      <c r="I479" s="57">
        <f ca="1">IFERROR(__xludf.DUMMYFUNCTION("""COMPUTED_VALUE"""),117.59)</f>
        <v>117.59</v>
      </c>
      <c r="J479" s="70" t="str">
        <f ca="1">IFERROR(__xludf.DUMMYFUNCTION("""COMPUTED_VALUE"""),"Goto link: NET")</f>
        <v>Goto link: NET</v>
      </c>
      <c r="K479" s="19"/>
      <c r="L479" s="19"/>
      <c r="M479" s="19"/>
      <c r="N479" s="19"/>
      <c r="O479" s="59"/>
      <c r="P479" s="7"/>
      <c r="Q479" s="55"/>
      <c r="R479" s="55"/>
      <c r="S479" s="7"/>
      <c r="T479" s="55"/>
      <c r="U479" s="7"/>
      <c r="V479" s="55"/>
      <c r="W479" s="60"/>
      <c r="X479" s="55"/>
    </row>
    <row r="480" spans="1:24" ht="13" x14ac:dyDescent="0.15">
      <c r="A480" s="25" t="str">
        <f ca="1">IFERROR(__xludf.DUMMYFUNCTION("""COMPUTED_VALUE"""),"74356")</f>
        <v>74356</v>
      </c>
      <c r="B480" s="69">
        <f ca="1">IFERROR(__xludf.DUMMYFUNCTION("""COMPUTED_VALUE"""),44636)</f>
        <v>44636</v>
      </c>
      <c r="C480" s="69" t="str">
        <f ca="1">IFERROR(__xludf.DUMMYFUNCTION("""COMPUTED_VALUE"""),"Stock")</f>
        <v>Stock</v>
      </c>
      <c r="D480" s="71" t="str">
        <f ca="1">IFERROR(__xludf.DUMMYFUNCTION("""COMPUTED_VALUE"""),"1398.HK")</f>
        <v>1398.HK</v>
      </c>
      <c r="E480" s="5" t="str">
        <f ca="1">IFERROR(__xludf.DUMMYFUNCTION("""COMPUTED_VALUE"""),"HKD")</f>
        <v>HKD</v>
      </c>
      <c r="F480" s="55">
        <f ca="1">IFERROR(__xludf.DUMMYFUNCTION("""COMPUTED_VALUE"""),-750)</f>
        <v>-750</v>
      </c>
      <c r="G480" s="56">
        <f ca="1">IFERROR(__xludf.DUMMYFUNCTION("""COMPUTED_VALUE"""),1)</f>
        <v>1</v>
      </c>
      <c r="H480" s="57">
        <f ca="1">IFERROR(__xludf.DUMMYFUNCTION("""COMPUTED_VALUE"""),4.43)</f>
        <v>4.43</v>
      </c>
      <c r="I480" s="57">
        <f ca="1">IFERROR(__xludf.DUMMYFUNCTION("""COMPUTED_VALUE"""),4.63)</f>
        <v>4.63</v>
      </c>
      <c r="J480" s="70" t="str">
        <f ca="1">IFERROR(__xludf.DUMMYFUNCTION("""COMPUTED_VALUE"""),"Goto link: 1398.HK")</f>
        <v>Goto link: 1398.HK</v>
      </c>
      <c r="K480" s="19"/>
      <c r="L480" s="19"/>
      <c r="M480" s="19"/>
      <c r="N480" s="19"/>
      <c r="O480" s="59"/>
      <c r="P480" s="7"/>
      <c r="Q480" s="55"/>
      <c r="R480" s="55"/>
      <c r="S480" s="7"/>
      <c r="T480" s="55"/>
      <c r="U480" s="7"/>
      <c r="V480" s="55"/>
      <c r="W480" s="60"/>
      <c r="X480" s="55"/>
    </row>
    <row r="481" spans="1:24" ht="13" x14ac:dyDescent="0.15">
      <c r="A481" s="25" t="str">
        <f ca="1">IFERROR(__xludf.DUMMYFUNCTION("""COMPUTED_VALUE"""),"74356 Total")</f>
        <v>74356 Total</v>
      </c>
      <c r="B481" s="5"/>
      <c r="C481" s="69"/>
      <c r="D481" s="5"/>
      <c r="E481" s="5"/>
      <c r="F481" s="55"/>
      <c r="G481" s="56">
        <f ca="1">IFERROR(__xludf.DUMMYFUNCTION("""COMPUTED_VALUE"""),5.46334849640286)</f>
        <v>5.46334849640286</v>
      </c>
      <c r="H481" s="57">
        <f ca="1">IFERROR(__xludf.DUMMYFUNCTION("""COMPUTED_VALUE"""),332.55)</f>
        <v>332.55</v>
      </c>
      <c r="I481" s="57" t="str">
        <f ca="1">IFERROR(__xludf.DUMMYFUNCTION("""COMPUTED_VALUE"""),"")</f>
        <v/>
      </c>
      <c r="J481" s="19" t="str">
        <f ca="1">IFERROR(__xludf.DUMMYFUNCTION("""COMPUTED_VALUE"""),"")</f>
        <v/>
      </c>
      <c r="K481" s="19"/>
      <c r="L481" s="19"/>
      <c r="M481" s="19"/>
      <c r="N481" s="19"/>
      <c r="O481" s="59"/>
      <c r="P481" s="7"/>
      <c r="Q481" s="55"/>
      <c r="R481" s="55"/>
      <c r="S481" s="7"/>
      <c r="T481" s="55"/>
      <c r="U481" s="7"/>
      <c r="V481" s="55"/>
      <c r="W481" s="60"/>
      <c r="X481" s="55"/>
    </row>
    <row r="482" spans="1:24" ht="13" x14ac:dyDescent="0.15">
      <c r="A482" s="25" t="str">
        <f ca="1">IFERROR(__xludf.DUMMYFUNCTION("""COMPUTED_VALUE"""),"74641")</f>
        <v>74641</v>
      </c>
      <c r="B482" s="69">
        <f ca="1">IFERROR(__xludf.DUMMYFUNCTION("""COMPUTED_VALUE"""),44597)</f>
        <v>44597</v>
      </c>
      <c r="C482" s="69" t="str">
        <f ca="1">IFERROR(__xludf.DUMMYFUNCTION("""COMPUTED_VALUE"""),"Cash")</f>
        <v>Cash</v>
      </c>
      <c r="D482" s="5" t="str">
        <f ca="1">IFERROR(__xludf.DUMMYFUNCTION("""COMPUTED_VALUE"""),"Cash")</f>
        <v>Cash</v>
      </c>
      <c r="E482" s="5" t="str">
        <f ca="1">IFERROR(__xludf.DUMMYFUNCTION("""COMPUTED_VALUE"""),"HKD")</f>
        <v>HKD</v>
      </c>
      <c r="F482" s="55" t="str">
        <f ca="1">IFERROR(__xludf.DUMMYFUNCTION("""COMPUTED_VALUE"""),"")</f>
        <v/>
      </c>
      <c r="G482" s="56">
        <f ca="1">IFERROR(__xludf.DUMMYFUNCTION("""COMPUTED_VALUE"""),1)</f>
        <v>1</v>
      </c>
      <c r="H482" s="57">
        <f ca="1">IFERROR(__xludf.DUMMYFUNCTION("""COMPUTED_VALUE"""),1)</f>
        <v>1</v>
      </c>
      <c r="I482" s="57">
        <f ca="1">IFERROR(__xludf.DUMMYFUNCTION("""COMPUTED_VALUE"""),1)</f>
        <v>1</v>
      </c>
      <c r="J482" s="19" t="str">
        <f ca="1">IFERROR(__xludf.DUMMYFUNCTION("""COMPUTED_VALUE"""),"")</f>
        <v/>
      </c>
      <c r="K482" s="19"/>
      <c r="L482" s="19"/>
      <c r="M482" s="19"/>
      <c r="N482" s="19"/>
      <c r="O482" s="59"/>
      <c r="P482" s="7"/>
      <c r="Q482" s="55"/>
      <c r="R482" s="55"/>
      <c r="S482" s="7"/>
      <c r="T482" s="55"/>
      <c r="U482" s="7"/>
      <c r="V482" s="55"/>
      <c r="W482" s="60"/>
      <c r="X482" s="55"/>
    </row>
    <row r="483" spans="1:24" ht="13" x14ac:dyDescent="0.15">
      <c r="A483" s="25" t="str">
        <f ca="1">IFERROR(__xludf.DUMMYFUNCTION("""COMPUTED_VALUE"""),"74641")</f>
        <v>74641</v>
      </c>
      <c r="B483" s="69">
        <f ca="1">IFERROR(__xludf.DUMMYFUNCTION("""COMPUTED_VALUE"""),44602)</f>
        <v>44602</v>
      </c>
      <c r="C483" s="69" t="str">
        <f ca="1">IFERROR(__xludf.DUMMYFUNCTION("""COMPUTED_VALUE"""),"Stock")</f>
        <v>Stock</v>
      </c>
      <c r="D483" s="71" t="str">
        <f ca="1">IFERROR(__xludf.DUMMYFUNCTION("""COMPUTED_VALUE"""),"601168.ss")</f>
        <v>601168.ss</v>
      </c>
      <c r="E483" s="5" t="str">
        <f ca="1">IFERROR(__xludf.DUMMYFUNCTION("""COMPUTED_VALUE"""),"CNY")</f>
        <v>CNY</v>
      </c>
      <c r="F483" s="55">
        <f ca="1">IFERROR(__xludf.DUMMYFUNCTION("""COMPUTED_VALUE"""),0)</f>
        <v>0</v>
      </c>
      <c r="G483" s="56">
        <f ca="1">IFERROR(__xludf.DUMMYFUNCTION("""COMPUTED_VALUE"""),1.23273914634146)</f>
        <v>1.2327391463414601</v>
      </c>
      <c r="H483" s="57">
        <f ca="1">IFERROR(__xludf.DUMMYFUNCTION("""COMPUTED_VALUE"""),0)</f>
        <v>0</v>
      </c>
      <c r="I483" s="57">
        <f ca="1">IFERROR(__xludf.DUMMYFUNCTION("""COMPUTED_VALUE"""),14.8)</f>
        <v>14.8</v>
      </c>
      <c r="J483" s="70" t="str">
        <f ca="1">IFERROR(__xludf.DUMMYFUNCTION("""COMPUTED_VALUE"""),"Goto link: 601168.ss")</f>
        <v>Goto link: 601168.ss</v>
      </c>
      <c r="K483" s="19"/>
      <c r="L483" s="19"/>
      <c r="M483" s="19"/>
      <c r="N483" s="19"/>
      <c r="O483" s="59"/>
      <c r="P483" s="7"/>
      <c r="Q483" s="55"/>
      <c r="R483" s="55"/>
      <c r="S483" s="7"/>
      <c r="T483" s="55"/>
      <c r="U483" s="7"/>
      <c r="V483" s="55"/>
      <c r="W483" s="60"/>
      <c r="X483" s="55"/>
    </row>
    <row r="484" spans="1:24" ht="13" x14ac:dyDescent="0.15">
      <c r="A484" s="25" t="str">
        <f ca="1">IFERROR(__xludf.DUMMYFUNCTION("""COMPUTED_VALUE"""),"74641")</f>
        <v>74641</v>
      </c>
      <c r="B484" s="69">
        <f ca="1">IFERROR(__xludf.DUMMYFUNCTION("""COMPUTED_VALUE"""),44606)</f>
        <v>44606</v>
      </c>
      <c r="C484" s="69" t="str">
        <f ca="1">IFERROR(__xludf.DUMMYFUNCTION("""COMPUTED_VALUE"""),"Stock")</f>
        <v>Stock</v>
      </c>
      <c r="D484" s="71" t="str">
        <f ca="1">IFERROR(__xludf.DUMMYFUNCTION("""COMPUTED_VALUE"""),"600986.ss")</f>
        <v>600986.ss</v>
      </c>
      <c r="E484" s="5" t="str">
        <f ca="1">IFERROR(__xludf.DUMMYFUNCTION("""COMPUTED_VALUE"""),"CNY")</f>
        <v>CNY</v>
      </c>
      <c r="F484" s="55">
        <f ca="1">IFERROR(__xludf.DUMMYFUNCTION("""COMPUTED_VALUE"""),1000)</f>
        <v>1000</v>
      </c>
      <c r="G484" s="56">
        <f ca="1">IFERROR(__xludf.DUMMYFUNCTION("""COMPUTED_VALUE"""),1.23326432432432)</f>
        <v>1.23326432432432</v>
      </c>
      <c r="H484" s="57">
        <f ca="1">IFERROR(__xludf.DUMMYFUNCTION("""COMPUTED_VALUE"""),6.63)</f>
        <v>6.63</v>
      </c>
      <c r="I484" s="57">
        <f ca="1">IFERROR(__xludf.DUMMYFUNCTION("""COMPUTED_VALUE"""),6.24)</f>
        <v>6.24</v>
      </c>
      <c r="J484" s="70" t="str">
        <f ca="1">IFERROR(__xludf.DUMMYFUNCTION("""COMPUTED_VALUE"""),"Goto link: 600986.ss")</f>
        <v>Goto link: 600986.ss</v>
      </c>
      <c r="K484" s="19"/>
      <c r="L484" s="19"/>
      <c r="M484" s="19"/>
      <c r="N484" s="19"/>
      <c r="O484" s="59"/>
      <c r="P484" s="7"/>
      <c r="Q484" s="55"/>
      <c r="R484" s="55"/>
      <c r="S484" s="7"/>
      <c r="T484" s="55"/>
      <c r="U484" s="7"/>
      <c r="V484" s="55"/>
      <c r="W484" s="60"/>
      <c r="X484" s="55"/>
    </row>
    <row r="485" spans="1:24" ht="13" x14ac:dyDescent="0.15">
      <c r="A485" s="25" t="str">
        <f ca="1">IFERROR(__xludf.DUMMYFUNCTION("""COMPUTED_VALUE"""),"74641")</f>
        <v>74641</v>
      </c>
      <c r="B485" s="69">
        <f ca="1">IFERROR(__xludf.DUMMYFUNCTION("""COMPUTED_VALUE"""),44613)</f>
        <v>44613</v>
      </c>
      <c r="C485" s="69" t="str">
        <f ca="1">IFERROR(__xludf.DUMMYFUNCTION("""COMPUTED_VALUE"""),"Stock")</f>
        <v>Stock</v>
      </c>
      <c r="D485" s="71" t="str">
        <f ca="1">IFERROR(__xludf.DUMMYFUNCTION("""COMPUTED_VALUE"""),"002230.SZ")</f>
        <v>002230.SZ</v>
      </c>
      <c r="E485" s="5" t="str">
        <f ca="1">IFERROR(__xludf.DUMMYFUNCTION("""COMPUTED_VALUE"""),"CNY")</f>
        <v>CNY</v>
      </c>
      <c r="F485" s="55">
        <f ca="1">IFERROR(__xludf.DUMMYFUNCTION("""COMPUTED_VALUE"""),0)</f>
        <v>0</v>
      </c>
      <c r="G485" s="56">
        <f ca="1">IFERROR(__xludf.DUMMYFUNCTION("""COMPUTED_VALUE"""),1.23379423333333)</f>
        <v>1.23379423333333</v>
      </c>
      <c r="H485" s="57">
        <f ca="1">IFERROR(__xludf.DUMMYFUNCTION("""COMPUTED_VALUE"""),0)</f>
        <v>0</v>
      </c>
      <c r="I485" s="57">
        <f ca="1">IFERROR(__xludf.DUMMYFUNCTION("""COMPUTED_VALUE"""),47.89)</f>
        <v>47.89</v>
      </c>
      <c r="J485" s="70" t="str">
        <f ca="1">IFERROR(__xludf.DUMMYFUNCTION("""COMPUTED_VALUE"""),"Goto link: 002230.SZ")</f>
        <v>Goto link: 002230.SZ</v>
      </c>
      <c r="K485" s="19"/>
      <c r="L485" s="19"/>
      <c r="M485" s="19"/>
      <c r="N485" s="19"/>
      <c r="O485" s="59"/>
      <c r="P485" s="7"/>
      <c r="Q485" s="55"/>
      <c r="R485" s="55"/>
      <c r="S485" s="7"/>
      <c r="T485" s="55"/>
      <c r="U485" s="7"/>
      <c r="V485" s="55"/>
      <c r="W485" s="60"/>
      <c r="X485" s="55"/>
    </row>
    <row r="486" spans="1:24" ht="13" x14ac:dyDescent="0.15">
      <c r="A486" s="25" t="str">
        <f ca="1">IFERROR(__xludf.DUMMYFUNCTION("""COMPUTED_VALUE"""),"74641")</f>
        <v>74641</v>
      </c>
      <c r="B486" s="69">
        <f ca="1">IFERROR(__xludf.DUMMYFUNCTION("""COMPUTED_VALUE"""),44621)</f>
        <v>44621</v>
      </c>
      <c r="C486" s="69" t="str">
        <f ca="1">IFERROR(__xludf.DUMMYFUNCTION("""COMPUTED_VALUE"""),"Stock")</f>
        <v>Stock</v>
      </c>
      <c r="D486" s="71" t="str">
        <f ca="1">IFERROR(__xludf.DUMMYFUNCTION("""COMPUTED_VALUE"""),"002475.SZ")</f>
        <v>002475.SZ</v>
      </c>
      <c r="E486" s="5" t="str">
        <f ca="1">IFERROR(__xludf.DUMMYFUNCTION("""COMPUTED_VALUE"""),"CNY")</f>
        <v>CNY</v>
      </c>
      <c r="F486" s="55">
        <f ca="1">IFERROR(__xludf.DUMMYFUNCTION("""COMPUTED_VALUE"""),500)</f>
        <v>500</v>
      </c>
      <c r="G486" s="56">
        <f ca="1">IFERROR(__xludf.DUMMYFUNCTION("""COMPUTED_VALUE"""),1.23327795454545)</f>
        <v>1.23327795454545</v>
      </c>
      <c r="H486" s="57">
        <f ca="1">IFERROR(__xludf.DUMMYFUNCTION("""COMPUTED_VALUE"""),43)</f>
        <v>43</v>
      </c>
      <c r="I486" s="57">
        <f ca="1">IFERROR(__xludf.DUMMYFUNCTION("""COMPUTED_VALUE"""),35.19)</f>
        <v>35.19</v>
      </c>
      <c r="J486" s="70" t="str">
        <f ca="1">IFERROR(__xludf.DUMMYFUNCTION("""COMPUTED_VALUE"""),"Goto link: 002475.SZ")</f>
        <v>Goto link: 002475.SZ</v>
      </c>
      <c r="K486" s="19"/>
      <c r="L486" s="19"/>
      <c r="M486" s="19"/>
      <c r="N486" s="19"/>
      <c r="O486" s="59"/>
      <c r="P486" s="7"/>
      <c r="Q486" s="55"/>
      <c r="R486" s="55"/>
      <c r="S486" s="7"/>
      <c r="T486" s="55"/>
      <c r="U486" s="7"/>
      <c r="V486" s="55"/>
      <c r="W486" s="60"/>
      <c r="X486" s="55"/>
    </row>
    <row r="487" spans="1:24" ht="13" x14ac:dyDescent="0.15">
      <c r="A487" s="25" t="str">
        <f ca="1">IFERROR(__xludf.DUMMYFUNCTION("""COMPUTED_VALUE"""),"74641 Total")</f>
        <v>74641 Total</v>
      </c>
      <c r="B487" s="5"/>
      <c r="C487" s="69"/>
      <c r="D487" s="5"/>
      <c r="E487" s="5"/>
      <c r="F487" s="55"/>
      <c r="G487" s="56">
        <f ca="1">IFERROR(__xludf.DUMMYFUNCTION("""COMPUTED_VALUE"""),1.17226719886363)</f>
        <v>1.17226719886363</v>
      </c>
      <c r="H487" s="57">
        <f ca="1">IFERROR(__xludf.DUMMYFUNCTION("""COMPUTED_VALUE"""),43)</f>
        <v>43</v>
      </c>
      <c r="I487" s="57" t="str">
        <f ca="1">IFERROR(__xludf.DUMMYFUNCTION("""COMPUTED_VALUE"""),"")</f>
        <v/>
      </c>
      <c r="J487" s="19" t="str">
        <f ca="1">IFERROR(__xludf.DUMMYFUNCTION("""COMPUTED_VALUE"""),"")</f>
        <v/>
      </c>
      <c r="K487" s="19"/>
      <c r="L487" s="19"/>
      <c r="M487" s="19"/>
      <c r="N487" s="19"/>
      <c r="O487" s="59"/>
      <c r="P487" s="7"/>
      <c r="Q487" s="55"/>
      <c r="R487" s="55"/>
      <c r="S487" s="7"/>
      <c r="T487" s="55"/>
      <c r="U487" s="7"/>
      <c r="V487" s="55"/>
      <c r="W487" s="60"/>
      <c r="X487" s="55"/>
    </row>
    <row r="488" spans="1:24" ht="13" x14ac:dyDescent="0.15">
      <c r="A488" s="25" t="str">
        <f ca="1">IFERROR(__xludf.DUMMYFUNCTION("""COMPUTED_VALUE"""),"74972")</f>
        <v>74972</v>
      </c>
      <c r="B488" s="69">
        <f ca="1">IFERROR(__xludf.DUMMYFUNCTION("""COMPUTED_VALUE"""),44597)</f>
        <v>44597</v>
      </c>
      <c r="C488" s="69" t="str">
        <f ca="1">IFERROR(__xludf.DUMMYFUNCTION("""COMPUTED_VALUE"""),"Cash")</f>
        <v>Cash</v>
      </c>
      <c r="D488" s="5" t="str">
        <f ca="1">IFERROR(__xludf.DUMMYFUNCTION("""COMPUTED_VALUE"""),"Cash")</f>
        <v>Cash</v>
      </c>
      <c r="E488" s="5" t="str">
        <f ca="1">IFERROR(__xludf.DUMMYFUNCTION("""COMPUTED_VALUE"""),"HKD")</f>
        <v>HKD</v>
      </c>
      <c r="F488" s="55" t="str">
        <f ca="1">IFERROR(__xludf.DUMMYFUNCTION("""COMPUTED_VALUE"""),"")</f>
        <v/>
      </c>
      <c r="G488" s="56">
        <f ca="1">IFERROR(__xludf.DUMMYFUNCTION("""COMPUTED_VALUE"""),1)</f>
        <v>1</v>
      </c>
      <c r="H488" s="57">
        <f ca="1">IFERROR(__xludf.DUMMYFUNCTION("""COMPUTED_VALUE"""),1)</f>
        <v>1</v>
      </c>
      <c r="I488" s="57">
        <f ca="1">IFERROR(__xludf.DUMMYFUNCTION("""COMPUTED_VALUE"""),1)</f>
        <v>1</v>
      </c>
      <c r="J488" s="19" t="str">
        <f ca="1">IFERROR(__xludf.DUMMYFUNCTION("""COMPUTED_VALUE"""),"")</f>
        <v/>
      </c>
      <c r="K488" s="19"/>
      <c r="L488" s="19"/>
      <c r="M488" s="19"/>
      <c r="N488" s="19"/>
      <c r="O488" s="59"/>
      <c r="P488" s="7"/>
      <c r="Q488" s="55"/>
      <c r="R488" s="55"/>
      <c r="S488" s="7"/>
      <c r="T488" s="55"/>
      <c r="U488" s="7"/>
      <c r="V488" s="55"/>
      <c r="W488" s="60"/>
      <c r="X488" s="55"/>
    </row>
    <row r="489" spans="1:24" ht="13" x14ac:dyDescent="0.15">
      <c r="A489" s="25" t="str">
        <f ca="1">IFERROR(__xludf.DUMMYFUNCTION("""COMPUTED_VALUE"""),"74972 Total")</f>
        <v>74972 Total</v>
      </c>
      <c r="B489" s="5"/>
      <c r="C489" s="69"/>
      <c r="D489" s="5"/>
      <c r="E489" s="5"/>
      <c r="F489" s="55"/>
      <c r="G489" s="56">
        <f ca="1">IFERROR(__xludf.DUMMYFUNCTION("""COMPUTED_VALUE"""),1)</f>
        <v>1</v>
      </c>
      <c r="H489" s="57">
        <f ca="1">IFERROR(__xludf.DUMMYFUNCTION("""COMPUTED_VALUE"""),1)</f>
        <v>1</v>
      </c>
      <c r="I489" s="57" t="str">
        <f ca="1">IFERROR(__xludf.DUMMYFUNCTION("""COMPUTED_VALUE"""),"")</f>
        <v/>
      </c>
      <c r="J489" s="19" t="str">
        <f ca="1">IFERROR(__xludf.DUMMYFUNCTION("""COMPUTED_VALUE"""),"")</f>
        <v/>
      </c>
      <c r="K489" s="19"/>
      <c r="L489" s="19"/>
      <c r="M489" s="19"/>
      <c r="N489" s="19"/>
      <c r="O489" s="59"/>
      <c r="P489" s="7"/>
      <c r="Q489" s="55"/>
      <c r="R489" s="55"/>
      <c r="S489" s="7"/>
      <c r="T489" s="55"/>
      <c r="U489" s="7"/>
      <c r="V489" s="55"/>
      <c r="W489" s="60"/>
      <c r="X489" s="55"/>
    </row>
    <row r="490" spans="1:24" ht="13" x14ac:dyDescent="0.15">
      <c r="A490" s="25" t="str">
        <f ca="1">IFERROR(__xludf.DUMMYFUNCTION("""COMPUTED_VALUE"""),"75005")</f>
        <v>75005</v>
      </c>
      <c r="B490" s="69">
        <f ca="1">IFERROR(__xludf.DUMMYFUNCTION("""COMPUTED_VALUE"""),44597)</f>
        <v>44597</v>
      </c>
      <c r="C490" s="69" t="str">
        <f ca="1">IFERROR(__xludf.DUMMYFUNCTION("""COMPUTED_VALUE"""),"Cash")</f>
        <v>Cash</v>
      </c>
      <c r="D490" s="5" t="str">
        <f ca="1">IFERROR(__xludf.DUMMYFUNCTION("""COMPUTED_VALUE"""),"Cash")</f>
        <v>Cash</v>
      </c>
      <c r="E490" s="5" t="str">
        <f ca="1">IFERROR(__xludf.DUMMYFUNCTION("""COMPUTED_VALUE"""),"HKD")</f>
        <v>HKD</v>
      </c>
      <c r="F490" s="55" t="str">
        <f ca="1">IFERROR(__xludf.DUMMYFUNCTION("""COMPUTED_VALUE"""),"")</f>
        <v/>
      </c>
      <c r="G490" s="56">
        <f ca="1">IFERROR(__xludf.DUMMYFUNCTION("""COMPUTED_VALUE"""),1)</f>
        <v>1</v>
      </c>
      <c r="H490" s="57">
        <f ca="1">IFERROR(__xludf.DUMMYFUNCTION("""COMPUTED_VALUE"""),1)</f>
        <v>1</v>
      </c>
      <c r="I490" s="57">
        <f ca="1">IFERROR(__xludf.DUMMYFUNCTION("""COMPUTED_VALUE"""),1)</f>
        <v>1</v>
      </c>
      <c r="J490" s="19" t="str">
        <f ca="1">IFERROR(__xludf.DUMMYFUNCTION("""COMPUTED_VALUE"""),"")</f>
        <v/>
      </c>
      <c r="K490" s="19"/>
      <c r="L490" s="19"/>
      <c r="M490" s="19"/>
      <c r="N490" s="19"/>
      <c r="O490" s="59"/>
      <c r="P490" s="7"/>
      <c r="Q490" s="55"/>
      <c r="R490" s="55"/>
      <c r="S490" s="7"/>
      <c r="T490" s="55"/>
      <c r="U490" s="7"/>
      <c r="V490" s="55"/>
      <c r="W490" s="60"/>
      <c r="X490" s="55"/>
    </row>
    <row r="491" spans="1:24" ht="13" x14ac:dyDescent="0.15">
      <c r="A491" s="25" t="str">
        <f ca="1">IFERROR(__xludf.DUMMYFUNCTION("""COMPUTED_VALUE"""),"75005 Total")</f>
        <v>75005 Total</v>
      </c>
      <c r="B491" s="5"/>
      <c r="C491" s="69"/>
      <c r="D491" s="5"/>
      <c r="E491" s="5"/>
      <c r="F491" s="55"/>
      <c r="G491" s="56">
        <f ca="1">IFERROR(__xludf.DUMMYFUNCTION("""COMPUTED_VALUE"""),1)</f>
        <v>1</v>
      </c>
      <c r="H491" s="57">
        <f ca="1">IFERROR(__xludf.DUMMYFUNCTION("""COMPUTED_VALUE"""),1)</f>
        <v>1</v>
      </c>
      <c r="I491" s="57" t="str">
        <f ca="1">IFERROR(__xludf.DUMMYFUNCTION("""COMPUTED_VALUE"""),"")</f>
        <v/>
      </c>
      <c r="J491" s="19" t="str">
        <f ca="1">IFERROR(__xludf.DUMMYFUNCTION("""COMPUTED_VALUE"""),"")</f>
        <v/>
      </c>
      <c r="K491" s="19"/>
      <c r="L491" s="19"/>
      <c r="M491" s="19"/>
      <c r="N491" s="19"/>
      <c r="O491" s="59"/>
      <c r="P491" s="7"/>
      <c r="Q491" s="55"/>
      <c r="R491" s="55"/>
      <c r="S491" s="7"/>
      <c r="T491" s="55"/>
      <c r="U491" s="7"/>
      <c r="V491" s="55"/>
      <c r="W491" s="60"/>
      <c r="X491" s="55"/>
    </row>
    <row r="492" spans="1:24" ht="13" x14ac:dyDescent="0.15">
      <c r="A492" s="25" t="str">
        <f ca="1">IFERROR(__xludf.DUMMYFUNCTION("""COMPUTED_VALUE"""),"75076")</f>
        <v>75076</v>
      </c>
      <c r="B492" s="69">
        <f ca="1">IFERROR(__xludf.DUMMYFUNCTION("""COMPUTED_VALUE"""),44597)</f>
        <v>44597</v>
      </c>
      <c r="C492" s="69" t="str">
        <f ca="1">IFERROR(__xludf.DUMMYFUNCTION("""COMPUTED_VALUE"""),"Cash")</f>
        <v>Cash</v>
      </c>
      <c r="D492" s="5" t="str">
        <f ca="1">IFERROR(__xludf.DUMMYFUNCTION("""COMPUTED_VALUE"""),"Cash")</f>
        <v>Cash</v>
      </c>
      <c r="E492" s="5" t="str">
        <f ca="1">IFERROR(__xludf.DUMMYFUNCTION("""COMPUTED_VALUE"""),"HKD")</f>
        <v>HKD</v>
      </c>
      <c r="F492" s="55" t="str">
        <f ca="1">IFERROR(__xludf.DUMMYFUNCTION("""COMPUTED_VALUE"""),"")</f>
        <v/>
      </c>
      <c r="G492" s="56">
        <f ca="1">IFERROR(__xludf.DUMMYFUNCTION("""COMPUTED_VALUE"""),1)</f>
        <v>1</v>
      </c>
      <c r="H492" s="57">
        <f ca="1">IFERROR(__xludf.DUMMYFUNCTION("""COMPUTED_VALUE"""),1)</f>
        <v>1</v>
      </c>
      <c r="I492" s="57">
        <f ca="1">IFERROR(__xludf.DUMMYFUNCTION("""COMPUTED_VALUE"""),1)</f>
        <v>1</v>
      </c>
      <c r="J492" s="19" t="str">
        <f ca="1">IFERROR(__xludf.DUMMYFUNCTION("""COMPUTED_VALUE"""),"")</f>
        <v/>
      </c>
      <c r="K492" s="19"/>
      <c r="L492" s="19"/>
      <c r="M492" s="19"/>
      <c r="N492" s="19"/>
      <c r="O492" s="59"/>
      <c r="P492" s="7"/>
      <c r="Q492" s="55"/>
      <c r="R492" s="55"/>
      <c r="S492" s="7"/>
      <c r="T492" s="55"/>
      <c r="U492" s="7"/>
      <c r="V492" s="55"/>
      <c r="W492" s="60"/>
      <c r="X492" s="55"/>
    </row>
    <row r="493" spans="1:24" ht="13" x14ac:dyDescent="0.15">
      <c r="A493" s="25" t="str">
        <f ca="1">IFERROR(__xludf.DUMMYFUNCTION("""COMPUTED_VALUE"""),"75076")</f>
        <v>75076</v>
      </c>
      <c r="B493" s="69">
        <f ca="1">IFERROR(__xludf.DUMMYFUNCTION("""COMPUTED_VALUE"""),44603)</f>
        <v>44603</v>
      </c>
      <c r="C493" s="69" t="str">
        <f ca="1">IFERROR(__xludf.DUMMYFUNCTION("""COMPUTED_VALUE"""),"Stock")</f>
        <v>Stock</v>
      </c>
      <c r="D493" s="5" t="str">
        <f ca="1">IFERROR(__xludf.DUMMYFUNCTION("""COMPUTED_VALUE"""),"XLE")</f>
        <v>XLE</v>
      </c>
      <c r="E493" s="5" t="str">
        <f ca="1">IFERROR(__xludf.DUMMYFUNCTION("""COMPUTED_VALUE"""),"USD")</f>
        <v>USD</v>
      </c>
      <c r="F493" s="55">
        <f ca="1">IFERROR(__xludf.DUMMYFUNCTION("""COMPUTED_VALUE"""),800)</f>
        <v>800</v>
      </c>
      <c r="G493" s="56">
        <f ca="1">IFERROR(__xludf.DUMMYFUNCTION("""COMPUTED_VALUE"""),7.81344825)</f>
        <v>7.8134482500000004</v>
      </c>
      <c r="H493" s="57">
        <f ca="1">IFERROR(__xludf.DUMMYFUNCTION("""COMPUTED_VALUE"""),70.41)</f>
        <v>70.41</v>
      </c>
      <c r="I493" s="57">
        <f ca="1">IFERROR(__xludf.DUMMYFUNCTION("""COMPUTED_VALUE"""),76.87)</f>
        <v>76.87</v>
      </c>
      <c r="J493" s="70" t="str">
        <f ca="1">IFERROR(__xludf.DUMMYFUNCTION("""COMPUTED_VALUE"""),"Goto link: XLE")</f>
        <v>Goto link: XLE</v>
      </c>
      <c r="K493" s="19"/>
      <c r="L493" s="19"/>
      <c r="M493" s="19"/>
      <c r="N493" s="19"/>
      <c r="O493" s="59"/>
      <c r="P493" s="7"/>
      <c r="Q493" s="55"/>
      <c r="R493" s="55"/>
      <c r="S493" s="7"/>
      <c r="T493" s="55"/>
      <c r="U493" s="7"/>
      <c r="V493" s="55"/>
      <c r="W493" s="60"/>
      <c r="X493" s="55"/>
    </row>
    <row r="494" spans="1:24" ht="13" x14ac:dyDescent="0.15">
      <c r="A494" s="25" t="str">
        <f ca="1">IFERROR(__xludf.DUMMYFUNCTION("""COMPUTED_VALUE"""),"75076 Total")</f>
        <v>75076 Total</v>
      </c>
      <c r="B494" s="5"/>
      <c r="C494" s="69"/>
      <c r="D494" s="5"/>
      <c r="E494" s="5"/>
      <c r="F494" s="55"/>
      <c r="G494" s="56">
        <f ca="1">IFERROR(__xludf.DUMMYFUNCTION("""COMPUTED_VALUE"""),4.16904569767441)</f>
        <v>4.1690456976744104</v>
      </c>
      <c r="H494" s="57">
        <f ca="1">IFERROR(__xludf.DUMMYFUNCTION("""COMPUTED_VALUE"""),70.41)</f>
        <v>70.41</v>
      </c>
      <c r="I494" s="57" t="str">
        <f ca="1">IFERROR(__xludf.DUMMYFUNCTION("""COMPUTED_VALUE"""),"")</f>
        <v/>
      </c>
      <c r="J494" s="19" t="str">
        <f ca="1">IFERROR(__xludf.DUMMYFUNCTION("""COMPUTED_VALUE"""),"")</f>
        <v/>
      </c>
      <c r="K494" s="19"/>
      <c r="L494" s="19"/>
      <c r="M494" s="19"/>
      <c r="N494" s="19"/>
      <c r="O494" s="59"/>
      <c r="P494" s="7"/>
      <c r="Q494" s="55"/>
      <c r="R494" s="55"/>
      <c r="S494" s="7"/>
      <c r="T494" s="55"/>
      <c r="U494" s="7"/>
      <c r="V494" s="55"/>
      <c r="W494" s="60"/>
      <c r="X494" s="55"/>
    </row>
    <row r="495" spans="1:24" ht="13" x14ac:dyDescent="0.15">
      <c r="A495" s="25" t="str">
        <f ca="1">IFERROR(__xludf.DUMMYFUNCTION("""COMPUTED_VALUE"""),"75288")</f>
        <v>75288</v>
      </c>
      <c r="B495" s="69">
        <f ca="1">IFERROR(__xludf.DUMMYFUNCTION("""COMPUTED_VALUE"""),44597)</f>
        <v>44597</v>
      </c>
      <c r="C495" s="69" t="str">
        <f ca="1">IFERROR(__xludf.DUMMYFUNCTION("""COMPUTED_VALUE"""),"Cash")</f>
        <v>Cash</v>
      </c>
      <c r="D495" s="5" t="str">
        <f ca="1">IFERROR(__xludf.DUMMYFUNCTION("""COMPUTED_VALUE"""),"Cash")</f>
        <v>Cash</v>
      </c>
      <c r="E495" s="5" t="str">
        <f ca="1">IFERROR(__xludf.DUMMYFUNCTION("""COMPUTED_VALUE"""),"HKD")</f>
        <v>HKD</v>
      </c>
      <c r="F495" s="55" t="str">
        <f ca="1">IFERROR(__xludf.DUMMYFUNCTION("""COMPUTED_VALUE"""),"")</f>
        <v/>
      </c>
      <c r="G495" s="56">
        <f ca="1">IFERROR(__xludf.DUMMYFUNCTION("""COMPUTED_VALUE"""),1)</f>
        <v>1</v>
      </c>
      <c r="H495" s="57">
        <f ca="1">IFERROR(__xludf.DUMMYFUNCTION("""COMPUTED_VALUE"""),1)</f>
        <v>1</v>
      </c>
      <c r="I495" s="57">
        <f ca="1">IFERROR(__xludf.DUMMYFUNCTION("""COMPUTED_VALUE"""),1)</f>
        <v>1</v>
      </c>
      <c r="J495" s="19" t="str">
        <f ca="1">IFERROR(__xludf.DUMMYFUNCTION("""COMPUTED_VALUE"""),"")</f>
        <v/>
      </c>
      <c r="K495" s="19"/>
      <c r="L495" s="19"/>
      <c r="M495" s="19"/>
      <c r="N495" s="19"/>
      <c r="O495" s="59"/>
      <c r="P495" s="7"/>
      <c r="Q495" s="55"/>
      <c r="R495" s="55"/>
      <c r="S495" s="7"/>
      <c r="T495" s="55"/>
      <c r="U495" s="7"/>
      <c r="V495" s="55"/>
      <c r="W495" s="60"/>
      <c r="X495" s="55"/>
    </row>
    <row r="496" spans="1:24" ht="13" x14ac:dyDescent="0.15">
      <c r="A496" s="25" t="str">
        <f ca="1">IFERROR(__xludf.DUMMYFUNCTION("""COMPUTED_VALUE"""),"75288")</f>
        <v>75288</v>
      </c>
      <c r="B496" s="69">
        <f ca="1">IFERROR(__xludf.DUMMYFUNCTION("""COMPUTED_VALUE"""),44610)</f>
        <v>44610</v>
      </c>
      <c r="C496" s="69" t="str">
        <f ca="1">IFERROR(__xludf.DUMMYFUNCTION("""COMPUTED_VALUE"""),"Stock")</f>
        <v>Stock</v>
      </c>
      <c r="D496" s="71" t="str">
        <f ca="1">IFERROR(__xludf.DUMMYFUNCTION("""COMPUTED_VALUE"""),"0700.HK")</f>
        <v>0700.HK</v>
      </c>
      <c r="E496" s="5" t="str">
        <f ca="1">IFERROR(__xludf.DUMMYFUNCTION("""COMPUTED_VALUE"""),"HKD")</f>
        <v>HKD</v>
      </c>
      <c r="F496" s="55">
        <f ca="1">IFERROR(__xludf.DUMMYFUNCTION("""COMPUTED_VALUE"""),210)</f>
        <v>210</v>
      </c>
      <c r="G496" s="56">
        <f ca="1">IFERROR(__xludf.DUMMYFUNCTION("""COMPUTED_VALUE"""),1)</f>
        <v>1</v>
      </c>
      <c r="H496" s="57">
        <f ca="1">IFERROR(__xludf.DUMMYFUNCTION("""COMPUTED_VALUE"""),479)</f>
        <v>479</v>
      </c>
      <c r="I496" s="57">
        <f ca="1">IFERROR(__xludf.DUMMYFUNCTION("""COMPUTED_VALUE"""),389)</f>
        <v>389</v>
      </c>
      <c r="J496" s="70" t="str">
        <f ca="1">IFERROR(__xludf.DUMMYFUNCTION("""COMPUTED_VALUE"""),"Goto link: 0700.HK")</f>
        <v>Goto link: 0700.HK</v>
      </c>
      <c r="K496" s="19"/>
      <c r="L496" s="19"/>
      <c r="M496" s="19"/>
      <c r="N496" s="19"/>
      <c r="O496" s="59"/>
      <c r="P496" s="7"/>
      <c r="Q496" s="55"/>
      <c r="R496" s="55"/>
      <c r="S496" s="7"/>
      <c r="T496" s="55"/>
      <c r="U496" s="7"/>
      <c r="V496" s="55"/>
      <c r="W496" s="60"/>
      <c r="X496" s="55"/>
    </row>
    <row r="497" spans="1:24" ht="13" x14ac:dyDescent="0.15">
      <c r="A497" s="25" t="str">
        <f ca="1">IFERROR(__xludf.DUMMYFUNCTION("""COMPUTED_VALUE"""),"75288")</f>
        <v>75288</v>
      </c>
      <c r="B497" s="69">
        <f ca="1">IFERROR(__xludf.DUMMYFUNCTION("""COMPUTED_VALUE"""),44630)</f>
        <v>44630</v>
      </c>
      <c r="C497" s="69" t="str">
        <f ca="1">IFERROR(__xludf.DUMMYFUNCTION("""COMPUTED_VALUE"""),"Stock")</f>
        <v>Stock</v>
      </c>
      <c r="D497" s="71" t="str">
        <f ca="1">IFERROR(__xludf.DUMMYFUNCTION("""COMPUTED_VALUE"""),"3800.HK")</f>
        <v>3800.HK</v>
      </c>
      <c r="E497" s="5" t="str">
        <f ca="1">IFERROR(__xludf.DUMMYFUNCTION("""COMPUTED_VALUE"""),"HKD")</f>
        <v>HKD</v>
      </c>
      <c r="F497" s="55">
        <f ca="1">IFERROR(__xludf.DUMMYFUNCTION("""COMPUTED_VALUE"""),3473)</f>
        <v>3473</v>
      </c>
      <c r="G497" s="56">
        <f ca="1">IFERROR(__xludf.DUMMYFUNCTION("""COMPUTED_VALUE"""),1)</f>
        <v>1</v>
      </c>
      <c r="H497" s="57">
        <f ca="1">IFERROR(__xludf.DUMMYFUNCTION("""COMPUTED_VALUE"""),2.86)</f>
        <v>2.86</v>
      </c>
      <c r="I497" s="57">
        <f ca="1">IFERROR(__xludf.DUMMYFUNCTION("""COMPUTED_VALUE"""),2.56)</f>
        <v>2.56</v>
      </c>
      <c r="J497" s="70" t="str">
        <f ca="1">IFERROR(__xludf.DUMMYFUNCTION("""COMPUTED_VALUE"""),"Goto link: 3800.HK")</f>
        <v>Goto link: 3800.HK</v>
      </c>
      <c r="K497" s="19"/>
      <c r="L497" s="19"/>
      <c r="M497" s="19"/>
      <c r="N497" s="19"/>
      <c r="O497" s="59"/>
      <c r="P497" s="7"/>
      <c r="Q497" s="55"/>
      <c r="R497" s="55"/>
      <c r="S497" s="7"/>
      <c r="T497" s="55"/>
      <c r="U497" s="7"/>
      <c r="V497" s="55"/>
      <c r="W497" s="60"/>
      <c r="X497" s="55"/>
    </row>
    <row r="498" spans="1:24" ht="13" x14ac:dyDescent="0.15">
      <c r="A498" s="25" t="str">
        <f ca="1">IFERROR(__xludf.DUMMYFUNCTION("""COMPUTED_VALUE"""),"75288")</f>
        <v>75288</v>
      </c>
      <c r="B498" s="69">
        <f ca="1">IFERROR(__xludf.DUMMYFUNCTION("""COMPUTED_VALUE"""),44637)</f>
        <v>44637</v>
      </c>
      <c r="C498" s="69" t="str">
        <f ca="1">IFERROR(__xludf.DUMMYFUNCTION("""COMPUTED_VALUE"""),"Stock")</f>
        <v>Stock</v>
      </c>
      <c r="D498" s="71" t="str">
        <f ca="1">IFERROR(__xludf.DUMMYFUNCTION("""COMPUTED_VALUE"""),"0700.HK")</f>
        <v>0700.HK</v>
      </c>
      <c r="E498" s="5" t="str">
        <f ca="1">IFERROR(__xludf.DUMMYFUNCTION("""COMPUTED_VALUE"""),"HKD")</f>
        <v>HKD</v>
      </c>
      <c r="F498" s="55">
        <f ca="1">IFERROR(__xludf.DUMMYFUNCTION("""COMPUTED_VALUE"""),-210)</f>
        <v>-210</v>
      </c>
      <c r="G498" s="56">
        <f ca="1">IFERROR(__xludf.DUMMYFUNCTION("""COMPUTED_VALUE"""),1)</f>
        <v>1</v>
      </c>
      <c r="H498" s="57">
        <f ca="1">IFERROR(__xludf.DUMMYFUNCTION("""COMPUTED_VALUE"""),390)</f>
        <v>390</v>
      </c>
      <c r="I498" s="57">
        <f ca="1">IFERROR(__xludf.DUMMYFUNCTION("""COMPUTED_VALUE"""),389)</f>
        <v>389</v>
      </c>
      <c r="J498" s="70" t="str">
        <f ca="1">IFERROR(__xludf.DUMMYFUNCTION("""COMPUTED_VALUE"""),"Goto link: 0700.HK")</f>
        <v>Goto link: 0700.HK</v>
      </c>
      <c r="K498" s="19"/>
      <c r="L498" s="19"/>
      <c r="M498" s="19"/>
      <c r="N498" s="19"/>
      <c r="O498" s="59"/>
      <c r="P498" s="7"/>
      <c r="Q498" s="55"/>
      <c r="R498" s="55"/>
      <c r="S498" s="7"/>
      <c r="T498" s="55"/>
      <c r="U498" s="7"/>
      <c r="V498" s="55"/>
      <c r="W498" s="60"/>
      <c r="X498" s="55"/>
    </row>
    <row r="499" spans="1:24" ht="13" x14ac:dyDescent="0.15">
      <c r="A499" s="25" t="str">
        <f ca="1">IFERROR(__xludf.DUMMYFUNCTION("""COMPUTED_VALUE"""),"75288")</f>
        <v>75288</v>
      </c>
      <c r="B499" s="69">
        <f ca="1">IFERROR(__xludf.DUMMYFUNCTION("""COMPUTED_VALUE"""),44641)</f>
        <v>44641</v>
      </c>
      <c r="C499" s="69" t="str">
        <f ca="1">IFERROR(__xludf.DUMMYFUNCTION("""COMPUTED_VALUE"""),"Stock")</f>
        <v>Stock</v>
      </c>
      <c r="D499" s="71" t="str">
        <f ca="1">IFERROR(__xludf.DUMMYFUNCTION("""COMPUTED_VALUE"""),"0700.HK")</f>
        <v>0700.HK</v>
      </c>
      <c r="E499" s="5" t="str">
        <f ca="1">IFERROR(__xludf.DUMMYFUNCTION("""COMPUTED_VALUE"""),"HKD")</f>
        <v>HKD</v>
      </c>
      <c r="F499" s="55">
        <f ca="1">IFERROR(__xludf.DUMMYFUNCTION("""COMPUTED_VALUE"""),150)</f>
        <v>150</v>
      </c>
      <c r="G499" s="56">
        <f ca="1">IFERROR(__xludf.DUMMYFUNCTION("""COMPUTED_VALUE"""),1)</f>
        <v>1</v>
      </c>
      <c r="H499" s="57">
        <f ca="1">IFERROR(__xludf.DUMMYFUNCTION("""COMPUTED_VALUE"""),372.4)</f>
        <v>372.4</v>
      </c>
      <c r="I499" s="57">
        <f ca="1">IFERROR(__xludf.DUMMYFUNCTION("""COMPUTED_VALUE"""),389)</f>
        <v>389</v>
      </c>
      <c r="J499" s="70" t="str">
        <f ca="1">IFERROR(__xludf.DUMMYFUNCTION("""COMPUTED_VALUE"""),"Goto link: 0700.HK")</f>
        <v>Goto link: 0700.HK</v>
      </c>
      <c r="K499" s="19"/>
      <c r="L499" s="19"/>
      <c r="M499" s="19"/>
      <c r="N499" s="19"/>
      <c r="O499" s="59"/>
      <c r="P499" s="7"/>
      <c r="Q499" s="55"/>
      <c r="R499" s="55"/>
      <c r="S499" s="7"/>
      <c r="T499" s="55"/>
      <c r="U499" s="7"/>
      <c r="V499" s="55"/>
      <c r="W499" s="60"/>
      <c r="X499" s="55"/>
    </row>
    <row r="500" spans="1:24" ht="13" x14ac:dyDescent="0.15">
      <c r="A500" s="25" t="str">
        <f ca="1">IFERROR(__xludf.DUMMYFUNCTION("""COMPUTED_VALUE"""),"75288")</f>
        <v>75288</v>
      </c>
      <c r="B500" s="69">
        <f ca="1">IFERROR(__xludf.DUMMYFUNCTION("""COMPUTED_VALUE"""),44641)</f>
        <v>44641</v>
      </c>
      <c r="C500" s="69" t="str">
        <f ca="1">IFERROR(__xludf.DUMMYFUNCTION("""COMPUTED_VALUE"""),"Stock")</f>
        <v>Stock</v>
      </c>
      <c r="D500" s="71" t="str">
        <f ca="1">IFERROR(__xludf.DUMMYFUNCTION("""COMPUTED_VALUE"""),"9868.HK")</f>
        <v>9868.HK</v>
      </c>
      <c r="E500" s="5" t="str">
        <f ca="1">IFERROR(__xludf.DUMMYFUNCTION("""COMPUTED_VALUE"""),"HKD")</f>
        <v>HKD</v>
      </c>
      <c r="F500" s="55">
        <f ca="1">IFERROR(__xludf.DUMMYFUNCTION("""COMPUTED_VALUE"""),450)</f>
        <v>450</v>
      </c>
      <c r="G500" s="56">
        <f ca="1">IFERROR(__xludf.DUMMYFUNCTION("""COMPUTED_VALUE"""),1)</f>
        <v>1</v>
      </c>
      <c r="H500" s="57">
        <f ca="1">IFERROR(__xludf.DUMMYFUNCTION("""COMPUTED_VALUE"""),105.4)</f>
        <v>105.4</v>
      </c>
      <c r="I500" s="57">
        <f ca="1">IFERROR(__xludf.DUMMYFUNCTION("""COMPUTED_VALUE"""),112.1)</f>
        <v>112.1</v>
      </c>
      <c r="J500" s="70" t="str">
        <f ca="1">IFERROR(__xludf.DUMMYFUNCTION("""COMPUTED_VALUE"""),"Goto link: 9868.HK")</f>
        <v>Goto link: 9868.HK</v>
      </c>
      <c r="K500" s="19"/>
      <c r="L500" s="19"/>
      <c r="M500" s="19"/>
      <c r="N500" s="19"/>
      <c r="O500" s="59"/>
      <c r="P500" s="7"/>
      <c r="Q500" s="55"/>
      <c r="R500" s="55"/>
      <c r="S500" s="7"/>
      <c r="T500" s="55"/>
      <c r="U500" s="7"/>
      <c r="V500" s="55"/>
      <c r="W500" s="60"/>
      <c r="X500" s="55"/>
    </row>
    <row r="501" spans="1:24" ht="13" x14ac:dyDescent="0.15">
      <c r="A501" s="25" t="str">
        <f ca="1">IFERROR(__xludf.DUMMYFUNCTION("""COMPUTED_VALUE"""),"75288 Total")</f>
        <v>75288 Total</v>
      </c>
      <c r="B501" s="5"/>
      <c r="C501" s="69"/>
      <c r="D501" s="5"/>
      <c r="E501" s="5"/>
      <c r="F501" s="55"/>
      <c r="G501" s="56">
        <f ca="1">IFERROR(__xludf.DUMMYFUNCTION("""COMPUTED_VALUE"""),1)</f>
        <v>1</v>
      </c>
      <c r="H501" s="57">
        <f ca="1">IFERROR(__xludf.DUMMYFUNCTION("""COMPUTED_VALUE"""),479)</f>
        <v>479</v>
      </c>
      <c r="I501" s="57" t="str">
        <f ca="1">IFERROR(__xludf.DUMMYFUNCTION("""COMPUTED_VALUE"""),"")</f>
        <v/>
      </c>
      <c r="J501" s="19" t="str">
        <f ca="1">IFERROR(__xludf.DUMMYFUNCTION("""COMPUTED_VALUE"""),"")</f>
        <v/>
      </c>
      <c r="K501" s="19"/>
      <c r="L501" s="19"/>
      <c r="M501" s="19"/>
      <c r="N501" s="19"/>
      <c r="O501" s="59"/>
      <c r="P501" s="7"/>
      <c r="Q501" s="55"/>
      <c r="R501" s="55"/>
      <c r="S501" s="7"/>
      <c r="T501" s="55"/>
      <c r="U501" s="7"/>
      <c r="V501" s="55"/>
      <c r="W501" s="60"/>
      <c r="X501" s="55"/>
    </row>
    <row r="502" spans="1:24" ht="13" x14ac:dyDescent="0.15">
      <c r="A502" s="25" t="str">
        <f ca="1">IFERROR(__xludf.DUMMYFUNCTION("""COMPUTED_VALUE"""),"75369")</f>
        <v>75369</v>
      </c>
      <c r="B502" s="69">
        <f ca="1">IFERROR(__xludf.DUMMYFUNCTION("""COMPUTED_VALUE"""),44597)</f>
        <v>44597</v>
      </c>
      <c r="C502" s="69" t="str">
        <f ca="1">IFERROR(__xludf.DUMMYFUNCTION("""COMPUTED_VALUE"""),"Cash")</f>
        <v>Cash</v>
      </c>
      <c r="D502" s="5" t="str">
        <f ca="1">IFERROR(__xludf.DUMMYFUNCTION("""COMPUTED_VALUE"""),"Cash")</f>
        <v>Cash</v>
      </c>
      <c r="E502" s="5" t="str">
        <f ca="1">IFERROR(__xludf.DUMMYFUNCTION("""COMPUTED_VALUE"""),"HKD")</f>
        <v>HKD</v>
      </c>
      <c r="F502" s="55" t="str">
        <f ca="1">IFERROR(__xludf.DUMMYFUNCTION("""COMPUTED_VALUE"""),"")</f>
        <v/>
      </c>
      <c r="G502" s="56">
        <f ca="1">IFERROR(__xludf.DUMMYFUNCTION("""COMPUTED_VALUE"""),1)</f>
        <v>1</v>
      </c>
      <c r="H502" s="57">
        <f ca="1">IFERROR(__xludf.DUMMYFUNCTION("""COMPUTED_VALUE"""),1)</f>
        <v>1</v>
      </c>
      <c r="I502" s="57">
        <f ca="1">IFERROR(__xludf.DUMMYFUNCTION("""COMPUTED_VALUE"""),1)</f>
        <v>1</v>
      </c>
      <c r="J502" s="19" t="str">
        <f ca="1">IFERROR(__xludf.DUMMYFUNCTION("""COMPUTED_VALUE"""),"")</f>
        <v/>
      </c>
      <c r="K502" s="19"/>
      <c r="L502" s="19"/>
      <c r="M502" s="19"/>
      <c r="N502" s="19"/>
      <c r="O502" s="59"/>
      <c r="P502" s="7"/>
      <c r="Q502" s="55"/>
      <c r="R502" s="55"/>
      <c r="S502" s="7"/>
      <c r="T502" s="55"/>
      <c r="U502" s="7"/>
      <c r="V502" s="55"/>
      <c r="W502" s="60"/>
      <c r="X502" s="55"/>
    </row>
    <row r="503" spans="1:24" ht="13" x14ac:dyDescent="0.15">
      <c r="A503" s="25" t="str">
        <f ca="1">IFERROR(__xludf.DUMMYFUNCTION("""COMPUTED_VALUE"""),"75369")</f>
        <v>75369</v>
      </c>
      <c r="B503" s="69">
        <f ca="1">IFERROR(__xludf.DUMMYFUNCTION("""COMPUTED_VALUE"""),44642)</f>
        <v>44642</v>
      </c>
      <c r="C503" s="69" t="str">
        <f ca="1">IFERROR(__xludf.DUMMYFUNCTION("""COMPUTED_VALUE"""),"Stock")</f>
        <v>Stock</v>
      </c>
      <c r="D503" s="71" t="str">
        <f ca="1">IFERROR(__xludf.DUMMYFUNCTION("""COMPUTED_VALUE"""),"1810.hk")</f>
        <v>1810.hk</v>
      </c>
      <c r="E503" s="5" t="str">
        <f ca="1">IFERROR(__xludf.DUMMYFUNCTION("""COMPUTED_VALUE"""),"HKD")</f>
        <v>HKD</v>
      </c>
      <c r="F503" s="55">
        <f ca="1">IFERROR(__xludf.DUMMYFUNCTION("""COMPUTED_VALUE"""),0)</f>
        <v>0</v>
      </c>
      <c r="G503" s="56">
        <f ca="1">IFERROR(__xludf.DUMMYFUNCTION("""COMPUTED_VALUE"""),1)</f>
        <v>1</v>
      </c>
      <c r="H503" s="57">
        <f ca="1">IFERROR(__xludf.DUMMYFUNCTION("""COMPUTED_VALUE"""),14.2)</f>
        <v>14.2</v>
      </c>
      <c r="I503" s="57">
        <f ca="1">IFERROR(__xludf.DUMMYFUNCTION("""COMPUTED_VALUE"""),14.78)</f>
        <v>14.78</v>
      </c>
      <c r="J503" s="70" t="str">
        <f ca="1">IFERROR(__xludf.DUMMYFUNCTION("""COMPUTED_VALUE"""),"Goto link: 1810.hk")</f>
        <v>Goto link: 1810.hk</v>
      </c>
      <c r="K503" s="19"/>
      <c r="L503" s="19"/>
      <c r="M503" s="19"/>
      <c r="N503" s="19"/>
      <c r="O503" s="59"/>
      <c r="P503" s="7"/>
      <c r="Q503" s="55"/>
      <c r="R503" s="55"/>
      <c r="S503" s="7"/>
      <c r="T503" s="55"/>
      <c r="U503" s="7"/>
      <c r="V503" s="55"/>
      <c r="W503" s="60"/>
      <c r="X503" s="55"/>
    </row>
    <row r="504" spans="1:24" ht="13" x14ac:dyDescent="0.15">
      <c r="A504" s="25" t="str">
        <f ca="1">IFERROR(__xludf.DUMMYFUNCTION("""COMPUTED_VALUE"""),"75369 Total")</f>
        <v>75369 Total</v>
      </c>
      <c r="B504" s="5"/>
      <c r="C504" s="69"/>
      <c r="D504" s="5"/>
      <c r="E504" s="5"/>
      <c r="F504" s="55"/>
      <c r="G504" s="56">
        <f ca="1">IFERROR(__xludf.DUMMYFUNCTION("""COMPUTED_VALUE"""),1)</f>
        <v>1</v>
      </c>
      <c r="H504" s="57">
        <f ca="1">IFERROR(__xludf.DUMMYFUNCTION("""COMPUTED_VALUE"""),14.2)</f>
        <v>14.2</v>
      </c>
      <c r="I504" s="57" t="str">
        <f ca="1">IFERROR(__xludf.DUMMYFUNCTION("""COMPUTED_VALUE"""),"")</f>
        <v/>
      </c>
      <c r="J504" s="19" t="str">
        <f ca="1">IFERROR(__xludf.DUMMYFUNCTION("""COMPUTED_VALUE"""),"")</f>
        <v/>
      </c>
      <c r="K504" s="19"/>
      <c r="L504" s="19"/>
      <c r="M504" s="19"/>
      <c r="N504" s="19"/>
      <c r="O504" s="59"/>
      <c r="P504" s="7"/>
      <c r="Q504" s="55"/>
      <c r="R504" s="55"/>
      <c r="S504" s="7"/>
      <c r="T504" s="55"/>
      <c r="U504" s="7"/>
      <c r="V504" s="55"/>
      <c r="W504" s="60"/>
      <c r="X504" s="55"/>
    </row>
    <row r="505" spans="1:24" ht="13" x14ac:dyDescent="0.15">
      <c r="A505" s="25" t="str">
        <f ca="1">IFERROR(__xludf.DUMMYFUNCTION("""COMPUTED_VALUE"""),"75415")</f>
        <v>75415</v>
      </c>
      <c r="B505" s="69">
        <f ca="1">IFERROR(__xludf.DUMMYFUNCTION("""COMPUTED_VALUE"""),44597)</f>
        <v>44597</v>
      </c>
      <c r="C505" s="69" t="str">
        <f ca="1">IFERROR(__xludf.DUMMYFUNCTION("""COMPUTED_VALUE"""),"Cash")</f>
        <v>Cash</v>
      </c>
      <c r="D505" s="5" t="str">
        <f ca="1">IFERROR(__xludf.DUMMYFUNCTION("""COMPUTED_VALUE"""),"Cash")</f>
        <v>Cash</v>
      </c>
      <c r="E505" s="5" t="str">
        <f ca="1">IFERROR(__xludf.DUMMYFUNCTION("""COMPUTED_VALUE"""),"HKD")</f>
        <v>HKD</v>
      </c>
      <c r="F505" s="55" t="str">
        <f ca="1">IFERROR(__xludf.DUMMYFUNCTION("""COMPUTED_VALUE"""),"")</f>
        <v/>
      </c>
      <c r="G505" s="56">
        <f ca="1">IFERROR(__xludf.DUMMYFUNCTION("""COMPUTED_VALUE"""),1)</f>
        <v>1</v>
      </c>
      <c r="H505" s="57">
        <f ca="1">IFERROR(__xludf.DUMMYFUNCTION("""COMPUTED_VALUE"""),1)</f>
        <v>1</v>
      </c>
      <c r="I505" s="57">
        <f ca="1">IFERROR(__xludf.DUMMYFUNCTION("""COMPUTED_VALUE"""),1)</f>
        <v>1</v>
      </c>
      <c r="J505" s="19" t="str">
        <f ca="1">IFERROR(__xludf.DUMMYFUNCTION("""COMPUTED_VALUE"""),"")</f>
        <v/>
      </c>
      <c r="K505" s="19"/>
      <c r="L505" s="19"/>
      <c r="M505" s="19"/>
      <c r="N505" s="19"/>
      <c r="O505" s="59"/>
      <c r="P505" s="7"/>
      <c r="Q505" s="55"/>
      <c r="R505" s="55"/>
      <c r="S505" s="7"/>
      <c r="T505" s="55"/>
      <c r="U505" s="7"/>
      <c r="V505" s="55"/>
      <c r="W505" s="60"/>
      <c r="X505" s="55"/>
    </row>
    <row r="506" spans="1:24" ht="13" x14ac:dyDescent="0.15">
      <c r="A506" s="25" t="str">
        <f ca="1">IFERROR(__xludf.DUMMYFUNCTION("""COMPUTED_VALUE"""),"75415")</f>
        <v>75415</v>
      </c>
      <c r="B506" s="69">
        <f ca="1">IFERROR(__xludf.DUMMYFUNCTION("""COMPUTED_VALUE"""),44601)</f>
        <v>44601</v>
      </c>
      <c r="C506" s="69" t="str">
        <f ca="1">IFERROR(__xludf.DUMMYFUNCTION("""COMPUTED_VALUE"""),"Stock")</f>
        <v>Stock</v>
      </c>
      <c r="D506" s="5" t="str">
        <f ca="1">IFERROR(__xludf.DUMMYFUNCTION("""COMPUTED_VALUE"""),"GBTC")</f>
        <v>GBTC</v>
      </c>
      <c r="E506" s="5" t="str">
        <f ca="1">IFERROR(__xludf.DUMMYFUNCTION("""COMPUTED_VALUE"""),"USD")</f>
        <v>USD</v>
      </c>
      <c r="F506" s="55">
        <f ca="1">IFERROR(__xludf.DUMMYFUNCTION("""COMPUTED_VALUE"""),415)</f>
        <v>415</v>
      </c>
      <c r="G506" s="56">
        <f ca="1">IFERROR(__xludf.DUMMYFUNCTION("""COMPUTED_VALUE"""),7.81252511904762)</f>
        <v>7.8125251190476197</v>
      </c>
      <c r="H506" s="57">
        <f ca="1">IFERROR(__xludf.DUMMYFUNCTION("""COMPUTED_VALUE"""),32.08)</f>
        <v>32.08</v>
      </c>
      <c r="I506" s="57">
        <f ca="1">IFERROR(__xludf.DUMMYFUNCTION("""COMPUTED_VALUE"""),28.61)</f>
        <v>28.61</v>
      </c>
      <c r="J506" s="70" t="str">
        <f ca="1">IFERROR(__xludf.DUMMYFUNCTION("""COMPUTED_VALUE"""),"Goto link: GBTC")</f>
        <v>Goto link: GBTC</v>
      </c>
      <c r="K506" s="19"/>
      <c r="L506" s="19"/>
      <c r="M506" s="19"/>
      <c r="N506" s="19"/>
      <c r="O506" s="59"/>
      <c r="P506" s="7"/>
      <c r="Q506" s="55"/>
      <c r="R506" s="55"/>
      <c r="S506" s="7"/>
      <c r="T506" s="55"/>
      <c r="U506" s="7"/>
      <c r="V506" s="55"/>
      <c r="W506" s="60"/>
      <c r="X506" s="55"/>
    </row>
    <row r="507" spans="1:24" ht="13" x14ac:dyDescent="0.15">
      <c r="A507" s="25" t="str">
        <f ca="1">IFERROR(__xludf.DUMMYFUNCTION("""COMPUTED_VALUE"""),"75415")</f>
        <v>75415</v>
      </c>
      <c r="B507" s="69">
        <f ca="1">IFERROR(__xludf.DUMMYFUNCTION("""COMPUTED_VALUE"""),44610)</f>
        <v>44610</v>
      </c>
      <c r="C507" s="69" t="str">
        <f ca="1">IFERROR(__xludf.DUMMYFUNCTION("""COMPUTED_VALUE"""),"Stock")</f>
        <v>Stock</v>
      </c>
      <c r="D507" s="5" t="str">
        <f ca="1">IFERROR(__xludf.DUMMYFUNCTION("""COMPUTED_VALUE"""),"F")</f>
        <v>F</v>
      </c>
      <c r="E507" s="5" t="str">
        <f ca="1">IFERROR(__xludf.DUMMYFUNCTION("""COMPUTED_VALUE"""),"USD")</f>
        <v>USD</v>
      </c>
      <c r="F507" s="55">
        <f ca="1">IFERROR(__xludf.DUMMYFUNCTION("""COMPUTED_VALUE"""),2850)</f>
        <v>2850</v>
      </c>
      <c r="G507" s="56">
        <f ca="1">IFERROR(__xludf.DUMMYFUNCTION("""COMPUTED_VALUE"""),7.81612515151515)</f>
        <v>7.8161251515151502</v>
      </c>
      <c r="H507" s="57">
        <f ca="1">IFERROR(__xludf.DUMMYFUNCTION("""COMPUTED_VALUE"""),18.04)</f>
        <v>18.04</v>
      </c>
      <c r="I507" s="57">
        <f ca="1">IFERROR(__xludf.DUMMYFUNCTION("""COMPUTED_VALUE"""),16.68)</f>
        <v>16.68</v>
      </c>
      <c r="J507" s="70" t="str">
        <f ca="1">IFERROR(__xludf.DUMMYFUNCTION("""COMPUTED_VALUE"""),"Goto link: F")</f>
        <v>Goto link: F</v>
      </c>
      <c r="K507" s="19"/>
      <c r="L507" s="19"/>
      <c r="M507" s="19"/>
      <c r="N507" s="19"/>
      <c r="O507" s="59"/>
      <c r="P507" s="7"/>
      <c r="Q507" s="55"/>
      <c r="R507" s="55"/>
      <c r="S507" s="7"/>
      <c r="T507" s="55"/>
      <c r="U507" s="7"/>
      <c r="V507" s="55"/>
      <c r="W507" s="60"/>
      <c r="X507" s="55"/>
    </row>
    <row r="508" spans="1:24" ht="13" x14ac:dyDescent="0.15">
      <c r="A508" s="25" t="str">
        <f ca="1">IFERROR(__xludf.DUMMYFUNCTION("""COMPUTED_VALUE"""),"75415")</f>
        <v>75415</v>
      </c>
      <c r="B508" s="69">
        <f ca="1">IFERROR(__xludf.DUMMYFUNCTION("""COMPUTED_VALUE"""),44634)</f>
        <v>44634</v>
      </c>
      <c r="C508" s="69" t="str">
        <f ca="1">IFERROR(__xludf.DUMMYFUNCTION("""COMPUTED_VALUE"""),"Stock")</f>
        <v>Stock</v>
      </c>
      <c r="D508" s="5" t="str">
        <f ca="1">IFERROR(__xludf.DUMMYFUNCTION("""COMPUTED_VALUE"""),"f")</f>
        <v>f</v>
      </c>
      <c r="E508" s="5" t="str">
        <f ca="1">IFERROR(__xludf.DUMMYFUNCTION("""COMPUTED_VALUE"""),"USD")</f>
        <v>USD</v>
      </c>
      <c r="F508" s="55">
        <f ca="1">IFERROR(__xludf.DUMMYFUNCTION("""COMPUTED_VALUE"""),-2850)</f>
        <v>-2850</v>
      </c>
      <c r="G508" s="56">
        <f ca="1">IFERROR(__xludf.DUMMYFUNCTION("""COMPUTED_VALUE"""),7.82436055555555)</f>
        <v>7.8243605555555504</v>
      </c>
      <c r="H508" s="57">
        <f ca="1">IFERROR(__xludf.DUMMYFUNCTION("""COMPUTED_VALUE"""),15.74)</f>
        <v>15.74</v>
      </c>
      <c r="I508" s="57">
        <f ca="1">IFERROR(__xludf.DUMMYFUNCTION("""COMPUTED_VALUE"""),16.68)</f>
        <v>16.68</v>
      </c>
      <c r="J508" s="70" t="str">
        <f ca="1">IFERROR(__xludf.DUMMYFUNCTION("""COMPUTED_VALUE"""),"Goto link: f")</f>
        <v>Goto link: f</v>
      </c>
      <c r="K508" s="19"/>
      <c r="L508" s="19"/>
      <c r="M508" s="19"/>
      <c r="N508" s="19"/>
      <c r="O508" s="59"/>
      <c r="P508" s="7"/>
      <c r="Q508" s="55"/>
      <c r="R508" s="55"/>
      <c r="S508" s="7"/>
      <c r="T508" s="55"/>
      <c r="U508" s="7"/>
      <c r="V508" s="55"/>
      <c r="W508" s="60"/>
      <c r="X508" s="55"/>
    </row>
    <row r="509" spans="1:24" ht="13" x14ac:dyDescent="0.15">
      <c r="A509" s="25" t="str">
        <f ca="1">IFERROR(__xludf.DUMMYFUNCTION("""COMPUTED_VALUE"""),"75415")</f>
        <v>75415</v>
      </c>
      <c r="B509" s="69">
        <f ca="1">IFERROR(__xludf.DUMMYFUNCTION("""COMPUTED_VALUE"""),44634)</f>
        <v>44634</v>
      </c>
      <c r="C509" s="69" t="str">
        <f ca="1">IFERROR(__xludf.DUMMYFUNCTION("""COMPUTED_VALUE"""),"Stock")</f>
        <v>Stock</v>
      </c>
      <c r="D509" s="5" t="str">
        <f ca="1">IFERROR(__xludf.DUMMYFUNCTION("""COMPUTED_VALUE"""),"GBTC")</f>
        <v>GBTC</v>
      </c>
      <c r="E509" s="5" t="str">
        <f ca="1">IFERROR(__xludf.DUMMYFUNCTION("""COMPUTED_VALUE"""),"USD")</f>
        <v>USD</v>
      </c>
      <c r="F509" s="55">
        <f ca="1">IFERROR(__xludf.DUMMYFUNCTION("""COMPUTED_VALUE"""),-415)</f>
        <v>-415</v>
      </c>
      <c r="G509" s="56">
        <f ca="1">IFERROR(__xludf.DUMMYFUNCTION("""COMPUTED_VALUE"""),7.82436055555555)</f>
        <v>7.8243605555555504</v>
      </c>
      <c r="H509" s="57">
        <f ca="1">IFERROR(__xludf.DUMMYFUNCTION("""COMPUTED_VALUE"""),25.4)</f>
        <v>25.4</v>
      </c>
      <c r="I509" s="57">
        <f ca="1">IFERROR(__xludf.DUMMYFUNCTION("""COMPUTED_VALUE"""),28.61)</f>
        <v>28.61</v>
      </c>
      <c r="J509" s="70" t="str">
        <f ca="1">IFERROR(__xludf.DUMMYFUNCTION("""COMPUTED_VALUE"""),"Goto link: GBTC")</f>
        <v>Goto link: GBTC</v>
      </c>
      <c r="K509" s="19"/>
      <c r="L509" s="19"/>
      <c r="M509" s="19"/>
      <c r="N509" s="19"/>
      <c r="O509" s="59"/>
      <c r="P509" s="7"/>
      <c r="Q509" s="55"/>
      <c r="R509" s="55"/>
      <c r="S509" s="7"/>
      <c r="T509" s="55"/>
      <c r="U509" s="7"/>
      <c r="V509" s="55"/>
      <c r="W509" s="60"/>
      <c r="X509" s="55"/>
    </row>
    <row r="510" spans="1:24" ht="13" x14ac:dyDescent="0.15">
      <c r="A510" s="25" t="str">
        <f ca="1">IFERROR(__xludf.DUMMYFUNCTION("""COMPUTED_VALUE"""),"75415")</f>
        <v>75415</v>
      </c>
      <c r="B510" s="69">
        <f ca="1">IFERROR(__xludf.DUMMYFUNCTION("""COMPUTED_VALUE"""),44634)</f>
        <v>44634</v>
      </c>
      <c r="C510" s="69" t="str">
        <f ca="1">IFERROR(__xludf.DUMMYFUNCTION("""COMPUTED_VALUE"""),"Stock")</f>
        <v>Stock</v>
      </c>
      <c r="D510" s="5" t="str">
        <f ca="1">IFERROR(__xludf.DUMMYFUNCTION("""COMPUTED_VALUE"""),"MSFT")</f>
        <v>MSFT</v>
      </c>
      <c r="E510" s="5" t="str">
        <f ca="1">IFERROR(__xludf.DUMMYFUNCTION("""COMPUTED_VALUE"""),"USD")</f>
        <v>USD</v>
      </c>
      <c r="F510" s="55">
        <f ca="1">IFERROR(__xludf.DUMMYFUNCTION("""COMPUTED_VALUE"""),100)</f>
        <v>100</v>
      </c>
      <c r="G510" s="56">
        <f ca="1">IFERROR(__xludf.DUMMYFUNCTION("""COMPUTED_VALUE"""),7.82329214285714)</f>
        <v>7.8232921428571398</v>
      </c>
      <c r="H510" s="57">
        <f ca="1">IFERROR(__xludf.DUMMYFUNCTION("""COMPUTED_VALUE"""),276.44)</f>
        <v>276.44</v>
      </c>
      <c r="I510" s="57">
        <f ca="1">IFERROR(__xludf.DUMMYFUNCTION("""COMPUTED_VALUE"""),299.49)</f>
        <v>299.49</v>
      </c>
      <c r="J510" s="70" t="str">
        <f ca="1">IFERROR(__xludf.DUMMYFUNCTION("""COMPUTED_VALUE"""),"Goto link: MSFT")</f>
        <v>Goto link: MSFT</v>
      </c>
      <c r="K510" s="19"/>
      <c r="L510" s="19"/>
      <c r="M510" s="19"/>
      <c r="N510" s="19"/>
      <c r="O510" s="59"/>
      <c r="P510" s="7"/>
      <c r="Q510" s="55"/>
      <c r="R510" s="55"/>
      <c r="S510" s="7"/>
      <c r="T510" s="55"/>
      <c r="U510" s="7"/>
      <c r="V510" s="55"/>
      <c r="W510" s="60"/>
      <c r="X510" s="55"/>
    </row>
    <row r="511" spans="1:24" ht="13" x14ac:dyDescent="0.15">
      <c r="A511" s="25" t="str">
        <f ca="1">IFERROR(__xludf.DUMMYFUNCTION("""COMPUTED_VALUE"""),"75415")</f>
        <v>75415</v>
      </c>
      <c r="B511" s="69">
        <f ca="1">IFERROR(__xludf.DUMMYFUNCTION("""COMPUTED_VALUE"""),44634)</f>
        <v>44634</v>
      </c>
      <c r="C511" s="69" t="str">
        <f ca="1">IFERROR(__xludf.DUMMYFUNCTION("""COMPUTED_VALUE"""),"Stock")</f>
        <v>Stock</v>
      </c>
      <c r="D511" s="5" t="str">
        <f ca="1">IFERROR(__xludf.DUMMYFUNCTION("""COMPUTED_VALUE"""),"MSFT")</f>
        <v>MSFT</v>
      </c>
      <c r="E511" s="5" t="str">
        <f ca="1">IFERROR(__xludf.DUMMYFUNCTION("""COMPUTED_VALUE"""),"USD")</f>
        <v>USD</v>
      </c>
      <c r="F511" s="55" t="str">
        <f ca="1">IFERROR(__xludf.DUMMYFUNCTION("""COMPUTED_VALUE"""),"")</f>
        <v/>
      </c>
      <c r="G511" s="56">
        <f ca="1">IFERROR(__xludf.DUMMYFUNCTION("""COMPUTED_VALUE"""),7.8281)</f>
        <v>7.8281000000000001</v>
      </c>
      <c r="H511" s="57">
        <f ca="1">IFERROR(__xludf.DUMMYFUNCTION("""COMPUTED_VALUE"""),276.44)</f>
        <v>276.44</v>
      </c>
      <c r="I511" s="57">
        <f ca="1">IFERROR(__xludf.DUMMYFUNCTION("""COMPUTED_VALUE"""),299.49)</f>
        <v>299.49</v>
      </c>
      <c r="J511" s="70" t="str">
        <f ca="1">IFERROR(__xludf.DUMMYFUNCTION("""COMPUTED_VALUE"""),"Goto link: MSFT")</f>
        <v>Goto link: MSFT</v>
      </c>
      <c r="K511" s="19"/>
      <c r="L511" s="19"/>
      <c r="M511" s="19"/>
      <c r="N511" s="19"/>
      <c r="O511" s="59"/>
      <c r="P511" s="7"/>
      <c r="Q511" s="55"/>
      <c r="R511" s="55"/>
      <c r="S511" s="7"/>
      <c r="T511" s="55"/>
      <c r="U511" s="7"/>
      <c r="V511" s="55"/>
      <c r="W511" s="60"/>
      <c r="X511" s="55"/>
    </row>
    <row r="512" spans="1:24" ht="13" x14ac:dyDescent="0.15">
      <c r="A512" s="25" t="str">
        <f ca="1">IFERROR(__xludf.DUMMYFUNCTION("""COMPUTED_VALUE"""),"75415")</f>
        <v>75415</v>
      </c>
      <c r="B512" s="69">
        <f ca="1">IFERROR(__xludf.DUMMYFUNCTION("""COMPUTED_VALUE"""),44641)</f>
        <v>44641</v>
      </c>
      <c r="C512" s="69" t="str">
        <f ca="1">IFERROR(__xludf.DUMMYFUNCTION("""COMPUTED_VALUE"""),"Stock")</f>
        <v>Stock</v>
      </c>
      <c r="D512" s="5" t="str">
        <f ca="1">IFERROR(__xludf.DUMMYFUNCTION("""COMPUTED_VALUE"""),"UVXY")</f>
        <v>UVXY</v>
      </c>
      <c r="E512" s="5" t="str">
        <f ca="1">IFERROR(__xludf.DUMMYFUNCTION("""COMPUTED_VALUE"""),"USD")</f>
        <v>USD</v>
      </c>
      <c r="F512" s="55">
        <f ca="1">IFERROR(__xludf.DUMMYFUNCTION("""COMPUTED_VALUE"""),-1000)</f>
        <v>-1000</v>
      </c>
      <c r="G512" s="56">
        <f ca="1">IFERROR(__xludf.DUMMYFUNCTION("""COMPUTED_VALUE"""),7.8262)</f>
        <v>7.8262</v>
      </c>
      <c r="H512" s="57">
        <f ca="1">IFERROR(__xludf.DUMMYFUNCTION("""COMPUTED_VALUE"""),15.09)</f>
        <v>15.09</v>
      </c>
      <c r="I512" s="57">
        <f ca="1">IFERROR(__xludf.DUMMYFUNCTION("""COMPUTED_VALUE"""),14.65)</f>
        <v>14.65</v>
      </c>
      <c r="J512" s="70" t="str">
        <f ca="1">IFERROR(__xludf.DUMMYFUNCTION("""COMPUTED_VALUE"""),"Goto link: UVXY")</f>
        <v>Goto link: UVXY</v>
      </c>
      <c r="K512" s="19"/>
      <c r="L512" s="19"/>
      <c r="M512" s="19"/>
      <c r="N512" s="19"/>
      <c r="O512" s="59"/>
      <c r="P512" s="7"/>
      <c r="Q512" s="55"/>
      <c r="R512" s="55"/>
      <c r="S512" s="7"/>
      <c r="T512" s="55"/>
      <c r="U512" s="7"/>
      <c r="V512" s="55"/>
      <c r="W512" s="60"/>
      <c r="X512" s="55"/>
    </row>
    <row r="513" spans="1:24" ht="13" x14ac:dyDescent="0.15">
      <c r="A513" s="25" t="str">
        <f ca="1">IFERROR(__xludf.DUMMYFUNCTION("""COMPUTED_VALUE"""),"75415")</f>
        <v>75415</v>
      </c>
      <c r="B513" s="69">
        <f ca="1">IFERROR(__xludf.DUMMYFUNCTION("""COMPUTED_VALUE"""),44642)</f>
        <v>44642</v>
      </c>
      <c r="C513" s="69" t="str">
        <f ca="1">IFERROR(__xludf.DUMMYFUNCTION("""COMPUTED_VALUE"""),"Stock")</f>
        <v>Stock</v>
      </c>
      <c r="D513" s="5" t="str">
        <f ca="1">IFERROR(__xludf.DUMMYFUNCTION("""COMPUTED_VALUE"""),"UVXY")</f>
        <v>UVXY</v>
      </c>
      <c r="E513" s="5" t="str">
        <f ca="1">IFERROR(__xludf.DUMMYFUNCTION("""COMPUTED_VALUE"""),"USD")</f>
        <v>USD</v>
      </c>
      <c r="F513" s="55" t="str">
        <f ca="1">IFERROR(__xludf.DUMMYFUNCTION("""COMPUTED_VALUE"""),"")</f>
        <v/>
      </c>
      <c r="G513" s="56">
        <f ca="1">IFERROR(__xludf.DUMMYFUNCTION("""COMPUTED_VALUE"""),7.82695)</f>
        <v>7.8269500000000001</v>
      </c>
      <c r="H513" s="57">
        <f ca="1">IFERROR(__xludf.DUMMYFUNCTION("""COMPUTED_VALUE"""),14.72)</f>
        <v>14.72</v>
      </c>
      <c r="I513" s="57">
        <f ca="1">IFERROR(__xludf.DUMMYFUNCTION("""COMPUTED_VALUE"""),14.65)</f>
        <v>14.65</v>
      </c>
      <c r="J513" s="70" t="str">
        <f ca="1">IFERROR(__xludf.DUMMYFUNCTION("""COMPUTED_VALUE"""),"Goto link: UVXY")</f>
        <v>Goto link: UVXY</v>
      </c>
      <c r="K513" s="19"/>
      <c r="L513" s="19"/>
      <c r="M513" s="19"/>
      <c r="N513" s="19"/>
      <c r="O513" s="59"/>
      <c r="P513" s="7"/>
      <c r="Q513" s="55"/>
      <c r="R513" s="55"/>
      <c r="S513" s="7"/>
      <c r="T513" s="55"/>
      <c r="U513" s="7"/>
      <c r="V513" s="55"/>
      <c r="W513" s="60"/>
      <c r="X513" s="55"/>
    </row>
    <row r="514" spans="1:24" ht="13" x14ac:dyDescent="0.15">
      <c r="A514" s="25" t="str">
        <f ca="1">IFERROR(__xludf.DUMMYFUNCTION("""COMPUTED_VALUE"""),"75415")</f>
        <v>75415</v>
      </c>
      <c r="B514" s="69">
        <f ca="1">IFERROR(__xludf.DUMMYFUNCTION("""COMPUTED_VALUE"""),44642)</f>
        <v>44642</v>
      </c>
      <c r="C514" s="69" t="str">
        <f ca="1">IFERROR(__xludf.DUMMYFUNCTION("""COMPUTED_VALUE"""),"Stock")</f>
        <v>Stock</v>
      </c>
      <c r="D514" s="5" t="str">
        <f ca="1">IFERROR(__xludf.DUMMYFUNCTION("""COMPUTED_VALUE"""),"WEAT")</f>
        <v>WEAT</v>
      </c>
      <c r="E514" s="5" t="str">
        <f ca="1">IFERROR(__xludf.DUMMYFUNCTION("""COMPUTED_VALUE"""),"USD")</f>
        <v>USD</v>
      </c>
      <c r="F514" s="55">
        <f ca="1">IFERROR(__xludf.DUMMYFUNCTION("""COMPUTED_VALUE"""),1000)</f>
        <v>1000</v>
      </c>
      <c r="G514" s="56">
        <f ca="1">IFERROR(__xludf.DUMMYFUNCTION("""COMPUTED_VALUE"""),7.82695)</f>
        <v>7.8269500000000001</v>
      </c>
      <c r="H514" s="57">
        <f ca="1">IFERROR(__xludf.DUMMYFUNCTION("""COMPUTED_VALUE"""),10.69)</f>
        <v>10.69</v>
      </c>
      <c r="I514" s="57">
        <f ca="1">IFERROR(__xludf.DUMMYFUNCTION("""COMPUTED_VALUE"""),10.59)</f>
        <v>10.59</v>
      </c>
      <c r="J514" s="70" t="str">
        <f ca="1">IFERROR(__xludf.DUMMYFUNCTION("""COMPUTED_VALUE"""),"Goto link: WEAT")</f>
        <v>Goto link: WEAT</v>
      </c>
      <c r="K514" s="19"/>
      <c r="L514" s="19"/>
      <c r="M514" s="19"/>
      <c r="N514" s="19"/>
      <c r="O514" s="59"/>
      <c r="P514" s="7"/>
      <c r="Q514" s="55"/>
      <c r="R514" s="55"/>
      <c r="S514" s="7"/>
      <c r="T514" s="55"/>
      <c r="U514" s="7"/>
      <c r="V514" s="55"/>
      <c r="W514" s="60"/>
      <c r="X514" s="55"/>
    </row>
    <row r="515" spans="1:24" ht="13" x14ac:dyDescent="0.15">
      <c r="A515" s="25" t="str">
        <f ca="1">IFERROR(__xludf.DUMMYFUNCTION("""COMPUTED_VALUE"""),"75415 Total")</f>
        <v>75415 Total</v>
      </c>
      <c r="B515" s="5"/>
      <c r="C515" s="69"/>
      <c r="D515" s="5"/>
      <c r="E515" s="5"/>
      <c r="F515" s="55"/>
      <c r="G515" s="56">
        <f ca="1">IFERROR(__xludf.DUMMYFUNCTION("""COMPUTED_VALUE"""),5.75409355263158)</f>
        <v>5.7540935526315797</v>
      </c>
      <c r="H515" s="57">
        <f ca="1">IFERROR(__xludf.DUMMYFUNCTION("""COMPUTED_VALUE"""),276.44)</f>
        <v>276.44</v>
      </c>
      <c r="I515" s="57" t="str">
        <f ca="1">IFERROR(__xludf.DUMMYFUNCTION("""COMPUTED_VALUE"""),"")</f>
        <v/>
      </c>
      <c r="J515" s="19" t="str">
        <f ca="1">IFERROR(__xludf.DUMMYFUNCTION("""COMPUTED_VALUE"""),"")</f>
        <v/>
      </c>
      <c r="K515" s="19"/>
      <c r="L515" s="19"/>
      <c r="M515" s="19"/>
      <c r="N515" s="19"/>
      <c r="O515" s="59"/>
      <c r="P515" s="7"/>
      <c r="Q515" s="55"/>
      <c r="R515" s="55"/>
      <c r="S515" s="7"/>
      <c r="T515" s="55"/>
      <c r="U515" s="7"/>
      <c r="V515" s="55"/>
      <c r="W515" s="60"/>
      <c r="X515" s="55"/>
    </row>
    <row r="516" spans="1:24" ht="13" x14ac:dyDescent="0.15">
      <c r="A516" s="25" t="str">
        <f ca="1">IFERROR(__xludf.DUMMYFUNCTION("""COMPUTED_VALUE"""),"75597")</f>
        <v>75597</v>
      </c>
      <c r="B516" s="69">
        <f ca="1">IFERROR(__xludf.DUMMYFUNCTION("""COMPUTED_VALUE"""),44597)</f>
        <v>44597</v>
      </c>
      <c r="C516" s="69" t="str">
        <f ca="1">IFERROR(__xludf.DUMMYFUNCTION("""COMPUTED_VALUE"""),"Cash")</f>
        <v>Cash</v>
      </c>
      <c r="D516" s="5" t="str">
        <f ca="1">IFERROR(__xludf.DUMMYFUNCTION("""COMPUTED_VALUE"""),"Cash")</f>
        <v>Cash</v>
      </c>
      <c r="E516" s="5" t="str">
        <f ca="1">IFERROR(__xludf.DUMMYFUNCTION("""COMPUTED_VALUE"""),"HKD")</f>
        <v>HKD</v>
      </c>
      <c r="F516" s="55" t="str">
        <f ca="1">IFERROR(__xludf.DUMMYFUNCTION("""COMPUTED_VALUE"""),"")</f>
        <v/>
      </c>
      <c r="G516" s="56">
        <f ca="1">IFERROR(__xludf.DUMMYFUNCTION("""COMPUTED_VALUE"""),1)</f>
        <v>1</v>
      </c>
      <c r="H516" s="57">
        <f ca="1">IFERROR(__xludf.DUMMYFUNCTION("""COMPUTED_VALUE"""),1)</f>
        <v>1</v>
      </c>
      <c r="I516" s="57">
        <f ca="1">IFERROR(__xludf.DUMMYFUNCTION("""COMPUTED_VALUE"""),1)</f>
        <v>1</v>
      </c>
      <c r="J516" s="19" t="str">
        <f ca="1">IFERROR(__xludf.DUMMYFUNCTION("""COMPUTED_VALUE"""),"")</f>
        <v/>
      </c>
      <c r="K516" s="19"/>
      <c r="L516" s="19"/>
      <c r="M516" s="19"/>
      <c r="N516" s="19"/>
      <c r="O516" s="59"/>
      <c r="P516" s="7"/>
      <c r="Q516" s="55"/>
      <c r="R516" s="55"/>
      <c r="S516" s="7"/>
      <c r="T516" s="55"/>
      <c r="U516" s="7"/>
      <c r="V516" s="55"/>
      <c r="W516" s="60"/>
      <c r="X516" s="55"/>
    </row>
    <row r="517" spans="1:24" ht="13" x14ac:dyDescent="0.15">
      <c r="A517" s="25" t="str">
        <f ca="1">IFERROR(__xludf.DUMMYFUNCTION("""COMPUTED_VALUE"""),"75597")</f>
        <v>75597</v>
      </c>
      <c r="B517" s="69">
        <f ca="1">IFERROR(__xludf.DUMMYFUNCTION("""COMPUTED_VALUE"""),44641)</f>
        <v>44641</v>
      </c>
      <c r="C517" s="69" t="str">
        <f ca="1">IFERROR(__xludf.DUMMYFUNCTION("""COMPUTED_VALUE"""),"Stock")</f>
        <v>Stock</v>
      </c>
      <c r="D517" s="71" t="str">
        <f ca="1">IFERROR(__xludf.DUMMYFUNCTION("""COMPUTED_VALUE"""),"600519.SS")</f>
        <v>600519.SS</v>
      </c>
      <c r="E517" s="5" t="str">
        <f ca="1">IFERROR(__xludf.DUMMYFUNCTION("""COMPUTED_VALUE"""),"CNY")</f>
        <v>CNY</v>
      </c>
      <c r="F517" s="55">
        <f ca="1">IFERROR(__xludf.DUMMYFUNCTION("""COMPUTED_VALUE"""),50)</f>
        <v>50</v>
      </c>
      <c r="G517" s="56">
        <f ca="1">IFERROR(__xludf.DUMMYFUNCTION("""COMPUTED_VALUE"""),1.2302235)</f>
        <v>1.2302234999999999</v>
      </c>
      <c r="H517" s="57">
        <f ca="1">IFERROR(__xludf.DUMMYFUNCTION("""COMPUTED_VALUE"""),1704.3)</f>
        <v>1704.3</v>
      </c>
      <c r="I517" s="57">
        <f ca="1">IFERROR(__xludf.DUMMYFUNCTION("""COMPUTED_VALUE"""),1752.19)</f>
        <v>1752.19</v>
      </c>
      <c r="J517" s="70" t="str">
        <f ca="1">IFERROR(__xludf.DUMMYFUNCTION("""COMPUTED_VALUE"""),"Goto link: 600519.SS")</f>
        <v>Goto link: 600519.SS</v>
      </c>
      <c r="K517" s="19"/>
      <c r="L517" s="19"/>
      <c r="M517" s="19"/>
      <c r="N517" s="19"/>
      <c r="O517" s="59"/>
      <c r="P517" s="7"/>
      <c r="Q517" s="55"/>
      <c r="R517" s="55"/>
      <c r="S517" s="7"/>
      <c r="T517" s="55"/>
      <c r="U517" s="7"/>
      <c r="V517" s="55"/>
      <c r="W517" s="60"/>
      <c r="X517" s="55"/>
    </row>
    <row r="518" spans="1:24" ht="13" x14ac:dyDescent="0.15">
      <c r="A518" s="25" t="str">
        <f ca="1">IFERROR(__xludf.DUMMYFUNCTION("""COMPUTED_VALUE"""),"75597 Total")</f>
        <v>75597 Total</v>
      </c>
      <c r="B518" s="5"/>
      <c r="C518" s="69"/>
      <c r="D518" s="5"/>
      <c r="E518" s="5"/>
      <c r="F518" s="55"/>
      <c r="G518" s="56">
        <f ca="1">IFERROR(__xludf.DUMMYFUNCTION("""COMPUTED_VALUE"""),1.00959264583333)</f>
        <v>1.00959264583333</v>
      </c>
      <c r="H518" s="57">
        <f ca="1">IFERROR(__xludf.DUMMYFUNCTION("""COMPUTED_VALUE"""),1704.3)</f>
        <v>1704.3</v>
      </c>
      <c r="I518" s="57" t="str">
        <f ca="1">IFERROR(__xludf.DUMMYFUNCTION("""COMPUTED_VALUE"""),"")</f>
        <v/>
      </c>
      <c r="J518" s="19" t="str">
        <f ca="1">IFERROR(__xludf.DUMMYFUNCTION("""COMPUTED_VALUE"""),"")</f>
        <v/>
      </c>
      <c r="K518" s="19"/>
      <c r="L518" s="19"/>
      <c r="M518" s="19"/>
      <c r="N518" s="19"/>
      <c r="O518" s="59"/>
      <c r="P518" s="7"/>
      <c r="Q518" s="55"/>
      <c r="R518" s="55"/>
      <c r="S518" s="7"/>
      <c r="T518" s="55"/>
      <c r="U518" s="7"/>
      <c r="V518" s="55"/>
      <c r="W518" s="60"/>
      <c r="X518" s="55"/>
    </row>
    <row r="519" spans="1:24" ht="13" x14ac:dyDescent="0.15">
      <c r="A519" s="25" t="str">
        <f ca="1">IFERROR(__xludf.DUMMYFUNCTION("""COMPUTED_VALUE"""),"75965")</f>
        <v>75965</v>
      </c>
      <c r="B519" s="69">
        <f ca="1">IFERROR(__xludf.DUMMYFUNCTION("""COMPUTED_VALUE"""),44597)</f>
        <v>44597</v>
      </c>
      <c r="C519" s="69" t="str">
        <f ca="1">IFERROR(__xludf.DUMMYFUNCTION("""COMPUTED_VALUE"""),"Cash")</f>
        <v>Cash</v>
      </c>
      <c r="D519" s="5" t="str">
        <f ca="1">IFERROR(__xludf.DUMMYFUNCTION("""COMPUTED_VALUE"""),"Cash")</f>
        <v>Cash</v>
      </c>
      <c r="E519" s="5" t="str">
        <f ca="1">IFERROR(__xludf.DUMMYFUNCTION("""COMPUTED_VALUE"""),"HKD")</f>
        <v>HKD</v>
      </c>
      <c r="F519" s="55" t="str">
        <f ca="1">IFERROR(__xludf.DUMMYFUNCTION("""COMPUTED_VALUE"""),"")</f>
        <v/>
      </c>
      <c r="G519" s="56">
        <f ca="1">IFERROR(__xludf.DUMMYFUNCTION("""COMPUTED_VALUE"""),1)</f>
        <v>1</v>
      </c>
      <c r="H519" s="57">
        <f ca="1">IFERROR(__xludf.DUMMYFUNCTION("""COMPUTED_VALUE"""),1)</f>
        <v>1</v>
      </c>
      <c r="I519" s="57">
        <f ca="1">IFERROR(__xludf.DUMMYFUNCTION("""COMPUTED_VALUE"""),1)</f>
        <v>1</v>
      </c>
      <c r="J519" s="19" t="str">
        <f ca="1">IFERROR(__xludf.DUMMYFUNCTION("""COMPUTED_VALUE"""),"")</f>
        <v/>
      </c>
      <c r="K519" s="19"/>
      <c r="L519" s="19"/>
      <c r="M519" s="19"/>
      <c r="N519" s="19"/>
      <c r="O519" s="59"/>
      <c r="P519" s="7"/>
      <c r="Q519" s="55"/>
      <c r="R519" s="55"/>
      <c r="S519" s="7"/>
      <c r="T519" s="55"/>
      <c r="U519" s="7"/>
      <c r="V519" s="55"/>
      <c r="W519" s="60"/>
      <c r="X519" s="55"/>
    </row>
    <row r="520" spans="1:24" ht="13" x14ac:dyDescent="0.15">
      <c r="A520" s="25" t="str">
        <f ca="1">IFERROR(__xludf.DUMMYFUNCTION("""COMPUTED_VALUE"""),"75965")</f>
        <v>75965</v>
      </c>
      <c r="B520" s="69">
        <f ca="1">IFERROR(__xludf.DUMMYFUNCTION("""COMPUTED_VALUE"""),44636)</f>
        <v>44636</v>
      </c>
      <c r="C520" s="69" t="str">
        <f ca="1">IFERROR(__xludf.DUMMYFUNCTION("""COMPUTED_VALUE"""),"Stock")</f>
        <v>Stock</v>
      </c>
      <c r="D520" s="5" t="str">
        <f ca="1">IFERROR(__xludf.DUMMYFUNCTION("""COMPUTED_VALUE"""),"aapl")</f>
        <v>aapl</v>
      </c>
      <c r="E520" s="5" t="str">
        <f ca="1">IFERROR(__xludf.DUMMYFUNCTION("""COMPUTED_VALUE"""),"USD")</f>
        <v>USD</v>
      </c>
      <c r="F520" s="55">
        <f ca="1">IFERROR(__xludf.DUMMYFUNCTION("""COMPUTED_VALUE"""),100)</f>
        <v>100</v>
      </c>
      <c r="G520" s="56">
        <f ca="1">IFERROR(__xludf.DUMMYFUNCTION("""COMPUTED_VALUE"""),7.82329214285714)</f>
        <v>7.8232921428571398</v>
      </c>
      <c r="H520" s="57">
        <f ca="1">IFERROR(__xludf.DUMMYFUNCTION("""COMPUTED_VALUE"""),159.59)</f>
        <v>159.59</v>
      </c>
      <c r="I520" s="57">
        <f ca="1">IFERROR(__xludf.DUMMYFUNCTION("""COMPUTED_VALUE"""),170.21)</f>
        <v>170.21</v>
      </c>
      <c r="J520" s="70" t="str">
        <f ca="1">IFERROR(__xludf.DUMMYFUNCTION("""COMPUTED_VALUE"""),"Goto link: aapl")</f>
        <v>Goto link: aapl</v>
      </c>
      <c r="K520" s="19"/>
      <c r="L520" s="19"/>
      <c r="M520" s="19"/>
      <c r="N520" s="19"/>
      <c r="O520" s="59"/>
      <c r="P520" s="7"/>
      <c r="Q520" s="55"/>
      <c r="R520" s="55"/>
      <c r="S520" s="7"/>
      <c r="T520" s="55"/>
      <c r="U520" s="7"/>
      <c r="V520" s="55"/>
      <c r="W520" s="60"/>
      <c r="X520" s="55"/>
    </row>
    <row r="521" spans="1:24" ht="13" x14ac:dyDescent="0.15">
      <c r="A521" s="25" t="str">
        <f ca="1">IFERROR(__xludf.DUMMYFUNCTION("""COMPUTED_VALUE"""),"75965")</f>
        <v>75965</v>
      </c>
      <c r="B521" s="69">
        <f ca="1">IFERROR(__xludf.DUMMYFUNCTION("""COMPUTED_VALUE"""),44636)</f>
        <v>44636</v>
      </c>
      <c r="C521" s="69" t="str">
        <f ca="1">IFERROR(__xludf.DUMMYFUNCTION("""COMPUTED_VALUE"""),"Stock")</f>
        <v>Stock</v>
      </c>
      <c r="D521" s="5" t="str">
        <f ca="1">IFERROR(__xludf.DUMMYFUNCTION("""COMPUTED_VALUE"""),"ES=F")</f>
        <v>ES=F</v>
      </c>
      <c r="E521" s="5" t="str">
        <f ca="1">IFERROR(__xludf.DUMMYFUNCTION("""COMPUTED_VALUE"""),"USD")</f>
        <v>USD</v>
      </c>
      <c r="F521" s="55" t="str">
        <f ca="1">IFERROR(__xludf.DUMMYFUNCTION("""COMPUTED_VALUE"""),"")</f>
        <v/>
      </c>
      <c r="G521" s="56">
        <f ca="1">IFERROR(__xludf.DUMMYFUNCTION("""COMPUTED_VALUE"""),7.82329214285714)</f>
        <v>7.8232921428571398</v>
      </c>
      <c r="H521" s="57">
        <f ca="1">IFERROR(__xludf.DUMMYFUNCTION("""COMPUTED_VALUE"""),4362.75)</f>
        <v>4362.75</v>
      </c>
      <c r="I521" s="57">
        <f ca="1">IFERROR(__xludf.DUMMYFUNCTION("""COMPUTED_VALUE"""),4451)</f>
        <v>4451</v>
      </c>
      <c r="J521" s="70" t="str">
        <f ca="1">IFERROR(__xludf.DUMMYFUNCTION("""COMPUTED_VALUE"""),"Goto link: ES=F")</f>
        <v>Goto link: ES=F</v>
      </c>
      <c r="K521" s="19"/>
      <c r="L521" s="19"/>
      <c r="M521" s="19"/>
      <c r="N521" s="19"/>
      <c r="O521" s="59"/>
      <c r="P521" s="7"/>
      <c r="Q521" s="55"/>
      <c r="R521" s="55"/>
      <c r="S521" s="7"/>
      <c r="T521" s="55"/>
      <c r="U521" s="7"/>
      <c r="V521" s="55"/>
      <c r="W521" s="60"/>
      <c r="X521" s="55"/>
    </row>
    <row r="522" spans="1:24" ht="13" x14ac:dyDescent="0.15">
      <c r="A522" s="25" t="str">
        <f ca="1">IFERROR(__xludf.DUMMYFUNCTION("""COMPUTED_VALUE"""),"75965")</f>
        <v>75965</v>
      </c>
      <c r="B522" s="69">
        <f ca="1">IFERROR(__xludf.DUMMYFUNCTION("""COMPUTED_VALUE"""),44636)</f>
        <v>44636</v>
      </c>
      <c r="C522" s="69" t="str">
        <f ca="1">IFERROR(__xludf.DUMMYFUNCTION("""COMPUTED_VALUE"""),"Stock")</f>
        <v>Stock</v>
      </c>
      <c r="D522" s="5" t="str">
        <f ca="1">IFERROR(__xludf.DUMMYFUNCTION("""COMPUTED_VALUE"""),"TSLA")</f>
        <v>TSLA</v>
      </c>
      <c r="E522" s="5" t="str">
        <f ca="1">IFERROR(__xludf.DUMMYFUNCTION("""COMPUTED_VALUE"""),"USD")</f>
        <v>USD</v>
      </c>
      <c r="F522" s="55">
        <f ca="1">IFERROR(__xludf.DUMMYFUNCTION("""COMPUTED_VALUE"""),50)</f>
        <v>50</v>
      </c>
      <c r="G522" s="56">
        <f ca="1">IFERROR(__xludf.DUMMYFUNCTION("""COMPUTED_VALUE"""),7.82329214285714)</f>
        <v>7.8232921428571398</v>
      </c>
      <c r="H522" s="57">
        <f ca="1">IFERROR(__xludf.DUMMYFUNCTION("""COMPUTED_VALUE"""),840.23)</f>
        <v>840.23</v>
      </c>
      <c r="I522" s="57">
        <f ca="1">IFERROR(__xludf.DUMMYFUNCTION("""COMPUTED_VALUE"""),999.11)</f>
        <v>999.11</v>
      </c>
      <c r="J522" s="70" t="str">
        <f ca="1">IFERROR(__xludf.DUMMYFUNCTION("""COMPUTED_VALUE"""),"Goto link: TSLA")</f>
        <v>Goto link: TSLA</v>
      </c>
      <c r="K522" s="19"/>
      <c r="L522" s="19"/>
      <c r="M522" s="19"/>
      <c r="N522" s="19"/>
      <c r="O522" s="59"/>
      <c r="P522" s="7"/>
      <c r="Q522" s="55"/>
      <c r="R522" s="55"/>
      <c r="S522" s="7"/>
      <c r="T522" s="55"/>
      <c r="U522" s="7"/>
      <c r="V522" s="55"/>
      <c r="W522" s="60"/>
      <c r="X522" s="55"/>
    </row>
    <row r="523" spans="1:24" ht="13" x14ac:dyDescent="0.15">
      <c r="A523" s="25" t="str">
        <f ca="1">IFERROR(__xludf.DUMMYFUNCTION("""COMPUTED_VALUE"""),"75965 Total")</f>
        <v>75965 Total</v>
      </c>
      <c r="B523" s="5"/>
      <c r="C523" s="69"/>
      <c r="D523" s="5"/>
      <c r="E523" s="5"/>
      <c r="F523" s="55"/>
      <c r="G523" s="56">
        <f ca="1">IFERROR(__xludf.DUMMYFUNCTION("""COMPUTED_VALUE"""),3.13864380597014)</f>
        <v>3.13864380597014</v>
      </c>
      <c r="H523" s="57">
        <f ca="1">IFERROR(__xludf.DUMMYFUNCTION("""COMPUTED_VALUE"""),4362.75)</f>
        <v>4362.75</v>
      </c>
      <c r="I523" s="57" t="str">
        <f ca="1">IFERROR(__xludf.DUMMYFUNCTION("""COMPUTED_VALUE"""),"")</f>
        <v/>
      </c>
      <c r="J523" s="19" t="str">
        <f ca="1">IFERROR(__xludf.DUMMYFUNCTION("""COMPUTED_VALUE"""),"")</f>
        <v/>
      </c>
      <c r="K523" s="19"/>
      <c r="L523" s="19"/>
      <c r="M523" s="19"/>
      <c r="N523" s="19"/>
      <c r="O523" s="59"/>
      <c r="P523" s="7"/>
      <c r="Q523" s="55"/>
      <c r="R523" s="55"/>
      <c r="S523" s="7"/>
      <c r="T523" s="55"/>
      <c r="U523" s="7"/>
      <c r="V523" s="55"/>
      <c r="W523" s="60"/>
      <c r="X523" s="55"/>
    </row>
    <row r="524" spans="1:24" ht="13" x14ac:dyDescent="0.15">
      <c r="A524" s="25" t="str">
        <f ca="1">IFERROR(__xludf.DUMMYFUNCTION("""COMPUTED_VALUE"""),"75973")</f>
        <v>75973</v>
      </c>
      <c r="B524" s="69">
        <f ca="1">IFERROR(__xludf.DUMMYFUNCTION("""COMPUTED_VALUE"""),44597)</f>
        <v>44597</v>
      </c>
      <c r="C524" s="69" t="str">
        <f ca="1">IFERROR(__xludf.DUMMYFUNCTION("""COMPUTED_VALUE"""),"Cash")</f>
        <v>Cash</v>
      </c>
      <c r="D524" s="5" t="str">
        <f ca="1">IFERROR(__xludf.DUMMYFUNCTION("""COMPUTED_VALUE"""),"Cash")</f>
        <v>Cash</v>
      </c>
      <c r="E524" s="5" t="str">
        <f ca="1">IFERROR(__xludf.DUMMYFUNCTION("""COMPUTED_VALUE"""),"HKD")</f>
        <v>HKD</v>
      </c>
      <c r="F524" s="55" t="str">
        <f ca="1">IFERROR(__xludf.DUMMYFUNCTION("""COMPUTED_VALUE"""),"")</f>
        <v/>
      </c>
      <c r="G524" s="56">
        <f ca="1">IFERROR(__xludf.DUMMYFUNCTION("""COMPUTED_VALUE"""),1)</f>
        <v>1</v>
      </c>
      <c r="H524" s="57">
        <f ca="1">IFERROR(__xludf.DUMMYFUNCTION("""COMPUTED_VALUE"""),1)</f>
        <v>1</v>
      </c>
      <c r="I524" s="57">
        <f ca="1">IFERROR(__xludf.DUMMYFUNCTION("""COMPUTED_VALUE"""),1)</f>
        <v>1</v>
      </c>
      <c r="J524" s="19" t="str">
        <f ca="1">IFERROR(__xludf.DUMMYFUNCTION("""COMPUTED_VALUE"""),"")</f>
        <v/>
      </c>
      <c r="K524" s="19"/>
      <c r="L524" s="19"/>
      <c r="M524" s="19"/>
      <c r="N524" s="19"/>
      <c r="O524" s="59"/>
      <c r="P524" s="7"/>
      <c r="Q524" s="55"/>
      <c r="R524" s="55"/>
      <c r="S524" s="7"/>
      <c r="T524" s="55"/>
      <c r="U524" s="7"/>
      <c r="V524" s="55"/>
      <c r="W524" s="60"/>
      <c r="X524" s="55"/>
    </row>
    <row r="525" spans="1:24" ht="13" x14ac:dyDescent="0.15">
      <c r="A525" s="25" t="str">
        <f ca="1">IFERROR(__xludf.DUMMYFUNCTION("""COMPUTED_VALUE"""),"75973 Total")</f>
        <v>75973 Total</v>
      </c>
      <c r="B525" s="5"/>
      <c r="C525" s="69"/>
      <c r="D525" s="5"/>
      <c r="E525" s="5"/>
      <c r="F525" s="55"/>
      <c r="G525" s="56">
        <f ca="1">IFERROR(__xludf.DUMMYFUNCTION("""COMPUTED_VALUE"""),1)</f>
        <v>1</v>
      </c>
      <c r="H525" s="57">
        <f ca="1">IFERROR(__xludf.DUMMYFUNCTION("""COMPUTED_VALUE"""),1)</f>
        <v>1</v>
      </c>
      <c r="I525" s="57" t="str">
        <f ca="1">IFERROR(__xludf.DUMMYFUNCTION("""COMPUTED_VALUE"""),"")</f>
        <v/>
      </c>
      <c r="J525" s="19" t="str">
        <f ca="1">IFERROR(__xludf.DUMMYFUNCTION("""COMPUTED_VALUE"""),"")</f>
        <v/>
      </c>
      <c r="K525" s="19"/>
      <c r="L525" s="19"/>
      <c r="M525" s="19"/>
      <c r="N525" s="19"/>
      <c r="O525" s="59"/>
      <c r="P525" s="7"/>
      <c r="Q525" s="55"/>
      <c r="R525" s="55"/>
      <c r="S525" s="7"/>
      <c r="T525" s="55"/>
      <c r="U525" s="7"/>
      <c r="V525" s="55"/>
      <c r="W525" s="60"/>
      <c r="X525" s="55"/>
    </row>
    <row r="526" spans="1:24" ht="13" x14ac:dyDescent="0.15">
      <c r="A526" s="25" t="str">
        <f ca="1">IFERROR(__xludf.DUMMYFUNCTION("""COMPUTED_VALUE"""),"76369")</f>
        <v>76369</v>
      </c>
      <c r="B526" s="69">
        <f ca="1">IFERROR(__xludf.DUMMYFUNCTION("""COMPUTED_VALUE"""),44597)</f>
        <v>44597</v>
      </c>
      <c r="C526" s="69" t="str">
        <f ca="1">IFERROR(__xludf.DUMMYFUNCTION("""COMPUTED_VALUE"""),"Cash")</f>
        <v>Cash</v>
      </c>
      <c r="D526" s="5" t="str">
        <f ca="1">IFERROR(__xludf.DUMMYFUNCTION("""COMPUTED_VALUE"""),"Cash")</f>
        <v>Cash</v>
      </c>
      <c r="E526" s="5" t="str">
        <f ca="1">IFERROR(__xludf.DUMMYFUNCTION("""COMPUTED_VALUE"""),"HKD")</f>
        <v>HKD</v>
      </c>
      <c r="F526" s="55" t="str">
        <f ca="1">IFERROR(__xludf.DUMMYFUNCTION("""COMPUTED_VALUE"""),"")</f>
        <v/>
      </c>
      <c r="G526" s="56">
        <f ca="1">IFERROR(__xludf.DUMMYFUNCTION("""COMPUTED_VALUE"""),1)</f>
        <v>1</v>
      </c>
      <c r="H526" s="57">
        <f ca="1">IFERROR(__xludf.DUMMYFUNCTION("""COMPUTED_VALUE"""),1)</f>
        <v>1</v>
      </c>
      <c r="I526" s="57">
        <f ca="1">IFERROR(__xludf.DUMMYFUNCTION("""COMPUTED_VALUE"""),1)</f>
        <v>1</v>
      </c>
      <c r="J526" s="19" t="str">
        <f ca="1">IFERROR(__xludf.DUMMYFUNCTION("""COMPUTED_VALUE"""),"")</f>
        <v/>
      </c>
      <c r="K526" s="19"/>
      <c r="L526" s="19"/>
      <c r="M526" s="19"/>
      <c r="N526" s="19"/>
      <c r="O526" s="59"/>
      <c r="P526" s="7"/>
      <c r="Q526" s="55"/>
      <c r="R526" s="55"/>
      <c r="S526" s="7"/>
      <c r="T526" s="55"/>
      <c r="U526" s="7"/>
      <c r="V526" s="55"/>
      <c r="W526" s="60"/>
      <c r="X526" s="55"/>
    </row>
    <row r="527" spans="1:24" ht="13" x14ac:dyDescent="0.15">
      <c r="A527" s="25" t="str">
        <f ca="1">IFERROR(__xludf.DUMMYFUNCTION("""COMPUTED_VALUE"""),"76369")</f>
        <v>76369</v>
      </c>
      <c r="B527" s="69">
        <f ca="1">IFERROR(__xludf.DUMMYFUNCTION("""COMPUTED_VALUE"""),44602)</f>
        <v>44602</v>
      </c>
      <c r="C527" s="69" t="str">
        <f ca="1">IFERROR(__xludf.DUMMYFUNCTION("""COMPUTED_VALUE"""),"Stock")</f>
        <v>Stock</v>
      </c>
      <c r="D527" s="5" t="str">
        <f ca="1">IFERROR(__xludf.DUMMYFUNCTION("""COMPUTED_VALUE"""),"MGM")</f>
        <v>MGM</v>
      </c>
      <c r="E527" s="5" t="str">
        <f ca="1">IFERROR(__xludf.DUMMYFUNCTION("""COMPUTED_VALUE"""),"USD")</f>
        <v>USD</v>
      </c>
      <c r="F527" s="55">
        <f ca="1">IFERROR(__xludf.DUMMYFUNCTION("""COMPUTED_VALUE"""),5)</f>
        <v>5</v>
      </c>
      <c r="G527" s="56">
        <f ca="1">IFERROR(__xludf.DUMMYFUNCTION("""COMPUTED_VALUE"""),7.81304158536585)</f>
        <v>7.8130415853658501</v>
      </c>
      <c r="H527" s="57">
        <f ca="1">IFERROR(__xludf.DUMMYFUNCTION("""COMPUTED_VALUE"""),47.07)</f>
        <v>47.07</v>
      </c>
      <c r="I527" s="57">
        <f ca="1">IFERROR(__xludf.DUMMYFUNCTION("""COMPUTED_VALUE"""),41.41)</f>
        <v>41.41</v>
      </c>
      <c r="J527" s="70" t="str">
        <f ca="1">IFERROR(__xludf.DUMMYFUNCTION("""COMPUTED_VALUE"""),"Goto link: MGM")</f>
        <v>Goto link: MGM</v>
      </c>
      <c r="K527" s="19"/>
      <c r="L527" s="19"/>
      <c r="M527" s="19"/>
      <c r="N527" s="19"/>
      <c r="O527" s="59"/>
      <c r="P527" s="7"/>
      <c r="Q527" s="55"/>
      <c r="R527" s="55"/>
      <c r="S527" s="7"/>
      <c r="T527" s="55"/>
      <c r="U527" s="7"/>
      <c r="V527" s="55"/>
      <c r="W527" s="60"/>
      <c r="X527" s="55"/>
    </row>
    <row r="528" spans="1:24" ht="13" x14ac:dyDescent="0.15">
      <c r="A528" s="25" t="str">
        <f ca="1">IFERROR(__xludf.DUMMYFUNCTION("""COMPUTED_VALUE"""),"76369")</f>
        <v>76369</v>
      </c>
      <c r="B528" s="69">
        <f ca="1">IFERROR(__xludf.DUMMYFUNCTION("""COMPUTED_VALUE"""),44602)</f>
        <v>44602</v>
      </c>
      <c r="C528" s="69" t="str">
        <f ca="1">IFERROR(__xludf.DUMMYFUNCTION("""COMPUTED_VALUE"""),"Stock")</f>
        <v>Stock</v>
      </c>
      <c r="D528" s="5" t="str">
        <f ca="1">IFERROR(__xludf.DUMMYFUNCTION("""COMPUTED_VALUE"""),"XPEV")</f>
        <v>XPEV</v>
      </c>
      <c r="E528" s="5" t="str">
        <f ca="1">IFERROR(__xludf.DUMMYFUNCTION("""COMPUTED_VALUE"""),"USD")</f>
        <v>USD</v>
      </c>
      <c r="F528" s="55">
        <f ca="1">IFERROR(__xludf.DUMMYFUNCTION("""COMPUTED_VALUE"""),5)</f>
        <v>5</v>
      </c>
      <c r="G528" s="56">
        <f ca="1">IFERROR(__xludf.DUMMYFUNCTION("""COMPUTED_VALUE"""),7.81304158536585)</f>
        <v>7.8130415853658501</v>
      </c>
      <c r="H528" s="57">
        <f ca="1">IFERROR(__xludf.DUMMYFUNCTION("""COMPUTED_VALUE"""),38.92)</f>
        <v>38.92</v>
      </c>
      <c r="I528" s="57">
        <f ca="1">IFERROR(__xludf.DUMMYFUNCTION("""COMPUTED_VALUE"""),29.08)</f>
        <v>29.08</v>
      </c>
      <c r="J528" s="70" t="str">
        <f ca="1">IFERROR(__xludf.DUMMYFUNCTION("""COMPUTED_VALUE"""),"Goto link: XPEV")</f>
        <v>Goto link: XPEV</v>
      </c>
      <c r="K528" s="19"/>
      <c r="L528" s="19"/>
      <c r="M528" s="19"/>
      <c r="N528" s="19"/>
      <c r="O528" s="59"/>
      <c r="P528" s="7"/>
      <c r="Q528" s="55"/>
      <c r="R528" s="55"/>
      <c r="S528" s="7"/>
      <c r="T528" s="55"/>
      <c r="U528" s="7"/>
      <c r="V528" s="55"/>
      <c r="W528" s="60"/>
      <c r="X528" s="55"/>
    </row>
    <row r="529" spans="1:24" ht="13" x14ac:dyDescent="0.15">
      <c r="A529" s="25" t="str">
        <f ca="1">IFERROR(__xludf.DUMMYFUNCTION("""COMPUTED_VALUE"""),"76369")</f>
        <v>76369</v>
      </c>
      <c r="B529" s="69">
        <f ca="1">IFERROR(__xludf.DUMMYFUNCTION("""COMPUTED_VALUE"""),44613)</f>
        <v>44613</v>
      </c>
      <c r="C529" s="69" t="str">
        <f ca="1">IFERROR(__xludf.DUMMYFUNCTION("""COMPUTED_VALUE"""),"Stock")</f>
        <v>Stock</v>
      </c>
      <c r="D529" s="71" t="str">
        <f ca="1">IFERROR(__xludf.DUMMYFUNCTION("""COMPUTED_VALUE"""),"1498.HK")</f>
        <v>1498.HK</v>
      </c>
      <c r="E529" s="5" t="str">
        <f ca="1">IFERROR(__xludf.DUMMYFUNCTION("""COMPUTED_VALUE"""),"HKD")</f>
        <v>HKD</v>
      </c>
      <c r="F529" s="55">
        <f ca="1">IFERROR(__xludf.DUMMYFUNCTION("""COMPUTED_VALUE"""),1000)</f>
        <v>1000</v>
      </c>
      <c r="G529" s="56">
        <f ca="1">IFERROR(__xludf.DUMMYFUNCTION("""COMPUTED_VALUE"""),1)</f>
        <v>1</v>
      </c>
      <c r="H529" s="57">
        <f ca="1">IFERROR(__xludf.DUMMYFUNCTION("""COMPUTED_VALUE"""),0.98)</f>
        <v>0.98</v>
      </c>
      <c r="I529" s="57">
        <f ca="1">IFERROR(__xludf.DUMMYFUNCTION("""COMPUTED_VALUE"""),1)</f>
        <v>1</v>
      </c>
      <c r="J529" s="70" t="str">
        <f ca="1">IFERROR(__xludf.DUMMYFUNCTION("""COMPUTED_VALUE"""),"Goto link: 1498.HK")</f>
        <v>Goto link: 1498.HK</v>
      </c>
      <c r="K529" s="19"/>
      <c r="L529" s="19"/>
      <c r="M529" s="19"/>
      <c r="N529" s="19"/>
      <c r="O529" s="59"/>
      <c r="P529" s="7"/>
      <c r="Q529" s="55"/>
      <c r="R529" s="55"/>
      <c r="S529" s="7"/>
      <c r="T529" s="55"/>
      <c r="U529" s="7"/>
      <c r="V529" s="55"/>
      <c r="W529" s="60"/>
      <c r="X529" s="55"/>
    </row>
    <row r="530" spans="1:24" ht="13" x14ac:dyDescent="0.15">
      <c r="A530" s="25" t="str">
        <f ca="1">IFERROR(__xludf.DUMMYFUNCTION("""COMPUTED_VALUE"""),"76369")</f>
        <v>76369</v>
      </c>
      <c r="B530" s="69">
        <f ca="1">IFERROR(__xludf.DUMMYFUNCTION("""COMPUTED_VALUE"""),44616)</f>
        <v>44616</v>
      </c>
      <c r="C530" s="69" t="str">
        <f ca="1">IFERROR(__xludf.DUMMYFUNCTION("""COMPUTED_VALUE"""),"Stock")</f>
        <v>Stock</v>
      </c>
      <c r="D530" s="71" t="str">
        <f ca="1">IFERROR(__xludf.DUMMYFUNCTION("""COMPUTED_VALUE"""),"000554.SZ")</f>
        <v>000554.SZ</v>
      </c>
      <c r="E530" s="5" t="str">
        <f ca="1">IFERROR(__xludf.DUMMYFUNCTION("""COMPUTED_VALUE"""),"CNY")</f>
        <v>CNY</v>
      </c>
      <c r="F530" s="55">
        <f ca="1">IFERROR(__xludf.DUMMYFUNCTION("""COMPUTED_VALUE"""),1000)</f>
        <v>1000</v>
      </c>
      <c r="G530" s="56">
        <f ca="1">IFERROR(__xludf.DUMMYFUNCTION("""COMPUTED_VALUE"""),1.23383096296296)</f>
        <v>1.23383096296296</v>
      </c>
      <c r="H530" s="57">
        <f ca="1">IFERROR(__xludf.DUMMYFUNCTION("""COMPUTED_VALUE"""),6.42)</f>
        <v>6.42</v>
      </c>
      <c r="I530" s="57">
        <f ca="1">IFERROR(__xludf.DUMMYFUNCTION("""COMPUTED_VALUE"""),5.53)</f>
        <v>5.53</v>
      </c>
      <c r="J530" s="70" t="str">
        <f ca="1">IFERROR(__xludf.DUMMYFUNCTION("""COMPUTED_VALUE"""),"Goto link: 000554.SZ")</f>
        <v>Goto link: 000554.SZ</v>
      </c>
      <c r="K530" s="19"/>
      <c r="L530" s="19"/>
      <c r="M530" s="19"/>
      <c r="N530" s="19"/>
      <c r="O530" s="59"/>
      <c r="P530" s="7"/>
      <c r="Q530" s="55"/>
      <c r="R530" s="55"/>
      <c r="S530" s="7"/>
      <c r="T530" s="55"/>
      <c r="U530" s="7"/>
      <c r="V530" s="55"/>
      <c r="W530" s="60"/>
      <c r="X530" s="55"/>
    </row>
    <row r="531" spans="1:24" ht="13" x14ac:dyDescent="0.15">
      <c r="A531" s="25" t="str">
        <f ca="1">IFERROR(__xludf.DUMMYFUNCTION("""COMPUTED_VALUE"""),"76369")</f>
        <v>76369</v>
      </c>
      <c r="B531" s="69">
        <f ca="1">IFERROR(__xludf.DUMMYFUNCTION("""COMPUTED_VALUE"""),44616)</f>
        <v>44616</v>
      </c>
      <c r="C531" s="69" t="str">
        <f ca="1">IFERROR(__xludf.DUMMYFUNCTION("""COMPUTED_VALUE"""),"Stock")</f>
        <v>Stock</v>
      </c>
      <c r="D531" s="71" t="str">
        <f ca="1">IFERROR(__xludf.DUMMYFUNCTION("""COMPUTED_VALUE"""),"002665.SZ")</f>
        <v>002665.SZ</v>
      </c>
      <c r="E531" s="5" t="str">
        <f ca="1">IFERROR(__xludf.DUMMYFUNCTION("""COMPUTED_VALUE"""),"CNY")</f>
        <v>CNY</v>
      </c>
      <c r="F531" s="55">
        <f ca="1">IFERROR(__xludf.DUMMYFUNCTION("""COMPUTED_VALUE"""),1000)</f>
        <v>1000</v>
      </c>
      <c r="G531" s="56">
        <f ca="1">IFERROR(__xludf.DUMMYFUNCTION("""COMPUTED_VALUE"""),1.23383096296296)</f>
        <v>1.23383096296296</v>
      </c>
      <c r="H531" s="57">
        <f ca="1">IFERROR(__xludf.DUMMYFUNCTION("""COMPUTED_VALUE"""),3.98)</f>
        <v>3.98</v>
      </c>
      <c r="I531" s="57">
        <f ca="1">IFERROR(__xludf.DUMMYFUNCTION("""COMPUTED_VALUE"""),4)</f>
        <v>4</v>
      </c>
      <c r="J531" s="70" t="str">
        <f ca="1">IFERROR(__xludf.DUMMYFUNCTION("""COMPUTED_VALUE"""),"Goto link: 002665.SZ")</f>
        <v>Goto link: 002665.SZ</v>
      </c>
      <c r="K531" s="19"/>
      <c r="L531" s="19"/>
      <c r="M531" s="19"/>
      <c r="N531" s="19"/>
      <c r="O531" s="59"/>
      <c r="P531" s="7"/>
      <c r="Q531" s="55"/>
      <c r="R531" s="55"/>
      <c r="S531" s="7"/>
      <c r="T531" s="55"/>
      <c r="U531" s="7"/>
      <c r="V531" s="55"/>
      <c r="W531" s="60"/>
      <c r="X531" s="55"/>
    </row>
    <row r="532" spans="1:24" ht="13" x14ac:dyDescent="0.15">
      <c r="A532" s="25" t="str">
        <f ca="1">IFERROR(__xludf.DUMMYFUNCTION("""COMPUTED_VALUE"""),"76369")</f>
        <v>76369</v>
      </c>
      <c r="B532" s="69">
        <f ca="1">IFERROR(__xludf.DUMMYFUNCTION("""COMPUTED_VALUE"""),44616)</f>
        <v>44616</v>
      </c>
      <c r="C532" s="69" t="str">
        <f ca="1">IFERROR(__xludf.DUMMYFUNCTION("""COMPUTED_VALUE"""),"Stock")</f>
        <v>Stock</v>
      </c>
      <c r="D532" s="71" t="str">
        <f ca="1">IFERROR(__xludf.DUMMYFUNCTION("""COMPUTED_VALUE"""),"300922.SZ")</f>
        <v>300922.SZ</v>
      </c>
      <c r="E532" s="5" t="str">
        <f ca="1">IFERROR(__xludf.DUMMYFUNCTION("""COMPUTED_VALUE"""),"CNY")</f>
        <v>CNY</v>
      </c>
      <c r="F532" s="55">
        <f ca="1">IFERROR(__xludf.DUMMYFUNCTION("""COMPUTED_VALUE"""),500)</f>
        <v>500</v>
      </c>
      <c r="G532" s="56">
        <f ca="1">IFERROR(__xludf.DUMMYFUNCTION("""COMPUTED_VALUE"""),1.23383096296296)</f>
        <v>1.23383096296296</v>
      </c>
      <c r="H532" s="57">
        <f ca="1">IFERROR(__xludf.DUMMYFUNCTION("""COMPUTED_VALUE"""),38.29)</f>
        <v>38.29</v>
      </c>
      <c r="I532" s="57">
        <f ca="1">IFERROR(__xludf.DUMMYFUNCTION("""COMPUTED_VALUE"""),30.4)</f>
        <v>30.4</v>
      </c>
      <c r="J532" s="70" t="str">
        <f ca="1">IFERROR(__xludf.DUMMYFUNCTION("""COMPUTED_VALUE"""),"Goto link: 300922.SZ")</f>
        <v>Goto link: 300922.SZ</v>
      </c>
      <c r="K532" s="19"/>
      <c r="L532" s="19"/>
      <c r="M532" s="19"/>
      <c r="N532" s="19"/>
      <c r="O532" s="59"/>
      <c r="P532" s="7"/>
      <c r="Q532" s="55"/>
      <c r="R532" s="55"/>
      <c r="S532" s="7"/>
      <c r="T532" s="55"/>
      <c r="U532" s="7"/>
      <c r="V532" s="55"/>
      <c r="W532" s="60"/>
      <c r="X532" s="55"/>
    </row>
    <row r="533" spans="1:24" ht="13" x14ac:dyDescent="0.15">
      <c r="A533" s="25" t="str">
        <f ca="1">IFERROR(__xludf.DUMMYFUNCTION("""COMPUTED_VALUE"""),"76369")</f>
        <v>76369</v>
      </c>
      <c r="B533" s="69">
        <f ca="1">IFERROR(__xludf.DUMMYFUNCTION("""COMPUTED_VALUE"""),44616)</f>
        <v>44616</v>
      </c>
      <c r="C533" s="69" t="str">
        <f ca="1">IFERROR(__xludf.DUMMYFUNCTION("""COMPUTED_VALUE"""),"Stock")</f>
        <v>Stock</v>
      </c>
      <c r="D533" s="71" t="str">
        <f ca="1">IFERROR(__xludf.DUMMYFUNCTION("""COMPUTED_VALUE"""),"300922.SZ")</f>
        <v>300922.SZ</v>
      </c>
      <c r="E533" s="5" t="str">
        <f ca="1">IFERROR(__xludf.DUMMYFUNCTION("""COMPUTED_VALUE"""),"CNY")</f>
        <v>CNY</v>
      </c>
      <c r="F533" s="55">
        <f ca="1">IFERROR(__xludf.DUMMYFUNCTION("""COMPUTED_VALUE"""),1000)</f>
        <v>1000</v>
      </c>
      <c r="G533" s="56">
        <f ca="1">IFERROR(__xludf.DUMMYFUNCTION("""COMPUTED_VALUE"""),1.23383096296296)</f>
        <v>1.23383096296296</v>
      </c>
      <c r="H533" s="57">
        <f ca="1">IFERROR(__xludf.DUMMYFUNCTION("""COMPUTED_VALUE"""),38.29)</f>
        <v>38.29</v>
      </c>
      <c r="I533" s="57">
        <f ca="1">IFERROR(__xludf.DUMMYFUNCTION("""COMPUTED_VALUE"""),30.4)</f>
        <v>30.4</v>
      </c>
      <c r="J533" s="70" t="str">
        <f ca="1">IFERROR(__xludf.DUMMYFUNCTION("""COMPUTED_VALUE"""),"Goto link: 300922.SZ")</f>
        <v>Goto link: 300922.SZ</v>
      </c>
      <c r="K533" s="19"/>
      <c r="L533" s="19"/>
      <c r="M533" s="19"/>
      <c r="N533" s="19"/>
      <c r="O533" s="59"/>
      <c r="P533" s="7"/>
      <c r="Q533" s="55"/>
      <c r="R533" s="55"/>
      <c r="S533" s="7"/>
      <c r="T533" s="55"/>
      <c r="U533" s="7"/>
      <c r="V533" s="55"/>
      <c r="W533" s="60"/>
      <c r="X533" s="55"/>
    </row>
    <row r="534" spans="1:24" ht="13" x14ac:dyDescent="0.15">
      <c r="A534" s="25" t="str">
        <f ca="1">IFERROR(__xludf.DUMMYFUNCTION("""COMPUTED_VALUE"""),"76369")</f>
        <v>76369</v>
      </c>
      <c r="B534" s="69">
        <f ca="1">IFERROR(__xludf.DUMMYFUNCTION("""COMPUTED_VALUE"""),44616)</f>
        <v>44616</v>
      </c>
      <c r="C534" s="69" t="str">
        <f ca="1">IFERROR(__xludf.DUMMYFUNCTION("""COMPUTED_VALUE"""),"Stock")</f>
        <v>Stock</v>
      </c>
      <c r="D534" s="71" t="str">
        <f ca="1">IFERROR(__xludf.DUMMYFUNCTION("""COMPUTED_VALUE"""),"300945.SZ")</f>
        <v>300945.SZ</v>
      </c>
      <c r="E534" s="5" t="str">
        <f ca="1">IFERROR(__xludf.DUMMYFUNCTION("""COMPUTED_VALUE"""),"CNY")</f>
        <v>CNY</v>
      </c>
      <c r="F534" s="55">
        <f ca="1">IFERROR(__xludf.DUMMYFUNCTION("""COMPUTED_VALUE"""),1000)</f>
        <v>1000</v>
      </c>
      <c r="G534" s="56">
        <f ca="1">IFERROR(__xludf.DUMMYFUNCTION("""COMPUTED_VALUE"""),1.23383096296296)</f>
        <v>1.23383096296296</v>
      </c>
      <c r="H534" s="57">
        <f ca="1">IFERROR(__xludf.DUMMYFUNCTION("""COMPUTED_VALUE"""),23.93)</f>
        <v>23.93</v>
      </c>
      <c r="I534" s="57">
        <f ca="1">IFERROR(__xludf.DUMMYFUNCTION("""COMPUTED_VALUE"""),18.26)</f>
        <v>18.260000000000002</v>
      </c>
      <c r="J534" s="70" t="str">
        <f ca="1">IFERROR(__xludf.DUMMYFUNCTION("""COMPUTED_VALUE"""),"Goto link: 300945.SZ")</f>
        <v>Goto link: 300945.SZ</v>
      </c>
      <c r="K534" s="19"/>
      <c r="L534" s="19"/>
      <c r="M534" s="19"/>
      <c r="N534" s="19"/>
      <c r="O534" s="59"/>
      <c r="P534" s="7"/>
      <c r="Q534" s="55"/>
      <c r="R534" s="55"/>
      <c r="S534" s="7"/>
      <c r="T534" s="55"/>
      <c r="U534" s="7"/>
      <c r="V534" s="55"/>
      <c r="W534" s="60"/>
      <c r="X534" s="55"/>
    </row>
    <row r="535" spans="1:24" ht="13" x14ac:dyDescent="0.15">
      <c r="A535" s="25" t="str">
        <f ca="1">IFERROR(__xludf.DUMMYFUNCTION("""COMPUTED_VALUE"""),"76369")</f>
        <v>76369</v>
      </c>
      <c r="B535" s="69">
        <f ca="1">IFERROR(__xludf.DUMMYFUNCTION("""COMPUTED_VALUE"""),44616)</f>
        <v>44616</v>
      </c>
      <c r="C535" s="69" t="str">
        <f ca="1">IFERROR(__xludf.DUMMYFUNCTION("""COMPUTED_VALUE"""),"Stock")</f>
        <v>Stock</v>
      </c>
      <c r="D535" s="71" t="str">
        <f ca="1">IFERROR(__xludf.DUMMYFUNCTION("""COMPUTED_VALUE"""),"601808.SS")</f>
        <v>601808.SS</v>
      </c>
      <c r="E535" s="5" t="str">
        <f ca="1">IFERROR(__xludf.DUMMYFUNCTION("""COMPUTED_VALUE"""),"CNY")</f>
        <v>CNY</v>
      </c>
      <c r="F535" s="55">
        <f ca="1">IFERROR(__xludf.DUMMYFUNCTION("""COMPUTED_VALUE"""),1000)</f>
        <v>1000</v>
      </c>
      <c r="G535" s="56">
        <f ca="1">IFERROR(__xludf.DUMMYFUNCTION("""COMPUTED_VALUE"""),1.23383096296296)</f>
        <v>1.23383096296296</v>
      </c>
      <c r="H535" s="57">
        <f ca="1">IFERROR(__xludf.DUMMYFUNCTION("""COMPUTED_VALUE"""),16.71)</f>
        <v>16.71</v>
      </c>
      <c r="I535" s="57">
        <f ca="1">IFERROR(__xludf.DUMMYFUNCTION("""COMPUTED_VALUE"""),13.85)</f>
        <v>13.85</v>
      </c>
      <c r="J535" s="70" t="str">
        <f ca="1">IFERROR(__xludf.DUMMYFUNCTION("""COMPUTED_VALUE"""),"Goto link: 601808.SS")</f>
        <v>Goto link: 601808.SS</v>
      </c>
      <c r="K535" s="19"/>
      <c r="L535" s="19"/>
      <c r="M535" s="19"/>
      <c r="N535" s="19"/>
      <c r="O535" s="59"/>
      <c r="P535" s="7"/>
      <c r="Q535" s="55"/>
      <c r="R535" s="55"/>
      <c r="S535" s="7"/>
      <c r="T535" s="55"/>
      <c r="U535" s="7"/>
      <c r="V535" s="55"/>
      <c r="W535" s="60"/>
      <c r="X535" s="55"/>
    </row>
    <row r="536" spans="1:24" ht="13" x14ac:dyDescent="0.15">
      <c r="A536" s="25" t="str">
        <f ca="1">IFERROR(__xludf.DUMMYFUNCTION("""COMPUTED_VALUE"""),"76369")</f>
        <v>76369</v>
      </c>
      <c r="B536" s="69">
        <f ca="1">IFERROR(__xludf.DUMMYFUNCTION("""COMPUTED_VALUE"""),44617)</f>
        <v>44617</v>
      </c>
      <c r="C536" s="69" t="str">
        <f ca="1">IFERROR(__xludf.DUMMYFUNCTION("""COMPUTED_VALUE"""),"Stock")</f>
        <v>Stock</v>
      </c>
      <c r="D536" s="71" t="str">
        <f ca="1">IFERROR(__xludf.DUMMYFUNCTION("""COMPUTED_VALUE"""),"000554.SZ")</f>
        <v>000554.SZ</v>
      </c>
      <c r="E536" s="5" t="str">
        <f ca="1">IFERROR(__xludf.DUMMYFUNCTION("""COMPUTED_VALUE"""),"CNY")</f>
        <v>CNY</v>
      </c>
      <c r="F536" s="55">
        <f ca="1">IFERROR(__xludf.DUMMYFUNCTION("""COMPUTED_VALUE"""),-1000)</f>
        <v>-1000</v>
      </c>
      <c r="G536" s="56">
        <f ca="1">IFERROR(__xludf.DUMMYFUNCTION("""COMPUTED_VALUE"""),1.23384376923076)</f>
        <v>1.23384376923076</v>
      </c>
      <c r="H536" s="57">
        <f ca="1">IFERROR(__xludf.DUMMYFUNCTION("""COMPUTED_VALUE"""),6.23)</f>
        <v>6.23</v>
      </c>
      <c r="I536" s="57">
        <f ca="1">IFERROR(__xludf.DUMMYFUNCTION("""COMPUTED_VALUE"""),5.53)</f>
        <v>5.53</v>
      </c>
      <c r="J536" s="70" t="str">
        <f ca="1">IFERROR(__xludf.DUMMYFUNCTION("""COMPUTED_VALUE"""),"Goto link: 000554.SZ")</f>
        <v>Goto link: 000554.SZ</v>
      </c>
      <c r="K536" s="19"/>
      <c r="L536" s="19"/>
      <c r="M536" s="19"/>
      <c r="N536" s="19"/>
      <c r="O536" s="59"/>
      <c r="P536" s="7"/>
      <c r="Q536" s="55"/>
      <c r="R536" s="55"/>
      <c r="S536" s="7"/>
      <c r="T536" s="55"/>
      <c r="U536" s="7"/>
      <c r="V536" s="55"/>
      <c r="W536" s="60"/>
      <c r="X536" s="55"/>
    </row>
    <row r="537" spans="1:24" ht="13" x14ac:dyDescent="0.15">
      <c r="A537" s="25" t="str">
        <f ca="1">IFERROR(__xludf.DUMMYFUNCTION("""COMPUTED_VALUE"""),"76369")</f>
        <v>76369</v>
      </c>
      <c r="B537" s="69">
        <f ca="1">IFERROR(__xludf.DUMMYFUNCTION("""COMPUTED_VALUE"""),44617)</f>
        <v>44617</v>
      </c>
      <c r="C537" s="69" t="str">
        <f ca="1">IFERROR(__xludf.DUMMYFUNCTION("""COMPUTED_VALUE"""),"Stock")</f>
        <v>Stock</v>
      </c>
      <c r="D537" s="71" t="str">
        <f ca="1">IFERROR(__xludf.DUMMYFUNCTION("""COMPUTED_VALUE"""),"300922.SZ")</f>
        <v>300922.SZ</v>
      </c>
      <c r="E537" s="5" t="str">
        <f ca="1">IFERROR(__xludf.DUMMYFUNCTION("""COMPUTED_VALUE"""),"CNY")</f>
        <v>CNY</v>
      </c>
      <c r="F537" s="55">
        <f ca="1">IFERROR(__xludf.DUMMYFUNCTION("""COMPUTED_VALUE"""),-1000)</f>
        <v>-1000</v>
      </c>
      <c r="G537" s="56">
        <f ca="1">IFERROR(__xludf.DUMMYFUNCTION("""COMPUTED_VALUE"""),1.23384376923076)</f>
        <v>1.23384376923076</v>
      </c>
      <c r="H537" s="57">
        <f ca="1">IFERROR(__xludf.DUMMYFUNCTION("""COMPUTED_VALUE"""),36.83)</f>
        <v>36.83</v>
      </c>
      <c r="I537" s="57">
        <f ca="1">IFERROR(__xludf.DUMMYFUNCTION("""COMPUTED_VALUE"""),30.4)</f>
        <v>30.4</v>
      </c>
      <c r="J537" s="70" t="str">
        <f ca="1">IFERROR(__xludf.DUMMYFUNCTION("""COMPUTED_VALUE"""),"Goto link: 300922.SZ")</f>
        <v>Goto link: 300922.SZ</v>
      </c>
      <c r="K537" s="19"/>
      <c r="L537" s="19"/>
      <c r="M537" s="19"/>
      <c r="N537" s="19"/>
      <c r="O537" s="59"/>
      <c r="P537" s="7"/>
      <c r="Q537" s="55"/>
      <c r="R537" s="55"/>
      <c r="S537" s="7"/>
      <c r="T537" s="55"/>
      <c r="U537" s="7"/>
      <c r="V537" s="55"/>
      <c r="W537" s="60"/>
      <c r="X537" s="55"/>
    </row>
    <row r="538" spans="1:24" ht="13" x14ac:dyDescent="0.15">
      <c r="A538" s="25" t="str">
        <f ca="1">IFERROR(__xludf.DUMMYFUNCTION("""COMPUTED_VALUE"""),"76369")</f>
        <v>76369</v>
      </c>
      <c r="B538" s="69">
        <f ca="1">IFERROR(__xludf.DUMMYFUNCTION("""COMPUTED_VALUE"""),44617)</f>
        <v>44617</v>
      </c>
      <c r="C538" s="69" t="str">
        <f ca="1">IFERROR(__xludf.DUMMYFUNCTION("""COMPUTED_VALUE"""),"Stock")</f>
        <v>Stock</v>
      </c>
      <c r="D538" s="71" t="str">
        <f ca="1">IFERROR(__xludf.DUMMYFUNCTION("""COMPUTED_VALUE"""),"300922.SZ")</f>
        <v>300922.SZ</v>
      </c>
      <c r="E538" s="5" t="str">
        <f ca="1">IFERROR(__xludf.DUMMYFUNCTION("""COMPUTED_VALUE"""),"CNY")</f>
        <v>CNY</v>
      </c>
      <c r="F538" s="55">
        <f ca="1">IFERROR(__xludf.DUMMYFUNCTION("""COMPUTED_VALUE"""),-500)</f>
        <v>-500</v>
      </c>
      <c r="G538" s="56">
        <f ca="1">IFERROR(__xludf.DUMMYFUNCTION("""COMPUTED_VALUE"""),1.23384376923076)</f>
        <v>1.23384376923076</v>
      </c>
      <c r="H538" s="57">
        <f ca="1">IFERROR(__xludf.DUMMYFUNCTION("""COMPUTED_VALUE"""),36.83)</f>
        <v>36.83</v>
      </c>
      <c r="I538" s="57">
        <f ca="1">IFERROR(__xludf.DUMMYFUNCTION("""COMPUTED_VALUE"""),30.4)</f>
        <v>30.4</v>
      </c>
      <c r="J538" s="70" t="str">
        <f ca="1">IFERROR(__xludf.DUMMYFUNCTION("""COMPUTED_VALUE"""),"Goto link: 300922.SZ")</f>
        <v>Goto link: 300922.SZ</v>
      </c>
      <c r="K538" s="19"/>
      <c r="L538" s="19"/>
      <c r="M538" s="19"/>
      <c r="N538" s="19"/>
      <c r="O538" s="59"/>
      <c r="P538" s="7"/>
      <c r="Q538" s="55"/>
      <c r="R538" s="55"/>
      <c r="S538" s="7"/>
      <c r="T538" s="55"/>
      <c r="U538" s="7"/>
      <c r="V538" s="55"/>
      <c r="W538" s="60"/>
      <c r="X538" s="55"/>
    </row>
    <row r="539" spans="1:24" ht="13" x14ac:dyDescent="0.15">
      <c r="A539" s="25" t="str">
        <f ca="1">IFERROR(__xludf.DUMMYFUNCTION("""COMPUTED_VALUE"""),"76369")</f>
        <v>76369</v>
      </c>
      <c r="B539" s="69">
        <f ca="1">IFERROR(__xludf.DUMMYFUNCTION("""COMPUTED_VALUE"""),44617)</f>
        <v>44617</v>
      </c>
      <c r="C539" s="69" t="str">
        <f ca="1">IFERROR(__xludf.DUMMYFUNCTION("""COMPUTED_VALUE"""),"Stock")</f>
        <v>Stock</v>
      </c>
      <c r="D539" s="71" t="str">
        <f ca="1">IFERROR(__xludf.DUMMYFUNCTION("""COMPUTED_VALUE"""),"300945.SZ")</f>
        <v>300945.SZ</v>
      </c>
      <c r="E539" s="5" t="str">
        <f ca="1">IFERROR(__xludf.DUMMYFUNCTION("""COMPUTED_VALUE"""),"CNY")</f>
        <v>CNY</v>
      </c>
      <c r="F539" s="55">
        <f ca="1">IFERROR(__xludf.DUMMYFUNCTION("""COMPUTED_VALUE"""),-1000)</f>
        <v>-1000</v>
      </c>
      <c r="G539" s="56">
        <f ca="1">IFERROR(__xludf.DUMMYFUNCTION("""COMPUTED_VALUE"""),1.23384376923076)</f>
        <v>1.23384376923076</v>
      </c>
      <c r="H539" s="57">
        <f ca="1">IFERROR(__xludf.DUMMYFUNCTION("""COMPUTED_VALUE"""),22.61)</f>
        <v>22.61</v>
      </c>
      <c r="I539" s="57">
        <f ca="1">IFERROR(__xludf.DUMMYFUNCTION("""COMPUTED_VALUE"""),18.26)</f>
        <v>18.260000000000002</v>
      </c>
      <c r="J539" s="70" t="str">
        <f ca="1">IFERROR(__xludf.DUMMYFUNCTION("""COMPUTED_VALUE"""),"Goto link: 300945.SZ")</f>
        <v>Goto link: 300945.SZ</v>
      </c>
      <c r="K539" s="19"/>
      <c r="L539" s="19"/>
      <c r="M539" s="19"/>
      <c r="N539" s="19"/>
      <c r="O539" s="59"/>
      <c r="P539" s="7"/>
      <c r="Q539" s="55"/>
      <c r="R539" s="55"/>
      <c r="S539" s="7"/>
      <c r="T539" s="55"/>
      <c r="U539" s="7"/>
      <c r="V539" s="55"/>
      <c r="W539" s="60"/>
      <c r="X539" s="55"/>
    </row>
    <row r="540" spans="1:24" ht="13" x14ac:dyDescent="0.15">
      <c r="A540" s="25" t="str">
        <f ca="1">IFERROR(__xludf.DUMMYFUNCTION("""COMPUTED_VALUE"""),"76369")</f>
        <v>76369</v>
      </c>
      <c r="B540" s="69">
        <f ca="1">IFERROR(__xludf.DUMMYFUNCTION("""COMPUTED_VALUE"""),44617)</f>
        <v>44617</v>
      </c>
      <c r="C540" s="69" t="str">
        <f ca="1">IFERROR(__xludf.DUMMYFUNCTION("""COMPUTED_VALUE"""),"Stock")</f>
        <v>Stock</v>
      </c>
      <c r="D540" s="71" t="str">
        <f ca="1">IFERROR(__xludf.DUMMYFUNCTION("""COMPUTED_VALUE"""),"601808.SS")</f>
        <v>601808.SS</v>
      </c>
      <c r="E540" s="5" t="str">
        <f ca="1">IFERROR(__xludf.DUMMYFUNCTION("""COMPUTED_VALUE"""),"CNY")</f>
        <v>CNY</v>
      </c>
      <c r="F540" s="55">
        <f ca="1">IFERROR(__xludf.DUMMYFUNCTION("""COMPUTED_VALUE"""),-1000)</f>
        <v>-1000</v>
      </c>
      <c r="G540" s="56">
        <f ca="1">IFERROR(__xludf.DUMMYFUNCTION("""COMPUTED_VALUE"""),1.23384376923076)</f>
        <v>1.23384376923076</v>
      </c>
      <c r="H540" s="57">
        <f ca="1">IFERROR(__xludf.DUMMYFUNCTION("""COMPUTED_VALUE"""),16.49)</f>
        <v>16.489999999999998</v>
      </c>
      <c r="I540" s="57">
        <f ca="1">IFERROR(__xludf.DUMMYFUNCTION("""COMPUTED_VALUE"""),13.85)</f>
        <v>13.85</v>
      </c>
      <c r="J540" s="70" t="str">
        <f ca="1">IFERROR(__xludf.DUMMYFUNCTION("""COMPUTED_VALUE"""),"Goto link: 601808.SS")</f>
        <v>Goto link: 601808.SS</v>
      </c>
      <c r="K540" s="19"/>
      <c r="L540" s="19"/>
      <c r="M540" s="19"/>
      <c r="N540" s="19"/>
      <c r="O540" s="59"/>
      <c r="P540" s="7"/>
      <c r="Q540" s="55"/>
      <c r="R540" s="55"/>
      <c r="S540" s="7"/>
      <c r="T540" s="55"/>
      <c r="U540" s="7"/>
      <c r="V540" s="55"/>
      <c r="W540" s="60"/>
      <c r="X540" s="55"/>
    </row>
    <row r="541" spans="1:24" ht="13" x14ac:dyDescent="0.15">
      <c r="A541" s="25" t="str">
        <f ca="1">IFERROR(__xludf.DUMMYFUNCTION("""COMPUTED_VALUE"""),"76369")</f>
        <v>76369</v>
      </c>
      <c r="B541" s="69">
        <f ca="1">IFERROR(__xludf.DUMMYFUNCTION("""COMPUTED_VALUE"""),44617)</f>
        <v>44617</v>
      </c>
      <c r="C541" s="69" t="str">
        <f ca="1">IFERROR(__xludf.DUMMYFUNCTION("""COMPUTED_VALUE"""),"Stock")</f>
        <v>Stock</v>
      </c>
      <c r="D541" s="71" t="str">
        <f ca="1">IFERROR(__xludf.DUMMYFUNCTION("""COMPUTED_VALUE"""),"603967.SS")</f>
        <v>603967.SS</v>
      </c>
      <c r="E541" s="5" t="str">
        <f ca="1">IFERROR(__xludf.DUMMYFUNCTION("""COMPUTED_VALUE"""),"CNY")</f>
        <v>CNY</v>
      </c>
      <c r="F541" s="55">
        <f ca="1">IFERROR(__xludf.DUMMYFUNCTION("""COMPUTED_VALUE"""),500)</f>
        <v>500</v>
      </c>
      <c r="G541" s="56">
        <f ca="1">IFERROR(__xludf.DUMMYFUNCTION("""COMPUTED_VALUE"""),1.23384376923076)</f>
        <v>1.23384376923076</v>
      </c>
      <c r="H541" s="57">
        <f ca="1">IFERROR(__xludf.DUMMYFUNCTION("""COMPUTED_VALUE"""),12.95)</f>
        <v>12.95</v>
      </c>
      <c r="I541" s="57">
        <f ca="1">IFERROR(__xludf.DUMMYFUNCTION("""COMPUTED_VALUE"""),12.23)</f>
        <v>12.23</v>
      </c>
      <c r="J541" s="70" t="str">
        <f ca="1">IFERROR(__xludf.DUMMYFUNCTION("""COMPUTED_VALUE"""),"Goto link: 603967.SS")</f>
        <v>Goto link: 603967.SS</v>
      </c>
      <c r="K541" s="19"/>
      <c r="L541" s="19"/>
      <c r="M541" s="19"/>
      <c r="N541" s="19"/>
      <c r="O541" s="59"/>
      <c r="P541" s="7"/>
      <c r="Q541" s="55"/>
      <c r="R541" s="55"/>
      <c r="S541" s="7"/>
      <c r="T541" s="55"/>
      <c r="U541" s="7"/>
      <c r="V541" s="55"/>
      <c r="W541" s="60"/>
      <c r="X541" s="55"/>
    </row>
    <row r="542" spans="1:24" ht="13" x14ac:dyDescent="0.15">
      <c r="A542" s="25" t="str">
        <f ca="1">IFERROR(__xludf.DUMMYFUNCTION("""COMPUTED_VALUE"""),"76369")</f>
        <v>76369</v>
      </c>
      <c r="B542" s="69">
        <f ca="1">IFERROR(__xludf.DUMMYFUNCTION("""COMPUTED_VALUE"""),44620)</f>
        <v>44620</v>
      </c>
      <c r="C542" s="69" t="str">
        <f ca="1">IFERROR(__xludf.DUMMYFUNCTION("""COMPUTED_VALUE"""),"Stock")</f>
        <v>Stock</v>
      </c>
      <c r="D542" s="71" t="str">
        <f ca="1">IFERROR(__xludf.DUMMYFUNCTION("""COMPUTED_VALUE"""),"002665.SZ")</f>
        <v>002665.SZ</v>
      </c>
      <c r="E542" s="5" t="str">
        <f ca="1">IFERROR(__xludf.DUMMYFUNCTION("""COMPUTED_VALUE"""),"CNY")</f>
        <v>CNY</v>
      </c>
      <c r="F542" s="55">
        <f ca="1">IFERROR(__xludf.DUMMYFUNCTION("""COMPUTED_VALUE"""),-1000)</f>
        <v>-1000</v>
      </c>
      <c r="G542" s="56">
        <f ca="1">IFERROR(__xludf.DUMMYFUNCTION("""COMPUTED_VALUE"""),1.23348308695652)</f>
        <v>1.2334830869565201</v>
      </c>
      <c r="H542" s="57">
        <f ca="1">IFERROR(__xludf.DUMMYFUNCTION("""COMPUTED_VALUE"""),3.99)</f>
        <v>3.99</v>
      </c>
      <c r="I542" s="57">
        <f ca="1">IFERROR(__xludf.DUMMYFUNCTION("""COMPUTED_VALUE"""),4)</f>
        <v>4</v>
      </c>
      <c r="J542" s="70" t="str">
        <f ca="1">IFERROR(__xludf.DUMMYFUNCTION("""COMPUTED_VALUE"""),"Goto link: 002665.SZ")</f>
        <v>Goto link: 002665.SZ</v>
      </c>
      <c r="K542" s="19"/>
      <c r="L542" s="19"/>
      <c r="M542" s="19"/>
      <c r="N542" s="19"/>
      <c r="O542" s="59"/>
      <c r="P542" s="7"/>
      <c r="Q542" s="55"/>
      <c r="R542" s="55"/>
      <c r="S542" s="7"/>
      <c r="T542" s="55"/>
      <c r="U542" s="7"/>
      <c r="V542" s="55"/>
      <c r="W542" s="60"/>
      <c r="X542" s="55"/>
    </row>
    <row r="543" spans="1:24" ht="13" x14ac:dyDescent="0.15">
      <c r="A543" s="25" t="str">
        <f ca="1">IFERROR(__xludf.DUMMYFUNCTION("""COMPUTED_VALUE"""),"76369")</f>
        <v>76369</v>
      </c>
      <c r="B543" s="69">
        <f ca="1">IFERROR(__xludf.DUMMYFUNCTION("""COMPUTED_VALUE"""),44620)</f>
        <v>44620</v>
      </c>
      <c r="C543" s="69" t="str">
        <f ca="1">IFERROR(__xludf.DUMMYFUNCTION("""COMPUTED_VALUE"""),"Stock")</f>
        <v>Stock</v>
      </c>
      <c r="D543" s="71" t="str">
        <f ca="1">IFERROR(__xludf.DUMMYFUNCTION("""COMPUTED_VALUE"""),"603967.SS")</f>
        <v>603967.SS</v>
      </c>
      <c r="E543" s="5" t="str">
        <f ca="1">IFERROR(__xludf.DUMMYFUNCTION("""COMPUTED_VALUE"""),"CNY")</f>
        <v>CNY</v>
      </c>
      <c r="F543" s="55">
        <f ca="1">IFERROR(__xludf.DUMMYFUNCTION("""COMPUTED_VALUE"""),-500)</f>
        <v>-500</v>
      </c>
      <c r="G543" s="56">
        <f ca="1">IFERROR(__xludf.DUMMYFUNCTION("""COMPUTED_VALUE"""),1.23348308695652)</f>
        <v>1.2334830869565201</v>
      </c>
      <c r="H543" s="57">
        <f ca="1">IFERROR(__xludf.DUMMYFUNCTION("""COMPUTED_VALUE"""),12.73)</f>
        <v>12.73</v>
      </c>
      <c r="I543" s="57">
        <f ca="1">IFERROR(__xludf.DUMMYFUNCTION("""COMPUTED_VALUE"""),12.23)</f>
        <v>12.23</v>
      </c>
      <c r="J543" s="70" t="str">
        <f ca="1">IFERROR(__xludf.DUMMYFUNCTION("""COMPUTED_VALUE"""),"Goto link: 603967.SS")</f>
        <v>Goto link: 603967.SS</v>
      </c>
      <c r="K543" s="19"/>
      <c r="L543" s="19"/>
      <c r="M543" s="19"/>
      <c r="N543" s="19"/>
      <c r="O543" s="59"/>
      <c r="P543" s="7"/>
      <c r="Q543" s="55"/>
      <c r="R543" s="55"/>
      <c r="S543" s="7"/>
      <c r="T543" s="55"/>
      <c r="U543" s="7"/>
      <c r="V543" s="55"/>
      <c r="W543" s="60"/>
      <c r="X543" s="55"/>
    </row>
    <row r="544" spans="1:24" ht="13" x14ac:dyDescent="0.15">
      <c r="A544" s="25" t="str">
        <f ca="1">IFERROR(__xludf.DUMMYFUNCTION("""COMPUTED_VALUE"""),"76369")</f>
        <v>76369</v>
      </c>
      <c r="B544" s="69">
        <f ca="1">IFERROR(__xludf.DUMMYFUNCTION("""COMPUTED_VALUE"""),44627)</f>
        <v>44627</v>
      </c>
      <c r="C544" s="69" t="str">
        <f ca="1">IFERROR(__xludf.DUMMYFUNCTION("""COMPUTED_VALUE"""),"Stock")</f>
        <v>Stock</v>
      </c>
      <c r="D544" s="71" t="str">
        <f ca="1">IFERROR(__xludf.DUMMYFUNCTION("""COMPUTED_VALUE"""),"603963.SS")</f>
        <v>603963.SS</v>
      </c>
      <c r="E544" s="5" t="str">
        <f ca="1">IFERROR(__xludf.DUMMYFUNCTION("""COMPUTED_VALUE"""),"CNY")</f>
        <v>CNY</v>
      </c>
      <c r="F544" s="55">
        <f ca="1">IFERROR(__xludf.DUMMYFUNCTION("""COMPUTED_VALUE"""),1000)</f>
        <v>1000</v>
      </c>
      <c r="G544" s="56">
        <f ca="1">IFERROR(__xludf.DUMMYFUNCTION("""COMPUTED_VALUE"""),1.2332305)</f>
        <v>1.2332304999999999</v>
      </c>
      <c r="H544" s="57">
        <f ca="1">IFERROR(__xludf.DUMMYFUNCTION("""COMPUTED_VALUE"""),11.09)</f>
        <v>11.09</v>
      </c>
      <c r="I544" s="57">
        <f ca="1">IFERROR(__xludf.DUMMYFUNCTION("""COMPUTED_VALUE"""),11.36)</f>
        <v>11.36</v>
      </c>
      <c r="J544" s="70" t="str">
        <f ca="1">IFERROR(__xludf.DUMMYFUNCTION("""COMPUTED_VALUE"""),"Goto link: 603963.SS")</f>
        <v>Goto link: 603963.SS</v>
      </c>
      <c r="K544" s="19"/>
      <c r="L544" s="19"/>
      <c r="M544" s="19"/>
      <c r="N544" s="19"/>
      <c r="O544" s="59"/>
      <c r="P544" s="7"/>
      <c r="Q544" s="55"/>
      <c r="R544" s="55"/>
      <c r="S544" s="7"/>
      <c r="T544" s="55"/>
      <c r="U544" s="7"/>
      <c r="V544" s="55"/>
      <c r="W544" s="60"/>
      <c r="X544" s="55"/>
    </row>
    <row r="545" spans="1:24" ht="13" x14ac:dyDescent="0.15">
      <c r="A545" s="25" t="str">
        <f ca="1">IFERROR(__xludf.DUMMYFUNCTION("""COMPUTED_VALUE"""),"76369")</f>
        <v>76369</v>
      </c>
      <c r="B545" s="69">
        <f ca="1">IFERROR(__xludf.DUMMYFUNCTION("""COMPUTED_VALUE"""),44628)</f>
        <v>44628</v>
      </c>
      <c r="C545" s="69" t="str">
        <f ca="1">IFERROR(__xludf.DUMMYFUNCTION("""COMPUTED_VALUE"""),"Stock")</f>
        <v>Stock</v>
      </c>
      <c r="D545" s="71" t="str">
        <f ca="1">IFERROR(__xludf.DUMMYFUNCTION("""COMPUTED_VALUE"""),"603963.SS")</f>
        <v>603963.SS</v>
      </c>
      <c r="E545" s="5" t="str">
        <f ca="1">IFERROR(__xludf.DUMMYFUNCTION("""COMPUTED_VALUE"""),"CNY")</f>
        <v>CNY</v>
      </c>
      <c r="F545" s="55">
        <f ca="1">IFERROR(__xludf.DUMMYFUNCTION("""COMPUTED_VALUE"""),-900)</f>
        <v>-900</v>
      </c>
      <c r="G545" s="56">
        <f ca="1">IFERROR(__xludf.DUMMYFUNCTION("""COMPUTED_VALUE"""),1.2329622)</f>
        <v>1.2329622</v>
      </c>
      <c r="H545" s="57">
        <f ca="1">IFERROR(__xludf.DUMMYFUNCTION("""COMPUTED_VALUE"""),11.09)</f>
        <v>11.09</v>
      </c>
      <c r="I545" s="57">
        <f ca="1">IFERROR(__xludf.DUMMYFUNCTION("""COMPUTED_VALUE"""),11.36)</f>
        <v>11.36</v>
      </c>
      <c r="J545" s="70" t="str">
        <f ca="1">IFERROR(__xludf.DUMMYFUNCTION("""COMPUTED_VALUE"""),"Goto link: 603963.SS")</f>
        <v>Goto link: 603963.SS</v>
      </c>
      <c r="K545" s="19"/>
      <c r="L545" s="19"/>
      <c r="M545" s="19"/>
      <c r="N545" s="19"/>
      <c r="O545" s="59"/>
      <c r="P545" s="7"/>
      <c r="Q545" s="55"/>
      <c r="R545" s="55"/>
      <c r="S545" s="7"/>
      <c r="T545" s="55"/>
      <c r="U545" s="7"/>
      <c r="V545" s="55"/>
      <c r="W545" s="60"/>
      <c r="X545" s="55"/>
    </row>
    <row r="546" spans="1:24" ht="13" x14ac:dyDescent="0.15">
      <c r="A546" s="25" t="str">
        <f ca="1">IFERROR(__xludf.DUMMYFUNCTION("""COMPUTED_VALUE"""),"76369")</f>
        <v>76369</v>
      </c>
      <c r="B546" s="69">
        <f ca="1">IFERROR(__xludf.DUMMYFUNCTION("""COMPUTED_VALUE"""),44630)</f>
        <v>44630</v>
      </c>
      <c r="C546" s="69" t="str">
        <f ca="1">IFERROR(__xludf.DUMMYFUNCTION("""COMPUTED_VALUE"""),"Stock")</f>
        <v>Stock</v>
      </c>
      <c r="D546" s="71" t="str">
        <f ca="1">IFERROR(__xludf.DUMMYFUNCTION("""COMPUTED_VALUE"""),"603963.SS")</f>
        <v>603963.SS</v>
      </c>
      <c r="E546" s="5" t="str">
        <f ca="1">IFERROR(__xludf.DUMMYFUNCTION("""COMPUTED_VALUE"""),"HKD")</f>
        <v>HKD</v>
      </c>
      <c r="F546" s="55">
        <f ca="1">IFERROR(__xludf.DUMMYFUNCTION("""COMPUTED_VALUE"""),1000)</f>
        <v>1000</v>
      </c>
      <c r="G546" s="56">
        <f ca="1">IFERROR(__xludf.DUMMYFUNCTION("""COMPUTED_VALUE"""),1)</f>
        <v>1</v>
      </c>
      <c r="H546" s="57">
        <f ca="1">IFERROR(__xludf.DUMMYFUNCTION("""COMPUTED_VALUE"""),12.08)</f>
        <v>12.08</v>
      </c>
      <c r="I546" s="57">
        <f ca="1">IFERROR(__xludf.DUMMYFUNCTION("""COMPUTED_VALUE"""),11.36)</f>
        <v>11.36</v>
      </c>
      <c r="J546" s="70" t="str">
        <f ca="1">IFERROR(__xludf.DUMMYFUNCTION("""COMPUTED_VALUE"""),"Goto link: 603963.SS")</f>
        <v>Goto link: 603963.SS</v>
      </c>
      <c r="K546" s="19"/>
      <c r="L546" s="19"/>
      <c r="M546" s="19"/>
      <c r="N546" s="19"/>
      <c r="O546" s="59"/>
      <c r="P546" s="7"/>
      <c r="Q546" s="55"/>
      <c r="R546" s="55"/>
      <c r="S546" s="7"/>
      <c r="T546" s="55"/>
      <c r="U546" s="7"/>
      <c r="V546" s="55"/>
      <c r="W546" s="60"/>
      <c r="X546" s="55"/>
    </row>
    <row r="547" spans="1:24" ht="13" x14ac:dyDescent="0.15">
      <c r="A547" s="25" t="str">
        <f ca="1">IFERROR(__xludf.DUMMYFUNCTION("""COMPUTED_VALUE"""),"76369")</f>
        <v>76369</v>
      </c>
      <c r="B547" s="69">
        <f ca="1">IFERROR(__xludf.DUMMYFUNCTION("""COMPUTED_VALUE"""),44631)</f>
        <v>44631</v>
      </c>
      <c r="C547" s="69" t="str">
        <f ca="1">IFERROR(__xludf.DUMMYFUNCTION("""COMPUTED_VALUE"""),"Stock")</f>
        <v>Stock</v>
      </c>
      <c r="D547" s="5" t="str">
        <f ca="1">IFERROR(__xludf.DUMMYFUNCTION("""COMPUTED_VALUE"""),"GC=F")</f>
        <v>GC=F</v>
      </c>
      <c r="E547" s="5" t="str">
        <f ca="1">IFERROR(__xludf.DUMMYFUNCTION("""COMPUTED_VALUE"""),"USD")</f>
        <v>USD</v>
      </c>
      <c r="F547" s="55">
        <f ca="1">IFERROR(__xludf.DUMMYFUNCTION("""COMPUTED_VALUE"""),5)</f>
        <v>5</v>
      </c>
      <c r="G547" s="56">
        <f ca="1">IFERROR(__xludf.DUMMYFUNCTION("""COMPUTED_VALUE"""),7.82558958333333)</f>
        <v>7.82558958333333</v>
      </c>
      <c r="H547" s="57">
        <f ca="1">IFERROR(__xludf.DUMMYFUNCTION("""COMPUTED_VALUE"""),1992.3)</f>
        <v>1992.3</v>
      </c>
      <c r="I547" s="57">
        <f ca="1">IFERROR(__xludf.DUMMYFUNCTION("""COMPUTED_VALUE"""),1947.3)</f>
        <v>1947.3</v>
      </c>
      <c r="J547" s="70" t="str">
        <f ca="1">IFERROR(__xludf.DUMMYFUNCTION("""COMPUTED_VALUE"""),"Goto link: GC=F")</f>
        <v>Goto link: GC=F</v>
      </c>
      <c r="K547" s="19"/>
      <c r="L547" s="19"/>
      <c r="M547" s="19"/>
      <c r="N547" s="19"/>
      <c r="O547" s="59"/>
      <c r="P547" s="7"/>
      <c r="Q547" s="55"/>
      <c r="R547" s="55"/>
      <c r="S547" s="7"/>
      <c r="T547" s="55"/>
      <c r="U547" s="7"/>
      <c r="V547" s="55"/>
      <c r="W547" s="60"/>
      <c r="X547" s="55"/>
    </row>
    <row r="548" spans="1:24" ht="13" x14ac:dyDescent="0.15">
      <c r="A548" s="25" t="str">
        <f ca="1">IFERROR(__xludf.DUMMYFUNCTION("""COMPUTED_VALUE"""),"76369")</f>
        <v>76369</v>
      </c>
      <c r="B548" s="69">
        <f ca="1">IFERROR(__xludf.DUMMYFUNCTION("""COMPUTED_VALUE"""),44635)</f>
        <v>44635</v>
      </c>
      <c r="C548" s="69" t="str">
        <f ca="1">IFERROR(__xludf.DUMMYFUNCTION("""COMPUTED_VALUE"""),"Stock")</f>
        <v>Stock</v>
      </c>
      <c r="D548" s="71" t="str">
        <f ca="1">IFERROR(__xludf.DUMMYFUNCTION("""COMPUTED_VALUE"""),"603538.SS")</f>
        <v>603538.SS</v>
      </c>
      <c r="E548" s="5" t="str">
        <f ca="1">IFERROR(__xludf.DUMMYFUNCTION("""COMPUTED_VALUE"""),"CNY")</f>
        <v>CNY</v>
      </c>
      <c r="F548" s="55">
        <f ca="1">IFERROR(__xludf.DUMMYFUNCTION("""COMPUTED_VALUE"""),500)</f>
        <v>500</v>
      </c>
      <c r="G548" s="56">
        <f ca="1">IFERROR(__xludf.DUMMYFUNCTION("""COMPUTED_VALUE"""),1.23044399999999)</f>
        <v>1.2304439999999901</v>
      </c>
      <c r="H548" s="57">
        <f ca="1">IFERROR(__xludf.DUMMYFUNCTION("""COMPUTED_VALUE"""),55)</f>
        <v>55</v>
      </c>
      <c r="I548" s="57">
        <f ca="1">IFERROR(__xludf.DUMMYFUNCTION("""COMPUTED_VALUE"""),59.4)</f>
        <v>59.4</v>
      </c>
      <c r="J548" s="70" t="str">
        <f ca="1">IFERROR(__xludf.DUMMYFUNCTION("""COMPUTED_VALUE"""),"Goto link: 603538.SS")</f>
        <v>Goto link: 603538.SS</v>
      </c>
      <c r="K548" s="19"/>
      <c r="L548" s="19"/>
      <c r="M548" s="19"/>
      <c r="N548" s="19"/>
      <c r="O548" s="59"/>
      <c r="P548" s="7"/>
      <c r="Q548" s="55"/>
      <c r="R548" s="55"/>
      <c r="S548" s="7"/>
      <c r="T548" s="55"/>
      <c r="U548" s="7"/>
      <c r="V548" s="55"/>
      <c r="W548" s="60"/>
      <c r="X548" s="55"/>
    </row>
    <row r="549" spans="1:24" ht="13" x14ac:dyDescent="0.15">
      <c r="A549" s="25" t="str">
        <f ca="1">IFERROR(__xludf.DUMMYFUNCTION("""COMPUTED_VALUE"""),"76369")</f>
        <v>76369</v>
      </c>
      <c r="B549" s="69">
        <f ca="1">IFERROR(__xludf.DUMMYFUNCTION("""COMPUTED_VALUE"""),44635)</f>
        <v>44635</v>
      </c>
      <c r="C549" s="69" t="str">
        <f ca="1">IFERROR(__xludf.DUMMYFUNCTION("""COMPUTED_VALUE"""),"Stock")</f>
        <v>Stock</v>
      </c>
      <c r="D549" s="71" t="str">
        <f ca="1">IFERROR(__xludf.DUMMYFUNCTION("""COMPUTED_VALUE"""),"688076.SS")</f>
        <v>688076.SS</v>
      </c>
      <c r="E549" s="5" t="str">
        <f ca="1">IFERROR(__xludf.DUMMYFUNCTION("""COMPUTED_VALUE"""),"CNY")</f>
        <v>CNY</v>
      </c>
      <c r="F549" s="55">
        <f ca="1">IFERROR(__xludf.DUMMYFUNCTION("""COMPUTED_VALUE"""),500)</f>
        <v>500</v>
      </c>
      <c r="G549" s="56">
        <f ca="1">IFERROR(__xludf.DUMMYFUNCTION("""COMPUTED_VALUE"""),1.23044399999999)</f>
        <v>1.2304439999999901</v>
      </c>
      <c r="H549" s="57">
        <f ca="1">IFERROR(__xludf.DUMMYFUNCTION("""COMPUTED_VALUE"""),43.15)</f>
        <v>43.15</v>
      </c>
      <c r="I549" s="57">
        <f ca="1">IFERROR(__xludf.DUMMYFUNCTION("""COMPUTED_VALUE"""),43.32)</f>
        <v>43.32</v>
      </c>
      <c r="J549" s="70" t="str">
        <f ca="1">IFERROR(__xludf.DUMMYFUNCTION("""COMPUTED_VALUE"""),"Goto link: 688076.SS")</f>
        <v>Goto link: 688076.SS</v>
      </c>
      <c r="K549" s="19"/>
      <c r="L549" s="19"/>
      <c r="M549" s="19"/>
      <c r="N549" s="19"/>
      <c r="O549" s="59"/>
      <c r="P549" s="7"/>
      <c r="Q549" s="55"/>
      <c r="R549" s="55"/>
      <c r="S549" s="7"/>
      <c r="T549" s="55"/>
      <c r="U549" s="7"/>
      <c r="V549" s="55"/>
      <c r="W549" s="60"/>
      <c r="X549" s="55"/>
    </row>
    <row r="550" spans="1:24" ht="13" x14ac:dyDescent="0.15">
      <c r="A550" s="25" t="str">
        <f ca="1">IFERROR(__xludf.DUMMYFUNCTION("""COMPUTED_VALUE"""),"76369")</f>
        <v>76369</v>
      </c>
      <c r="B550" s="69">
        <f ca="1">IFERROR(__xludf.DUMMYFUNCTION("""COMPUTED_VALUE"""),44636)</f>
        <v>44636</v>
      </c>
      <c r="C550" s="69" t="str">
        <f ca="1">IFERROR(__xludf.DUMMYFUNCTION("""COMPUTED_VALUE"""),"Stock")</f>
        <v>Stock</v>
      </c>
      <c r="D550" s="5" t="str">
        <f ca="1">IFERROR(__xludf.DUMMYFUNCTION("""COMPUTED_VALUE"""),"GC=F")</f>
        <v>GC=F</v>
      </c>
      <c r="E550" s="5" t="str">
        <f ca="1">IFERROR(__xludf.DUMMYFUNCTION("""COMPUTED_VALUE"""),"USD")</f>
        <v>USD</v>
      </c>
      <c r="F550" s="55">
        <f ca="1">IFERROR(__xludf.DUMMYFUNCTION("""COMPUTED_VALUE"""),-5)</f>
        <v>-5</v>
      </c>
      <c r="G550" s="56">
        <f ca="1">IFERROR(__xludf.DUMMYFUNCTION("""COMPUTED_VALUE"""),7.82329214285714)</f>
        <v>7.8232921428571398</v>
      </c>
      <c r="H550" s="57">
        <f ca="1">IFERROR(__xludf.DUMMYFUNCTION("""COMPUTED_VALUE"""),1928.5)</f>
        <v>1928.5</v>
      </c>
      <c r="I550" s="57">
        <f ca="1">IFERROR(__xludf.DUMMYFUNCTION("""COMPUTED_VALUE"""),1947.3)</f>
        <v>1947.3</v>
      </c>
      <c r="J550" s="70" t="str">
        <f ca="1">IFERROR(__xludf.DUMMYFUNCTION("""COMPUTED_VALUE"""),"Goto link: GC=F")</f>
        <v>Goto link: GC=F</v>
      </c>
      <c r="K550" s="19"/>
      <c r="L550" s="19"/>
      <c r="M550" s="19"/>
      <c r="N550" s="19"/>
      <c r="O550" s="59"/>
      <c r="P550" s="7"/>
      <c r="Q550" s="55"/>
      <c r="R550" s="55"/>
      <c r="S550" s="7"/>
      <c r="T550" s="55"/>
      <c r="U550" s="7"/>
      <c r="V550" s="55"/>
      <c r="W550" s="60"/>
      <c r="X550" s="55"/>
    </row>
    <row r="551" spans="1:24" ht="13" x14ac:dyDescent="0.15">
      <c r="A551" s="25" t="str">
        <f ca="1">IFERROR(__xludf.DUMMYFUNCTION("""COMPUTED_VALUE"""),"76369")</f>
        <v>76369</v>
      </c>
      <c r="B551" s="69">
        <f ca="1">IFERROR(__xludf.DUMMYFUNCTION("""COMPUTED_VALUE"""),44637)</f>
        <v>44637</v>
      </c>
      <c r="C551" s="69" t="str">
        <f ca="1">IFERROR(__xludf.DUMMYFUNCTION("""COMPUTED_VALUE"""),"Stock")</f>
        <v>Stock</v>
      </c>
      <c r="D551" s="5" t="str">
        <f ca="1">IFERROR(__xludf.DUMMYFUNCTION("""COMPUTED_VALUE"""),"GC=F")</f>
        <v>GC=F</v>
      </c>
      <c r="E551" s="5" t="str">
        <f ca="1">IFERROR(__xludf.DUMMYFUNCTION("""COMPUTED_VALUE"""),"USD")</f>
        <v>USD</v>
      </c>
      <c r="F551" s="55">
        <f ca="1">IFERROR(__xludf.DUMMYFUNCTION("""COMPUTED_VALUE"""),5)</f>
        <v>5</v>
      </c>
      <c r="G551" s="56">
        <f ca="1">IFERROR(__xludf.DUMMYFUNCTION("""COMPUTED_VALUE"""),7.82374916666666)</f>
        <v>7.8237491666666603</v>
      </c>
      <c r="H551" s="57">
        <f ca="1">IFERROR(__xludf.DUMMYFUNCTION("""COMPUTED_VALUE"""),1936.7)</f>
        <v>1936.7</v>
      </c>
      <c r="I551" s="57">
        <f ca="1">IFERROR(__xludf.DUMMYFUNCTION("""COMPUTED_VALUE"""),1947.3)</f>
        <v>1947.3</v>
      </c>
      <c r="J551" s="70" t="str">
        <f ca="1">IFERROR(__xludf.DUMMYFUNCTION("""COMPUTED_VALUE"""),"Goto link: GC=F")</f>
        <v>Goto link: GC=F</v>
      </c>
      <c r="K551" s="19"/>
      <c r="L551" s="19"/>
      <c r="M551" s="19"/>
      <c r="N551" s="19"/>
      <c r="O551" s="59"/>
      <c r="P551" s="7"/>
      <c r="Q551" s="55"/>
      <c r="R551" s="55"/>
      <c r="S551" s="7"/>
      <c r="T551" s="55"/>
      <c r="U551" s="7"/>
      <c r="V551" s="55"/>
      <c r="W551" s="60"/>
      <c r="X551" s="55"/>
    </row>
    <row r="552" spans="1:24" ht="13" x14ac:dyDescent="0.15">
      <c r="A552" s="25" t="str">
        <f ca="1">IFERROR(__xludf.DUMMYFUNCTION("""COMPUTED_VALUE"""),"76369")</f>
        <v>76369</v>
      </c>
      <c r="B552" s="69">
        <f ca="1">IFERROR(__xludf.DUMMYFUNCTION("""COMPUTED_VALUE"""),44638)</f>
        <v>44638</v>
      </c>
      <c r="C552" s="69" t="str">
        <f ca="1">IFERROR(__xludf.DUMMYFUNCTION("""COMPUTED_VALUE"""),"Stock")</f>
        <v>Stock</v>
      </c>
      <c r="D552" s="71" t="str">
        <f ca="1">IFERROR(__xludf.DUMMYFUNCTION("""COMPUTED_VALUE"""),"002670.SZ")</f>
        <v>002670.SZ</v>
      </c>
      <c r="E552" s="5" t="str">
        <f ca="1">IFERROR(__xludf.DUMMYFUNCTION("""COMPUTED_VALUE"""),"CNY")</f>
        <v>CNY</v>
      </c>
      <c r="F552" s="55">
        <f ca="1">IFERROR(__xludf.DUMMYFUNCTION("""COMPUTED_VALUE"""),500)</f>
        <v>500</v>
      </c>
      <c r="G552" s="56">
        <f ca="1">IFERROR(__xludf.DUMMYFUNCTION("""COMPUTED_VALUE"""),1.2304204)</f>
        <v>1.2304204000000001</v>
      </c>
      <c r="H552" s="57">
        <f ca="1">IFERROR(__xludf.DUMMYFUNCTION("""COMPUTED_VALUE"""),9.9)</f>
        <v>9.9</v>
      </c>
      <c r="I552" s="57">
        <f ca="1">IFERROR(__xludf.DUMMYFUNCTION("""COMPUTED_VALUE"""),9.2)</f>
        <v>9.1999999999999993</v>
      </c>
      <c r="J552" s="70" t="str">
        <f ca="1">IFERROR(__xludf.DUMMYFUNCTION("""COMPUTED_VALUE"""),"Goto link: 002670.SZ")</f>
        <v>Goto link: 002670.SZ</v>
      </c>
      <c r="K552" s="19"/>
      <c r="L552" s="19"/>
      <c r="M552" s="19"/>
      <c r="N552" s="19"/>
      <c r="O552" s="59"/>
      <c r="P552" s="7"/>
      <c r="Q552" s="55"/>
      <c r="R552" s="55"/>
      <c r="S552" s="7"/>
      <c r="T552" s="55"/>
      <c r="U552" s="7"/>
      <c r="V552" s="55"/>
      <c r="W552" s="60"/>
      <c r="X552" s="55"/>
    </row>
    <row r="553" spans="1:24" ht="13" x14ac:dyDescent="0.15">
      <c r="A553" s="25" t="str">
        <f ca="1">IFERROR(__xludf.DUMMYFUNCTION("""COMPUTED_VALUE"""),"76369")</f>
        <v>76369</v>
      </c>
      <c r="B553" s="69">
        <f ca="1">IFERROR(__xludf.DUMMYFUNCTION("""COMPUTED_VALUE"""),44638)</f>
        <v>44638</v>
      </c>
      <c r="C553" s="69" t="str">
        <f ca="1">IFERROR(__xludf.DUMMYFUNCTION("""COMPUTED_VALUE"""),"Stock")</f>
        <v>Stock</v>
      </c>
      <c r="D553" s="71" t="str">
        <f ca="1">IFERROR(__xludf.DUMMYFUNCTION("""COMPUTED_VALUE"""),"0700.HK")</f>
        <v>0700.HK</v>
      </c>
      <c r="E553" s="5" t="str">
        <f ca="1">IFERROR(__xludf.DUMMYFUNCTION("""COMPUTED_VALUE"""),"HKD")</f>
        <v>HKD</v>
      </c>
      <c r="F553" s="55">
        <f ca="1">IFERROR(__xludf.DUMMYFUNCTION("""COMPUTED_VALUE"""),50)</f>
        <v>50</v>
      </c>
      <c r="G553" s="56">
        <f ca="1">IFERROR(__xludf.DUMMYFUNCTION("""COMPUTED_VALUE"""),1)</f>
        <v>1</v>
      </c>
      <c r="H553" s="57">
        <f ca="1">IFERROR(__xludf.DUMMYFUNCTION("""COMPUTED_VALUE"""),381)</f>
        <v>381</v>
      </c>
      <c r="I553" s="57">
        <f ca="1">IFERROR(__xludf.DUMMYFUNCTION("""COMPUTED_VALUE"""),389)</f>
        <v>389</v>
      </c>
      <c r="J553" s="70" t="str">
        <f ca="1">IFERROR(__xludf.DUMMYFUNCTION("""COMPUTED_VALUE"""),"Goto link: 0700.HK")</f>
        <v>Goto link: 0700.HK</v>
      </c>
      <c r="K553" s="19"/>
      <c r="L553" s="19"/>
      <c r="M553" s="19"/>
      <c r="N553" s="19"/>
      <c r="O553" s="59"/>
      <c r="P553" s="7"/>
      <c r="Q553" s="55"/>
      <c r="R553" s="55"/>
      <c r="S553" s="7"/>
      <c r="T553" s="55"/>
      <c r="U553" s="7"/>
      <c r="V553" s="55"/>
      <c r="W553" s="60"/>
      <c r="X553" s="55"/>
    </row>
    <row r="554" spans="1:24" ht="13" x14ac:dyDescent="0.15">
      <c r="A554" s="25" t="str">
        <f ca="1">IFERROR(__xludf.DUMMYFUNCTION("""COMPUTED_VALUE"""),"76369")</f>
        <v>76369</v>
      </c>
      <c r="B554" s="69">
        <f ca="1">IFERROR(__xludf.DUMMYFUNCTION("""COMPUTED_VALUE"""),44638)</f>
        <v>44638</v>
      </c>
      <c r="C554" s="69" t="str">
        <f ca="1">IFERROR(__xludf.DUMMYFUNCTION("""COMPUTED_VALUE"""),"Stock")</f>
        <v>Stock</v>
      </c>
      <c r="D554" s="71" t="str">
        <f ca="1">IFERROR(__xludf.DUMMYFUNCTION("""COMPUTED_VALUE"""),"9988.HK")</f>
        <v>9988.HK</v>
      </c>
      <c r="E554" s="5" t="str">
        <f ca="1">IFERROR(__xludf.DUMMYFUNCTION("""COMPUTED_VALUE"""),"HKD")</f>
        <v>HKD</v>
      </c>
      <c r="F554" s="55">
        <f ca="1">IFERROR(__xludf.DUMMYFUNCTION("""COMPUTED_VALUE"""),50)</f>
        <v>50</v>
      </c>
      <c r="G554" s="56">
        <f ca="1">IFERROR(__xludf.DUMMYFUNCTION("""COMPUTED_VALUE"""),1)</f>
        <v>1</v>
      </c>
      <c r="H554" s="57">
        <f ca="1">IFERROR(__xludf.DUMMYFUNCTION("""COMPUTED_VALUE"""),98.35)</f>
        <v>98.35</v>
      </c>
      <c r="I554" s="57">
        <f ca="1">IFERROR(__xludf.DUMMYFUNCTION("""COMPUTED_VALUE"""),117.6)</f>
        <v>117.6</v>
      </c>
      <c r="J554" s="70" t="str">
        <f ca="1">IFERROR(__xludf.DUMMYFUNCTION("""COMPUTED_VALUE"""),"Goto link: 9988.HK")</f>
        <v>Goto link: 9988.HK</v>
      </c>
      <c r="K554" s="19"/>
      <c r="L554" s="19"/>
      <c r="M554" s="19"/>
      <c r="N554" s="19"/>
      <c r="O554" s="59"/>
      <c r="P554" s="7"/>
      <c r="Q554" s="55"/>
      <c r="R554" s="55"/>
      <c r="S554" s="7"/>
      <c r="T554" s="55"/>
      <c r="U554" s="7"/>
      <c r="V554" s="55"/>
      <c r="W554" s="60"/>
      <c r="X554" s="55"/>
    </row>
    <row r="555" spans="1:24" ht="13" x14ac:dyDescent="0.15">
      <c r="A555" s="25" t="str">
        <f ca="1">IFERROR(__xludf.DUMMYFUNCTION("""COMPUTED_VALUE"""),"76369")</f>
        <v>76369</v>
      </c>
      <c r="B555" s="69">
        <f ca="1">IFERROR(__xludf.DUMMYFUNCTION("""COMPUTED_VALUE"""),44641)</f>
        <v>44641</v>
      </c>
      <c r="C555" s="69" t="str">
        <f ca="1">IFERROR(__xludf.DUMMYFUNCTION("""COMPUTED_VALUE"""),"Stock")</f>
        <v>Stock</v>
      </c>
      <c r="D555" s="5" t="str">
        <f ca="1">IFERROR(__xludf.DUMMYFUNCTION("""COMPUTED_VALUE"""),"GC=F")</f>
        <v>GC=F</v>
      </c>
      <c r="E555" s="5" t="str">
        <f ca="1">IFERROR(__xludf.DUMMYFUNCTION("""COMPUTED_VALUE"""),"USD")</f>
        <v>USD</v>
      </c>
      <c r="F555" s="55">
        <f ca="1">IFERROR(__xludf.DUMMYFUNCTION("""COMPUTED_VALUE"""),-5)</f>
        <v>-5</v>
      </c>
      <c r="G555" s="56">
        <f ca="1">IFERROR(__xludf.DUMMYFUNCTION("""COMPUTED_VALUE"""),7.8262)</f>
        <v>7.8262</v>
      </c>
      <c r="H555" s="57">
        <f ca="1">IFERROR(__xludf.DUMMYFUNCTION("""COMPUTED_VALUE"""),1932.4)</f>
        <v>1932.4</v>
      </c>
      <c r="I555" s="57">
        <f ca="1">IFERROR(__xludf.DUMMYFUNCTION("""COMPUTED_VALUE"""),1947.3)</f>
        <v>1947.3</v>
      </c>
      <c r="J555" s="70" t="str">
        <f ca="1">IFERROR(__xludf.DUMMYFUNCTION("""COMPUTED_VALUE"""),"Goto link: GC=F")</f>
        <v>Goto link: GC=F</v>
      </c>
      <c r="K555" s="19"/>
      <c r="L555" s="19"/>
      <c r="M555" s="19"/>
      <c r="N555" s="19"/>
      <c r="O555" s="59"/>
      <c r="P555" s="7"/>
      <c r="Q555" s="55"/>
      <c r="R555" s="55"/>
      <c r="S555" s="7"/>
      <c r="T555" s="55"/>
      <c r="U555" s="7"/>
      <c r="V555" s="55"/>
      <c r="W555" s="60"/>
      <c r="X555" s="55"/>
    </row>
    <row r="556" spans="1:24" ht="13" x14ac:dyDescent="0.15">
      <c r="A556" s="25" t="str">
        <f ca="1">IFERROR(__xludf.DUMMYFUNCTION("""COMPUTED_VALUE"""),"76369 Total")</f>
        <v>76369 Total</v>
      </c>
      <c r="B556" s="5"/>
      <c r="C556" s="69"/>
      <c r="D556" s="5"/>
      <c r="E556" s="5"/>
      <c r="F556" s="55"/>
      <c r="G556" s="56">
        <f ca="1">IFERROR(__xludf.DUMMYFUNCTION("""COMPUTED_VALUE"""),2.30017458371735)</f>
        <v>2.3001745837173502</v>
      </c>
      <c r="H556" s="57">
        <f ca="1">IFERROR(__xludf.DUMMYFUNCTION("""COMPUTED_VALUE"""),1992.3)</f>
        <v>1992.3</v>
      </c>
      <c r="I556" s="57" t="str">
        <f ca="1">IFERROR(__xludf.DUMMYFUNCTION("""COMPUTED_VALUE"""),"")</f>
        <v/>
      </c>
      <c r="J556" s="19" t="str">
        <f ca="1">IFERROR(__xludf.DUMMYFUNCTION("""COMPUTED_VALUE"""),"")</f>
        <v/>
      </c>
      <c r="K556" s="19"/>
      <c r="L556" s="19"/>
      <c r="M556" s="19"/>
      <c r="N556" s="19"/>
      <c r="O556" s="59"/>
      <c r="P556" s="7"/>
      <c r="Q556" s="55"/>
      <c r="R556" s="55"/>
      <c r="S556" s="7"/>
      <c r="T556" s="55"/>
      <c r="U556" s="7"/>
      <c r="V556" s="55"/>
      <c r="W556" s="60"/>
      <c r="X556" s="55"/>
    </row>
    <row r="557" spans="1:24" ht="13" x14ac:dyDescent="0.15">
      <c r="A557" s="25" t="str">
        <f ca="1">IFERROR(__xludf.DUMMYFUNCTION("""COMPUTED_VALUE"""),"76796")</f>
        <v>76796</v>
      </c>
      <c r="B557" s="69">
        <f ca="1">IFERROR(__xludf.DUMMYFUNCTION("""COMPUTED_VALUE"""),44597)</f>
        <v>44597</v>
      </c>
      <c r="C557" s="69" t="str">
        <f ca="1">IFERROR(__xludf.DUMMYFUNCTION("""COMPUTED_VALUE"""),"Cash")</f>
        <v>Cash</v>
      </c>
      <c r="D557" s="5" t="str">
        <f ca="1">IFERROR(__xludf.DUMMYFUNCTION("""COMPUTED_VALUE"""),"Cash")</f>
        <v>Cash</v>
      </c>
      <c r="E557" s="5" t="str">
        <f ca="1">IFERROR(__xludf.DUMMYFUNCTION("""COMPUTED_VALUE"""),"HKD")</f>
        <v>HKD</v>
      </c>
      <c r="F557" s="55" t="str">
        <f ca="1">IFERROR(__xludf.DUMMYFUNCTION("""COMPUTED_VALUE"""),"")</f>
        <v/>
      </c>
      <c r="G557" s="56">
        <f ca="1">IFERROR(__xludf.DUMMYFUNCTION("""COMPUTED_VALUE"""),1)</f>
        <v>1</v>
      </c>
      <c r="H557" s="57">
        <f ca="1">IFERROR(__xludf.DUMMYFUNCTION("""COMPUTED_VALUE"""),1)</f>
        <v>1</v>
      </c>
      <c r="I557" s="57">
        <f ca="1">IFERROR(__xludf.DUMMYFUNCTION("""COMPUTED_VALUE"""),1)</f>
        <v>1</v>
      </c>
      <c r="J557" s="19" t="str">
        <f ca="1">IFERROR(__xludf.DUMMYFUNCTION("""COMPUTED_VALUE"""),"")</f>
        <v/>
      </c>
      <c r="K557" s="19"/>
      <c r="L557" s="19"/>
      <c r="M557" s="19"/>
      <c r="N557" s="19"/>
      <c r="O557" s="59"/>
      <c r="P557" s="7"/>
      <c r="Q557" s="55"/>
      <c r="R557" s="55"/>
      <c r="S557" s="7"/>
      <c r="T557" s="55"/>
      <c r="U557" s="7"/>
      <c r="V557" s="55"/>
      <c r="W557" s="60"/>
      <c r="X557" s="55"/>
    </row>
    <row r="558" spans="1:24" ht="13" x14ac:dyDescent="0.15">
      <c r="A558" s="25" t="str">
        <f ca="1">IFERROR(__xludf.DUMMYFUNCTION("""COMPUTED_VALUE"""),"76796")</f>
        <v>76796</v>
      </c>
      <c r="B558" s="69">
        <f ca="1">IFERROR(__xludf.DUMMYFUNCTION("""COMPUTED_VALUE"""),44599)</f>
        <v>44599</v>
      </c>
      <c r="C558" s="69" t="str">
        <f ca="1">IFERROR(__xludf.DUMMYFUNCTION("""COMPUTED_VALUE"""),"Stock")</f>
        <v>Stock</v>
      </c>
      <c r="D558" s="5" t="str">
        <f ca="1">IFERROR(__xludf.DUMMYFUNCTION("""COMPUTED_VALUE"""),"TSLA")</f>
        <v>TSLA</v>
      </c>
      <c r="E558" s="5" t="str">
        <f ca="1">IFERROR(__xludf.DUMMYFUNCTION("""COMPUTED_VALUE"""),"USD")</f>
        <v>USD</v>
      </c>
      <c r="F558" s="55" t="str">
        <f ca="1">IFERROR(__xludf.DUMMYFUNCTION("""COMPUTED_VALUE"""),"")</f>
        <v/>
      </c>
      <c r="G558" s="56">
        <f ca="1">IFERROR(__xludf.DUMMYFUNCTION("""COMPUTED_VALUE"""),7.8116284090909)</f>
        <v>7.8116284090908996</v>
      </c>
      <c r="H558" s="57">
        <f ca="1">IFERROR(__xludf.DUMMYFUNCTION("""COMPUTED_VALUE"""),907.34)</f>
        <v>907.34</v>
      </c>
      <c r="I558" s="57">
        <f ca="1">IFERROR(__xludf.DUMMYFUNCTION("""COMPUTED_VALUE"""),999.11)</f>
        <v>999.11</v>
      </c>
      <c r="J558" s="70" t="str">
        <f ca="1">IFERROR(__xludf.DUMMYFUNCTION("""COMPUTED_VALUE"""),"Goto link: TSLA")</f>
        <v>Goto link: TSLA</v>
      </c>
      <c r="K558" s="19"/>
      <c r="L558" s="19"/>
      <c r="M558" s="19"/>
      <c r="N558" s="19"/>
      <c r="O558" s="59"/>
      <c r="P558" s="7"/>
      <c r="Q558" s="55"/>
      <c r="R558" s="55"/>
      <c r="S558" s="7"/>
      <c r="T558" s="55"/>
      <c r="U558" s="7"/>
      <c r="V558" s="55"/>
      <c r="W558" s="60"/>
      <c r="X558" s="55"/>
    </row>
    <row r="559" spans="1:24" ht="13" x14ac:dyDescent="0.15">
      <c r="A559" s="25" t="str">
        <f ca="1">IFERROR(__xludf.DUMMYFUNCTION("""COMPUTED_VALUE"""),"76796")</f>
        <v>76796</v>
      </c>
      <c r="B559" s="69">
        <f ca="1">IFERROR(__xludf.DUMMYFUNCTION("""COMPUTED_VALUE"""),44601)</f>
        <v>44601</v>
      </c>
      <c r="C559" s="69" t="str">
        <f ca="1">IFERROR(__xludf.DUMMYFUNCTION("""COMPUTED_VALUE"""),"Stock")</f>
        <v>Stock</v>
      </c>
      <c r="D559" s="5" t="str">
        <f ca="1">IFERROR(__xludf.DUMMYFUNCTION("""COMPUTED_VALUE"""),"MSFT")</f>
        <v>MSFT</v>
      </c>
      <c r="E559" s="5" t="str">
        <f ca="1">IFERROR(__xludf.DUMMYFUNCTION("""COMPUTED_VALUE"""),"USD")</f>
        <v>USD</v>
      </c>
      <c r="F559" s="55">
        <f ca="1">IFERROR(__xludf.DUMMYFUNCTION("""COMPUTED_VALUE"""),100)</f>
        <v>100</v>
      </c>
      <c r="G559" s="56">
        <f ca="1">IFERROR(__xludf.DUMMYFUNCTION("""COMPUTED_VALUE"""),7.81252511904762)</f>
        <v>7.8125251190476197</v>
      </c>
      <c r="H559" s="57">
        <f ca="1">IFERROR(__xludf.DUMMYFUNCTION("""COMPUTED_VALUE"""),311.21)</f>
        <v>311.20999999999998</v>
      </c>
      <c r="I559" s="57">
        <f ca="1">IFERROR(__xludf.DUMMYFUNCTION("""COMPUTED_VALUE"""),299.49)</f>
        <v>299.49</v>
      </c>
      <c r="J559" s="70" t="str">
        <f ca="1">IFERROR(__xludf.DUMMYFUNCTION("""COMPUTED_VALUE"""),"Goto link: MSFT")</f>
        <v>Goto link: MSFT</v>
      </c>
      <c r="K559" s="19"/>
      <c r="L559" s="19"/>
      <c r="M559" s="19"/>
      <c r="N559" s="19"/>
      <c r="O559" s="59"/>
      <c r="P559" s="7"/>
      <c r="Q559" s="55"/>
      <c r="R559" s="55"/>
      <c r="S559" s="7"/>
      <c r="T559" s="55"/>
      <c r="U559" s="7"/>
      <c r="V559" s="55"/>
      <c r="W559" s="60"/>
      <c r="X559" s="55"/>
    </row>
    <row r="560" spans="1:24" ht="13" x14ac:dyDescent="0.15">
      <c r="A560" s="25" t="str">
        <f ca="1">IFERROR(__xludf.DUMMYFUNCTION("""COMPUTED_VALUE"""),"76796")</f>
        <v>76796</v>
      </c>
      <c r="B560" s="69">
        <f ca="1">IFERROR(__xludf.DUMMYFUNCTION("""COMPUTED_VALUE"""),44607)</f>
        <v>44607</v>
      </c>
      <c r="C560" s="69" t="str">
        <f ca="1">IFERROR(__xludf.DUMMYFUNCTION("""COMPUTED_VALUE"""),"Stock")</f>
        <v>Stock</v>
      </c>
      <c r="D560" s="5" t="str">
        <f ca="1">IFERROR(__xludf.DUMMYFUNCTION("""COMPUTED_VALUE"""),"NVDA")</f>
        <v>NVDA</v>
      </c>
      <c r="E560" s="5" t="str">
        <f ca="1">IFERROR(__xludf.DUMMYFUNCTION("""COMPUTED_VALUE"""),"USD")</f>
        <v>USD</v>
      </c>
      <c r="F560" s="55" t="str">
        <f ca="1">IFERROR(__xludf.DUMMYFUNCTION("""COMPUTED_VALUE"""),"")</f>
        <v/>
      </c>
      <c r="G560" s="56">
        <f ca="1">IFERROR(__xludf.DUMMYFUNCTION("""COMPUTED_VALUE"""),7.81480833333333)</f>
        <v>7.81480833333333</v>
      </c>
      <c r="H560" s="57">
        <f ca="1">IFERROR(__xludf.DUMMYFUNCTION("""COMPUTED_VALUE"""),264.95)</f>
        <v>264.95</v>
      </c>
      <c r="I560" s="57">
        <f ca="1">IFERROR(__xludf.DUMMYFUNCTION("""COMPUTED_VALUE"""),256.34)</f>
        <v>256.33999999999997</v>
      </c>
      <c r="J560" s="70" t="str">
        <f ca="1">IFERROR(__xludf.DUMMYFUNCTION("""COMPUTED_VALUE"""),"Goto link: NVDA")</f>
        <v>Goto link: NVDA</v>
      </c>
      <c r="K560" s="19"/>
      <c r="L560" s="19"/>
      <c r="M560" s="19"/>
      <c r="N560" s="19"/>
      <c r="O560" s="59"/>
      <c r="P560" s="7"/>
      <c r="Q560" s="55"/>
      <c r="R560" s="55"/>
      <c r="S560" s="7"/>
      <c r="T560" s="55"/>
      <c r="U560" s="7"/>
      <c r="V560" s="55"/>
      <c r="W560" s="60"/>
      <c r="X560" s="55"/>
    </row>
    <row r="561" spans="1:24" ht="13" x14ac:dyDescent="0.15">
      <c r="A561" s="25" t="str">
        <f ca="1">IFERROR(__xludf.DUMMYFUNCTION("""COMPUTED_VALUE"""),"76796")</f>
        <v>76796</v>
      </c>
      <c r="B561" s="69">
        <f ca="1">IFERROR(__xludf.DUMMYFUNCTION("""COMPUTED_VALUE"""),44610)</f>
        <v>44610</v>
      </c>
      <c r="C561" s="69" t="str">
        <f ca="1">IFERROR(__xludf.DUMMYFUNCTION("""COMPUTED_VALUE"""),"Stock")</f>
        <v>Stock</v>
      </c>
      <c r="D561" s="5" t="str">
        <f ca="1">IFERROR(__xludf.DUMMYFUNCTION("""COMPUTED_VALUE"""),"ISPO")</f>
        <v>ISPO</v>
      </c>
      <c r="E561" s="5" t="str">
        <f ca="1">IFERROR(__xludf.DUMMYFUNCTION("""COMPUTED_VALUE"""),"USD")</f>
        <v>USD</v>
      </c>
      <c r="F561" s="55" t="str">
        <f ca="1">IFERROR(__xludf.DUMMYFUNCTION("""COMPUTED_VALUE"""),"")</f>
        <v/>
      </c>
      <c r="G561" s="56">
        <f ca="1">IFERROR(__xludf.DUMMYFUNCTION("""COMPUTED_VALUE"""),7.81612515151515)</f>
        <v>7.8161251515151502</v>
      </c>
      <c r="H561" s="57">
        <f ca="1">IFERROR(__xludf.DUMMYFUNCTION("""COMPUTED_VALUE"""),46)</f>
        <v>46</v>
      </c>
      <c r="I561" s="57">
        <f ca="1">IFERROR(__xludf.DUMMYFUNCTION("""COMPUTED_VALUE"""),8.65)</f>
        <v>8.65</v>
      </c>
      <c r="J561" s="70" t="str">
        <f ca="1">IFERROR(__xludf.DUMMYFUNCTION("""COMPUTED_VALUE"""),"Goto link: ISPO")</f>
        <v>Goto link: ISPO</v>
      </c>
      <c r="K561" s="19"/>
      <c r="L561" s="19"/>
      <c r="M561" s="19"/>
      <c r="N561" s="19"/>
      <c r="O561" s="59"/>
      <c r="P561" s="7"/>
      <c r="Q561" s="55"/>
      <c r="R561" s="55"/>
      <c r="S561" s="7"/>
      <c r="T561" s="55"/>
      <c r="U561" s="7"/>
      <c r="V561" s="55"/>
      <c r="W561" s="60"/>
      <c r="X561" s="55"/>
    </row>
    <row r="562" spans="1:24" ht="13" x14ac:dyDescent="0.15">
      <c r="A562" s="25" t="str">
        <f ca="1">IFERROR(__xludf.DUMMYFUNCTION("""COMPUTED_VALUE"""),"76796")</f>
        <v>76796</v>
      </c>
      <c r="B562" s="69">
        <f ca="1">IFERROR(__xludf.DUMMYFUNCTION("""COMPUTED_VALUE"""),44617)</f>
        <v>44617</v>
      </c>
      <c r="C562" s="69" t="str">
        <f ca="1">IFERROR(__xludf.DUMMYFUNCTION("""COMPUTED_VALUE"""),"Stock")</f>
        <v>Stock</v>
      </c>
      <c r="D562" s="5" t="str">
        <f ca="1">IFERROR(__xludf.DUMMYFUNCTION("""COMPUTED_VALUE"""),"GOOGL")</f>
        <v>GOOGL</v>
      </c>
      <c r="E562" s="5" t="str">
        <f ca="1">IFERROR(__xludf.DUMMYFUNCTION("""COMPUTED_VALUE"""),"USD")</f>
        <v>USD</v>
      </c>
      <c r="F562" s="55" t="str">
        <f ca="1">IFERROR(__xludf.DUMMYFUNCTION("""COMPUTED_VALUE"""),"")</f>
        <v/>
      </c>
      <c r="G562" s="56">
        <f ca="1">IFERROR(__xludf.DUMMYFUNCTION("""COMPUTED_VALUE"""),7.81980423076923)</f>
        <v>7.8198042307692299</v>
      </c>
      <c r="H562" s="57">
        <f ca="1">IFERROR(__xludf.DUMMYFUNCTION("""COMPUTED_VALUE"""),2689.19)</f>
        <v>2689.19</v>
      </c>
      <c r="I562" s="57">
        <f ca="1">IFERROR(__xludf.DUMMYFUNCTION("""COMPUTED_VALUE"""),2765.51)</f>
        <v>2765.51</v>
      </c>
      <c r="J562" s="70" t="str">
        <f ca="1">IFERROR(__xludf.DUMMYFUNCTION("""COMPUTED_VALUE"""),"Goto link: GOOGL")</f>
        <v>Goto link: GOOGL</v>
      </c>
      <c r="K562" s="19"/>
      <c r="L562" s="19"/>
      <c r="M562" s="19"/>
      <c r="N562" s="19"/>
      <c r="O562" s="59"/>
      <c r="P562" s="7"/>
      <c r="Q562" s="55"/>
      <c r="R562" s="55"/>
      <c r="S562" s="7"/>
      <c r="T562" s="55"/>
      <c r="U562" s="7"/>
      <c r="V562" s="55"/>
      <c r="W562" s="60"/>
      <c r="X562" s="55"/>
    </row>
    <row r="563" spans="1:24" ht="13" x14ac:dyDescent="0.15">
      <c r="A563" s="25" t="str">
        <f ca="1">IFERROR(__xludf.DUMMYFUNCTION("""COMPUTED_VALUE"""),"76796")</f>
        <v>76796</v>
      </c>
      <c r="B563" s="69">
        <f ca="1">IFERROR(__xludf.DUMMYFUNCTION("""COMPUTED_VALUE"""),44641)</f>
        <v>44641</v>
      </c>
      <c r="C563" s="69" t="str">
        <f ca="1">IFERROR(__xludf.DUMMYFUNCTION("""COMPUTED_VALUE"""),"Stock")</f>
        <v>Stock</v>
      </c>
      <c r="D563" s="5" t="str">
        <f ca="1">IFERROR(__xludf.DUMMYFUNCTION("""COMPUTED_VALUE"""),"MSFT")</f>
        <v>MSFT</v>
      </c>
      <c r="E563" s="5" t="str">
        <f ca="1">IFERROR(__xludf.DUMMYFUNCTION("""COMPUTED_VALUE"""),"USD")</f>
        <v>USD</v>
      </c>
      <c r="F563" s="55" t="str">
        <f ca="1">IFERROR(__xludf.DUMMYFUNCTION("""COMPUTED_VALUE"""),"")</f>
        <v/>
      </c>
      <c r="G563" s="56">
        <f ca="1">IFERROR(__xludf.DUMMYFUNCTION("""COMPUTED_VALUE"""),7.8262)</f>
        <v>7.8262</v>
      </c>
      <c r="H563" s="57">
        <f ca="1">IFERROR(__xludf.DUMMYFUNCTION("""COMPUTED_VALUE"""),299.16)</f>
        <v>299.16000000000003</v>
      </c>
      <c r="I563" s="57">
        <f ca="1">IFERROR(__xludf.DUMMYFUNCTION("""COMPUTED_VALUE"""),299.49)</f>
        <v>299.49</v>
      </c>
      <c r="J563" s="70" t="str">
        <f ca="1">IFERROR(__xludf.DUMMYFUNCTION("""COMPUTED_VALUE"""),"Goto link: MSFT")</f>
        <v>Goto link: MSFT</v>
      </c>
      <c r="K563" s="19"/>
      <c r="L563" s="19"/>
      <c r="M563" s="19"/>
      <c r="N563" s="19"/>
      <c r="O563" s="59"/>
      <c r="P563" s="7"/>
      <c r="Q563" s="55"/>
      <c r="R563" s="55"/>
      <c r="S563" s="7"/>
      <c r="T563" s="55"/>
      <c r="U563" s="7"/>
      <c r="V563" s="55"/>
      <c r="W563" s="60"/>
      <c r="X563" s="55"/>
    </row>
    <row r="564" spans="1:24" ht="13" x14ac:dyDescent="0.15">
      <c r="A564" s="25" t="str">
        <f ca="1">IFERROR(__xludf.DUMMYFUNCTION("""COMPUTED_VALUE"""),"76796 Total")</f>
        <v>76796 Total</v>
      </c>
      <c r="B564" s="5"/>
      <c r="C564" s="69"/>
      <c r="D564" s="5"/>
      <c r="E564" s="5"/>
      <c r="F564" s="55"/>
      <c r="G564" s="56">
        <f ca="1">IFERROR(__xludf.DUMMYFUNCTION("""COMPUTED_VALUE"""),6.45767378787877)</f>
        <v>6.45767378787877</v>
      </c>
      <c r="H564" s="57">
        <f ca="1">IFERROR(__xludf.DUMMYFUNCTION("""COMPUTED_VALUE"""),2689.19)</f>
        <v>2689.19</v>
      </c>
      <c r="I564" s="57" t="str">
        <f ca="1">IFERROR(__xludf.DUMMYFUNCTION("""COMPUTED_VALUE"""),"")</f>
        <v/>
      </c>
      <c r="J564" s="19" t="str">
        <f ca="1">IFERROR(__xludf.DUMMYFUNCTION("""COMPUTED_VALUE"""),"")</f>
        <v/>
      </c>
      <c r="K564" s="19"/>
      <c r="L564" s="19"/>
      <c r="M564" s="19"/>
      <c r="N564" s="19"/>
      <c r="O564" s="59"/>
      <c r="P564" s="7"/>
      <c r="Q564" s="55"/>
      <c r="R564" s="55"/>
      <c r="S564" s="7"/>
      <c r="T564" s="55"/>
      <c r="U564" s="7"/>
      <c r="V564" s="55"/>
      <c r="W564" s="60"/>
      <c r="X564" s="55"/>
    </row>
    <row r="565" spans="1:24" ht="13" x14ac:dyDescent="0.15">
      <c r="A565" s="25" t="str">
        <f ca="1">IFERROR(__xludf.DUMMYFUNCTION("""COMPUTED_VALUE"""),"76848")</f>
        <v>76848</v>
      </c>
      <c r="B565" s="69">
        <f ca="1">IFERROR(__xludf.DUMMYFUNCTION("""COMPUTED_VALUE"""),44597)</f>
        <v>44597</v>
      </c>
      <c r="C565" s="69" t="str">
        <f ca="1">IFERROR(__xludf.DUMMYFUNCTION("""COMPUTED_VALUE"""),"Cash")</f>
        <v>Cash</v>
      </c>
      <c r="D565" s="5" t="str">
        <f ca="1">IFERROR(__xludf.DUMMYFUNCTION("""COMPUTED_VALUE"""),"Cash")</f>
        <v>Cash</v>
      </c>
      <c r="E565" s="5" t="str">
        <f ca="1">IFERROR(__xludf.DUMMYFUNCTION("""COMPUTED_VALUE"""),"HKD")</f>
        <v>HKD</v>
      </c>
      <c r="F565" s="55" t="str">
        <f ca="1">IFERROR(__xludf.DUMMYFUNCTION("""COMPUTED_VALUE"""),"")</f>
        <v/>
      </c>
      <c r="G565" s="56">
        <f ca="1">IFERROR(__xludf.DUMMYFUNCTION("""COMPUTED_VALUE"""),1)</f>
        <v>1</v>
      </c>
      <c r="H565" s="57">
        <f ca="1">IFERROR(__xludf.DUMMYFUNCTION("""COMPUTED_VALUE"""),1)</f>
        <v>1</v>
      </c>
      <c r="I565" s="57">
        <f ca="1">IFERROR(__xludf.DUMMYFUNCTION("""COMPUTED_VALUE"""),1)</f>
        <v>1</v>
      </c>
      <c r="J565" s="19" t="str">
        <f ca="1">IFERROR(__xludf.DUMMYFUNCTION("""COMPUTED_VALUE"""),"")</f>
        <v/>
      </c>
      <c r="K565" s="19"/>
      <c r="L565" s="19"/>
      <c r="M565" s="19"/>
      <c r="N565" s="19"/>
      <c r="O565" s="59"/>
      <c r="P565" s="7"/>
      <c r="Q565" s="55"/>
      <c r="R565" s="55"/>
      <c r="S565" s="7"/>
      <c r="T565" s="55"/>
      <c r="U565" s="7"/>
      <c r="V565" s="55"/>
      <c r="W565" s="60"/>
      <c r="X565" s="55"/>
    </row>
    <row r="566" spans="1:24" ht="13" x14ac:dyDescent="0.15">
      <c r="A566" s="25" t="str">
        <f ca="1">IFERROR(__xludf.DUMMYFUNCTION("""COMPUTED_VALUE"""),"76848")</f>
        <v>76848</v>
      </c>
      <c r="B566" s="69">
        <f ca="1">IFERROR(__xludf.DUMMYFUNCTION("""COMPUTED_VALUE"""),44603)</f>
        <v>44603</v>
      </c>
      <c r="C566" s="69" t="str">
        <f ca="1">IFERROR(__xludf.DUMMYFUNCTION("""COMPUTED_VALUE"""),"Stock")</f>
        <v>Stock</v>
      </c>
      <c r="D566" s="71" t="str">
        <f ca="1">IFERROR(__xludf.DUMMYFUNCTION("""COMPUTED_VALUE"""),"1398.HK")</f>
        <v>1398.HK</v>
      </c>
      <c r="E566" s="5" t="str">
        <f ca="1">IFERROR(__xludf.DUMMYFUNCTION("""COMPUTED_VALUE"""),"HKD")</f>
        <v>HKD</v>
      </c>
      <c r="F566" s="55">
        <f ca="1">IFERROR(__xludf.DUMMYFUNCTION("""COMPUTED_VALUE"""),500)</f>
        <v>500</v>
      </c>
      <c r="G566" s="56">
        <f ca="1">IFERROR(__xludf.DUMMYFUNCTION("""COMPUTED_VALUE"""),1)</f>
        <v>1</v>
      </c>
      <c r="H566" s="57">
        <f ca="1">IFERROR(__xludf.DUMMYFUNCTION("""COMPUTED_VALUE"""),4.93)</f>
        <v>4.93</v>
      </c>
      <c r="I566" s="57">
        <f ca="1">IFERROR(__xludf.DUMMYFUNCTION("""COMPUTED_VALUE"""),4.63)</f>
        <v>4.63</v>
      </c>
      <c r="J566" s="70" t="str">
        <f ca="1">IFERROR(__xludf.DUMMYFUNCTION("""COMPUTED_VALUE"""),"Goto link: 1398.HK")</f>
        <v>Goto link: 1398.HK</v>
      </c>
      <c r="K566" s="19"/>
      <c r="L566" s="19"/>
      <c r="M566" s="19"/>
      <c r="N566" s="19"/>
      <c r="O566" s="59"/>
      <c r="P566" s="7"/>
      <c r="Q566" s="55"/>
      <c r="R566" s="55"/>
      <c r="S566" s="7"/>
      <c r="T566" s="55"/>
      <c r="U566" s="7"/>
      <c r="V566" s="55"/>
      <c r="W566" s="60"/>
      <c r="X566" s="55"/>
    </row>
    <row r="567" spans="1:24" ht="13" x14ac:dyDescent="0.15">
      <c r="A567" s="25" t="str">
        <f ca="1">IFERROR(__xludf.DUMMYFUNCTION("""COMPUTED_VALUE"""),"76848")</f>
        <v>76848</v>
      </c>
      <c r="B567" s="69">
        <f ca="1">IFERROR(__xludf.DUMMYFUNCTION("""COMPUTED_VALUE"""),44603)</f>
        <v>44603</v>
      </c>
      <c r="C567" s="69" t="str">
        <f ca="1">IFERROR(__xludf.DUMMYFUNCTION("""COMPUTED_VALUE"""),"Stock")</f>
        <v>Stock</v>
      </c>
      <c r="D567" s="5" t="str">
        <f ca="1">IFERROR(__xludf.DUMMYFUNCTION("""COMPUTED_VALUE"""),"NET")</f>
        <v>NET</v>
      </c>
      <c r="E567" s="5" t="str">
        <f ca="1">IFERROR(__xludf.DUMMYFUNCTION("""COMPUTED_VALUE"""),"USD")</f>
        <v>USD</v>
      </c>
      <c r="F567" s="55">
        <f ca="1">IFERROR(__xludf.DUMMYFUNCTION("""COMPUTED_VALUE"""),10)</f>
        <v>10</v>
      </c>
      <c r="G567" s="56">
        <f ca="1">IFERROR(__xludf.DUMMYFUNCTION("""COMPUTED_VALUE"""),7.81344825)</f>
        <v>7.8134482500000004</v>
      </c>
      <c r="H567" s="57">
        <f ca="1">IFERROR(__xludf.DUMMYFUNCTION("""COMPUTED_VALUE"""),104.92)</f>
        <v>104.92</v>
      </c>
      <c r="I567" s="57">
        <f ca="1">IFERROR(__xludf.DUMMYFUNCTION("""COMPUTED_VALUE"""),117.59)</f>
        <v>117.59</v>
      </c>
      <c r="J567" s="70" t="str">
        <f ca="1">IFERROR(__xludf.DUMMYFUNCTION("""COMPUTED_VALUE"""),"Goto link: NET")</f>
        <v>Goto link: NET</v>
      </c>
      <c r="K567" s="19"/>
      <c r="L567" s="19"/>
      <c r="M567" s="19"/>
      <c r="N567" s="19"/>
      <c r="O567" s="59"/>
      <c r="P567" s="7"/>
      <c r="Q567" s="55"/>
      <c r="R567" s="55"/>
      <c r="S567" s="7"/>
      <c r="T567" s="55"/>
      <c r="U567" s="7"/>
      <c r="V567" s="55"/>
      <c r="W567" s="60"/>
      <c r="X567" s="55"/>
    </row>
    <row r="568" spans="1:24" ht="13" x14ac:dyDescent="0.15">
      <c r="A568" s="25" t="str">
        <f ca="1">IFERROR(__xludf.DUMMYFUNCTION("""COMPUTED_VALUE"""),"76848")</f>
        <v>76848</v>
      </c>
      <c r="B568" s="69">
        <f ca="1">IFERROR(__xludf.DUMMYFUNCTION("""COMPUTED_VALUE"""),44609)</f>
        <v>44609</v>
      </c>
      <c r="C568" s="69" t="str">
        <f ca="1">IFERROR(__xludf.DUMMYFUNCTION("""COMPUTED_VALUE"""),"Stock")</f>
        <v>Stock</v>
      </c>
      <c r="D568" s="5" t="str">
        <f ca="1">IFERROR(__xludf.DUMMYFUNCTION("""COMPUTED_VALUE"""),"AMAT")</f>
        <v>AMAT</v>
      </c>
      <c r="E568" s="5" t="str">
        <f ca="1">IFERROR(__xludf.DUMMYFUNCTION("""COMPUTED_VALUE"""),"USD")</f>
        <v>USD</v>
      </c>
      <c r="F568" s="55">
        <f ca="1">IFERROR(__xludf.DUMMYFUNCTION("""COMPUTED_VALUE"""),50)</f>
        <v>50</v>
      </c>
      <c r="G568" s="56">
        <f ca="1">IFERROR(__xludf.DUMMYFUNCTION("""COMPUTED_VALUE"""),7.81562485294117)</f>
        <v>7.8156248529411698</v>
      </c>
      <c r="H568" s="57">
        <f ca="1">IFERROR(__xludf.DUMMYFUNCTION("""COMPUTED_VALUE"""),136.47)</f>
        <v>136.47</v>
      </c>
      <c r="I568" s="57">
        <f ca="1">IFERROR(__xludf.DUMMYFUNCTION("""COMPUTED_VALUE"""),131.42)</f>
        <v>131.41999999999999</v>
      </c>
      <c r="J568" s="70" t="str">
        <f ca="1">IFERROR(__xludf.DUMMYFUNCTION("""COMPUTED_VALUE"""),"Goto link: AMAT")</f>
        <v>Goto link: AMAT</v>
      </c>
      <c r="K568" s="19"/>
      <c r="L568" s="19"/>
      <c r="M568" s="19"/>
      <c r="N568" s="19"/>
      <c r="O568" s="59"/>
      <c r="P568" s="7"/>
      <c r="Q568" s="55"/>
      <c r="R568" s="55"/>
      <c r="S568" s="7"/>
      <c r="T568" s="55"/>
      <c r="U568" s="7"/>
      <c r="V568" s="55"/>
      <c r="W568" s="60"/>
      <c r="X568" s="55"/>
    </row>
    <row r="569" spans="1:24" ht="13" x14ac:dyDescent="0.15">
      <c r="A569" s="25" t="str">
        <f ca="1">IFERROR(__xludf.DUMMYFUNCTION("""COMPUTED_VALUE"""),"76848")</f>
        <v>76848</v>
      </c>
      <c r="B569" s="69">
        <f ca="1">IFERROR(__xludf.DUMMYFUNCTION("""COMPUTED_VALUE"""),44616)</f>
        <v>44616</v>
      </c>
      <c r="C569" s="69" t="str">
        <f ca="1">IFERROR(__xludf.DUMMYFUNCTION("""COMPUTED_VALUE"""),"Stock")</f>
        <v>Stock</v>
      </c>
      <c r="D569" s="5" t="str">
        <f ca="1">IFERROR(__xludf.DUMMYFUNCTION("""COMPUTED_VALUE"""),"CL=F")</f>
        <v>CL=F</v>
      </c>
      <c r="E569" s="5" t="str">
        <f ca="1">IFERROR(__xludf.DUMMYFUNCTION("""COMPUTED_VALUE"""),"USD")</f>
        <v>USD</v>
      </c>
      <c r="F569" s="55">
        <f ca="1">IFERROR(__xludf.DUMMYFUNCTION("""COMPUTED_VALUE"""),0)</f>
        <v>0</v>
      </c>
      <c r="G569" s="56">
        <f ca="1">IFERROR(__xludf.DUMMYFUNCTION("""COMPUTED_VALUE"""),7.80775)</f>
        <v>7.8077500000000004</v>
      </c>
      <c r="H569" s="57">
        <f ca="1">IFERROR(__xludf.DUMMYFUNCTION("""COMPUTED_VALUE"""),0)</f>
        <v>0</v>
      </c>
      <c r="I569" s="57">
        <f ca="1">IFERROR(__xludf.DUMMYFUNCTION("""COMPUTED_VALUE"""),115.83)</f>
        <v>115.83</v>
      </c>
      <c r="J569" s="70" t="str">
        <f ca="1">IFERROR(__xludf.DUMMYFUNCTION("""COMPUTED_VALUE"""),"Goto link: CL=F")</f>
        <v>Goto link: CL=F</v>
      </c>
      <c r="K569" s="19"/>
      <c r="L569" s="19"/>
      <c r="M569" s="19"/>
      <c r="N569" s="19"/>
      <c r="O569" s="59"/>
      <c r="P569" s="7"/>
      <c r="Q569" s="55"/>
      <c r="R569" s="55"/>
      <c r="S569" s="7"/>
      <c r="T569" s="55"/>
      <c r="U569" s="7"/>
      <c r="V569" s="55"/>
      <c r="W569" s="60"/>
      <c r="X569" s="55"/>
    </row>
    <row r="570" spans="1:24" ht="13" x14ac:dyDescent="0.15">
      <c r="A570" s="25" t="str">
        <f ca="1">IFERROR(__xludf.DUMMYFUNCTION("""COMPUTED_VALUE"""),"76848")</f>
        <v>76848</v>
      </c>
      <c r="B570" s="69">
        <f ca="1">IFERROR(__xludf.DUMMYFUNCTION("""COMPUTED_VALUE"""),44616)</f>
        <v>44616</v>
      </c>
      <c r="C570" s="69" t="str">
        <f ca="1">IFERROR(__xludf.DUMMYFUNCTION("""COMPUTED_VALUE"""),"Stock")</f>
        <v>Stock</v>
      </c>
      <c r="D570" s="5" t="str">
        <f ca="1">IFERROR(__xludf.DUMMYFUNCTION("""COMPUTED_VALUE"""),"CL=F")</f>
        <v>CL=F</v>
      </c>
      <c r="E570" s="5" t="str">
        <f ca="1">IFERROR(__xludf.DUMMYFUNCTION("""COMPUTED_VALUE"""),"USD")</f>
        <v>USD</v>
      </c>
      <c r="F570" s="55">
        <f ca="1">IFERROR(__xludf.DUMMYFUNCTION("""COMPUTED_VALUE"""),100)</f>
        <v>100</v>
      </c>
      <c r="G570" s="56">
        <f ca="1">IFERROR(__xludf.DUMMYFUNCTION("""COMPUTED_VALUE"""),7.81980423076923)</f>
        <v>7.8198042307692299</v>
      </c>
      <c r="H570" s="57">
        <f ca="1">IFERROR(__xludf.DUMMYFUNCTION("""COMPUTED_VALUE"""),92.81)</f>
        <v>92.81</v>
      </c>
      <c r="I570" s="57">
        <f ca="1">IFERROR(__xludf.DUMMYFUNCTION("""COMPUTED_VALUE"""),115.83)</f>
        <v>115.83</v>
      </c>
      <c r="J570" s="70" t="str">
        <f ca="1">IFERROR(__xludf.DUMMYFUNCTION("""COMPUTED_VALUE"""),"Goto link: CL=F")</f>
        <v>Goto link: CL=F</v>
      </c>
      <c r="K570" s="19"/>
      <c r="L570" s="19"/>
      <c r="M570" s="19"/>
      <c r="N570" s="19"/>
      <c r="O570" s="59"/>
      <c r="P570" s="7"/>
      <c r="Q570" s="55"/>
      <c r="R570" s="55"/>
      <c r="S570" s="7"/>
      <c r="T570" s="55"/>
      <c r="U570" s="7"/>
      <c r="V570" s="55"/>
      <c r="W570" s="60"/>
      <c r="X570" s="55"/>
    </row>
    <row r="571" spans="1:24" ht="13" x14ac:dyDescent="0.15">
      <c r="A571" s="25" t="str">
        <f ca="1">IFERROR(__xludf.DUMMYFUNCTION("""COMPUTED_VALUE"""),"76848")</f>
        <v>76848</v>
      </c>
      <c r="B571" s="69">
        <f ca="1">IFERROR(__xludf.DUMMYFUNCTION("""COMPUTED_VALUE"""),44616)</f>
        <v>44616</v>
      </c>
      <c r="C571" s="69" t="str">
        <f ca="1">IFERROR(__xludf.DUMMYFUNCTION("""COMPUTED_VALUE"""),"Stock")</f>
        <v>Stock</v>
      </c>
      <c r="D571" s="5" t="str">
        <f ca="1">IFERROR(__xludf.DUMMYFUNCTION("""COMPUTED_VALUE"""),"NET")</f>
        <v>NET</v>
      </c>
      <c r="E571" s="5" t="str">
        <f ca="1">IFERROR(__xludf.DUMMYFUNCTION("""COMPUTED_VALUE"""),"USD")</f>
        <v>USD</v>
      </c>
      <c r="F571" s="55">
        <f ca="1">IFERROR(__xludf.DUMMYFUNCTION("""COMPUTED_VALUE"""),-10)</f>
        <v>-10</v>
      </c>
      <c r="G571" s="56">
        <f ca="1">IFERROR(__xludf.DUMMYFUNCTION("""COMPUTED_VALUE"""),7.81935777777777)</f>
        <v>7.8193577777777703</v>
      </c>
      <c r="H571" s="57">
        <f ca="1">IFERROR(__xludf.DUMMYFUNCTION("""COMPUTED_VALUE"""),108.38)</f>
        <v>108.38</v>
      </c>
      <c r="I571" s="57">
        <f ca="1">IFERROR(__xludf.DUMMYFUNCTION("""COMPUTED_VALUE"""),117.59)</f>
        <v>117.59</v>
      </c>
      <c r="J571" s="70" t="str">
        <f ca="1">IFERROR(__xludf.DUMMYFUNCTION("""COMPUTED_VALUE"""),"Goto link: NET")</f>
        <v>Goto link: NET</v>
      </c>
      <c r="K571" s="19"/>
      <c r="L571" s="19"/>
      <c r="M571" s="19"/>
      <c r="N571" s="19"/>
      <c r="O571" s="59"/>
      <c r="P571" s="7"/>
      <c r="Q571" s="55"/>
      <c r="R571" s="55"/>
      <c r="S571" s="7"/>
      <c r="T571" s="55"/>
      <c r="U571" s="7"/>
      <c r="V571" s="55"/>
      <c r="W571" s="60"/>
      <c r="X571" s="55"/>
    </row>
    <row r="572" spans="1:24" ht="13" x14ac:dyDescent="0.15">
      <c r="A572" s="25" t="str">
        <f ca="1">IFERROR(__xludf.DUMMYFUNCTION("""COMPUTED_VALUE"""),"76848")</f>
        <v>76848</v>
      </c>
      <c r="B572" s="69">
        <f ca="1">IFERROR(__xludf.DUMMYFUNCTION("""COMPUTED_VALUE"""),44617)</f>
        <v>44617</v>
      </c>
      <c r="C572" s="69" t="str">
        <f ca="1">IFERROR(__xludf.DUMMYFUNCTION("""COMPUTED_VALUE"""),"Stock")</f>
        <v>Stock</v>
      </c>
      <c r="D572" s="71" t="str">
        <f ca="1">IFERROR(__xludf.DUMMYFUNCTION("""COMPUTED_VALUE"""),"1398.HK")</f>
        <v>1398.HK</v>
      </c>
      <c r="E572" s="5" t="str">
        <f ca="1">IFERROR(__xludf.DUMMYFUNCTION("""COMPUTED_VALUE"""),"HKD")</f>
        <v>HKD</v>
      </c>
      <c r="F572" s="55">
        <f ca="1">IFERROR(__xludf.DUMMYFUNCTION("""COMPUTED_VALUE"""),1000)</f>
        <v>1000</v>
      </c>
      <c r="G572" s="56">
        <f ca="1">IFERROR(__xludf.DUMMYFUNCTION("""COMPUTED_VALUE"""),1)</f>
        <v>1</v>
      </c>
      <c r="H572" s="57">
        <f ca="1">IFERROR(__xludf.DUMMYFUNCTION("""COMPUTED_VALUE"""),4.58)</f>
        <v>4.58</v>
      </c>
      <c r="I572" s="57">
        <f ca="1">IFERROR(__xludf.DUMMYFUNCTION("""COMPUTED_VALUE"""),4.63)</f>
        <v>4.63</v>
      </c>
      <c r="J572" s="70" t="str">
        <f ca="1">IFERROR(__xludf.DUMMYFUNCTION("""COMPUTED_VALUE"""),"Goto link: 1398.HK")</f>
        <v>Goto link: 1398.HK</v>
      </c>
      <c r="K572" s="19"/>
      <c r="L572" s="19"/>
      <c r="M572" s="19"/>
      <c r="N572" s="19"/>
      <c r="O572" s="59"/>
      <c r="P572" s="7"/>
      <c r="Q572" s="55"/>
      <c r="R572" s="55"/>
      <c r="S572" s="7"/>
      <c r="T572" s="55"/>
      <c r="U572" s="7"/>
      <c r="V572" s="55"/>
      <c r="W572" s="60"/>
      <c r="X572" s="55"/>
    </row>
    <row r="573" spans="1:24" ht="13" x14ac:dyDescent="0.15">
      <c r="A573" s="25" t="str">
        <f ca="1">IFERROR(__xludf.DUMMYFUNCTION("""COMPUTED_VALUE"""),"76848")</f>
        <v>76848</v>
      </c>
      <c r="B573" s="69">
        <f ca="1">IFERROR(__xludf.DUMMYFUNCTION("""COMPUTED_VALUE"""),44617)</f>
        <v>44617</v>
      </c>
      <c r="C573" s="69" t="str">
        <f ca="1">IFERROR(__xludf.DUMMYFUNCTION("""COMPUTED_VALUE"""),"Stock")</f>
        <v>Stock</v>
      </c>
      <c r="D573" s="71" t="str">
        <f ca="1">IFERROR(__xludf.DUMMYFUNCTION("""COMPUTED_VALUE"""),"300157.SZ")</f>
        <v>300157.SZ</v>
      </c>
      <c r="E573" s="5" t="str">
        <f ca="1">IFERROR(__xludf.DUMMYFUNCTION("""COMPUTED_VALUE"""),"CNY")</f>
        <v>CNY</v>
      </c>
      <c r="F573" s="55">
        <f ca="1">IFERROR(__xludf.DUMMYFUNCTION("""COMPUTED_VALUE"""),0)</f>
        <v>0</v>
      </c>
      <c r="G573" s="56">
        <f ca="1">IFERROR(__xludf.DUMMYFUNCTION("""COMPUTED_VALUE"""),1.23384376923076)</f>
        <v>1.23384376923076</v>
      </c>
      <c r="H573" s="57">
        <f ca="1">IFERROR(__xludf.DUMMYFUNCTION("""COMPUTED_VALUE"""),0)</f>
        <v>0</v>
      </c>
      <c r="I573" s="57">
        <f ca="1">IFERROR(__xludf.DUMMYFUNCTION("""COMPUTED_VALUE"""),5.15)</f>
        <v>5.15</v>
      </c>
      <c r="J573" s="70" t="str">
        <f ca="1">IFERROR(__xludf.DUMMYFUNCTION("""COMPUTED_VALUE"""),"Goto link: 300157.SZ")</f>
        <v>Goto link: 300157.SZ</v>
      </c>
      <c r="K573" s="19"/>
      <c r="L573" s="19"/>
      <c r="M573" s="19"/>
      <c r="N573" s="19"/>
      <c r="O573" s="59"/>
      <c r="P573" s="7"/>
      <c r="Q573" s="55"/>
      <c r="R573" s="55"/>
      <c r="S573" s="7"/>
      <c r="T573" s="55"/>
      <c r="U573" s="7"/>
      <c r="V573" s="55"/>
      <c r="W573" s="60"/>
      <c r="X573" s="55"/>
    </row>
    <row r="574" spans="1:24" ht="13" x14ac:dyDescent="0.15">
      <c r="A574" s="25" t="str">
        <f ca="1">IFERROR(__xludf.DUMMYFUNCTION("""COMPUTED_VALUE"""),"76848")</f>
        <v>76848</v>
      </c>
      <c r="B574" s="69">
        <f ca="1">IFERROR(__xludf.DUMMYFUNCTION("""COMPUTED_VALUE"""),44624)</f>
        <v>44624</v>
      </c>
      <c r="C574" s="69" t="str">
        <f ca="1">IFERROR(__xludf.DUMMYFUNCTION("""COMPUTED_VALUE"""),"Stock")</f>
        <v>Stock</v>
      </c>
      <c r="D574" s="5" t="str">
        <f ca="1">IFERROR(__xludf.DUMMYFUNCTION("""COMPUTED_VALUE"""),"AMAT")</f>
        <v>AMAT</v>
      </c>
      <c r="E574" s="5" t="str">
        <f ca="1">IFERROR(__xludf.DUMMYFUNCTION("""COMPUTED_VALUE"""),"USD")</f>
        <v>USD</v>
      </c>
      <c r="F574" s="55">
        <f ca="1">IFERROR(__xludf.DUMMYFUNCTION("""COMPUTED_VALUE"""),0)</f>
        <v>0</v>
      </c>
      <c r="G574" s="56">
        <f ca="1">IFERROR(__xludf.DUMMYFUNCTION("""COMPUTED_VALUE"""),7.82266921052631)</f>
        <v>7.8226692105263096</v>
      </c>
      <c r="H574" s="57">
        <f ca="1">IFERROR(__xludf.DUMMYFUNCTION("""COMPUTED_VALUE"""),0)</f>
        <v>0</v>
      </c>
      <c r="I574" s="57">
        <f ca="1">IFERROR(__xludf.DUMMYFUNCTION("""COMPUTED_VALUE"""),131.42)</f>
        <v>131.41999999999999</v>
      </c>
      <c r="J574" s="70" t="str">
        <f ca="1">IFERROR(__xludf.DUMMYFUNCTION("""COMPUTED_VALUE"""),"Goto link: AMAT")</f>
        <v>Goto link: AMAT</v>
      </c>
      <c r="K574" s="19"/>
      <c r="L574" s="19"/>
      <c r="M574" s="19"/>
      <c r="N574" s="19"/>
      <c r="O574" s="59"/>
      <c r="P574" s="7"/>
      <c r="Q574" s="55"/>
      <c r="R574" s="55"/>
      <c r="S574" s="7"/>
      <c r="T574" s="55"/>
      <c r="U574" s="7"/>
      <c r="V574" s="55"/>
      <c r="W574" s="60"/>
      <c r="X574" s="55"/>
    </row>
    <row r="575" spans="1:24" ht="13" x14ac:dyDescent="0.15">
      <c r="A575" s="25" t="str">
        <f ca="1">IFERROR(__xludf.DUMMYFUNCTION("""COMPUTED_VALUE"""),"76848")</f>
        <v>76848</v>
      </c>
      <c r="B575" s="69">
        <f ca="1">IFERROR(__xludf.DUMMYFUNCTION("""COMPUTED_VALUE"""),44624)</f>
        <v>44624</v>
      </c>
      <c r="C575" s="69" t="str">
        <f ca="1">IFERROR(__xludf.DUMMYFUNCTION("""COMPUTED_VALUE"""),"Stock")</f>
        <v>Stock</v>
      </c>
      <c r="D575" s="5" t="str">
        <f ca="1">IFERROR(__xludf.DUMMYFUNCTION("""COMPUTED_VALUE"""),"BRK-B")</f>
        <v>BRK-B</v>
      </c>
      <c r="E575" s="5" t="str">
        <f ca="1">IFERROR(__xludf.DUMMYFUNCTION("""COMPUTED_VALUE"""),"USD")</f>
        <v>USD</v>
      </c>
      <c r="F575" s="55">
        <f ca="1">IFERROR(__xludf.DUMMYFUNCTION("""COMPUTED_VALUE"""),-40)</f>
        <v>-40</v>
      </c>
      <c r="G575" s="56">
        <f ca="1">IFERROR(__xludf.DUMMYFUNCTION("""COMPUTED_VALUE"""),7.82266921052631)</f>
        <v>7.8226692105263096</v>
      </c>
      <c r="H575" s="57">
        <f ca="1">IFERROR(__xludf.DUMMYFUNCTION("""COMPUTED_VALUE"""),325.34)</f>
        <v>325.33999999999997</v>
      </c>
      <c r="I575" s="57">
        <f ca="1">IFERROR(__xludf.DUMMYFUNCTION("""COMPUTED_VALUE"""),348.16)</f>
        <v>348.16</v>
      </c>
      <c r="J575" s="70" t="str">
        <f ca="1">IFERROR(__xludf.DUMMYFUNCTION("""COMPUTED_VALUE"""),"Goto link: BRK-B")</f>
        <v>Goto link: BRK-B</v>
      </c>
      <c r="K575" s="19"/>
      <c r="L575" s="19"/>
      <c r="M575" s="19"/>
      <c r="N575" s="19"/>
      <c r="O575" s="59"/>
      <c r="P575" s="7"/>
      <c r="Q575" s="55"/>
      <c r="R575" s="55"/>
      <c r="S575" s="7"/>
      <c r="T575" s="55"/>
      <c r="U575" s="7"/>
      <c r="V575" s="55"/>
      <c r="W575" s="60"/>
      <c r="X575" s="55"/>
    </row>
    <row r="576" spans="1:24" ht="13" x14ac:dyDescent="0.15">
      <c r="A576" s="25" t="str">
        <f ca="1">IFERROR(__xludf.DUMMYFUNCTION("""COMPUTED_VALUE"""),"76848")</f>
        <v>76848</v>
      </c>
      <c r="B576" s="69">
        <f ca="1">IFERROR(__xludf.DUMMYFUNCTION("""COMPUTED_VALUE"""),44630)</f>
        <v>44630</v>
      </c>
      <c r="C576" s="69" t="str">
        <f ca="1">IFERROR(__xludf.DUMMYFUNCTION("""COMPUTED_VALUE"""),"Stock")</f>
        <v>Stock</v>
      </c>
      <c r="D576" s="5" t="str">
        <f ca="1">IFERROR(__xludf.DUMMYFUNCTION("""COMPUTED_VALUE"""),"AAPL")</f>
        <v>AAPL</v>
      </c>
      <c r="E576" s="5" t="str">
        <f ca="1">IFERROR(__xludf.DUMMYFUNCTION("""COMPUTED_VALUE"""),"USD")</f>
        <v>USD</v>
      </c>
      <c r="F576" s="55">
        <f ca="1">IFERROR(__xludf.DUMMYFUNCTION("""COMPUTED_VALUE"""),20)</f>
        <v>20</v>
      </c>
      <c r="G576" s="56">
        <f ca="1">IFERROR(__xludf.DUMMYFUNCTION("""COMPUTED_VALUE"""),7.82537884615384)</f>
        <v>7.8253788461538401</v>
      </c>
      <c r="H576" s="57">
        <f ca="1">IFERROR(__xludf.DUMMYFUNCTION("""COMPUTED_VALUE"""),162.95)</f>
        <v>162.94999999999999</v>
      </c>
      <c r="I576" s="57">
        <f ca="1">IFERROR(__xludf.DUMMYFUNCTION("""COMPUTED_VALUE"""),170.21)</f>
        <v>170.21</v>
      </c>
      <c r="J576" s="70" t="str">
        <f ca="1">IFERROR(__xludf.DUMMYFUNCTION("""COMPUTED_VALUE"""),"Goto link: AAPL")</f>
        <v>Goto link: AAPL</v>
      </c>
      <c r="K576" s="19"/>
      <c r="L576" s="19"/>
      <c r="M576" s="19"/>
      <c r="N576" s="19"/>
      <c r="O576" s="59"/>
      <c r="P576" s="7"/>
      <c r="Q576" s="55"/>
      <c r="R576" s="55"/>
      <c r="S576" s="7"/>
      <c r="T576" s="55"/>
      <c r="U576" s="7"/>
      <c r="V576" s="55"/>
      <c r="W576" s="60"/>
      <c r="X576" s="55"/>
    </row>
    <row r="577" spans="1:24" ht="13" x14ac:dyDescent="0.15">
      <c r="A577" s="25" t="str">
        <f ca="1">IFERROR(__xludf.DUMMYFUNCTION("""COMPUTED_VALUE"""),"76848")</f>
        <v>76848</v>
      </c>
      <c r="B577" s="69">
        <f ca="1">IFERROR(__xludf.DUMMYFUNCTION("""COMPUTED_VALUE"""),44630)</f>
        <v>44630</v>
      </c>
      <c r="C577" s="69" t="str">
        <f ca="1">IFERROR(__xludf.DUMMYFUNCTION("""COMPUTED_VALUE"""),"Stock")</f>
        <v>Stock</v>
      </c>
      <c r="D577" s="5" t="str">
        <f ca="1">IFERROR(__xludf.DUMMYFUNCTION("""COMPUTED_VALUE"""),"BRK-B")</f>
        <v>BRK-B</v>
      </c>
      <c r="E577" s="5" t="str">
        <f ca="1">IFERROR(__xludf.DUMMYFUNCTION("""COMPUTED_VALUE"""),"USD")</f>
        <v>USD</v>
      </c>
      <c r="F577" s="55">
        <f ca="1">IFERROR(__xludf.DUMMYFUNCTION("""COMPUTED_VALUE"""),40)</f>
        <v>40</v>
      </c>
      <c r="G577" s="56">
        <f ca="1">IFERROR(__xludf.DUMMYFUNCTION("""COMPUTED_VALUE"""),7.82537884615384)</f>
        <v>7.8253788461538401</v>
      </c>
      <c r="H577" s="57">
        <f ca="1">IFERROR(__xludf.DUMMYFUNCTION("""COMPUTED_VALUE"""),325.4)</f>
        <v>325.39999999999998</v>
      </c>
      <c r="I577" s="57">
        <f ca="1">IFERROR(__xludf.DUMMYFUNCTION("""COMPUTED_VALUE"""),348.16)</f>
        <v>348.16</v>
      </c>
      <c r="J577" s="70" t="str">
        <f ca="1">IFERROR(__xludf.DUMMYFUNCTION("""COMPUTED_VALUE"""),"Goto link: BRK-B")</f>
        <v>Goto link: BRK-B</v>
      </c>
      <c r="K577" s="19"/>
      <c r="L577" s="19"/>
      <c r="M577" s="19"/>
      <c r="N577" s="19"/>
      <c r="O577" s="59"/>
      <c r="P577" s="7"/>
      <c r="Q577" s="55"/>
      <c r="R577" s="55"/>
      <c r="S577" s="7"/>
      <c r="T577" s="55"/>
      <c r="U577" s="7"/>
      <c r="V577" s="55"/>
      <c r="W577" s="60"/>
      <c r="X577" s="55"/>
    </row>
    <row r="578" spans="1:24" ht="13" x14ac:dyDescent="0.15">
      <c r="A578" s="25" t="str">
        <f ca="1">IFERROR(__xludf.DUMMYFUNCTION("""COMPUTED_VALUE"""),"76848")</f>
        <v>76848</v>
      </c>
      <c r="B578" s="69">
        <f ca="1">IFERROR(__xludf.DUMMYFUNCTION("""COMPUTED_VALUE"""),44630)</f>
        <v>44630</v>
      </c>
      <c r="C578" s="69" t="str">
        <f ca="1">IFERROR(__xludf.DUMMYFUNCTION("""COMPUTED_VALUE"""),"Stock")</f>
        <v>Stock</v>
      </c>
      <c r="D578" s="5" t="str">
        <f ca="1">IFERROR(__xludf.DUMMYFUNCTION("""COMPUTED_VALUE"""),"CL=F")</f>
        <v>CL=F</v>
      </c>
      <c r="E578" s="5" t="str">
        <f ca="1">IFERROR(__xludf.DUMMYFUNCTION("""COMPUTED_VALUE"""),"USD")</f>
        <v>USD</v>
      </c>
      <c r="F578" s="55">
        <f ca="1">IFERROR(__xludf.DUMMYFUNCTION("""COMPUTED_VALUE"""),100)</f>
        <v>100</v>
      </c>
      <c r="G578" s="56">
        <f ca="1">IFERROR(__xludf.DUMMYFUNCTION("""COMPUTED_VALUE"""),7.82537884615384)</f>
        <v>7.8253788461538401</v>
      </c>
      <c r="H578" s="57">
        <f ca="1">IFERROR(__xludf.DUMMYFUNCTION("""COMPUTED_VALUE"""),106.04)</f>
        <v>106.04</v>
      </c>
      <c r="I578" s="57">
        <f ca="1">IFERROR(__xludf.DUMMYFUNCTION("""COMPUTED_VALUE"""),115.83)</f>
        <v>115.83</v>
      </c>
      <c r="J578" s="70" t="str">
        <f ca="1">IFERROR(__xludf.DUMMYFUNCTION("""COMPUTED_VALUE"""),"Goto link: CL=F")</f>
        <v>Goto link: CL=F</v>
      </c>
      <c r="K578" s="19"/>
      <c r="L578" s="19"/>
      <c r="M578" s="19"/>
      <c r="N578" s="19"/>
      <c r="O578" s="59"/>
      <c r="P578" s="7"/>
      <c r="Q578" s="55"/>
      <c r="R578" s="55"/>
      <c r="S578" s="7"/>
      <c r="T578" s="55"/>
      <c r="U578" s="7"/>
      <c r="V578" s="55"/>
      <c r="W578" s="60"/>
      <c r="X578" s="55"/>
    </row>
    <row r="579" spans="1:24" ht="13" x14ac:dyDescent="0.15">
      <c r="A579" s="25" t="str">
        <f ca="1">IFERROR(__xludf.DUMMYFUNCTION("""COMPUTED_VALUE"""),"76848")</f>
        <v>76848</v>
      </c>
      <c r="B579" s="69">
        <f ca="1">IFERROR(__xludf.DUMMYFUNCTION("""COMPUTED_VALUE"""),44635)</f>
        <v>44635</v>
      </c>
      <c r="C579" s="69" t="str">
        <f ca="1">IFERROR(__xludf.DUMMYFUNCTION("""COMPUTED_VALUE"""),"Stock")</f>
        <v>Stock</v>
      </c>
      <c r="D579" s="5" t="str">
        <f ca="1">IFERROR(__xludf.DUMMYFUNCTION("""COMPUTED_VALUE"""),"CL=F")</f>
        <v>CL=F</v>
      </c>
      <c r="E579" s="5" t="str">
        <f ca="1">IFERROR(__xludf.DUMMYFUNCTION("""COMPUTED_VALUE"""),"USD")</f>
        <v>USD</v>
      </c>
      <c r="F579" s="55">
        <f ca="1">IFERROR(__xludf.DUMMYFUNCTION("""COMPUTED_VALUE"""),-200)</f>
        <v>-200</v>
      </c>
      <c r="G579" s="56">
        <f ca="1">IFERROR(__xludf.DUMMYFUNCTION("""COMPUTED_VALUE"""),7.823749375)</f>
        <v>7.8237493750000002</v>
      </c>
      <c r="H579" s="57">
        <f ca="1">IFERROR(__xludf.DUMMYFUNCTION("""COMPUTED_VALUE"""),96.13)</f>
        <v>96.13</v>
      </c>
      <c r="I579" s="57">
        <f ca="1">IFERROR(__xludf.DUMMYFUNCTION("""COMPUTED_VALUE"""),115.83)</f>
        <v>115.83</v>
      </c>
      <c r="J579" s="70" t="str">
        <f ca="1">IFERROR(__xludf.DUMMYFUNCTION("""COMPUTED_VALUE"""),"Goto link: CL=F")</f>
        <v>Goto link: CL=F</v>
      </c>
      <c r="K579" s="19"/>
      <c r="L579" s="19"/>
      <c r="M579" s="19"/>
      <c r="N579" s="19"/>
      <c r="O579" s="59"/>
      <c r="P579" s="7"/>
      <c r="Q579" s="55"/>
      <c r="R579" s="55"/>
      <c r="S579" s="7"/>
      <c r="T579" s="55"/>
      <c r="U579" s="7"/>
      <c r="V579" s="55"/>
      <c r="W579" s="60"/>
      <c r="X579" s="55"/>
    </row>
    <row r="580" spans="1:24" ht="13" x14ac:dyDescent="0.15">
      <c r="A580" s="25" t="str">
        <f ca="1">IFERROR(__xludf.DUMMYFUNCTION("""COMPUTED_VALUE"""),"76848")</f>
        <v>76848</v>
      </c>
      <c r="B580" s="69">
        <f ca="1">IFERROR(__xludf.DUMMYFUNCTION("""COMPUTED_VALUE"""),44635)</f>
        <v>44635</v>
      </c>
      <c r="C580" s="69" t="str">
        <f ca="1">IFERROR(__xludf.DUMMYFUNCTION("""COMPUTED_VALUE"""),"Stock")</f>
        <v>Stock</v>
      </c>
      <c r="D580" s="5" t="str">
        <f ca="1">IFERROR(__xludf.DUMMYFUNCTION("""COMPUTED_VALUE"""),"IXHL")</f>
        <v>IXHL</v>
      </c>
      <c r="E580" s="5" t="str">
        <f ca="1">IFERROR(__xludf.DUMMYFUNCTION("""COMPUTED_VALUE"""),"USD")</f>
        <v>USD</v>
      </c>
      <c r="F580" s="55">
        <f ca="1">IFERROR(__xludf.DUMMYFUNCTION("""COMPUTED_VALUE"""),0)</f>
        <v>0</v>
      </c>
      <c r="G580" s="56">
        <f ca="1">IFERROR(__xludf.DUMMYFUNCTION("""COMPUTED_VALUE"""),7.823749375)</f>
        <v>7.8237493750000002</v>
      </c>
      <c r="H580" s="57">
        <f ca="1">IFERROR(__xludf.DUMMYFUNCTION("""COMPUTED_VALUE"""),0)</f>
        <v>0</v>
      </c>
      <c r="I580" s="57">
        <f ca="1">IFERROR(__xludf.DUMMYFUNCTION("""COMPUTED_VALUE"""),11.78)</f>
        <v>11.78</v>
      </c>
      <c r="J580" s="70" t="str">
        <f ca="1">IFERROR(__xludf.DUMMYFUNCTION("""COMPUTED_VALUE"""),"Goto link: IXHL")</f>
        <v>Goto link: IXHL</v>
      </c>
      <c r="K580" s="19"/>
      <c r="L580" s="19"/>
      <c r="M580" s="19"/>
      <c r="N580" s="19"/>
      <c r="O580" s="59"/>
      <c r="P580" s="7"/>
      <c r="Q580" s="55"/>
      <c r="R580" s="55"/>
      <c r="S580" s="7"/>
      <c r="T580" s="55"/>
      <c r="U580" s="7"/>
      <c r="V580" s="55"/>
      <c r="W580" s="60"/>
      <c r="X580" s="55"/>
    </row>
    <row r="581" spans="1:24" ht="13" x14ac:dyDescent="0.15">
      <c r="A581" s="25" t="str">
        <f ca="1">IFERROR(__xludf.DUMMYFUNCTION("""COMPUTED_VALUE"""),"76848")</f>
        <v>76848</v>
      </c>
      <c r="B581" s="69">
        <f ca="1">IFERROR(__xludf.DUMMYFUNCTION("""COMPUTED_VALUE"""),44636)</f>
        <v>44636</v>
      </c>
      <c r="C581" s="69" t="str">
        <f ca="1">IFERROR(__xludf.DUMMYFUNCTION("""COMPUTED_VALUE"""),"Stock")</f>
        <v>Stock</v>
      </c>
      <c r="D581" s="71" t="str">
        <f ca="1">IFERROR(__xludf.DUMMYFUNCTION("""COMPUTED_VALUE"""),"1398.HK")</f>
        <v>1398.HK</v>
      </c>
      <c r="E581" s="5" t="str">
        <f ca="1">IFERROR(__xludf.DUMMYFUNCTION("""COMPUTED_VALUE"""),"HKD")</f>
        <v>HKD</v>
      </c>
      <c r="F581" s="55">
        <f ca="1">IFERROR(__xludf.DUMMYFUNCTION("""COMPUTED_VALUE"""),0)</f>
        <v>0</v>
      </c>
      <c r="G581" s="56">
        <f ca="1">IFERROR(__xludf.DUMMYFUNCTION("""COMPUTED_VALUE"""),1)</f>
        <v>1</v>
      </c>
      <c r="H581" s="57">
        <f ca="1">IFERROR(__xludf.DUMMYFUNCTION("""COMPUTED_VALUE"""),0)</f>
        <v>0</v>
      </c>
      <c r="I581" s="57">
        <f ca="1">IFERROR(__xludf.DUMMYFUNCTION("""COMPUTED_VALUE"""),4.63)</f>
        <v>4.63</v>
      </c>
      <c r="J581" s="70" t="str">
        <f ca="1">IFERROR(__xludf.DUMMYFUNCTION("""COMPUTED_VALUE"""),"Goto link: 1398.HK")</f>
        <v>Goto link: 1398.HK</v>
      </c>
      <c r="K581" s="19"/>
      <c r="L581" s="19"/>
      <c r="M581" s="19"/>
      <c r="N581" s="19"/>
      <c r="O581" s="59"/>
      <c r="P581" s="7"/>
      <c r="Q581" s="55"/>
      <c r="R581" s="55"/>
      <c r="S581" s="7"/>
      <c r="T581" s="55"/>
      <c r="U581" s="7"/>
      <c r="V581" s="55"/>
      <c r="W581" s="60"/>
      <c r="X581" s="55"/>
    </row>
    <row r="582" spans="1:24" ht="13" x14ac:dyDescent="0.15">
      <c r="A582" s="25" t="str">
        <f ca="1">IFERROR(__xludf.DUMMYFUNCTION("""COMPUTED_VALUE"""),"76848")</f>
        <v>76848</v>
      </c>
      <c r="B582" s="69">
        <f ca="1">IFERROR(__xludf.DUMMYFUNCTION("""COMPUTED_VALUE"""),44637)</f>
        <v>44637</v>
      </c>
      <c r="C582" s="69" t="str">
        <f ca="1">IFERROR(__xludf.DUMMYFUNCTION("""COMPUTED_VALUE"""),"Stock")</f>
        <v>Stock</v>
      </c>
      <c r="D582" s="5" t="str">
        <f ca="1">IFERROR(__xludf.DUMMYFUNCTION("""COMPUTED_VALUE"""),"IXHL")</f>
        <v>IXHL</v>
      </c>
      <c r="E582" s="5" t="str">
        <f ca="1">IFERROR(__xludf.DUMMYFUNCTION("""COMPUTED_VALUE"""),"USD")</f>
        <v>USD</v>
      </c>
      <c r="F582" s="55">
        <f ca="1">IFERROR(__xludf.DUMMYFUNCTION("""COMPUTED_VALUE"""),0)</f>
        <v>0</v>
      </c>
      <c r="G582" s="56">
        <f ca="1">IFERROR(__xludf.DUMMYFUNCTION("""COMPUTED_VALUE"""),7.82374916666666)</f>
        <v>7.8237491666666603</v>
      </c>
      <c r="H582" s="57">
        <f ca="1">IFERROR(__xludf.DUMMYFUNCTION("""COMPUTED_VALUE"""),0)</f>
        <v>0</v>
      </c>
      <c r="I582" s="57">
        <f ca="1">IFERROR(__xludf.DUMMYFUNCTION("""COMPUTED_VALUE"""),11.78)</f>
        <v>11.78</v>
      </c>
      <c r="J582" s="70" t="str">
        <f ca="1">IFERROR(__xludf.DUMMYFUNCTION("""COMPUTED_VALUE"""),"Goto link: IXHL")</f>
        <v>Goto link: IXHL</v>
      </c>
      <c r="K582" s="19"/>
      <c r="L582" s="19"/>
      <c r="M582" s="19"/>
      <c r="N582" s="19"/>
      <c r="O582" s="59"/>
      <c r="P582" s="7"/>
      <c r="Q582" s="55"/>
      <c r="R582" s="55"/>
      <c r="S582" s="7"/>
      <c r="T582" s="55"/>
      <c r="U582" s="7"/>
      <c r="V582" s="55"/>
      <c r="W582" s="60"/>
      <c r="X582" s="55"/>
    </row>
    <row r="583" spans="1:24" ht="13" x14ac:dyDescent="0.15">
      <c r="A583" s="25" t="str">
        <f ca="1">IFERROR(__xludf.DUMMYFUNCTION("""COMPUTED_VALUE"""),"76848 Total")</f>
        <v>76848 Total</v>
      </c>
      <c r="B583" s="5"/>
      <c r="C583" s="69"/>
      <c r="D583" s="5"/>
      <c r="E583" s="5"/>
      <c r="F583" s="55"/>
      <c r="G583" s="56">
        <f ca="1">IFERROR(__xludf.DUMMYFUNCTION("""COMPUTED_VALUE"""),5.17787129838708)</f>
        <v>5.17787129838708</v>
      </c>
      <c r="H583" s="57">
        <f ca="1">IFERROR(__xludf.DUMMYFUNCTION("""COMPUTED_VALUE"""),325.4)</f>
        <v>325.39999999999998</v>
      </c>
      <c r="I583" s="57" t="str">
        <f ca="1">IFERROR(__xludf.DUMMYFUNCTION("""COMPUTED_VALUE"""),"")</f>
        <v/>
      </c>
      <c r="J583" s="19" t="str">
        <f ca="1">IFERROR(__xludf.DUMMYFUNCTION("""COMPUTED_VALUE"""),"")</f>
        <v/>
      </c>
      <c r="K583" s="19"/>
      <c r="L583" s="19"/>
      <c r="M583" s="19"/>
      <c r="N583" s="19"/>
      <c r="O583" s="59"/>
      <c r="P583" s="7"/>
      <c r="Q583" s="55"/>
      <c r="R583" s="55"/>
      <c r="S583" s="7"/>
      <c r="T583" s="55"/>
      <c r="U583" s="7"/>
      <c r="V583" s="55"/>
      <c r="W583" s="60"/>
      <c r="X583" s="55"/>
    </row>
    <row r="584" spans="1:24" ht="13" x14ac:dyDescent="0.15">
      <c r="A584" s="25" t="str">
        <f ca="1">IFERROR(__xludf.DUMMYFUNCTION("""COMPUTED_VALUE"""),"76937")</f>
        <v>76937</v>
      </c>
      <c r="B584" s="69">
        <f ca="1">IFERROR(__xludf.DUMMYFUNCTION("""COMPUTED_VALUE"""),44597)</f>
        <v>44597</v>
      </c>
      <c r="C584" s="69" t="str">
        <f ca="1">IFERROR(__xludf.DUMMYFUNCTION("""COMPUTED_VALUE"""),"Cash")</f>
        <v>Cash</v>
      </c>
      <c r="D584" s="5" t="str">
        <f ca="1">IFERROR(__xludf.DUMMYFUNCTION("""COMPUTED_VALUE"""),"Cash")</f>
        <v>Cash</v>
      </c>
      <c r="E584" s="5" t="str">
        <f ca="1">IFERROR(__xludf.DUMMYFUNCTION("""COMPUTED_VALUE"""),"HKD")</f>
        <v>HKD</v>
      </c>
      <c r="F584" s="55" t="str">
        <f ca="1">IFERROR(__xludf.DUMMYFUNCTION("""COMPUTED_VALUE"""),"")</f>
        <v/>
      </c>
      <c r="G584" s="56">
        <f ca="1">IFERROR(__xludf.DUMMYFUNCTION("""COMPUTED_VALUE"""),1)</f>
        <v>1</v>
      </c>
      <c r="H584" s="57">
        <f ca="1">IFERROR(__xludf.DUMMYFUNCTION("""COMPUTED_VALUE"""),1)</f>
        <v>1</v>
      </c>
      <c r="I584" s="57">
        <f ca="1">IFERROR(__xludf.DUMMYFUNCTION("""COMPUTED_VALUE"""),1)</f>
        <v>1</v>
      </c>
      <c r="J584" s="19" t="str">
        <f ca="1">IFERROR(__xludf.DUMMYFUNCTION("""COMPUTED_VALUE"""),"")</f>
        <v/>
      </c>
      <c r="K584" s="19"/>
      <c r="L584" s="19"/>
      <c r="M584" s="19"/>
      <c r="N584" s="19"/>
      <c r="O584" s="59"/>
      <c r="P584" s="7"/>
      <c r="Q584" s="55"/>
      <c r="R584" s="55"/>
      <c r="S584" s="7"/>
      <c r="T584" s="55"/>
      <c r="U584" s="7"/>
      <c r="V584" s="55"/>
      <c r="W584" s="60"/>
      <c r="X584" s="55"/>
    </row>
    <row r="585" spans="1:24" ht="13" x14ac:dyDescent="0.15">
      <c r="A585" s="25" t="str">
        <f ca="1">IFERROR(__xludf.DUMMYFUNCTION("""COMPUTED_VALUE"""),"76937 Total")</f>
        <v>76937 Total</v>
      </c>
      <c r="B585" s="5"/>
      <c r="C585" s="69"/>
      <c r="D585" s="5"/>
      <c r="E585" s="5"/>
      <c r="F585" s="55"/>
      <c r="G585" s="56">
        <f ca="1">IFERROR(__xludf.DUMMYFUNCTION("""COMPUTED_VALUE"""),1)</f>
        <v>1</v>
      </c>
      <c r="H585" s="57">
        <f ca="1">IFERROR(__xludf.DUMMYFUNCTION("""COMPUTED_VALUE"""),1)</f>
        <v>1</v>
      </c>
      <c r="I585" s="57" t="str">
        <f ca="1">IFERROR(__xludf.DUMMYFUNCTION("""COMPUTED_VALUE"""),"")</f>
        <v/>
      </c>
      <c r="J585" s="19" t="str">
        <f ca="1">IFERROR(__xludf.DUMMYFUNCTION("""COMPUTED_VALUE"""),"")</f>
        <v/>
      </c>
      <c r="K585" s="19"/>
      <c r="L585" s="19"/>
      <c r="M585" s="19"/>
      <c r="N585" s="19"/>
      <c r="O585" s="59"/>
      <c r="P585" s="7"/>
      <c r="Q585" s="55"/>
      <c r="R585" s="55"/>
      <c r="S585" s="7"/>
      <c r="T585" s="55"/>
      <c r="U585" s="7"/>
      <c r="V585" s="55"/>
      <c r="W585" s="60"/>
      <c r="X585" s="55"/>
    </row>
    <row r="586" spans="1:24" ht="13" x14ac:dyDescent="0.15">
      <c r="A586" s="25" t="str">
        <f ca="1">IFERROR(__xludf.DUMMYFUNCTION("""COMPUTED_VALUE"""),"76938")</f>
        <v>76938</v>
      </c>
      <c r="B586" s="69">
        <f ca="1">IFERROR(__xludf.DUMMYFUNCTION("""COMPUTED_VALUE"""),44597)</f>
        <v>44597</v>
      </c>
      <c r="C586" s="69" t="str">
        <f ca="1">IFERROR(__xludf.DUMMYFUNCTION("""COMPUTED_VALUE"""),"Cash")</f>
        <v>Cash</v>
      </c>
      <c r="D586" s="5" t="str">
        <f ca="1">IFERROR(__xludf.DUMMYFUNCTION("""COMPUTED_VALUE"""),"Cash")</f>
        <v>Cash</v>
      </c>
      <c r="E586" s="5" t="str">
        <f ca="1">IFERROR(__xludf.DUMMYFUNCTION("""COMPUTED_VALUE"""),"HKD")</f>
        <v>HKD</v>
      </c>
      <c r="F586" s="55" t="str">
        <f ca="1">IFERROR(__xludf.DUMMYFUNCTION("""COMPUTED_VALUE"""),"")</f>
        <v/>
      </c>
      <c r="G586" s="56">
        <f ca="1">IFERROR(__xludf.DUMMYFUNCTION("""COMPUTED_VALUE"""),1)</f>
        <v>1</v>
      </c>
      <c r="H586" s="57">
        <f ca="1">IFERROR(__xludf.DUMMYFUNCTION("""COMPUTED_VALUE"""),1)</f>
        <v>1</v>
      </c>
      <c r="I586" s="57">
        <f ca="1">IFERROR(__xludf.DUMMYFUNCTION("""COMPUTED_VALUE"""),1)</f>
        <v>1</v>
      </c>
      <c r="J586" s="19" t="str">
        <f ca="1">IFERROR(__xludf.DUMMYFUNCTION("""COMPUTED_VALUE"""),"")</f>
        <v/>
      </c>
      <c r="K586" s="19"/>
      <c r="L586" s="19"/>
      <c r="M586" s="19"/>
      <c r="N586" s="19"/>
      <c r="O586" s="59"/>
      <c r="P586" s="7"/>
      <c r="Q586" s="55"/>
      <c r="R586" s="55"/>
      <c r="S586" s="7"/>
      <c r="T586" s="55"/>
      <c r="U586" s="7"/>
      <c r="V586" s="55"/>
      <c r="W586" s="60"/>
      <c r="X586" s="55"/>
    </row>
    <row r="587" spans="1:24" ht="13" x14ac:dyDescent="0.15">
      <c r="A587" s="25" t="str">
        <f ca="1">IFERROR(__xludf.DUMMYFUNCTION("""COMPUTED_VALUE"""),"76938 Total")</f>
        <v>76938 Total</v>
      </c>
      <c r="B587" s="5"/>
      <c r="C587" s="69"/>
      <c r="D587" s="5"/>
      <c r="E587" s="5"/>
      <c r="F587" s="55"/>
      <c r="G587" s="56">
        <f ca="1">IFERROR(__xludf.DUMMYFUNCTION("""COMPUTED_VALUE"""),1)</f>
        <v>1</v>
      </c>
      <c r="H587" s="57">
        <f ca="1">IFERROR(__xludf.DUMMYFUNCTION("""COMPUTED_VALUE"""),1)</f>
        <v>1</v>
      </c>
      <c r="I587" s="57" t="str">
        <f ca="1">IFERROR(__xludf.DUMMYFUNCTION("""COMPUTED_VALUE"""),"")</f>
        <v/>
      </c>
      <c r="J587" s="19" t="str">
        <f ca="1">IFERROR(__xludf.DUMMYFUNCTION("""COMPUTED_VALUE"""),"")</f>
        <v/>
      </c>
      <c r="K587" s="19"/>
      <c r="L587" s="19"/>
      <c r="M587" s="19"/>
      <c r="N587" s="19"/>
      <c r="O587" s="59"/>
      <c r="P587" s="7"/>
      <c r="Q587" s="55"/>
      <c r="R587" s="55"/>
      <c r="S587" s="7"/>
      <c r="T587" s="55"/>
      <c r="U587" s="7"/>
      <c r="V587" s="55"/>
      <c r="W587" s="60"/>
      <c r="X587" s="55"/>
    </row>
    <row r="588" spans="1:24" ht="13" x14ac:dyDescent="0.15">
      <c r="A588" s="25" t="str">
        <f ca="1">IFERROR(__xludf.DUMMYFUNCTION("""COMPUTED_VALUE"""),"76975")</f>
        <v>76975</v>
      </c>
      <c r="B588" s="69">
        <f ca="1">IFERROR(__xludf.DUMMYFUNCTION("""COMPUTED_VALUE"""),44597)</f>
        <v>44597</v>
      </c>
      <c r="C588" s="69" t="str">
        <f ca="1">IFERROR(__xludf.DUMMYFUNCTION("""COMPUTED_VALUE"""),"Cash")</f>
        <v>Cash</v>
      </c>
      <c r="D588" s="5" t="str">
        <f ca="1">IFERROR(__xludf.DUMMYFUNCTION("""COMPUTED_VALUE"""),"Cash")</f>
        <v>Cash</v>
      </c>
      <c r="E588" s="5" t="str">
        <f ca="1">IFERROR(__xludf.DUMMYFUNCTION("""COMPUTED_VALUE"""),"HKD")</f>
        <v>HKD</v>
      </c>
      <c r="F588" s="55" t="str">
        <f ca="1">IFERROR(__xludf.DUMMYFUNCTION("""COMPUTED_VALUE"""),"")</f>
        <v/>
      </c>
      <c r="G588" s="56">
        <f ca="1">IFERROR(__xludf.DUMMYFUNCTION("""COMPUTED_VALUE"""),1)</f>
        <v>1</v>
      </c>
      <c r="H588" s="57">
        <f ca="1">IFERROR(__xludf.DUMMYFUNCTION("""COMPUTED_VALUE"""),1)</f>
        <v>1</v>
      </c>
      <c r="I588" s="57">
        <f ca="1">IFERROR(__xludf.DUMMYFUNCTION("""COMPUTED_VALUE"""),1)</f>
        <v>1</v>
      </c>
      <c r="J588" s="19" t="str">
        <f ca="1">IFERROR(__xludf.DUMMYFUNCTION("""COMPUTED_VALUE"""),"")</f>
        <v/>
      </c>
      <c r="K588" s="19"/>
      <c r="L588" s="19"/>
      <c r="M588" s="19"/>
      <c r="N588" s="19"/>
      <c r="O588" s="59"/>
      <c r="P588" s="7"/>
      <c r="Q588" s="55"/>
      <c r="R588" s="55"/>
      <c r="S588" s="7"/>
      <c r="T588" s="55"/>
      <c r="U588" s="7"/>
      <c r="V588" s="55"/>
      <c r="W588" s="60"/>
      <c r="X588" s="55"/>
    </row>
    <row r="589" spans="1:24" ht="13" x14ac:dyDescent="0.15">
      <c r="A589" s="25" t="str">
        <f ca="1">IFERROR(__xludf.DUMMYFUNCTION("""COMPUTED_VALUE"""),"76975")</f>
        <v>76975</v>
      </c>
      <c r="B589" s="69">
        <f ca="1">IFERROR(__xludf.DUMMYFUNCTION("""COMPUTED_VALUE"""),44601)</f>
        <v>44601</v>
      </c>
      <c r="C589" s="69" t="str">
        <f ca="1">IFERROR(__xludf.DUMMYFUNCTION("""COMPUTED_VALUE"""),"Stock")</f>
        <v>Stock</v>
      </c>
      <c r="D589" s="5" t="str">
        <f ca="1">IFERROR(__xludf.DUMMYFUNCTION("""COMPUTED_VALUE"""),"JD")</f>
        <v>JD</v>
      </c>
      <c r="E589" s="5" t="str">
        <f ca="1">IFERROR(__xludf.DUMMYFUNCTION("""COMPUTED_VALUE"""),"USD")</f>
        <v>USD</v>
      </c>
      <c r="F589" s="55">
        <f ca="1">IFERROR(__xludf.DUMMYFUNCTION("""COMPUTED_VALUE"""),0)</f>
        <v>0</v>
      </c>
      <c r="G589" s="56">
        <f ca="1">IFERROR(__xludf.DUMMYFUNCTION("""COMPUTED_VALUE"""),7.81252511904762)</f>
        <v>7.8125251190476197</v>
      </c>
      <c r="H589" s="57">
        <f ca="1">IFERROR(__xludf.DUMMYFUNCTION("""COMPUTED_VALUE"""),0)</f>
        <v>0</v>
      </c>
      <c r="I589" s="57">
        <f ca="1">IFERROR(__xludf.DUMMYFUNCTION("""COMPUTED_VALUE"""),64.29)</f>
        <v>64.290000000000006</v>
      </c>
      <c r="J589" s="70" t="str">
        <f ca="1">IFERROR(__xludf.DUMMYFUNCTION("""COMPUTED_VALUE"""),"Goto link: JD")</f>
        <v>Goto link: JD</v>
      </c>
      <c r="K589" s="19"/>
      <c r="L589" s="19"/>
      <c r="M589" s="19"/>
      <c r="N589" s="19"/>
      <c r="O589" s="59"/>
      <c r="P589" s="7"/>
      <c r="Q589" s="55"/>
      <c r="R589" s="55"/>
      <c r="S589" s="7"/>
      <c r="T589" s="55"/>
      <c r="U589" s="7"/>
      <c r="V589" s="55"/>
      <c r="W589" s="60"/>
      <c r="X589" s="55"/>
    </row>
    <row r="590" spans="1:24" ht="13" x14ac:dyDescent="0.15">
      <c r="A590" s="25" t="str">
        <f ca="1">IFERROR(__xludf.DUMMYFUNCTION("""COMPUTED_VALUE"""),"76975")</f>
        <v>76975</v>
      </c>
      <c r="B590" s="69">
        <f ca="1">IFERROR(__xludf.DUMMYFUNCTION("""COMPUTED_VALUE"""),44609)</f>
        <v>44609</v>
      </c>
      <c r="C590" s="69" t="str">
        <f ca="1">IFERROR(__xludf.DUMMYFUNCTION("""COMPUTED_VALUE"""),"Stock")</f>
        <v>Stock</v>
      </c>
      <c r="D590" s="71" t="str">
        <f ca="1">IFERROR(__xludf.DUMMYFUNCTION("""COMPUTED_VALUE"""),"0700.HK")</f>
        <v>0700.HK</v>
      </c>
      <c r="E590" s="5" t="str">
        <f ca="1">IFERROR(__xludf.DUMMYFUNCTION("""COMPUTED_VALUE"""),"HKD")</f>
        <v>HKD</v>
      </c>
      <c r="F590" s="55">
        <f ca="1">IFERROR(__xludf.DUMMYFUNCTION("""COMPUTED_VALUE"""),210)</f>
        <v>210</v>
      </c>
      <c r="G590" s="56">
        <f ca="1">IFERROR(__xludf.DUMMYFUNCTION("""COMPUTED_VALUE"""),1)</f>
        <v>1</v>
      </c>
      <c r="H590" s="57">
        <f ca="1">IFERROR(__xludf.DUMMYFUNCTION("""COMPUTED_VALUE"""),479)</f>
        <v>479</v>
      </c>
      <c r="I590" s="57">
        <f ca="1">IFERROR(__xludf.DUMMYFUNCTION("""COMPUTED_VALUE"""),389)</f>
        <v>389</v>
      </c>
      <c r="J590" s="70" t="str">
        <f ca="1">IFERROR(__xludf.DUMMYFUNCTION("""COMPUTED_VALUE"""),"Goto link: 0700.HK")</f>
        <v>Goto link: 0700.HK</v>
      </c>
      <c r="K590" s="19"/>
      <c r="L590" s="19"/>
      <c r="M590" s="19"/>
      <c r="N590" s="19"/>
      <c r="O590" s="59"/>
      <c r="P590" s="7"/>
      <c r="Q590" s="55"/>
      <c r="R590" s="55"/>
      <c r="S590" s="7"/>
      <c r="T590" s="55"/>
      <c r="U590" s="7"/>
      <c r="V590" s="55"/>
      <c r="W590" s="60"/>
      <c r="X590" s="55"/>
    </row>
    <row r="591" spans="1:24" ht="13" x14ac:dyDescent="0.15">
      <c r="A591" s="25" t="str">
        <f ca="1">IFERROR(__xludf.DUMMYFUNCTION("""COMPUTED_VALUE"""),"76975")</f>
        <v>76975</v>
      </c>
      <c r="B591" s="69">
        <f ca="1">IFERROR(__xludf.DUMMYFUNCTION("""COMPUTED_VALUE"""),44613)</f>
        <v>44613</v>
      </c>
      <c r="C591" s="69" t="str">
        <f ca="1">IFERROR(__xludf.DUMMYFUNCTION("""COMPUTED_VALUE"""),"Stock")</f>
        <v>Stock</v>
      </c>
      <c r="D591" s="71" t="str">
        <f ca="1">IFERROR(__xludf.DUMMYFUNCTION("""COMPUTED_VALUE"""),"3690.HK")</f>
        <v>3690.HK</v>
      </c>
      <c r="E591" s="5" t="str">
        <f ca="1">IFERROR(__xludf.DUMMYFUNCTION("""COMPUTED_VALUE"""),"HKD")</f>
        <v>HKD</v>
      </c>
      <c r="F591" s="55">
        <f ca="1">IFERROR(__xludf.DUMMYFUNCTION("""COMPUTED_VALUE"""),270)</f>
        <v>270</v>
      </c>
      <c r="G591" s="56">
        <f ca="1">IFERROR(__xludf.DUMMYFUNCTION("""COMPUTED_VALUE"""),1)</f>
        <v>1</v>
      </c>
      <c r="H591" s="57">
        <f ca="1">IFERROR(__xludf.DUMMYFUNCTION("""COMPUTED_VALUE"""),180.5)</f>
        <v>180.5</v>
      </c>
      <c r="I591" s="57">
        <f ca="1">IFERROR(__xludf.DUMMYFUNCTION("""COMPUTED_VALUE"""),156.2)</f>
        <v>156.19999999999999</v>
      </c>
      <c r="J591" s="70" t="str">
        <f ca="1">IFERROR(__xludf.DUMMYFUNCTION("""COMPUTED_VALUE"""),"Goto link: 3690.HK")</f>
        <v>Goto link: 3690.HK</v>
      </c>
      <c r="K591" s="19"/>
      <c r="L591" s="19"/>
      <c r="M591" s="19"/>
      <c r="N591" s="19"/>
      <c r="O591" s="59"/>
      <c r="P591" s="7"/>
      <c r="Q591" s="55"/>
      <c r="R591" s="55"/>
      <c r="S591" s="7"/>
      <c r="T591" s="55"/>
      <c r="U591" s="7"/>
      <c r="V591" s="55"/>
      <c r="W591" s="60"/>
      <c r="X591" s="55"/>
    </row>
    <row r="592" spans="1:24" ht="13" x14ac:dyDescent="0.15">
      <c r="A592" s="25" t="str">
        <f ca="1">IFERROR(__xludf.DUMMYFUNCTION("""COMPUTED_VALUE"""),"76975")</f>
        <v>76975</v>
      </c>
      <c r="B592" s="69">
        <f ca="1">IFERROR(__xludf.DUMMYFUNCTION("""COMPUTED_VALUE"""),44621)</f>
        <v>44621</v>
      </c>
      <c r="C592" s="69" t="str">
        <f ca="1">IFERROR(__xludf.DUMMYFUNCTION("""COMPUTED_VALUE"""),"Stock")</f>
        <v>Stock</v>
      </c>
      <c r="D592" s="5" t="str">
        <f ca="1">IFERROR(__xludf.DUMMYFUNCTION("""COMPUTED_VALUE"""),"JD")</f>
        <v>JD</v>
      </c>
      <c r="E592" s="5" t="str">
        <f ca="1">IFERROR(__xludf.DUMMYFUNCTION("""COMPUTED_VALUE"""),"USD")</f>
        <v>USD</v>
      </c>
      <c r="F592" s="55">
        <f ca="1">IFERROR(__xludf.DUMMYFUNCTION("""COMPUTED_VALUE"""),120)</f>
        <v>120</v>
      </c>
      <c r="G592" s="56">
        <f ca="1">IFERROR(__xludf.DUMMYFUNCTION("""COMPUTED_VALUE"""),7.8216509090909)</f>
        <v>7.8216509090909003</v>
      </c>
      <c r="H592" s="57">
        <f ca="1">IFERROR(__xludf.DUMMYFUNCTION("""COMPUTED_VALUE"""),73.3)</f>
        <v>73.3</v>
      </c>
      <c r="I592" s="57">
        <f ca="1">IFERROR(__xludf.DUMMYFUNCTION("""COMPUTED_VALUE"""),64.29)</f>
        <v>64.290000000000006</v>
      </c>
      <c r="J592" s="70" t="str">
        <f ca="1">IFERROR(__xludf.DUMMYFUNCTION("""COMPUTED_VALUE"""),"Goto link: JD")</f>
        <v>Goto link: JD</v>
      </c>
      <c r="K592" s="19"/>
      <c r="L592" s="19"/>
      <c r="M592" s="19"/>
      <c r="N592" s="19"/>
      <c r="O592" s="59"/>
      <c r="P592" s="7"/>
      <c r="Q592" s="55"/>
      <c r="R592" s="55"/>
      <c r="S592" s="7"/>
      <c r="T592" s="55"/>
      <c r="U592" s="7"/>
      <c r="V592" s="55"/>
      <c r="W592" s="60"/>
      <c r="X592" s="55"/>
    </row>
    <row r="593" spans="1:24" ht="13" x14ac:dyDescent="0.15">
      <c r="A593" s="25" t="str">
        <f ca="1">IFERROR(__xludf.DUMMYFUNCTION("""COMPUTED_VALUE"""),"76975")</f>
        <v>76975</v>
      </c>
      <c r="B593" s="69">
        <f ca="1">IFERROR(__xludf.DUMMYFUNCTION("""COMPUTED_VALUE"""),44623)</f>
        <v>44623</v>
      </c>
      <c r="C593" s="69" t="str">
        <f ca="1">IFERROR(__xludf.DUMMYFUNCTION("""COMPUTED_VALUE"""),"Stock")</f>
        <v>Stock</v>
      </c>
      <c r="D593" s="71" t="str">
        <f ca="1">IFERROR(__xludf.DUMMYFUNCTION("""COMPUTED_VALUE"""),"0700.HK")</f>
        <v>0700.HK</v>
      </c>
      <c r="E593" s="5" t="str">
        <f ca="1">IFERROR(__xludf.DUMMYFUNCTION("""COMPUTED_VALUE"""),"HKD")</f>
        <v>HKD</v>
      </c>
      <c r="F593" s="55">
        <f ca="1">IFERROR(__xludf.DUMMYFUNCTION("""COMPUTED_VALUE"""),120)</f>
        <v>120</v>
      </c>
      <c r="G593" s="56">
        <f ca="1">IFERROR(__xludf.DUMMYFUNCTION("""COMPUTED_VALUE"""),1)</f>
        <v>1</v>
      </c>
      <c r="H593" s="57">
        <f ca="1">IFERROR(__xludf.DUMMYFUNCTION("""COMPUTED_VALUE"""),423.4)</f>
        <v>423.4</v>
      </c>
      <c r="I593" s="57">
        <f ca="1">IFERROR(__xludf.DUMMYFUNCTION("""COMPUTED_VALUE"""),389)</f>
        <v>389</v>
      </c>
      <c r="J593" s="70" t="str">
        <f ca="1">IFERROR(__xludf.DUMMYFUNCTION("""COMPUTED_VALUE"""),"Goto link: 0700.HK")</f>
        <v>Goto link: 0700.HK</v>
      </c>
      <c r="K593" s="19"/>
      <c r="L593" s="19"/>
      <c r="M593" s="19"/>
      <c r="N593" s="19"/>
      <c r="O593" s="59"/>
      <c r="P593" s="7"/>
      <c r="Q593" s="55"/>
      <c r="R593" s="55"/>
      <c r="S593" s="7"/>
      <c r="T593" s="55"/>
      <c r="U593" s="7"/>
      <c r="V593" s="55"/>
      <c r="W593" s="60"/>
      <c r="X593" s="55"/>
    </row>
    <row r="594" spans="1:24" ht="13" x14ac:dyDescent="0.15">
      <c r="A594" s="25" t="str">
        <f ca="1">IFERROR(__xludf.DUMMYFUNCTION("""COMPUTED_VALUE"""),"76975")</f>
        <v>76975</v>
      </c>
      <c r="B594" s="69">
        <f ca="1">IFERROR(__xludf.DUMMYFUNCTION("""COMPUTED_VALUE"""),44628)</f>
        <v>44628</v>
      </c>
      <c r="C594" s="69" t="str">
        <f ca="1">IFERROR(__xludf.DUMMYFUNCTION("""COMPUTED_VALUE"""),"Stock")</f>
        <v>Stock</v>
      </c>
      <c r="D594" s="71" t="str">
        <f ca="1">IFERROR(__xludf.DUMMYFUNCTION("""COMPUTED_VALUE"""),"0700.HK")</f>
        <v>0700.HK</v>
      </c>
      <c r="E594" s="5" t="str">
        <f ca="1">IFERROR(__xludf.DUMMYFUNCTION("""COMPUTED_VALUE"""),"HKD")</f>
        <v>HKD</v>
      </c>
      <c r="F594" s="55">
        <f ca="1">IFERROR(__xludf.DUMMYFUNCTION("""COMPUTED_VALUE"""),260)</f>
        <v>260</v>
      </c>
      <c r="G594" s="56">
        <f ca="1">IFERROR(__xludf.DUMMYFUNCTION("""COMPUTED_VALUE"""),1)</f>
        <v>1</v>
      </c>
      <c r="H594" s="57">
        <f ca="1">IFERROR(__xludf.DUMMYFUNCTION("""COMPUTED_VALUE"""),383.2)</f>
        <v>383.2</v>
      </c>
      <c r="I594" s="57">
        <f ca="1">IFERROR(__xludf.DUMMYFUNCTION("""COMPUTED_VALUE"""),389)</f>
        <v>389</v>
      </c>
      <c r="J594" s="70" t="str">
        <f ca="1">IFERROR(__xludf.DUMMYFUNCTION("""COMPUTED_VALUE"""),"Goto link: 0700.HK")</f>
        <v>Goto link: 0700.HK</v>
      </c>
      <c r="K594" s="19"/>
      <c r="L594" s="19"/>
      <c r="M594" s="19"/>
      <c r="N594" s="19"/>
      <c r="O594" s="59"/>
      <c r="P594" s="7"/>
      <c r="Q594" s="55"/>
      <c r="R594" s="55"/>
      <c r="S594" s="7"/>
      <c r="T594" s="55"/>
      <c r="U594" s="7"/>
      <c r="V594" s="55"/>
      <c r="W594" s="60"/>
      <c r="X594" s="55"/>
    </row>
    <row r="595" spans="1:24" ht="13" x14ac:dyDescent="0.15">
      <c r="A595" s="25" t="str">
        <f ca="1">IFERROR(__xludf.DUMMYFUNCTION("""COMPUTED_VALUE"""),"76975 Total")</f>
        <v>76975 Total</v>
      </c>
      <c r="B595" s="5"/>
      <c r="C595" s="69"/>
      <c r="D595" s="5"/>
      <c r="E595" s="5"/>
      <c r="F595" s="55"/>
      <c r="G595" s="56">
        <f ca="1">IFERROR(__xludf.DUMMYFUNCTION("""COMPUTED_VALUE"""),3.08709270334928)</f>
        <v>3.0870927033492799</v>
      </c>
      <c r="H595" s="57">
        <f ca="1">IFERROR(__xludf.DUMMYFUNCTION("""COMPUTED_VALUE"""),479)</f>
        <v>479</v>
      </c>
      <c r="I595" s="57" t="str">
        <f ca="1">IFERROR(__xludf.DUMMYFUNCTION("""COMPUTED_VALUE"""),"")</f>
        <v/>
      </c>
      <c r="J595" s="19" t="str">
        <f ca="1">IFERROR(__xludf.DUMMYFUNCTION("""COMPUTED_VALUE"""),"")</f>
        <v/>
      </c>
      <c r="K595" s="19"/>
      <c r="L595" s="19"/>
      <c r="M595" s="19"/>
      <c r="N595" s="19"/>
      <c r="O595" s="59"/>
      <c r="P595" s="7"/>
      <c r="Q595" s="55"/>
      <c r="R595" s="55"/>
      <c r="S595" s="7"/>
      <c r="T595" s="55"/>
      <c r="U595" s="7"/>
      <c r="V595" s="55"/>
      <c r="W595" s="60"/>
      <c r="X595" s="55"/>
    </row>
    <row r="596" spans="1:24" ht="13" x14ac:dyDescent="0.15">
      <c r="A596" s="25" t="str">
        <f ca="1">IFERROR(__xludf.DUMMYFUNCTION("""COMPUTED_VALUE"""),"77134")</f>
        <v>77134</v>
      </c>
      <c r="B596" s="69">
        <f ca="1">IFERROR(__xludf.DUMMYFUNCTION("""COMPUTED_VALUE"""),44597)</f>
        <v>44597</v>
      </c>
      <c r="C596" s="69" t="str">
        <f ca="1">IFERROR(__xludf.DUMMYFUNCTION("""COMPUTED_VALUE"""),"Cash")</f>
        <v>Cash</v>
      </c>
      <c r="D596" s="5" t="str">
        <f ca="1">IFERROR(__xludf.DUMMYFUNCTION("""COMPUTED_VALUE"""),"Cash")</f>
        <v>Cash</v>
      </c>
      <c r="E596" s="5" t="str">
        <f ca="1">IFERROR(__xludf.DUMMYFUNCTION("""COMPUTED_VALUE"""),"HKD")</f>
        <v>HKD</v>
      </c>
      <c r="F596" s="55" t="str">
        <f ca="1">IFERROR(__xludf.DUMMYFUNCTION("""COMPUTED_VALUE"""),"")</f>
        <v/>
      </c>
      <c r="G596" s="56">
        <f ca="1">IFERROR(__xludf.DUMMYFUNCTION("""COMPUTED_VALUE"""),1)</f>
        <v>1</v>
      </c>
      <c r="H596" s="57">
        <f ca="1">IFERROR(__xludf.DUMMYFUNCTION("""COMPUTED_VALUE"""),1)</f>
        <v>1</v>
      </c>
      <c r="I596" s="57">
        <f ca="1">IFERROR(__xludf.DUMMYFUNCTION("""COMPUTED_VALUE"""),1)</f>
        <v>1</v>
      </c>
      <c r="J596" s="19" t="str">
        <f ca="1">IFERROR(__xludf.DUMMYFUNCTION("""COMPUTED_VALUE"""),"")</f>
        <v/>
      </c>
      <c r="K596" s="19"/>
      <c r="L596" s="19"/>
      <c r="M596" s="19"/>
      <c r="N596" s="19"/>
      <c r="O596" s="59"/>
      <c r="P596" s="7"/>
      <c r="Q596" s="55"/>
      <c r="R596" s="55"/>
      <c r="S596" s="7"/>
      <c r="T596" s="55"/>
      <c r="U596" s="7"/>
      <c r="V596" s="55"/>
      <c r="W596" s="60"/>
      <c r="X596" s="55"/>
    </row>
    <row r="597" spans="1:24" ht="13" x14ac:dyDescent="0.15">
      <c r="A597" s="25" t="str">
        <f ca="1">IFERROR(__xludf.DUMMYFUNCTION("""COMPUTED_VALUE"""),"77134 Total")</f>
        <v>77134 Total</v>
      </c>
      <c r="B597" s="5"/>
      <c r="C597" s="69"/>
      <c r="D597" s="5"/>
      <c r="E597" s="5"/>
      <c r="F597" s="55"/>
      <c r="G597" s="56">
        <f ca="1">IFERROR(__xludf.DUMMYFUNCTION("""COMPUTED_VALUE"""),1)</f>
        <v>1</v>
      </c>
      <c r="H597" s="57">
        <f ca="1">IFERROR(__xludf.DUMMYFUNCTION("""COMPUTED_VALUE"""),1)</f>
        <v>1</v>
      </c>
      <c r="I597" s="57" t="str">
        <f ca="1">IFERROR(__xludf.DUMMYFUNCTION("""COMPUTED_VALUE"""),"")</f>
        <v/>
      </c>
      <c r="J597" s="19" t="str">
        <f ca="1">IFERROR(__xludf.DUMMYFUNCTION("""COMPUTED_VALUE"""),"")</f>
        <v/>
      </c>
      <c r="K597" s="19"/>
      <c r="L597" s="19"/>
      <c r="M597" s="19"/>
      <c r="N597" s="19"/>
      <c r="O597" s="59"/>
      <c r="P597" s="7"/>
      <c r="Q597" s="55"/>
      <c r="R597" s="55"/>
      <c r="S597" s="7"/>
      <c r="T597" s="55"/>
      <c r="U597" s="7"/>
      <c r="V597" s="55"/>
      <c r="W597" s="60"/>
      <c r="X597" s="55"/>
    </row>
    <row r="598" spans="1:24" ht="13" x14ac:dyDescent="0.15">
      <c r="A598" s="25" t="str">
        <f ca="1">IFERROR(__xludf.DUMMYFUNCTION("""COMPUTED_VALUE"""),"77216")</f>
        <v>77216</v>
      </c>
      <c r="B598" s="69">
        <f ca="1">IFERROR(__xludf.DUMMYFUNCTION("""COMPUTED_VALUE"""),44597)</f>
        <v>44597</v>
      </c>
      <c r="C598" s="69" t="str">
        <f ca="1">IFERROR(__xludf.DUMMYFUNCTION("""COMPUTED_VALUE"""),"Cash")</f>
        <v>Cash</v>
      </c>
      <c r="D598" s="5" t="str">
        <f ca="1">IFERROR(__xludf.DUMMYFUNCTION("""COMPUTED_VALUE"""),"Cash")</f>
        <v>Cash</v>
      </c>
      <c r="E598" s="5" t="str">
        <f ca="1">IFERROR(__xludf.DUMMYFUNCTION("""COMPUTED_VALUE"""),"HKD")</f>
        <v>HKD</v>
      </c>
      <c r="F598" s="55" t="str">
        <f ca="1">IFERROR(__xludf.DUMMYFUNCTION("""COMPUTED_VALUE"""),"")</f>
        <v/>
      </c>
      <c r="G598" s="56">
        <f ca="1">IFERROR(__xludf.DUMMYFUNCTION("""COMPUTED_VALUE"""),1)</f>
        <v>1</v>
      </c>
      <c r="H598" s="57">
        <f ca="1">IFERROR(__xludf.DUMMYFUNCTION("""COMPUTED_VALUE"""),1)</f>
        <v>1</v>
      </c>
      <c r="I598" s="57">
        <f ca="1">IFERROR(__xludf.DUMMYFUNCTION("""COMPUTED_VALUE"""),1)</f>
        <v>1</v>
      </c>
      <c r="J598" s="19" t="str">
        <f ca="1">IFERROR(__xludf.DUMMYFUNCTION("""COMPUTED_VALUE"""),"")</f>
        <v/>
      </c>
      <c r="K598" s="19"/>
      <c r="L598" s="19"/>
      <c r="M598" s="19"/>
      <c r="N598" s="19"/>
      <c r="O598" s="59"/>
      <c r="P598" s="7"/>
      <c r="Q598" s="55"/>
      <c r="R598" s="55"/>
      <c r="S598" s="7"/>
      <c r="T598" s="55"/>
      <c r="U598" s="7"/>
      <c r="V598" s="55"/>
      <c r="W598" s="60"/>
      <c r="X598" s="55"/>
    </row>
    <row r="599" spans="1:24" ht="13" x14ac:dyDescent="0.15">
      <c r="A599" s="25" t="str">
        <f ca="1">IFERROR(__xludf.DUMMYFUNCTION("""COMPUTED_VALUE"""),"77216 Total")</f>
        <v>77216 Total</v>
      </c>
      <c r="B599" s="5"/>
      <c r="C599" s="69"/>
      <c r="D599" s="5"/>
      <c r="E599" s="5"/>
      <c r="F599" s="55"/>
      <c r="G599" s="56">
        <f ca="1">IFERROR(__xludf.DUMMYFUNCTION("""COMPUTED_VALUE"""),1)</f>
        <v>1</v>
      </c>
      <c r="H599" s="57">
        <f ca="1">IFERROR(__xludf.DUMMYFUNCTION("""COMPUTED_VALUE"""),1)</f>
        <v>1</v>
      </c>
      <c r="I599" s="57" t="str">
        <f ca="1">IFERROR(__xludf.DUMMYFUNCTION("""COMPUTED_VALUE"""),"")</f>
        <v/>
      </c>
      <c r="J599" s="19" t="str">
        <f ca="1">IFERROR(__xludf.DUMMYFUNCTION("""COMPUTED_VALUE"""),"")</f>
        <v/>
      </c>
      <c r="K599" s="19"/>
      <c r="L599" s="19"/>
      <c r="M599" s="19"/>
      <c r="N599" s="19"/>
      <c r="O599" s="59"/>
      <c r="P599" s="7"/>
      <c r="Q599" s="55"/>
      <c r="R599" s="55"/>
      <c r="S599" s="7"/>
      <c r="T599" s="55"/>
      <c r="U599" s="7"/>
      <c r="V599" s="55"/>
      <c r="W599" s="60"/>
      <c r="X599" s="55"/>
    </row>
    <row r="600" spans="1:24" ht="13" x14ac:dyDescent="0.15">
      <c r="A600" s="25" t="str">
        <f ca="1">IFERROR(__xludf.DUMMYFUNCTION("""COMPUTED_VALUE"""),"77393")</f>
        <v>77393</v>
      </c>
      <c r="B600" s="69">
        <f ca="1">IFERROR(__xludf.DUMMYFUNCTION("""COMPUTED_VALUE"""),44597)</f>
        <v>44597</v>
      </c>
      <c r="C600" s="69" t="str">
        <f ca="1">IFERROR(__xludf.DUMMYFUNCTION("""COMPUTED_VALUE"""),"Cash")</f>
        <v>Cash</v>
      </c>
      <c r="D600" s="5" t="str">
        <f ca="1">IFERROR(__xludf.DUMMYFUNCTION("""COMPUTED_VALUE"""),"Cash")</f>
        <v>Cash</v>
      </c>
      <c r="E600" s="5" t="str">
        <f ca="1">IFERROR(__xludf.DUMMYFUNCTION("""COMPUTED_VALUE"""),"HKD")</f>
        <v>HKD</v>
      </c>
      <c r="F600" s="55" t="str">
        <f ca="1">IFERROR(__xludf.DUMMYFUNCTION("""COMPUTED_VALUE"""),"")</f>
        <v/>
      </c>
      <c r="G600" s="56">
        <f ca="1">IFERROR(__xludf.DUMMYFUNCTION("""COMPUTED_VALUE"""),1)</f>
        <v>1</v>
      </c>
      <c r="H600" s="57">
        <f ca="1">IFERROR(__xludf.DUMMYFUNCTION("""COMPUTED_VALUE"""),1)</f>
        <v>1</v>
      </c>
      <c r="I600" s="57">
        <f ca="1">IFERROR(__xludf.DUMMYFUNCTION("""COMPUTED_VALUE"""),1)</f>
        <v>1</v>
      </c>
      <c r="J600" s="19" t="str">
        <f ca="1">IFERROR(__xludf.DUMMYFUNCTION("""COMPUTED_VALUE"""),"")</f>
        <v/>
      </c>
      <c r="K600" s="19"/>
      <c r="L600" s="19"/>
      <c r="M600" s="19"/>
      <c r="N600" s="19"/>
      <c r="O600" s="59"/>
      <c r="P600" s="7"/>
      <c r="Q600" s="55"/>
      <c r="R600" s="55"/>
      <c r="S600" s="7"/>
      <c r="T600" s="55"/>
      <c r="U600" s="7"/>
      <c r="V600" s="55"/>
      <c r="W600" s="60"/>
      <c r="X600" s="55"/>
    </row>
    <row r="601" spans="1:24" ht="13" x14ac:dyDescent="0.15">
      <c r="A601" s="25" t="str">
        <f ca="1">IFERROR(__xludf.DUMMYFUNCTION("""COMPUTED_VALUE"""),"77393")</f>
        <v>77393</v>
      </c>
      <c r="B601" s="69">
        <f ca="1">IFERROR(__xludf.DUMMYFUNCTION("""COMPUTED_VALUE"""),44641)</f>
        <v>44641</v>
      </c>
      <c r="C601" s="69" t="str">
        <f ca="1">IFERROR(__xludf.DUMMYFUNCTION("""COMPUTED_VALUE"""),"Stock")</f>
        <v>Stock</v>
      </c>
      <c r="D601" s="71" t="str">
        <f ca="1">IFERROR(__xludf.DUMMYFUNCTION("""COMPUTED_VALUE"""),"000568.SZ")</f>
        <v>000568.SZ</v>
      </c>
      <c r="E601" s="5" t="str">
        <f ca="1">IFERROR(__xludf.DUMMYFUNCTION("""COMPUTED_VALUE"""),"CNY")</f>
        <v>CNY</v>
      </c>
      <c r="F601" s="55">
        <f ca="1">IFERROR(__xludf.DUMMYFUNCTION("""COMPUTED_VALUE"""),0)</f>
        <v>0</v>
      </c>
      <c r="G601" s="56">
        <f ca="1">IFERROR(__xludf.DUMMYFUNCTION("""COMPUTED_VALUE"""),1.2302235)</f>
        <v>1.2302234999999999</v>
      </c>
      <c r="H601" s="57">
        <f ca="1">IFERROR(__xludf.DUMMYFUNCTION("""COMPUTED_VALUE"""),0)</f>
        <v>0</v>
      </c>
      <c r="I601" s="57">
        <f ca="1">IFERROR(__xludf.DUMMYFUNCTION("""COMPUTED_VALUE"""),204.8)</f>
        <v>204.8</v>
      </c>
      <c r="J601" s="70" t="str">
        <f ca="1">IFERROR(__xludf.DUMMYFUNCTION("""COMPUTED_VALUE"""),"Goto link: 000568.SZ")</f>
        <v>Goto link: 000568.SZ</v>
      </c>
      <c r="K601" s="19"/>
      <c r="L601" s="19"/>
      <c r="M601" s="19"/>
      <c r="N601" s="19"/>
      <c r="O601" s="59"/>
      <c r="P601" s="7"/>
      <c r="Q601" s="55"/>
      <c r="R601" s="55"/>
      <c r="S601" s="7"/>
      <c r="T601" s="55"/>
      <c r="U601" s="7"/>
      <c r="V601" s="55"/>
      <c r="W601" s="60"/>
      <c r="X601" s="55"/>
    </row>
    <row r="602" spans="1:24" ht="13" x14ac:dyDescent="0.15">
      <c r="A602" s="25" t="str">
        <f ca="1">IFERROR(__xludf.DUMMYFUNCTION("""COMPUTED_VALUE"""),"77393 Total")</f>
        <v>77393 Total</v>
      </c>
      <c r="B602" s="5"/>
      <c r="C602" s="69"/>
      <c r="D602" s="5"/>
      <c r="E602" s="5"/>
      <c r="F602" s="55"/>
      <c r="G602" s="56">
        <f ca="1">IFERROR(__xludf.DUMMYFUNCTION("""COMPUTED_VALUE"""),1.00959264583333)</f>
        <v>1.00959264583333</v>
      </c>
      <c r="H602" s="57">
        <f ca="1">IFERROR(__xludf.DUMMYFUNCTION("""COMPUTED_VALUE"""),1)</f>
        <v>1</v>
      </c>
      <c r="I602" s="57" t="str">
        <f ca="1">IFERROR(__xludf.DUMMYFUNCTION("""COMPUTED_VALUE"""),"")</f>
        <v/>
      </c>
      <c r="J602" s="19" t="str">
        <f ca="1">IFERROR(__xludf.DUMMYFUNCTION("""COMPUTED_VALUE"""),"")</f>
        <v/>
      </c>
      <c r="K602" s="19"/>
      <c r="L602" s="19"/>
      <c r="M602" s="19"/>
      <c r="N602" s="19"/>
      <c r="O602" s="59"/>
      <c r="P602" s="7"/>
      <c r="Q602" s="55"/>
      <c r="R602" s="55"/>
      <c r="S602" s="7"/>
      <c r="T602" s="55"/>
      <c r="U602" s="7"/>
      <c r="V602" s="55"/>
      <c r="W602" s="60"/>
      <c r="X602" s="55"/>
    </row>
    <row r="603" spans="1:24" ht="13" x14ac:dyDescent="0.15">
      <c r="A603" s="25" t="str">
        <f ca="1">IFERROR(__xludf.DUMMYFUNCTION("""COMPUTED_VALUE"""),"77603")</f>
        <v>77603</v>
      </c>
      <c r="B603" s="69">
        <f ca="1">IFERROR(__xludf.DUMMYFUNCTION("""COMPUTED_VALUE"""),44597)</f>
        <v>44597</v>
      </c>
      <c r="C603" s="69" t="str">
        <f ca="1">IFERROR(__xludf.DUMMYFUNCTION("""COMPUTED_VALUE"""),"Cash")</f>
        <v>Cash</v>
      </c>
      <c r="D603" s="5" t="str">
        <f ca="1">IFERROR(__xludf.DUMMYFUNCTION("""COMPUTED_VALUE"""),"Cash")</f>
        <v>Cash</v>
      </c>
      <c r="E603" s="5" t="str">
        <f ca="1">IFERROR(__xludf.DUMMYFUNCTION("""COMPUTED_VALUE"""),"HKD")</f>
        <v>HKD</v>
      </c>
      <c r="F603" s="55" t="str">
        <f ca="1">IFERROR(__xludf.DUMMYFUNCTION("""COMPUTED_VALUE"""),"")</f>
        <v/>
      </c>
      <c r="G603" s="56">
        <f ca="1">IFERROR(__xludf.DUMMYFUNCTION("""COMPUTED_VALUE"""),1)</f>
        <v>1</v>
      </c>
      <c r="H603" s="57">
        <f ca="1">IFERROR(__xludf.DUMMYFUNCTION("""COMPUTED_VALUE"""),1)</f>
        <v>1</v>
      </c>
      <c r="I603" s="57">
        <f ca="1">IFERROR(__xludf.DUMMYFUNCTION("""COMPUTED_VALUE"""),1)</f>
        <v>1</v>
      </c>
      <c r="J603" s="19" t="str">
        <f ca="1">IFERROR(__xludf.DUMMYFUNCTION("""COMPUTED_VALUE"""),"")</f>
        <v/>
      </c>
      <c r="K603" s="19"/>
      <c r="L603" s="19"/>
      <c r="M603" s="19"/>
      <c r="N603" s="19"/>
      <c r="O603" s="59"/>
      <c r="P603" s="7"/>
      <c r="Q603" s="55"/>
      <c r="R603" s="55"/>
      <c r="S603" s="7"/>
      <c r="T603" s="55"/>
      <c r="U603" s="7"/>
      <c r="V603" s="55"/>
      <c r="W603" s="60"/>
      <c r="X603" s="55"/>
    </row>
    <row r="604" spans="1:24" ht="13" x14ac:dyDescent="0.15">
      <c r="A604" s="25" t="str">
        <f ca="1">IFERROR(__xludf.DUMMYFUNCTION("""COMPUTED_VALUE"""),"77603")</f>
        <v>77603</v>
      </c>
      <c r="B604" s="69">
        <f ca="1">IFERROR(__xludf.DUMMYFUNCTION("""COMPUTED_VALUE"""),44634)</f>
        <v>44634</v>
      </c>
      <c r="C604" s="69" t="str">
        <f ca="1">IFERROR(__xludf.DUMMYFUNCTION("""COMPUTED_VALUE"""),"Stock")</f>
        <v>Stock</v>
      </c>
      <c r="D604" s="71" t="str">
        <f ca="1">IFERROR(__xludf.DUMMYFUNCTION("""COMPUTED_VALUE"""),"1024.HK")</f>
        <v>1024.HK</v>
      </c>
      <c r="E604" s="5" t="str">
        <f ca="1">IFERROR(__xludf.DUMMYFUNCTION("""COMPUTED_VALUE"""),"HKD")</f>
        <v>HKD</v>
      </c>
      <c r="F604" s="55">
        <f ca="1">IFERROR(__xludf.DUMMYFUNCTION("""COMPUTED_VALUE"""),7000)</f>
        <v>7000</v>
      </c>
      <c r="G604" s="56">
        <f ca="1">IFERROR(__xludf.DUMMYFUNCTION("""COMPUTED_VALUE"""),1)</f>
        <v>1</v>
      </c>
      <c r="H604" s="57">
        <f ca="1">IFERROR(__xludf.DUMMYFUNCTION("""COMPUTED_VALUE"""),60.2)</f>
        <v>60.2</v>
      </c>
      <c r="I604" s="57">
        <f ca="1">IFERROR(__xludf.DUMMYFUNCTION("""COMPUTED_VALUE"""),80.2)</f>
        <v>80.2</v>
      </c>
      <c r="J604" s="70" t="str">
        <f ca="1">IFERROR(__xludf.DUMMYFUNCTION("""COMPUTED_VALUE"""),"Goto link: 1024.HK")</f>
        <v>Goto link: 1024.HK</v>
      </c>
      <c r="K604" s="19"/>
      <c r="L604" s="19"/>
      <c r="M604" s="19"/>
      <c r="N604" s="19"/>
      <c r="O604" s="59"/>
      <c r="P604" s="7"/>
      <c r="Q604" s="55"/>
      <c r="R604" s="55"/>
      <c r="S604" s="7"/>
      <c r="T604" s="55"/>
      <c r="U604" s="7"/>
      <c r="V604" s="55"/>
      <c r="W604" s="60"/>
      <c r="X604" s="55"/>
    </row>
    <row r="605" spans="1:24" ht="13" x14ac:dyDescent="0.15">
      <c r="A605" s="25" t="str">
        <f ca="1">IFERROR(__xludf.DUMMYFUNCTION("""COMPUTED_VALUE"""),"77603 Total")</f>
        <v>77603 Total</v>
      </c>
      <c r="B605" s="5"/>
      <c r="C605" s="69"/>
      <c r="D605" s="5"/>
      <c r="E605" s="5"/>
      <c r="F605" s="55"/>
      <c r="G605" s="56">
        <f ca="1">IFERROR(__xludf.DUMMYFUNCTION("""COMPUTED_VALUE"""),1)</f>
        <v>1</v>
      </c>
      <c r="H605" s="57">
        <f ca="1">IFERROR(__xludf.DUMMYFUNCTION("""COMPUTED_VALUE"""),60.2)</f>
        <v>60.2</v>
      </c>
      <c r="I605" s="57" t="str">
        <f ca="1">IFERROR(__xludf.DUMMYFUNCTION("""COMPUTED_VALUE"""),"")</f>
        <v/>
      </c>
      <c r="J605" s="19" t="str">
        <f ca="1">IFERROR(__xludf.DUMMYFUNCTION("""COMPUTED_VALUE"""),"")</f>
        <v/>
      </c>
      <c r="K605" s="19"/>
      <c r="L605" s="19"/>
      <c r="M605" s="19"/>
      <c r="N605" s="19"/>
      <c r="O605" s="59"/>
      <c r="P605" s="7"/>
      <c r="Q605" s="55"/>
      <c r="R605" s="55"/>
      <c r="S605" s="7"/>
      <c r="T605" s="55"/>
      <c r="U605" s="7"/>
      <c r="V605" s="55"/>
      <c r="W605" s="60"/>
      <c r="X605" s="55"/>
    </row>
    <row r="606" spans="1:24" ht="13" x14ac:dyDescent="0.15">
      <c r="A606" s="25" t="str">
        <f ca="1">IFERROR(__xludf.DUMMYFUNCTION("""COMPUTED_VALUE"""),"77665")</f>
        <v>77665</v>
      </c>
      <c r="B606" s="69">
        <f ca="1">IFERROR(__xludf.DUMMYFUNCTION("""COMPUTED_VALUE"""),44597)</f>
        <v>44597</v>
      </c>
      <c r="C606" s="69" t="str">
        <f ca="1">IFERROR(__xludf.DUMMYFUNCTION("""COMPUTED_VALUE"""),"Cash")</f>
        <v>Cash</v>
      </c>
      <c r="D606" s="5" t="str">
        <f ca="1">IFERROR(__xludf.DUMMYFUNCTION("""COMPUTED_VALUE"""),"Cash")</f>
        <v>Cash</v>
      </c>
      <c r="E606" s="5" t="str">
        <f ca="1">IFERROR(__xludf.DUMMYFUNCTION("""COMPUTED_VALUE"""),"HKD")</f>
        <v>HKD</v>
      </c>
      <c r="F606" s="55" t="str">
        <f ca="1">IFERROR(__xludf.DUMMYFUNCTION("""COMPUTED_VALUE"""),"")</f>
        <v/>
      </c>
      <c r="G606" s="56">
        <f ca="1">IFERROR(__xludf.DUMMYFUNCTION("""COMPUTED_VALUE"""),1)</f>
        <v>1</v>
      </c>
      <c r="H606" s="57">
        <f ca="1">IFERROR(__xludf.DUMMYFUNCTION("""COMPUTED_VALUE"""),1)</f>
        <v>1</v>
      </c>
      <c r="I606" s="57">
        <f ca="1">IFERROR(__xludf.DUMMYFUNCTION("""COMPUTED_VALUE"""),1)</f>
        <v>1</v>
      </c>
      <c r="J606" s="19" t="str">
        <f ca="1">IFERROR(__xludf.DUMMYFUNCTION("""COMPUTED_VALUE"""),"")</f>
        <v/>
      </c>
      <c r="K606" s="19"/>
      <c r="L606" s="19"/>
      <c r="M606" s="19"/>
      <c r="N606" s="19"/>
      <c r="O606" s="59"/>
      <c r="P606" s="7"/>
      <c r="Q606" s="55"/>
      <c r="R606" s="55"/>
      <c r="S606" s="7"/>
      <c r="T606" s="55"/>
      <c r="U606" s="7"/>
      <c r="V606" s="55"/>
      <c r="W606" s="60"/>
      <c r="X606" s="55"/>
    </row>
    <row r="607" spans="1:24" ht="13" x14ac:dyDescent="0.15">
      <c r="A607" s="25" t="str">
        <f ca="1">IFERROR(__xludf.DUMMYFUNCTION("""COMPUTED_VALUE"""),"77665 Total")</f>
        <v>77665 Total</v>
      </c>
      <c r="B607" s="5"/>
      <c r="C607" s="69"/>
      <c r="D607" s="5"/>
      <c r="E607" s="5"/>
      <c r="F607" s="55"/>
      <c r="G607" s="56">
        <f ca="1">IFERROR(__xludf.DUMMYFUNCTION("""COMPUTED_VALUE"""),1)</f>
        <v>1</v>
      </c>
      <c r="H607" s="57">
        <f ca="1">IFERROR(__xludf.DUMMYFUNCTION("""COMPUTED_VALUE"""),1)</f>
        <v>1</v>
      </c>
      <c r="I607" s="57" t="str">
        <f ca="1">IFERROR(__xludf.DUMMYFUNCTION("""COMPUTED_VALUE"""),"")</f>
        <v/>
      </c>
      <c r="J607" s="19" t="str">
        <f ca="1">IFERROR(__xludf.DUMMYFUNCTION("""COMPUTED_VALUE"""),"")</f>
        <v/>
      </c>
      <c r="K607" s="19"/>
      <c r="L607" s="19"/>
      <c r="M607" s="19"/>
      <c r="N607" s="19"/>
      <c r="O607" s="59"/>
      <c r="P607" s="7"/>
      <c r="Q607" s="55"/>
      <c r="R607" s="55"/>
      <c r="S607" s="7"/>
      <c r="T607" s="55"/>
      <c r="U607" s="7"/>
      <c r="V607" s="55"/>
      <c r="W607" s="60"/>
      <c r="X607" s="55"/>
    </row>
    <row r="608" spans="1:24" ht="13" x14ac:dyDescent="0.15">
      <c r="A608" s="25" t="str">
        <f ca="1">IFERROR(__xludf.DUMMYFUNCTION("""COMPUTED_VALUE"""),"77729")</f>
        <v>77729</v>
      </c>
      <c r="B608" s="69">
        <f ca="1">IFERROR(__xludf.DUMMYFUNCTION("""COMPUTED_VALUE"""),44597)</f>
        <v>44597</v>
      </c>
      <c r="C608" s="69" t="str">
        <f ca="1">IFERROR(__xludf.DUMMYFUNCTION("""COMPUTED_VALUE"""),"Cash")</f>
        <v>Cash</v>
      </c>
      <c r="D608" s="5" t="str">
        <f ca="1">IFERROR(__xludf.DUMMYFUNCTION("""COMPUTED_VALUE"""),"Cash")</f>
        <v>Cash</v>
      </c>
      <c r="E608" s="5" t="str">
        <f ca="1">IFERROR(__xludf.DUMMYFUNCTION("""COMPUTED_VALUE"""),"HKD")</f>
        <v>HKD</v>
      </c>
      <c r="F608" s="55" t="str">
        <f ca="1">IFERROR(__xludf.DUMMYFUNCTION("""COMPUTED_VALUE"""),"")</f>
        <v/>
      </c>
      <c r="G608" s="56">
        <f ca="1">IFERROR(__xludf.DUMMYFUNCTION("""COMPUTED_VALUE"""),1)</f>
        <v>1</v>
      </c>
      <c r="H608" s="57">
        <f ca="1">IFERROR(__xludf.DUMMYFUNCTION("""COMPUTED_VALUE"""),1)</f>
        <v>1</v>
      </c>
      <c r="I608" s="57">
        <f ca="1">IFERROR(__xludf.DUMMYFUNCTION("""COMPUTED_VALUE"""),1)</f>
        <v>1</v>
      </c>
      <c r="J608" s="19" t="str">
        <f ca="1">IFERROR(__xludf.DUMMYFUNCTION("""COMPUTED_VALUE"""),"")</f>
        <v/>
      </c>
      <c r="K608" s="19"/>
      <c r="L608" s="19"/>
      <c r="M608" s="19"/>
      <c r="N608" s="19"/>
      <c r="O608" s="59"/>
      <c r="P608" s="7"/>
      <c r="Q608" s="55"/>
      <c r="R608" s="55"/>
      <c r="S608" s="7"/>
      <c r="T608" s="55"/>
      <c r="U608" s="7"/>
      <c r="V608" s="55"/>
      <c r="W608" s="60"/>
      <c r="X608" s="55"/>
    </row>
    <row r="609" spans="1:24" ht="13" x14ac:dyDescent="0.15">
      <c r="A609" s="25" t="str">
        <f ca="1">IFERROR(__xludf.DUMMYFUNCTION("""COMPUTED_VALUE"""),"77729")</f>
        <v>77729</v>
      </c>
      <c r="B609" s="69">
        <f ca="1">IFERROR(__xludf.DUMMYFUNCTION("""COMPUTED_VALUE"""),44613)</f>
        <v>44613</v>
      </c>
      <c r="C609" s="69" t="str">
        <f ca="1">IFERROR(__xludf.DUMMYFUNCTION("""COMPUTED_VALUE"""),"Stock")</f>
        <v>Stock</v>
      </c>
      <c r="D609" s="71" t="str">
        <f ca="1">IFERROR(__xludf.DUMMYFUNCTION("""COMPUTED_VALUE"""),"0700.HK")</f>
        <v>0700.HK</v>
      </c>
      <c r="E609" s="5" t="str">
        <f ca="1">IFERROR(__xludf.DUMMYFUNCTION("""COMPUTED_VALUE"""),"HKD")</f>
        <v>HKD</v>
      </c>
      <c r="F609" s="55">
        <f ca="1">IFERROR(__xludf.DUMMYFUNCTION("""COMPUTED_VALUE"""),218)</f>
        <v>218</v>
      </c>
      <c r="G609" s="56">
        <f ca="1">IFERROR(__xludf.DUMMYFUNCTION("""COMPUTED_VALUE"""),1)</f>
        <v>1</v>
      </c>
      <c r="H609" s="57">
        <f ca="1">IFERROR(__xludf.DUMMYFUNCTION("""COMPUTED_VALUE"""),445.4)</f>
        <v>445.4</v>
      </c>
      <c r="I609" s="57">
        <f ca="1">IFERROR(__xludf.DUMMYFUNCTION("""COMPUTED_VALUE"""),389)</f>
        <v>389</v>
      </c>
      <c r="J609" s="70" t="str">
        <f ca="1">IFERROR(__xludf.DUMMYFUNCTION("""COMPUTED_VALUE"""),"Goto link: 0700.HK")</f>
        <v>Goto link: 0700.HK</v>
      </c>
      <c r="K609" s="19"/>
      <c r="L609" s="19"/>
      <c r="M609" s="19"/>
      <c r="N609" s="19"/>
      <c r="O609" s="59"/>
      <c r="P609" s="7"/>
      <c r="Q609" s="55"/>
      <c r="R609" s="55"/>
      <c r="S609" s="7"/>
      <c r="T609" s="55"/>
      <c r="U609" s="7"/>
      <c r="V609" s="55"/>
      <c r="W609" s="60"/>
      <c r="X609" s="55"/>
    </row>
    <row r="610" spans="1:24" ht="13" x14ac:dyDescent="0.15">
      <c r="A610" s="25" t="str">
        <f ca="1">IFERROR(__xludf.DUMMYFUNCTION("""COMPUTED_VALUE"""),"77729")</f>
        <v>77729</v>
      </c>
      <c r="B610" s="69">
        <f ca="1">IFERROR(__xludf.DUMMYFUNCTION("""COMPUTED_VALUE"""),44613)</f>
        <v>44613</v>
      </c>
      <c r="C610" s="69" t="str">
        <f ca="1">IFERROR(__xludf.DUMMYFUNCTION("""COMPUTED_VALUE"""),"Stock")</f>
        <v>Stock</v>
      </c>
      <c r="D610" s="71" t="str">
        <f ca="1">IFERROR(__xludf.DUMMYFUNCTION("""COMPUTED_VALUE"""),"3690.HK")</f>
        <v>3690.HK</v>
      </c>
      <c r="E610" s="5" t="str">
        <f ca="1">IFERROR(__xludf.DUMMYFUNCTION("""COMPUTED_VALUE"""),"HKD")</f>
        <v>HKD</v>
      </c>
      <c r="F610" s="55">
        <f ca="1">IFERROR(__xludf.DUMMYFUNCTION("""COMPUTED_VALUE"""),270)</f>
        <v>270</v>
      </c>
      <c r="G610" s="56">
        <f ca="1">IFERROR(__xludf.DUMMYFUNCTION("""COMPUTED_VALUE"""),1)</f>
        <v>1</v>
      </c>
      <c r="H610" s="57">
        <f ca="1">IFERROR(__xludf.DUMMYFUNCTION("""COMPUTED_VALUE"""),180.5)</f>
        <v>180.5</v>
      </c>
      <c r="I610" s="57">
        <f ca="1">IFERROR(__xludf.DUMMYFUNCTION("""COMPUTED_VALUE"""),156.2)</f>
        <v>156.19999999999999</v>
      </c>
      <c r="J610" s="70" t="str">
        <f ca="1">IFERROR(__xludf.DUMMYFUNCTION("""COMPUTED_VALUE"""),"Goto link: 3690.HK")</f>
        <v>Goto link: 3690.HK</v>
      </c>
      <c r="K610" s="19"/>
      <c r="L610" s="19"/>
      <c r="M610" s="19"/>
      <c r="N610" s="19"/>
      <c r="O610" s="59"/>
      <c r="P610" s="7"/>
      <c r="Q610" s="55"/>
      <c r="R610" s="55"/>
      <c r="S610" s="7"/>
      <c r="T610" s="55"/>
      <c r="U610" s="7"/>
      <c r="V610" s="55"/>
      <c r="W610" s="60"/>
      <c r="X610" s="55"/>
    </row>
    <row r="611" spans="1:24" ht="13" x14ac:dyDescent="0.15">
      <c r="A611" s="25" t="str">
        <f ca="1">IFERROR(__xludf.DUMMYFUNCTION("""COMPUTED_VALUE"""),"77729")</f>
        <v>77729</v>
      </c>
      <c r="B611" s="69">
        <f ca="1">IFERROR(__xludf.DUMMYFUNCTION("""COMPUTED_VALUE"""),44627)</f>
        <v>44627</v>
      </c>
      <c r="C611" s="69" t="str">
        <f ca="1">IFERROR(__xludf.DUMMYFUNCTION("""COMPUTED_VALUE"""),"Stock")</f>
        <v>Stock</v>
      </c>
      <c r="D611" s="71" t="str">
        <f ca="1">IFERROR(__xludf.DUMMYFUNCTION("""COMPUTED_VALUE"""),"0700.HK")</f>
        <v>0700.HK</v>
      </c>
      <c r="E611" s="5" t="str">
        <f ca="1">IFERROR(__xludf.DUMMYFUNCTION("""COMPUTED_VALUE"""),"HKD")</f>
        <v>HKD</v>
      </c>
      <c r="F611" s="55">
        <f ca="1">IFERROR(__xludf.DUMMYFUNCTION("""COMPUTED_VALUE"""),250)</f>
        <v>250</v>
      </c>
      <c r="G611" s="56">
        <f ca="1">IFERROR(__xludf.DUMMYFUNCTION("""COMPUTED_VALUE"""),1)</f>
        <v>1</v>
      </c>
      <c r="H611" s="57">
        <f ca="1">IFERROR(__xludf.DUMMYFUNCTION("""COMPUTED_VALUE"""),388)</f>
        <v>388</v>
      </c>
      <c r="I611" s="57">
        <f ca="1">IFERROR(__xludf.DUMMYFUNCTION("""COMPUTED_VALUE"""),389)</f>
        <v>389</v>
      </c>
      <c r="J611" s="70" t="str">
        <f ca="1">IFERROR(__xludf.DUMMYFUNCTION("""COMPUTED_VALUE"""),"Goto link: 0700.HK")</f>
        <v>Goto link: 0700.HK</v>
      </c>
      <c r="K611" s="19"/>
      <c r="L611" s="19"/>
      <c r="M611" s="19"/>
      <c r="N611" s="19"/>
      <c r="O611" s="59"/>
      <c r="P611" s="7"/>
      <c r="Q611" s="55"/>
      <c r="R611" s="55"/>
      <c r="S611" s="7"/>
      <c r="T611" s="55"/>
      <c r="U611" s="7"/>
      <c r="V611" s="55"/>
      <c r="W611" s="60"/>
      <c r="X611" s="55"/>
    </row>
    <row r="612" spans="1:24" ht="13" x14ac:dyDescent="0.15">
      <c r="A612" s="25" t="str">
        <f ca="1">IFERROR(__xludf.DUMMYFUNCTION("""COMPUTED_VALUE"""),"77729")</f>
        <v>77729</v>
      </c>
      <c r="B612" s="69">
        <f ca="1">IFERROR(__xludf.DUMMYFUNCTION("""COMPUTED_VALUE"""),44627)</f>
        <v>44627</v>
      </c>
      <c r="C612" s="69" t="str">
        <f ca="1">IFERROR(__xludf.DUMMYFUNCTION("""COMPUTED_VALUE"""),"Stock")</f>
        <v>Stock</v>
      </c>
      <c r="D612" s="71" t="str">
        <f ca="1">IFERROR(__xludf.DUMMYFUNCTION("""COMPUTED_VALUE"""),"3690.HK")</f>
        <v>3690.HK</v>
      </c>
      <c r="E612" s="5" t="str">
        <f ca="1">IFERROR(__xludf.DUMMYFUNCTION("""COMPUTED_VALUE"""),"HKD")</f>
        <v>HKD</v>
      </c>
      <c r="F612" s="55">
        <f ca="1">IFERROR(__xludf.DUMMYFUNCTION("""COMPUTED_VALUE"""),300)</f>
        <v>300</v>
      </c>
      <c r="G612" s="56">
        <f ca="1">IFERROR(__xludf.DUMMYFUNCTION("""COMPUTED_VALUE"""),1)</f>
        <v>1</v>
      </c>
      <c r="H612" s="57">
        <f ca="1">IFERROR(__xludf.DUMMYFUNCTION("""COMPUTED_VALUE"""),146.2)</f>
        <v>146.19999999999999</v>
      </c>
      <c r="I612" s="57">
        <f ca="1">IFERROR(__xludf.DUMMYFUNCTION("""COMPUTED_VALUE"""),156.2)</f>
        <v>156.19999999999999</v>
      </c>
      <c r="J612" s="70" t="str">
        <f ca="1">IFERROR(__xludf.DUMMYFUNCTION("""COMPUTED_VALUE"""),"Goto link: 3690.HK")</f>
        <v>Goto link: 3690.HK</v>
      </c>
      <c r="K612" s="19"/>
      <c r="L612" s="19"/>
      <c r="M612" s="19"/>
      <c r="N612" s="19"/>
      <c r="O612" s="59"/>
      <c r="P612" s="7"/>
      <c r="Q612" s="55"/>
      <c r="R612" s="55"/>
      <c r="S612" s="7"/>
      <c r="T612" s="55"/>
      <c r="U612" s="7"/>
      <c r="V612" s="55"/>
      <c r="W612" s="60"/>
      <c r="X612" s="55"/>
    </row>
    <row r="613" spans="1:24" ht="13" x14ac:dyDescent="0.15">
      <c r="A613" s="25" t="str">
        <f ca="1">IFERROR(__xludf.DUMMYFUNCTION("""COMPUTED_VALUE"""),"77729 Total")</f>
        <v>77729 Total</v>
      </c>
      <c r="B613" s="5"/>
      <c r="C613" s="69"/>
      <c r="D613" s="5"/>
      <c r="E613" s="5"/>
      <c r="F613" s="55"/>
      <c r="G613" s="56">
        <f ca="1">IFERROR(__xludf.DUMMYFUNCTION("""COMPUTED_VALUE"""),1)</f>
        <v>1</v>
      </c>
      <c r="H613" s="57">
        <f ca="1">IFERROR(__xludf.DUMMYFUNCTION("""COMPUTED_VALUE"""),445.4)</f>
        <v>445.4</v>
      </c>
      <c r="I613" s="57" t="str">
        <f ca="1">IFERROR(__xludf.DUMMYFUNCTION("""COMPUTED_VALUE"""),"")</f>
        <v/>
      </c>
      <c r="J613" s="19" t="str">
        <f ca="1">IFERROR(__xludf.DUMMYFUNCTION("""COMPUTED_VALUE"""),"")</f>
        <v/>
      </c>
      <c r="K613" s="19"/>
      <c r="L613" s="19"/>
      <c r="M613" s="19"/>
      <c r="N613" s="19"/>
      <c r="O613" s="59"/>
      <c r="P613" s="7"/>
      <c r="Q613" s="55"/>
      <c r="R613" s="55"/>
      <c r="S613" s="7"/>
      <c r="T613" s="55"/>
      <c r="U613" s="7"/>
      <c r="V613" s="55"/>
      <c r="W613" s="60"/>
      <c r="X613" s="55"/>
    </row>
    <row r="614" spans="1:24" ht="13" x14ac:dyDescent="0.15">
      <c r="A614" s="25" t="str">
        <f ca="1">IFERROR(__xludf.DUMMYFUNCTION("""COMPUTED_VALUE"""),"77936")</f>
        <v>77936</v>
      </c>
      <c r="B614" s="69">
        <f ca="1">IFERROR(__xludf.DUMMYFUNCTION("""COMPUTED_VALUE"""),44597)</f>
        <v>44597</v>
      </c>
      <c r="C614" s="69" t="str">
        <f ca="1">IFERROR(__xludf.DUMMYFUNCTION("""COMPUTED_VALUE"""),"Cash")</f>
        <v>Cash</v>
      </c>
      <c r="D614" s="5" t="str">
        <f ca="1">IFERROR(__xludf.DUMMYFUNCTION("""COMPUTED_VALUE"""),"Cash")</f>
        <v>Cash</v>
      </c>
      <c r="E614" s="5" t="str">
        <f ca="1">IFERROR(__xludf.DUMMYFUNCTION("""COMPUTED_VALUE"""),"HKD")</f>
        <v>HKD</v>
      </c>
      <c r="F614" s="55" t="str">
        <f ca="1">IFERROR(__xludf.DUMMYFUNCTION("""COMPUTED_VALUE"""),"")</f>
        <v/>
      </c>
      <c r="G614" s="56">
        <f ca="1">IFERROR(__xludf.DUMMYFUNCTION("""COMPUTED_VALUE"""),1)</f>
        <v>1</v>
      </c>
      <c r="H614" s="57">
        <f ca="1">IFERROR(__xludf.DUMMYFUNCTION("""COMPUTED_VALUE"""),1)</f>
        <v>1</v>
      </c>
      <c r="I614" s="57">
        <f ca="1">IFERROR(__xludf.DUMMYFUNCTION("""COMPUTED_VALUE"""),1)</f>
        <v>1</v>
      </c>
      <c r="J614" s="19" t="str">
        <f ca="1">IFERROR(__xludf.DUMMYFUNCTION("""COMPUTED_VALUE"""),"")</f>
        <v/>
      </c>
      <c r="K614" s="19"/>
      <c r="L614" s="19"/>
      <c r="M614" s="19"/>
      <c r="N614" s="19"/>
      <c r="O614" s="59"/>
      <c r="P614" s="7"/>
      <c r="Q614" s="55"/>
      <c r="R614" s="55"/>
      <c r="S614" s="7"/>
      <c r="T614" s="55"/>
      <c r="U614" s="7"/>
      <c r="V614" s="55"/>
      <c r="W614" s="60"/>
      <c r="X614" s="55"/>
    </row>
    <row r="615" spans="1:24" ht="13" x14ac:dyDescent="0.15">
      <c r="A615" s="25" t="str">
        <f ca="1">IFERROR(__xludf.DUMMYFUNCTION("""COMPUTED_VALUE"""),"77936")</f>
        <v>77936</v>
      </c>
      <c r="B615" s="69">
        <f ca="1">IFERROR(__xludf.DUMMYFUNCTION("""COMPUTED_VALUE"""),44630)</f>
        <v>44630</v>
      </c>
      <c r="C615" s="69" t="str">
        <f ca="1">IFERROR(__xludf.DUMMYFUNCTION("""COMPUTED_VALUE"""),"Stock")</f>
        <v>Stock</v>
      </c>
      <c r="D615" s="71" t="str">
        <f ca="1">IFERROR(__xludf.DUMMYFUNCTION("""COMPUTED_VALUE"""),"9626.HK")</f>
        <v>9626.HK</v>
      </c>
      <c r="E615" s="5" t="str">
        <f ca="1">IFERROR(__xludf.DUMMYFUNCTION("""COMPUTED_VALUE"""),"HKD")</f>
        <v>HKD</v>
      </c>
      <c r="F615" s="55">
        <f ca="1">IFERROR(__xludf.DUMMYFUNCTION("""COMPUTED_VALUE"""),1000)</f>
        <v>1000</v>
      </c>
      <c r="G615" s="56">
        <f ca="1">IFERROR(__xludf.DUMMYFUNCTION("""COMPUTED_VALUE"""),1)</f>
        <v>1</v>
      </c>
      <c r="H615" s="57">
        <f ca="1">IFERROR(__xludf.DUMMYFUNCTION("""COMPUTED_VALUE"""),185.2)</f>
        <v>185.2</v>
      </c>
      <c r="I615" s="57">
        <f ca="1">IFERROR(__xludf.DUMMYFUNCTION("""COMPUTED_VALUE"""),229)</f>
        <v>229</v>
      </c>
      <c r="J615" s="70" t="str">
        <f ca="1">IFERROR(__xludf.DUMMYFUNCTION("""COMPUTED_VALUE"""),"Goto link: 9626.HK")</f>
        <v>Goto link: 9626.HK</v>
      </c>
      <c r="K615" s="19"/>
      <c r="L615" s="19"/>
      <c r="M615" s="19"/>
      <c r="N615" s="19"/>
      <c r="O615" s="59"/>
      <c r="P615" s="7"/>
      <c r="Q615" s="55"/>
      <c r="R615" s="55"/>
      <c r="S615" s="7"/>
      <c r="T615" s="55"/>
      <c r="U615" s="7"/>
      <c r="V615" s="55"/>
      <c r="W615" s="60"/>
      <c r="X615" s="55"/>
    </row>
    <row r="616" spans="1:24" ht="13" x14ac:dyDescent="0.15">
      <c r="A616" s="25" t="str">
        <f ca="1">IFERROR(__xludf.DUMMYFUNCTION("""COMPUTED_VALUE"""),"77936")</f>
        <v>77936</v>
      </c>
      <c r="B616" s="69">
        <f ca="1">IFERROR(__xludf.DUMMYFUNCTION("""COMPUTED_VALUE"""),44630)</f>
        <v>44630</v>
      </c>
      <c r="C616" s="69" t="str">
        <f ca="1">IFERROR(__xludf.DUMMYFUNCTION("""COMPUTED_VALUE"""),"Stock")</f>
        <v>Stock</v>
      </c>
      <c r="D616" s="71" t="str">
        <f ca="1">IFERROR(__xludf.DUMMYFUNCTION("""COMPUTED_VALUE"""),"9988.HK")</f>
        <v>9988.HK</v>
      </c>
      <c r="E616" s="5" t="str">
        <f ca="1">IFERROR(__xludf.DUMMYFUNCTION("""COMPUTED_VALUE"""),"HKD")</f>
        <v>HKD</v>
      </c>
      <c r="F616" s="55">
        <f ca="1">IFERROR(__xludf.DUMMYFUNCTION("""COMPUTED_VALUE"""),200)</f>
        <v>200</v>
      </c>
      <c r="G616" s="56">
        <f ca="1">IFERROR(__xludf.DUMMYFUNCTION("""COMPUTED_VALUE"""),1)</f>
        <v>1</v>
      </c>
      <c r="H616" s="57">
        <f ca="1">IFERROR(__xludf.DUMMYFUNCTION("""COMPUTED_VALUE"""),96.1)</f>
        <v>96.1</v>
      </c>
      <c r="I616" s="57">
        <f ca="1">IFERROR(__xludf.DUMMYFUNCTION("""COMPUTED_VALUE"""),117.6)</f>
        <v>117.6</v>
      </c>
      <c r="J616" s="70" t="str">
        <f ca="1">IFERROR(__xludf.DUMMYFUNCTION("""COMPUTED_VALUE"""),"Goto link: 9988.HK")</f>
        <v>Goto link: 9988.HK</v>
      </c>
      <c r="K616" s="19"/>
      <c r="L616" s="19"/>
      <c r="M616" s="19"/>
      <c r="N616" s="19"/>
      <c r="O616" s="59"/>
      <c r="P616" s="7"/>
      <c r="Q616" s="55"/>
      <c r="R616" s="55"/>
      <c r="S616" s="7"/>
      <c r="T616" s="55"/>
      <c r="U616" s="7"/>
      <c r="V616" s="55"/>
      <c r="W616" s="60"/>
      <c r="X616" s="55"/>
    </row>
    <row r="617" spans="1:24" ht="13" x14ac:dyDescent="0.15">
      <c r="A617" s="25" t="str">
        <f ca="1">IFERROR(__xludf.DUMMYFUNCTION("""COMPUTED_VALUE"""),"77936")</f>
        <v>77936</v>
      </c>
      <c r="B617" s="69">
        <f ca="1">IFERROR(__xludf.DUMMYFUNCTION("""COMPUTED_VALUE"""),44636)</f>
        <v>44636</v>
      </c>
      <c r="C617" s="69" t="str">
        <f ca="1">IFERROR(__xludf.DUMMYFUNCTION("""COMPUTED_VALUE"""),"Stock")</f>
        <v>Stock</v>
      </c>
      <c r="D617" s="71" t="str">
        <f ca="1">IFERROR(__xludf.DUMMYFUNCTION("""COMPUTED_VALUE"""),"3690.HK")</f>
        <v>3690.HK</v>
      </c>
      <c r="E617" s="5" t="str">
        <f ca="1">IFERROR(__xludf.DUMMYFUNCTION("""COMPUTED_VALUE"""),"HKD")</f>
        <v>HKD</v>
      </c>
      <c r="F617" s="55">
        <f ca="1">IFERROR(__xludf.DUMMYFUNCTION("""COMPUTED_VALUE"""),500)</f>
        <v>500</v>
      </c>
      <c r="G617" s="56">
        <f ca="1">IFERROR(__xludf.DUMMYFUNCTION("""COMPUTED_VALUE"""),1)</f>
        <v>1</v>
      </c>
      <c r="H617" s="57">
        <f ca="1">IFERROR(__xludf.DUMMYFUNCTION("""COMPUTED_VALUE"""),140)</f>
        <v>140</v>
      </c>
      <c r="I617" s="57">
        <f ca="1">IFERROR(__xludf.DUMMYFUNCTION("""COMPUTED_VALUE"""),156.2)</f>
        <v>156.19999999999999</v>
      </c>
      <c r="J617" s="70" t="str">
        <f ca="1">IFERROR(__xludf.DUMMYFUNCTION("""COMPUTED_VALUE"""),"Goto link: 3690.HK")</f>
        <v>Goto link: 3690.HK</v>
      </c>
      <c r="K617" s="19"/>
      <c r="L617" s="19"/>
      <c r="M617" s="19"/>
      <c r="N617" s="19"/>
      <c r="O617" s="59"/>
      <c r="P617" s="7"/>
      <c r="Q617" s="55"/>
      <c r="R617" s="55"/>
      <c r="S617" s="7"/>
      <c r="T617" s="55"/>
      <c r="U617" s="7"/>
      <c r="V617" s="55"/>
      <c r="W617" s="60"/>
      <c r="X617" s="55"/>
    </row>
    <row r="618" spans="1:24" ht="13" x14ac:dyDescent="0.15">
      <c r="A618" s="25" t="str">
        <f ca="1">IFERROR(__xludf.DUMMYFUNCTION("""COMPUTED_VALUE"""),"77936")</f>
        <v>77936</v>
      </c>
      <c r="B618" s="69">
        <f ca="1">IFERROR(__xludf.DUMMYFUNCTION("""COMPUTED_VALUE"""),44636)</f>
        <v>44636</v>
      </c>
      <c r="C618" s="69" t="str">
        <f ca="1">IFERROR(__xludf.DUMMYFUNCTION("""COMPUTED_VALUE"""),"Stock")</f>
        <v>Stock</v>
      </c>
      <c r="D618" s="71" t="str">
        <f ca="1">IFERROR(__xludf.DUMMYFUNCTION("""COMPUTED_VALUE"""),"6078.HK")</f>
        <v>6078.HK</v>
      </c>
      <c r="E618" s="5" t="str">
        <f ca="1">IFERROR(__xludf.DUMMYFUNCTION("""COMPUTED_VALUE"""),"HKD")</f>
        <v>HKD</v>
      </c>
      <c r="F618" s="55">
        <f ca="1">IFERROR(__xludf.DUMMYFUNCTION("""COMPUTED_VALUE"""),1000)</f>
        <v>1000</v>
      </c>
      <c r="G618" s="56">
        <f ca="1">IFERROR(__xludf.DUMMYFUNCTION("""COMPUTED_VALUE"""),1)</f>
        <v>1</v>
      </c>
      <c r="H618" s="57">
        <f ca="1">IFERROR(__xludf.DUMMYFUNCTION("""COMPUTED_VALUE"""),29.95)</f>
        <v>29.95</v>
      </c>
      <c r="I618" s="57">
        <f ca="1">IFERROR(__xludf.DUMMYFUNCTION("""COMPUTED_VALUE"""),31.65)</f>
        <v>31.65</v>
      </c>
      <c r="J618" s="70" t="str">
        <f ca="1">IFERROR(__xludf.DUMMYFUNCTION("""COMPUTED_VALUE"""),"Goto link: 6078.HK")</f>
        <v>Goto link: 6078.HK</v>
      </c>
      <c r="K618" s="19"/>
      <c r="L618" s="19"/>
      <c r="M618" s="19"/>
      <c r="N618" s="19"/>
      <c r="O618" s="59"/>
      <c r="P618" s="7"/>
      <c r="Q618" s="55"/>
      <c r="R618" s="55"/>
      <c r="S618" s="7"/>
      <c r="T618" s="55"/>
      <c r="U618" s="7"/>
      <c r="V618" s="55"/>
      <c r="W618" s="60"/>
      <c r="X618" s="55"/>
    </row>
    <row r="619" spans="1:24" ht="13" x14ac:dyDescent="0.15">
      <c r="A619" s="25" t="str">
        <f ca="1">IFERROR(__xludf.DUMMYFUNCTION("""COMPUTED_VALUE"""),"77936 Total")</f>
        <v>77936 Total</v>
      </c>
      <c r="B619" s="5"/>
      <c r="C619" s="69"/>
      <c r="D619" s="5"/>
      <c r="E619" s="5"/>
      <c r="F619" s="55"/>
      <c r="G619" s="56">
        <f ca="1">IFERROR(__xludf.DUMMYFUNCTION("""COMPUTED_VALUE"""),1)</f>
        <v>1</v>
      </c>
      <c r="H619" s="57">
        <f ca="1">IFERROR(__xludf.DUMMYFUNCTION("""COMPUTED_VALUE"""),185.2)</f>
        <v>185.2</v>
      </c>
      <c r="I619" s="57" t="str">
        <f ca="1">IFERROR(__xludf.DUMMYFUNCTION("""COMPUTED_VALUE"""),"")</f>
        <v/>
      </c>
      <c r="J619" s="19" t="str">
        <f ca="1">IFERROR(__xludf.DUMMYFUNCTION("""COMPUTED_VALUE"""),"")</f>
        <v/>
      </c>
      <c r="K619" s="19"/>
      <c r="L619" s="19"/>
      <c r="M619" s="19"/>
      <c r="N619" s="19"/>
      <c r="O619" s="59"/>
      <c r="P619" s="7"/>
      <c r="Q619" s="55"/>
      <c r="R619" s="55"/>
      <c r="S619" s="7"/>
      <c r="T619" s="55"/>
      <c r="U619" s="7"/>
      <c r="V619" s="55"/>
      <c r="W619" s="60"/>
      <c r="X619" s="55"/>
    </row>
    <row r="620" spans="1:24" ht="13" x14ac:dyDescent="0.15">
      <c r="A620" s="25" t="str">
        <f ca="1">IFERROR(__xludf.DUMMYFUNCTION("""COMPUTED_VALUE"""),"79521")</f>
        <v>79521</v>
      </c>
      <c r="B620" s="69">
        <f ca="1">IFERROR(__xludf.DUMMYFUNCTION("""COMPUTED_VALUE"""),44597)</f>
        <v>44597</v>
      </c>
      <c r="C620" s="69" t="str">
        <f ca="1">IFERROR(__xludf.DUMMYFUNCTION("""COMPUTED_VALUE"""),"Cash")</f>
        <v>Cash</v>
      </c>
      <c r="D620" s="5" t="str">
        <f ca="1">IFERROR(__xludf.DUMMYFUNCTION("""COMPUTED_VALUE"""),"Cash")</f>
        <v>Cash</v>
      </c>
      <c r="E620" s="5" t="str">
        <f ca="1">IFERROR(__xludf.DUMMYFUNCTION("""COMPUTED_VALUE"""),"HKD")</f>
        <v>HKD</v>
      </c>
      <c r="F620" s="55" t="str">
        <f ca="1">IFERROR(__xludf.DUMMYFUNCTION("""COMPUTED_VALUE"""),"")</f>
        <v/>
      </c>
      <c r="G620" s="56">
        <f ca="1">IFERROR(__xludf.DUMMYFUNCTION("""COMPUTED_VALUE"""),1)</f>
        <v>1</v>
      </c>
      <c r="H620" s="57">
        <f ca="1">IFERROR(__xludf.DUMMYFUNCTION("""COMPUTED_VALUE"""),1)</f>
        <v>1</v>
      </c>
      <c r="I620" s="57">
        <f ca="1">IFERROR(__xludf.DUMMYFUNCTION("""COMPUTED_VALUE"""),1)</f>
        <v>1</v>
      </c>
      <c r="J620" s="19" t="str">
        <f ca="1">IFERROR(__xludf.DUMMYFUNCTION("""COMPUTED_VALUE"""),"")</f>
        <v/>
      </c>
      <c r="K620" s="19"/>
      <c r="L620" s="19"/>
      <c r="M620" s="19"/>
      <c r="N620" s="19"/>
      <c r="O620" s="59"/>
      <c r="P620" s="7"/>
      <c r="Q620" s="55"/>
      <c r="R620" s="55"/>
      <c r="S620" s="7"/>
      <c r="T620" s="55"/>
      <c r="U620" s="7"/>
      <c r="V620" s="55"/>
      <c r="W620" s="60"/>
      <c r="X620" s="55"/>
    </row>
    <row r="621" spans="1:24" ht="13" x14ac:dyDescent="0.15">
      <c r="A621" s="25" t="str">
        <f ca="1">IFERROR(__xludf.DUMMYFUNCTION("""COMPUTED_VALUE"""),"79521")</f>
        <v>79521</v>
      </c>
      <c r="B621" s="69">
        <f ca="1">IFERROR(__xludf.DUMMYFUNCTION("""COMPUTED_VALUE"""),44622)</f>
        <v>44622</v>
      </c>
      <c r="C621" s="69" t="str">
        <f ca="1">IFERROR(__xludf.DUMMYFUNCTION("""COMPUTED_VALUE"""),"Stock")</f>
        <v>Stock</v>
      </c>
      <c r="D621" s="5" t="str">
        <f ca="1">IFERROR(__xludf.DUMMYFUNCTION("""COMPUTED_VALUE"""),"AAPL")</f>
        <v>AAPL</v>
      </c>
      <c r="E621" s="5" t="str">
        <f ca="1">IFERROR(__xludf.DUMMYFUNCTION("""COMPUTED_VALUE"""),"USD")</f>
        <v>USD</v>
      </c>
      <c r="F621" s="55">
        <f ca="1">IFERROR(__xludf.DUMMYFUNCTION("""COMPUTED_VALUE"""),0)</f>
        <v>0</v>
      </c>
      <c r="G621" s="56">
        <f ca="1">IFERROR(__xludf.DUMMYFUNCTION("""COMPUTED_VALUE"""),7.82192928571428)</f>
        <v>7.8219292857142797</v>
      </c>
      <c r="H621" s="57">
        <f ca="1">IFERROR(__xludf.DUMMYFUNCTION("""COMPUTED_VALUE"""),0)</f>
        <v>0</v>
      </c>
      <c r="I621" s="57">
        <f ca="1">IFERROR(__xludf.DUMMYFUNCTION("""COMPUTED_VALUE"""),170.21)</f>
        <v>170.21</v>
      </c>
      <c r="J621" s="70" t="str">
        <f ca="1">IFERROR(__xludf.DUMMYFUNCTION("""COMPUTED_VALUE"""),"Goto link: AAPL")</f>
        <v>Goto link: AAPL</v>
      </c>
      <c r="K621" s="19"/>
      <c r="L621" s="19"/>
      <c r="M621" s="19"/>
      <c r="N621" s="19"/>
      <c r="O621" s="59"/>
      <c r="P621" s="7"/>
      <c r="Q621" s="55"/>
      <c r="R621" s="55"/>
      <c r="S621" s="7"/>
      <c r="T621" s="55"/>
      <c r="U621" s="7"/>
      <c r="V621" s="55"/>
      <c r="W621" s="60"/>
      <c r="X621" s="55"/>
    </row>
    <row r="622" spans="1:24" ht="13" x14ac:dyDescent="0.15">
      <c r="A622" s="25" t="str">
        <f ca="1">IFERROR(__xludf.DUMMYFUNCTION("""COMPUTED_VALUE"""),"79521")</f>
        <v>79521</v>
      </c>
      <c r="B622" s="69">
        <f ca="1">IFERROR(__xludf.DUMMYFUNCTION("""COMPUTED_VALUE"""),44627)</f>
        <v>44627</v>
      </c>
      <c r="C622" s="69" t="str">
        <f ca="1">IFERROR(__xludf.DUMMYFUNCTION("""COMPUTED_VALUE"""),"Stock")</f>
        <v>Stock</v>
      </c>
      <c r="D622" s="71" t="str">
        <f ca="1">IFERROR(__xludf.DUMMYFUNCTION("""COMPUTED_VALUE"""),"000950.SZ")</f>
        <v>000950.SZ</v>
      </c>
      <c r="E622" s="5" t="str">
        <f ca="1">IFERROR(__xludf.DUMMYFUNCTION("""COMPUTED_VALUE"""),"CNY")</f>
        <v>CNY</v>
      </c>
      <c r="F622" s="55">
        <f ca="1">IFERROR(__xludf.DUMMYFUNCTION("""COMPUTED_VALUE"""),32500)</f>
        <v>32500</v>
      </c>
      <c r="G622" s="56">
        <f ca="1">IFERROR(__xludf.DUMMYFUNCTION("""COMPUTED_VALUE"""),1.2332305)</f>
        <v>1.2332304999999999</v>
      </c>
      <c r="H622" s="57">
        <f ca="1">IFERROR(__xludf.DUMMYFUNCTION("""COMPUTED_VALUE"""),6.15)</f>
        <v>6.15</v>
      </c>
      <c r="I622" s="57">
        <f ca="1">IFERROR(__xludf.DUMMYFUNCTION("""COMPUTED_VALUE"""),5.8)</f>
        <v>5.8</v>
      </c>
      <c r="J622" s="70" t="str">
        <f ca="1">IFERROR(__xludf.DUMMYFUNCTION("""COMPUTED_VALUE"""),"Goto link: 000950.SZ")</f>
        <v>Goto link: 000950.SZ</v>
      </c>
      <c r="K622" s="19"/>
      <c r="L622" s="19"/>
      <c r="M622" s="19"/>
      <c r="N622" s="19"/>
      <c r="O622" s="59"/>
      <c r="P622" s="7"/>
      <c r="Q622" s="55"/>
      <c r="R622" s="55"/>
      <c r="S622" s="7"/>
      <c r="T622" s="55"/>
      <c r="U622" s="7"/>
      <c r="V622" s="55"/>
      <c r="W622" s="60"/>
      <c r="X622" s="55"/>
    </row>
    <row r="623" spans="1:24" ht="13" x14ac:dyDescent="0.15">
      <c r="A623" s="25" t="str">
        <f ca="1">IFERROR(__xludf.DUMMYFUNCTION("""COMPUTED_VALUE"""),"79521")</f>
        <v>79521</v>
      </c>
      <c r="B623" s="69">
        <f ca="1">IFERROR(__xludf.DUMMYFUNCTION("""COMPUTED_VALUE"""),44627)</f>
        <v>44627</v>
      </c>
      <c r="C623" s="69" t="str">
        <f ca="1">IFERROR(__xludf.DUMMYFUNCTION("""COMPUTED_VALUE"""),"Stock")</f>
        <v>Stock</v>
      </c>
      <c r="D623" s="71" t="str">
        <f ca="1">IFERROR(__xludf.DUMMYFUNCTION("""COMPUTED_VALUE"""),"600661.SS")</f>
        <v>600661.SS</v>
      </c>
      <c r="E623" s="5" t="str">
        <f ca="1">IFERROR(__xludf.DUMMYFUNCTION("""COMPUTED_VALUE"""),"CNY")</f>
        <v>CNY</v>
      </c>
      <c r="F623" s="55">
        <f ca="1">IFERROR(__xludf.DUMMYFUNCTION("""COMPUTED_VALUE"""),15000)</f>
        <v>15000</v>
      </c>
      <c r="G623" s="56">
        <f ca="1">IFERROR(__xludf.DUMMYFUNCTION("""COMPUTED_VALUE"""),1.2332305)</f>
        <v>1.2332304999999999</v>
      </c>
      <c r="H623" s="57">
        <f ca="1">IFERROR(__xludf.DUMMYFUNCTION("""COMPUTED_VALUE"""),13.18)</f>
        <v>13.18</v>
      </c>
      <c r="I623" s="57">
        <f ca="1">IFERROR(__xludf.DUMMYFUNCTION("""COMPUTED_VALUE"""),10.33)</f>
        <v>10.33</v>
      </c>
      <c r="J623" s="70" t="str">
        <f ca="1">IFERROR(__xludf.DUMMYFUNCTION("""COMPUTED_VALUE"""),"Goto link: 600661.SS")</f>
        <v>Goto link: 600661.SS</v>
      </c>
      <c r="K623" s="19"/>
      <c r="L623" s="19"/>
      <c r="M623" s="19"/>
      <c r="N623" s="19"/>
      <c r="O623" s="59"/>
      <c r="P623" s="7"/>
      <c r="Q623" s="55"/>
      <c r="R623" s="55"/>
      <c r="S623" s="7"/>
      <c r="T623" s="55"/>
      <c r="U623" s="7"/>
      <c r="V623" s="55"/>
      <c r="W623" s="60"/>
      <c r="X623" s="55"/>
    </row>
    <row r="624" spans="1:24" ht="13" x14ac:dyDescent="0.15">
      <c r="A624" s="25" t="str">
        <f ca="1">IFERROR(__xludf.DUMMYFUNCTION("""COMPUTED_VALUE"""),"79521")</f>
        <v>79521</v>
      </c>
      <c r="B624" s="69">
        <f ca="1">IFERROR(__xludf.DUMMYFUNCTION("""COMPUTED_VALUE"""),44628)</f>
        <v>44628</v>
      </c>
      <c r="C624" s="69" t="str">
        <f ca="1">IFERROR(__xludf.DUMMYFUNCTION("""COMPUTED_VALUE"""),"Stock")</f>
        <v>Stock</v>
      </c>
      <c r="D624" s="5" t="str">
        <f ca="1">IFERROR(__xludf.DUMMYFUNCTION("""COMPUTED_VALUE"""),"AAPL")</f>
        <v>AAPL</v>
      </c>
      <c r="E624" s="5" t="str">
        <f ca="1">IFERROR(__xludf.DUMMYFUNCTION("""COMPUTED_VALUE"""),"USD")</f>
        <v>USD</v>
      </c>
      <c r="F624" s="55">
        <f ca="1">IFERROR(__xludf.DUMMYFUNCTION("""COMPUTED_VALUE"""),0)</f>
        <v>0</v>
      </c>
      <c r="G624" s="56">
        <f ca="1">IFERROR(__xludf.DUMMYFUNCTION("""COMPUTED_VALUE"""),7.82455)</f>
        <v>7.8245500000000003</v>
      </c>
      <c r="H624" s="57">
        <f ca="1">IFERROR(__xludf.DUMMYFUNCTION("""COMPUTED_VALUE"""),0)</f>
        <v>0</v>
      </c>
      <c r="I624" s="57">
        <f ca="1">IFERROR(__xludf.DUMMYFUNCTION("""COMPUTED_VALUE"""),170.21)</f>
        <v>170.21</v>
      </c>
      <c r="J624" s="70" t="str">
        <f ca="1">IFERROR(__xludf.DUMMYFUNCTION("""COMPUTED_VALUE"""),"Goto link: AAPL")</f>
        <v>Goto link: AAPL</v>
      </c>
      <c r="K624" s="19"/>
      <c r="L624" s="19"/>
      <c r="M624" s="19"/>
      <c r="N624" s="19"/>
      <c r="O624" s="59"/>
      <c r="P624" s="7"/>
      <c r="Q624" s="55"/>
      <c r="R624" s="55"/>
      <c r="S624" s="7"/>
      <c r="T624" s="55"/>
      <c r="U624" s="7"/>
      <c r="V624" s="55"/>
      <c r="W624" s="60"/>
      <c r="X624" s="55"/>
    </row>
    <row r="625" spans="1:24" ht="13" x14ac:dyDescent="0.15">
      <c r="A625" s="25" t="str">
        <f ca="1">IFERROR(__xludf.DUMMYFUNCTION("""COMPUTED_VALUE"""),"79521")</f>
        <v>79521</v>
      </c>
      <c r="B625" s="69">
        <f ca="1">IFERROR(__xludf.DUMMYFUNCTION("""COMPUTED_VALUE"""),44637)</f>
        <v>44637</v>
      </c>
      <c r="C625" s="69" t="str">
        <f ca="1">IFERROR(__xludf.DUMMYFUNCTION("""COMPUTED_VALUE"""),"Stock")</f>
        <v>Stock</v>
      </c>
      <c r="D625" s="71" t="str">
        <f ca="1">IFERROR(__xludf.DUMMYFUNCTION("""COMPUTED_VALUE"""),"000950.SZ")</f>
        <v>000950.SZ</v>
      </c>
      <c r="E625" s="5" t="str">
        <f ca="1">IFERROR(__xludf.DUMMYFUNCTION("""COMPUTED_VALUE"""),"CNY")</f>
        <v>CNY</v>
      </c>
      <c r="F625" s="55">
        <f ca="1">IFERROR(__xludf.DUMMYFUNCTION("""COMPUTED_VALUE"""),-32500)</f>
        <v>-32500</v>
      </c>
      <c r="G625" s="56">
        <f ca="1">IFERROR(__xludf.DUMMYFUNCTION("""COMPUTED_VALUE"""),1.23062583333333)</f>
        <v>1.23062583333333</v>
      </c>
      <c r="H625" s="57">
        <f ca="1">IFERROR(__xludf.DUMMYFUNCTION("""COMPUTED_VALUE"""),5.58)</f>
        <v>5.58</v>
      </c>
      <c r="I625" s="57">
        <f ca="1">IFERROR(__xludf.DUMMYFUNCTION("""COMPUTED_VALUE"""),5.8)</f>
        <v>5.8</v>
      </c>
      <c r="J625" s="70" t="str">
        <f ca="1">IFERROR(__xludf.DUMMYFUNCTION("""COMPUTED_VALUE"""),"Goto link: 000950.SZ")</f>
        <v>Goto link: 000950.SZ</v>
      </c>
      <c r="K625" s="19"/>
      <c r="L625" s="19"/>
      <c r="M625" s="19"/>
      <c r="N625" s="19"/>
      <c r="O625" s="59"/>
      <c r="P625" s="7"/>
      <c r="Q625" s="55"/>
      <c r="R625" s="55"/>
      <c r="S625" s="7"/>
      <c r="T625" s="55"/>
      <c r="U625" s="7"/>
      <c r="V625" s="55"/>
      <c r="W625" s="60"/>
      <c r="X625" s="55"/>
    </row>
    <row r="626" spans="1:24" ht="13" x14ac:dyDescent="0.15">
      <c r="A626" s="25" t="str">
        <f ca="1">IFERROR(__xludf.DUMMYFUNCTION("""COMPUTED_VALUE"""),"79521")</f>
        <v>79521</v>
      </c>
      <c r="B626" s="69">
        <f ca="1">IFERROR(__xludf.DUMMYFUNCTION("""COMPUTED_VALUE"""),44637)</f>
        <v>44637</v>
      </c>
      <c r="C626" s="69" t="str">
        <f ca="1">IFERROR(__xludf.DUMMYFUNCTION("""COMPUTED_VALUE"""),"Stock")</f>
        <v>Stock</v>
      </c>
      <c r="D626" s="71" t="str">
        <f ca="1">IFERROR(__xludf.DUMMYFUNCTION("""COMPUTED_VALUE"""),"600661.SS")</f>
        <v>600661.SS</v>
      </c>
      <c r="E626" s="5" t="str">
        <f ca="1">IFERROR(__xludf.DUMMYFUNCTION("""COMPUTED_VALUE"""),"CNY")</f>
        <v>CNY</v>
      </c>
      <c r="F626" s="55">
        <f ca="1">IFERROR(__xludf.DUMMYFUNCTION("""COMPUTED_VALUE"""),-15000)</f>
        <v>-15000</v>
      </c>
      <c r="G626" s="56">
        <f ca="1">IFERROR(__xludf.DUMMYFUNCTION("""COMPUTED_VALUE"""),1.23062583333333)</f>
        <v>1.23062583333333</v>
      </c>
      <c r="H626" s="57">
        <f ca="1">IFERROR(__xludf.DUMMYFUNCTION("""COMPUTED_VALUE"""),10.9)</f>
        <v>10.9</v>
      </c>
      <c r="I626" s="57">
        <f ca="1">IFERROR(__xludf.DUMMYFUNCTION("""COMPUTED_VALUE"""),10.33)</f>
        <v>10.33</v>
      </c>
      <c r="J626" s="70" t="str">
        <f ca="1">IFERROR(__xludf.DUMMYFUNCTION("""COMPUTED_VALUE"""),"Goto link: 600661.SS")</f>
        <v>Goto link: 600661.SS</v>
      </c>
      <c r="K626" s="19"/>
      <c r="L626" s="19"/>
      <c r="M626" s="19"/>
      <c r="N626" s="19"/>
      <c r="O626" s="59"/>
      <c r="P626" s="7"/>
      <c r="Q626" s="55"/>
      <c r="R626" s="55"/>
      <c r="S626" s="7"/>
      <c r="T626" s="55"/>
      <c r="U626" s="7"/>
      <c r="V626" s="55"/>
      <c r="W626" s="60"/>
      <c r="X626" s="55"/>
    </row>
    <row r="627" spans="1:24" ht="13" x14ac:dyDescent="0.15">
      <c r="A627" s="25" t="str">
        <f ca="1">IFERROR(__xludf.DUMMYFUNCTION("""COMPUTED_VALUE"""),"79521")</f>
        <v>79521</v>
      </c>
      <c r="B627" s="69">
        <f ca="1">IFERROR(__xludf.DUMMYFUNCTION("""COMPUTED_VALUE"""),44638)</f>
        <v>44638</v>
      </c>
      <c r="C627" s="69" t="str">
        <f ca="1">IFERROR(__xludf.DUMMYFUNCTION("""COMPUTED_VALUE"""),"Stock")</f>
        <v>Stock</v>
      </c>
      <c r="D627" s="71" t="str">
        <f ca="1">IFERROR(__xludf.DUMMYFUNCTION("""COMPUTED_VALUE"""),"001896.SZ")</f>
        <v>001896.SZ</v>
      </c>
      <c r="E627" s="5" t="str">
        <f ca="1">IFERROR(__xludf.DUMMYFUNCTION("""COMPUTED_VALUE"""),"CNY")</f>
        <v>CNY</v>
      </c>
      <c r="F627" s="55">
        <f ca="1">IFERROR(__xludf.DUMMYFUNCTION("""COMPUTED_VALUE"""),10000)</f>
        <v>10000</v>
      </c>
      <c r="G627" s="56">
        <f ca="1">IFERROR(__xludf.DUMMYFUNCTION("""COMPUTED_VALUE"""),1.2304204)</f>
        <v>1.2304204000000001</v>
      </c>
      <c r="H627" s="57">
        <f ca="1">IFERROR(__xludf.DUMMYFUNCTION("""COMPUTED_VALUE"""),6.16)</f>
        <v>6.16</v>
      </c>
      <c r="I627" s="57">
        <f ca="1">IFERROR(__xludf.DUMMYFUNCTION("""COMPUTED_VALUE"""),6.25)</f>
        <v>6.25</v>
      </c>
      <c r="J627" s="70" t="str">
        <f ca="1">IFERROR(__xludf.DUMMYFUNCTION("""COMPUTED_VALUE"""),"Goto link: 001896.SZ")</f>
        <v>Goto link: 001896.SZ</v>
      </c>
      <c r="K627" s="19"/>
      <c r="L627" s="19"/>
      <c r="M627" s="19"/>
      <c r="N627" s="19"/>
      <c r="O627" s="59"/>
      <c r="P627" s="7"/>
      <c r="Q627" s="55"/>
      <c r="R627" s="55"/>
      <c r="S627" s="7"/>
      <c r="T627" s="55"/>
      <c r="U627" s="7"/>
      <c r="V627" s="55"/>
      <c r="W627" s="60"/>
      <c r="X627" s="55"/>
    </row>
    <row r="628" spans="1:24" ht="13" x14ac:dyDescent="0.15">
      <c r="A628" s="25" t="str">
        <f ca="1">IFERROR(__xludf.DUMMYFUNCTION("""COMPUTED_VALUE"""),"79521")</f>
        <v>79521</v>
      </c>
      <c r="B628" s="69">
        <f ca="1">IFERROR(__xludf.DUMMYFUNCTION("""COMPUTED_VALUE"""),44638)</f>
        <v>44638</v>
      </c>
      <c r="C628" s="69" t="str">
        <f ca="1">IFERROR(__xludf.DUMMYFUNCTION("""COMPUTED_VALUE"""),"Stock")</f>
        <v>Stock</v>
      </c>
      <c r="D628" s="71" t="str">
        <f ca="1">IFERROR(__xludf.DUMMYFUNCTION("""COMPUTED_VALUE"""),"0700.HK")</f>
        <v>0700.HK</v>
      </c>
      <c r="E628" s="5" t="str">
        <f ca="1">IFERROR(__xludf.DUMMYFUNCTION("""COMPUTED_VALUE"""),"HKD")</f>
        <v>HKD</v>
      </c>
      <c r="F628" s="55">
        <f ca="1">IFERROR(__xludf.DUMMYFUNCTION("""COMPUTED_VALUE"""),1000)</f>
        <v>1000</v>
      </c>
      <c r="G628" s="56">
        <f ca="1">IFERROR(__xludf.DUMMYFUNCTION("""COMPUTED_VALUE"""),1)</f>
        <v>1</v>
      </c>
      <c r="H628" s="57">
        <f ca="1">IFERROR(__xludf.DUMMYFUNCTION("""COMPUTED_VALUE"""),381)</f>
        <v>381</v>
      </c>
      <c r="I628" s="57">
        <f ca="1">IFERROR(__xludf.DUMMYFUNCTION("""COMPUTED_VALUE"""),389)</f>
        <v>389</v>
      </c>
      <c r="J628" s="70" t="str">
        <f ca="1">IFERROR(__xludf.DUMMYFUNCTION("""COMPUTED_VALUE"""),"Goto link: 0700.HK")</f>
        <v>Goto link: 0700.HK</v>
      </c>
      <c r="K628" s="19"/>
      <c r="L628" s="19"/>
      <c r="M628" s="19"/>
      <c r="N628" s="19"/>
      <c r="O628" s="59"/>
      <c r="P628" s="7"/>
      <c r="Q628" s="55"/>
      <c r="R628" s="55"/>
      <c r="S628" s="7"/>
      <c r="T628" s="55"/>
      <c r="U628" s="7"/>
      <c r="V628" s="55"/>
      <c r="W628" s="60"/>
      <c r="X628" s="55"/>
    </row>
    <row r="629" spans="1:24" ht="13" x14ac:dyDescent="0.15">
      <c r="A629" s="25" t="str">
        <f ca="1">IFERROR(__xludf.DUMMYFUNCTION("""COMPUTED_VALUE"""),"79521")</f>
        <v>79521</v>
      </c>
      <c r="B629" s="69">
        <f ca="1">IFERROR(__xludf.DUMMYFUNCTION("""COMPUTED_VALUE"""),44641)</f>
        <v>44641</v>
      </c>
      <c r="C629" s="69" t="str">
        <f ca="1">IFERROR(__xludf.DUMMYFUNCTION("""COMPUTED_VALUE"""),"Stock")</f>
        <v>Stock</v>
      </c>
      <c r="D629" s="71" t="str">
        <f ca="1">IFERROR(__xludf.DUMMYFUNCTION("""COMPUTED_VALUE"""),"0700.HK")</f>
        <v>0700.HK</v>
      </c>
      <c r="E629" s="5" t="str">
        <f ca="1">IFERROR(__xludf.DUMMYFUNCTION("""COMPUTED_VALUE"""),"HKD")</f>
        <v>HKD</v>
      </c>
      <c r="F629" s="55">
        <f ca="1">IFERROR(__xludf.DUMMYFUNCTION("""COMPUTED_VALUE"""),-1000)</f>
        <v>-1000</v>
      </c>
      <c r="G629" s="56">
        <f ca="1">IFERROR(__xludf.DUMMYFUNCTION("""COMPUTED_VALUE"""),1)</f>
        <v>1</v>
      </c>
      <c r="H629" s="57">
        <f ca="1">IFERROR(__xludf.DUMMYFUNCTION("""COMPUTED_VALUE"""),372.4)</f>
        <v>372.4</v>
      </c>
      <c r="I629" s="57">
        <f ca="1">IFERROR(__xludf.DUMMYFUNCTION("""COMPUTED_VALUE"""),389)</f>
        <v>389</v>
      </c>
      <c r="J629" s="70" t="str">
        <f ca="1">IFERROR(__xludf.DUMMYFUNCTION("""COMPUTED_VALUE"""),"Goto link: 0700.HK")</f>
        <v>Goto link: 0700.HK</v>
      </c>
      <c r="K629" s="19"/>
      <c r="L629" s="19"/>
      <c r="M629" s="19"/>
      <c r="N629" s="19"/>
      <c r="O629" s="59"/>
      <c r="P629" s="7"/>
      <c r="Q629" s="55"/>
      <c r="R629" s="55"/>
      <c r="S629" s="7"/>
      <c r="T629" s="55"/>
      <c r="U629" s="7"/>
      <c r="V629" s="55"/>
      <c r="W629" s="60"/>
      <c r="X629" s="55"/>
    </row>
    <row r="630" spans="1:24" ht="13" x14ac:dyDescent="0.15">
      <c r="A630" s="25" t="str">
        <f ca="1">IFERROR(__xludf.DUMMYFUNCTION("""COMPUTED_VALUE"""),"79521 Total")</f>
        <v>79521 Total</v>
      </c>
      <c r="B630" s="5"/>
      <c r="C630" s="69"/>
      <c r="D630" s="5"/>
      <c r="E630" s="5"/>
      <c r="F630" s="55"/>
      <c r="G630" s="56">
        <f ca="1">IFERROR(__xludf.DUMMYFUNCTION("""COMPUTED_VALUE"""),2.86240400724637)</f>
        <v>2.8624040072463699</v>
      </c>
      <c r="H630" s="57">
        <f ca="1">IFERROR(__xludf.DUMMYFUNCTION("""COMPUTED_VALUE"""),381)</f>
        <v>381</v>
      </c>
      <c r="I630" s="57" t="str">
        <f ca="1">IFERROR(__xludf.DUMMYFUNCTION("""COMPUTED_VALUE"""),"")</f>
        <v/>
      </c>
      <c r="J630" s="19" t="str">
        <f ca="1">IFERROR(__xludf.DUMMYFUNCTION("""COMPUTED_VALUE"""),"")</f>
        <v/>
      </c>
      <c r="K630" s="19"/>
      <c r="L630" s="19"/>
      <c r="M630" s="19"/>
      <c r="N630" s="19"/>
      <c r="O630" s="59"/>
      <c r="P630" s="7"/>
      <c r="Q630" s="55"/>
      <c r="R630" s="55"/>
      <c r="S630" s="7"/>
      <c r="T630" s="55"/>
      <c r="U630" s="7"/>
      <c r="V630" s="55"/>
      <c r="W630" s="60"/>
      <c r="X630" s="55"/>
    </row>
    <row r="631" spans="1:24" ht="13" x14ac:dyDescent="0.15">
      <c r="A631" s="25" t="str">
        <f ca="1">IFERROR(__xludf.DUMMYFUNCTION("""COMPUTED_VALUE"""),"82124")</f>
        <v>82124</v>
      </c>
      <c r="B631" s="69">
        <f ca="1">IFERROR(__xludf.DUMMYFUNCTION("""COMPUTED_VALUE"""),44597)</f>
        <v>44597</v>
      </c>
      <c r="C631" s="69" t="str">
        <f ca="1">IFERROR(__xludf.DUMMYFUNCTION("""COMPUTED_VALUE"""),"Cash")</f>
        <v>Cash</v>
      </c>
      <c r="D631" s="5" t="str">
        <f ca="1">IFERROR(__xludf.DUMMYFUNCTION("""COMPUTED_VALUE"""),"Cash")</f>
        <v>Cash</v>
      </c>
      <c r="E631" s="5" t="str">
        <f ca="1">IFERROR(__xludf.DUMMYFUNCTION("""COMPUTED_VALUE"""),"HKD")</f>
        <v>HKD</v>
      </c>
      <c r="F631" s="55" t="str">
        <f ca="1">IFERROR(__xludf.DUMMYFUNCTION("""COMPUTED_VALUE"""),"")</f>
        <v/>
      </c>
      <c r="G631" s="56">
        <f ca="1">IFERROR(__xludf.DUMMYFUNCTION("""COMPUTED_VALUE"""),1)</f>
        <v>1</v>
      </c>
      <c r="H631" s="57">
        <f ca="1">IFERROR(__xludf.DUMMYFUNCTION("""COMPUTED_VALUE"""),1)</f>
        <v>1</v>
      </c>
      <c r="I631" s="57">
        <f ca="1">IFERROR(__xludf.DUMMYFUNCTION("""COMPUTED_VALUE"""),1)</f>
        <v>1</v>
      </c>
      <c r="J631" s="19" t="str">
        <f ca="1">IFERROR(__xludf.DUMMYFUNCTION("""COMPUTED_VALUE"""),"")</f>
        <v/>
      </c>
      <c r="K631" s="19"/>
      <c r="L631" s="19"/>
      <c r="M631" s="19"/>
      <c r="N631" s="19"/>
      <c r="O631" s="59"/>
      <c r="P631" s="7"/>
      <c r="Q631" s="55"/>
      <c r="R631" s="55"/>
      <c r="S631" s="7"/>
      <c r="T631" s="55"/>
      <c r="U631" s="7"/>
      <c r="V631" s="55"/>
      <c r="W631" s="60"/>
      <c r="X631" s="55"/>
    </row>
    <row r="632" spans="1:24" ht="13" x14ac:dyDescent="0.15">
      <c r="A632" s="25" t="str">
        <f ca="1">IFERROR(__xludf.DUMMYFUNCTION("""COMPUTED_VALUE"""),"82124")</f>
        <v>82124</v>
      </c>
      <c r="B632" s="69">
        <f ca="1">IFERROR(__xludf.DUMMYFUNCTION("""COMPUTED_VALUE"""),44608)</f>
        <v>44608</v>
      </c>
      <c r="C632" s="69" t="str">
        <f ca="1">IFERROR(__xludf.DUMMYFUNCTION("""COMPUTED_VALUE"""),"Stock")</f>
        <v>Stock</v>
      </c>
      <c r="D632" s="71" t="str">
        <f ca="1">IFERROR(__xludf.DUMMYFUNCTION("""COMPUTED_VALUE"""),"9988.HK")</f>
        <v>9988.HK</v>
      </c>
      <c r="E632" s="5" t="str">
        <f ca="1">IFERROR(__xludf.DUMMYFUNCTION("""COMPUTED_VALUE"""),"HKD")</f>
        <v>HKD</v>
      </c>
      <c r="F632" s="55">
        <f ca="1">IFERROR(__xludf.DUMMYFUNCTION("""COMPUTED_VALUE"""),200)</f>
        <v>200</v>
      </c>
      <c r="G632" s="56">
        <f ca="1">IFERROR(__xludf.DUMMYFUNCTION("""COMPUTED_VALUE"""),1)</f>
        <v>1</v>
      </c>
      <c r="H632" s="57">
        <f ca="1">IFERROR(__xludf.DUMMYFUNCTION("""COMPUTED_VALUE"""),122.5)</f>
        <v>122.5</v>
      </c>
      <c r="I632" s="57">
        <f ca="1">IFERROR(__xludf.DUMMYFUNCTION("""COMPUTED_VALUE"""),117.6)</f>
        <v>117.6</v>
      </c>
      <c r="J632" s="70" t="str">
        <f ca="1">IFERROR(__xludf.DUMMYFUNCTION("""COMPUTED_VALUE"""),"Goto link: 9988.HK")</f>
        <v>Goto link: 9988.HK</v>
      </c>
      <c r="K632" s="19"/>
      <c r="L632" s="19"/>
      <c r="M632" s="19"/>
      <c r="N632" s="19"/>
      <c r="O632" s="59"/>
      <c r="P632" s="7"/>
      <c r="Q632" s="55"/>
      <c r="R632" s="55"/>
      <c r="S632" s="7"/>
      <c r="T632" s="55"/>
      <c r="U632" s="7"/>
      <c r="V632" s="55"/>
      <c r="W632" s="60"/>
      <c r="X632" s="55"/>
    </row>
    <row r="633" spans="1:24" ht="13" x14ac:dyDescent="0.15">
      <c r="A633" s="25" t="str">
        <f ca="1">IFERROR(__xludf.DUMMYFUNCTION("""COMPUTED_VALUE"""),"82124")</f>
        <v>82124</v>
      </c>
      <c r="B633" s="69">
        <f ca="1">IFERROR(__xludf.DUMMYFUNCTION("""COMPUTED_VALUE"""),44613)</f>
        <v>44613</v>
      </c>
      <c r="C633" s="69" t="str">
        <f ca="1">IFERROR(__xludf.DUMMYFUNCTION("""COMPUTED_VALUE"""),"Stock")</f>
        <v>Stock</v>
      </c>
      <c r="D633" s="71" t="str">
        <f ca="1">IFERROR(__xludf.DUMMYFUNCTION("""COMPUTED_VALUE"""),"0941.HK")</f>
        <v>0941.HK</v>
      </c>
      <c r="E633" s="5" t="str">
        <f ca="1">IFERROR(__xludf.DUMMYFUNCTION("""COMPUTED_VALUE"""),"HKD")</f>
        <v>HKD</v>
      </c>
      <c r="F633" s="55">
        <f ca="1">IFERROR(__xludf.DUMMYFUNCTION("""COMPUTED_VALUE"""),1000)</f>
        <v>1000</v>
      </c>
      <c r="G633" s="56">
        <f ca="1">IFERROR(__xludf.DUMMYFUNCTION("""COMPUTED_VALUE"""),1)</f>
        <v>1</v>
      </c>
      <c r="H633" s="57">
        <f ca="1">IFERROR(__xludf.DUMMYFUNCTION("""COMPUTED_VALUE"""),55.9)</f>
        <v>55.9</v>
      </c>
      <c r="I633" s="57">
        <f ca="1">IFERROR(__xludf.DUMMYFUNCTION("""COMPUTED_VALUE"""),54.35)</f>
        <v>54.35</v>
      </c>
      <c r="J633" s="70" t="str">
        <f ca="1">IFERROR(__xludf.DUMMYFUNCTION("""COMPUTED_VALUE"""),"Goto link: 0941.HK")</f>
        <v>Goto link: 0941.HK</v>
      </c>
      <c r="K633" s="19"/>
      <c r="L633" s="19"/>
      <c r="M633" s="19"/>
      <c r="N633" s="19"/>
      <c r="O633" s="59"/>
      <c r="P633" s="7"/>
      <c r="Q633" s="55"/>
      <c r="R633" s="55"/>
      <c r="S633" s="7"/>
      <c r="T633" s="55"/>
      <c r="U633" s="7"/>
      <c r="V633" s="55"/>
      <c r="W633" s="60"/>
      <c r="X633" s="55"/>
    </row>
    <row r="634" spans="1:24" ht="13" x14ac:dyDescent="0.15">
      <c r="A634" s="25" t="str">
        <f ca="1">IFERROR(__xludf.DUMMYFUNCTION("""COMPUTED_VALUE"""),"82124")</f>
        <v>82124</v>
      </c>
      <c r="B634" s="69">
        <f ca="1">IFERROR(__xludf.DUMMYFUNCTION("""COMPUTED_VALUE"""),44621)</f>
        <v>44621</v>
      </c>
      <c r="C634" s="69" t="str">
        <f ca="1">IFERROR(__xludf.DUMMYFUNCTION("""COMPUTED_VALUE"""),"Stock")</f>
        <v>Stock</v>
      </c>
      <c r="D634" s="71" t="str">
        <f ca="1">IFERROR(__xludf.DUMMYFUNCTION("""COMPUTED_VALUE"""),"2800.HK")</f>
        <v>2800.HK</v>
      </c>
      <c r="E634" s="5" t="str">
        <f ca="1">IFERROR(__xludf.DUMMYFUNCTION("""COMPUTED_VALUE"""),"HKD")</f>
        <v>HKD</v>
      </c>
      <c r="F634" s="55">
        <f ca="1">IFERROR(__xludf.DUMMYFUNCTION("""COMPUTED_VALUE"""),0)</f>
        <v>0</v>
      </c>
      <c r="G634" s="56">
        <f ca="1">IFERROR(__xludf.DUMMYFUNCTION("""COMPUTED_VALUE"""),1)</f>
        <v>1</v>
      </c>
      <c r="H634" s="57">
        <f ca="1">IFERROR(__xludf.DUMMYFUNCTION("""COMPUTED_VALUE"""),0)</f>
        <v>0</v>
      </c>
      <c r="I634" s="57">
        <f ca="1">IFERROR(__xludf.DUMMYFUNCTION("""COMPUTED_VALUE"""),22.32)</f>
        <v>22.32</v>
      </c>
      <c r="J634" s="70" t="str">
        <f ca="1">IFERROR(__xludf.DUMMYFUNCTION("""COMPUTED_VALUE"""),"Goto link: 2800.HK")</f>
        <v>Goto link: 2800.HK</v>
      </c>
      <c r="K634" s="19"/>
      <c r="L634" s="19"/>
      <c r="M634" s="19"/>
      <c r="N634" s="19"/>
      <c r="O634" s="59"/>
      <c r="P634" s="7"/>
      <c r="Q634" s="55"/>
      <c r="R634" s="55"/>
      <c r="S634" s="7"/>
      <c r="T634" s="55"/>
      <c r="U634" s="7"/>
      <c r="V634" s="55"/>
      <c r="W634" s="60"/>
      <c r="X634" s="55"/>
    </row>
    <row r="635" spans="1:24" ht="13" x14ac:dyDescent="0.15">
      <c r="A635" s="25" t="str">
        <f ca="1">IFERROR(__xludf.DUMMYFUNCTION("""COMPUTED_VALUE"""),"82124")</f>
        <v>82124</v>
      </c>
      <c r="B635" s="69">
        <f ca="1">IFERROR(__xludf.DUMMYFUNCTION("""COMPUTED_VALUE"""),44621)</f>
        <v>44621</v>
      </c>
      <c r="C635" s="69" t="str">
        <f ca="1">IFERROR(__xludf.DUMMYFUNCTION("""COMPUTED_VALUE"""),"Stock")</f>
        <v>Stock</v>
      </c>
      <c r="D635" s="71" t="str">
        <f ca="1">IFERROR(__xludf.DUMMYFUNCTION("""COMPUTED_VALUE"""),"9988.HK")</f>
        <v>9988.HK</v>
      </c>
      <c r="E635" s="5" t="str">
        <f ca="1">IFERROR(__xludf.DUMMYFUNCTION("""COMPUTED_VALUE"""),"HKD")</f>
        <v>HKD</v>
      </c>
      <c r="F635" s="55">
        <f ca="1">IFERROR(__xludf.DUMMYFUNCTION("""COMPUTED_VALUE"""),0)</f>
        <v>0</v>
      </c>
      <c r="G635" s="56">
        <f ca="1">IFERROR(__xludf.DUMMYFUNCTION("""COMPUTED_VALUE"""),1)</f>
        <v>1</v>
      </c>
      <c r="H635" s="57">
        <f ca="1">IFERROR(__xludf.DUMMYFUNCTION("""COMPUTED_VALUE"""),0)</f>
        <v>0</v>
      </c>
      <c r="I635" s="57">
        <f ca="1">IFERROR(__xludf.DUMMYFUNCTION("""COMPUTED_VALUE"""),117.6)</f>
        <v>117.6</v>
      </c>
      <c r="J635" s="70" t="str">
        <f ca="1">IFERROR(__xludf.DUMMYFUNCTION("""COMPUTED_VALUE"""),"Goto link: 9988.HK")</f>
        <v>Goto link: 9988.HK</v>
      </c>
      <c r="K635" s="19"/>
      <c r="L635" s="19"/>
      <c r="M635" s="19"/>
      <c r="N635" s="19"/>
      <c r="O635" s="59"/>
      <c r="P635" s="7"/>
      <c r="Q635" s="55"/>
      <c r="R635" s="55"/>
      <c r="S635" s="7"/>
      <c r="T635" s="55"/>
      <c r="U635" s="7"/>
      <c r="V635" s="55"/>
      <c r="W635" s="60"/>
      <c r="X635" s="55"/>
    </row>
    <row r="636" spans="1:24" ht="13" x14ac:dyDescent="0.15">
      <c r="A636" s="25" t="str">
        <f ca="1">IFERROR(__xludf.DUMMYFUNCTION("""COMPUTED_VALUE"""),"82124")</f>
        <v>82124</v>
      </c>
      <c r="B636" s="69">
        <f ca="1">IFERROR(__xludf.DUMMYFUNCTION("""COMPUTED_VALUE"""),44623)</f>
        <v>44623</v>
      </c>
      <c r="C636" s="69" t="str">
        <f ca="1">IFERROR(__xludf.DUMMYFUNCTION("""COMPUTED_VALUE"""),"Stock")</f>
        <v>Stock</v>
      </c>
      <c r="D636" s="71" t="str">
        <f ca="1">IFERROR(__xludf.DUMMYFUNCTION("""COMPUTED_VALUE"""),"2800.HK")</f>
        <v>2800.HK</v>
      </c>
      <c r="E636" s="5" t="str">
        <f ca="1">IFERROR(__xludf.DUMMYFUNCTION("""COMPUTED_VALUE"""),"HKD")</f>
        <v>HKD</v>
      </c>
      <c r="F636" s="55">
        <f ca="1">IFERROR(__xludf.DUMMYFUNCTION("""COMPUTED_VALUE"""),2000)</f>
        <v>2000</v>
      </c>
      <c r="G636" s="56">
        <f ca="1">IFERROR(__xludf.DUMMYFUNCTION("""COMPUTED_VALUE"""),1)</f>
        <v>1</v>
      </c>
      <c r="H636" s="57">
        <f ca="1">IFERROR(__xludf.DUMMYFUNCTION("""COMPUTED_VALUE"""),22.64)</f>
        <v>22.64</v>
      </c>
      <c r="I636" s="57">
        <f ca="1">IFERROR(__xludf.DUMMYFUNCTION("""COMPUTED_VALUE"""),22.32)</f>
        <v>22.32</v>
      </c>
      <c r="J636" s="70" t="str">
        <f ca="1">IFERROR(__xludf.DUMMYFUNCTION("""COMPUTED_VALUE"""),"Goto link: 2800.HK")</f>
        <v>Goto link: 2800.HK</v>
      </c>
      <c r="K636" s="19"/>
      <c r="L636" s="19"/>
      <c r="M636" s="19"/>
      <c r="N636" s="19"/>
      <c r="O636" s="59"/>
      <c r="P636" s="7"/>
      <c r="Q636" s="55"/>
      <c r="R636" s="55"/>
      <c r="S636" s="7"/>
      <c r="T636" s="55"/>
      <c r="U636" s="7"/>
      <c r="V636" s="55"/>
      <c r="W636" s="60"/>
      <c r="X636" s="55"/>
    </row>
    <row r="637" spans="1:24" ht="13" x14ac:dyDescent="0.15">
      <c r="A637" s="25" t="str">
        <f ca="1">IFERROR(__xludf.DUMMYFUNCTION("""COMPUTED_VALUE"""),"82124")</f>
        <v>82124</v>
      </c>
      <c r="B637" s="69">
        <f ca="1">IFERROR(__xludf.DUMMYFUNCTION("""COMPUTED_VALUE"""),44623)</f>
        <v>44623</v>
      </c>
      <c r="C637" s="69" t="str">
        <f ca="1">IFERROR(__xludf.DUMMYFUNCTION("""COMPUTED_VALUE"""),"Stock")</f>
        <v>Stock</v>
      </c>
      <c r="D637" s="71" t="str">
        <f ca="1">IFERROR(__xludf.DUMMYFUNCTION("""COMPUTED_VALUE"""),"9988.HK")</f>
        <v>9988.HK</v>
      </c>
      <c r="E637" s="5" t="str">
        <f ca="1">IFERROR(__xludf.DUMMYFUNCTION("""COMPUTED_VALUE"""),"HKD")</f>
        <v>HKD</v>
      </c>
      <c r="F637" s="55">
        <f ca="1">IFERROR(__xludf.DUMMYFUNCTION("""COMPUTED_VALUE"""),300)</f>
        <v>300</v>
      </c>
      <c r="G637" s="56">
        <f ca="1">IFERROR(__xludf.DUMMYFUNCTION("""COMPUTED_VALUE"""),1)</f>
        <v>1</v>
      </c>
      <c r="H637" s="57">
        <f ca="1">IFERROR(__xludf.DUMMYFUNCTION("""COMPUTED_VALUE"""),104.4)</f>
        <v>104.4</v>
      </c>
      <c r="I637" s="57">
        <f ca="1">IFERROR(__xludf.DUMMYFUNCTION("""COMPUTED_VALUE"""),117.6)</f>
        <v>117.6</v>
      </c>
      <c r="J637" s="70" t="str">
        <f ca="1">IFERROR(__xludf.DUMMYFUNCTION("""COMPUTED_VALUE"""),"Goto link: 9988.HK")</f>
        <v>Goto link: 9988.HK</v>
      </c>
      <c r="K637" s="19"/>
      <c r="L637" s="19"/>
      <c r="M637" s="19"/>
      <c r="N637" s="19"/>
      <c r="O637" s="59"/>
      <c r="P637" s="7"/>
      <c r="Q637" s="55"/>
      <c r="R637" s="55"/>
      <c r="S637" s="7"/>
      <c r="T637" s="55"/>
      <c r="U637" s="7"/>
      <c r="V637" s="55"/>
      <c r="W637" s="60"/>
      <c r="X637" s="55"/>
    </row>
    <row r="638" spans="1:24" ht="13" x14ac:dyDescent="0.15">
      <c r="A638" s="25" t="str">
        <f ca="1">IFERROR(__xludf.DUMMYFUNCTION("""COMPUTED_VALUE"""),"82124")</f>
        <v>82124</v>
      </c>
      <c r="B638" s="69">
        <f ca="1">IFERROR(__xludf.DUMMYFUNCTION("""COMPUTED_VALUE"""),44624)</f>
        <v>44624</v>
      </c>
      <c r="C638" s="69" t="str">
        <f ca="1">IFERROR(__xludf.DUMMYFUNCTION("""COMPUTED_VALUE"""),"Stock")</f>
        <v>Stock</v>
      </c>
      <c r="D638" s="71" t="str">
        <f ca="1">IFERROR(__xludf.DUMMYFUNCTION("""COMPUTED_VALUE"""),"0700.HK")</f>
        <v>0700.HK</v>
      </c>
      <c r="E638" s="5" t="str">
        <f ca="1">IFERROR(__xludf.DUMMYFUNCTION("""COMPUTED_VALUE"""),"HKD")</f>
        <v>HKD</v>
      </c>
      <c r="F638" s="55">
        <f ca="1">IFERROR(__xludf.DUMMYFUNCTION("""COMPUTED_VALUE"""),100)</f>
        <v>100</v>
      </c>
      <c r="G638" s="56">
        <f ca="1">IFERROR(__xludf.DUMMYFUNCTION("""COMPUTED_VALUE"""),1)</f>
        <v>1</v>
      </c>
      <c r="H638" s="57">
        <f ca="1">IFERROR(__xludf.DUMMYFUNCTION("""COMPUTED_VALUE"""),403.2)</f>
        <v>403.2</v>
      </c>
      <c r="I638" s="57">
        <f ca="1">IFERROR(__xludf.DUMMYFUNCTION("""COMPUTED_VALUE"""),389)</f>
        <v>389</v>
      </c>
      <c r="J638" s="70" t="str">
        <f ca="1">IFERROR(__xludf.DUMMYFUNCTION("""COMPUTED_VALUE"""),"Goto link: 0700.HK")</f>
        <v>Goto link: 0700.HK</v>
      </c>
      <c r="K638" s="19"/>
      <c r="L638" s="19"/>
      <c r="M638" s="19"/>
      <c r="N638" s="19"/>
      <c r="O638" s="59"/>
      <c r="P638" s="7"/>
      <c r="Q638" s="55"/>
      <c r="R638" s="55"/>
      <c r="S638" s="7"/>
      <c r="T638" s="55"/>
      <c r="U638" s="7"/>
      <c r="V638" s="55"/>
      <c r="W638" s="60"/>
      <c r="X638" s="55"/>
    </row>
    <row r="639" spans="1:24" ht="13" x14ac:dyDescent="0.15">
      <c r="A639" s="25" t="str">
        <f ca="1">IFERROR(__xludf.DUMMYFUNCTION("""COMPUTED_VALUE"""),"82124")</f>
        <v>82124</v>
      </c>
      <c r="B639" s="69">
        <f ca="1">IFERROR(__xludf.DUMMYFUNCTION("""COMPUTED_VALUE"""),44627)</f>
        <v>44627</v>
      </c>
      <c r="C639" s="69" t="str">
        <f ca="1">IFERROR(__xludf.DUMMYFUNCTION("""COMPUTED_VALUE"""),"Stock")</f>
        <v>Stock</v>
      </c>
      <c r="D639" s="71" t="str">
        <f ca="1">IFERROR(__xludf.DUMMYFUNCTION("""COMPUTED_VALUE"""),"2800.HK")</f>
        <v>2800.HK</v>
      </c>
      <c r="E639" s="5" t="str">
        <f ca="1">IFERROR(__xludf.DUMMYFUNCTION("""COMPUTED_VALUE"""),"HKD")</f>
        <v>HKD</v>
      </c>
      <c r="F639" s="55">
        <f ca="1">IFERROR(__xludf.DUMMYFUNCTION("""COMPUTED_VALUE"""),2000)</f>
        <v>2000</v>
      </c>
      <c r="G639" s="56">
        <f ca="1">IFERROR(__xludf.DUMMYFUNCTION("""COMPUTED_VALUE"""),1)</f>
        <v>1</v>
      </c>
      <c r="H639" s="57">
        <f ca="1">IFERROR(__xludf.DUMMYFUNCTION("""COMPUTED_VALUE"""),21.22)</f>
        <v>21.22</v>
      </c>
      <c r="I639" s="57">
        <f ca="1">IFERROR(__xludf.DUMMYFUNCTION("""COMPUTED_VALUE"""),22.32)</f>
        <v>22.32</v>
      </c>
      <c r="J639" s="70" t="str">
        <f ca="1">IFERROR(__xludf.DUMMYFUNCTION("""COMPUTED_VALUE"""),"Goto link: 2800.HK")</f>
        <v>Goto link: 2800.HK</v>
      </c>
      <c r="K639" s="19"/>
      <c r="L639" s="19"/>
      <c r="M639" s="19"/>
      <c r="N639" s="19"/>
      <c r="O639" s="59"/>
      <c r="P639" s="7"/>
      <c r="Q639" s="55"/>
      <c r="R639" s="55"/>
      <c r="S639" s="7"/>
      <c r="T639" s="55"/>
      <c r="U639" s="7"/>
      <c r="V639" s="55"/>
      <c r="W639" s="60"/>
      <c r="X639" s="55"/>
    </row>
    <row r="640" spans="1:24" ht="13" x14ac:dyDescent="0.15">
      <c r="A640" s="25" t="str">
        <f ca="1">IFERROR(__xludf.DUMMYFUNCTION("""COMPUTED_VALUE"""),"82124")</f>
        <v>82124</v>
      </c>
      <c r="B640" s="69">
        <f ca="1">IFERROR(__xludf.DUMMYFUNCTION("""COMPUTED_VALUE"""),44630)</f>
        <v>44630</v>
      </c>
      <c r="C640" s="69" t="str">
        <f ca="1">IFERROR(__xludf.DUMMYFUNCTION("""COMPUTED_VALUE"""),"Stock")</f>
        <v>Stock</v>
      </c>
      <c r="D640" s="71" t="str">
        <f ca="1">IFERROR(__xludf.DUMMYFUNCTION("""COMPUTED_VALUE"""),"0388.HK")</f>
        <v>0388.HK</v>
      </c>
      <c r="E640" s="5" t="str">
        <f ca="1">IFERROR(__xludf.DUMMYFUNCTION("""COMPUTED_VALUE"""),"HKD")</f>
        <v>HKD</v>
      </c>
      <c r="F640" s="55">
        <f ca="1">IFERROR(__xludf.DUMMYFUNCTION("""COMPUTED_VALUE"""),200)</f>
        <v>200</v>
      </c>
      <c r="G640" s="56">
        <f ca="1">IFERROR(__xludf.DUMMYFUNCTION("""COMPUTED_VALUE"""),1)</f>
        <v>1</v>
      </c>
      <c r="H640" s="57">
        <f ca="1">IFERROR(__xludf.DUMMYFUNCTION("""COMPUTED_VALUE"""),329)</f>
        <v>329</v>
      </c>
      <c r="I640" s="57">
        <f ca="1">IFERROR(__xludf.DUMMYFUNCTION("""COMPUTED_VALUE"""),382.8)</f>
        <v>382.8</v>
      </c>
      <c r="J640" s="70" t="str">
        <f ca="1">IFERROR(__xludf.DUMMYFUNCTION("""COMPUTED_VALUE"""),"Goto link: 0388.HK")</f>
        <v>Goto link: 0388.HK</v>
      </c>
      <c r="K640" s="19"/>
      <c r="L640" s="19"/>
      <c r="M640" s="19"/>
      <c r="N640" s="19"/>
      <c r="O640" s="59"/>
      <c r="P640" s="7"/>
      <c r="Q640" s="55"/>
      <c r="R640" s="55"/>
      <c r="S640" s="7"/>
      <c r="T640" s="55"/>
      <c r="U640" s="7"/>
      <c r="V640" s="55"/>
      <c r="W640" s="60"/>
      <c r="X640" s="55"/>
    </row>
    <row r="641" spans="1:24" ht="13" x14ac:dyDescent="0.15">
      <c r="A641" s="25" t="str">
        <f ca="1">IFERROR(__xludf.DUMMYFUNCTION("""COMPUTED_VALUE"""),"82124")</f>
        <v>82124</v>
      </c>
      <c r="B641" s="69">
        <f ca="1">IFERROR(__xludf.DUMMYFUNCTION("""COMPUTED_VALUE"""),44631)</f>
        <v>44631</v>
      </c>
      <c r="C641" s="69" t="str">
        <f ca="1">IFERROR(__xludf.DUMMYFUNCTION("""COMPUTED_VALUE"""),"Stock")</f>
        <v>Stock</v>
      </c>
      <c r="D641" s="71" t="str">
        <f ca="1">IFERROR(__xludf.DUMMYFUNCTION("""COMPUTED_VALUE"""),"9988.HK")</f>
        <v>9988.HK</v>
      </c>
      <c r="E641" s="5" t="str">
        <f ca="1">IFERROR(__xludf.DUMMYFUNCTION("""COMPUTED_VALUE"""),"HKD")</f>
        <v>HKD</v>
      </c>
      <c r="F641" s="55">
        <f ca="1">IFERROR(__xludf.DUMMYFUNCTION("""COMPUTED_VALUE"""),500)</f>
        <v>500</v>
      </c>
      <c r="G641" s="56">
        <f ca="1">IFERROR(__xludf.DUMMYFUNCTION("""COMPUTED_VALUE"""),1)</f>
        <v>1</v>
      </c>
      <c r="H641" s="57">
        <f ca="1">IFERROR(__xludf.DUMMYFUNCTION("""COMPUTED_VALUE"""),90.8)</f>
        <v>90.8</v>
      </c>
      <c r="I641" s="57">
        <f ca="1">IFERROR(__xludf.DUMMYFUNCTION("""COMPUTED_VALUE"""),117.6)</f>
        <v>117.6</v>
      </c>
      <c r="J641" s="70" t="str">
        <f ca="1">IFERROR(__xludf.DUMMYFUNCTION("""COMPUTED_VALUE"""),"Goto link: 9988.HK")</f>
        <v>Goto link: 9988.HK</v>
      </c>
      <c r="K641" s="19"/>
      <c r="L641" s="19"/>
      <c r="M641" s="19"/>
      <c r="N641" s="19"/>
      <c r="O641" s="59"/>
      <c r="P641" s="7"/>
      <c r="Q641" s="55"/>
      <c r="R641" s="55"/>
      <c r="S641" s="7"/>
      <c r="T641" s="55"/>
      <c r="U641" s="7"/>
      <c r="V641" s="55"/>
      <c r="W641" s="60"/>
      <c r="X641" s="55"/>
    </row>
    <row r="642" spans="1:24" ht="13" x14ac:dyDescent="0.15">
      <c r="A642" s="25" t="str">
        <f ca="1">IFERROR(__xludf.DUMMYFUNCTION("""COMPUTED_VALUE"""),"82124")</f>
        <v>82124</v>
      </c>
      <c r="B642" s="69">
        <f ca="1">IFERROR(__xludf.DUMMYFUNCTION("""COMPUTED_VALUE"""),44642)</f>
        <v>44642</v>
      </c>
      <c r="C642" s="69" t="str">
        <f ca="1">IFERROR(__xludf.DUMMYFUNCTION("""COMPUTED_VALUE"""),"Stock")</f>
        <v>Stock</v>
      </c>
      <c r="D642" s="71" t="str">
        <f ca="1">IFERROR(__xludf.DUMMYFUNCTION("""COMPUTED_VALUE"""),"9988.HK")</f>
        <v>9988.HK</v>
      </c>
      <c r="E642" s="5" t="str">
        <f ca="1">IFERROR(__xludf.DUMMYFUNCTION("""COMPUTED_VALUE"""),"HKD")</f>
        <v>HKD</v>
      </c>
      <c r="F642" s="55">
        <f ca="1">IFERROR(__xludf.DUMMYFUNCTION("""COMPUTED_VALUE"""),200)</f>
        <v>200</v>
      </c>
      <c r="G642" s="56">
        <f ca="1">IFERROR(__xludf.DUMMYFUNCTION("""COMPUTED_VALUE"""),1)</f>
        <v>1</v>
      </c>
      <c r="H642" s="57">
        <f ca="1">IFERROR(__xludf.DUMMYFUNCTION("""COMPUTED_VALUE"""),110.2)</f>
        <v>110.2</v>
      </c>
      <c r="I642" s="57">
        <f ca="1">IFERROR(__xludf.DUMMYFUNCTION("""COMPUTED_VALUE"""),117.6)</f>
        <v>117.6</v>
      </c>
      <c r="J642" s="70" t="str">
        <f ca="1">IFERROR(__xludf.DUMMYFUNCTION("""COMPUTED_VALUE"""),"Goto link: 9988.HK")</f>
        <v>Goto link: 9988.HK</v>
      </c>
      <c r="K642" s="19"/>
      <c r="L642" s="19"/>
      <c r="M642" s="19"/>
      <c r="N642" s="19"/>
      <c r="O642" s="59"/>
      <c r="P642" s="7"/>
      <c r="Q642" s="55"/>
      <c r="R642" s="55"/>
      <c r="S642" s="7"/>
      <c r="T642" s="55"/>
      <c r="U642" s="7"/>
      <c r="V642" s="55"/>
      <c r="W642" s="60"/>
      <c r="X642" s="55"/>
    </row>
    <row r="643" spans="1:24" ht="13" x14ac:dyDescent="0.15">
      <c r="A643" s="25" t="str">
        <f ca="1">IFERROR(__xludf.DUMMYFUNCTION("""COMPUTED_VALUE"""),"82124 Total")</f>
        <v>82124 Total</v>
      </c>
      <c r="B643" s="5"/>
      <c r="C643" s="69"/>
      <c r="D643" s="5"/>
      <c r="E643" s="5"/>
      <c r="F643" s="55"/>
      <c r="G643" s="56">
        <f ca="1">IFERROR(__xludf.DUMMYFUNCTION("""COMPUTED_VALUE"""),1)</f>
        <v>1</v>
      </c>
      <c r="H643" s="57">
        <f ca="1">IFERROR(__xludf.DUMMYFUNCTION("""COMPUTED_VALUE"""),403.2)</f>
        <v>403.2</v>
      </c>
      <c r="I643" s="57" t="str">
        <f ca="1">IFERROR(__xludf.DUMMYFUNCTION("""COMPUTED_VALUE"""),"")</f>
        <v/>
      </c>
      <c r="J643" s="19" t="str">
        <f ca="1">IFERROR(__xludf.DUMMYFUNCTION("""COMPUTED_VALUE"""),"")</f>
        <v/>
      </c>
      <c r="K643" s="19"/>
      <c r="L643" s="19"/>
      <c r="M643" s="19"/>
      <c r="N643" s="19"/>
      <c r="O643" s="59"/>
      <c r="P643" s="7"/>
      <c r="Q643" s="55"/>
      <c r="R643" s="55"/>
      <c r="S643" s="7"/>
      <c r="T643" s="55"/>
      <c r="U643" s="7"/>
      <c r="V643" s="55"/>
      <c r="W643" s="60"/>
      <c r="X643" s="55"/>
    </row>
    <row r="644" spans="1:24" ht="13" x14ac:dyDescent="0.15">
      <c r="A644" s="25" t="str">
        <f ca="1">IFERROR(__xludf.DUMMYFUNCTION("""COMPUTED_VALUE"""),"82458")</f>
        <v>82458</v>
      </c>
      <c r="B644" s="69">
        <f ca="1">IFERROR(__xludf.DUMMYFUNCTION("""COMPUTED_VALUE"""),44597)</f>
        <v>44597</v>
      </c>
      <c r="C644" s="69" t="str">
        <f ca="1">IFERROR(__xludf.DUMMYFUNCTION("""COMPUTED_VALUE"""),"Cash")</f>
        <v>Cash</v>
      </c>
      <c r="D644" s="5" t="str">
        <f ca="1">IFERROR(__xludf.DUMMYFUNCTION("""COMPUTED_VALUE"""),"Cash")</f>
        <v>Cash</v>
      </c>
      <c r="E644" s="5" t="str">
        <f ca="1">IFERROR(__xludf.DUMMYFUNCTION("""COMPUTED_VALUE"""),"HKD")</f>
        <v>HKD</v>
      </c>
      <c r="F644" s="55" t="str">
        <f ca="1">IFERROR(__xludf.DUMMYFUNCTION("""COMPUTED_VALUE"""),"")</f>
        <v/>
      </c>
      <c r="G644" s="56">
        <f ca="1">IFERROR(__xludf.DUMMYFUNCTION("""COMPUTED_VALUE"""),1)</f>
        <v>1</v>
      </c>
      <c r="H644" s="57">
        <f ca="1">IFERROR(__xludf.DUMMYFUNCTION("""COMPUTED_VALUE"""),1)</f>
        <v>1</v>
      </c>
      <c r="I644" s="57">
        <f ca="1">IFERROR(__xludf.DUMMYFUNCTION("""COMPUTED_VALUE"""),1)</f>
        <v>1</v>
      </c>
      <c r="J644" s="19" t="str">
        <f ca="1">IFERROR(__xludf.DUMMYFUNCTION("""COMPUTED_VALUE"""),"")</f>
        <v/>
      </c>
      <c r="K644" s="19"/>
      <c r="L644" s="19"/>
      <c r="M644" s="19"/>
      <c r="N644" s="19"/>
      <c r="O644" s="59"/>
      <c r="P644" s="7"/>
      <c r="Q644" s="55"/>
      <c r="R644" s="55"/>
      <c r="S644" s="7"/>
      <c r="T644" s="55"/>
      <c r="U644" s="7"/>
      <c r="V644" s="55"/>
      <c r="W644" s="60"/>
      <c r="X644" s="55"/>
    </row>
    <row r="645" spans="1:24" ht="13" x14ac:dyDescent="0.15">
      <c r="A645" s="25" t="str">
        <f ca="1">IFERROR(__xludf.DUMMYFUNCTION("""COMPUTED_VALUE"""),"82458 Total")</f>
        <v>82458 Total</v>
      </c>
      <c r="B645" s="5"/>
      <c r="C645" s="69"/>
      <c r="D645" s="5"/>
      <c r="E645" s="5"/>
      <c r="F645" s="55"/>
      <c r="G645" s="56">
        <f ca="1">IFERROR(__xludf.DUMMYFUNCTION("""COMPUTED_VALUE"""),1)</f>
        <v>1</v>
      </c>
      <c r="H645" s="57">
        <f ca="1">IFERROR(__xludf.DUMMYFUNCTION("""COMPUTED_VALUE"""),1)</f>
        <v>1</v>
      </c>
      <c r="I645" s="57" t="str">
        <f ca="1">IFERROR(__xludf.DUMMYFUNCTION("""COMPUTED_VALUE"""),"")</f>
        <v/>
      </c>
      <c r="J645" s="19" t="str">
        <f ca="1">IFERROR(__xludf.DUMMYFUNCTION("""COMPUTED_VALUE"""),"")</f>
        <v/>
      </c>
      <c r="K645" s="19"/>
      <c r="L645" s="19"/>
      <c r="M645" s="19"/>
      <c r="N645" s="19"/>
      <c r="O645" s="59"/>
      <c r="P645" s="7"/>
      <c r="Q645" s="55"/>
      <c r="R645" s="55"/>
      <c r="S645" s="7"/>
      <c r="T645" s="55"/>
      <c r="U645" s="7"/>
      <c r="V645" s="55"/>
      <c r="W645" s="60"/>
      <c r="X645" s="55"/>
    </row>
    <row r="646" spans="1:24" ht="13" x14ac:dyDescent="0.15">
      <c r="A646" s="25" t="str">
        <f ca="1">IFERROR(__xludf.DUMMYFUNCTION("""COMPUTED_VALUE"""),"82533")</f>
        <v>82533</v>
      </c>
      <c r="B646" s="69">
        <f ca="1">IFERROR(__xludf.DUMMYFUNCTION("""COMPUTED_VALUE"""),44597)</f>
        <v>44597</v>
      </c>
      <c r="C646" s="69" t="str">
        <f ca="1">IFERROR(__xludf.DUMMYFUNCTION("""COMPUTED_VALUE"""),"Cash")</f>
        <v>Cash</v>
      </c>
      <c r="D646" s="5" t="str">
        <f ca="1">IFERROR(__xludf.DUMMYFUNCTION("""COMPUTED_VALUE"""),"Cash")</f>
        <v>Cash</v>
      </c>
      <c r="E646" s="5" t="str">
        <f ca="1">IFERROR(__xludf.DUMMYFUNCTION("""COMPUTED_VALUE"""),"HKD")</f>
        <v>HKD</v>
      </c>
      <c r="F646" s="55" t="str">
        <f ca="1">IFERROR(__xludf.DUMMYFUNCTION("""COMPUTED_VALUE"""),"")</f>
        <v/>
      </c>
      <c r="G646" s="56">
        <f ca="1">IFERROR(__xludf.DUMMYFUNCTION("""COMPUTED_VALUE"""),1)</f>
        <v>1</v>
      </c>
      <c r="H646" s="57">
        <f ca="1">IFERROR(__xludf.DUMMYFUNCTION("""COMPUTED_VALUE"""),1)</f>
        <v>1</v>
      </c>
      <c r="I646" s="57">
        <f ca="1">IFERROR(__xludf.DUMMYFUNCTION("""COMPUTED_VALUE"""),1)</f>
        <v>1</v>
      </c>
      <c r="J646" s="19" t="str">
        <f ca="1">IFERROR(__xludf.DUMMYFUNCTION("""COMPUTED_VALUE"""),"")</f>
        <v/>
      </c>
      <c r="K646" s="19"/>
      <c r="L646" s="19"/>
      <c r="M646" s="19"/>
      <c r="N646" s="19"/>
      <c r="O646" s="59"/>
      <c r="P646" s="7"/>
      <c r="Q646" s="55"/>
      <c r="R646" s="55"/>
      <c r="S646" s="7"/>
      <c r="T646" s="55"/>
      <c r="U646" s="7"/>
      <c r="V646" s="55"/>
      <c r="W646" s="60"/>
      <c r="X646" s="55"/>
    </row>
    <row r="647" spans="1:24" ht="13" x14ac:dyDescent="0.15">
      <c r="A647" s="25" t="str">
        <f ca="1">IFERROR(__xludf.DUMMYFUNCTION("""COMPUTED_VALUE"""),"82533")</f>
        <v>82533</v>
      </c>
      <c r="B647" s="69">
        <f ca="1">IFERROR(__xludf.DUMMYFUNCTION("""COMPUTED_VALUE"""),44634)</f>
        <v>44634</v>
      </c>
      <c r="C647" s="69" t="str">
        <f ca="1">IFERROR(__xludf.DUMMYFUNCTION("""COMPUTED_VALUE"""),"Option")</f>
        <v>Option</v>
      </c>
      <c r="D647" s="5" t="str">
        <f ca="1">IFERROR(__xludf.DUMMYFUNCTION("""COMPUTED_VALUE"""),"TSLA220318C00005000")</f>
        <v>TSLA220318C00005000</v>
      </c>
      <c r="E647" s="5" t="str">
        <f ca="1">IFERROR(__xludf.DUMMYFUNCTION("""COMPUTED_VALUE"""),"USD")</f>
        <v>USD</v>
      </c>
      <c r="F647" s="55">
        <f ca="1">IFERROR(__xludf.DUMMYFUNCTION("""COMPUTED_VALUE"""),-15)</f>
        <v>-15</v>
      </c>
      <c r="G647" s="56">
        <f ca="1">IFERROR(__xludf.DUMMYFUNCTION("""COMPUTED_VALUE"""),7.82695)</f>
        <v>7.8269500000000001</v>
      </c>
      <c r="H647" s="57">
        <f ca="1">IFERROR(__xludf.DUMMYFUNCTION("""COMPUTED_VALUE"""),753.41)</f>
        <v>753.41</v>
      </c>
      <c r="I647" s="57">
        <f ca="1">IFERROR(__xludf.DUMMYFUNCTION("""COMPUTED_VALUE"""),0)</f>
        <v>0</v>
      </c>
      <c r="J647" s="19" t="str">
        <f ca="1">IFERROR(__xludf.DUMMYFUNCTION("""COMPUTED_VALUE"""),"")</f>
        <v/>
      </c>
      <c r="K647" s="19"/>
      <c r="L647" s="19"/>
      <c r="M647" s="19"/>
      <c r="N647" s="19"/>
      <c r="O647" s="59"/>
      <c r="P647" s="7"/>
      <c r="Q647" s="55"/>
      <c r="R647" s="55"/>
      <c r="S647" s="7"/>
      <c r="T647" s="55"/>
      <c r="U647" s="7"/>
      <c r="V647" s="55"/>
      <c r="W647" s="60"/>
      <c r="X647" s="55"/>
    </row>
    <row r="648" spans="1:24" ht="13" x14ac:dyDescent="0.15">
      <c r="A648" s="25" t="str">
        <f ca="1">IFERROR(__xludf.DUMMYFUNCTION("""COMPUTED_VALUE"""),"82533")</f>
        <v>82533</v>
      </c>
      <c r="B648" s="69">
        <f ca="1">IFERROR(__xludf.DUMMYFUNCTION("""COMPUTED_VALUE"""),44634)</f>
        <v>44634</v>
      </c>
      <c r="C648" s="69" t="str">
        <f ca="1">IFERROR(__xludf.DUMMYFUNCTION("""COMPUTED_VALUE"""),"Option")</f>
        <v>Option</v>
      </c>
      <c r="D648" s="5" t="str">
        <f ca="1">IFERROR(__xludf.DUMMYFUNCTION("""COMPUTED_VALUE"""),"TSLA220318C00005000")</f>
        <v>TSLA220318C00005000</v>
      </c>
      <c r="E648" s="5" t="str">
        <f ca="1">IFERROR(__xludf.DUMMYFUNCTION("""COMPUTED_VALUE"""),"USD")</f>
        <v>USD</v>
      </c>
      <c r="F648" s="55" t="str">
        <f ca="1">IFERROR(__xludf.DUMMYFUNCTION("""COMPUTED_VALUE"""),"")</f>
        <v/>
      </c>
      <c r="G648" s="56">
        <f ca="1">IFERROR(__xludf.DUMMYFUNCTION("""COMPUTED_VALUE"""),7.82403687499999)</f>
        <v>7.8240368749999902</v>
      </c>
      <c r="H648" s="57">
        <f ca="1">IFERROR(__xludf.DUMMYFUNCTION("""COMPUTED_VALUE"""),753.41)</f>
        <v>753.41</v>
      </c>
      <c r="I648" s="57">
        <f ca="1">IFERROR(__xludf.DUMMYFUNCTION("""COMPUTED_VALUE"""),0)</f>
        <v>0</v>
      </c>
      <c r="J648" s="19" t="str">
        <f ca="1">IFERROR(__xludf.DUMMYFUNCTION("""COMPUTED_VALUE"""),"")</f>
        <v/>
      </c>
      <c r="K648" s="19"/>
      <c r="L648" s="19"/>
      <c r="M648" s="19"/>
      <c r="N648" s="19"/>
      <c r="O648" s="59"/>
      <c r="P648" s="7"/>
      <c r="Q648" s="55"/>
      <c r="R648" s="55"/>
      <c r="S648" s="7"/>
      <c r="T648" s="55"/>
      <c r="U648" s="7"/>
      <c r="V648" s="55"/>
      <c r="W648" s="60"/>
      <c r="X648" s="55"/>
    </row>
    <row r="649" spans="1:24" ht="13" x14ac:dyDescent="0.15">
      <c r="A649" s="25" t="str">
        <f ca="1">IFERROR(__xludf.DUMMYFUNCTION("""COMPUTED_VALUE"""),"82533")</f>
        <v>82533</v>
      </c>
      <c r="B649" s="69">
        <f ca="1">IFERROR(__xludf.DUMMYFUNCTION("""COMPUTED_VALUE"""),44634)</f>
        <v>44634</v>
      </c>
      <c r="C649" s="69" t="str">
        <f ca="1">IFERROR(__xludf.DUMMYFUNCTION("""COMPUTED_VALUE"""),"Stock")</f>
        <v>Stock</v>
      </c>
      <c r="D649" s="5" t="str">
        <f ca="1">IFERROR(__xludf.DUMMYFUNCTION("""COMPUTED_VALUE"""),"BITO")</f>
        <v>BITO</v>
      </c>
      <c r="E649" s="5" t="str">
        <f ca="1">IFERROR(__xludf.DUMMYFUNCTION("""COMPUTED_VALUE"""),"USD")</f>
        <v>USD</v>
      </c>
      <c r="F649" s="55">
        <f ca="1">IFERROR(__xludf.DUMMYFUNCTION("""COMPUTED_VALUE"""),1000)</f>
        <v>1000</v>
      </c>
      <c r="G649" s="56">
        <f ca="1">IFERROR(__xludf.DUMMYFUNCTION("""COMPUTED_VALUE"""),7.82436055555555)</f>
        <v>7.8243605555555504</v>
      </c>
      <c r="H649" s="57">
        <f ca="1">IFERROR(__xludf.DUMMYFUNCTION("""COMPUTED_VALUE"""),24.32)</f>
        <v>24.32</v>
      </c>
      <c r="I649" s="57">
        <f ca="1">IFERROR(__xludf.DUMMYFUNCTION("""COMPUTED_VALUE"""),26.5)</f>
        <v>26.5</v>
      </c>
      <c r="J649" s="70" t="str">
        <f ca="1">IFERROR(__xludf.DUMMYFUNCTION("""COMPUTED_VALUE"""),"Goto link: BITO")</f>
        <v>Goto link: BITO</v>
      </c>
      <c r="K649" s="19"/>
      <c r="L649" s="19"/>
      <c r="M649" s="19"/>
      <c r="N649" s="19"/>
      <c r="O649" s="59"/>
      <c r="P649" s="7"/>
      <c r="Q649" s="55"/>
      <c r="R649" s="55"/>
      <c r="S649" s="7"/>
      <c r="T649" s="55"/>
      <c r="U649" s="7"/>
      <c r="V649" s="55"/>
      <c r="W649" s="60"/>
      <c r="X649" s="55"/>
    </row>
    <row r="650" spans="1:24" ht="13" x14ac:dyDescent="0.15">
      <c r="A650" s="25" t="str">
        <f ca="1">IFERROR(__xludf.DUMMYFUNCTION("""COMPUTED_VALUE"""),"82533 Total")</f>
        <v>82533 Total</v>
      </c>
      <c r="B650" s="5"/>
      <c r="C650" s="69"/>
      <c r="D650" s="5"/>
      <c r="E650" s="5"/>
      <c r="F650" s="55"/>
      <c r="G650" s="56">
        <f ca="1">IFERROR(__xludf.DUMMYFUNCTION("""COMPUTED_VALUE"""),2.91935140624999)</f>
        <v>2.9193514062499899</v>
      </c>
      <c r="H650" s="57">
        <f ca="1">IFERROR(__xludf.DUMMYFUNCTION("""COMPUTED_VALUE"""),753.41)</f>
        <v>753.41</v>
      </c>
      <c r="I650" s="57" t="str">
        <f ca="1">IFERROR(__xludf.DUMMYFUNCTION("""COMPUTED_VALUE"""),"")</f>
        <v/>
      </c>
      <c r="J650" s="19" t="str">
        <f ca="1">IFERROR(__xludf.DUMMYFUNCTION("""COMPUTED_VALUE"""),"")</f>
        <v/>
      </c>
      <c r="K650" s="19"/>
      <c r="L650" s="19"/>
      <c r="M650" s="19"/>
      <c r="N650" s="19"/>
      <c r="O650" s="59"/>
      <c r="P650" s="7"/>
      <c r="Q650" s="55"/>
      <c r="R650" s="55"/>
      <c r="S650" s="7"/>
      <c r="T650" s="55"/>
      <c r="U650" s="7"/>
      <c r="V650" s="55"/>
      <c r="W650" s="60"/>
      <c r="X650" s="55"/>
    </row>
    <row r="651" spans="1:24" ht="13" x14ac:dyDescent="0.15">
      <c r="A651" s="25" t="str">
        <f ca="1">IFERROR(__xludf.DUMMYFUNCTION("""COMPUTED_VALUE"""),"83293")</f>
        <v>83293</v>
      </c>
      <c r="B651" s="69">
        <f ca="1">IFERROR(__xludf.DUMMYFUNCTION("""COMPUTED_VALUE"""),44597)</f>
        <v>44597</v>
      </c>
      <c r="C651" s="69" t="str">
        <f ca="1">IFERROR(__xludf.DUMMYFUNCTION("""COMPUTED_VALUE"""),"Cash")</f>
        <v>Cash</v>
      </c>
      <c r="D651" s="5" t="str">
        <f ca="1">IFERROR(__xludf.DUMMYFUNCTION("""COMPUTED_VALUE"""),"Cash")</f>
        <v>Cash</v>
      </c>
      <c r="E651" s="5" t="str">
        <f ca="1">IFERROR(__xludf.DUMMYFUNCTION("""COMPUTED_VALUE"""),"HKD")</f>
        <v>HKD</v>
      </c>
      <c r="F651" s="55" t="str">
        <f ca="1">IFERROR(__xludf.DUMMYFUNCTION("""COMPUTED_VALUE"""),"")</f>
        <v/>
      </c>
      <c r="G651" s="56">
        <f ca="1">IFERROR(__xludf.DUMMYFUNCTION("""COMPUTED_VALUE"""),1)</f>
        <v>1</v>
      </c>
      <c r="H651" s="57">
        <f ca="1">IFERROR(__xludf.DUMMYFUNCTION("""COMPUTED_VALUE"""),1)</f>
        <v>1</v>
      </c>
      <c r="I651" s="57">
        <f ca="1">IFERROR(__xludf.DUMMYFUNCTION("""COMPUTED_VALUE"""),1)</f>
        <v>1</v>
      </c>
      <c r="J651" s="19" t="str">
        <f ca="1">IFERROR(__xludf.DUMMYFUNCTION("""COMPUTED_VALUE"""),"")</f>
        <v/>
      </c>
      <c r="K651" s="19"/>
      <c r="L651" s="19"/>
      <c r="M651" s="19"/>
      <c r="N651" s="19"/>
      <c r="O651" s="59"/>
      <c r="P651" s="7"/>
      <c r="Q651" s="55"/>
      <c r="R651" s="55"/>
      <c r="S651" s="7"/>
      <c r="T651" s="55"/>
      <c r="U651" s="7"/>
      <c r="V651" s="55"/>
      <c r="W651" s="60"/>
      <c r="X651" s="55"/>
    </row>
    <row r="652" spans="1:24" ht="13" x14ac:dyDescent="0.15">
      <c r="A652" s="25" t="str">
        <f ca="1">IFERROR(__xludf.DUMMYFUNCTION("""COMPUTED_VALUE"""),"83293 Total")</f>
        <v>83293 Total</v>
      </c>
      <c r="B652" s="5"/>
      <c r="C652" s="69"/>
      <c r="D652" s="5"/>
      <c r="E652" s="5"/>
      <c r="F652" s="55"/>
      <c r="G652" s="56">
        <f ca="1">IFERROR(__xludf.DUMMYFUNCTION("""COMPUTED_VALUE"""),1)</f>
        <v>1</v>
      </c>
      <c r="H652" s="57">
        <f ca="1">IFERROR(__xludf.DUMMYFUNCTION("""COMPUTED_VALUE"""),1)</f>
        <v>1</v>
      </c>
      <c r="I652" s="57" t="str">
        <f ca="1">IFERROR(__xludf.DUMMYFUNCTION("""COMPUTED_VALUE"""),"")</f>
        <v/>
      </c>
      <c r="J652" s="19" t="str">
        <f ca="1">IFERROR(__xludf.DUMMYFUNCTION("""COMPUTED_VALUE"""),"")</f>
        <v/>
      </c>
      <c r="K652" s="19"/>
      <c r="L652" s="19"/>
      <c r="M652" s="19"/>
      <c r="N652" s="19"/>
      <c r="O652" s="59"/>
      <c r="P652" s="7"/>
      <c r="Q652" s="55"/>
      <c r="R652" s="55"/>
      <c r="S652" s="7"/>
      <c r="T652" s="55"/>
      <c r="U652" s="7"/>
      <c r="V652" s="55"/>
      <c r="W652" s="60"/>
      <c r="X652" s="55"/>
    </row>
    <row r="653" spans="1:24" ht="13" x14ac:dyDescent="0.15">
      <c r="A653" s="25" t="str">
        <f ca="1">IFERROR(__xludf.DUMMYFUNCTION("""COMPUTED_VALUE"""),"83314")</f>
        <v>83314</v>
      </c>
      <c r="B653" s="69">
        <f ca="1">IFERROR(__xludf.DUMMYFUNCTION("""COMPUTED_VALUE"""),44597)</f>
        <v>44597</v>
      </c>
      <c r="C653" s="69" t="str">
        <f ca="1">IFERROR(__xludf.DUMMYFUNCTION("""COMPUTED_VALUE"""),"Cash")</f>
        <v>Cash</v>
      </c>
      <c r="D653" s="5" t="str">
        <f ca="1">IFERROR(__xludf.DUMMYFUNCTION("""COMPUTED_VALUE"""),"Cash")</f>
        <v>Cash</v>
      </c>
      <c r="E653" s="5" t="str">
        <f ca="1">IFERROR(__xludf.DUMMYFUNCTION("""COMPUTED_VALUE"""),"HKD")</f>
        <v>HKD</v>
      </c>
      <c r="F653" s="55" t="str">
        <f ca="1">IFERROR(__xludf.DUMMYFUNCTION("""COMPUTED_VALUE"""),"")</f>
        <v/>
      </c>
      <c r="G653" s="56">
        <f ca="1">IFERROR(__xludf.DUMMYFUNCTION("""COMPUTED_VALUE"""),1)</f>
        <v>1</v>
      </c>
      <c r="H653" s="57">
        <f ca="1">IFERROR(__xludf.DUMMYFUNCTION("""COMPUTED_VALUE"""),1)</f>
        <v>1</v>
      </c>
      <c r="I653" s="57">
        <f ca="1">IFERROR(__xludf.DUMMYFUNCTION("""COMPUTED_VALUE"""),1)</f>
        <v>1</v>
      </c>
      <c r="J653" s="19" t="str">
        <f ca="1">IFERROR(__xludf.DUMMYFUNCTION("""COMPUTED_VALUE"""),"")</f>
        <v/>
      </c>
      <c r="K653" s="19"/>
      <c r="L653" s="19"/>
      <c r="M653" s="19"/>
      <c r="N653" s="19"/>
      <c r="O653" s="59"/>
      <c r="P653" s="7"/>
      <c r="Q653" s="55"/>
      <c r="R653" s="55"/>
      <c r="S653" s="7"/>
      <c r="T653" s="55"/>
      <c r="U653" s="7"/>
      <c r="V653" s="55"/>
      <c r="W653" s="60"/>
      <c r="X653" s="55"/>
    </row>
    <row r="654" spans="1:24" ht="13" x14ac:dyDescent="0.15">
      <c r="A654" s="25" t="str">
        <f ca="1">IFERROR(__xludf.DUMMYFUNCTION("""COMPUTED_VALUE"""),"83314 Total")</f>
        <v>83314 Total</v>
      </c>
      <c r="B654" s="5"/>
      <c r="C654" s="69"/>
      <c r="D654" s="5"/>
      <c r="E654" s="5"/>
      <c r="F654" s="55"/>
      <c r="G654" s="56">
        <f ca="1">IFERROR(__xludf.DUMMYFUNCTION("""COMPUTED_VALUE"""),1)</f>
        <v>1</v>
      </c>
      <c r="H654" s="57">
        <f ca="1">IFERROR(__xludf.DUMMYFUNCTION("""COMPUTED_VALUE"""),1)</f>
        <v>1</v>
      </c>
      <c r="I654" s="57" t="str">
        <f ca="1">IFERROR(__xludf.DUMMYFUNCTION("""COMPUTED_VALUE"""),"")</f>
        <v/>
      </c>
      <c r="J654" s="19" t="str">
        <f ca="1">IFERROR(__xludf.DUMMYFUNCTION("""COMPUTED_VALUE"""),"")</f>
        <v/>
      </c>
      <c r="K654" s="19"/>
      <c r="L654" s="19"/>
      <c r="M654" s="19"/>
      <c r="N654" s="19"/>
      <c r="O654" s="59"/>
      <c r="P654" s="7"/>
      <c r="Q654" s="55"/>
      <c r="R654" s="55"/>
      <c r="S654" s="7"/>
      <c r="T654" s="55"/>
      <c r="U654" s="7"/>
      <c r="V654" s="55"/>
      <c r="W654" s="60"/>
      <c r="X654" s="55"/>
    </row>
    <row r="655" spans="1:24" ht="13" x14ac:dyDescent="0.15">
      <c r="A655" s="25" t="str">
        <f ca="1">IFERROR(__xludf.DUMMYFUNCTION("""COMPUTED_VALUE"""),"84216")</f>
        <v>84216</v>
      </c>
      <c r="B655" s="69">
        <f ca="1">IFERROR(__xludf.DUMMYFUNCTION("""COMPUTED_VALUE"""),44597)</f>
        <v>44597</v>
      </c>
      <c r="C655" s="69" t="str">
        <f ca="1">IFERROR(__xludf.DUMMYFUNCTION("""COMPUTED_VALUE"""),"Cash")</f>
        <v>Cash</v>
      </c>
      <c r="D655" s="5" t="str">
        <f ca="1">IFERROR(__xludf.DUMMYFUNCTION("""COMPUTED_VALUE"""),"Cash")</f>
        <v>Cash</v>
      </c>
      <c r="E655" s="5" t="str">
        <f ca="1">IFERROR(__xludf.DUMMYFUNCTION("""COMPUTED_VALUE"""),"HKD")</f>
        <v>HKD</v>
      </c>
      <c r="F655" s="55" t="str">
        <f ca="1">IFERROR(__xludf.DUMMYFUNCTION("""COMPUTED_VALUE"""),"")</f>
        <v/>
      </c>
      <c r="G655" s="56">
        <f ca="1">IFERROR(__xludf.DUMMYFUNCTION("""COMPUTED_VALUE"""),1)</f>
        <v>1</v>
      </c>
      <c r="H655" s="57">
        <f ca="1">IFERROR(__xludf.DUMMYFUNCTION("""COMPUTED_VALUE"""),1)</f>
        <v>1</v>
      </c>
      <c r="I655" s="57">
        <f ca="1">IFERROR(__xludf.DUMMYFUNCTION("""COMPUTED_VALUE"""),1)</f>
        <v>1</v>
      </c>
      <c r="J655" s="19" t="str">
        <f ca="1">IFERROR(__xludf.DUMMYFUNCTION("""COMPUTED_VALUE"""),"")</f>
        <v/>
      </c>
      <c r="K655" s="19"/>
      <c r="L655" s="19"/>
      <c r="M655" s="19"/>
      <c r="N655" s="19"/>
      <c r="O655" s="59"/>
      <c r="P655" s="7"/>
      <c r="Q655" s="55"/>
      <c r="R655" s="55"/>
      <c r="S655" s="7"/>
      <c r="T655" s="55"/>
      <c r="U655" s="7"/>
      <c r="V655" s="55"/>
      <c r="W655" s="60"/>
      <c r="X655" s="55"/>
    </row>
    <row r="656" spans="1:24" ht="13" x14ac:dyDescent="0.15">
      <c r="A656" s="25" t="str">
        <f ca="1">IFERROR(__xludf.DUMMYFUNCTION("""COMPUTED_VALUE"""),"84216 Total")</f>
        <v>84216 Total</v>
      </c>
      <c r="B656" s="5"/>
      <c r="C656" s="69"/>
      <c r="D656" s="5"/>
      <c r="E656" s="5"/>
      <c r="F656" s="55"/>
      <c r="G656" s="56">
        <f ca="1">IFERROR(__xludf.DUMMYFUNCTION("""COMPUTED_VALUE"""),1)</f>
        <v>1</v>
      </c>
      <c r="H656" s="57">
        <f ca="1">IFERROR(__xludf.DUMMYFUNCTION("""COMPUTED_VALUE"""),1)</f>
        <v>1</v>
      </c>
      <c r="I656" s="57" t="str">
        <f ca="1">IFERROR(__xludf.DUMMYFUNCTION("""COMPUTED_VALUE"""),"")</f>
        <v/>
      </c>
      <c r="J656" s="19" t="str">
        <f ca="1">IFERROR(__xludf.DUMMYFUNCTION("""COMPUTED_VALUE"""),"")</f>
        <v/>
      </c>
      <c r="K656" s="19"/>
      <c r="L656" s="19"/>
      <c r="M656" s="19"/>
      <c r="N656" s="19"/>
      <c r="O656" s="59"/>
      <c r="P656" s="7"/>
      <c r="Q656" s="55"/>
      <c r="R656" s="55"/>
      <c r="S656" s="7"/>
      <c r="T656" s="55"/>
      <c r="U656" s="7"/>
      <c r="V656" s="55"/>
      <c r="W656" s="60"/>
      <c r="X656" s="55"/>
    </row>
    <row r="657" spans="1:24" ht="13" x14ac:dyDescent="0.15">
      <c r="A657" s="25" t="str">
        <f ca="1">IFERROR(__xludf.DUMMYFUNCTION("""COMPUTED_VALUE"""),"89651")</f>
        <v>89651</v>
      </c>
      <c r="B657" s="69">
        <f ca="1">IFERROR(__xludf.DUMMYFUNCTION("""COMPUTED_VALUE"""),44597)</f>
        <v>44597</v>
      </c>
      <c r="C657" s="69" t="str">
        <f ca="1">IFERROR(__xludf.DUMMYFUNCTION("""COMPUTED_VALUE"""),"Cash")</f>
        <v>Cash</v>
      </c>
      <c r="D657" s="5" t="str">
        <f ca="1">IFERROR(__xludf.DUMMYFUNCTION("""COMPUTED_VALUE"""),"Cash")</f>
        <v>Cash</v>
      </c>
      <c r="E657" s="5" t="str">
        <f ca="1">IFERROR(__xludf.DUMMYFUNCTION("""COMPUTED_VALUE"""),"HKD")</f>
        <v>HKD</v>
      </c>
      <c r="F657" s="55" t="str">
        <f ca="1">IFERROR(__xludf.DUMMYFUNCTION("""COMPUTED_VALUE"""),"")</f>
        <v/>
      </c>
      <c r="G657" s="56">
        <f ca="1">IFERROR(__xludf.DUMMYFUNCTION("""COMPUTED_VALUE"""),1)</f>
        <v>1</v>
      </c>
      <c r="H657" s="57">
        <f ca="1">IFERROR(__xludf.DUMMYFUNCTION("""COMPUTED_VALUE"""),1)</f>
        <v>1</v>
      </c>
      <c r="I657" s="57">
        <f ca="1">IFERROR(__xludf.DUMMYFUNCTION("""COMPUTED_VALUE"""),1)</f>
        <v>1</v>
      </c>
      <c r="J657" s="19" t="str">
        <f ca="1">IFERROR(__xludf.DUMMYFUNCTION("""COMPUTED_VALUE"""),"")</f>
        <v/>
      </c>
      <c r="K657" s="19"/>
      <c r="L657" s="19"/>
      <c r="M657" s="19"/>
      <c r="N657" s="19"/>
      <c r="O657" s="59"/>
      <c r="P657" s="7"/>
      <c r="Q657" s="55"/>
      <c r="R657" s="55"/>
      <c r="S657" s="7"/>
      <c r="T657" s="55"/>
      <c r="U657" s="7"/>
      <c r="V657" s="55"/>
      <c r="W657" s="60"/>
      <c r="X657" s="55"/>
    </row>
    <row r="658" spans="1:24" ht="13" x14ac:dyDescent="0.15">
      <c r="A658" s="25" t="str">
        <f ca="1">IFERROR(__xludf.DUMMYFUNCTION("""COMPUTED_VALUE"""),"89651 Total")</f>
        <v>89651 Total</v>
      </c>
      <c r="B658" s="5"/>
      <c r="C658" s="69"/>
      <c r="D658" s="5"/>
      <c r="E658" s="5"/>
      <c r="F658" s="55"/>
      <c r="G658" s="56">
        <f ca="1">IFERROR(__xludf.DUMMYFUNCTION("""COMPUTED_VALUE"""),1)</f>
        <v>1</v>
      </c>
      <c r="H658" s="57">
        <f ca="1">IFERROR(__xludf.DUMMYFUNCTION("""COMPUTED_VALUE"""),1)</f>
        <v>1</v>
      </c>
      <c r="I658" s="57" t="str">
        <f ca="1">IFERROR(__xludf.DUMMYFUNCTION("""COMPUTED_VALUE"""),"")</f>
        <v/>
      </c>
      <c r="J658" s="19" t="str">
        <f ca="1">IFERROR(__xludf.DUMMYFUNCTION("""COMPUTED_VALUE"""),"")</f>
        <v/>
      </c>
      <c r="K658" s="19"/>
      <c r="L658" s="19"/>
      <c r="M658" s="19"/>
      <c r="N658" s="19"/>
      <c r="O658" s="59"/>
      <c r="P658" s="7"/>
      <c r="Q658" s="55"/>
      <c r="R658" s="55"/>
      <c r="S658" s="7"/>
      <c r="T658" s="55"/>
      <c r="U658" s="7"/>
      <c r="V658" s="55"/>
      <c r="W658" s="60"/>
      <c r="X658" s="55"/>
    </row>
    <row r="659" spans="1:24" ht="13" x14ac:dyDescent="0.15">
      <c r="A659" s="25" t="str">
        <f ca="1">IFERROR(__xludf.DUMMYFUNCTION("""COMPUTED_VALUE"""),"89750")</f>
        <v>89750</v>
      </c>
      <c r="B659" s="69">
        <f ca="1">IFERROR(__xludf.DUMMYFUNCTION("""COMPUTED_VALUE"""),44597)</f>
        <v>44597</v>
      </c>
      <c r="C659" s="69" t="str">
        <f ca="1">IFERROR(__xludf.DUMMYFUNCTION("""COMPUTED_VALUE"""),"Cash")</f>
        <v>Cash</v>
      </c>
      <c r="D659" s="5" t="str">
        <f ca="1">IFERROR(__xludf.DUMMYFUNCTION("""COMPUTED_VALUE"""),"Cash")</f>
        <v>Cash</v>
      </c>
      <c r="E659" s="5" t="str">
        <f ca="1">IFERROR(__xludf.DUMMYFUNCTION("""COMPUTED_VALUE"""),"HKD")</f>
        <v>HKD</v>
      </c>
      <c r="F659" s="55" t="str">
        <f ca="1">IFERROR(__xludf.DUMMYFUNCTION("""COMPUTED_VALUE"""),"")</f>
        <v/>
      </c>
      <c r="G659" s="56">
        <f ca="1">IFERROR(__xludf.DUMMYFUNCTION("""COMPUTED_VALUE"""),1)</f>
        <v>1</v>
      </c>
      <c r="H659" s="57">
        <f ca="1">IFERROR(__xludf.DUMMYFUNCTION("""COMPUTED_VALUE"""),1)</f>
        <v>1</v>
      </c>
      <c r="I659" s="57">
        <f ca="1">IFERROR(__xludf.DUMMYFUNCTION("""COMPUTED_VALUE"""),1)</f>
        <v>1</v>
      </c>
      <c r="J659" s="19" t="str">
        <f ca="1">IFERROR(__xludf.DUMMYFUNCTION("""COMPUTED_VALUE"""),"")</f>
        <v/>
      </c>
      <c r="K659" s="19"/>
      <c r="L659" s="19"/>
      <c r="M659" s="19"/>
      <c r="N659" s="19"/>
      <c r="O659" s="59"/>
      <c r="P659" s="7"/>
      <c r="Q659" s="55"/>
      <c r="R659" s="55"/>
      <c r="S659" s="7"/>
      <c r="T659" s="55"/>
      <c r="U659" s="7"/>
      <c r="V659" s="55"/>
      <c r="W659" s="60"/>
      <c r="X659" s="55"/>
    </row>
    <row r="660" spans="1:24" ht="13" x14ac:dyDescent="0.15">
      <c r="A660" s="25" t="str">
        <f ca="1">IFERROR(__xludf.DUMMYFUNCTION("""COMPUTED_VALUE"""),"89750")</f>
        <v>89750</v>
      </c>
      <c r="B660" s="69">
        <f ca="1">IFERROR(__xludf.DUMMYFUNCTION("""COMPUTED_VALUE"""),44601)</f>
        <v>44601</v>
      </c>
      <c r="C660" s="69" t="str">
        <f ca="1">IFERROR(__xludf.DUMMYFUNCTION("""COMPUTED_VALUE"""),"Stock")</f>
        <v>Stock</v>
      </c>
      <c r="D660" s="71" t="str">
        <f ca="1">IFERROR(__xludf.DUMMYFUNCTION("""COMPUTED_VALUE"""),"3690.HK")</f>
        <v>3690.HK</v>
      </c>
      <c r="E660" s="5" t="str">
        <f ca="1">IFERROR(__xludf.DUMMYFUNCTION("""COMPUTED_VALUE"""),"HKD")</f>
        <v>HKD</v>
      </c>
      <c r="F660" s="55">
        <f ca="1">IFERROR(__xludf.DUMMYFUNCTION("""COMPUTED_VALUE"""),500)</f>
        <v>500</v>
      </c>
      <c r="G660" s="56">
        <f ca="1">IFERROR(__xludf.DUMMYFUNCTION("""COMPUTED_VALUE"""),1)</f>
        <v>1</v>
      </c>
      <c r="H660" s="57">
        <f ca="1">IFERROR(__xludf.DUMMYFUNCTION("""COMPUTED_VALUE"""),229.2)</f>
        <v>229.2</v>
      </c>
      <c r="I660" s="57">
        <f ca="1">IFERROR(__xludf.DUMMYFUNCTION("""COMPUTED_VALUE"""),156.2)</f>
        <v>156.19999999999999</v>
      </c>
      <c r="J660" s="70" t="str">
        <f ca="1">IFERROR(__xludf.DUMMYFUNCTION("""COMPUTED_VALUE"""),"Goto link: 3690.HK")</f>
        <v>Goto link: 3690.HK</v>
      </c>
      <c r="K660" s="19"/>
      <c r="L660" s="19"/>
      <c r="M660" s="19"/>
      <c r="N660" s="19"/>
      <c r="O660" s="59"/>
      <c r="P660" s="7"/>
      <c r="Q660" s="55"/>
      <c r="R660" s="55"/>
      <c r="S660" s="7"/>
      <c r="T660" s="55"/>
      <c r="U660" s="7"/>
      <c r="V660" s="55"/>
      <c r="W660" s="60"/>
      <c r="X660" s="55"/>
    </row>
    <row r="661" spans="1:24" ht="13" x14ac:dyDescent="0.15">
      <c r="A661" s="25" t="str">
        <f ca="1">IFERROR(__xludf.DUMMYFUNCTION("""COMPUTED_VALUE"""),"89750")</f>
        <v>89750</v>
      </c>
      <c r="B661" s="69">
        <f ca="1">IFERROR(__xludf.DUMMYFUNCTION("""COMPUTED_VALUE"""),44601)</f>
        <v>44601</v>
      </c>
      <c r="C661" s="69" t="str">
        <f ca="1">IFERROR(__xludf.DUMMYFUNCTION("""COMPUTED_VALUE"""),"Stock")</f>
        <v>Stock</v>
      </c>
      <c r="D661" s="71" t="str">
        <f ca="1">IFERROR(__xludf.DUMMYFUNCTION("""COMPUTED_VALUE"""),"9698.HK")</f>
        <v>9698.HK</v>
      </c>
      <c r="E661" s="5" t="str">
        <f ca="1">IFERROR(__xludf.DUMMYFUNCTION("""COMPUTED_VALUE"""),"HKD")</f>
        <v>HKD</v>
      </c>
      <c r="F661" s="55">
        <f ca="1">IFERROR(__xludf.DUMMYFUNCTION("""COMPUTED_VALUE"""),0)</f>
        <v>0</v>
      </c>
      <c r="G661" s="56">
        <f ca="1">IFERROR(__xludf.DUMMYFUNCTION("""COMPUTED_VALUE"""),1)</f>
        <v>1</v>
      </c>
      <c r="H661" s="57">
        <f ca="1">IFERROR(__xludf.DUMMYFUNCTION("""COMPUTED_VALUE"""),0)</f>
        <v>0</v>
      </c>
      <c r="I661" s="57">
        <f ca="1">IFERROR(__xludf.DUMMYFUNCTION("""COMPUTED_VALUE"""),40.2)</f>
        <v>40.200000000000003</v>
      </c>
      <c r="J661" s="70" t="str">
        <f ca="1">IFERROR(__xludf.DUMMYFUNCTION("""COMPUTED_VALUE"""),"Goto link: 9698.HK")</f>
        <v>Goto link: 9698.HK</v>
      </c>
      <c r="K661" s="19"/>
      <c r="L661" s="19"/>
      <c r="M661" s="19"/>
      <c r="N661" s="19"/>
      <c r="O661" s="59"/>
      <c r="P661" s="7"/>
      <c r="Q661" s="55"/>
      <c r="R661" s="55"/>
      <c r="S661" s="7"/>
      <c r="T661" s="55"/>
      <c r="U661" s="7"/>
      <c r="V661" s="55"/>
      <c r="W661" s="60"/>
      <c r="X661" s="55"/>
    </row>
    <row r="662" spans="1:24" ht="13" x14ac:dyDescent="0.15">
      <c r="A662" s="25" t="str">
        <f ca="1">IFERROR(__xludf.DUMMYFUNCTION("""COMPUTED_VALUE"""),"89750")</f>
        <v>89750</v>
      </c>
      <c r="B662" s="69">
        <f ca="1">IFERROR(__xludf.DUMMYFUNCTION("""COMPUTED_VALUE"""),44601)</f>
        <v>44601</v>
      </c>
      <c r="C662" s="69" t="str">
        <f ca="1">IFERROR(__xludf.DUMMYFUNCTION("""COMPUTED_VALUE"""),"Stock")</f>
        <v>Stock</v>
      </c>
      <c r="D662" s="71" t="str">
        <f ca="1">IFERROR(__xludf.DUMMYFUNCTION("""COMPUTED_VALUE"""),"9698.HK")</f>
        <v>9698.HK</v>
      </c>
      <c r="E662" s="5" t="str">
        <f ca="1">IFERROR(__xludf.DUMMYFUNCTION("""COMPUTED_VALUE"""),"HKD")</f>
        <v>HKD</v>
      </c>
      <c r="F662" s="55">
        <f ca="1">IFERROR(__xludf.DUMMYFUNCTION("""COMPUTED_VALUE"""),10000)</f>
        <v>10000</v>
      </c>
      <c r="G662" s="56">
        <f ca="1">IFERROR(__xludf.DUMMYFUNCTION("""COMPUTED_VALUE"""),1)</f>
        <v>1</v>
      </c>
      <c r="H662" s="57">
        <f ca="1">IFERROR(__xludf.DUMMYFUNCTION("""COMPUTED_VALUE"""),38.75)</f>
        <v>38.75</v>
      </c>
      <c r="I662" s="57">
        <f ca="1">IFERROR(__xludf.DUMMYFUNCTION("""COMPUTED_VALUE"""),40.2)</f>
        <v>40.200000000000003</v>
      </c>
      <c r="J662" s="70" t="str">
        <f ca="1">IFERROR(__xludf.DUMMYFUNCTION("""COMPUTED_VALUE"""),"Goto link: 9698.HK")</f>
        <v>Goto link: 9698.HK</v>
      </c>
      <c r="K662" s="19"/>
      <c r="L662" s="19"/>
      <c r="M662" s="19"/>
      <c r="N662" s="19"/>
      <c r="O662" s="59"/>
      <c r="P662" s="7"/>
      <c r="Q662" s="55"/>
      <c r="R662" s="55"/>
      <c r="S662" s="7"/>
      <c r="T662" s="55"/>
      <c r="U662" s="7"/>
      <c r="V662" s="55"/>
      <c r="W662" s="60"/>
      <c r="X662" s="55"/>
    </row>
    <row r="663" spans="1:24" ht="13" x14ac:dyDescent="0.15">
      <c r="A663" s="25" t="str">
        <f ca="1">IFERROR(__xludf.DUMMYFUNCTION("""COMPUTED_VALUE"""),"89750")</f>
        <v>89750</v>
      </c>
      <c r="B663" s="69">
        <f ca="1">IFERROR(__xludf.DUMMYFUNCTION("""COMPUTED_VALUE"""),44602)</f>
        <v>44602</v>
      </c>
      <c r="C663" s="69" t="str">
        <f ca="1">IFERROR(__xludf.DUMMYFUNCTION("""COMPUTED_VALUE"""),"Stock")</f>
        <v>Stock</v>
      </c>
      <c r="D663" s="71" t="str">
        <f ca="1">IFERROR(__xludf.DUMMYFUNCTION("""COMPUTED_VALUE"""),"3690.HK")</f>
        <v>3690.HK</v>
      </c>
      <c r="E663" s="5" t="str">
        <f ca="1">IFERROR(__xludf.DUMMYFUNCTION("""COMPUTED_VALUE"""),"HKD")</f>
        <v>HKD</v>
      </c>
      <c r="F663" s="55">
        <f ca="1">IFERROR(__xludf.DUMMYFUNCTION("""COMPUTED_VALUE"""),-500)</f>
        <v>-500</v>
      </c>
      <c r="G663" s="56">
        <f ca="1">IFERROR(__xludf.DUMMYFUNCTION("""COMPUTED_VALUE"""),1)</f>
        <v>1</v>
      </c>
      <c r="H663" s="57">
        <f ca="1">IFERROR(__xludf.DUMMYFUNCTION("""COMPUTED_VALUE"""),233)</f>
        <v>233</v>
      </c>
      <c r="I663" s="57">
        <f ca="1">IFERROR(__xludf.DUMMYFUNCTION("""COMPUTED_VALUE"""),156.2)</f>
        <v>156.19999999999999</v>
      </c>
      <c r="J663" s="70" t="str">
        <f ca="1">IFERROR(__xludf.DUMMYFUNCTION("""COMPUTED_VALUE"""),"Goto link: 3690.HK")</f>
        <v>Goto link: 3690.HK</v>
      </c>
      <c r="K663" s="19"/>
      <c r="L663" s="19"/>
      <c r="M663" s="19"/>
      <c r="N663" s="19"/>
      <c r="O663" s="59"/>
      <c r="P663" s="7"/>
      <c r="Q663" s="55"/>
      <c r="R663" s="55"/>
      <c r="S663" s="7"/>
      <c r="T663" s="55"/>
      <c r="U663" s="7"/>
      <c r="V663" s="55"/>
      <c r="W663" s="60"/>
      <c r="X663" s="55"/>
    </row>
    <row r="664" spans="1:24" ht="13" x14ac:dyDescent="0.15">
      <c r="A664" s="25" t="str">
        <f ca="1">IFERROR(__xludf.DUMMYFUNCTION("""COMPUTED_VALUE"""),"89750")</f>
        <v>89750</v>
      </c>
      <c r="B664" s="69">
        <f ca="1">IFERROR(__xludf.DUMMYFUNCTION("""COMPUTED_VALUE"""),44603)</f>
        <v>44603</v>
      </c>
      <c r="C664" s="69" t="str">
        <f ca="1">IFERROR(__xludf.DUMMYFUNCTION("""COMPUTED_VALUE"""),"Stock")</f>
        <v>Stock</v>
      </c>
      <c r="D664" s="71" t="str">
        <f ca="1">IFERROR(__xludf.DUMMYFUNCTION("""COMPUTED_VALUE"""),"2269.HK")</f>
        <v>2269.HK</v>
      </c>
      <c r="E664" s="5" t="str">
        <f ca="1">IFERROR(__xludf.DUMMYFUNCTION("""COMPUTED_VALUE"""),"HKD")</f>
        <v>HKD</v>
      </c>
      <c r="F664" s="55">
        <f ca="1">IFERROR(__xludf.DUMMYFUNCTION("""COMPUTED_VALUE"""),0)</f>
        <v>0</v>
      </c>
      <c r="G664" s="56">
        <f ca="1">IFERROR(__xludf.DUMMYFUNCTION("""COMPUTED_VALUE"""),1)</f>
        <v>1</v>
      </c>
      <c r="H664" s="57">
        <f ca="1">IFERROR(__xludf.DUMMYFUNCTION("""COMPUTED_VALUE"""),0)</f>
        <v>0</v>
      </c>
      <c r="I664" s="57">
        <f ca="1">IFERROR(__xludf.DUMMYFUNCTION("""COMPUTED_VALUE"""),65.3)</f>
        <v>65.3</v>
      </c>
      <c r="J664" s="70" t="str">
        <f ca="1">IFERROR(__xludf.DUMMYFUNCTION("""COMPUTED_VALUE"""),"Goto link: 2269.HK")</f>
        <v>Goto link: 2269.HK</v>
      </c>
      <c r="K664" s="19"/>
      <c r="L664" s="19"/>
      <c r="M664" s="19"/>
      <c r="N664" s="19"/>
      <c r="O664" s="59"/>
      <c r="P664" s="7"/>
      <c r="Q664" s="55"/>
      <c r="R664" s="55"/>
      <c r="S664" s="7"/>
      <c r="T664" s="55"/>
      <c r="U664" s="7"/>
      <c r="V664" s="55"/>
      <c r="W664" s="60"/>
      <c r="X664" s="55"/>
    </row>
    <row r="665" spans="1:24" ht="13" x14ac:dyDescent="0.15">
      <c r="A665" s="25" t="str">
        <f ca="1">IFERROR(__xludf.DUMMYFUNCTION("""COMPUTED_VALUE"""),"89750")</f>
        <v>89750</v>
      </c>
      <c r="B665" s="69">
        <f ca="1">IFERROR(__xludf.DUMMYFUNCTION("""COMPUTED_VALUE"""),44607)</f>
        <v>44607</v>
      </c>
      <c r="C665" s="69" t="str">
        <f ca="1">IFERROR(__xludf.DUMMYFUNCTION("""COMPUTED_VALUE"""),"Stock")</f>
        <v>Stock</v>
      </c>
      <c r="D665" s="5" t="str">
        <f ca="1">IFERROR(__xludf.DUMMYFUNCTION("""COMPUTED_VALUE"""),"UVXY")</f>
        <v>UVXY</v>
      </c>
      <c r="E665" s="5" t="str">
        <f ca="1">IFERROR(__xludf.DUMMYFUNCTION("""COMPUTED_VALUE"""),"USD")</f>
        <v>USD</v>
      </c>
      <c r="F665" s="55">
        <f ca="1">IFERROR(__xludf.DUMMYFUNCTION("""COMPUTED_VALUE"""),500)</f>
        <v>500</v>
      </c>
      <c r="G665" s="56">
        <f ca="1">IFERROR(__xludf.DUMMYFUNCTION("""COMPUTED_VALUE"""),7.81480833333333)</f>
        <v>7.81480833333333</v>
      </c>
      <c r="H665" s="57">
        <f ca="1">IFERROR(__xludf.DUMMYFUNCTION("""COMPUTED_VALUE"""),14.89)</f>
        <v>14.89</v>
      </c>
      <c r="I665" s="57">
        <f ca="1">IFERROR(__xludf.DUMMYFUNCTION("""COMPUTED_VALUE"""),14.65)</f>
        <v>14.65</v>
      </c>
      <c r="J665" s="70" t="str">
        <f ca="1">IFERROR(__xludf.DUMMYFUNCTION("""COMPUTED_VALUE"""),"Goto link: UVXY")</f>
        <v>Goto link: UVXY</v>
      </c>
      <c r="K665" s="19"/>
      <c r="L665" s="19"/>
      <c r="M665" s="19"/>
      <c r="N665" s="19"/>
      <c r="O665" s="59"/>
      <c r="P665" s="7"/>
      <c r="Q665" s="55"/>
      <c r="R665" s="55"/>
      <c r="S665" s="7"/>
      <c r="T665" s="55"/>
      <c r="U665" s="7"/>
      <c r="V665" s="55"/>
      <c r="W665" s="60"/>
      <c r="X665" s="55"/>
    </row>
    <row r="666" spans="1:24" ht="13" x14ac:dyDescent="0.15">
      <c r="A666" s="25" t="str">
        <f ca="1">IFERROR(__xludf.DUMMYFUNCTION("""COMPUTED_VALUE"""),"89750")</f>
        <v>89750</v>
      </c>
      <c r="B666" s="69">
        <f ca="1">IFERROR(__xludf.DUMMYFUNCTION("""COMPUTED_VALUE"""),44608)</f>
        <v>44608</v>
      </c>
      <c r="C666" s="69" t="str">
        <f ca="1">IFERROR(__xludf.DUMMYFUNCTION("""COMPUTED_VALUE"""),"Stock")</f>
        <v>Stock</v>
      </c>
      <c r="D666" s="71" t="str">
        <f ca="1">IFERROR(__xludf.DUMMYFUNCTION("""COMPUTED_VALUE"""),"9698.HK")</f>
        <v>9698.HK</v>
      </c>
      <c r="E666" s="5" t="str">
        <f ca="1">IFERROR(__xludf.DUMMYFUNCTION("""COMPUTED_VALUE"""),"HKD")</f>
        <v>HKD</v>
      </c>
      <c r="F666" s="55">
        <f ca="1">IFERROR(__xludf.DUMMYFUNCTION("""COMPUTED_VALUE"""),-9500)</f>
        <v>-9500</v>
      </c>
      <c r="G666" s="56">
        <f ca="1">IFERROR(__xludf.DUMMYFUNCTION("""COMPUTED_VALUE"""),1)</f>
        <v>1</v>
      </c>
      <c r="H666" s="57">
        <f ca="1">IFERROR(__xludf.DUMMYFUNCTION("""COMPUTED_VALUE"""),44.5)</f>
        <v>44.5</v>
      </c>
      <c r="I666" s="57">
        <f ca="1">IFERROR(__xludf.DUMMYFUNCTION("""COMPUTED_VALUE"""),40.2)</f>
        <v>40.200000000000003</v>
      </c>
      <c r="J666" s="70" t="str">
        <f ca="1">IFERROR(__xludf.DUMMYFUNCTION("""COMPUTED_VALUE"""),"Goto link: 9698.HK")</f>
        <v>Goto link: 9698.HK</v>
      </c>
      <c r="K666" s="19"/>
      <c r="L666" s="19"/>
      <c r="M666" s="19"/>
      <c r="N666" s="19"/>
      <c r="O666" s="59"/>
      <c r="P666" s="7"/>
      <c r="Q666" s="55"/>
      <c r="R666" s="55"/>
      <c r="S666" s="7"/>
      <c r="T666" s="55"/>
      <c r="U666" s="7"/>
      <c r="V666" s="55"/>
      <c r="W666" s="60"/>
      <c r="X666" s="55"/>
    </row>
    <row r="667" spans="1:24" ht="13" x14ac:dyDescent="0.15">
      <c r="A667" s="25" t="str">
        <f ca="1">IFERROR(__xludf.DUMMYFUNCTION("""COMPUTED_VALUE"""),"89750")</f>
        <v>89750</v>
      </c>
      <c r="B667" s="69">
        <f ca="1">IFERROR(__xludf.DUMMYFUNCTION("""COMPUTED_VALUE"""),44609)</f>
        <v>44609</v>
      </c>
      <c r="C667" s="69" t="str">
        <f ca="1">IFERROR(__xludf.DUMMYFUNCTION("""COMPUTED_VALUE"""),"Stock")</f>
        <v>Stock</v>
      </c>
      <c r="D667" s="71" t="str">
        <f ca="1">IFERROR(__xludf.DUMMYFUNCTION("""COMPUTED_VALUE"""),"6969.HK")</f>
        <v>6969.HK</v>
      </c>
      <c r="E667" s="5" t="str">
        <f ca="1">IFERROR(__xludf.DUMMYFUNCTION("""COMPUTED_VALUE"""),"HKD")</f>
        <v>HKD</v>
      </c>
      <c r="F667" s="55">
        <f ca="1">IFERROR(__xludf.DUMMYFUNCTION("""COMPUTED_VALUE"""),1000)</f>
        <v>1000</v>
      </c>
      <c r="G667" s="56">
        <f ca="1">IFERROR(__xludf.DUMMYFUNCTION("""COMPUTED_VALUE"""),1)</f>
        <v>1</v>
      </c>
      <c r="H667" s="57">
        <f ca="1">IFERROR(__xludf.DUMMYFUNCTION("""COMPUTED_VALUE"""),36)</f>
        <v>36</v>
      </c>
      <c r="I667" s="57">
        <f ca="1">IFERROR(__xludf.DUMMYFUNCTION("""COMPUTED_VALUE"""),20.9)</f>
        <v>20.9</v>
      </c>
      <c r="J667" s="70" t="str">
        <f ca="1">IFERROR(__xludf.DUMMYFUNCTION("""COMPUTED_VALUE"""),"Goto link: 6969.HK")</f>
        <v>Goto link: 6969.HK</v>
      </c>
      <c r="K667" s="19"/>
      <c r="L667" s="19"/>
      <c r="M667" s="19"/>
      <c r="N667" s="19"/>
      <c r="O667" s="59"/>
      <c r="P667" s="7"/>
      <c r="Q667" s="55"/>
      <c r="R667" s="55"/>
      <c r="S667" s="7"/>
      <c r="T667" s="55"/>
      <c r="U667" s="7"/>
      <c r="V667" s="55"/>
      <c r="W667" s="60"/>
      <c r="X667" s="55"/>
    </row>
    <row r="668" spans="1:24" ht="13" x14ac:dyDescent="0.15">
      <c r="A668" s="25" t="str">
        <f ca="1">IFERROR(__xludf.DUMMYFUNCTION("""COMPUTED_VALUE"""),"89750")</f>
        <v>89750</v>
      </c>
      <c r="B668" s="69">
        <f ca="1">IFERROR(__xludf.DUMMYFUNCTION("""COMPUTED_VALUE"""),44610)</f>
        <v>44610</v>
      </c>
      <c r="C668" s="69" t="str">
        <f ca="1">IFERROR(__xludf.DUMMYFUNCTION("""COMPUTED_VALUE"""),"Stock")</f>
        <v>Stock</v>
      </c>
      <c r="D668" s="71" t="str">
        <f ca="1">IFERROR(__xludf.DUMMYFUNCTION("""COMPUTED_VALUE"""),"6969.HK")</f>
        <v>6969.HK</v>
      </c>
      <c r="E668" s="5" t="str">
        <f ca="1">IFERROR(__xludf.DUMMYFUNCTION("""COMPUTED_VALUE"""),"HKD")</f>
        <v>HKD</v>
      </c>
      <c r="F668" s="55">
        <f ca="1">IFERROR(__xludf.DUMMYFUNCTION("""COMPUTED_VALUE"""),1000)</f>
        <v>1000</v>
      </c>
      <c r="G668" s="56">
        <f ca="1">IFERROR(__xludf.DUMMYFUNCTION("""COMPUTED_VALUE"""),1)</f>
        <v>1</v>
      </c>
      <c r="H668" s="57">
        <f ca="1">IFERROR(__xludf.DUMMYFUNCTION("""COMPUTED_VALUE"""),35.5)</f>
        <v>35.5</v>
      </c>
      <c r="I668" s="57">
        <f ca="1">IFERROR(__xludf.DUMMYFUNCTION("""COMPUTED_VALUE"""),20.9)</f>
        <v>20.9</v>
      </c>
      <c r="J668" s="70" t="str">
        <f ca="1">IFERROR(__xludf.DUMMYFUNCTION("""COMPUTED_VALUE"""),"Goto link: 6969.HK")</f>
        <v>Goto link: 6969.HK</v>
      </c>
      <c r="K668" s="19"/>
      <c r="L668" s="19"/>
      <c r="M668" s="19"/>
      <c r="N668" s="19"/>
      <c r="O668" s="59"/>
      <c r="P668" s="7"/>
      <c r="Q668" s="55"/>
      <c r="R668" s="55"/>
      <c r="S668" s="7"/>
      <c r="T668" s="55"/>
      <c r="U668" s="7"/>
      <c r="V668" s="55"/>
      <c r="W668" s="60"/>
      <c r="X668" s="55"/>
    </row>
    <row r="669" spans="1:24" ht="13" x14ac:dyDescent="0.15">
      <c r="A669" s="25" t="str">
        <f ca="1">IFERROR(__xludf.DUMMYFUNCTION("""COMPUTED_VALUE"""),"89750")</f>
        <v>89750</v>
      </c>
      <c r="B669" s="69">
        <f ca="1">IFERROR(__xludf.DUMMYFUNCTION("""COMPUTED_VALUE"""),44610)</f>
        <v>44610</v>
      </c>
      <c r="C669" s="69" t="str">
        <f ca="1">IFERROR(__xludf.DUMMYFUNCTION("""COMPUTED_VALUE"""),"Stock")</f>
        <v>Stock</v>
      </c>
      <c r="D669" s="5" t="str">
        <f ca="1">IFERROR(__xludf.DUMMYFUNCTION("""COMPUTED_VALUE"""),"SOFI")</f>
        <v>SOFI</v>
      </c>
      <c r="E669" s="5" t="str">
        <f ca="1">IFERROR(__xludf.DUMMYFUNCTION("""COMPUTED_VALUE"""),"USD")</f>
        <v>USD</v>
      </c>
      <c r="F669" s="55">
        <f ca="1">IFERROR(__xludf.DUMMYFUNCTION("""COMPUTED_VALUE"""),50)</f>
        <v>50</v>
      </c>
      <c r="G669" s="56">
        <f ca="1">IFERROR(__xludf.DUMMYFUNCTION("""COMPUTED_VALUE"""),7.81612515151515)</f>
        <v>7.8161251515151502</v>
      </c>
      <c r="H669" s="57">
        <f ca="1">IFERROR(__xludf.DUMMYFUNCTION("""COMPUTED_VALUE"""),11.39)</f>
        <v>11.39</v>
      </c>
      <c r="I669" s="57">
        <f ca="1">IFERROR(__xludf.DUMMYFUNCTION("""COMPUTED_VALUE"""),9.37)</f>
        <v>9.3699999999999992</v>
      </c>
      <c r="J669" s="70" t="str">
        <f ca="1">IFERROR(__xludf.DUMMYFUNCTION("""COMPUTED_VALUE"""),"Goto link: SOFI")</f>
        <v>Goto link: SOFI</v>
      </c>
      <c r="K669" s="19"/>
      <c r="L669" s="19"/>
      <c r="M669" s="19"/>
      <c r="N669" s="19"/>
      <c r="O669" s="59"/>
      <c r="P669" s="7"/>
      <c r="Q669" s="55"/>
      <c r="R669" s="55"/>
      <c r="S669" s="7"/>
      <c r="T669" s="55"/>
      <c r="U669" s="7"/>
      <c r="V669" s="55"/>
      <c r="W669" s="60"/>
      <c r="X669" s="55"/>
    </row>
    <row r="670" spans="1:24" ht="13" x14ac:dyDescent="0.15">
      <c r="A670" s="25" t="str">
        <f ca="1">IFERROR(__xludf.DUMMYFUNCTION("""COMPUTED_VALUE"""),"89750")</f>
        <v>89750</v>
      </c>
      <c r="B670" s="69">
        <f ca="1">IFERROR(__xludf.DUMMYFUNCTION("""COMPUTED_VALUE"""),44610)</f>
        <v>44610</v>
      </c>
      <c r="C670" s="69" t="str">
        <f ca="1">IFERROR(__xludf.DUMMYFUNCTION("""COMPUTED_VALUE"""),"Stock")</f>
        <v>Stock</v>
      </c>
      <c r="D670" s="5" t="str">
        <f ca="1">IFERROR(__xludf.DUMMYFUNCTION("""COMPUTED_VALUE"""),"SOXL")</f>
        <v>SOXL</v>
      </c>
      <c r="E670" s="5" t="str">
        <f ca="1">IFERROR(__xludf.DUMMYFUNCTION("""COMPUTED_VALUE"""),"USD")</f>
        <v>USD</v>
      </c>
      <c r="F670" s="55">
        <f ca="1">IFERROR(__xludf.DUMMYFUNCTION("""COMPUTED_VALUE"""),20)</f>
        <v>20</v>
      </c>
      <c r="G670" s="56">
        <f ca="1">IFERROR(__xludf.DUMMYFUNCTION("""COMPUTED_VALUE"""),7.81612515151515)</f>
        <v>7.8161251515151502</v>
      </c>
      <c r="H670" s="57">
        <f ca="1">IFERROR(__xludf.DUMMYFUNCTION("""COMPUTED_VALUE"""),39.63)</f>
        <v>39.630000000000003</v>
      </c>
      <c r="I670" s="57">
        <f ca="1">IFERROR(__xludf.DUMMYFUNCTION("""COMPUTED_VALUE"""),36.69)</f>
        <v>36.69</v>
      </c>
      <c r="J670" s="70" t="str">
        <f ca="1">IFERROR(__xludf.DUMMYFUNCTION("""COMPUTED_VALUE"""),"Goto link: SOXL")</f>
        <v>Goto link: SOXL</v>
      </c>
      <c r="K670" s="19"/>
      <c r="L670" s="19"/>
      <c r="M670" s="19"/>
      <c r="N670" s="19"/>
      <c r="O670" s="59"/>
      <c r="P670" s="7"/>
      <c r="Q670" s="55"/>
      <c r="R670" s="55"/>
      <c r="S670" s="7"/>
      <c r="T670" s="55"/>
      <c r="U670" s="7"/>
      <c r="V670" s="55"/>
      <c r="W670" s="60"/>
      <c r="X670" s="55"/>
    </row>
    <row r="671" spans="1:24" ht="13" x14ac:dyDescent="0.15">
      <c r="A671" s="25" t="str">
        <f ca="1">IFERROR(__xludf.DUMMYFUNCTION("""COMPUTED_VALUE"""),"89750")</f>
        <v>89750</v>
      </c>
      <c r="B671" s="69">
        <f ca="1">IFERROR(__xludf.DUMMYFUNCTION("""COMPUTED_VALUE"""),44610)</f>
        <v>44610</v>
      </c>
      <c r="C671" s="69" t="str">
        <f ca="1">IFERROR(__xludf.DUMMYFUNCTION("""COMPUTED_VALUE"""),"Stock")</f>
        <v>Stock</v>
      </c>
      <c r="D671" s="5" t="str">
        <f ca="1">IFERROR(__xludf.DUMMYFUNCTION("""COMPUTED_VALUE"""),"UVXY")</f>
        <v>UVXY</v>
      </c>
      <c r="E671" s="5" t="str">
        <f ca="1">IFERROR(__xludf.DUMMYFUNCTION("""COMPUTED_VALUE"""),"USD")</f>
        <v>USD</v>
      </c>
      <c r="F671" s="55">
        <f ca="1">IFERROR(__xludf.DUMMYFUNCTION("""COMPUTED_VALUE"""),-450)</f>
        <v>-450</v>
      </c>
      <c r="G671" s="56">
        <f ca="1">IFERROR(__xludf.DUMMYFUNCTION("""COMPUTED_VALUE"""),7.81612515151515)</f>
        <v>7.8161251515151502</v>
      </c>
      <c r="H671" s="57">
        <f ca="1">IFERROR(__xludf.DUMMYFUNCTION("""COMPUTED_VALUE"""),17.005)</f>
        <v>17.004999999999999</v>
      </c>
      <c r="I671" s="57">
        <f ca="1">IFERROR(__xludf.DUMMYFUNCTION("""COMPUTED_VALUE"""),14.65)</f>
        <v>14.65</v>
      </c>
      <c r="J671" s="70" t="str">
        <f ca="1">IFERROR(__xludf.DUMMYFUNCTION("""COMPUTED_VALUE"""),"Goto link: UVXY")</f>
        <v>Goto link: UVXY</v>
      </c>
      <c r="K671" s="19"/>
      <c r="L671" s="19"/>
      <c r="M671" s="19"/>
      <c r="N671" s="19"/>
      <c r="O671" s="59"/>
      <c r="P671" s="7"/>
      <c r="Q671" s="55"/>
      <c r="R671" s="55"/>
      <c r="S671" s="7"/>
      <c r="T671" s="55"/>
      <c r="U671" s="7"/>
      <c r="V671" s="55"/>
      <c r="W671" s="60"/>
      <c r="X671" s="55"/>
    </row>
    <row r="672" spans="1:24" ht="13" x14ac:dyDescent="0.15">
      <c r="A672" s="25" t="str">
        <f ca="1">IFERROR(__xludf.DUMMYFUNCTION("""COMPUTED_VALUE"""),"89750")</f>
        <v>89750</v>
      </c>
      <c r="B672" s="69">
        <f ca="1">IFERROR(__xludf.DUMMYFUNCTION("""COMPUTED_VALUE"""),44613)</f>
        <v>44613</v>
      </c>
      <c r="C672" s="69" t="str">
        <f ca="1">IFERROR(__xludf.DUMMYFUNCTION("""COMPUTED_VALUE"""),"Stock")</f>
        <v>Stock</v>
      </c>
      <c r="D672" s="71" t="str">
        <f ca="1">IFERROR(__xludf.DUMMYFUNCTION("""COMPUTED_VALUE"""),"9698.HK")</f>
        <v>9698.HK</v>
      </c>
      <c r="E672" s="5" t="str">
        <f ca="1">IFERROR(__xludf.DUMMYFUNCTION("""COMPUTED_VALUE"""),"HKD")</f>
        <v>HKD</v>
      </c>
      <c r="F672" s="55">
        <f ca="1">IFERROR(__xludf.DUMMYFUNCTION("""COMPUTED_VALUE"""),1500)</f>
        <v>1500</v>
      </c>
      <c r="G672" s="56">
        <f ca="1">IFERROR(__xludf.DUMMYFUNCTION("""COMPUTED_VALUE"""),1)</f>
        <v>1</v>
      </c>
      <c r="H672" s="57">
        <f ca="1">IFERROR(__xludf.DUMMYFUNCTION("""COMPUTED_VALUE"""),42.25)</f>
        <v>42.25</v>
      </c>
      <c r="I672" s="57">
        <f ca="1">IFERROR(__xludf.DUMMYFUNCTION("""COMPUTED_VALUE"""),40.2)</f>
        <v>40.200000000000003</v>
      </c>
      <c r="J672" s="70" t="str">
        <f ca="1">IFERROR(__xludf.DUMMYFUNCTION("""COMPUTED_VALUE"""),"Goto link: 9698.HK")</f>
        <v>Goto link: 9698.HK</v>
      </c>
      <c r="K672" s="19"/>
      <c r="L672" s="19"/>
      <c r="M672" s="19"/>
      <c r="N672" s="19"/>
      <c r="O672" s="59"/>
      <c r="P672" s="7"/>
      <c r="Q672" s="55"/>
      <c r="R672" s="55"/>
      <c r="S672" s="7"/>
      <c r="T672" s="55"/>
      <c r="U672" s="7"/>
      <c r="V672" s="55"/>
      <c r="W672" s="60"/>
      <c r="X672" s="55"/>
    </row>
    <row r="673" spans="1:24" ht="13" x14ac:dyDescent="0.15">
      <c r="A673" s="25" t="str">
        <f ca="1">IFERROR(__xludf.DUMMYFUNCTION("""COMPUTED_VALUE"""),"89750")</f>
        <v>89750</v>
      </c>
      <c r="B673" s="69">
        <f ca="1">IFERROR(__xludf.DUMMYFUNCTION("""COMPUTED_VALUE"""),44614)</f>
        <v>44614</v>
      </c>
      <c r="C673" s="69" t="str">
        <f ca="1">IFERROR(__xludf.DUMMYFUNCTION("""COMPUTED_VALUE"""),"Option")</f>
        <v>Option</v>
      </c>
      <c r="D673" s="5" t="str">
        <f ca="1">IFERROR(__xludf.DUMMYFUNCTION("""COMPUTED_VALUE"""),"FUTU220225C00041500")</f>
        <v>FUTU220225C00041500</v>
      </c>
      <c r="E673" s="5" t="str">
        <f ca="1">IFERROR(__xludf.DUMMYFUNCTION("""COMPUTED_VALUE"""),"USD")</f>
        <v>USD</v>
      </c>
      <c r="F673" s="55">
        <f ca="1">IFERROR(__xludf.DUMMYFUNCTION("""COMPUTED_VALUE"""),100)</f>
        <v>100</v>
      </c>
      <c r="G673" s="56">
        <f ca="1">IFERROR(__xludf.DUMMYFUNCTION("""COMPUTED_VALUE"""),7.81827103448275)</f>
        <v>7.8182710344827502</v>
      </c>
      <c r="H673" s="57">
        <f ca="1">IFERROR(__xludf.DUMMYFUNCTION("""COMPUTED_VALUE"""),1.3)</f>
        <v>1.3</v>
      </c>
      <c r="I673" s="57">
        <f ca="1">IFERROR(__xludf.DUMMYFUNCTION("""COMPUTED_VALUE"""),0)</f>
        <v>0</v>
      </c>
      <c r="J673" s="19" t="str">
        <f ca="1">IFERROR(__xludf.DUMMYFUNCTION("""COMPUTED_VALUE"""),"")</f>
        <v/>
      </c>
      <c r="K673" s="19"/>
      <c r="L673" s="19"/>
      <c r="M673" s="19"/>
      <c r="N673" s="19"/>
      <c r="O673" s="59"/>
      <c r="P673" s="7"/>
      <c r="Q673" s="55"/>
      <c r="R673" s="55"/>
      <c r="S673" s="7"/>
      <c r="T673" s="55"/>
      <c r="U673" s="7"/>
      <c r="V673" s="55"/>
      <c r="W673" s="60"/>
      <c r="X673" s="55"/>
    </row>
    <row r="674" spans="1:24" ht="13" x14ac:dyDescent="0.15">
      <c r="A674" s="25" t="str">
        <f ca="1">IFERROR(__xludf.DUMMYFUNCTION("""COMPUTED_VALUE"""),"89750")</f>
        <v>89750</v>
      </c>
      <c r="B674" s="69">
        <f ca="1">IFERROR(__xludf.DUMMYFUNCTION("""COMPUTED_VALUE"""),44614)</f>
        <v>44614</v>
      </c>
      <c r="C674" s="69" t="str">
        <f ca="1">IFERROR(__xludf.DUMMYFUNCTION("""COMPUTED_VALUE"""),"Stock")</f>
        <v>Stock</v>
      </c>
      <c r="D674" s="5" t="str">
        <f ca="1">IFERROR(__xludf.DUMMYFUNCTION("""COMPUTED_VALUE"""),"NU")</f>
        <v>NU</v>
      </c>
      <c r="E674" s="5" t="str">
        <f ca="1">IFERROR(__xludf.DUMMYFUNCTION("""COMPUTED_VALUE"""),"USD")</f>
        <v>USD</v>
      </c>
      <c r="F674" s="55">
        <f ca="1">IFERROR(__xludf.DUMMYFUNCTION("""COMPUTED_VALUE"""),20)</f>
        <v>20</v>
      </c>
      <c r="G674" s="56">
        <f ca="1">IFERROR(__xludf.DUMMYFUNCTION("""COMPUTED_VALUE"""),7.81827103448275)</f>
        <v>7.8182710344827502</v>
      </c>
      <c r="H674" s="57">
        <f ca="1">IFERROR(__xludf.DUMMYFUNCTION("""COMPUTED_VALUE"""),8.8)</f>
        <v>8.8000000000000007</v>
      </c>
      <c r="I674" s="57">
        <f ca="1">IFERROR(__xludf.DUMMYFUNCTION("""COMPUTED_VALUE"""),7.91)</f>
        <v>7.91</v>
      </c>
      <c r="J674" s="70" t="str">
        <f ca="1">IFERROR(__xludf.DUMMYFUNCTION("""COMPUTED_VALUE"""),"Goto link: NU")</f>
        <v>Goto link: NU</v>
      </c>
      <c r="K674" s="19"/>
      <c r="L674" s="19"/>
      <c r="M674" s="19"/>
      <c r="N674" s="19"/>
      <c r="O674" s="59"/>
      <c r="P674" s="7"/>
      <c r="Q674" s="55"/>
      <c r="R674" s="55"/>
      <c r="S674" s="7"/>
      <c r="T674" s="55"/>
      <c r="U674" s="7"/>
      <c r="V674" s="55"/>
      <c r="W674" s="60"/>
      <c r="X674" s="55"/>
    </row>
    <row r="675" spans="1:24" ht="13" x14ac:dyDescent="0.15">
      <c r="A675" s="25" t="str">
        <f ca="1">IFERROR(__xludf.DUMMYFUNCTION("""COMPUTED_VALUE"""),"89750")</f>
        <v>89750</v>
      </c>
      <c r="B675" s="69">
        <f ca="1">IFERROR(__xludf.DUMMYFUNCTION("""COMPUTED_VALUE"""),44614)</f>
        <v>44614</v>
      </c>
      <c r="C675" s="69" t="str">
        <f ca="1">IFERROR(__xludf.DUMMYFUNCTION("""COMPUTED_VALUE"""),"Stock")</f>
        <v>Stock</v>
      </c>
      <c r="D675" s="5" t="str">
        <f ca="1">IFERROR(__xludf.DUMMYFUNCTION("""COMPUTED_VALUE"""),"SOFI")</f>
        <v>SOFI</v>
      </c>
      <c r="E675" s="5" t="str">
        <f ca="1">IFERROR(__xludf.DUMMYFUNCTION("""COMPUTED_VALUE"""),"USD")</f>
        <v>USD</v>
      </c>
      <c r="F675" s="55">
        <f ca="1">IFERROR(__xludf.DUMMYFUNCTION("""COMPUTED_VALUE"""),20)</f>
        <v>20</v>
      </c>
      <c r="G675" s="56">
        <f ca="1">IFERROR(__xludf.DUMMYFUNCTION("""COMPUTED_VALUE"""),7.81827103448275)</f>
        <v>7.8182710344827502</v>
      </c>
      <c r="H675" s="57">
        <f ca="1">IFERROR(__xludf.DUMMYFUNCTION("""COMPUTED_VALUE"""),10.26)</f>
        <v>10.26</v>
      </c>
      <c r="I675" s="57">
        <f ca="1">IFERROR(__xludf.DUMMYFUNCTION("""COMPUTED_VALUE"""),9.37)</f>
        <v>9.3699999999999992</v>
      </c>
      <c r="J675" s="70" t="str">
        <f ca="1">IFERROR(__xludf.DUMMYFUNCTION("""COMPUTED_VALUE"""),"Goto link: SOFI")</f>
        <v>Goto link: SOFI</v>
      </c>
      <c r="K675" s="19"/>
      <c r="L675" s="19"/>
      <c r="M675" s="19"/>
      <c r="N675" s="19"/>
      <c r="O675" s="59"/>
      <c r="P675" s="7"/>
      <c r="Q675" s="55"/>
      <c r="R675" s="55"/>
      <c r="S675" s="7"/>
      <c r="T675" s="55"/>
      <c r="U675" s="7"/>
      <c r="V675" s="55"/>
      <c r="W675" s="60"/>
      <c r="X675" s="55"/>
    </row>
    <row r="676" spans="1:24" ht="13" x14ac:dyDescent="0.15">
      <c r="A676" s="25" t="str">
        <f ca="1">IFERROR(__xludf.DUMMYFUNCTION("""COMPUTED_VALUE"""),"89750")</f>
        <v>89750</v>
      </c>
      <c r="B676" s="69">
        <f ca="1">IFERROR(__xludf.DUMMYFUNCTION("""COMPUTED_VALUE"""),44614)</f>
        <v>44614</v>
      </c>
      <c r="C676" s="69" t="str">
        <f ca="1">IFERROR(__xludf.DUMMYFUNCTION("""COMPUTED_VALUE"""),"Stock")</f>
        <v>Stock</v>
      </c>
      <c r="D676" s="5" t="str">
        <f ca="1">IFERROR(__xludf.DUMMYFUNCTION("""COMPUTED_VALUE"""),"TCEHY")</f>
        <v>TCEHY</v>
      </c>
      <c r="E676" s="5" t="str">
        <f ca="1">IFERROR(__xludf.DUMMYFUNCTION("""COMPUTED_VALUE"""),"USD")</f>
        <v>USD</v>
      </c>
      <c r="F676" s="55">
        <f ca="1">IFERROR(__xludf.DUMMYFUNCTION("""COMPUTED_VALUE"""),400)</f>
        <v>400</v>
      </c>
      <c r="G676" s="56">
        <f ca="1">IFERROR(__xludf.DUMMYFUNCTION("""COMPUTED_VALUE"""),7.81827103448275)</f>
        <v>7.8182710344827502</v>
      </c>
      <c r="H676" s="57">
        <f ca="1">IFERROR(__xludf.DUMMYFUNCTION("""COMPUTED_VALUE"""),56.34)</f>
        <v>56.34</v>
      </c>
      <c r="I676" s="57">
        <f ca="1">IFERROR(__xludf.DUMMYFUNCTION("""COMPUTED_VALUE"""),47.86)</f>
        <v>47.86</v>
      </c>
      <c r="J676" s="70" t="str">
        <f ca="1">IFERROR(__xludf.DUMMYFUNCTION("""COMPUTED_VALUE"""),"Goto link: TCEHY")</f>
        <v>Goto link: TCEHY</v>
      </c>
      <c r="K676" s="19"/>
      <c r="L676" s="19"/>
      <c r="M676" s="19"/>
      <c r="N676" s="19"/>
      <c r="O676" s="59"/>
      <c r="P676" s="7"/>
      <c r="Q676" s="55"/>
      <c r="R676" s="55"/>
      <c r="S676" s="7"/>
      <c r="T676" s="55"/>
      <c r="U676" s="7"/>
      <c r="V676" s="55"/>
      <c r="W676" s="60"/>
      <c r="X676" s="55"/>
    </row>
    <row r="677" spans="1:24" ht="13" x14ac:dyDescent="0.15">
      <c r="A677" s="25" t="str">
        <f ca="1">IFERROR(__xludf.DUMMYFUNCTION("""COMPUTED_VALUE"""),"89750")</f>
        <v>89750</v>
      </c>
      <c r="B677" s="69">
        <f ca="1">IFERROR(__xludf.DUMMYFUNCTION("""COMPUTED_VALUE"""),44614)</f>
        <v>44614</v>
      </c>
      <c r="C677" s="69" t="str">
        <f ca="1">IFERROR(__xludf.DUMMYFUNCTION("""COMPUTED_VALUE"""),"Stock")</f>
        <v>Stock</v>
      </c>
      <c r="D677" s="5" t="str">
        <f ca="1">IFERROR(__xludf.DUMMYFUNCTION("""COMPUTED_VALUE"""),"UVXY")</f>
        <v>UVXY</v>
      </c>
      <c r="E677" s="5" t="str">
        <f ca="1">IFERROR(__xludf.DUMMYFUNCTION("""COMPUTED_VALUE"""),"USD")</f>
        <v>USD</v>
      </c>
      <c r="F677" s="55">
        <f ca="1">IFERROR(__xludf.DUMMYFUNCTION("""COMPUTED_VALUE"""),-50)</f>
        <v>-50</v>
      </c>
      <c r="G677" s="56">
        <f ca="1">IFERROR(__xludf.DUMMYFUNCTION("""COMPUTED_VALUE"""),7.81827103448275)</f>
        <v>7.8182710344827502</v>
      </c>
      <c r="H677" s="57">
        <f ca="1">IFERROR(__xludf.DUMMYFUNCTION("""COMPUTED_VALUE"""),16.82)</f>
        <v>16.82</v>
      </c>
      <c r="I677" s="57">
        <f ca="1">IFERROR(__xludf.DUMMYFUNCTION("""COMPUTED_VALUE"""),14.65)</f>
        <v>14.65</v>
      </c>
      <c r="J677" s="70" t="str">
        <f ca="1">IFERROR(__xludf.DUMMYFUNCTION("""COMPUTED_VALUE"""),"Goto link: UVXY")</f>
        <v>Goto link: UVXY</v>
      </c>
      <c r="K677" s="19"/>
      <c r="L677" s="19"/>
      <c r="M677" s="19"/>
      <c r="N677" s="19"/>
      <c r="O677" s="59"/>
      <c r="P677" s="7"/>
      <c r="Q677" s="55"/>
      <c r="R677" s="55"/>
      <c r="S677" s="7"/>
      <c r="T677" s="55"/>
      <c r="U677" s="7"/>
      <c r="V677" s="55"/>
      <c r="W677" s="60"/>
      <c r="X677" s="55"/>
    </row>
    <row r="678" spans="1:24" ht="13" x14ac:dyDescent="0.15">
      <c r="A678" s="25" t="str">
        <f ca="1">IFERROR(__xludf.DUMMYFUNCTION("""COMPUTED_VALUE"""),"89750")</f>
        <v>89750</v>
      </c>
      <c r="B678" s="69">
        <f ca="1">IFERROR(__xludf.DUMMYFUNCTION("""COMPUTED_VALUE"""),44614)</f>
        <v>44614</v>
      </c>
      <c r="C678" s="69" t="str">
        <f ca="1">IFERROR(__xludf.DUMMYFUNCTION("""COMPUTED_VALUE"""),"Stock")</f>
        <v>Stock</v>
      </c>
      <c r="D678" s="5" t="str">
        <f ca="1">IFERROR(__xludf.DUMMYFUNCTION("""COMPUTED_VALUE"""),"YINN")</f>
        <v>YINN</v>
      </c>
      <c r="E678" s="5" t="str">
        <f ca="1">IFERROR(__xludf.DUMMYFUNCTION("""COMPUTED_VALUE"""),"USD")</f>
        <v>USD</v>
      </c>
      <c r="F678" s="55">
        <f ca="1">IFERROR(__xludf.DUMMYFUNCTION("""COMPUTED_VALUE"""),50)</f>
        <v>50</v>
      </c>
      <c r="G678" s="56">
        <f ca="1">IFERROR(__xludf.DUMMYFUNCTION("""COMPUTED_VALUE"""),7.81827103448275)</f>
        <v>7.8182710344827502</v>
      </c>
      <c r="H678" s="57">
        <f ca="1">IFERROR(__xludf.DUMMYFUNCTION("""COMPUTED_VALUE"""),7.5)</f>
        <v>7.5</v>
      </c>
      <c r="I678" s="57">
        <f ca="1">IFERROR(__xludf.DUMMYFUNCTION("""COMPUTED_VALUE"""),5.09)</f>
        <v>5.09</v>
      </c>
      <c r="J678" s="70" t="str">
        <f ca="1">IFERROR(__xludf.DUMMYFUNCTION("""COMPUTED_VALUE"""),"Goto link: YINN")</f>
        <v>Goto link: YINN</v>
      </c>
      <c r="K678" s="19"/>
      <c r="L678" s="19"/>
      <c r="M678" s="19"/>
      <c r="N678" s="19"/>
      <c r="O678" s="59"/>
      <c r="P678" s="7"/>
      <c r="Q678" s="55"/>
      <c r="R678" s="55"/>
      <c r="S678" s="7"/>
      <c r="T678" s="55"/>
      <c r="U678" s="7"/>
      <c r="V678" s="55"/>
      <c r="W678" s="60"/>
      <c r="X678" s="55"/>
    </row>
    <row r="679" spans="1:24" ht="13" x14ac:dyDescent="0.15">
      <c r="A679" s="25" t="str">
        <f ca="1">IFERROR(__xludf.DUMMYFUNCTION("""COMPUTED_VALUE"""),"89750")</f>
        <v>89750</v>
      </c>
      <c r="B679" s="69">
        <f ca="1">IFERROR(__xludf.DUMMYFUNCTION("""COMPUTED_VALUE"""),44615)</f>
        <v>44615</v>
      </c>
      <c r="C679" s="69" t="str">
        <f ca="1">IFERROR(__xludf.DUMMYFUNCTION("""COMPUTED_VALUE"""),"Option")</f>
        <v>Option</v>
      </c>
      <c r="D679" s="5" t="str">
        <f ca="1">IFERROR(__xludf.DUMMYFUNCTION("""COMPUTED_VALUE"""),"FUTU220225C00041500")</f>
        <v>FUTU220225C00041500</v>
      </c>
      <c r="E679" s="5" t="str">
        <f ca="1">IFERROR(__xludf.DUMMYFUNCTION("""COMPUTED_VALUE"""),"USD")</f>
        <v>USD</v>
      </c>
      <c r="F679" s="55">
        <f ca="1">IFERROR(__xludf.DUMMYFUNCTION("""COMPUTED_VALUE"""),-100)</f>
        <v>-100</v>
      </c>
      <c r="G679" s="56">
        <f ca="1">IFERROR(__xludf.DUMMYFUNCTION("""COMPUTED_VALUE"""),7.81886107142857)</f>
        <v>7.8188610714285698</v>
      </c>
      <c r="H679" s="57">
        <f ca="1">IFERROR(__xludf.DUMMYFUNCTION("""COMPUTED_VALUE"""),0.49)</f>
        <v>0.49</v>
      </c>
      <c r="I679" s="57">
        <f ca="1">IFERROR(__xludf.DUMMYFUNCTION("""COMPUTED_VALUE"""),0)</f>
        <v>0</v>
      </c>
      <c r="J679" s="19" t="str">
        <f ca="1">IFERROR(__xludf.DUMMYFUNCTION("""COMPUTED_VALUE"""),"")</f>
        <v/>
      </c>
      <c r="K679" s="19"/>
      <c r="L679" s="19"/>
      <c r="M679" s="19"/>
      <c r="N679" s="19"/>
      <c r="O679" s="59"/>
      <c r="P679" s="7"/>
      <c r="Q679" s="55"/>
      <c r="R679" s="55"/>
      <c r="S679" s="7"/>
      <c r="T679" s="55"/>
      <c r="U679" s="7"/>
      <c r="V679" s="55"/>
      <c r="W679" s="60"/>
      <c r="X679" s="55"/>
    </row>
    <row r="680" spans="1:24" ht="13" x14ac:dyDescent="0.15">
      <c r="A680" s="25" t="str">
        <f ca="1">IFERROR(__xludf.DUMMYFUNCTION("""COMPUTED_VALUE"""),"89750")</f>
        <v>89750</v>
      </c>
      <c r="B680" s="69">
        <f ca="1">IFERROR(__xludf.DUMMYFUNCTION("""COMPUTED_VALUE"""),44617)</f>
        <v>44617</v>
      </c>
      <c r="C680" s="69" t="str">
        <f ca="1">IFERROR(__xludf.DUMMYFUNCTION("""COMPUTED_VALUE"""),"Option")</f>
        <v>Option</v>
      </c>
      <c r="D680" s="5" t="str">
        <f ca="1">IFERROR(__xludf.DUMMYFUNCTION("""COMPUTED_VALUE"""),"FTCH220318P00017500")</f>
        <v>FTCH220318P00017500</v>
      </c>
      <c r="E680" s="5" t="str">
        <f ca="1">IFERROR(__xludf.DUMMYFUNCTION("""COMPUTED_VALUE"""),"USD")</f>
        <v>USD</v>
      </c>
      <c r="F680" s="55">
        <f ca="1">IFERROR(__xludf.DUMMYFUNCTION("""COMPUTED_VALUE"""),50)</f>
        <v>50</v>
      </c>
      <c r="G680" s="56">
        <f ca="1">IFERROR(__xludf.DUMMYFUNCTION("""COMPUTED_VALUE"""),7.81980423076923)</f>
        <v>7.8198042307692299</v>
      </c>
      <c r="H680" s="57">
        <f ca="1">IFERROR(__xludf.DUMMYFUNCTION("""COMPUTED_VALUE"""),0.6)</f>
        <v>0.6</v>
      </c>
      <c r="I680" s="57">
        <f ca="1">IFERROR(__xludf.DUMMYFUNCTION("""COMPUTED_VALUE"""),0)</f>
        <v>0</v>
      </c>
      <c r="J680" s="19" t="str">
        <f ca="1">IFERROR(__xludf.DUMMYFUNCTION("""COMPUTED_VALUE"""),"")</f>
        <v/>
      </c>
      <c r="K680" s="19"/>
      <c r="L680" s="19"/>
      <c r="M680" s="19"/>
      <c r="N680" s="19"/>
      <c r="O680" s="59"/>
      <c r="P680" s="7"/>
      <c r="Q680" s="55"/>
      <c r="R680" s="55"/>
      <c r="S680" s="7"/>
      <c r="T680" s="55"/>
      <c r="U680" s="7"/>
      <c r="V680" s="55"/>
      <c r="W680" s="60"/>
      <c r="X680" s="55"/>
    </row>
    <row r="681" spans="1:24" ht="13" x14ac:dyDescent="0.15">
      <c r="A681" s="25" t="str">
        <f ca="1">IFERROR(__xludf.DUMMYFUNCTION("""COMPUTED_VALUE"""),"89750")</f>
        <v>89750</v>
      </c>
      <c r="B681" s="69">
        <f ca="1">IFERROR(__xludf.DUMMYFUNCTION("""COMPUTED_VALUE"""),44617)</f>
        <v>44617</v>
      </c>
      <c r="C681" s="69" t="str">
        <f ca="1">IFERROR(__xludf.DUMMYFUNCTION("""COMPUTED_VALUE"""),"Option")</f>
        <v>Option</v>
      </c>
      <c r="D681" s="5" t="str">
        <f ca="1">IFERROR(__xludf.DUMMYFUNCTION("""COMPUTED_VALUE"""),"SPXL220318C00080000")</f>
        <v>SPXL220318C00080000</v>
      </c>
      <c r="E681" s="5" t="str">
        <f ca="1">IFERROR(__xludf.DUMMYFUNCTION("""COMPUTED_VALUE"""),"USD")</f>
        <v>USD</v>
      </c>
      <c r="F681" s="55">
        <f ca="1">IFERROR(__xludf.DUMMYFUNCTION("""COMPUTED_VALUE"""),10)</f>
        <v>10</v>
      </c>
      <c r="G681" s="56">
        <f ca="1">IFERROR(__xludf.DUMMYFUNCTION("""COMPUTED_VALUE"""),7.81980423076923)</f>
        <v>7.8198042307692299</v>
      </c>
      <c r="H681" s="57">
        <f ca="1">IFERROR(__xludf.DUMMYFUNCTION("""COMPUTED_VALUE"""),17.9)</f>
        <v>17.899999999999999</v>
      </c>
      <c r="I681" s="57">
        <f ca="1">IFERROR(__xludf.DUMMYFUNCTION("""COMPUTED_VALUE"""),0)</f>
        <v>0</v>
      </c>
      <c r="J681" s="19" t="str">
        <f ca="1">IFERROR(__xludf.DUMMYFUNCTION("""COMPUTED_VALUE"""),"")</f>
        <v/>
      </c>
      <c r="K681" s="19"/>
      <c r="L681" s="19"/>
      <c r="M681" s="19"/>
      <c r="N681" s="19"/>
      <c r="O681" s="59"/>
      <c r="P681" s="7"/>
      <c r="Q681" s="55"/>
      <c r="R681" s="55"/>
      <c r="S681" s="7"/>
      <c r="T681" s="55"/>
      <c r="U681" s="7"/>
      <c r="V681" s="55"/>
      <c r="W681" s="60"/>
      <c r="X681" s="55"/>
    </row>
    <row r="682" spans="1:24" ht="13" x14ac:dyDescent="0.15">
      <c r="A682" s="25" t="str">
        <f ca="1">IFERROR(__xludf.DUMMYFUNCTION("""COMPUTED_VALUE"""),"89750")</f>
        <v>89750</v>
      </c>
      <c r="B682" s="69">
        <f ca="1">IFERROR(__xludf.DUMMYFUNCTION("""COMPUTED_VALUE"""),44617)</f>
        <v>44617</v>
      </c>
      <c r="C682" s="69" t="str">
        <f ca="1">IFERROR(__xludf.DUMMYFUNCTION("""COMPUTED_VALUE"""),"Stock")</f>
        <v>Stock</v>
      </c>
      <c r="D682" s="71" t="str">
        <f ca="1">IFERROR(__xludf.DUMMYFUNCTION("""COMPUTED_VALUE"""),"6969.HK")</f>
        <v>6969.HK</v>
      </c>
      <c r="E682" s="5" t="str">
        <f ca="1">IFERROR(__xludf.DUMMYFUNCTION("""COMPUTED_VALUE"""),"HKD")</f>
        <v>HKD</v>
      </c>
      <c r="F682" s="55">
        <f ca="1">IFERROR(__xludf.DUMMYFUNCTION("""COMPUTED_VALUE"""),2000)</f>
        <v>2000</v>
      </c>
      <c r="G682" s="56">
        <f ca="1">IFERROR(__xludf.DUMMYFUNCTION("""COMPUTED_VALUE"""),1)</f>
        <v>1</v>
      </c>
      <c r="H682" s="57">
        <f ca="1">IFERROR(__xludf.DUMMYFUNCTION("""COMPUTED_VALUE"""),28.95)</f>
        <v>28.95</v>
      </c>
      <c r="I682" s="57">
        <f ca="1">IFERROR(__xludf.DUMMYFUNCTION("""COMPUTED_VALUE"""),20.9)</f>
        <v>20.9</v>
      </c>
      <c r="J682" s="70" t="str">
        <f ca="1">IFERROR(__xludf.DUMMYFUNCTION("""COMPUTED_VALUE"""),"Goto link: 6969.HK")</f>
        <v>Goto link: 6969.HK</v>
      </c>
      <c r="K682" s="19"/>
      <c r="L682" s="19"/>
      <c r="M682" s="19"/>
      <c r="N682" s="19"/>
      <c r="O682" s="59"/>
      <c r="P682" s="7"/>
      <c r="Q682" s="55"/>
      <c r="R682" s="55"/>
      <c r="S682" s="7"/>
      <c r="T682" s="55"/>
      <c r="U682" s="7"/>
      <c r="V682" s="55"/>
      <c r="W682" s="60"/>
      <c r="X682" s="55"/>
    </row>
    <row r="683" spans="1:24" ht="13" x14ac:dyDescent="0.15">
      <c r="A683" s="25" t="str">
        <f ca="1">IFERROR(__xludf.DUMMYFUNCTION("""COMPUTED_VALUE"""),"89750")</f>
        <v>89750</v>
      </c>
      <c r="B683" s="69">
        <f ca="1">IFERROR(__xludf.DUMMYFUNCTION("""COMPUTED_VALUE"""),44617)</f>
        <v>44617</v>
      </c>
      <c r="C683" s="69" t="str">
        <f ca="1">IFERROR(__xludf.DUMMYFUNCTION("""COMPUTED_VALUE"""),"Stock")</f>
        <v>Stock</v>
      </c>
      <c r="D683" s="71" t="str">
        <f ca="1">IFERROR(__xludf.DUMMYFUNCTION("""COMPUTED_VALUE"""),"9698.HK")</f>
        <v>9698.HK</v>
      </c>
      <c r="E683" s="5" t="str">
        <f ca="1">IFERROR(__xludf.DUMMYFUNCTION("""COMPUTED_VALUE"""),"HKD")</f>
        <v>HKD</v>
      </c>
      <c r="F683" s="55">
        <f ca="1">IFERROR(__xludf.DUMMYFUNCTION("""COMPUTED_VALUE"""),-2000)</f>
        <v>-2000</v>
      </c>
      <c r="G683" s="56">
        <f ca="1">IFERROR(__xludf.DUMMYFUNCTION("""COMPUTED_VALUE"""),1)</f>
        <v>1</v>
      </c>
      <c r="H683" s="57">
        <f ca="1">IFERROR(__xludf.DUMMYFUNCTION("""COMPUTED_VALUE"""),42.55)</f>
        <v>42.55</v>
      </c>
      <c r="I683" s="57">
        <f ca="1">IFERROR(__xludf.DUMMYFUNCTION("""COMPUTED_VALUE"""),40.2)</f>
        <v>40.200000000000003</v>
      </c>
      <c r="J683" s="70" t="str">
        <f ca="1">IFERROR(__xludf.DUMMYFUNCTION("""COMPUTED_VALUE"""),"Goto link: 9698.HK")</f>
        <v>Goto link: 9698.HK</v>
      </c>
      <c r="K683" s="19"/>
      <c r="L683" s="19"/>
      <c r="M683" s="19"/>
      <c r="N683" s="19"/>
      <c r="O683" s="59"/>
      <c r="P683" s="7"/>
      <c r="Q683" s="55"/>
      <c r="R683" s="55"/>
      <c r="S683" s="7"/>
      <c r="T683" s="55"/>
      <c r="U683" s="7"/>
      <c r="V683" s="55"/>
      <c r="W683" s="60"/>
      <c r="X683" s="55"/>
    </row>
    <row r="684" spans="1:24" ht="13" x14ac:dyDescent="0.15">
      <c r="A684" s="25" t="str">
        <f ca="1">IFERROR(__xludf.DUMMYFUNCTION("""COMPUTED_VALUE"""),"89750")</f>
        <v>89750</v>
      </c>
      <c r="B684" s="69">
        <f ca="1">IFERROR(__xludf.DUMMYFUNCTION("""COMPUTED_VALUE"""),44617)</f>
        <v>44617</v>
      </c>
      <c r="C684" s="69" t="str">
        <f ca="1">IFERROR(__xludf.DUMMYFUNCTION("""COMPUTED_VALUE"""),"Stock")</f>
        <v>Stock</v>
      </c>
      <c r="D684" s="5" t="str">
        <f ca="1">IFERROR(__xludf.DUMMYFUNCTION("""COMPUTED_VALUE"""),"NU")</f>
        <v>NU</v>
      </c>
      <c r="E684" s="5" t="str">
        <f ca="1">IFERROR(__xludf.DUMMYFUNCTION("""COMPUTED_VALUE"""),"USD")</f>
        <v>USD</v>
      </c>
      <c r="F684" s="55">
        <f ca="1">IFERROR(__xludf.DUMMYFUNCTION("""COMPUTED_VALUE"""),70)</f>
        <v>70</v>
      </c>
      <c r="G684" s="56">
        <f ca="1">IFERROR(__xludf.DUMMYFUNCTION("""COMPUTED_VALUE"""),7.81980423076923)</f>
        <v>7.8198042307692299</v>
      </c>
      <c r="H684" s="57">
        <f ca="1">IFERROR(__xludf.DUMMYFUNCTION("""COMPUTED_VALUE"""),7.78)</f>
        <v>7.78</v>
      </c>
      <c r="I684" s="57">
        <f ca="1">IFERROR(__xludf.DUMMYFUNCTION("""COMPUTED_VALUE"""),7.91)</f>
        <v>7.91</v>
      </c>
      <c r="J684" s="70" t="str">
        <f ca="1">IFERROR(__xludf.DUMMYFUNCTION("""COMPUTED_VALUE"""),"Goto link: NU")</f>
        <v>Goto link: NU</v>
      </c>
      <c r="K684" s="19"/>
      <c r="L684" s="19"/>
      <c r="M684" s="19"/>
      <c r="N684" s="19"/>
      <c r="O684" s="59"/>
      <c r="P684" s="7"/>
      <c r="Q684" s="55"/>
      <c r="R684" s="55"/>
      <c r="S684" s="7"/>
      <c r="T684" s="55"/>
      <c r="U684" s="7"/>
      <c r="V684" s="55"/>
      <c r="W684" s="60"/>
      <c r="X684" s="55"/>
    </row>
    <row r="685" spans="1:24" ht="13" x14ac:dyDescent="0.15">
      <c r="A685" s="25" t="str">
        <f ca="1">IFERROR(__xludf.DUMMYFUNCTION("""COMPUTED_VALUE"""),"89750")</f>
        <v>89750</v>
      </c>
      <c r="B685" s="69">
        <f ca="1">IFERROR(__xludf.DUMMYFUNCTION("""COMPUTED_VALUE"""),44617)</f>
        <v>44617</v>
      </c>
      <c r="C685" s="69" t="str">
        <f ca="1">IFERROR(__xludf.DUMMYFUNCTION("""COMPUTED_VALUE"""),"Stock")</f>
        <v>Stock</v>
      </c>
      <c r="D685" s="5" t="str">
        <f ca="1">IFERROR(__xludf.DUMMYFUNCTION("""COMPUTED_VALUE"""),"SOFI")</f>
        <v>SOFI</v>
      </c>
      <c r="E685" s="5" t="str">
        <f ca="1">IFERROR(__xludf.DUMMYFUNCTION("""COMPUTED_VALUE"""),"USD")</f>
        <v>USD</v>
      </c>
      <c r="F685" s="55">
        <f ca="1">IFERROR(__xludf.DUMMYFUNCTION("""COMPUTED_VALUE"""),30)</f>
        <v>30</v>
      </c>
      <c r="G685" s="56">
        <f ca="1">IFERROR(__xludf.DUMMYFUNCTION("""COMPUTED_VALUE"""),7.81980423076923)</f>
        <v>7.8198042307692299</v>
      </c>
      <c r="H685" s="57">
        <f ca="1">IFERROR(__xludf.DUMMYFUNCTION("""COMPUTED_VALUE"""),10.67)</f>
        <v>10.67</v>
      </c>
      <c r="I685" s="57">
        <f ca="1">IFERROR(__xludf.DUMMYFUNCTION("""COMPUTED_VALUE"""),9.37)</f>
        <v>9.3699999999999992</v>
      </c>
      <c r="J685" s="70" t="str">
        <f ca="1">IFERROR(__xludf.DUMMYFUNCTION("""COMPUTED_VALUE"""),"Goto link: SOFI")</f>
        <v>Goto link: SOFI</v>
      </c>
      <c r="K685" s="19"/>
      <c r="L685" s="19"/>
      <c r="M685" s="19"/>
      <c r="N685" s="19"/>
      <c r="O685" s="59"/>
      <c r="P685" s="7"/>
      <c r="Q685" s="55"/>
      <c r="R685" s="55"/>
      <c r="S685" s="7"/>
      <c r="T685" s="55"/>
      <c r="U685" s="7"/>
      <c r="V685" s="55"/>
      <c r="W685" s="60"/>
      <c r="X685" s="55"/>
    </row>
    <row r="686" spans="1:24" ht="13" x14ac:dyDescent="0.15">
      <c r="A686" s="25" t="str">
        <f ca="1">IFERROR(__xludf.DUMMYFUNCTION("""COMPUTED_VALUE"""),"89750")</f>
        <v>89750</v>
      </c>
      <c r="B686" s="69">
        <f ca="1">IFERROR(__xludf.DUMMYFUNCTION("""COMPUTED_VALUE"""),44617)</f>
        <v>44617</v>
      </c>
      <c r="C686" s="69" t="str">
        <f ca="1">IFERROR(__xludf.DUMMYFUNCTION("""COMPUTED_VALUE"""),"Stock")</f>
        <v>Stock</v>
      </c>
      <c r="D686" s="5" t="str">
        <f ca="1">IFERROR(__xludf.DUMMYFUNCTION("""COMPUTED_VALUE"""),"YINN")</f>
        <v>YINN</v>
      </c>
      <c r="E686" s="5" t="str">
        <f ca="1">IFERROR(__xludf.DUMMYFUNCTION("""COMPUTED_VALUE"""),"USD")</f>
        <v>USD</v>
      </c>
      <c r="F686" s="55">
        <f ca="1">IFERROR(__xludf.DUMMYFUNCTION("""COMPUTED_VALUE"""),50)</f>
        <v>50</v>
      </c>
      <c r="G686" s="56">
        <f ca="1">IFERROR(__xludf.DUMMYFUNCTION("""COMPUTED_VALUE"""),7.81980423076923)</f>
        <v>7.8198042307692299</v>
      </c>
      <c r="H686" s="57">
        <f ca="1">IFERROR(__xludf.DUMMYFUNCTION("""COMPUTED_VALUE"""),7.16)</f>
        <v>7.16</v>
      </c>
      <c r="I686" s="57">
        <f ca="1">IFERROR(__xludf.DUMMYFUNCTION("""COMPUTED_VALUE"""),5.09)</f>
        <v>5.09</v>
      </c>
      <c r="J686" s="70" t="str">
        <f ca="1">IFERROR(__xludf.DUMMYFUNCTION("""COMPUTED_VALUE"""),"Goto link: YINN")</f>
        <v>Goto link: YINN</v>
      </c>
      <c r="K686" s="19"/>
      <c r="L686" s="19"/>
      <c r="M686" s="19"/>
      <c r="N686" s="19"/>
      <c r="O686" s="59"/>
      <c r="P686" s="7"/>
      <c r="Q686" s="55"/>
      <c r="R686" s="55"/>
      <c r="S686" s="7"/>
      <c r="T686" s="55"/>
      <c r="U686" s="7"/>
      <c r="V686" s="55"/>
      <c r="W686" s="60"/>
      <c r="X686" s="55"/>
    </row>
    <row r="687" spans="1:24" ht="13" x14ac:dyDescent="0.15">
      <c r="A687" s="25" t="str">
        <f ca="1">IFERROR(__xludf.DUMMYFUNCTION("""COMPUTED_VALUE"""),"89750")</f>
        <v>89750</v>
      </c>
      <c r="B687" s="69">
        <f ca="1">IFERROR(__xludf.DUMMYFUNCTION("""COMPUTED_VALUE"""),44620)</f>
        <v>44620</v>
      </c>
      <c r="C687" s="69" t="str">
        <f ca="1">IFERROR(__xludf.DUMMYFUNCTION("""COMPUTED_VALUE"""),"Option")</f>
        <v>Option</v>
      </c>
      <c r="D687" s="5" t="str">
        <f ca="1">IFERROR(__xludf.DUMMYFUNCTION("""COMPUTED_VALUE"""),"FTCH220318P00017500")</f>
        <v>FTCH220318P00017500</v>
      </c>
      <c r="E687" s="5" t="str">
        <f ca="1">IFERROR(__xludf.DUMMYFUNCTION("""COMPUTED_VALUE"""),"USD")</f>
        <v>USD</v>
      </c>
      <c r="F687" s="55">
        <f ca="1">IFERROR(__xludf.DUMMYFUNCTION("""COMPUTED_VALUE"""),50)</f>
        <v>50</v>
      </c>
      <c r="G687" s="56">
        <f ca="1">IFERROR(__xludf.DUMMYFUNCTION("""COMPUTED_VALUE"""),7.82129434782608)</f>
        <v>7.8212943478260799</v>
      </c>
      <c r="H687" s="57">
        <f ca="1">IFERROR(__xludf.DUMMYFUNCTION("""COMPUTED_VALUE"""),1.03)</f>
        <v>1.03</v>
      </c>
      <c r="I687" s="57">
        <f ca="1">IFERROR(__xludf.DUMMYFUNCTION("""COMPUTED_VALUE"""),0)</f>
        <v>0</v>
      </c>
      <c r="J687" s="19" t="str">
        <f ca="1">IFERROR(__xludf.DUMMYFUNCTION("""COMPUTED_VALUE"""),"")</f>
        <v/>
      </c>
      <c r="K687" s="19"/>
      <c r="L687" s="19"/>
      <c r="M687" s="19"/>
      <c r="N687" s="19"/>
      <c r="O687" s="59"/>
      <c r="P687" s="7"/>
      <c r="Q687" s="55"/>
      <c r="R687" s="55"/>
      <c r="S687" s="7"/>
      <c r="T687" s="55"/>
      <c r="U687" s="7"/>
      <c r="V687" s="55"/>
      <c r="W687" s="60"/>
      <c r="X687" s="55"/>
    </row>
    <row r="688" spans="1:24" ht="13" x14ac:dyDescent="0.15">
      <c r="A688" s="25" t="str">
        <f ca="1">IFERROR(__xludf.DUMMYFUNCTION("""COMPUTED_VALUE"""),"89750")</f>
        <v>89750</v>
      </c>
      <c r="B688" s="69">
        <f ca="1">IFERROR(__xludf.DUMMYFUNCTION("""COMPUTED_VALUE"""),44620)</f>
        <v>44620</v>
      </c>
      <c r="C688" s="69" t="str">
        <f ca="1">IFERROR(__xludf.DUMMYFUNCTION("""COMPUTED_VALUE"""),"Option")</f>
        <v>Option</v>
      </c>
      <c r="D688" s="5" t="str">
        <f ca="1">IFERROR(__xludf.DUMMYFUNCTION("""COMPUTED_VALUE"""),"SPXL220318C00080000")</f>
        <v>SPXL220318C00080000</v>
      </c>
      <c r="E688" s="5" t="str">
        <f ca="1">IFERROR(__xludf.DUMMYFUNCTION("""COMPUTED_VALUE"""),"USD")</f>
        <v>USD</v>
      </c>
      <c r="F688" s="55">
        <f ca="1">IFERROR(__xludf.DUMMYFUNCTION("""COMPUTED_VALUE"""),-2)</f>
        <v>-2</v>
      </c>
      <c r="G688" s="56">
        <f ca="1">IFERROR(__xludf.DUMMYFUNCTION("""COMPUTED_VALUE"""),7.82129434782608)</f>
        <v>7.8212943478260799</v>
      </c>
      <c r="H688" s="57">
        <f ca="1">IFERROR(__xludf.DUMMYFUNCTION("""COMPUTED_VALUE"""),17.9)</f>
        <v>17.899999999999999</v>
      </c>
      <c r="I688" s="57">
        <f ca="1">IFERROR(__xludf.DUMMYFUNCTION("""COMPUTED_VALUE"""),0)</f>
        <v>0</v>
      </c>
      <c r="J688" s="19" t="str">
        <f ca="1">IFERROR(__xludf.DUMMYFUNCTION("""COMPUTED_VALUE"""),"")</f>
        <v/>
      </c>
      <c r="K688" s="19"/>
      <c r="L688" s="19"/>
      <c r="M688" s="19"/>
      <c r="N688" s="19"/>
      <c r="O688" s="59"/>
      <c r="P688" s="7"/>
      <c r="Q688" s="55"/>
      <c r="R688" s="55"/>
      <c r="S688" s="7"/>
      <c r="T688" s="55"/>
      <c r="U688" s="7"/>
      <c r="V688" s="55"/>
      <c r="W688" s="60"/>
      <c r="X688" s="55"/>
    </row>
    <row r="689" spans="1:24" ht="13" x14ac:dyDescent="0.15">
      <c r="A689" s="25" t="str">
        <f ca="1">IFERROR(__xludf.DUMMYFUNCTION("""COMPUTED_VALUE"""),"89750")</f>
        <v>89750</v>
      </c>
      <c r="B689" s="69">
        <f ca="1">IFERROR(__xludf.DUMMYFUNCTION("""COMPUTED_VALUE"""),44620)</f>
        <v>44620</v>
      </c>
      <c r="C689" s="69" t="str">
        <f ca="1">IFERROR(__xludf.DUMMYFUNCTION("""COMPUTED_VALUE"""),"Stock")</f>
        <v>Stock</v>
      </c>
      <c r="D689" s="5" t="str">
        <f ca="1">IFERROR(__xludf.DUMMYFUNCTION("""COMPUTED_VALUE"""),"SBRCY")</f>
        <v>SBRCY</v>
      </c>
      <c r="E689" s="5" t="str">
        <f ca="1">IFERROR(__xludf.DUMMYFUNCTION("""COMPUTED_VALUE"""),"USD")</f>
        <v>USD</v>
      </c>
      <c r="F689" s="55">
        <f ca="1">IFERROR(__xludf.DUMMYFUNCTION("""COMPUTED_VALUE"""),5000)</f>
        <v>5000</v>
      </c>
      <c r="G689" s="56">
        <f ca="1">IFERROR(__xludf.DUMMYFUNCTION("""COMPUTED_VALUE"""),7.82129434782608)</f>
        <v>7.8212943478260799</v>
      </c>
      <c r="H689" s="57">
        <f ca="1">IFERROR(__xludf.DUMMYFUNCTION("""COMPUTED_VALUE"""),1.25)</f>
        <v>1.25</v>
      </c>
      <c r="I689" s="57">
        <f ca="1">IFERROR(__xludf.DUMMYFUNCTION("""COMPUTED_VALUE"""),0.52)</f>
        <v>0.52</v>
      </c>
      <c r="J689" s="70" t="str">
        <f ca="1">IFERROR(__xludf.DUMMYFUNCTION("""COMPUTED_VALUE"""),"Goto link: SBRCY")</f>
        <v>Goto link: SBRCY</v>
      </c>
      <c r="K689" s="19"/>
      <c r="L689" s="19"/>
      <c r="M689" s="19"/>
      <c r="N689" s="19"/>
      <c r="O689" s="59"/>
      <c r="P689" s="7"/>
      <c r="Q689" s="55"/>
      <c r="R689" s="55"/>
      <c r="S689" s="7"/>
      <c r="T689" s="55"/>
      <c r="U689" s="7"/>
      <c r="V689" s="55"/>
      <c r="W689" s="60"/>
      <c r="X689" s="55"/>
    </row>
    <row r="690" spans="1:24" ht="13" x14ac:dyDescent="0.15">
      <c r="A690" s="25" t="str">
        <f ca="1">IFERROR(__xludf.DUMMYFUNCTION("""COMPUTED_VALUE"""),"89750")</f>
        <v>89750</v>
      </c>
      <c r="B690" s="69">
        <f ca="1">IFERROR(__xludf.DUMMYFUNCTION("""COMPUTED_VALUE"""),44620)</f>
        <v>44620</v>
      </c>
      <c r="C690" s="69" t="str">
        <f ca="1">IFERROR(__xludf.DUMMYFUNCTION("""COMPUTED_VALUE"""),"Stock")</f>
        <v>Stock</v>
      </c>
      <c r="D690" s="5" t="str">
        <f ca="1">IFERROR(__xludf.DUMMYFUNCTION("""COMPUTED_VALUE"""),"SOXL")</f>
        <v>SOXL</v>
      </c>
      <c r="E690" s="5" t="str">
        <f ca="1">IFERROR(__xludf.DUMMYFUNCTION("""COMPUTED_VALUE"""),"USD")</f>
        <v>USD</v>
      </c>
      <c r="F690" s="55">
        <f ca="1">IFERROR(__xludf.DUMMYFUNCTION("""COMPUTED_VALUE"""),-20)</f>
        <v>-20</v>
      </c>
      <c r="G690" s="56">
        <f ca="1">IFERROR(__xludf.DUMMYFUNCTION("""COMPUTED_VALUE"""),7.82129434782608)</f>
        <v>7.8212943478260799</v>
      </c>
      <c r="H690" s="57">
        <f ca="1">IFERROR(__xludf.DUMMYFUNCTION("""COMPUTED_VALUE"""),41.01)</f>
        <v>41.01</v>
      </c>
      <c r="I690" s="57">
        <f ca="1">IFERROR(__xludf.DUMMYFUNCTION("""COMPUTED_VALUE"""),36.69)</f>
        <v>36.69</v>
      </c>
      <c r="J690" s="70" t="str">
        <f ca="1">IFERROR(__xludf.DUMMYFUNCTION("""COMPUTED_VALUE"""),"Goto link: SOXL")</f>
        <v>Goto link: SOXL</v>
      </c>
      <c r="K690" s="19"/>
      <c r="L690" s="19"/>
      <c r="M690" s="19"/>
      <c r="N690" s="19"/>
      <c r="O690" s="59"/>
      <c r="P690" s="7"/>
      <c r="Q690" s="55"/>
      <c r="R690" s="55"/>
      <c r="S690" s="7"/>
      <c r="T690" s="55"/>
      <c r="U690" s="7"/>
      <c r="V690" s="55"/>
      <c r="W690" s="60"/>
      <c r="X690" s="55"/>
    </row>
    <row r="691" spans="1:24" ht="13" x14ac:dyDescent="0.15">
      <c r="A691" s="25" t="str">
        <f ca="1">IFERROR(__xludf.DUMMYFUNCTION("""COMPUTED_VALUE"""),"89750")</f>
        <v>89750</v>
      </c>
      <c r="B691" s="69">
        <f ca="1">IFERROR(__xludf.DUMMYFUNCTION("""COMPUTED_VALUE"""),44621)</f>
        <v>44621</v>
      </c>
      <c r="C691" s="69" t="str">
        <f ca="1">IFERROR(__xludf.DUMMYFUNCTION("""COMPUTED_VALUE"""),"Option")</f>
        <v>Option</v>
      </c>
      <c r="D691" s="5" t="str">
        <f ca="1">IFERROR(__xludf.DUMMYFUNCTION("""COMPUTED_VALUE"""),"FTCH220318P00017500")</f>
        <v>FTCH220318P00017500</v>
      </c>
      <c r="E691" s="5" t="str">
        <f ca="1">IFERROR(__xludf.DUMMYFUNCTION("""COMPUTED_VALUE"""),"USD")</f>
        <v>USD</v>
      </c>
      <c r="F691" s="55">
        <f ca="1">IFERROR(__xludf.DUMMYFUNCTION("""COMPUTED_VALUE"""),-100)</f>
        <v>-100</v>
      </c>
      <c r="G691" s="56">
        <f ca="1">IFERROR(__xludf.DUMMYFUNCTION("""COMPUTED_VALUE"""),7.8216509090909)</f>
        <v>7.8216509090909003</v>
      </c>
      <c r="H691" s="57">
        <f ca="1">IFERROR(__xludf.DUMMYFUNCTION("""COMPUTED_VALUE"""),1.75)</f>
        <v>1.75</v>
      </c>
      <c r="I691" s="57">
        <f ca="1">IFERROR(__xludf.DUMMYFUNCTION("""COMPUTED_VALUE"""),0)</f>
        <v>0</v>
      </c>
      <c r="J691" s="19" t="str">
        <f ca="1">IFERROR(__xludf.DUMMYFUNCTION("""COMPUTED_VALUE"""),"")</f>
        <v/>
      </c>
      <c r="K691" s="19"/>
      <c r="L691" s="19"/>
      <c r="M691" s="19"/>
      <c r="N691" s="19"/>
      <c r="O691" s="59"/>
      <c r="P691" s="7"/>
      <c r="Q691" s="55"/>
      <c r="R691" s="55"/>
      <c r="S691" s="7"/>
      <c r="T691" s="55"/>
      <c r="U691" s="7"/>
      <c r="V691" s="55"/>
      <c r="W691" s="60"/>
      <c r="X691" s="55"/>
    </row>
    <row r="692" spans="1:24" ht="13" x14ac:dyDescent="0.15">
      <c r="A692" s="25" t="str">
        <f ca="1">IFERROR(__xludf.DUMMYFUNCTION("""COMPUTED_VALUE"""),"89750")</f>
        <v>89750</v>
      </c>
      <c r="B692" s="69">
        <f ca="1">IFERROR(__xludf.DUMMYFUNCTION("""COMPUTED_VALUE"""),44621)</f>
        <v>44621</v>
      </c>
      <c r="C692" s="69" t="str">
        <f ca="1">IFERROR(__xludf.DUMMYFUNCTION("""COMPUTED_VALUE"""),"Option")</f>
        <v>Option</v>
      </c>
      <c r="D692" s="5" t="str">
        <f ca="1">IFERROR(__xludf.DUMMYFUNCTION("""COMPUTED_VALUE"""),"SPXL220318C00080000")</f>
        <v>SPXL220318C00080000</v>
      </c>
      <c r="E692" s="5" t="str">
        <f ca="1">IFERROR(__xludf.DUMMYFUNCTION("""COMPUTED_VALUE"""),"USD")</f>
        <v>USD</v>
      </c>
      <c r="F692" s="55">
        <f ca="1">IFERROR(__xludf.DUMMYFUNCTION("""COMPUTED_VALUE"""),-6)</f>
        <v>-6</v>
      </c>
      <c r="G692" s="56">
        <f ca="1">IFERROR(__xludf.DUMMYFUNCTION("""COMPUTED_VALUE"""),7.8216509090909)</f>
        <v>7.8216509090909003</v>
      </c>
      <c r="H692" s="57">
        <f ca="1">IFERROR(__xludf.DUMMYFUNCTION("""COMPUTED_VALUE"""),17.9)</f>
        <v>17.899999999999999</v>
      </c>
      <c r="I692" s="57">
        <f ca="1">IFERROR(__xludf.DUMMYFUNCTION("""COMPUTED_VALUE"""),0)</f>
        <v>0</v>
      </c>
      <c r="J692" s="19" t="str">
        <f ca="1">IFERROR(__xludf.DUMMYFUNCTION("""COMPUTED_VALUE"""),"")</f>
        <v/>
      </c>
      <c r="K692" s="19"/>
      <c r="L692" s="19"/>
      <c r="M692" s="19"/>
      <c r="N692" s="19"/>
      <c r="O692" s="59"/>
      <c r="P692" s="7"/>
      <c r="Q692" s="55"/>
      <c r="R692" s="55"/>
      <c r="S692" s="7"/>
      <c r="T692" s="55"/>
      <c r="U692" s="7"/>
      <c r="V692" s="55"/>
      <c r="W692" s="60"/>
      <c r="X692" s="55"/>
    </row>
    <row r="693" spans="1:24" ht="13" x14ac:dyDescent="0.15">
      <c r="A693" s="25" t="str">
        <f ca="1">IFERROR(__xludf.DUMMYFUNCTION("""COMPUTED_VALUE"""),"89750")</f>
        <v>89750</v>
      </c>
      <c r="B693" s="69">
        <f ca="1">IFERROR(__xludf.DUMMYFUNCTION("""COMPUTED_VALUE"""),44621)</f>
        <v>44621</v>
      </c>
      <c r="C693" s="69" t="str">
        <f ca="1">IFERROR(__xludf.DUMMYFUNCTION("""COMPUTED_VALUE"""),"Stock")</f>
        <v>Stock</v>
      </c>
      <c r="D693" s="5" t="str">
        <f ca="1">IFERROR(__xludf.DUMMYFUNCTION("""COMPUTED_VALUE"""),"NU")</f>
        <v>NU</v>
      </c>
      <c r="E693" s="5" t="str">
        <f ca="1">IFERROR(__xludf.DUMMYFUNCTION("""COMPUTED_VALUE"""),"USD")</f>
        <v>USD</v>
      </c>
      <c r="F693" s="55">
        <f ca="1">IFERROR(__xludf.DUMMYFUNCTION("""COMPUTED_VALUE"""),-90)</f>
        <v>-90</v>
      </c>
      <c r="G693" s="56">
        <f ca="1">IFERROR(__xludf.DUMMYFUNCTION("""COMPUTED_VALUE"""),7.8216509090909)</f>
        <v>7.8216509090909003</v>
      </c>
      <c r="H693" s="57">
        <f ca="1">IFERROR(__xludf.DUMMYFUNCTION("""COMPUTED_VALUE"""),7.92)</f>
        <v>7.92</v>
      </c>
      <c r="I693" s="57">
        <f ca="1">IFERROR(__xludf.DUMMYFUNCTION("""COMPUTED_VALUE"""),7.91)</f>
        <v>7.91</v>
      </c>
      <c r="J693" s="70" t="str">
        <f ca="1">IFERROR(__xludf.DUMMYFUNCTION("""COMPUTED_VALUE"""),"Goto link: NU")</f>
        <v>Goto link: NU</v>
      </c>
      <c r="K693" s="19"/>
      <c r="L693" s="19"/>
      <c r="M693" s="19"/>
      <c r="N693" s="19"/>
      <c r="O693" s="59"/>
      <c r="P693" s="7"/>
      <c r="Q693" s="55"/>
      <c r="R693" s="55"/>
      <c r="S693" s="7"/>
      <c r="T693" s="55"/>
      <c r="U693" s="7"/>
      <c r="V693" s="55"/>
      <c r="W693" s="60"/>
      <c r="X693" s="55"/>
    </row>
    <row r="694" spans="1:24" ht="13" x14ac:dyDescent="0.15">
      <c r="A694" s="25" t="str">
        <f ca="1">IFERROR(__xludf.DUMMYFUNCTION("""COMPUTED_VALUE"""),"89750")</f>
        <v>89750</v>
      </c>
      <c r="B694" s="69">
        <f ca="1">IFERROR(__xludf.DUMMYFUNCTION("""COMPUTED_VALUE"""),44621)</f>
        <v>44621</v>
      </c>
      <c r="C694" s="69" t="str">
        <f ca="1">IFERROR(__xludf.DUMMYFUNCTION("""COMPUTED_VALUE"""),"Stock")</f>
        <v>Stock</v>
      </c>
      <c r="D694" s="5" t="str">
        <f ca="1">IFERROR(__xludf.DUMMYFUNCTION("""COMPUTED_VALUE"""),"SOFI")</f>
        <v>SOFI</v>
      </c>
      <c r="E694" s="5" t="str">
        <f ca="1">IFERROR(__xludf.DUMMYFUNCTION("""COMPUTED_VALUE"""),"USD")</f>
        <v>USD</v>
      </c>
      <c r="F694" s="55">
        <f ca="1">IFERROR(__xludf.DUMMYFUNCTION("""COMPUTED_VALUE"""),-100)</f>
        <v>-100</v>
      </c>
      <c r="G694" s="56">
        <f ca="1">IFERROR(__xludf.DUMMYFUNCTION("""COMPUTED_VALUE"""),7.8216509090909)</f>
        <v>7.8216509090909003</v>
      </c>
      <c r="H694" s="57">
        <f ca="1">IFERROR(__xludf.DUMMYFUNCTION("""COMPUTED_VALUE"""),11.2)</f>
        <v>11.2</v>
      </c>
      <c r="I694" s="57">
        <f ca="1">IFERROR(__xludf.DUMMYFUNCTION("""COMPUTED_VALUE"""),9.37)</f>
        <v>9.3699999999999992</v>
      </c>
      <c r="J694" s="70" t="str">
        <f ca="1">IFERROR(__xludf.DUMMYFUNCTION("""COMPUTED_VALUE"""),"Goto link: SOFI")</f>
        <v>Goto link: SOFI</v>
      </c>
      <c r="K694" s="19"/>
      <c r="L694" s="19"/>
      <c r="M694" s="19"/>
      <c r="N694" s="19"/>
      <c r="O694" s="59"/>
      <c r="P694" s="7"/>
      <c r="Q694" s="55"/>
      <c r="R694" s="55"/>
      <c r="S694" s="7"/>
      <c r="T694" s="55"/>
      <c r="U694" s="7"/>
      <c r="V694" s="55"/>
      <c r="W694" s="60"/>
      <c r="X694" s="55"/>
    </row>
    <row r="695" spans="1:24" ht="13" x14ac:dyDescent="0.15">
      <c r="A695" s="25" t="str">
        <f ca="1">IFERROR(__xludf.DUMMYFUNCTION("""COMPUTED_VALUE"""),"89750")</f>
        <v>89750</v>
      </c>
      <c r="B695" s="69">
        <f ca="1">IFERROR(__xludf.DUMMYFUNCTION("""COMPUTED_VALUE"""),44621)</f>
        <v>44621</v>
      </c>
      <c r="C695" s="69" t="str">
        <f ca="1">IFERROR(__xludf.DUMMYFUNCTION("""COMPUTED_VALUE"""),"Stock")</f>
        <v>Stock</v>
      </c>
      <c r="D695" s="5" t="str">
        <f ca="1">IFERROR(__xludf.DUMMYFUNCTION("""COMPUTED_VALUE"""),"SOXL")</f>
        <v>SOXL</v>
      </c>
      <c r="E695" s="5" t="str">
        <f ca="1">IFERROR(__xludf.DUMMYFUNCTION("""COMPUTED_VALUE"""),"USD")</f>
        <v>USD</v>
      </c>
      <c r="F695" s="55">
        <f ca="1">IFERROR(__xludf.DUMMYFUNCTION("""COMPUTED_VALUE"""),100)</f>
        <v>100</v>
      </c>
      <c r="G695" s="56">
        <f ca="1">IFERROR(__xludf.DUMMYFUNCTION("""COMPUTED_VALUE"""),7.81902041666666)</f>
        <v>7.8190204166666604</v>
      </c>
      <c r="H695" s="57">
        <f ca="1">IFERROR(__xludf.DUMMYFUNCTION("""COMPUTED_VALUE"""),36.58)</f>
        <v>36.58</v>
      </c>
      <c r="I695" s="57">
        <f ca="1">IFERROR(__xludf.DUMMYFUNCTION("""COMPUTED_VALUE"""),36.69)</f>
        <v>36.69</v>
      </c>
      <c r="J695" s="70" t="str">
        <f ca="1">IFERROR(__xludf.DUMMYFUNCTION("""COMPUTED_VALUE"""),"Goto link: SOXL")</f>
        <v>Goto link: SOXL</v>
      </c>
      <c r="K695" s="19"/>
      <c r="L695" s="19"/>
      <c r="M695" s="19"/>
      <c r="N695" s="19"/>
      <c r="O695" s="59"/>
      <c r="P695" s="7"/>
      <c r="Q695" s="55"/>
      <c r="R695" s="55"/>
      <c r="S695" s="7"/>
      <c r="T695" s="55"/>
      <c r="U695" s="7"/>
      <c r="V695" s="55"/>
      <c r="W695" s="60"/>
      <c r="X695" s="55"/>
    </row>
    <row r="696" spans="1:24" ht="13" x14ac:dyDescent="0.15">
      <c r="A696" s="25" t="str">
        <f ca="1">IFERROR(__xludf.DUMMYFUNCTION("""COMPUTED_VALUE"""),"89750")</f>
        <v>89750</v>
      </c>
      <c r="B696" s="69">
        <f ca="1">IFERROR(__xludf.DUMMYFUNCTION("""COMPUTED_VALUE"""),44622)</f>
        <v>44622</v>
      </c>
      <c r="C696" s="69" t="str">
        <f ca="1">IFERROR(__xludf.DUMMYFUNCTION("""COMPUTED_VALUE"""),"Option")</f>
        <v>Option</v>
      </c>
      <c r="D696" s="5" t="str">
        <f ca="1">IFERROR(__xludf.DUMMYFUNCTION("""COMPUTED_VALUE"""),"SPXL220318C00080000")</f>
        <v>SPXL220318C00080000</v>
      </c>
      <c r="E696" s="5" t="str">
        <f ca="1">IFERROR(__xludf.DUMMYFUNCTION("""COMPUTED_VALUE"""),"USD")</f>
        <v>USD</v>
      </c>
      <c r="F696" s="55">
        <f ca="1">IFERROR(__xludf.DUMMYFUNCTION("""COMPUTED_VALUE"""),-2)</f>
        <v>-2</v>
      </c>
      <c r="G696" s="56">
        <f ca="1">IFERROR(__xludf.DUMMYFUNCTION("""COMPUTED_VALUE"""),7.82192928571428)</f>
        <v>7.8219292857142797</v>
      </c>
      <c r="H696" s="57">
        <f ca="1">IFERROR(__xludf.DUMMYFUNCTION("""COMPUTED_VALUE"""),27.91)</f>
        <v>27.91</v>
      </c>
      <c r="I696" s="57">
        <f ca="1">IFERROR(__xludf.DUMMYFUNCTION("""COMPUTED_VALUE"""),0)</f>
        <v>0</v>
      </c>
      <c r="J696" s="19" t="str">
        <f ca="1">IFERROR(__xludf.DUMMYFUNCTION("""COMPUTED_VALUE"""),"")</f>
        <v/>
      </c>
      <c r="K696" s="19"/>
      <c r="L696" s="19"/>
      <c r="M696" s="19"/>
      <c r="N696" s="19"/>
      <c r="O696" s="59"/>
      <c r="P696" s="7"/>
      <c r="Q696" s="55"/>
      <c r="R696" s="55"/>
      <c r="S696" s="7"/>
      <c r="T696" s="55"/>
      <c r="U696" s="7"/>
      <c r="V696" s="55"/>
      <c r="W696" s="60"/>
      <c r="X696" s="55"/>
    </row>
    <row r="697" spans="1:24" ht="13" x14ac:dyDescent="0.15">
      <c r="A697" s="25" t="str">
        <f ca="1">IFERROR(__xludf.DUMMYFUNCTION("""COMPUTED_VALUE"""),"89750")</f>
        <v>89750</v>
      </c>
      <c r="B697" s="69">
        <f ca="1">IFERROR(__xludf.DUMMYFUNCTION("""COMPUTED_VALUE"""),44622)</f>
        <v>44622</v>
      </c>
      <c r="C697" s="69" t="str">
        <f ca="1">IFERROR(__xludf.DUMMYFUNCTION("""COMPUTED_VALUE"""),"Stock")</f>
        <v>Stock</v>
      </c>
      <c r="D697" s="71" t="str">
        <f ca="1">IFERROR(__xludf.DUMMYFUNCTION("""COMPUTED_VALUE"""),"9988.HK")</f>
        <v>9988.HK</v>
      </c>
      <c r="E697" s="5" t="str">
        <f ca="1">IFERROR(__xludf.DUMMYFUNCTION("""COMPUTED_VALUE"""),"HKD")</f>
        <v>HKD</v>
      </c>
      <c r="F697" s="55">
        <f ca="1">IFERROR(__xludf.DUMMYFUNCTION("""COMPUTED_VALUE"""),1000)</f>
        <v>1000</v>
      </c>
      <c r="G697" s="56">
        <f ca="1">IFERROR(__xludf.DUMMYFUNCTION("""COMPUTED_VALUE"""),1)</f>
        <v>1</v>
      </c>
      <c r="H697" s="57">
        <f ca="1">IFERROR(__xludf.DUMMYFUNCTION("""COMPUTED_VALUE"""),103.9)</f>
        <v>103.9</v>
      </c>
      <c r="I697" s="57">
        <f ca="1">IFERROR(__xludf.DUMMYFUNCTION("""COMPUTED_VALUE"""),117.6)</f>
        <v>117.6</v>
      </c>
      <c r="J697" s="70" t="str">
        <f ca="1">IFERROR(__xludf.DUMMYFUNCTION("""COMPUTED_VALUE"""),"Goto link: 9988.HK")</f>
        <v>Goto link: 9988.HK</v>
      </c>
      <c r="K697" s="19"/>
      <c r="L697" s="19"/>
      <c r="M697" s="19"/>
      <c r="N697" s="19"/>
      <c r="O697" s="59"/>
      <c r="P697" s="7"/>
      <c r="Q697" s="55"/>
      <c r="R697" s="55"/>
      <c r="S697" s="7"/>
      <c r="T697" s="55"/>
      <c r="U697" s="7"/>
      <c r="V697" s="55"/>
      <c r="W697" s="60"/>
      <c r="X697" s="55"/>
    </row>
    <row r="698" spans="1:24" ht="13" x14ac:dyDescent="0.15">
      <c r="A698" s="25" t="str">
        <f ca="1">IFERROR(__xludf.DUMMYFUNCTION("""COMPUTED_VALUE"""),"89750")</f>
        <v>89750</v>
      </c>
      <c r="B698" s="69">
        <f ca="1">IFERROR(__xludf.DUMMYFUNCTION("""COMPUTED_VALUE"""),44622)</f>
        <v>44622</v>
      </c>
      <c r="C698" s="69" t="str">
        <f ca="1">IFERROR(__xludf.DUMMYFUNCTION("""COMPUTED_VALUE"""),"Stock")</f>
        <v>Stock</v>
      </c>
      <c r="D698" s="5" t="str">
        <f ca="1">IFERROR(__xludf.DUMMYFUNCTION("""COMPUTED_VALUE"""),"SOXL")</f>
        <v>SOXL</v>
      </c>
      <c r="E698" s="5" t="str">
        <f ca="1">IFERROR(__xludf.DUMMYFUNCTION("""COMPUTED_VALUE"""),"USD")</f>
        <v>USD</v>
      </c>
      <c r="F698" s="55">
        <f ca="1">IFERROR(__xludf.DUMMYFUNCTION("""COMPUTED_VALUE"""),-100)</f>
        <v>-100</v>
      </c>
      <c r="G698" s="56">
        <f ca="1">IFERROR(__xludf.DUMMYFUNCTION("""COMPUTED_VALUE"""),7.82192928571428)</f>
        <v>7.8219292857142797</v>
      </c>
      <c r="H698" s="57">
        <f ca="1">IFERROR(__xludf.DUMMYFUNCTION("""COMPUTED_VALUE"""),40.12)</f>
        <v>40.119999999999997</v>
      </c>
      <c r="I698" s="57">
        <f ca="1">IFERROR(__xludf.DUMMYFUNCTION("""COMPUTED_VALUE"""),36.69)</f>
        <v>36.69</v>
      </c>
      <c r="J698" s="70" t="str">
        <f ca="1">IFERROR(__xludf.DUMMYFUNCTION("""COMPUTED_VALUE"""),"Goto link: SOXL")</f>
        <v>Goto link: SOXL</v>
      </c>
      <c r="K698" s="19"/>
      <c r="L698" s="19"/>
      <c r="M698" s="19"/>
      <c r="N698" s="19"/>
      <c r="O698" s="59"/>
      <c r="P698" s="7"/>
      <c r="Q698" s="55"/>
      <c r="R698" s="55"/>
      <c r="S698" s="7"/>
      <c r="T698" s="55"/>
      <c r="U698" s="7"/>
      <c r="V698" s="55"/>
      <c r="W698" s="60"/>
      <c r="X698" s="55"/>
    </row>
    <row r="699" spans="1:24" ht="13" x14ac:dyDescent="0.15">
      <c r="A699" s="25" t="str">
        <f ca="1">IFERROR(__xludf.DUMMYFUNCTION("""COMPUTED_VALUE"""),"89750")</f>
        <v>89750</v>
      </c>
      <c r="B699" s="69">
        <f ca="1">IFERROR(__xludf.DUMMYFUNCTION("""COMPUTED_VALUE"""),44622)</f>
        <v>44622</v>
      </c>
      <c r="C699" s="69" t="str">
        <f ca="1">IFERROR(__xludf.DUMMYFUNCTION("""COMPUTED_VALUE"""),"Stock")</f>
        <v>Stock</v>
      </c>
      <c r="D699" s="5" t="str">
        <f ca="1">IFERROR(__xludf.DUMMYFUNCTION("""COMPUTED_VALUE"""),"SOXL")</f>
        <v>SOXL</v>
      </c>
      <c r="E699" s="5" t="str">
        <f ca="1">IFERROR(__xludf.DUMMYFUNCTION("""COMPUTED_VALUE"""),"USD")</f>
        <v>USD</v>
      </c>
      <c r="F699" s="55">
        <f ca="1">IFERROR(__xludf.DUMMYFUNCTION("""COMPUTED_VALUE"""),100)</f>
        <v>100</v>
      </c>
      <c r="G699" s="56">
        <f ca="1">IFERROR(__xludf.DUMMYFUNCTION("""COMPUTED_VALUE"""),7.8248075)</f>
        <v>7.8248075000000004</v>
      </c>
      <c r="H699" s="57">
        <f ca="1">IFERROR(__xludf.DUMMYFUNCTION("""COMPUTED_VALUE"""),36.58)</f>
        <v>36.58</v>
      </c>
      <c r="I699" s="57">
        <f ca="1">IFERROR(__xludf.DUMMYFUNCTION("""COMPUTED_VALUE"""),36.69)</f>
        <v>36.69</v>
      </c>
      <c r="J699" s="70" t="str">
        <f ca="1">IFERROR(__xludf.DUMMYFUNCTION("""COMPUTED_VALUE"""),"Goto link: SOXL")</f>
        <v>Goto link: SOXL</v>
      </c>
      <c r="K699" s="19"/>
      <c r="L699" s="19"/>
      <c r="M699" s="19"/>
      <c r="N699" s="19"/>
      <c r="O699" s="59"/>
      <c r="P699" s="7"/>
      <c r="Q699" s="55"/>
      <c r="R699" s="55"/>
      <c r="S699" s="7"/>
      <c r="T699" s="55"/>
      <c r="U699" s="7"/>
      <c r="V699" s="55"/>
      <c r="W699" s="60"/>
      <c r="X699" s="55"/>
    </row>
    <row r="700" spans="1:24" ht="13" x14ac:dyDescent="0.15">
      <c r="A700" s="25" t="str">
        <f ca="1">IFERROR(__xludf.DUMMYFUNCTION("""COMPUTED_VALUE"""),"89750")</f>
        <v>89750</v>
      </c>
      <c r="B700" s="69">
        <f ca="1">IFERROR(__xludf.DUMMYFUNCTION("""COMPUTED_VALUE"""),44623)</f>
        <v>44623</v>
      </c>
      <c r="C700" s="69" t="str">
        <f ca="1">IFERROR(__xludf.DUMMYFUNCTION("""COMPUTED_VALUE"""),"Option")</f>
        <v>Option</v>
      </c>
      <c r="D700" s="5" t="str">
        <f ca="1">IFERROR(__xludf.DUMMYFUNCTION("""COMPUTED_VALUE"""),"RLX220414C00005000")</f>
        <v>RLX220414C00005000</v>
      </c>
      <c r="E700" s="5" t="str">
        <f ca="1">IFERROR(__xludf.DUMMYFUNCTION("""COMPUTED_VALUE"""),"USD")</f>
        <v>USD</v>
      </c>
      <c r="F700" s="55">
        <f ca="1">IFERROR(__xludf.DUMMYFUNCTION("""COMPUTED_VALUE"""),1000)</f>
        <v>1000</v>
      </c>
      <c r="G700" s="56">
        <f ca="1">IFERROR(__xludf.DUMMYFUNCTION("""COMPUTED_VALUE"""),7.82232825)</f>
        <v>7.82232825</v>
      </c>
      <c r="H700" s="57">
        <f ca="1">IFERROR(__xludf.DUMMYFUNCTION("""COMPUTED_VALUE"""),0.09)</f>
        <v>0.09</v>
      </c>
      <c r="I700" s="57">
        <f ca="1">IFERROR(__xludf.DUMMYFUNCTION("""COMPUTED_VALUE"""),0.05)</f>
        <v>0.05</v>
      </c>
      <c r="J700" s="19" t="str">
        <f ca="1">IFERROR(__xludf.DUMMYFUNCTION("""COMPUTED_VALUE"""),"")</f>
        <v/>
      </c>
      <c r="K700" s="19"/>
      <c r="L700" s="19"/>
      <c r="M700" s="19"/>
      <c r="N700" s="19"/>
      <c r="O700" s="59"/>
      <c r="P700" s="7"/>
      <c r="Q700" s="55"/>
      <c r="R700" s="55"/>
      <c r="S700" s="7"/>
      <c r="T700" s="55"/>
      <c r="U700" s="7"/>
      <c r="V700" s="55"/>
      <c r="W700" s="60"/>
      <c r="X700" s="55"/>
    </row>
    <row r="701" spans="1:24" ht="13" x14ac:dyDescent="0.15">
      <c r="A701" s="25" t="str">
        <f ca="1">IFERROR(__xludf.DUMMYFUNCTION("""COMPUTED_VALUE"""),"89750")</f>
        <v>89750</v>
      </c>
      <c r="B701" s="69">
        <f ca="1">IFERROR(__xludf.DUMMYFUNCTION("""COMPUTED_VALUE"""),44623)</f>
        <v>44623</v>
      </c>
      <c r="C701" s="69" t="str">
        <f ca="1">IFERROR(__xludf.DUMMYFUNCTION("""COMPUTED_VALUE"""),"Option")</f>
        <v>Option</v>
      </c>
      <c r="D701" s="5" t="str">
        <f ca="1">IFERROR(__xludf.DUMMYFUNCTION("""COMPUTED_VALUE"""),"TQQQ220311P00057500")</f>
        <v>TQQQ220311P00057500</v>
      </c>
      <c r="E701" s="5" t="str">
        <f ca="1">IFERROR(__xludf.DUMMYFUNCTION("""COMPUTED_VALUE"""),"USD")</f>
        <v>USD</v>
      </c>
      <c r="F701" s="55">
        <f ca="1">IFERROR(__xludf.DUMMYFUNCTION("""COMPUTED_VALUE"""),10)</f>
        <v>10</v>
      </c>
      <c r="G701" s="56">
        <f ca="1">IFERROR(__xludf.DUMMYFUNCTION("""COMPUTED_VALUE"""),7.82232825)</f>
        <v>7.82232825</v>
      </c>
      <c r="H701" s="57">
        <f ca="1">IFERROR(__xludf.DUMMYFUNCTION("""COMPUTED_VALUE"""),6.54)</f>
        <v>6.54</v>
      </c>
      <c r="I701" s="57">
        <f ca="1">IFERROR(__xludf.DUMMYFUNCTION("""COMPUTED_VALUE"""),0)</f>
        <v>0</v>
      </c>
      <c r="J701" s="19" t="str">
        <f ca="1">IFERROR(__xludf.DUMMYFUNCTION("""COMPUTED_VALUE"""),"")</f>
        <v/>
      </c>
      <c r="K701" s="19"/>
      <c r="L701" s="19"/>
      <c r="M701" s="19"/>
      <c r="N701" s="19"/>
      <c r="O701" s="59"/>
      <c r="P701" s="7"/>
      <c r="Q701" s="55"/>
      <c r="R701" s="55"/>
      <c r="S701" s="7"/>
      <c r="T701" s="55"/>
      <c r="U701" s="7"/>
      <c r="V701" s="55"/>
      <c r="W701" s="60"/>
      <c r="X701" s="55"/>
    </row>
    <row r="702" spans="1:24" ht="13" x14ac:dyDescent="0.15">
      <c r="A702" s="25" t="str">
        <f ca="1">IFERROR(__xludf.DUMMYFUNCTION("""COMPUTED_VALUE"""),"89750")</f>
        <v>89750</v>
      </c>
      <c r="B702" s="69">
        <f ca="1">IFERROR(__xludf.DUMMYFUNCTION("""COMPUTED_VALUE"""),44623)</f>
        <v>44623</v>
      </c>
      <c r="C702" s="69" t="str">
        <f ca="1">IFERROR(__xludf.DUMMYFUNCTION("""COMPUTED_VALUE"""),"Stock")</f>
        <v>Stock</v>
      </c>
      <c r="D702" s="5" t="str">
        <f ca="1">IFERROR(__xludf.DUMMYFUNCTION("""COMPUTED_VALUE"""),"TCEHY")</f>
        <v>TCEHY</v>
      </c>
      <c r="E702" s="5" t="str">
        <f ca="1">IFERROR(__xludf.DUMMYFUNCTION("""COMPUTED_VALUE"""),"USD")</f>
        <v>USD</v>
      </c>
      <c r="F702" s="55">
        <f ca="1">IFERROR(__xludf.DUMMYFUNCTION("""COMPUTED_VALUE"""),-50)</f>
        <v>-50</v>
      </c>
      <c r="G702" s="56">
        <f ca="1">IFERROR(__xludf.DUMMYFUNCTION("""COMPUTED_VALUE"""),7.82232825)</f>
        <v>7.82232825</v>
      </c>
      <c r="H702" s="57">
        <f ca="1">IFERROR(__xludf.DUMMYFUNCTION("""COMPUTED_VALUE"""),52.2)</f>
        <v>52.2</v>
      </c>
      <c r="I702" s="57">
        <f ca="1">IFERROR(__xludf.DUMMYFUNCTION("""COMPUTED_VALUE"""),47.86)</f>
        <v>47.86</v>
      </c>
      <c r="J702" s="70" t="str">
        <f ca="1">IFERROR(__xludf.DUMMYFUNCTION("""COMPUTED_VALUE"""),"Goto link: TCEHY")</f>
        <v>Goto link: TCEHY</v>
      </c>
      <c r="K702" s="19"/>
      <c r="L702" s="19"/>
      <c r="M702" s="19"/>
      <c r="N702" s="19"/>
      <c r="O702" s="59"/>
      <c r="P702" s="7"/>
      <c r="Q702" s="55"/>
      <c r="R702" s="55"/>
      <c r="S702" s="7"/>
      <c r="T702" s="55"/>
      <c r="U702" s="7"/>
      <c r="V702" s="55"/>
      <c r="W702" s="60"/>
      <c r="X702" s="55"/>
    </row>
    <row r="703" spans="1:24" ht="13" x14ac:dyDescent="0.15">
      <c r="A703" s="25" t="str">
        <f ca="1">IFERROR(__xludf.DUMMYFUNCTION("""COMPUTED_VALUE"""),"89750")</f>
        <v>89750</v>
      </c>
      <c r="B703" s="69">
        <f ca="1">IFERROR(__xludf.DUMMYFUNCTION("""COMPUTED_VALUE"""),44624)</f>
        <v>44624</v>
      </c>
      <c r="C703" s="69" t="str">
        <f ca="1">IFERROR(__xludf.DUMMYFUNCTION("""COMPUTED_VALUE"""),"Option")</f>
        <v>Option</v>
      </c>
      <c r="D703" s="5" t="str">
        <f ca="1">IFERROR(__xludf.DUMMYFUNCTION("""COMPUTED_VALUE"""),"MARA220401P00016000")</f>
        <v>MARA220401P00016000</v>
      </c>
      <c r="E703" s="5" t="str">
        <f ca="1">IFERROR(__xludf.DUMMYFUNCTION("""COMPUTED_VALUE"""),"USD")</f>
        <v>USD</v>
      </c>
      <c r="F703" s="55">
        <f ca="1">IFERROR(__xludf.DUMMYFUNCTION("""COMPUTED_VALUE"""),100)</f>
        <v>100</v>
      </c>
      <c r="G703" s="56">
        <f ca="1">IFERROR(__xludf.DUMMYFUNCTION("""COMPUTED_VALUE"""),7.82266921052631)</f>
        <v>7.8226692105263096</v>
      </c>
      <c r="H703" s="57">
        <f ca="1">IFERROR(__xludf.DUMMYFUNCTION("""COMPUTED_VALUE"""),0.36)</f>
        <v>0.36</v>
      </c>
      <c r="I703" s="57">
        <f ca="1">IFERROR(__xludf.DUMMYFUNCTION("""COMPUTED_VALUE"""),0.02)</f>
        <v>0.02</v>
      </c>
      <c r="J703" s="19" t="str">
        <f ca="1">IFERROR(__xludf.DUMMYFUNCTION("""COMPUTED_VALUE"""),"")</f>
        <v/>
      </c>
      <c r="K703" s="19"/>
      <c r="L703" s="19"/>
      <c r="M703" s="19"/>
      <c r="N703" s="19"/>
      <c r="O703" s="59"/>
      <c r="P703" s="7"/>
      <c r="Q703" s="55"/>
      <c r="R703" s="55"/>
      <c r="S703" s="7"/>
      <c r="T703" s="55"/>
      <c r="U703" s="7"/>
      <c r="V703" s="55"/>
      <c r="W703" s="60"/>
      <c r="X703" s="55"/>
    </row>
    <row r="704" spans="1:24" ht="13" x14ac:dyDescent="0.15">
      <c r="A704" s="25" t="str">
        <f ca="1">IFERROR(__xludf.DUMMYFUNCTION("""COMPUTED_VALUE"""),"89750")</f>
        <v>89750</v>
      </c>
      <c r="B704" s="69">
        <f ca="1">IFERROR(__xludf.DUMMYFUNCTION("""COMPUTED_VALUE"""),44624)</f>
        <v>44624</v>
      </c>
      <c r="C704" s="69" t="str">
        <f ca="1">IFERROR(__xludf.DUMMYFUNCTION("""COMPUTED_VALUE"""),"Option")</f>
        <v>Option</v>
      </c>
      <c r="D704" s="5" t="str">
        <f ca="1">IFERROR(__xludf.DUMMYFUNCTION("""COMPUTED_VALUE"""),"NU220414C00009000")</f>
        <v>NU220414C00009000</v>
      </c>
      <c r="E704" s="5" t="str">
        <f ca="1">IFERROR(__xludf.DUMMYFUNCTION("""COMPUTED_VALUE"""),"USD")</f>
        <v>USD</v>
      </c>
      <c r="F704" s="55">
        <f ca="1">IFERROR(__xludf.DUMMYFUNCTION("""COMPUTED_VALUE"""),200)</f>
        <v>200</v>
      </c>
      <c r="G704" s="56">
        <f ca="1">IFERROR(__xludf.DUMMYFUNCTION("""COMPUTED_VALUE"""),7.82266921052631)</f>
        <v>7.8226692105263096</v>
      </c>
      <c r="H704" s="57">
        <f ca="1">IFERROR(__xludf.DUMMYFUNCTION("""COMPUTED_VALUE"""),0.25)</f>
        <v>0.25</v>
      </c>
      <c r="I704" s="57">
        <f ca="1">IFERROR(__xludf.DUMMYFUNCTION("""COMPUTED_VALUE"""),0.2)</f>
        <v>0.2</v>
      </c>
      <c r="J704" s="19" t="str">
        <f ca="1">IFERROR(__xludf.DUMMYFUNCTION("""COMPUTED_VALUE"""),"")</f>
        <v/>
      </c>
      <c r="K704" s="19"/>
      <c r="L704" s="19"/>
      <c r="M704" s="19"/>
      <c r="N704" s="19"/>
      <c r="O704" s="59"/>
      <c r="P704" s="7"/>
      <c r="Q704" s="55"/>
      <c r="R704" s="55"/>
      <c r="S704" s="7"/>
      <c r="T704" s="55"/>
      <c r="U704" s="7"/>
      <c r="V704" s="55"/>
      <c r="W704" s="60"/>
      <c r="X704" s="55"/>
    </row>
    <row r="705" spans="1:24" ht="13" x14ac:dyDescent="0.15">
      <c r="A705" s="25" t="str">
        <f ca="1">IFERROR(__xludf.DUMMYFUNCTION("""COMPUTED_VALUE"""),"89750")</f>
        <v>89750</v>
      </c>
      <c r="B705" s="69">
        <f ca="1">IFERROR(__xludf.DUMMYFUNCTION("""COMPUTED_VALUE"""),44624)</f>
        <v>44624</v>
      </c>
      <c r="C705" s="69" t="str">
        <f ca="1">IFERROR(__xludf.DUMMYFUNCTION("""COMPUTED_VALUE"""),"Option")</f>
        <v>Option</v>
      </c>
      <c r="D705" s="5" t="str">
        <f ca="1">IFERROR(__xludf.DUMMYFUNCTION("""COMPUTED_VALUE"""),"TQQQ220311P00057500")</f>
        <v>TQQQ220311P00057500</v>
      </c>
      <c r="E705" s="5" t="str">
        <f ca="1">IFERROR(__xludf.DUMMYFUNCTION("""COMPUTED_VALUE"""),"USD")</f>
        <v>USD</v>
      </c>
      <c r="F705" s="55">
        <f ca="1">IFERROR(__xludf.DUMMYFUNCTION("""COMPUTED_VALUE"""),-10)</f>
        <v>-10</v>
      </c>
      <c r="G705" s="56">
        <f ca="1">IFERROR(__xludf.DUMMYFUNCTION("""COMPUTED_VALUE"""),7.82266921052631)</f>
        <v>7.8226692105263096</v>
      </c>
      <c r="H705" s="57">
        <f ca="1">IFERROR(__xludf.DUMMYFUNCTION("""COMPUTED_VALUE"""),9.5)</f>
        <v>9.5</v>
      </c>
      <c r="I705" s="57">
        <f ca="1">IFERROR(__xludf.DUMMYFUNCTION("""COMPUTED_VALUE"""),0)</f>
        <v>0</v>
      </c>
      <c r="J705" s="19" t="str">
        <f ca="1">IFERROR(__xludf.DUMMYFUNCTION("""COMPUTED_VALUE"""),"")</f>
        <v/>
      </c>
      <c r="K705" s="19"/>
      <c r="L705" s="19"/>
      <c r="M705" s="19"/>
      <c r="N705" s="19"/>
      <c r="O705" s="59"/>
      <c r="P705" s="7"/>
      <c r="Q705" s="55"/>
      <c r="R705" s="55"/>
      <c r="S705" s="7"/>
      <c r="T705" s="55"/>
      <c r="U705" s="7"/>
      <c r="V705" s="55"/>
      <c r="W705" s="60"/>
      <c r="X705" s="55"/>
    </row>
    <row r="706" spans="1:24" ht="13" x14ac:dyDescent="0.15">
      <c r="A706" s="25" t="str">
        <f ca="1">IFERROR(__xludf.DUMMYFUNCTION("""COMPUTED_VALUE"""),"89750")</f>
        <v>89750</v>
      </c>
      <c r="B706" s="69">
        <f ca="1">IFERROR(__xludf.DUMMYFUNCTION("""COMPUTED_VALUE"""),44627)</f>
        <v>44627</v>
      </c>
      <c r="C706" s="69" t="str">
        <f ca="1">IFERROR(__xludf.DUMMYFUNCTION("""COMPUTED_VALUE"""),"Option")</f>
        <v>Option</v>
      </c>
      <c r="D706" s="5" t="str">
        <f ca="1">IFERROR(__xludf.DUMMYFUNCTION("""COMPUTED_VALUE"""),"MARA220401P00016000")</f>
        <v>MARA220401P00016000</v>
      </c>
      <c r="E706" s="5" t="str">
        <f ca="1">IFERROR(__xludf.DUMMYFUNCTION("""COMPUTED_VALUE"""),"USD")</f>
        <v>USD</v>
      </c>
      <c r="F706" s="55">
        <f ca="1">IFERROR(__xludf.DUMMYFUNCTION("""COMPUTED_VALUE"""),-100)</f>
        <v>-100</v>
      </c>
      <c r="G706" s="56">
        <f ca="1">IFERROR(__xludf.DUMMYFUNCTION("""COMPUTED_VALUE"""),7.824175)</f>
        <v>7.8241750000000003</v>
      </c>
      <c r="H706" s="57">
        <f ca="1">IFERROR(__xludf.DUMMYFUNCTION("""COMPUTED_VALUE"""),0.74)</f>
        <v>0.74</v>
      </c>
      <c r="I706" s="57">
        <f ca="1">IFERROR(__xludf.DUMMYFUNCTION("""COMPUTED_VALUE"""),0.02)</f>
        <v>0.02</v>
      </c>
      <c r="J706" s="19" t="str">
        <f ca="1">IFERROR(__xludf.DUMMYFUNCTION("""COMPUTED_VALUE"""),"")</f>
        <v/>
      </c>
      <c r="K706" s="19"/>
      <c r="L706" s="19"/>
      <c r="M706" s="19"/>
      <c r="N706" s="19"/>
      <c r="O706" s="59"/>
      <c r="P706" s="7"/>
      <c r="Q706" s="55"/>
      <c r="R706" s="55"/>
      <c r="S706" s="7"/>
      <c r="T706" s="55"/>
      <c r="U706" s="7"/>
      <c r="V706" s="55"/>
      <c r="W706" s="60"/>
      <c r="X706" s="55"/>
    </row>
    <row r="707" spans="1:24" ht="13" x14ac:dyDescent="0.15">
      <c r="A707" s="25" t="str">
        <f ca="1">IFERROR(__xludf.DUMMYFUNCTION("""COMPUTED_VALUE"""),"89750")</f>
        <v>89750</v>
      </c>
      <c r="B707" s="69">
        <f ca="1">IFERROR(__xludf.DUMMYFUNCTION("""COMPUTED_VALUE"""),44627)</f>
        <v>44627</v>
      </c>
      <c r="C707" s="69" t="str">
        <f ca="1">IFERROR(__xludf.DUMMYFUNCTION("""COMPUTED_VALUE"""),"Option")</f>
        <v>Option</v>
      </c>
      <c r="D707" s="5" t="str">
        <f ca="1">IFERROR(__xludf.DUMMYFUNCTION("""COMPUTED_VALUE"""),"NU220414C00009000")</f>
        <v>NU220414C00009000</v>
      </c>
      <c r="E707" s="5" t="str">
        <f ca="1">IFERROR(__xludf.DUMMYFUNCTION("""COMPUTED_VALUE"""),"USD")</f>
        <v>USD</v>
      </c>
      <c r="F707" s="55">
        <f ca="1">IFERROR(__xludf.DUMMYFUNCTION("""COMPUTED_VALUE"""),-200)</f>
        <v>-200</v>
      </c>
      <c r="G707" s="56">
        <f ca="1">IFERROR(__xludf.DUMMYFUNCTION("""COMPUTED_VALUE"""),7.824175)</f>
        <v>7.8241750000000003</v>
      </c>
      <c r="H707" s="57">
        <f ca="1">IFERROR(__xludf.DUMMYFUNCTION("""COMPUTED_VALUE"""),0.22)</f>
        <v>0.22</v>
      </c>
      <c r="I707" s="57">
        <f ca="1">IFERROR(__xludf.DUMMYFUNCTION("""COMPUTED_VALUE"""),0.2)</f>
        <v>0.2</v>
      </c>
      <c r="J707" s="19" t="str">
        <f ca="1">IFERROR(__xludf.DUMMYFUNCTION("""COMPUTED_VALUE"""),"")</f>
        <v/>
      </c>
      <c r="K707" s="19"/>
      <c r="L707" s="19"/>
      <c r="M707" s="19"/>
      <c r="N707" s="19"/>
      <c r="O707" s="59"/>
      <c r="P707" s="7"/>
      <c r="Q707" s="55"/>
      <c r="R707" s="55"/>
      <c r="S707" s="7"/>
      <c r="T707" s="55"/>
      <c r="U707" s="7"/>
      <c r="V707" s="55"/>
      <c r="W707" s="60"/>
      <c r="X707" s="55"/>
    </row>
    <row r="708" spans="1:24" ht="13" x14ac:dyDescent="0.15">
      <c r="A708" s="25" t="str">
        <f ca="1">IFERROR(__xludf.DUMMYFUNCTION("""COMPUTED_VALUE"""),"89750")</f>
        <v>89750</v>
      </c>
      <c r="B708" s="69">
        <f ca="1">IFERROR(__xludf.DUMMYFUNCTION("""COMPUTED_VALUE"""),44627)</f>
        <v>44627</v>
      </c>
      <c r="C708" s="69" t="str">
        <f ca="1">IFERROR(__xludf.DUMMYFUNCTION("""COMPUTED_VALUE"""),"Option")</f>
        <v>Option</v>
      </c>
      <c r="D708" s="5" t="str">
        <f ca="1">IFERROR(__xludf.DUMMYFUNCTION("""COMPUTED_VALUE"""),"RLX220414C00005000")</f>
        <v>RLX220414C00005000</v>
      </c>
      <c r="E708" s="5" t="str">
        <f ca="1">IFERROR(__xludf.DUMMYFUNCTION("""COMPUTED_VALUE"""),"USD")</f>
        <v>USD</v>
      </c>
      <c r="F708" s="55">
        <f ca="1">IFERROR(__xludf.DUMMYFUNCTION("""COMPUTED_VALUE"""),-1000)</f>
        <v>-1000</v>
      </c>
      <c r="G708" s="56">
        <f ca="1">IFERROR(__xludf.DUMMYFUNCTION("""COMPUTED_VALUE"""),7.824175)</f>
        <v>7.8241750000000003</v>
      </c>
      <c r="H708" s="57">
        <f ca="1">IFERROR(__xludf.DUMMYFUNCTION("""COMPUTED_VALUE"""),0.08)</f>
        <v>0.08</v>
      </c>
      <c r="I708" s="57">
        <f ca="1">IFERROR(__xludf.DUMMYFUNCTION("""COMPUTED_VALUE"""),0.05)</f>
        <v>0.05</v>
      </c>
      <c r="J708" s="19" t="str">
        <f ca="1">IFERROR(__xludf.DUMMYFUNCTION("""COMPUTED_VALUE"""),"")</f>
        <v/>
      </c>
      <c r="K708" s="19"/>
      <c r="L708" s="19"/>
      <c r="M708" s="19"/>
      <c r="N708" s="19"/>
      <c r="O708" s="59"/>
      <c r="P708" s="7"/>
      <c r="Q708" s="55"/>
      <c r="R708" s="55"/>
      <c r="S708" s="7"/>
      <c r="T708" s="55"/>
      <c r="U708" s="7"/>
      <c r="V708" s="55"/>
      <c r="W708" s="60"/>
      <c r="X708" s="55"/>
    </row>
    <row r="709" spans="1:24" ht="13" x14ac:dyDescent="0.15">
      <c r="A709" s="25" t="str">
        <f ca="1">IFERROR(__xludf.DUMMYFUNCTION("""COMPUTED_VALUE"""),"89750")</f>
        <v>89750</v>
      </c>
      <c r="B709" s="69">
        <f ca="1">IFERROR(__xludf.DUMMYFUNCTION("""COMPUTED_VALUE"""),44627)</f>
        <v>44627</v>
      </c>
      <c r="C709" s="69" t="str">
        <f ca="1">IFERROR(__xludf.DUMMYFUNCTION("""COMPUTED_VALUE"""),"Stock")</f>
        <v>Stock</v>
      </c>
      <c r="D709" s="5" t="str">
        <f ca="1">IFERROR(__xludf.DUMMYFUNCTION("""COMPUTED_VALUE"""),"YINN")</f>
        <v>YINN</v>
      </c>
      <c r="E709" s="5" t="str">
        <f ca="1">IFERROR(__xludf.DUMMYFUNCTION("""COMPUTED_VALUE"""),"USD")</f>
        <v>USD</v>
      </c>
      <c r="F709" s="55">
        <f ca="1">IFERROR(__xludf.DUMMYFUNCTION("""COMPUTED_VALUE"""),-100)</f>
        <v>-100</v>
      </c>
      <c r="G709" s="56">
        <f ca="1">IFERROR(__xludf.DUMMYFUNCTION("""COMPUTED_VALUE"""),7.824175)</f>
        <v>7.8241750000000003</v>
      </c>
      <c r="H709" s="57">
        <f ca="1">IFERROR(__xludf.DUMMYFUNCTION("""COMPUTED_VALUE"""),5.19)</f>
        <v>5.19</v>
      </c>
      <c r="I709" s="57">
        <f ca="1">IFERROR(__xludf.DUMMYFUNCTION("""COMPUTED_VALUE"""),5.09)</f>
        <v>5.09</v>
      </c>
      <c r="J709" s="70" t="str">
        <f ca="1">IFERROR(__xludf.DUMMYFUNCTION("""COMPUTED_VALUE"""),"Goto link: YINN")</f>
        <v>Goto link: YINN</v>
      </c>
      <c r="K709" s="19"/>
      <c r="L709" s="19"/>
      <c r="M709" s="19"/>
      <c r="N709" s="19"/>
      <c r="O709" s="59"/>
      <c r="P709" s="7"/>
      <c r="Q709" s="55"/>
      <c r="R709" s="55"/>
      <c r="S709" s="7"/>
      <c r="T709" s="55"/>
      <c r="U709" s="7"/>
      <c r="V709" s="55"/>
      <c r="W709" s="60"/>
      <c r="X709" s="55"/>
    </row>
    <row r="710" spans="1:24" ht="13" x14ac:dyDescent="0.15">
      <c r="A710" s="25" t="str">
        <f ca="1">IFERROR(__xludf.DUMMYFUNCTION("""COMPUTED_VALUE"""),"89750")</f>
        <v>89750</v>
      </c>
      <c r="B710" s="69">
        <f ca="1">IFERROR(__xludf.DUMMYFUNCTION("""COMPUTED_VALUE"""),44628)</f>
        <v>44628</v>
      </c>
      <c r="C710" s="69" t="str">
        <f ca="1">IFERROR(__xludf.DUMMYFUNCTION("""COMPUTED_VALUE"""),"Option")</f>
        <v>Option</v>
      </c>
      <c r="D710" s="5" t="str">
        <f ca="1">IFERROR(__xludf.DUMMYFUNCTION("""COMPUTED_VALUE"""),"NU220318C00005000")</f>
        <v>NU220318C00005000</v>
      </c>
      <c r="E710" s="5" t="str">
        <f ca="1">IFERROR(__xludf.DUMMYFUNCTION("""COMPUTED_VALUE"""),"USD")</f>
        <v>USD</v>
      </c>
      <c r="F710" s="55">
        <f ca="1">IFERROR(__xludf.DUMMYFUNCTION("""COMPUTED_VALUE"""),100)</f>
        <v>100</v>
      </c>
      <c r="G710" s="56">
        <f ca="1">IFERROR(__xludf.DUMMYFUNCTION("""COMPUTED_VALUE"""),7.82455)</f>
        <v>7.8245500000000003</v>
      </c>
      <c r="H710" s="57">
        <f ca="1">IFERROR(__xludf.DUMMYFUNCTION("""COMPUTED_VALUE"""),1.85)</f>
        <v>1.85</v>
      </c>
      <c r="I710" s="57">
        <f ca="1">IFERROR(__xludf.DUMMYFUNCTION("""COMPUTED_VALUE"""),0)</f>
        <v>0</v>
      </c>
      <c r="J710" s="19" t="str">
        <f ca="1">IFERROR(__xludf.DUMMYFUNCTION("""COMPUTED_VALUE"""),"")</f>
        <v/>
      </c>
      <c r="K710" s="19"/>
      <c r="L710" s="19"/>
      <c r="M710" s="19"/>
      <c r="N710" s="19"/>
      <c r="O710" s="59"/>
      <c r="P710" s="7"/>
      <c r="Q710" s="55"/>
      <c r="R710" s="55"/>
      <c r="S710" s="7"/>
      <c r="T710" s="55"/>
      <c r="U710" s="7"/>
      <c r="V710" s="55"/>
      <c r="W710" s="60"/>
      <c r="X710" s="55"/>
    </row>
    <row r="711" spans="1:24" ht="13" x14ac:dyDescent="0.15">
      <c r="A711" s="25" t="str">
        <f ca="1">IFERROR(__xludf.DUMMYFUNCTION("""COMPUTED_VALUE"""),"89750")</f>
        <v>89750</v>
      </c>
      <c r="B711" s="69">
        <f ca="1">IFERROR(__xludf.DUMMYFUNCTION("""COMPUTED_VALUE"""),44630)</f>
        <v>44630</v>
      </c>
      <c r="C711" s="69" t="str">
        <f ca="1">IFERROR(__xludf.DUMMYFUNCTION("""COMPUTED_VALUE"""),"Option")</f>
        <v>Option</v>
      </c>
      <c r="D711" s="5" t="str">
        <f ca="1">IFERROR(__xludf.DUMMYFUNCTION("""COMPUTED_VALUE"""),"NU220318C00005000")</f>
        <v>NU220318C00005000</v>
      </c>
      <c r="E711" s="5" t="str">
        <f ca="1">IFERROR(__xludf.DUMMYFUNCTION("""COMPUTED_VALUE"""),"USD")</f>
        <v>USD</v>
      </c>
      <c r="F711" s="55">
        <f ca="1">IFERROR(__xludf.DUMMYFUNCTION("""COMPUTED_VALUE"""),-100)</f>
        <v>-100</v>
      </c>
      <c r="G711" s="56">
        <f ca="1">IFERROR(__xludf.DUMMYFUNCTION("""COMPUTED_VALUE"""),7.82537884615384)</f>
        <v>7.8253788461538401</v>
      </c>
      <c r="H711" s="57">
        <f ca="1">IFERROR(__xludf.DUMMYFUNCTION("""COMPUTED_VALUE"""),2.15)</f>
        <v>2.15</v>
      </c>
      <c r="I711" s="57">
        <f ca="1">IFERROR(__xludf.DUMMYFUNCTION("""COMPUTED_VALUE"""),0)</f>
        <v>0</v>
      </c>
      <c r="J711" s="19" t="str">
        <f ca="1">IFERROR(__xludf.DUMMYFUNCTION("""COMPUTED_VALUE"""),"")</f>
        <v/>
      </c>
      <c r="K711" s="19"/>
      <c r="L711" s="19"/>
      <c r="M711" s="19"/>
      <c r="N711" s="19"/>
      <c r="O711" s="59"/>
      <c r="P711" s="7"/>
      <c r="Q711" s="55"/>
      <c r="R711" s="55"/>
      <c r="S711" s="7"/>
      <c r="T711" s="55"/>
      <c r="U711" s="7"/>
      <c r="V711" s="55"/>
      <c r="W711" s="60"/>
      <c r="X711" s="55"/>
    </row>
    <row r="712" spans="1:24" ht="13" x14ac:dyDescent="0.15">
      <c r="A712" s="25" t="str">
        <f ca="1">IFERROR(__xludf.DUMMYFUNCTION("""COMPUTED_VALUE"""),"89750")</f>
        <v>89750</v>
      </c>
      <c r="B712" s="69">
        <f ca="1">IFERROR(__xludf.DUMMYFUNCTION("""COMPUTED_VALUE"""),44630)</f>
        <v>44630</v>
      </c>
      <c r="C712" s="69" t="str">
        <f ca="1">IFERROR(__xludf.DUMMYFUNCTION("""COMPUTED_VALUE"""),"Option")</f>
        <v>Option</v>
      </c>
      <c r="D712" s="5" t="str">
        <f ca="1">IFERROR(__xludf.DUMMYFUNCTION("""COMPUTED_VALUE"""),"TQQQ220408P00056000")</f>
        <v>TQQQ220408P00056000</v>
      </c>
      <c r="E712" s="5" t="str">
        <f ca="1">IFERROR(__xludf.DUMMYFUNCTION("""COMPUTED_VALUE"""),"USD")</f>
        <v>USD</v>
      </c>
      <c r="F712" s="55">
        <f ca="1">IFERROR(__xludf.DUMMYFUNCTION("""COMPUTED_VALUE"""),20)</f>
        <v>20</v>
      </c>
      <c r="G712" s="56">
        <f ca="1">IFERROR(__xludf.DUMMYFUNCTION("""COMPUTED_VALUE"""),7.82537884615384)</f>
        <v>7.8253788461538401</v>
      </c>
      <c r="H712" s="57">
        <f ca="1">IFERROR(__xludf.DUMMYFUNCTION("""COMPUTED_VALUE"""),8.33)</f>
        <v>8.33</v>
      </c>
      <c r="I712" s="57">
        <f ca="1">IFERROR(__xludf.DUMMYFUNCTION("""COMPUTED_VALUE"""),4.45)</f>
        <v>4.45</v>
      </c>
      <c r="J712" s="19" t="str">
        <f ca="1">IFERROR(__xludf.DUMMYFUNCTION("""COMPUTED_VALUE"""),"")</f>
        <v/>
      </c>
      <c r="K712" s="19"/>
      <c r="L712" s="19"/>
      <c r="M712" s="19"/>
      <c r="N712" s="19"/>
      <c r="O712" s="59"/>
      <c r="P712" s="7"/>
      <c r="Q712" s="55"/>
      <c r="R712" s="55"/>
      <c r="S712" s="7"/>
      <c r="T712" s="55"/>
      <c r="U712" s="7"/>
      <c r="V712" s="55"/>
      <c r="W712" s="60"/>
      <c r="X712" s="55"/>
    </row>
    <row r="713" spans="1:24" ht="13" x14ac:dyDescent="0.15">
      <c r="A713" s="25" t="str">
        <f ca="1">IFERROR(__xludf.DUMMYFUNCTION("""COMPUTED_VALUE"""),"89750")</f>
        <v>89750</v>
      </c>
      <c r="B713" s="69">
        <f ca="1">IFERROR(__xludf.DUMMYFUNCTION("""COMPUTED_VALUE"""),44630)</f>
        <v>44630</v>
      </c>
      <c r="C713" s="69" t="str">
        <f ca="1">IFERROR(__xludf.DUMMYFUNCTION("""COMPUTED_VALUE"""),"Stock")</f>
        <v>Stock</v>
      </c>
      <c r="D713" s="71" t="str">
        <f ca="1">IFERROR(__xludf.DUMMYFUNCTION("""COMPUTED_VALUE"""),"9988.HK")</f>
        <v>9988.HK</v>
      </c>
      <c r="E713" s="5" t="str">
        <f ca="1">IFERROR(__xludf.DUMMYFUNCTION("""COMPUTED_VALUE"""),"HKD")</f>
        <v>HKD</v>
      </c>
      <c r="F713" s="55">
        <f ca="1">IFERROR(__xludf.DUMMYFUNCTION("""COMPUTED_VALUE"""),-1000)</f>
        <v>-1000</v>
      </c>
      <c r="G713" s="56">
        <f ca="1">IFERROR(__xludf.DUMMYFUNCTION("""COMPUTED_VALUE"""),1)</f>
        <v>1</v>
      </c>
      <c r="H713" s="57">
        <f ca="1">IFERROR(__xludf.DUMMYFUNCTION("""COMPUTED_VALUE"""),96.1)</f>
        <v>96.1</v>
      </c>
      <c r="I713" s="57">
        <f ca="1">IFERROR(__xludf.DUMMYFUNCTION("""COMPUTED_VALUE"""),117.6)</f>
        <v>117.6</v>
      </c>
      <c r="J713" s="70" t="str">
        <f ca="1">IFERROR(__xludf.DUMMYFUNCTION("""COMPUTED_VALUE"""),"Goto link: 9988.HK")</f>
        <v>Goto link: 9988.HK</v>
      </c>
      <c r="K713" s="19"/>
      <c r="L713" s="19"/>
      <c r="M713" s="19"/>
      <c r="N713" s="19"/>
      <c r="O713" s="59"/>
      <c r="P713" s="7"/>
      <c r="Q713" s="55"/>
      <c r="R713" s="55"/>
      <c r="S713" s="7"/>
      <c r="T713" s="55"/>
      <c r="U713" s="7"/>
      <c r="V713" s="55"/>
      <c r="W713" s="60"/>
      <c r="X713" s="55"/>
    </row>
    <row r="714" spans="1:24" ht="13" x14ac:dyDescent="0.15">
      <c r="A714" s="25" t="str">
        <f ca="1">IFERROR(__xludf.DUMMYFUNCTION("""COMPUTED_VALUE"""),"89750")</f>
        <v>89750</v>
      </c>
      <c r="B714" s="69">
        <f ca="1">IFERROR(__xludf.DUMMYFUNCTION("""COMPUTED_VALUE"""),44634)</f>
        <v>44634</v>
      </c>
      <c r="C714" s="69" t="str">
        <f ca="1">IFERROR(__xludf.DUMMYFUNCTION("""COMPUTED_VALUE"""),"Stock")</f>
        <v>Stock</v>
      </c>
      <c r="D714" s="71" t="str">
        <f ca="1">IFERROR(__xludf.DUMMYFUNCTION("""COMPUTED_VALUE"""),"0708.HK")</f>
        <v>0708.HK</v>
      </c>
      <c r="E714" s="5" t="str">
        <f ca="1">IFERROR(__xludf.DUMMYFUNCTION("""COMPUTED_VALUE"""),"HKD")</f>
        <v>HKD</v>
      </c>
      <c r="F714" s="55">
        <f ca="1">IFERROR(__xludf.DUMMYFUNCTION("""COMPUTED_VALUE"""),20000)</f>
        <v>20000</v>
      </c>
      <c r="G714" s="56">
        <f ca="1">IFERROR(__xludf.DUMMYFUNCTION("""COMPUTED_VALUE"""),1)</f>
        <v>1</v>
      </c>
      <c r="H714" s="57">
        <f ca="1">IFERROR(__xludf.DUMMYFUNCTION("""COMPUTED_VALUE"""),2.99)</f>
        <v>2.99</v>
      </c>
      <c r="I714" s="57">
        <f ca="1">IFERROR(__xludf.DUMMYFUNCTION("""COMPUTED_VALUE"""),3.52)</f>
        <v>3.52</v>
      </c>
      <c r="J714" s="70" t="str">
        <f ca="1">IFERROR(__xludf.DUMMYFUNCTION("""COMPUTED_VALUE"""),"Goto link: 0708.HK")</f>
        <v>Goto link: 0708.HK</v>
      </c>
      <c r="K714" s="19"/>
      <c r="L714" s="19"/>
      <c r="M714" s="19"/>
      <c r="N714" s="19"/>
      <c r="O714" s="59"/>
      <c r="P714" s="7"/>
      <c r="Q714" s="55"/>
      <c r="R714" s="55"/>
      <c r="S714" s="7"/>
      <c r="T714" s="55"/>
      <c r="U714" s="7"/>
      <c r="V714" s="55"/>
      <c r="W714" s="60"/>
      <c r="X714" s="55"/>
    </row>
    <row r="715" spans="1:24" ht="13" x14ac:dyDescent="0.15">
      <c r="A715" s="25" t="str">
        <f ca="1">IFERROR(__xludf.DUMMYFUNCTION("""COMPUTED_VALUE"""),"89750")</f>
        <v>89750</v>
      </c>
      <c r="B715" s="69">
        <f ca="1">IFERROR(__xludf.DUMMYFUNCTION("""COMPUTED_VALUE"""),44634)</f>
        <v>44634</v>
      </c>
      <c r="C715" s="69" t="str">
        <f ca="1">IFERROR(__xludf.DUMMYFUNCTION("""COMPUTED_VALUE"""),"Stock")</f>
        <v>Stock</v>
      </c>
      <c r="D715" s="71" t="str">
        <f ca="1">IFERROR(__xludf.DUMMYFUNCTION("""COMPUTED_VALUE"""),"3690.HK")</f>
        <v>3690.HK</v>
      </c>
      <c r="E715" s="5" t="str">
        <f ca="1">IFERROR(__xludf.DUMMYFUNCTION("""COMPUTED_VALUE"""),"HKD")</f>
        <v>HKD</v>
      </c>
      <c r="F715" s="55">
        <f ca="1">IFERROR(__xludf.DUMMYFUNCTION("""COMPUTED_VALUE"""),500)</f>
        <v>500</v>
      </c>
      <c r="G715" s="56">
        <f ca="1">IFERROR(__xludf.DUMMYFUNCTION("""COMPUTED_VALUE"""),1)</f>
        <v>1</v>
      </c>
      <c r="H715" s="57">
        <f ca="1">IFERROR(__xludf.DUMMYFUNCTION("""COMPUTED_VALUE"""),112.6)</f>
        <v>112.6</v>
      </c>
      <c r="I715" s="57">
        <f ca="1">IFERROR(__xludf.DUMMYFUNCTION("""COMPUTED_VALUE"""),156.2)</f>
        <v>156.19999999999999</v>
      </c>
      <c r="J715" s="70" t="str">
        <f ca="1">IFERROR(__xludf.DUMMYFUNCTION("""COMPUTED_VALUE"""),"Goto link: 3690.HK")</f>
        <v>Goto link: 3690.HK</v>
      </c>
      <c r="K715" s="19"/>
      <c r="L715" s="19"/>
      <c r="M715" s="19"/>
      <c r="N715" s="19"/>
      <c r="O715" s="59"/>
      <c r="P715" s="7"/>
      <c r="Q715" s="55"/>
      <c r="R715" s="55"/>
      <c r="S715" s="7"/>
      <c r="T715" s="55"/>
      <c r="U715" s="7"/>
      <c r="V715" s="55"/>
      <c r="W715" s="60"/>
      <c r="X715" s="55"/>
    </row>
    <row r="716" spans="1:24" ht="13" x14ac:dyDescent="0.15">
      <c r="A716" s="25" t="str">
        <f ca="1">IFERROR(__xludf.DUMMYFUNCTION("""COMPUTED_VALUE"""),"89750")</f>
        <v>89750</v>
      </c>
      <c r="B716" s="69">
        <f ca="1">IFERROR(__xludf.DUMMYFUNCTION("""COMPUTED_VALUE"""),44634)</f>
        <v>44634</v>
      </c>
      <c r="C716" s="69" t="str">
        <f ca="1">IFERROR(__xludf.DUMMYFUNCTION("""COMPUTED_VALUE"""),"Stock")</f>
        <v>Stock</v>
      </c>
      <c r="D716" s="5" t="str">
        <f ca="1">IFERROR(__xludf.DUMMYFUNCTION("""COMPUTED_VALUE"""),"TCEHY")</f>
        <v>TCEHY</v>
      </c>
      <c r="E716" s="5" t="str">
        <f ca="1">IFERROR(__xludf.DUMMYFUNCTION("""COMPUTED_VALUE"""),"USD")</f>
        <v>USD</v>
      </c>
      <c r="F716" s="55">
        <f ca="1">IFERROR(__xludf.DUMMYFUNCTION("""COMPUTED_VALUE"""),100)</f>
        <v>100</v>
      </c>
      <c r="G716" s="56">
        <f ca="1">IFERROR(__xludf.DUMMYFUNCTION("""COMPUTED_VALUE"""),7.82436055555555)</f>
        <v>7.8243605555555504</v>
      </c>
      <c r="H716" s="57">
        <f ca="1">IFERROR(__xludf.DUMMYFUNCTION("""COMPUTED_VALUE"""),40.76)</f>
        <v>40.76</v>
      </c>
      <c r="I716" s="57">
        <f ca="1">IFERROR(__xludf.DUMMYFUNCTION("""COMPUTED_VALUE"""),47.86)</f>
        <v>47.86</v>
      </c>
      <c r="J716" s="70" t="str">
        <f ca="1">IFERROR(__xludf.DUMMYFUNCTION("""COMPUTED_VALUE"""),"Goto link: TCEHY")</f>
        <v>Goto link: TCEHY</v>
      </c>
      <c r="K716" s="19"/>
      <c r="L716" s="19"/>
      <c r="M716" s="19"/>
      <c r="N716" s="19"/>
      <c r="O716" s="59"/>
      <c r="P716" s="7"/>
      <c r="Q716" s="55"/>
      <c r="R716" s="55"/>
      <c r="S716" s="7"/>
      <c r="T716" s="55"/>
      <c r="U716" s="7"/>
      <c r="V716" s="55"/>
      <c r="W716" s="60"/>
      <c r="X716" s="55"/>
    </row>
    <row r="717" spans="1:24" ht="13" x14ac:dyDescent="0.15">
      <c r="A717" s="25" t="str">
        <f ca="1">IFERROR(__xludf.DUMMYFUNCTION("""COMPUTED_VALUE"""),"89750")</f>
        <v>89750</v>
      </c>
      <c r="B717" s="69">
        <f ca="1">IFERROR(__xludf.DUMMYFUNCTION("""COMPUTED_VALUE"""),44635)</f>
        <v>44635</v>
      </c>
      <c r="C717" s="69" t="str">
        <f ca="1">IFERROR(__xludf.DUMMYFUNCTION("""COMPUTED_VALUE"""),"Option")</f>
        <v>Option</v>
      </c>
      <c r="D717" s="5" t="str">
        <f ca="1">IFERROR(__xludf.DUMMYFUNCTION("""COMPUTED_VALUE"""),"NU220414C00006000")</f>
        <v>NU220414C00006000</v>
      </c>
      <c r="E717" s="5" t="str">
        <f ca="1">IFERROR(__xludf.DUMMYFUNCTION("""COMPUTED_VALUE"""),"USD")</f>
        <v>USD</v>
      </c>
      <c r="F717" s="55">
        <f ca="1">IFERROR(__xludf.DUMMYFUNCTION("""COMPUTED_VALUE"""),2)</f>
        <v>2</v>
      </c>
      <c r="G717" s="56">
        <f ca="1">IFERROR(__xludf.DUMMYFUNCTION("""COMPUTED_VALUE"""),7.823749375)</f>
        <v>7.8237493750000002</v>
      </c>
      <c r="H717" s="57">
        <f ca="1">IFERROR(__xludf.DUMMYFUNCTION("""COMPUTED_VALUE"""),0.58)</f>
        <v>0.57999999999999996</v>
      </c>
      <c r="I717" s="57">
        <f ca="1">IFERROR(__xludf.DUMMYFUNCTION("""COMPUTED_VALUE"""),2.1)</f>
        <v>2.1</v>
      </c>
      <c r="J717" s="19" t="str">
        <f ca="1">IFERROR(__xludf.DUMMYFUNCTION("""COMPUTED_VALUE"""),"")</f>
        <v/>
      </c>
      <c r="K717" s="19"/>
      <c r="L717" s="19"/>
      <c r="M717" s="19"/>
      <c r="N717" s="19"/>
      <c r="O717" s="59"/>
      <c r="P717" s="7"/>
      <c r="Q717" s="55"/>
      <c r="R717" s="55"/>
      <c r="S717" s="7"/>
      <c r="T717" s="55"/>
      <c r="U717" s="7"/>
      <c r="V717" s="55"/>
      <c r="W717" s="60"/>
      <c r="X717" s="55"/>
    </row>
    <row r="718" spans="1:24" ht="13" x14ac:dyDescent="0.15">
      <c r="A718" s="25" t="str">
        <f ca="1">IFERROR(__xludf.DUMMYFUNCTION("""COMPUTED_VALUE"""),"89750")</f>
        <v>89750</v>
      </c>
      <c r="B718" s="69">
        <f ca="1">IFERROR(__xludf.DUMMYFUNCTION("""COMPUTED_VALUE"""),44635)</f>
        <v>44635</v>
      </c>
      <c r="C718" s="69" t="str">
        <f ca="1">IFERROR(__xludf.DUMMYFUNCTION("""COMPUTED_VALUE"""),"Option")</f>
        <v>Option</v>
      </c>
      <c r="D718" s="5" t="str">
        <f ca="1">IFERROR(__xludf.DUMMYFUNCTION("""COMPUTED_VALUE"""),"OXY220318P00065000")</f>
        <v>OXY220318P00065000</v>
      </c>
      <c r="E718" s="5" t="str">
        <f ca="1">IFERROR(__xludf.DUMMYFUNCTION("""COMPUTED_VALUE"""),"USD")</f>
        <v>USD</v>
      </c>
      <c r="F718" s="55">
        <f ca="1">IFERROR(__xludf.DUMMYFUNCTION("""COMPUTED_VALUE"""),2)</f>
        <v>2</v>
      </c>
      <c r="G718" s="56">
        <f ca="1">IFERROR(__xludf.DUMMYFUNCTION("""COMPUTED_VALUE"""),7.823749375)</f>
        <v>7.8237493750000002</v>
      </c>
      <c r="H718" s="57">
        <f ca="1">IFERROR(__xludf.DUMMYFUNCTION("""COMPUTED_VALUE"""),7.65)</f>
        <v>7.65</v>
      </c>
      <c r="I718" s="57">
        <f ca="1">IFERROR(__xludf.DUMMYFUNCTION("""COMPUTED_VALUE"""),0)</f>
        <v>0</v>
      </c>
      <c r="J718" s="19" t="str">
        <f ca="1">IFERROR(__xludf.DUMMYFUNCTION("""COMPUTED_VALUE"""),"")</f>
        <v/>
      </c>
      <c r="K718" s="19"/>
      <c r="L718" s="19"/>
      <c r="M718" s="19"/>
      <c r="N718" s="19"/>
      <c r="O718" s="59"/>
      <c r="P718" s="7"/>
      <c r="Q718" s="55"/>
      <c r="R718" s="55"/>
      <c r="S718" s="7"/>
      <c r="T718" s="55"/>
      <c r="U718" s="7"/>
      <c r="V718" s="55"/>
      <c r="W718" s="60"/>
      <c r="X718" s="55"/>
    </row>
    <row r="719" spans="1:24" ht="13" x14ac:dyDescent="0.15">
      <c r="A719" s="25" t="str">
        <f ca="1">IFERROR(__xludf.DUMMYFUNCTION("""COMPUTED_VALUE"""),"89750")</f>
        <v>89750</v>
      </c>
      <c r="B719" s="69">
        <f ca="1">IFERROR(__xludf.DUMMYFUNCTION("""COMPUTED_VALUE"""),44635)</f>
        <v>44635</v>
      </c>
      <c r="C719" s="69" t="str">
        <f ca="1">IFERROR(__xludf.DUMMYFUNCTION("""COMPUTED_VALUE"""),"Option")</f>
        <v>Option</v>
      </c>
      <c r="D719" s="5" t="str">
        <f ca="1">IFERROR(__xludf.DUMMYFUNCTION("""COMPUTED_VALUE"""),"TQQQ220408P00056000")</f>
        <v>TQQQ220408P00056000</v>
      </c>
      <c r="E719" s="5" t="str">
        <f ca="1">IFERROR(__xludf.DUMMYFUNCTION("""COMPUTED_VALUE"""),"USD")</f>
        <v>USD</v>
      </c>
      <c r="F719" s="55">
        <f ca="1">IFERROR(__xludf.DUMMYFUNCTION("""COMPUTED_VALUE"""),-20)</f>
        <v>-20</v>
      </c>
      <c r="G719" s="56">
        <f ca="1">IFERROR(__xludf.DUMMYFUNCTION("""COMPUTED_VALUE"""),7.823749375)</f>
        <v>7.8237493750000002</v>
      </c>
      <c r="H719" s="57">
        <f ca="1">IFERROR(__xludf.DUMMYFUNCTION("""COMPUTED_VALUE"""),13.51)</f>
        <v>13.51</v>
      </c>
      <c r="I719" s="57">
        <f ca="1">IFERROR(__xludf.DUMMYFUNCTION("""COMPUTED_VALUE"""),4.45)</f>
        <v>4.45</v>
      </c>
      <c r="J719" s="19" t="str">
        <f ca="1">IFERROR(__xludf.DUMMYFUNCTION("""COMPUTED_VALUE"""),"")</f>
        <v/>
      </c>
      <c r="K719" s="19"/>
      <c r="L719" s="19"/>
      <c r="M719" s="19"/>
      <c r="N719" s="19"/>
      <c r="O719" s="59"/>
      <c r="P719" s="7"/>
      <c r="Q719" s="55"/>
      <c r="R719" s="55"/>
      <c r="S719" s="7"/>
      <c r="T719" s="55"/>
      <c r="U719" s="7"/>
      <c r="V719" s="55"/>
      <c r="W719" s="60"/>
      <c r="X719" s="55"/>
    </row>
    <row r="720" spans="1:24" ht="13" x14ac:dyDescent="0.15">
      <c r="A720" s="25" t="str">
        <f ca="1">IFERROR(__xludf.DUMMYFUNCTION("""COMPUTED_VALUE"""),"89750")</f>
        <v>89750</v>
      </c>
      <c r="B720" s="69">
        <f ca="1">IFERROR(__xludf.DUMMYFUNCTION("""COMPUTED_VALUE"""),44635)</f>
        <v>44635</v>
      </c>
      <c r="C720" s="69" t="str">
        <f ca="1">IFERROR(__xludf.DUMMYFUNCTION("""COMPUTED_VALUE"""),"Stock")</f>
        <v>Stock</v>
      </c>
      <c r="D720" s="5" t="str">
        <f ca="1">IFERROR(__xludf.DUMMYFUNCTION("""COMPUTED_VALUE"""),"SBRCY")</f>
        <v>SBRCY</v>
      </c>
      <c r="E720" s="5" t="str">
        <f ca="1">IFERROR(__xludf.DUMMYFUNCTION("""COMPUTED_VALUE"""),"USD")</f>
        <v>USD</v>
      </c>
      <c r="F720" s="55">
        <f ca="1">IFERROR(__xludf.DUMMYFUNCTION("""COMPUTED_VALUE"""),5000)</f>
        <v>5000</v>
      </c>
      <c r="G720" s="56">
        <f ca="1">IFERROR(__xludf.DUMMYFUNCTION("""COMPUTED_VALUE"""),7.823749375)</f>
        <v>7.8237493750000002</v>
      </c>
      <c r="H720" s="57">
        <f ca="1">IFERROR(__xludf.DUMMYFUNCTION("""COMPUTED_VALUE"""),0.52)</f>
        <v>0.52</v>
      </c>
      <c r="I720" s="57">
        <f ca="1">IFERROR(__xludf.DUMMYFUNCTION("""COMPUTED_VALUE"""),0.52)</f>
        <v>0.52</v>
      </c>
      <c r="J720" s="70" t="str">
        <f ca="1">IFERROR(__xludf.DUMMYFUNCTION("""COMPUTED_VALUE"""),"Goto link: SBRCY")</f>
        <v>Goto link: SBRCY</v>
      </c>
      <c r="K720" s="19"/>
      <c r="L720" s="19"/>
      <c r="M720" s="19"/>
      <c r="N720" s="19"/>
      <c r="O720" s="59"/>
      <c r="P720" s="7"/>
      <c r="Q720" s="55"/>
      <c r="R720" s="55"/>
      <c r="S720" s="7"/>
      <c r="T720" s="55"/>
      <c r="U720" s="7"/>
      <c r="V720" s="55"/>
      <c r="W720" s="60"/>
      <c r="X720" s="55"/>
    </row>
    <row r="721" spans="1:24" ht="13" x14ac:dyDescent="0.15">
      <c r="A721" s="25" t="str">
        <f ca="1">IFERROR(__xludf.DUMMYFUNCTION("""COMPUTED_VALUE"""),"89750")</f>
        <v>89750</v>
      </c>
      <c r="B721" s="69">
        <f ca="1">IFERROR(__xludf.DUMMYFUNCTION("""COMPUTED_VALUE"""),44636)</f>
        <v>44636</v>
      </c>
      <c r="C721" s="69" t="str">
        <f ca="1">IFERROR(__xludf.DUMMYFUNCTION("""COMPUTED_VALUE"""),"Stock")</f>
        <v>Stock</v>
      </c>
      <c r="D721" s="71" t="str">
        <f ca="1">IFERROR(__xludf.DUMMYFUNCTION("""COMPUTED_VALUE"""),"3833.HK")</f>
        <v>3833.HK</v>
      </c>
      <c r="E721" s="5" t="str">
        <f ca="1">IFERROR(__xludf.DUMMYFUNCTION("""COMPUTED_VALUE"""),"HKD")</f>
        <v>HKD</v>
      </c>
      <c r="F721" s="55">
        <f ca="1">IFERROR(__xludf.DUMMYFUNCTION("""COMPUTED_VALUE"""),100000)</f>
        <v>100000</v>
      </c>
      <c r="G721" s="56">
        <f ca="1">IFERROR(__xludf.DUMMYFUNCTION("""COMPUTED_VALUE"""),1)</f>
        <v>1</v>
      </c>
      <c r="H721" s="57">
        <f ca="1">IFERROR(__xludf.DUMMYFUNCTION("""COMPUTED_VALUE"""),1.39)</f>
        <v>1.39</v>
      </c>
      <c r="I721" s="57">
        <f ca="1">IFERROR(__xludf.DUMMYFUNCTION("""COMPUTED_VALUE"""),1.48)</f>
        <v>1.48</v>
      </c>
      <c r="J721" s="70" t="str">
        <f ca="1">IFERROR(__xludf.DUMMYFUNCTION("""COMPUTED_VALUE"""),"Goto link: 3833.HK")</f>
        <v>Goto link: 3833.HK</v>
      </c>
      <c r="K721" s="19"/>
      <c r="L721" s="19"/>
      <c r="M721" s="19"/>
      <c r="N721" s="19"/>
      <c r="O721" s="59"/>
      <c r="P721" s="7"/>
      <c r="Q721" s="55"/>
      <c r="R721" s="55"/>
      <c r="S721" s="7"/>
      <c r="T721" s="55"/>
      <c r="U721" s="7"/>
      <c r="V721" s="55"/>
      <c r="W721" s="60"/>
      <c r="X721" s="55"/>
    </row>
    <row r="722" spans="1:24" ht="13" x14ac:dyDescent="0.15">
      <c r="A722" s="25" t="str">
        <f ca="1">IFERROR(__xludf.DUMMYFUNCTION("""COMPUTED_VALUE"""),"89750")</f>
        <v>89750</v>
      </c>
      <c r="B722" s="69">
        <f ca="1">IFERROR(__xludf.DUMMYFUNCTION("""COMPUTED_VALUE"""),44637)</f>
        <v>44637</v>
      </c>
      <c r="C722" s="69" t="str">
        <f ca="1">IFERROR(__xludf.DUMMYFUNCTION("""COMPUTED_VALUE"""),"Option")</f>
        <v>Option</v>
      </c>
      <c r="D722" s="5" t="str">
        <f ca="1">IFERROR(__xludf.DUMMYFUNCTION("""COMPUTED_VALUE"""),"OXY220318P00065000")</f>
        <v>OXY220318P00065000</v>
      </c>
      <c r="E722" s="5" t="str">
        <f ca="1">IFERROR(__xludf.DUMMYFUNCTION("""COMPUTED_VALUE"""),"USD")</f>
        <v>USD</v>
      </c>
      <c r="F722" s="55">
        <f ca="1">IFERROR(__xludf.DUMMYFUNCTION("""COMPUTED_VALUE"""),-2)</f>
        <v>-2</v>
      </c>
      <c r="G722" s="56">
        <f ca="1">IFERROR(__xludf.DUMMYFUNCTION("""COMPUTED_VALUE"""),7.82374916666666)</f>
        <v>7.8237491666666603</v>
      </c>
      <c r="H722" s="57">
        <f ca="1">IFERROR(__xludf.DUMMYFUNCTION("""COMPUTED_VALUE"""),7.65)</f>
        <v>7.65</v>
      </c>
      <c r="I722" s="57">
        <f ca="1">IFERROR(__xludf.DUMMYFUNCTION("""COMPUTED_VALUE"""),0)</f>
        <v>0</v>
      </c>
      <c r="J722" s="19" t="str">
        <f ca="1">IFERROR(__xludf.DUMMYFUNCTION("""COMPUTED_VALUE"""),"")</f>
        <v/>
      </c>
      <c r="K722" s="19"/>
      <c r="L722" s="19"/>
      <c r="M722" s="19"/>
      <c r="N722" s="19"/>
      <c r="O722" s="59"/>
      <c r="P722" s="7"/>
      <c r="Q722" s="55"/>
      <c r="R722" s="55"/>
      <c r="S722" s="7"/>
      <c r="T722" s="55"/>
      <c r="U722" s="7"/>
      <c r="V722" s="55"/>
      <c r="W722" s="60"/>
      <c r="X722" s="55"/>
    </row>
    <row r="723" spans="1:24" ht="13" x14ac:dyDescent="0.15">
      <c r="A723" s="25" t="str">
        <f ca="1">IFERROR(__xludf.DUMMYFUNCTION("""COMPUTED_VALUE"""),"89750 Total")</f>
        <v>89750 Total</v>
      </c>
      <c r="B723" s="5"/>
      <c r="C723" s="69"/>
      <c r="D723" s="5"/>
      <c r="E723" s="5"/>
      <c r="F723" s="55"/>
      <c r="G723" s="56">
        <f ca="1">IFERROR(__xludf.DUMMYFUNCTION("""COMPUTED_VALUE"""),5.55912329211232)</f>
        <v>5.5591232921123197</v>
      </c>
      <c r="H723" s="57">
        <f ca="1">IFERROR(__xludf.DUMMYFUNCTION("""COMPUTED_VALUE"""),233)</f>
        <v>233</v>
      </c>
      <c r="I723" s="57" t="str">
        <f ca="1">IFERROR(__xludf.DUMMYFUNCTION("""COMPUTED_VALUE"""),"")</f>
        <v/>
      </c>
      <c r="J723" s="19" t="str">
        <f ca="1">IFERROR(__xludf.DUMMYFUNCTION("""COMPUTED_VALUE"""),"")</f>
        <v/>
      </c>
      <c r="K723" s="19"/>
      <c r="L723" s="19"/>
      <c r="M723" s="19"/>
      <c r="N723" s="19"/>
      <c r="O723" s="59"/>
      <c r="P723" s="7"/>
      <c r="Q723" s="55"/>
      <c r="R723" s="55"/>
      <c r="S723" s="7"/>
      <c r="T723" s="55"/>
      <c r="U723" s="7"/>
      <c r="V723" s="55"/>
      <c r="W723" s="60"/>
      <c r="X723" s="55"/>
    </row>
    <row r="724" spans="1:24" ht="13" x14ac:dyDescent="0.15">
      <c r="A724" s="25" t="str">
        <f ca="1">IFERROR(__xludf.DUMMYFUNCTION("""COMPUTED_VALUE"""),"89833")</f>
        <v>89833</v>
      </c>
      <c r="B724" s="69">
        <f ca="1">IFERROR(__xludf.DUMMYFUNCTION("""COMPUTED_VALUE"""),44597)</f>
        <v>44597</v>
      </c>
      <c r="C724" s="69" t="str">
        <f ca="1">IFERROR(__xludf.DUMMYFUNCTION("""COMPUTED_VALUE"""),"Cash")</f>
        <v>Cash</v>
      </c>
      <c r="D724" s="5" t="str">
        <f ca="1">IFERROR(__xludf.DUMMYFUNCTION("""COMPUTED_VALUE"""),"Cash")</f>
        <v>Cash</v>
      </c>
      <c r="E724" s="5" t="str">
        <f ca="1">IFERROR(__xludf.DUMMYFUNCTION("""COMPUTED_VALUE"""),"HKD")</f>
        <v>HKD</v>
      </c>
      <c r="F724" s="55" t="str">
        <f ca="1">IFERROR(__xludf.DUMMYFUNCTION("""COMPUTED_VALUE"""),"")</f>
        <v/>
      </c>
      <c r="G724" s="56">
        <f ca="1">IFERROR(__xludf.DUMMYFUNCTION("""COMPUTED_VALUE"""),1)</f>
        <v>1</v>
      </c>
      <c r="H724" s="57">
        <f ca="1">IFERROR(__xludf.DUMMYFUNCTION("""COMPUTED_VALUE"""),1)</f>
        <v>1</v>
      </c>
      <c r="I724" s="57">
        <f ca="1">IFERROR(__xludf.DUMMYFUNCTION("""COMPUTED_VALUE"""),1)</f>
        <v>1</v>
      </c>
      <c r="J724" s="19" t="str">
        <f ca="1">IFERROR(__xludf.DUMMYFUNCTION("""COMPUTED_VALUE"""),"")</f>
        <v/>
      </c>
      <c r="K724" s="19"/>
      <c r="L724" s="19"/>
      <c r="M724" s="19"/>
      <c r="N724" s="19"/>
      <c r="O724" s="59"/>
      <c r="P724" s="7"/>
      <c r="Q724" s="55"/>
      <c r="R724" s="55"/>
      <c r="S724" s="7"/>
      <c r="T724" s="55"/>
      <c r="U724" s="7"/>
      <c r="V724" s="55"/>
      <c r="W724" s="60"/>
      <c r="X724" s="55"/>
    </row>
    <row r="725" spans="1:24" ht="13" x14ac:dyDescent="0.15">
      <c r="A725" s="25" t="str">
        <f ca="1">IFERROR(__xludf.DUMMYFUNCTION("""COMPUTED_VALUE"""),"89833 Total")</f>
        <v>89833 Total</v>
      </c>
      <c r="B725" s="5"/>
      <c r="C725" s="69"/>
      <c r="D725" s="5"/>
      <c r="E725" s="5"/>
      <c r="F725" s="55"/>
      <c r="G725" s="56">
        <f ca="1">IFERROR(__xludf.DUMMYFUNCTION("""COMPUTED_VALUE"""),1)</f>
        <v>1</v>
      </c>
      <c r="H725" s="57">
        <f ca="1">IFERROR(__xludf.DUMMYFUNCTION("""COMPUTED_VALUE"""),1)</f>
        <v>1</v>
      </c>
      <c r="I725" s="57" t="str">
        <f ca="1">IFERROR(__xludf.DUMMYFUNCTION("""COMPUTED_VALUE"""),"")</f>
        <v/>
      </c>
      <c r="J725" s="19" t="str">
        <f ca="1">IFERROR(__xludf.DUMMYFUNCTION("""COMPUTED_VALUE"""),"")</f>
        <v/>
      </c>
      <c r="K725" s="19"/>
      <c r="L725" s="19"/>
      <c r="M725" s="19"/>
      <c r="N725" s="19"/>
      <c r="O725" s="59"/>
      <c r="P725" s="7"/>
      <c r="Q725" s="55"/>
      <c r="R725" s="55"/>
      <c r="S725" s="7"/>
      <c r="T725" s="55"/>
      <c r="U725" s="7"/>
      <c r="V725" s="55"/>
      <c r="W725" s="60"/>
      <c r="X725" s="55"/>
    </row>
    <row r="726" spans="1:24" ht="13" x14ac:dyDescent="0.15">
      <c r="A726" s="25" t="str">
        <f ca="1">IFERROR(__xludf.DUMMYFUNCTION("""COMPUTED_VALUE"""),"89845")</f>
        <v>89845</v>
      </c>
      <c r="B726" s="69">
        <f ca="1">IFERROR(__xludf.DUMMYFUNCTION("""COMPUTED_VALUE"""),44597)</f>
        <v>44597</v>
      </c>
      <c r="C726" s="69" t="str">
        <f ca="1">IFERROR(__xludf.DUMMYFUNCTION("""COMPUTED_VALUE"""),"Cash")</f>
        <v>Cash</v>
      </c>
      <c r="D726" s="5" t="str">
        <f ca="1">IFERROR(__xludf.DUMMYFUNCTION("""COMPUTED_VALUE"""),"Cash")</f>
        <v>Cash</v>
      </c>
      <c r="E726" s="5" t="str">
        <f ca="1">IFERROR(__xludf.DUMMYFUNCTION("""COMPUTED_VALUE"""),"HKD")</f>
        <v>HKD</v>
      </c>
      <c r="F726" s="55" t="str">
        <f ca="1">IFERROR(__xludf.DUMMYFUNCTION("""COMPUTED_VALUE"""),"")</f>
        <v/>
      </c>
      <c r="G726" s="56">
        <f ca="1">IFERROR(__xludf.DUMMYFUNCTION("""COMPUTED_VALUE"""),1)</f>
        <v>1</v>
      </c>
      <c r="H726" s="57">
        <f ca="1">IFERROR(__xludf.DUMMYFUNCTION("""COMPUTED_VALUE"""),1)</f>
        <v>1</v>
      </c>
      <c r="I726" s="57">
        <f ca="1">IFERROR(__xludf.DUMMYFUNCTION("""COMPUTED_VALUE"""),1)</f>
        <v>1</v>
      </c>
      <c r="J726" s="19" t="str">
        <f ca="1">IFERROR(__xludf.DUMMYFUNCTION("""COMPUTED_VALUE"""),"")</f>
        <v/>
      </c>
      <c r="K726" s="19"/>
      <c r="L726" s="19"/>
      <c r="M726" s="19"/>
      <c r="N726" s="19"/>
      <c r="O726" s="59"/>
      <c r="P726" s="7"/>
      <c r="Q726" s="55"/>
      <c r="R726" s="55"/>
      <c r="S726" s="7"/>
      <c r="T726" s="55"/>
      <c r="U726" s="7"/>
      <c r="V726" s="55"/>
      <c r="W726" s="60"/>
      <c r="X726" s="55"/>
    </row>
    <row r="727" spans="1:24" ht="13" x14ac:dyDescent="0.15">
      <c r="A727" s="25" t="str">
        <f ca="1">IFERROR(__xludf.DUMMYFUNCTION("""COMPUTED_VALUE"""),"89845")</f>
        <v>89845</v>
      </c>
      <c r="B727" s="69">
        <f ca="1">IFERROR(__xludf.DUMMYFUNCTION("""COMPUTED_VALUE"""),44638)</f>
        <v>44638</v>
      </c>
      <c r="C727" s="69" t="str">
        <f ca="1">IFERROR(__xludf.DUMMYFUNCTION("""COMPUTED_VALUE"""),"Stock")</f>
        <v>Stock</v>
      </c>
      <c r="D727" s="5" t="str">
        <f ca="1">IFERROR(__xludf.DUMMYFUNCTION("""COMPUTED_VALUE"""),"ASML")</f>
        <v>ASML</v>
      </c>
      <c r="E727" s="5" t="str">
        <f ca="1">IFERROR(__xludf.DUMMYFUNCTION("""COMPUTED_VALUE"""),"USD")</f>
        <v>USD</v>
      </c>
      <c r="F727" s="55">
        <f ca="1">IFERROR(__xludf.DUMMYFUNCTION("""COMPUTED_VALUE"""),0)</f>
        <v>0</v>
      </c>
      <c r="G727" s="56">
        <f ca="1">IFERROR(__xludf.DUMMYFUNCTION("""COMPUTED_VALUE"""),7.82510899999999)</f>
        <v>7.8251089999999897</v>
      </c>
      <c r="H727" s="57">
        <f ca="1">IFERROR(__xludf.DUMMYFUNCTION("""COMPUTED_VALUE"""),0)</f>
        <v>0</v>
      </c>
      <c r="I727" s="57">
        <f ca="1">IFERROR(__xludf.DUMMYFUNCTION("""COMPUTED_VALUE"""),665.36)</f>
        <v>665.36</v>
      </c>
      <c r="J727" s="70" t="str">
        <f ca="1">IFERROR(__xludf.DUMMYFUNCTION("""COMPUTED_VALUE"""),"Goto link: ASML")</f>
        <v>Goto link: ASML</v>
      </c>
      <c r="K727" s="19"/>
      <c r="L727" s="19"/>
      <c r="M727" s="19"/>
      <c r="N727" s="19"/>
      <c r="O727" s="59"/>
      <c r="P727" s="7"/>
      <c r="Q727" s="55"/>
      <c r="R727" s="55"/>
      <c r="S727" s="7"/>
      <c r="T727" s="55"/>
      <c r="U727" s="7"/>
      <c r="V727" s="55"/>
      <c r="W727" s="60"/>
      <c r="X727" s="55"/>
    </row>
    <row r="728" spans="1:24" ht="13" x14ac:dyDescent="0.15">
      <c r="A728" s="25" t="str">
        <f ca="1">IFERROR(__xludf.DUMMYFUNCTION("""COMPUTED_VALUE"""),"89845")</f>
        <v>89845</v>
      </c>
      <c r="B728" s="69">
        <f ca="1">IFERROR(__xludf.DUMMYFUNCTION("""COMPUTED_VALUE"""),44642)</f>
        <v>44642</v>
      </c>
      <c r="C728" s="69" t="str">
        <f ca="1">IFERROR(__xludf.DUMMYFUNCTION("""COMPUTED_VALUE"""),"Stock")</f>
        <v>Stock</v>
      </c>
      <c r="D728" s="5" t="str">
        <f ca="1">IFERROR(__xludf.DUMMYFUNCTION("""COMPUTED_VALUE"""),"ASML")</f>
        <v>ASML</v>
      </c>
      <c r="E728" s="5" t="str">
        <f ca="1">IFERROR(__xludf.DUMMYFUNCTION("""COMPUTED_VALUE"""),"USD")</f>
        <v>USD</v>
      </c>
      <c r="F728" s="55" t="str">
        <f ca="1">IFERROR(__xludf.DUMMYFUNCTION("""COMPUTED_VALUE"""),"")</f>
        <v/>
      </c>
      <c r="G728" s="56">
        <f ca="1">IFERROR(__xludf.DUMMYFUNCTION("""COMPUTED_VALUE"""),7.82695)</f>
        <v>7.8269500000000001</v>
      </c>
      <c r="H728" s="57">
        <f ca="1">IFERROR(__xludf.DUMMYFUNCTION("""COMPUTED_VALUE"""),688.74)</f>
        <v>688.74</v>
      </c>
      <c r="I728" s="57">
        <f ca="1">IFERROR(__xludf.DUMMYFUNCTION("""COMPUTED_VALUE"""),665.36)</f>
        <v>665.36</v>
      </c>
      <c r="J728" s="70" t="str">
        <f ca="1">IFERROR(__xludf.DUMMYFUNCTION("""COMPUTED_VALUE"""),"Goto link: ASML")</f>
        <v>Goto link: ASML</v>
      </c>
      <c r="K728" s="19"/>
      <c r="L728" s="19"/>
      <c r="M728" s="19"/>
      <c r="N728" s="19"/>
      <c r="O728" s="59"/>
      <c r="P728" s="7"/>
      <c r="Q728" s="55"/>
      <c r="R728" s="55"/>
      <c r="S728" s="7"/>
      <c r="T728" s="55"/>
      <c r="U728" s="7"/>
      <c r="V728" s="55"/>
      <c r="W728" s="60"/>
      <c r="X728" s="55"/>
    </row>
    <row r="729" spans="1:24" ht="13" x14ac:dyDescent="0.15">
      <c r="A729" s="25" t="str">
        <f ca="1">IFERROR(__xludf.DUMMYFUNCTION("""COMPUTED_VALUE"""),"89845 Total")</f>
        <v>89845 Total</v>
      </c>
      <c r="B729" s="5"/>
      <c r="C729" s="69"/>
      <c r="D729" s="5"/>
      <c r="E729" s="5"/>
      <c r="F729" s="55"/>
      <c r="G729" s="56">
        <f ca="1">IFERROR(__xludf.DUMMYFUNCTION("""COMPUTED_VALUE"""),2.76134814516129)</f>
        <v>2.76134814516129</v>
      </c>
      <c r="H729" s="57">
        <f ca="1">IFERROR(__xludf.DUMMYFUNCTION("""COMPUTED_VALUE"""),688.74)</f>
        <v>688.74</v>
      </c>
      <c r="I729" s="57" t="str">
        <f ca="1">IFERROR(__xludf.DUMMYFUNCTION("""COMPUTED_VALUE"""),"")</f>
        <v/>
      </c>
      <c r="J729" s="19" t="str">
        <f ca="1">IFERROR(__xludf.DUMMYFUNCTION("""COMPUTED_VALUE"""),"")</f>
        <v/>
      </c>
      <c r="K729" s="19"/>
      <c r="L729" s="19"/>
      <c r="M729" s="19"/>
      <c r="N729" s="19"/>
      <c r="O729" s="59"/>
      <c r="P729" s="7"/>
      <c r="Q729" s="55"/>
      <c r="R729" s="55"/>
      <c r="S729" s="7"/>
      <c r="T729" s="55"/>
      <c r="U729" s="7"/>
      <c r="V729" s="55"/>
      <c r="W729" s="60"/>
      <c r="X729" s="55"/>
    </row>
    <row r="730" spans="1:24" ht="13" x14ac:dyDescent="0.15">
      <c r="A730" s="25" t="str">
        <f ca="1">IFERROR(__xludf.DUMMYFUNCTION("""COMPUTED_VALUE"""),"95516")</f>
        <v>95516</v>
      </c>
      <c r="B730" s="69">
        <f ca="1">IFERROR(__xludf.DUMMYFUNCTION("""COMPUTED_VALUE"""),44597)</f>
        <v>44597</v>
      </c>
      <c r="C730" s="69" t="str">
        <f ca="1">IFERROR(__xludf.DUMMYFUNCTION("""COMPUTED_VALUE"""),"Cash")</f>
        <v>Cash</v>
      </c>
      <c r="D730" s="5" t="str">
        <f ca="1">IFERROR(__xludf.DUMMYFUNCTION("""COMPUTED_VALUE"""),"Cash")</f>
        <v>Cash</v>
      </c>
      <c r="E730" s="5" t="str">
        <f ca="1">IFERROR(__xludf.DUMMYFUNCTION("""COMPUTED_VALUE"""),"HKD")</f>
        <v>HKD</v>
      </c>
      <c r="F730" s="55" t="str">
        <f ca="1">IFERROR(__xludf.DUMMYFUNCTION("""COMPUTED_VALUE"""),"")</f>
        <v/>
      </c>
      <c r="G730" s="56">
        <f ca="1">IFERROR(__xludf.DUMMYFUNCTION("""COMPUTED_VALUE"""),1)</f>
        <v>1</v>
      </c>
      <c r="H730" s="57">
        <f ca="1">IFERROR(__xludf.DUMMYFUNCTION("""COMPUTED_VALUE"""),1)</f>
        <v>1</v>
      </c>
      <c r="I730" s="57">
        <f ca="1">IFERROR(__xludf.DUMMYFUNCTION("""COMPUTED_VALUE"""),1)</f>
        <v>1</v>
      </c>
      <c r="J730" s="19" t="str">
        <f ca="1">IFERROR(__xludf.DUMMYFUNCTION("""COMPUTED_VALUE"""),"")</f>
        <v/>
      </c>
      <c r="K730" s="19"/>
      <c r="L730" s="19"/>
      <c r="M730" s="19"/>
      <c r="N730" s="19"/>
      <c r="O730" s="59"/>
      <c r="P730" s="7"/>
      <c r="Q730" s="55"/>
      <c r="R730" s="55"/>
      <c r="S730" s="7"/>
      <c r="T730" s="55"/>
      <c r="U730" s="7"/>
      <c r="V730" s="55"/>
      <c r="W730" s="60"/>
      <c r="X730" s="55"/>
    </row>
    <row r="731" spans="1:24" ht="13" x14ac:dyDescent="0.15">
      <c r="A731" s="25" t="str">
        <f ca="1">IFERROR(__xludf.DUMMYFUNCTION("""COMPUTED_VALUE"""),"95516")</f>
        <v>95516</v>
      </c>
      <c r="B731" s="69">
        <f ca="1">IFERROR(__xludf.DUMMYFUNCTION("""COMPUTED_VALUE"""),44637)</f>
        <v>44637</v>
      </c>
      <c r="C731" s="69" t="str">
        <f ca="1">IFERROR(__xludf.DUMMYFUNCTION("""COMPUTED_VALUE"""),"Stock")</f>
        <v>Stock</v>
      </c>
      <c r="D731" s="71" t="str">
        <f ca="1">IFERROR(__xludf.DUMMYFUNCTION("""COMPUTED_VALUE"""),"0175.HK")</f>
        <v>0175.HK</v>
      </c>
      <c r="E731" s="5" t="str">
        <f ca="1">IFERROR(__xludf.DUMMYFUNCTION("""COMPUTED_VALUE"""),"HKD")</f>
        <v>HKD</v>
      </c>
      <c r="F731" s="55">
        <f ca="1">IFERROR(__xludf.DUMMYFUNCTION("""COMPUTED_VALUE"""),5000)</f>
        <v>5000</v>
      </c>
      <c r="G731" s="56">
        <f ca="1">IFERROR(__xludf.DUMMYFUNCTION("""COMPUTED_VALUE"""),1)</f>
        <v>1</v>
      </c>
      <c r="H731" s="57">
        <f ca="1">IFERROR(__xludf.DUMMYFUNCTION("""COMPUTED_VALUE"""),11.6)</f>
        <v>11.6</v>
      </c>
      <c r="I731" s="57">
        <f ca="1">IFERROR(__xludf.DUMMYFUNCTION("""COMPUTED_VALUE"""),11.96)</f>
        <v>11.96</v>
      </c>
      <c r="J731" s="70" t="str">
        <f ca="1">IFERROR(__xludf.DUMMYFUNCTION("""COMPUTED_VALUE"""),"Goto link: 0175.HK")</f>
        <v>Goto link: 0175.HK</v>
      </c>
      <c r="K731" s="19"/>
      <c r="L731" s="19"/>
      <c r="M731" s="19"/>
      <c r="N731" s="19"/>
      <c r="O731" s="59"/>
      <c r="P731" s="7"/>
      <c r="Q731" s="55"/>
      <c r="R731" s="55"/>
      <c r="S731" s="7"/>
      <c r="T731" s="55"/>
      <c r="U731" s="7"/>
      <c r="V731" s="55"/>
      <c r="W731" s="60"/>
      <c r="X731" s="55"/>
    </row>
    <row r="732" spans="1:24" ht="13" x14ac:dyDescent="0.15">
      <c r="A732" s="25" t="str">
        <f ca="1">IFERROR(__xludf.DUMMYFUNCTION("""COMPUTED_VALUE"""),"95516")</f>
        <v>95516</v>
      </c>
      <c r="B732" s="69">
        <f ca="1">IFERROR(__xludf.DUMMYFUNCTION("""COMPUTED_VALUE"""),44637)</f>
        <v>44637</v>
      </c>
      <c r="C732" s="69" t="str">
        <f ca="1">IFERROR(__xludf.DUMMYFUNCTION("""COMPUTED_VALUE"""),"Stock")</f>
        <v>Stock</v>
      </c>
      <c r="D732" s="71" t="str">
        <f ca="1">IFERROR(__xludf.DUMMYFUNCTION("""COMPUTED_VALUE"""),"0968.HK")</f>
        <v>0968.HK</v>
      </c>
      <c r="E732" s="5" t="str">
        <f ca="1">IFERROR(__xludf.DUMMYFUNCTION("""COMPUTED_VALUE"""),"HKD")</f>
        <v>HKD</v>
      </c>
      <c r="F732" s="55">
        <f ca="1">IFERROR(__xludf.DUMMYFUNCTION("""COMPUTED_VALUE"""),10000)</f>
        <v>10000</v>
      </c>
      <c r="G732" s="56">
        <f ca="1">IFERROR(__xludf.DUMMYFUNCTION("""COMPUTED_VALUE"""),1)</f>
        <v>1</v>
      </c>
      <c r="H732" s="57">
        <f ca="1">IFERROR(__xludf.DUMMYFUNCTION("""COMPUTED_VALUE"""),14)</f>
        <v>14</v>
      </c>
      <c r="I732" s="57">
        <f ca="1">IFERROR(__xludf.DUMMYFUNCTION("""COMPUTED_VALUE"""),14.06)</f>
        <v>14.06</v>
      </c>
      <c r="J732" s="70" t="str">
        <f ca="1">IFERROR(__xludf.DUMMYFUNCTION("""COMPUTED_VALUE"""),"Goto link: 0968.HK")</f>
        <v>Goto link: 0968.HK</v>
      </c>
      <c r="K732" s="19"/>
      <c r="L732" s="19"/>
      <c r="M732" s="19"/>
      <c r="N732" s="19"/>
      <c r="O732" s="59"/>
      <c r="P732" s="7"/>
      <c r="Q732" s="55"/>
      <c r="R732" s="55"/>
      <c r="S732" s="7"/>
      <c r="T732" s="55"/>
      <c r="U732" s="7"/>
      <c r="V732" s="55"/>
      <c r="W732" s="60"/>
      <c r="X732" s="55"/>
    </row>
    <row r="733" spans="1:24" ht="13" x14ac:dyDescent="0.15">
      <c r="A733" s="25" t="str">
        <f ca="1">IFERROR(__xludf.DUMMYFUNCTION("""COMPUTED_VALUE"""),"95516")</f>
        <v>95516</v>
      </c>
      <c r="B733" s="69">
        <f ca="1">IFERROR(__xludf.DUMMYFUNCTION("""COMPUTED_VALUE"""),44637)</f>
        <v>44637</v>
      </c>
      <c r="C733" s="69" t="str">
        <f ca="1">IFERROR(__xludf.DUMMYFUNCTION("""COMPUTED_VALUE"""),"Stock")</f>
        <v>Stock</v>
      </c>
      <c r="D733" s="71" t="str">
        <f ca="1">IFERROR(__xludf.DUMMYFUNCTION("""COMPUTED_VALUE"""),"3800.HK")</f>
        <v>3800.HK</v>
      </c>
      <c r="E733" s="5" t="str">
        <f ca="1">IFERROR(__xludf.DUMMYFUNCTION("""COMPUTED_VALUE"""),"HKD")</f>
        <v>HKD</v>
      </c>
      <c r="F733" s="55">
        <f ca="1">IFERROR(__xludf.DUMMYFUNCTION("""COMPUTED_VALUE"""),10000)</f>
        <v>10000</v>
      </c>
      <c r="G733" s="56">
        <f ca="1">IFERROR(__xludf.DUMMYFUNCTION("""COMPUTED_VALUE"""),1)</f>
        <v>1</v>
      </c>
      <c r="H733" s="57">
        <f ca="1">IFERROR(__xludf.DUMMYFUNCTION("""COMPUTED_VALUE"""),2.54)</f>
        <v>2.54</v>
      </c>
      <c r="I733" s="57">
        <f ca="1">IFERROR(__xludf.DUMMYFUNCTION("""COMPUTED_VALUE"""),2.56)</f>
        <v>2.56</v>
      </c>
      <c r="J733" s="70" t="str">
        <f ca="1">IFERROR(__xludf.DUMMYFUNCTION("""COMPUTED_VALUE"""),"Goto link: 3800.HK")</f>
        <v>Goto link: 3800.HK</v>
      </c>
      <c r="K733" s="19"/>
      <c r="L733" s="19"/>
      <c r="M733" s="19"/>
      <c r="N733" s="19"/>
      <c r="O733" s="59"/>
      <c r="P733" s="7"/>
      <c r="Q733" s="55"/>
      <c r="R733" s="55"/>
      <c r="S733" s="7"/>
      <c r="T733" s="55"/>
      <c r="U733" s="7"/>
      <c r="V733" s="55"/>
      <c r="W733" s="60"/>
      <c r="X733" s="55"/>
    </row>
    <row r="734" spans="1:24" ht="13" x14ac:dyDescent="0.15">
      <c r="A734" s="25" t="str">
        <f ca="1">IFERROR(__xludf.DUMMYFUNCTION("""COMPUTED_VALUE"""),"95516")</f>
        <v>95516</v>
      </c>
      <c r="B734" s="69">
        <f ca="1">IFERROR(__xludf.DUMMYFUNCTION("""COMPUTED_VALUE"""),44637)</f>
        <v>44637</v>
      </c>
      <c r="C734" s="69" t="str">
        <f ca="1">IFERROR(__xludf.DUMMYFUNCTION("""COMPUTED_VALUE"""),"Stock")</f>
        <v>Stock</v>
      </c>
      <c r="D734" s="71" t="str">
        <f ca="1">IFERROR(__xludf.DUMMYFUNCTION("""COMPUTED_VALUE"""),"9988.HK")</f>
        <v>9988.HK</v>
      </c>
      <c r="E734" s="5" t="str">
        <f ca="1">IFERROR(__xludf.DUMMYFUNCTION("""COMPUTED_VALUE"""),"HKD")</f>
        <v>HKD</v>
      </c>
      <c r="F734" s="55">
        <f ca="1">IFERROR(__xludf.DUMMYFUNCTION("""COMPUTED_VALUE"""),500)</f>
        <v>500</v>
      </c>
      <c r="G734" s="56">
        <f ca="1">IFERROR(__xludf.DUMMYFUNCTION("""COMPUTED_VALUE"""),1)</f>
        <v>1</v>
      </c>
      <c r="H734" s="57">
        <f ca="1">IFERROR(__xludf.DUMMYFUNCTION("""COMPUTED_VALUE"""),102)</f>
        <v>102</v>
      </c>
      <c r="I734" s="57">
        <f ca="1">IFERROR(__xludf.DUMMYFUNCTION("""COMPUTED_VALUE"""),117.6)</f>
        <v>117.6</v>
      </c>
      <c r="J734" s="70" t="str">
        <f ca="1">IFERROR(__xludf.DUMMYFUNCTION("""COMPUTED_VALUE"""),"Goto link: 9988.HK")</f>
        <v>Goto link: 9988.HK</v>
      </c>
      <c r="K734" s="19"/>
      <c r="L734" s="19"/>
      <c r="M734" s="19"/>
      <c r="N734" s="19"/>
      <c r="O734" s="59"/>
      <c r="P734" s="7"/>
      <c r="Q734" s="55"/>
      <c r="R734" s="55"/>
      <c r="S734" s="7"/>
      <c r="T734" s="55"/>
      <c r="U734" s="7"/>
      <c r="V734" s="55"/>
      <c r="W734" s="60"/>
      <c r="X734" s="55"/>
    </row>
    <row r="735" spans="1:24" ht="13" x14ac:dyDescent="0.15">
      <c r="A735" s="25" t="str">
        <f ca="1">IFERROR(__xludf.DUMMYFUNCTION("""COMPUTED_VALUE"""),"95516")</f>
        <v>95516</v>
      </c>
      <c r="B735" s="69">
        <f ca="1">IFERROR(__xludf.DUMMYFUNCTION("""COMPUTED_VALUE"""),44637)</f>
        <v>44637</v>
      </c>
      <c r="C735" s="69" t="str">
        <f ca="1">IFERROR(__xludf.DUMMYFUNCTION("""COMPUTED_VALUE"""),"Stock")</f>
        <v>Stock</v>
      </c>
      <c r="D735" s="71" t="str">
        <f ca="1">IFERROR(__xludf.DUMMYFUNCTION("""COMPUTED_VALUE"""),"9999.HK")</f>
        <v>9999.HK</v>
      </c>
      <c r="E735" s="5" t="str">
        <f ca="1">IFERROR(__xludf.DUMMYFUNCTION("""COMPUTED_VALUE"""),"HKD")</f>
        <v>HKD</v>
      </c>
      <c r="F735" s="55">
        <f ca="1">IFERROR(__xludf.DUMMYFUNCTION("""COMPUTED_VALUE"""),500)</f>
        <v>500</v>
      </c>
      <c r="G735" s="56">
        <f ca="1">IFERROR(__xludf.DUMMYFUNCTION("""COMPUTED_VALUE"""),1)</f>
        <v>1</v>
      </c>
      <c r="H735" s="57">
        <f ca="1">IFERROR(__xludf.DUMMYFUNCTION("""COMPUTED_VALUE"""),142.3)</f>
        <v>142.30000000000001</v>
      </c>
      <c r="I735" s="57">
        <f ca="1">IFERROR(__xludf.DUMMYFUNCTION("""COMPUTED_VALUE"""),151.3)</f>
        <v>151.30000000000001</v>
      </c>
      <c r="J735" s="70" t="str">
        <f ca="1">IFERROR(__xludf.DUMMYFUNCTION("""COMPUTED_VALUE"""),"Goto link: 9999.HK")</f>
        <v>Goto link: 9999.HK</v>
      </c>
      <c r="K735" s="19"/>
      <c r="L735" s="19"/>
      <c r="M735" s="19"/>
      <c r="N735" s="19"/>
      <c r="O735" s="59"/>
      <c r="P735" s="7"/>
      <c r="Q735" s="55"/>
      <c r="R735" s="55"/>
      <c r="S735" s="7"/>
      <c r="T735" s="55"/>
      <c r="U735" s="7"/>
      <c r="V735" s="55"/>
      <c r="W735" s="60"/>
      <c r="X735" s="55"/>
    </row>
    <row r="736" spans="1:24" ht="13" x14ac:dyDescent="0.15">
      <c r="A736" s="25" t="str">
        <f ca="1">IFERROR(__xludf.DUMMYFUNCTION("""COMPUTED_VALUE"""),"95516")</f>
        <v>95516</v>
      </c>
      <c r="B736" s="69">
        <f ca="1">IFERROR(__xludf.DUMMYFUNCTION("""COMPUTED_VALUE"""),44641)</f>
        <v>44641</v>
      </c>
      <c r="C736" s="69" t="str">
        <f ca="1">IFERROR(__xludf.DUMMYFUNCTION("""COMPUTED_VALUE"""),"Stock")</f>
        <v>Stock</v>
      </c>
      <c r="D736" s="71" t="str">
        <f ca="1">IFERROR(__xludf.DUMMYFUNCTION("""COMPUTED_VALUE"""),"9988.HK")</f>
        <v>9988.HK</v>
      </c>
      <c r="E736" s="5" t="str">
        <f ca="1">IFERROR(__xludf.DUMMYFUNCTION("""COMPUTED_VALUE"""),"HKD")</f>
        <v>HKD</v>
      </c>
      <c r="F736" s="55">
        <f ca="1">IFERROR(__xludf.DUMMYFUNCTION("""COMPUTED_VALUE"""),1500)</f>
        <v>1500</v>
      </c>
      <c r="G736" s="56">
        <f ca="1">IFERROR(__xludf.DUMMYFUNCTION("""COMPUTED_VALUE"""),1)</f>
        <v>1</v>
      </c>
      <c r="H736" s="57">
        <f ca="1">IFERROR(__xludf.DUMMYFUNCTION("""COMPUTED_VALUE"""),99.1)</f>
        <v>99.1</v>
      </c>
      <c r="I736" s="57">
        <f ca="1">IFERROR(__xludf.DUMMYFUNCTION("""COMPUTED_VALUE"""),117.6)</f>
        <v>117.6</v>
      </c>
      <c r="J736" s="70" t="str">
        <f ca="1">IFERROR(__xludf.DUMMYFUNCTION("""COMPUTED_VALUE"""),"Goto link: 9988.HK")</f>
        <v>Goto link: 9988.HK</v>
      </c>
      <c r="K736" s="19"/>
      <c r="L736" s="19"/>
      <c r="M736" s="19"/>
      <c r="N736" s="19"/>
      <c r="O736" s="59"/>
      <c r="P736" s="7"/>
      <c r="Q736" s="55"/>
      <c r="R736" s="55"/>
      <c r="S736" s="7"/>
      <c r="T736" s="55"/>
      <c r="U736" s="7"/>
      <c r="V736" s="55"/>
      <c r="W736" s="60"/>
      <c r="X736" s="55"/>
    </row>
    <row r="737" spans="1:24" ht="13" x14ac:dyDescent="0.15">
      <c r="A737" s="25" t="str">
        <f ca="1">IFERROR(__xludf.DUMMYFUNCTION("""COMPUTED_VALUE"""),"95516 Total")</f>
        <v>95516 Total</v>
      </c>
      <c r="B737" s="5"/>
      <c r="C737" s="69"/>
      <c r="D737" s="5"/>
      <c r="E737" s="5"/>
      <c r="F737" s="55"/>
      <c r="G737" s="56">
        <f ca="1">IFERROR(__xludf.DUMMYFUNCTION("""COMPUTED_VALUE"""),1)</f>
        <v>1</v>
      </c>
      <c r="H737" s="57">
        <f ca="1">IFERROR(__xludf.DUMMYFUNCTION("""COMPUTED_VALUE"""),142.3)</f>
        <v>142.30000000000001</v>
      </c>
      <c r="I737" s="57" t="str">
        <f ca="1">IFERROR(__xludf.DUMMYFUNCTION("""COMPUTED_VALUE"""),"")</f>
        <v/>
      </c>
      <c r="J737" s="19" t="str">
        <f ca="1">IFERROR(__xludf.DUMMYFUNCTION("""COMPUTED_VALUE"""),"")</f>
        <v/>
      </c>
      <c r="K737" s="19"/>
      <c r="L737" s="19"/>
      <c r="M737" s="19"/>
      <c r="N737" s="19"/>
      <c r="O737" s="59"/>
      <c r="P737" s="7"/>
      <c r="Q737" s="55"/>
      <c r="R737" s="55"/>
      <c r="S737" s="7"/>
      <c r="T737" s="55"/>
      <c r="U737" s="7"/>
      <c r="V737" s="55"/>
      <c r="W737" s="60"/>
      <c r="X737" s="55"/>
    </row>
    <row r="738" spans="1:24" ht="13" x14ac:dyDescent="0.15">
      <c r="A738" s="25" t="str">
        <f ca="1">IFERROR(__xludf.DUMMYFUNCTION("""COMPUTED_VALUE"""),"C0007")</f>
        <v>C0007</v>
      </c>
      <c r="B738" s="69">
        <f ca="1">IFERROR(__xludf.DUMMYFUNCTION("""COMPUTED_VALUE"""),44562)</f>
        <v>44562</v>
      </c>
      <c r="C738" s="69" t="str">
        <f ca="1">IFERROR(__xludf.DUMMYFUNCTION("""COMPUTED_VALUE"""),"Cash")</f>
        <v>Cash</v>
      </c>
      <c r="D738" s="5" t="str">
        <f ca="1">IFERROR(__xludf.DUMMYFUNCTION("""COMPUTED_VALUE"""),"Cash")</f>
        <v>Cash</v>
      </c>
      <c r="E738" s="5" t="str">
        <f ca="1">IFERROR(__xludf.DUMMYFUNCTION("""COMPUTED_VALUE"""),"HKD")</f>
        <v>HKD</v>
      </c>
      <c r="F738" s="55" t="str">
        <f ca="1">IFERROR(__xludf.DUMMYFUNCTION("""COMPUTED_VALUE"""),"")</f>
        <v/>
      </c>
      <c r="G738" s="56">
        <f ca="1">IFERROR(__xludf.DUMMYFUNCTION("""COMPUTED_VALUE"""),1)</f>
        <v>1</v>
      </c>
      <c r="H738" s="57">
        <f ca="1">IFERROR(__xludf.DUMMYFUNCTION("""COMPUTED_VALUE"""),1)</f>
        <v>1</v>
      </c>
      <c r="I738" s="57">
        <f ca="1">IFERROR(__xludf.DUMMYFUNCTION("""COMPUTED_VALUE"""),1)</f>
        <v>1</v>
      </c>
      <c r="J738" s="19" t="str">
        <f ca="1">IFERROR(__xludf.DUMMYFUNCTION("""COMPUTED_VALUE"""),"")</f>
        <v/>
      </c>
      <c r="K738" s="19"/>
      <c r="L738" s="19"/>
      <c r="M738" s="19"/>
      <c r="N738" s="19"/>
      <c r="O738" s="59"/>
      <c r="P738" s="7"/>
      <c r="Q738" s="55"/>
      <c r="R738" s="55"/>
      <c r="S738" s="7"/>
      <c r="T738" s="55"/>
      <c r="U738" s="7"/>
      <c r="V738" s="55"/>
      <c r="W738" s="60"/>
      <c r="X738" s="55"/>
    </row>
    <row r="739" spans="1:24" ht="13" x14ac:dyDescent="0.15">
      <c r="A739" s="25" t="str">
        <f ca="1">IFERROR(__xludf.DUMMYFUNCTION("""COMPUTED_VALUE"""),"C0007 Total")</f>
        <v>C0007 Total</v>
      </c>
      <c r="B739" s="5"/>
      <c r="C739" s="69"/>
      <c r="D739" s="5"/>
      <c r="E739" s="5"/>
      <c r="F739" s="55"/>
      <c r="G739" s="56">
        <f ca="1">IFERROR(__xludf.DUMMYFUNCTION("""COMPUTED_VALUE"""),1)</f>
        <v>1</v>
      </c>
      <c r="H739" s="57">
        <f ca="1">IFERROR(__xludf.DUMMYFUNCTION("""COMPUTED_VALUE"""),1)</f>
        <v>1</v>
      </c>
      <c r="I739" s="57" t="str">
        <f ca="1">IFERROR(__xludf.DUMMYFUNCTION("""COMPUTED_VALUE"""),"")</f>
        <v/>
      </c>
      <c r="J739" s="19" t="str">
        <f ca="1">IFERROR(__xludf.DUMMYFUNCTION("""COMPUTED_VALUE"""),"")</f>
        <v/>
      </c>
      <c r="K739" s="19"/>
      <c r="L739" s="19"/>
      <c r="M739" s="19"/>
      <c r="N739" s="19"/>
      <c r="O739" s="59"/>
      <c r="P739" s="7"/>
      <c r="Q739" s="55"/>
      <c r="R739" s="55"/>
      <c r="S739" s="7"/>
      <c r="T739" s="55"/>
      <c r="U739" s="7"/>
      <c r="V739" s="55"/>
      <c r="W739" s="60"/>
      <c r="X739" s="55"/>
    </row>
    <row r="740" spans="1:24" ht="13" x14ac:dyDescent="0.15">
      <c r="A740" s="25" t="str">
        <f ca="1">IFERROR(__xludf.DUMMYFUNCTION("""COMPUTED_VALUE"""),"MONKEY")</f>
        <v>MONKEY</v>
      </c>
      <c r="B740" s="69">
        <f ca="1">IFERROR(__xludf.DUMMYFUNCTION("""COMPUTED_VALUE"""),44562)</f>
        <v>44562</v>
      </c>
      <c r="C740" s="69" t="str">
        <f ca="1">IFERROR(__xludf.DUMMYFUNCTION("""COMPUTED_VALUE"""),"Cash")</f>
        <v>Cash</v>
      </c>
      <c r="D740" s="5" t="str">
        <f ca="1">IFERROR(__xludf.DUMMYFUNCTION("""COMPUTED_VALUE"""),"Cash")</f>
        <v>Cash</v>
      </c>
      <c r="E740" s="5" t="str">
        <f ca="1">IFERROR(__xludf.DUMMYFUNCTION("""COMPUTED_VALUE"""),"HKD")</f>
        <v>HKD</v>
      </c>
      <c r="F740" s="55" t="str">
        <f ca="1">IFERROR(__xludf.DUMMYFUNCTION("""COMPUTED_VALUE"""),"")</f>
        <v/>
      </c>
      <c r="G740" s="56">
        <f ca="1">IFERROR(__xludf.DUMMYFUNCTION("""COMPUTED_VALUE"""),1)</f>
        <v>1</v>
      </c>
      <c r="H740" s="57">
        <f ca="1">IFERROR(__xludf.DUMMYFUNCTION("""COMPUTED_VALUE"""),1)</f>
        <v>1</v>
      </c>
      <c r="I740" s="57">
        <f ca="1">IFERROR(__xludf.DUMMYFUNCTION("""COMPUTED_VALUE"""),1)</f>
        <v>1</v>
      </c>
      <c r="J740" s="19" t="str">
        <f ca="1">IFERROR(__xludf.DUMMYFUNCTION("""COMPUTED_VALUE"""),"")</f>
        <v/>
      </c>
      <c r="K740" s="19"/>
      <c r="L740" s="19"/>
      <c r="M740" s="19"/>
      <c r="N740" s="19"/>
      <c r="O740" s="59"/>
      <c r="P740" s="7"/>
      <c r="Q740" s="55"/>
      <c r="R740" s="55"/>
      <c r="S740" s="7"/>
      <c r="T740" s="55"/>
      <c r="U740" s="7"/>
      <c r="V740" s="55"/>
      <c r="W740" s="60"/>
      <c r="X740" s="55"/>
    </row>
    <row r="741" spans="1:24" ht="13" x14ac:dyDescent="0.15">
      <c r="A741" s="25" t="str">
        <f ca="1">IFERROR(__xludf.DUMMYFUNCTION("""COMPUTED_VALUE"""),"MONKEY")</f>
        <v>MONKEY</v>
      </c>
      <c r="B741" s="69">
        <f ca="1">IFERROR(__xludf.DUMMYFUNCTION("""COMPUTED_VALUE"""),44595)</f>
        <v>44595</v>
      </c>
      <c r="C741" s="69" t="str">
        <f ca="1">IFERROR(__xludf.DUMMYFUNCTION("""COMPUTED_VALUE"""),"Stock")</f>
        <v>Stock</v>
      </c>
      <c r="D741" s="5" t="str">
        <f ca="1">IFERROR(__xludf.DUMMYFUNCTION("""COMPUTED_VALUE"""),"AMZN")</f>
        <v>AMZN</v>
      </c>
      <c r="E741" s="5" t="str">
        <f ca="1">IFERROR(__xludf.DUMMYFUNCTION("""COMPUTED_VALUE"""),"USD")</f>
        <v>USD</v>
      </c>
      <c r="F741" s="55">
        <f ca="1">IFERROR(__xludf.DUMMYFUNCTION("""COMPUTED_VALUE"""),1)</f>
        <v>1</v>
      </c>
      <c r="G741" s="56">
        <f ca="1">IFERROR(__xludf.DUMMYFUNCTION("""COMPUTED_VALUE"""),7.80977989583333)</f>
        <v>7.80977989583333</v>
      </c>
      <c r="H741" s="57">
        <f ca="1">IFERROR(__xludf.DUMMYFUNCTION("""COMPUTED_VALUE"""),2776.91)</f>
        <v>2776.91</v>
      </c>
      <c r="I741" s="57">
        <f ca="1">IFERROR(__xludf.DUMMYFUNCTION("""COMPUTED_VALUE"""),3268.16)</f>
        <v>3268.16</v>
      </c>
      <c r="J741" s="70" t="str">
        <f ca="1">IFERROR(__xludf.DUMMYFUNCTION("""COMPUTED_VALUE"""),"Goto link: AMZN")</f>
        <v>Goto link: AMZN</v>
      </c>
      <c r="K741" s="19"/>
      <c r="L741" s="19"/>
      <c r="M741" s="19"/>
      <c r="N741" s="19"/>
      <c r="O741" s="59"/>
      <c r="P741" s="7"/>
      <c r="Q741" s="55"/>
      <c r="R741" s="55"/>
      <c r="S741" s="7"/>
      <c r="T741" s="55"/>
      <c r="U741" s="7"/>
      <c r="V741" s="55"/>
      <c r="W741" s="60"/>
      <c r="X741" s="55"/>
    </row>
    <row r="742" spans="1:24" ht="13" x14ac:dyDescent="0.15">
      <c r="A742" s="25" t="str">
        <f ca="1">IFERROR(__xludf.DUMMYFUNCTION("""COMPUTED_VALUE"""),"MONKEY")</f>
        <v>MONKEY</v>
      </c>
      <c r="B742" s="69">
        <f ca="1">IFERROR(__xludf.DUMMYFUNCTION("""COMPUTED_VALUE"""),44610)</f>
        <v>44610</v>
      </c>
      <c r="C742" s="69" t="str">
        <f ca="1">IFERROR(__xludf.DUMMYFUNCTION("""COMPUTED_VALUE"""),"Stock")</f>
        <v>Stock</v>
      </c>
      <c r="D742" s="71" t="str">
        <f ca="1">IFERROR(__xludf.DUMMYFUNCTION("""COMPUTED_VALUE"""),"0909.HK")</f>
        <v>0909.HK</v>
      </c>
      <c r="E742" s="5" t="str">
        <f ca="1">IFERROR(__xludf.DUMMYFUNCTION("""COMPUTED_VALUE"""),"HKD")</f>
        <v>HKD</v>
      </c>
      <c r="F742" s="55">
        <f ca="1">IFERROR(__xludf.DUMMYFUNCTION("""COMPUTED_VALUE"""),360)</f>
        <v>360</v>
      </c>
      <c r="G742" s="56">
        <f ca="1">IFERROR(__xludf.DUMMYFUNCTION("""COMPUTED_VALUE"""),1)</f>
        <v>1</v>
      </c>
      <c r="H742" s="57">
        <f ca="1">IFERROR(__xludf.DUMMYFUNCTION("""COMPUTED_VALUE"""),17.62)</f>
        <v>17.62</v>
      </c>
      <c r="I742" s="57">
        <f ca="1">IFERROR(__xludf.DUMMYFUNCTION("""COMPUTED_VALUE"""),11.52)</f>
        <v>11.52</v>
      </c>
      <c r="J742" s="70" t="str">
        <f ca="1">IFERROR(__xludf.DUMMYFUNCTION("""COMPUTED_VALUE"""),"Goto link: 0909.HK")</f>
        <v>Goto link: 0909.HK</v>
      </c>
      <c r="K742" s="19"/>
      <c r="L742" s="19"/>
      <c r="M742" s="19"/>
      <c r="N742" s="19"/>
      <c r="O742" s="59"/>
      <c r="P742" s="7"/>
      <c r="Q742" s="55"/>
      <c r="R742" s="55"/>
      <c r="S742" s="7"/>
      <c r="T742" s="55"/>
      <c r="U742" s="7"/>
      <c r="V742" s="55"/>
      <c r="W742" s="60"/>
      <c r="X742" s="55"/>
    </row>
    <row r="743" spans="1:24" ht="13" x14ac:dyDescent="0.15">
      <c r="A743" s="25" t="str">
        <f ca="1">IFERROR(__xludf.DUMMYFUNCTION("""COMPUTED_VALUE"""),"MONKEY")</f>
        <v>MONKEY</v>
      </c>
      <c r="B743" s="69">
        <f ca="1">IFERROR(__xludf.DUMMYFUNCTION("""COMPUTED_VALUE"""),44610)</f>
        <v>44610</v>
      </c>
      <c r="C743" s="69" t="str">
        <f ca="1">IFERROR(__xludf.DUMMYFUNCTION("""COMPUTED_VALUE"""),"Stock")</f>
        <v>Stock</v>
      </c>
      <c r="D743" s="71" t="str">
        <f ca="1">IFERROR(__xludf.DUMMYFUNCTION("""COMPUTED_VALUE"""),"9961.HK")</f>
        <v>9961.HK</v>
      </c>
      <c r="E743" s="5" t="str">
        <f ca="1">IFERROR(__xludf.DUMMYFUNCTION("""COMPUTED_VALUE"""),"HKD")</f>
        <v>HKD</v>
      </c>
      <c r="F743" s="55">
        <f ca="1">IFERROR(__xludf.DUMMYFUNCTION("""COMPUTED_VALUE"""),30)</f>
        <v>30</v>
      </c>
      <c r="G743" s="56">
        <f ca="1">IFERROR(__xludf.DUMMYFUNCTION("""COMPUTED_VALUE"""),1)</f>
        <v>1</v>
      </c>
      <c r="H743" s="57">
        <f ca="1">IFERROR(__xludf.DUMMYFUNCTION("""COMPUTED_VALUE"""),232.8)</f>
        <v>232.8</v>
      </c>
      <c r="I743" s="57">
        <f ca="1">IFERROR(__xludf.DUMMYFUNCTION("""COMPUTED_VALUE"""),191.1)</f>
        <v>191.1</v>
      </c>
      <c r="J743" s="70" t="str">
        <f ca="1">IFERROR(__xludf.DUMMYFUNCTION("""COMPUTED_VALUE"""),"Goto link: 9961.HK")</f>
        <v>Goto link: 9961.HK</v>
      </c>
      <c r="K743" s="19"/>
      <c r="L743" s="19"/>
      <c r="M743" s="19"/>
      <c r="N743" s="19"/>
      <c r="O743" s="59"/>
      <c r="P743" s="7"/>
      <c r="Q743" s="55"/>
      <c r="R743" s="55"/>
      <c r="S743" s="7"/>
      <c r="T743" s="55"/>
      <c r="U743" s="7"/>
      <c r="V743" s="55"/>
      <c r="W743" s="60"/>
      <c r="X743" s="55"/>
    </row>
    <row r="744" spans="1:24" ht="13" x14ac:dyDescent="0.15">
      <c r="A744" s="25" t="str">
        <f ca="1">IFERROR(__xludf.DUMMYFUNCTION("""COMPUTED_VALUE"""),"MONKEY")</f>
        <v>MONKEY</v>
      </c>
      <c r="B744" s="69">
        <f ca="1">IFERROR(__xludf.DUMMYFUNCTION("""COMPUTED_VALUE"""),44610)</f>
        <v>44610</v>
      </c>
      <c r="C744" s="69" t="str">
        <f ca="1">IFERROR(__xludf.DUMMYFUNCTION("""COMPUTED_VALUE"""),"Stock")</f>
        <v>Stock</v>
      </c>
      <c r="D744" s="71" t="str">
        <f ca="1">IFERROR(__xludf.DUMMYFUNCTION("""COMPUTED_VALUE"""),"9999.HK")</f>
        <v>9999.HK</v>
      </c>
      <c r="E744" s="5" t="str">
        <f ca="1">IFERROR(__xludf.DUMMYFUNCTION("""COMPUTED_VALUE"""),"HKD")</f>
        <v>HKD</v>
      </c>
      <c r="F744" s="55">
        <f ca="1">IFERROR(__xludf.DUMMYFUNCTION("""COMPUTED_VALUE"""),40)</f>
        <v>40</v>
      </c>
      <c r="G744" s="56">
        <f ca="1">IFERROR(__xludf.DUMMYFUNCTION("""COMPUTED_VALUE"""),1)</f>
        <v>1</v>
      </c>
      <c r="H744" s="57">
        <f ca="1">IFERROR(__xludf.DUMMYFUNCTION("""COMPUTED_VALUE"""),156.7)</f>
        <v>156.69999999999999</v>
      </c>
      <c r="I744" s="57">
        <f ca="1">IFERROR(__xludf.DUMMYFUNCTION("""COMPUTED_VALUE"""),151.3)</f>
        <v>151.30000000000001</v>
      </c>
      <c r="J744" s="70" t="str">
        <f ca="1">IFERROR(__xludf.DUMMYFUNCTION("""COMPUTED_VALUE"""),"Goto link: 9999.HK")</f>
        <v>Goto link: 9999.HK</v>
      </c>
      <c r="K744" s="19"/>
      <c r="L744" s="19"/>
      <c r="M744" s="19"/>
      <c r="N744" s="19"/>
      <c r="O744" s="59"/>
      <c r="P744" s="7"/>
      <c r="Q744" s="55"/>
      <c r="R744" s="55"/>
      <c r="S744" s="7"/>
      <c r="T744" s="55"/>
      <c r="U744" s="7"/>
      <c r="V744" s="55"/>
      <c r="W744" s="60"/>
      <c r="X744" s="55"/>
    </row>
    <row r="745" spans="1:24" ht="13" x14ac:dyDescent="0.15">
      <c r="A745" s="25" t="str">
        <f ca="1">IFERROR(__xludf.DUMMYFUNCTION("""COMPUTED_VALUE"""),"MONKEY")</f>
        <v>MONKEY</v>
      </c>
      <c r="B745" s="69">
        <f ca="1">IFERROR(__xludf.DUMMYFUNCTION("""COMPUTED_VALUE"""),44610)</f>
        <v>44610</v>
      </c>
      <c r="C745" s="69" t="str">
        <f ca="1">IFERROR(__xludf.DUMMYFUNCTION("""COMPUTED_VALUE"""),"Stock")</f>
        <v>Stock</v>
      </c>
      <c r="D745" s="5" t="str">
        <f ca="1">IFERROR(__xludf.DUMMYFUNCTION("""COMPUTED_VALUE"""),"AMGN")</f>
        <v>AMGN</v>
      </c>
      <c r="E745" s="5" t="str">
        <f ca="1">IFERROR(__xludf.DUMMYFUNCTION("""COMPUTED_VALUE"""),"USD")</f>
        <v>USD</v>
      </c>
      <c r="F745" s="55">
        <f ca="1">IFERROR(__xludf.DUMMYFUNCTION("""COMPUTED_VALUE"""),30)</f>
        <v>30</v>
      </c>
      <c r="G745" s="56">
        <f ca="1">IFERROR(__xludf.DUMMYFUNCTION("""COMPUTED_VALUE"""),7.81612515151515)</f>
        <v>7.8161251515151502</v>
      </c>
      <c r="H745" s="57">
        <f ca="1">IFERROR(__xludf.DUMMYFUNCTION("""COMPUTED_VALUE"""),220.77)</f>
        <v>220.77</v>
      </c>
      <c r="I745" s="57">
        <f ca="1">IFERROR(__xludf.DUMMYFUNCTION("""COMPUTED_VALUE"""),234.18)</f>
        <v>234.18</v>
      </c>
      <c r="J745" s="70" t="str">
        <f ca="1">IFERROR(__xludf.DUMMYFUNCTION("""COMPUTED_VALUE"""),"Goto link: AMGN")</f>
        <v>Goto link: AMGN</v>
      </c>
      <c r="K745" s="19"/>
      <c r="L745" s="19"/>
      <c r="M745" s="19"/>
      <c r="N745" s="19"/>
      <c r="O745" s="59"/>
      <c r="P745" s="7"/>
      <c r="Q745" s="55"/>
      <c r="R745" s="55"/>
      <c r="S745" s="7"/>
      <c r="T745" s="55"/>
      <c r="U745" s="7"/>
      <c r="V745" s="55"/>
      <c r="W745" s="60"/>
      <c r="X745" s="55"/>
    </row>
    <row r="746" spans="1:24" ht="13" x14ac:dyDescent="0.15">
      <c r="A746" s="25" t="str">
        <f ca="1">IFERROR(__xludf.DUMMYFUNCTION("""COMPUTED_VALUE"""),"MONKEY")</f>
        <v>MONKEY</v>
      </c>
      <c r="B746" s="69">
        <f ca="1">IFERROR(__xludf.DUMMYFUNCTION("""COMPUTED_VALUE"""),44610)</f>
        <v>44610</v>
      </c>
      <c r="C746" s="69" t="str">
        <f ca="1">IFERROR(__xludf.DUMMYFUNCTION("""COMPUTED_VALUE"""),"Stock")</f>
        <v>Stock</v>
      </c>
      <c r="D746" s="5" t="str">
        <f ca="1">IFERROR(__xludf.DUMMYFUNCTION("""COMPUTED_VALUE"""),"ATVI")</f>
        <v>ATVI</v>
      </c>
      <c r="E746" s="5" t="str">
        <f ca="1">IFERROR(__xludf.DUMMYFUNCTION("""COMPUTED_VALUE"""),"USD")</f>
        <v>USD</v>
      </c>
      <c r="F746" s="55">
        <f ca="1">IFERROR(__xludf.DUMMYFUNCTION("""COMPUTED_VALUE"""),80)</f>
        <v>80</v>
      </c>
      <c r="G746" s="56">
        <f ca="1">IFERROR(__xludf.DUMMYFUNCTION("""COMPUTED_VALUE"""),7.81612515151515)</f>
        <v>7.8161251515151502</v>
      </c>
      <c r="H746" s="57">
        <f ca="1">IFERROR(__xludf.DUMMYFUNCTION("""COMPUTED_VALUE"""),81.05)</f>
        <v>81.05</v>
      </c>
      <c r="I746" s="57">
        <f ca="1">IFERROR(__xludf.DUMMYFUNCTION("""COMPUTED_VALUE"""),79.07)</f>
        <v>79.069999999999993</v>
      </c>
      <c r="J746" s="70" t="str">
        <f ca="1">IFERROR(__xludf.DUMMYFUNCTION("""COMPUTED_VALUE"""),"Goto link: ATVI")</f>
        <v>Goto link: ATVI</v>
      </c>
      <c r="K746" s="19"/>
      <c r="L746" s="19"/>
      <c r="M746" s="19"/>
      <c r="N746" s="19"/>
      <c r="O746" s="59"/>
      <c r="P746" s="7"/>
      <c r="Q746" s="55"/>
      <c r="R746" s="55"/>
      <c r="S746" s="7"/>
      <c r="T746" s="55"/>
      <c r="U746" s="7"/>
      <c r="V746" s="55"/>
      <c r="W746" s="60"/>
      <c r="X746" s="55"/>
    </row>
    <row r="747" spans="1:24" ht="13" x14ac:dyDescent="0.15">
      <c r="A747" s="25" t="str">
        <f ca="1">IFERROR(__xludf.DUMMYFUNCTION("""COMPUTED_VALUE"""),"MONKEY")</f>
        <v>MONKEY</v>
      </c>
      <c r="B747" s="69">
        <f ca="1">IFERROR(__xludf.DUMMYFUNCTION("""COMPUTED_VALUE"""),44610)</f>
        <v>44610</v>
      </c>
      <c r="C747" s="69" t="str">
        <f ca="1">IFERROR(__xludf.DUMMYFUNCTION("""COMPUTED_VALUE"""),"Stock")</f>
        <v>Stock</v>
      </c>
      <c r="D747" s="5" t="str">
        <f ca="1">IFERROR(__xludf.DUMMYFUNCTION("""COMPUTED_VALUE"""),"LCID")</f>
        <v>LCID</v>
      </c>
      <c r="E747" s="5" t="str">
        <f ca="1">IFERROR(__xludf.DUMMYFUNCTION("""COMPUTED_VALUE"""),"USD")</f>
        <v>USD</v>
      </c>
      <c r="F747" s="55">
        <f ca="1">IFERROR(__xludf.DUMMYFUNCTION("""COMPUTED_VALUE"""),230)</f>
        <v>230</v>
      </c>
      <c r="G747" s="56">
        <f ca="1">IFERROR(__xludf.DUMMYFUNCTION("""COMPUTED_VALUE"""),7.81612515151515)</f>
        <v>7.8161251515151502</v>
      </c>
      <c r="H747" s="57">
        <f ca="1">IFERROR(__xludf.DUMMYFUNCTION("""COMPUTED_VALUE"""),26.59)</f>
        <v>26.59</v>
      </c>
      <c r="I747" s="57">
        <f ca="1">IFERROR(__xludf.DUMMYFUNCTION("""COMPUTED_VALUE"""),25.9)</f>
        <v>25.9</v>
      </c>
      <c r="J747" s="70" t="str">
        <f ca="1">IFERROR(__xludf.DUMMYFUNCTION("""COMPUTED_VALUE"""),"Goto link: LCID")</f>
        <v>Goto link: LCID</v>
      </c>
      <c r="K747" s="19"/>
      <c r="L747" s="19"/>
      <c r="M747" s="19"/>
      <c r="N747" s="19"/>
      <c r="O747" s="59"/>
      <c r="P747" s="7"/>
      <c r="Q747" s="55"/>
      <c r="R747" s="55"/>
      <c r="S747" s="7"/>
      <c r="T747" s="55"/>
      <c r="U747" s="7"/>
      <c r="V747" s="55"/>
      <c r="W747" s="60"/>
      <c r="X747" s="55"/>
    </row>
    <row r="748" spans="1:24" ht="13" x14ac:dyDescent="0.15">
      <c r="A748" s="25" t="str">
        <f ca="1">IFERROR(__xludf.DUMMYFUNCTION("""COMPUTED_VALUE"""),"MONKEY")</f>
        <v>MONKEY</v>
      </c>
      <c r="B748" s="69">
        <f ca="1">IFERROR(__xludf.DUMMYFUNCTION("""COMPUTED_VALUE"""),44610)</f>
        <v>44610</v>
      </c>
      <c r="C748" s="69" t="str">
        <f ca="1">IFERROR(__xludf.DUMMYFUNCTION("""COMPUTED_VALUE"""),"Stock")</f>
        <v>Stock</v>
      </c>
      <c r="D748" s="5" t="str">
        <f ca="1">IFERROR(__xludf.DUMMYFUNCTION("""COMPUTED_VALUE"""),"PANW")</f>
        <v>PANW</v>
      </c>
      <c r="E748" s="5" t="str">
        <f ca="1">IFERROR(__xludf.DUMMYFUNCTION("""COMPUTED_VALUE"""),"USD")</f>
        <v>USD</v>
      </c>
      <c r="F748" s="55">
        <f ca="1">IFERROR(__xludf.DUMMYFUNCTION("""COMPUTED_VALUE"""),10)</f>
        <v>10</v>
      </c>
      <c r="G748" s="56">
        <f ca="1">IFERROR(__xludf.DUMMYFUNCTION("""COMPUTED_VALUE"""),7.81612515151515)</f>
        <v>7.8161251515151502</v>
      </c>
      <c r="H748" s="57">
        <f ca="1">IFERROR(__xludf.DUMMYFUNCTION("""COMPUTED_VALUE"""),482.17)</f>
        <v>482.17</v>
      </c>
      <c r="I748" s="57">
        <f ca="1">IFERROR(__xludf.DUMMYFUNCTION("""COMPUTED_VALUE"""),604.04)</f>
        <v>604.04</v>
      </c>
      <c r="J748" s="70" t="str">
        <f ca="1">IFERROR(__xludf.DUMMYFUNCTION("""COMPUTED_VALUE"""),"Goto link: PANW")</f>
        <v>Goto link: PANW</v>
      </c>
      <c r="K748" s="19"/>
      <c r="L748" s="19"/>
      <c r="M748" s="19"/>
      <c r="N748" s="19"/>
      <c r="O748" s="59"/>
      <c r="P748" s="7"/>
      <c r="Q748" s="55"/>
      <c r="R748" s="55"/>
      <c r="S748" s="7"/>
      <c r="T748" s="55"/>
      <c r="U748" s="7"/>
      <c r="V748" s="55"/>
      <c r="W748" s="60"/>
      <c r="X748" s="55"/>
    </row>
    <row r="749" spans="1:24" ht="13" x14ac:dyDescent="0.15">
      <c r="A749" s="25" t="str">
        <f ca="1">IFERROR(__xludf.DUMMYFUNCTION("""COMPUTED_VALUE"""),"MONKEY")</f>
        <v>MONKEY</v>
      </c>
      <c r="B749" s="69">
        <f ca="1">IFERROR(__xludf.DUMMYFUNCTION("""COMPUTED_VALUE"""),44610)</f>
        <v>44610</v>
      </c>
      <c r="C749" s="69" t="str">
        <f ca="1">IFERROR(__xludf.DUMMYFUNCTION("""COMPUTED_VALUE"""),"Stock")</f>
        <v>Stock</v>
      </c>
      <c r="D749" s="5" t="str">
        <f ca="1">IFERROR(__xludf.DUMMYFUNCTION("""COMPUTED_VALUE"""),"SNPS")</f>
        <v>SNPS</v>
      </c>
      <c r="E749" s="5" t="str">
        <f ca="1">IFERROR(__xludf.DUMMYFUNCTION("""COMPUTED_VALUE"""),"USD")</f>
        <v>USD</v>
      </c>
      <c r="F749" s="55">
        <f ca="1">IFERROR(__xludf.DUMMYFUNCTION("""COMPUTED_VALUE"""),20)</f>
        <v>20</v>
      </c>
      <c r="G749" s="56">
        <f ca="1">IFERROR(__xludf.DUMMYFUNCTION("""COMPUTED_VALUE"""),7.81612515151515)</f>
        <v>7.8161251515151502</v>
      </c>
      <c r="H749" s="57">
        <f ca="1">IFERROR(__xludf.DUMMYFUNCTION("""COMPUTED_VALUE"""),287.63)</f>
        <v>287.63</v>
      </c>
      <c r="I749" s="57"/>
      <c r="J749" s="19"/>
      <c r="K749" s="19"/>
      <c r="L749" s="19"/>
      <c r="M749" s="19"/>
      <c r="N749" s="19"/>
      <c r="O749" s="59"/>
      <c r="P749" s="7"/>
      <c r="Q749" s="55"/>
      <c r="R749" s="55"/>
      <c r="S749" s="7"/>
      <c r="T749" s="55"/>
      <c r="U749" s="7"/>
      <c r="V749" s="55"/>
      <c r="W749" s="60"/>
      <c r="X749" s="55"/>
    </row>
    <row r="750" spans="1:24" ht="13" x14ac:dyDescent="0.15">
      <c r="A750" s="25" t="str">
        <f ca="1">IFERROR(__xludf.DUMMYFUNCTION("""COMPUTED_VALUE"""),"MONKEY")</f>
        <v>MONKEY</v>
      </c>
      <c r="B750" s="69">
        <f ca="1">IFERROR(__xludf.DUMMYFUNCTION("""COMPUTED_VALUE"""),44610)</f>
        <v>44610</v>
      </c>
      <c r="C750" s="69" t="str">
        <f ca="1">IFERROR(__xludf.DUMMYFUNCTION("""COMPUTED_VALUE"""),"Stock")</f>
        <v>Stock</v>
      </c>
      <c r="D750" s="5" t="str">
        <f ca="1">IFERROR(__xludf.DUMMYFUNCTION("""COMPUTED_VALUE"""),"TEAM")</f>
        <v>TEAM</v>
      </c>
      <c r="E750" s="5" t="str">
        <f ca="1">IFERROR(__xludf.DUMMYFUNCTION("""COMPUTED_VALUE"""),"USD")</f>
        <v>USD</v>
      </c>
      <c r="F750" s="55">
        <f ca="1">IFERROR(__xludf.DUMMYFUNCTION("""COMPUTED_VALUE"""),20)</f>
        <v>20</v>
      </c>
      <c r="G750" s="56">
        <f ca="1">IFERROR(__xludf.DUMMYFUNCTION("""COMPUTED_VALUE"""),7.81612515151515)</f>
        <v>7.8161251515151502</v>
      </c>
      <c r="H750" s="57">
        <f ca="1">IFERROR(__xludf.DUMMYFUNCTION("""COMPUTED_VALUE"""),298.07)</f>
        <v>298.07</v>
      </c>
      <c r="I750" s="57"/>
      <c r="J750" s="19"/>
      <c r="K750" s="19"/>
      <c r="L750" s="19"/>
      <c r="M750" s="19"/>
      <c r="N750" s="19"/>
      <c r="O750" s="59"/>
      <c r="P750" s="7"/>
      <c r="Q750" s="55"/>
      <c r="R750" s="55"/>
      <c r="S750" s="7"/>
      <c r="T750" s="55"/>
      <c r="U750" s="7"/>
      <c r="V750" s="55"/>
      <c r="W750" s="60"/>
      <c r="X750" s="55"/>
    </row>
    <row r="751" spans="1:24" ht="13" x14ac:dyDescent="0.15">
      <c r="A751" s="25" t="str">
        <f ca="1">IFERROR(__xludf.DUMMYFUNCTION("""COMPUTED_VALUE"""),"MONKEY")</f>
        <v>MONKEY</v>
      </c>
      <c r="B751" s="69">
        <f ca="1">IFERROR(__xludf.DUMMYFUNCTION("""COMPUTED_VALUE"""),44610)</f>
        <v>44610</v>
      </c>
      <c r="C751" s="69" t="str">
        <f ca="1">IFERROR(__xludf.DUMMYFUNCTION("""COMPUTED_VALUE"""),"Stock")</f>
        <v>Stock</v>
      </c>
      <c r="D751" s="5" t="str">
        <f ca="1">IFERROR(__xludf.DUMMYFUNCTION("""COMPUTED_VALUE"""),"TMUS")</f>
        <v>TMUS</v>
      </c>
      <c r="E751" s="5" t="str">
        <f ca="1">IFERROR(__xludf.DUMMYFUNCTION("""COMPUTED_VALUE"""),"USD")</f>
        <v>USD</v>
      </c>
      <c r="F751" s="55">
        <f ca="1">IFERROR(__xludf.DUMMYFUNCTION("""COMPUTED_VALUE"""),50)</f>
        <v>50</v>
      </c>
      <c r="G751" s="56">
        <f ca="1">IFERROR(__xludf.DUMMYFUNCTION("""COMPUTED_VALUE"""),7.81612515151515)</f>
        <v>7.8161251515151502</v>
      </c>
      <c r="H751" s="57">
        <f ca="1">IFERROR(__xludf.DUMMYFUNCTION("""COMPUTED_VALUE"""),123.98)</f>
        <v>123.98</v>
      </c>
      <c r="I751" s="57"/>
      <c r="J751" s="19"/>
      <c r="K751" s="19"/>
      <c r="L751" s="19"/>
      <c r="M751" s="19"/>
      <c r="N751" s="19"/>
      <c r="O751" s="59"/>
      <c r="P751" s="7"/>
      <c r="Q751" s="55"/>
      <c r="R751" s="55"/>
      <c r="S751" s="7"/>
      <c r="T751" s="55"/>
      <c r="U751" s="7"/>
      <c r="V751" s="55"/>
      <c r="W751" s="60"/>
      <c r="X751" s="55"/>
    </row>
    <row r="752" spans="1:24" ht="13" x14ac:dyDescent="0.15">
      <c r="A752" s="25" t="str">
        <f ca="1">IFERROR(__xludf.DUMMYFUNCTION("""COMPUTED_VALUE"""),"MONKEY Total")</f>
        <v>MONKEY Total</v>
      </c>
      <c r="B752" s="5"/>
      <c r="C752" s="69"/>
      <c r="D752" s="5"/>
      <c r="E752" s="5"/>
      <c r="F752" s="55"/>
      <c r="G752" s="56">
        <f ca="1">IFERROR(__xludf.DUMMYFUNCTION("""COMPUTED_VALUE"""),5.43215465034964)</f>
        <v>5.4321546503496396</v>
      </c>
      <c r="H752" s="57">
        <f ca="1">IFERROR(__xludf.DUMMYFUNCTION("""COMPUTED_VALUE"""),2776.91)</f>
        <v>2776.91</v>
      </c>
      <c r="I752" s="57"/>
      <c r="J752" s="19"/>
      <c r="K752" s="19"/>
      <c r="L752" s="19"/>
      <c r="M752" s="19"/>
      <c r="N752" s="19"/>
      <c r="O752" s="59"/>
      <c r="P752" s="7"/>
      <c r="Q752" s="55"/>
      <c r="R752" s="55"/>
      <c r="S752" s="7"/>
      <c r="T752" s="55"/>
      <c r="U752" s="7"/>
      <c r="V752" s="55"/>
      <c r="W752" s="60"/>
      <c r="X752" s="55"/>
    </row>
    <row r="753" spans="1:24" ht="13" x14ac:dyDescent="0.15">
      <c r="A753" s="25" t="str">
        <f ca="1">IFERROR(__xludf.DUMMYFUNCTION("""COMPUTED_VALUE"""),"Steve")</f>
        <v>Steve</v>
      </c>
      <c r="B753" s="69">
        <f ca="1">IFERROR(__xludf.DUMMYFUNCTION("""COMPUTED_VALUE"""),44562)</f>
        <v>44562</v>
      </c>
      <c r="C753" s="69" t="str">
        <f ca="1">IFERROR(__xludf.DUMMYFUNCTION("""COMPUTED_VALUE"""),"Cash")</f>
        <v>Cash</v>
      </c>
      <c r="D753" s="5" t="str">
        <f ca="1">IFERROR(__xludf.DUMMYFUNCTION("""COMPUTED_VALUE"""),"Cash")</f>
        <v>Cash</v>
      </c>
      <c r="E753" s="5" t="str">
        <f ca="1">IFERROR(__xludf.DUMMYFUNCTION("""COMPUTED_VALUE"""),"HKD")</f>
        <v>HKD</v>
      </c>
      <c r="F753" s="55" t="str">
        <f ca="1">IFERROR(__xludf.DUMMYFUNCTION("""COMPUTED_VALUE"""),"")</f>
        <v/>
      </c>
      <c r="G753" s="56">
        <f ca="1">IFERROR(__xludf.DUMMYFUNCTION("""COMPUTED_VALUE"""),1)</f>
        <v>1</v>
      </c>
      <c r="H753" s="57">
        <f ca="1">IFERROR(__xludf.DUMMYFUNCTION("""COMPUTED_VALUE"""),1)</f>
        <v>1</v>
      </c>
      <c r="I753" s="57"/>
      <c r="J753" s="19"/>
      <c r="K753" s="19"/>
      <c r="L753" s="19"/>
      <c r="M753" s="19"/>
      <c r="N753" s="19"/>
      <c r="O753" s="59"/>
      <c r="P753" s="7"/>
      <c r="Q753" s="55"/>
      <c r="R753" s="55"/>
      <c r="S753" s="7"/>
      <c r="T753" s="55"/>
      <c r="U753" s="7"/>
      <c r="V753" s="55"/>
      <c r="W753" s="60"/>
      <c r="X753" s="55"/>
    </row>
    <row r="754" spans="1:24" ht="13" x14ac:dyDescent="0.15">
      <c r="A754" s="25" t="str">
        <f ca="1">IFERROR(__xludf.DUMMYFUNCTION("""COMPUTED_VALUE"""),"Steve")</f>
        <v>Steve</v>
      </c>
      <c r="B754" s="69">
        <f ca="1">IFERROR(__xludf.DUMMYFUNCTION("""COMPUTED_VALUE"""),44595)</f>
        <v>44595</v>
      </c>
      <c r="C754" s="69" t="str">
        <f ca="1">IFERROR(__xludf.DUMMYFUNCTION("""COMPUTED_VALUE"""),"Stock")</f>
        <v>Stock</v>
      </c>
      <c r="D754" s="5" t="str">
        <f ca="1">IFERROR(__xludf.DUMMYFUNCTION("""COMPUTED_VALUE"""),"AMZN")</f>
        <v>AMZN</v>
      </c>
      <c r="E754" s="5" t="str">
        <f ca="1">IFERROR(__xludf.DUMMYFUNCTION("""COMPUTED_VALUE"""),"USD")</f>
        <v>USD</v>
      </c>
      <c r="F754" s="55">
        <f ca="1">IFERROR(__xludf.DUMMYFUNCTION("""COMPUTED_VALUE"""),1)</f>
        <v>1</v>
      </c>
      <c r="G754" s="56">
        <f ca="1">IFERROR(__xludf.DUMMYFUNCTION("""COMPUTED_VALUE"""),7.80977989583333)</f>
        <v>7.80977989583333</v>
      </c>
      <c r="H754" s="57">
        <f ca="1">IFERROR(__xludf.DUMMYFUNCTION("""COMPUTED_VALUE"""),2776.91)</f>
        <v>2776.91</v>
      </c>
      <c r="I754" s="57"/>
      <c r="J754" s="19"/>
      <c r="K754" s="19"/>
      <c r="L754" s="19"/>
      <c r="M754" s="19"/>
      <c r="N754" s="19"/>
      <c r="O754" s="59"/>
      <c r="P754" s="7"/>
      <c r="Q754" s="55"/>
      <c r="R754" s="55"/>
      <c r="S754" s="7"/>
      <c r="T754" s="55"/>
      <c r="U754" s="7"/>
      <c r="V754" s="55"/>
      <c r="W754" s="60"/>
      <c r="X754" s="55"/>
    </row>
    <row r="755" spans="1:24" ht="13" x14ac:dyDescent="0.15">
      <c r="A755" s="25" t="str">
        <f ca="1">IFERROR(__xludf.DUMMYFUNCTION("""COMPUTED_VALUE"""),"Steve Total")</f>
        <v>Steve Total</v>
      </c>
      <c r="B755" s="5"/>
      <c r="C755" s="69"/>
      <c r="D755" s="5"/>
      <c r="E755" s="5"/>
      <c r="F755" s="55"/>
      <c r="G755" s="56">
        <f ca="1">IFERROR(__xludf.DUMMYFUNCTION("""COMPUTED_VALUE"""),4.30171146464646)</f>
        <v>4.30171146464646</v>
      </c>
      <c r="H755" s="57">
        <f ca="1">IFERROR(__xludf.DUMMYFUNCTION("""COMPUTED_VALUE"""),2776.91)</f>
        <v>2776.91</v>
      </c>
      <c r="I755" s="57"/>
      <c r="J755" s="19"/>
      <c r="K755" s="19"/>
      <c r="L755" s="19"/>
      <c r="M755" s="19"/>
      <c r="N755" s="19"/>
      <c r="O755" s="59"/>
      <c r="P755" s="7"/>
      <c r="Q755" s="55"/>
      <c r="R755" s="55"/>
      <c r="S755" s="7"/>
      <c r="T755" s="55"/>
      <c r="U755" s="7"/>
      <c r="V755" s="55"/>
      <c r="W755" s="60"/>
      <c r="X755" s="55"/>
    </row>
    <row r="756" spans="1:24" ht="13" x14ac:dyDescent="0.15">
      <c r="A756" s="25" t="str">
        <f ca="1">IFERROR(__xludf.DUMMYFUNCTION("""COMPUTED_VALUE"""),"TraderX")</f>
        <v>TraderX</v>
      </c>
      <c r="B756" s="69">
        <f ca="1">IFERROR(__xludf.DUMMYFUNCTION("""COMPUTED_VALUE"""),44562)</f>
        <v>44562</v>
      </c>
      <c r="C756" s="69" t="str">
        <f ca="1">IFERROR(__xludf.DUMMYFUNCTION("""COMPUTED_VALUE"""),"Cash")</f>
        <v>Cash</v>
      </c>
      <c r="D756" s="5" t="str">
        <f ca="1">IFERROR(__xludf.DUMMYFUNCTION("""COMPUTED_VALUE"""),"Cash")</f>
        <v>Cash</v>
      </c>
      <c r="E756" s="5" t="str">
        <f ca="1">IFERROR(__xludf.DUMMYFUNCTION("""COMPUTED_VALUE"""),"HKD")</f>
        <v>HKD</v>
      </c>
      <c r="F756" s="55" t="str">
        <f ca="1">IFERROR(__xludf.DUMMYFUNCTION("""COMPUTED_VALUE"""),"")</f>
        <v/>
      </c>
      <c r="G756" s="56">
        <f ca="1">IFERROR(__xludf.DUMMYFUNCTION("""COMPUTED_VALUE"""),1)</f>
        <v>1</v>
      </c>
      <c r="H756" s="57">
        <f ca="1">IFERROR(__xludf.DUMMYFUNCTION("""COMPUTED_VALUE"""),1)</f>
        <v>1</v>
      </c>
      <c r="I756" s="57"/>
      <c r="J756" s="19"/>
      <c r="K756" s="19"/>
      <c r="L756" s="19"/>
      <c r="M756" s="19"/>
      <c r="N756" s="19"/>
      <c r="O756" s="59"/>
      <c r="P756" s="7"/>
      <c r="Q756" s="55"/>
      <c r="R756" s="55"/>
      <c r="S756" s="7"/>
      <c r="T756" s="55"/>
      <c r="U756" s="7"/>
      <c r="V756" s="55"/>
      <c r="W756" s="60"/>
      <c r="X756" s="55"/>
    </row>
    <row r="757" spans="1:24" ht="13" x14ac:dyDescent="0.15">
      <c r="A757" s="25" t="str">
        <f ca="1">IFERROR(__xludf.DUMMYFUNCTION("""COMPUTED_VALUE"""),"TraderX")</f>
        <v>TraderX</v>
      </c>
      <c r="B757" s="69">
        <f ca="1">IFERROR(__xludf.DUMMYFUNCTION("""COMPUTED_VALUE"""),44595)</f>
        <v>44595</v>
      </c>
      <c r="C757" s="69" t="str">
        <f ca="1">IFERROR(__xludf.DUMMYFUNCTION("""COMPUTED_VALUE"""),"Time Deposit")</f>
        <v>Time Deposit</v>
      </c>
      <c r="D757" s="5" t="str">
        <f ca="1">IFERROR(__xludf.DUMMYFUNCTION("""COMPUTED_VALUE"""),"1m")</f>
        <v>1m</v>
      </c>
      <c r="E757" s="5" t="str">
        <f ca="1">IFERROR(__xludf.DUMMYFUNCTION("""COMPUTED_VALUE"""),"HKD")</f>
        <v>HKD</v>
      </c>
      <c r="F757" s="55">
        <f ca="1">IFERROR(__xludf.DUMMYFUNCTION("""COMPUTED_VALUE"""),1000)</f>
        <v>1000</v>
      </c>
      <c r="G757" s="56">
        <f ca="1">IFERROR(__xludf.DUMMYFUNCTION("""COMPUTED_VALUE"""),1)</f>
        <v>1</v>
      </c>
      <c r="H757" s="57">
        <f ca="1">IFERROR(__xludf.DUMMYFUNCTION("""COMPUTED_VALUE"""),1)</f>
        <v>1</v>
      </c>
      <c r="I757" s="57"/>
      <c r="J757" s="19"/>
      <c r="K757" s="19"/>
      <c r="L757" s="19"/>
      <c r="M757" s="19"/>
      <c r="N757" s="19"/>
      <c r="O757" s="59"/>
      <c r="P757" s="7"/>
      <c r="Q757" s="55"/>
      <c r="R757" s="55"/>
      <c r="S757" s="7"/>
      <c r="T757" s="55"/>
      <c r="U757" s="7"/>
      <c r="V757" s="55"/>
      <c r="W757" s="60"/>
      <c r="X757" s="55"/>
    </row>
    <row r="758" spans="1:24" ht="13" x14ac:dyDescent="0.15">
      <c r="A758" s="25" t="str">
        <f ca="1">IFERROR(__xludf.DUMMYFUNCTION("""COMPUTED_VALUE"""),"TraderX")</f>
        <v>TraderX</v>
      </c>
      <c r="B758" s="69">
        <f ca="1">IFERROR(__xludf.DUMMYFUNCTION("""COMPUTED_VALUE"""),44609)</f>
        <v>44609</v>
      </c>
      <c r="C758" s="69" t="str">
        <f ca="1">IFERROR(__xludf.DUMMYFUNCTION("""COMPUTED_VALUE"""),"Option")</f>
        <v>Option</v>
      </c>
      <c r="D758" s="5" t="str">
        <f ca="1">IFERROR(__xludf.DUMMYFUNCTION("""COMPUTED_VALUE"""),"SPX220218P04220000")</f>
        <v>SPX220218P04220000</v>
      </c>
      <c r="E758" s="5" t="str">
        <f ca="1">IFERROR(__xludf.DUMMYFUNCTION("""COMPUTED_VALUE"""),"USD")</f>
        <v>USD</v>
      </c>
      <c r="F758" s="55">
        <f ca="1">IFERROR(__xludf.DUMMYFUNCTION("""COMPUTED_VALUE"""),8)</f>
        <v>8</v>
      </c>
      <c r="G758" s="56">
        <f ca="1">IFERROR(__xludf.DUMMYFUNCTION("""COMPUTED_VALUE"""),7.81562485294117)</f>
        <v>7.8156248529411698</v>
      </c>
      <c r="H758" s="57">
        <f ca="1">IFERROR(__xludf.DUMMYFUNCTION("""COMPUTED_VALUE"""),0.3)</f>
        <v>0.3</v>
      </c>
      <c r="I758" s="57"/>
      <c r="J758" s="19"/>
      <c r="K758" s="19"/>
      <c r="L758" s="19"/>
      <c r="M758" s="19"/>
      <c r="N758" s="19"/>
      <c r="O758" s="59"/>
      <c r="P758" s="7"/>
      <c r="Q758" s="55"/>
      <c r="R758" s="55"/>
      <c r="S758" s="7"/>
      <c r="T758" s="55"/>
      <c r="U758" s="7"/>
      <c r="V758" s="55"/>
      <c r="W758" s="60"/>
      <c r="X758" s="55"/>
    </row>
    <row r="759" spans="1:24" ht="13" x14ac:dyDescent="0.15">
      <c r="A759" s="25" t="str">
        <f ca="1">IFERROR(__xludf.DUMMYFUNCTION("""COMPUTED_VALUE"""),"TraderX")</f>
        <v>TraderX</v>
      </c>
      <c r="B759" s="69">
        <f ca="1">IFERROR(__xludf.DUMMYFUNCTION("""COMPUTED_VALUE"""),44609)</f>
        <v>44609</v>
      </c>
      <c r="C759" s="69" t="str">
        <f ca="1">IFERROR(__xludf.DUMMYFUNCTION("""COMPUTED_VALUE"""),"Option")</f>
        <v>Option</v>
      </c>
      <c r="D759" s="5" t="str">
        <f ca="1">IFERROR(__xludf.DUMMYFUNCTION("""COMPUTED_VALUE"""),"SPXW220218P04300000")</f>
        <v>SPXW220218P04300000</v>
      </c>
      <c r="E759" s="5" t="str">
        <f ca="1">IFERROR(__xludf.DUMMYFUNCTION("""COMPUTED_VALUE"""),"USD")</f>
        <v>USD</v>
      </c>
      <c r="F759" s="55">
        <f ca="1">IFERROR(__xludf.DUMMYFUNCTION("""COMPUTED_VALUE"""),-8)</f>
        <v>-8</v>
      </c>
      <c r="G759" s="56">
        <f ca="1">IFERROR(__xludf.DUMMYFUNCTION("""COMPUTED_VALUE"""),7.81562485294117)</f>
        <v>7.8156248529411698</v>
      </c>
      <c r="H759" s="57">
        <f ca="1">IFERROR(__xludf.DUMMYFUNCTION("""COMPUTED_VALUE"""),5.25)</f>
        <v>5.25</v>
      </c>
      <c r="I759" s="57"/>
      <c r="J759" s="19"/>
      <c r="K759" s="19"/>
      <c r="L759" s="19"/>
      <c r="M759" s="19"/>
      <c r="N759" s="19"/>
      <c r="O759" s="59"/>
      <c r="P759" s="7"/>
      <c r="Q759" s="55"/>
      <c r="R759" s="55"/>
      <c r="S759" s="7"/>
      <c r="T759" s="55"/>
      <c r="U759" s="7"/>
      <c r="V759" s="55"/>
      <c r="W759" s="60"/>
      <c r="X759" s="55"/>
    </row>
    <row r="760" spans="1:24" ht="13" x14ac:dyDescent="0.15">
      <c r="A760" s="25" t="str">
        <f ca="1">IFERROR(__xludf.DUMMYFUNCTION("""COMPUTED_VALUE"""),"TraderX")</f>
        <v>TraderX</v>
      </c>
      <c r="B760" s="69">
        <f ca="1">IFERROR(__xludf.DUMMYFUNCTION("""COMPUTED_VALUE"""),44611)</f>
        <v>44611</v>
      </c>
      <c r="C760" s="69" t="str">
        <f ca="1">IFERROR(__xludf.DUMMYFUNCTION("""COMPUTED_VALUE"""),"Option")</f>
        <v>Option</v>
      </c>
      <c r="D760" s="5" t="str">
        <f ca="1">IFERROR(__xludf.DUMMYFUNCTION("""COMPUTED_VALUE"""),"SPX220218P04220000")</f>
        <v>SPX220218P04220000</v>
      </c>
      <c r="E760" s="5" t="str">
        <f ca="1">IFERROR(__xludf.DUMMYFUNCTION("""COMPUTED_VALUE"""),"USD")</f>
        <v>USD</v>
      </c>
      <c r="F760" s="55">
        <f ca="1">IFERROR(__xludf.DUMMYFUNCTION("""COMPUTED_VALUE"""),-8)</f>
        <v>-8</v>
      </c>
      <c r="G760" s="56">
        <f ca="1">IFERROR(__xludf.DUMMYFUNCTION("""COMPUTED_VALUE"""),7.81826962962962)</f>
        <v>7.8182696296296204</v>
      </c>
      <c r="H760" s="57">
        <f ca="1">IFERROR(__xludf.DUMMYFUNCTION("""COMPUTED_VALUE"""),0.3)</f>
        <v>0.3</v>
      </c>
      <c r="I760" s="57"/>
      <c r="J760" s="19"/>
      <c r="K760" s="19"/>
      <c r="L760" s="19"/>
      <c r="M760" s="19"/>
      <c r="N760" s="19"/>
      <c r="O760" s="59"/>
      <c r="P760" s="7"/>
      <c r="Q760" s="55"/>
      <c r="R760" s="55"/>
      <c r="S760" s="7"/>
      <c r="T760" s="55"/>
      <c r="U760" s="7"/>
      <c r="V760" s="55"/>
      <c r="W760" s="60"/>
      <c r="X760" s="55"/>
    </row>
    <row r="761" spans="1:24" ht="13" x14ac:dyDescent="0.15">
      <c r="A761" s="25" t="str">
        <f ca="1">IFERROR(__xludf.DUMMYFUNCTION("""COMPUTED_VALUE"""),"TraderX")</f>
        <v>TraderX</v>
      </c>
      <c r="B761" s="69">
        <f ca="1">IFERROR(__xludf.DUMMYFUNCTION("""COMPUTED_VALUE"""),44611)</f>
        <v>44611</v>
      </c>
      <c r="C761" s="69" t="str">
        <f ca="1">IFERROR(__xludf.DUMMYFUNCTION("""COMPUTED_VALUE"""),"Option")</f>
        <v>Option</v>
      </c>
      <c r="D761" s="5" t="str">
        <f ca="1">IFERROR(__xludf.DUMMYFUNCTION("""COMPUTED_VALUE"""),"SPX220218P04220000")</f>
        <v>SPX220218P04220000</v>
      </c>
      <c r="E761" s="5" t="str">
        <f ca="1">IFERROR(__xludf.DUMMYFUNCTION("""COMPUTED_VALUE"""),"USD")</f>
        <v>USD</v>
      </c>
      <c r="F761" s="55" t="str">
        <f ca="1">IFERROR(__xludf.DUMMYFUNCTION("""COMPUTED_VALUE"""),"")</f>
        <v/>
      </c>
      <c r="G761" s="56">
        <f ca="1">IFERROR(__xludf.DUMMYFUNCTION("""COMPUTED_VALUE"""),7.807668)</f>
        <v>7.8076679999999996</v>
      </c>
      <c r="H761" s="57">
        <f ca="1">IFERROR(__xludf.DUMMYFUNCTION("""COMPUTED_VALUE"""),0)</f>
        <v>0</v>
      </c>
      <c r="I761" s="57"/>
      <c r="J761" s="19"/>
      <c r="K761" s="19"/>
      <c r="L761" s="19"/>
      <c r="M761" s="19"/>
      <c r="N761" s="19"/>
      <c r="O761" s="59"/>
      <c r="P761" s="7"/>
      <c r="Q761" s="55"/>
      <c r="R761" s="55"/>
      <c r="S761" s="7"/>
      <c r="T761" s="55"/>
      <c r="U761" s="7"/>
      <c r="V761" s="55"/>
      <c r="W761" s="60"/>
      <c r="X761" s="55"/>
    </row>
    <row r="762" spans="1:24" ht="13" x14ac:dyDescent="0.15">
      <c r="A762" s="25" t="str">
        <f ca="1">IFERROR(__xludf.DUMMYFUNCTION("""COMPUTED_VALUE"""),"TraderX")</f>
        <v>TraderX</v>
      </c>
      <c r="B762" s="69">
        <f ca="1">IFERROR(__xludf.DUMMYFUNCTION("""COMPUTED_VALUE"""),44611)</f>
        <v>44611</v>
      </c>
      <c r="C762" s="69" t="str">
        <f ca="1">IFERROR(__xludf.DUMMYFUNCTION("""COMPUTED_VALUE"""),"Option")</f>
        <v>Option</v>
      </c>
      <c r="D762" s="5" t="str">
        <f ca="1">IFERROR(__xludf.DUMMYFUNCTION("""COMPUTED_VALUE"""),"SPXW220218P04300000")</f>
        <v>SPXW220218P04300000</v>
      </c>
      <c r="E762" s="5" t="str">
        <f ca="1">IFERROR(__xludf.DUMMYFUNCTION("""COMPUTED_VALUE"""),"USD")</f>
        <v>USD</v>
      </c>
      <c r="F762" s="55">
        <f ca="1">IFERROR(__xludf.DUMMYFUNCTION("""COMPUTED_VALUE"""),8)</f>
        <v>8</v>
      </c>
      <c r="G762" s="56">
        <f ca="1">IFERROR(__xludf.DUMMYFUNCTION("""COMPUTED_VALUE"""),7.81661312499999)</f>
        <v>7.8166131249999902</v>
      </c>
      <c r="H762" s="57">
        <f ca="1">IFERROR(__xludf.DUMMYFUNCTION("""COMPUTED_VALUE"""),0.05)</f>
        <v>0.05</v>
      </c>
      <c r="I762" s="57"/>
      <c r="J762" s="19"/>
      <c r="K762" s="19"/>
      <c r="L762" s="19"/>
      <c r="M762" s="19"/>
      <c r="N762" s="19"/>
      <c r="O762" s="59"/>
      <c r="P762" s="7"/>
      <c r="Q762" s="55"/>
      <c r="R762" s="55"/>
      <c r="S762" s="7"/>
      <c r="T762" s="55"/>
      <c r="U762" s="7"/>
      <c r="V762" s="55"/>
      <c r="W762" s="60"/>
      <c r="X762" s="55"/>
    </row>
    <row r="763" spans="1:24" ht="13" x14ac:dyDescent="0.15">
      <c r="A763" s="25" t="str">
        <f ca="1">IFERROR(__xludf.DUMMYFUNCTION("""COMPUTED_VALUE"""),"TraderX Total")</f>
        <v>TraderX Total</v>
      </c>
      <c r="B763" s="5"/>
      <c r="C763" s="69"/>
      <c r="D763" s="5"/>
      <c r="E763" s="5"/>
      <c r="F763" s="55"/>
      <c r="G763" s="56">
        <f ca="1">IFERROR(__xludf.DUMMYFUNCTION("""COMPUTED_VALUE"""),4.89491658008658)</f>
        <v>4.8949165800865799</v>
      </c>
      <c r="H763" s="57">
        <f ca="1">IFERROR(__xludf.DUMMYFUNCTION("""COMPUTED_VALUE"""),5.25)</f>
        <v>5.25</v>
      </c>
      <c r="I763" s="57"/>
      <c r="J763" s="19"/>
      <c r="K763" s="19"/>
      <c r="L763" s="19"/>
      <c r="M763" s="19"/>
      <c r="N763" s="19"/>
      <c r="O763" s="59"/>
      <c r="P763" s="7"/>
      <c r="Q763" s="55"/>
      <c r="R763" s="55"/>
      <c r="S763" s="7"/>
      <c r="T763" s="55"/>
      <c r="U763" s="7"/>
      <c r="V763" s="55"/>
      <c r="W763" s="60"/>
      <c r="X763" s="55"/>
    </row>
    <row r="764" spans="1:24" ht="13" x14ac:dyDescent="0.15">
      <c r="A764" s="25" t="str">
        <f ca="1">IFERROR(__xludf.DUMMYFUNCTION("""COMPUTED_VALUE"""),"xiali")</f>
        <v>xiali</v>
      </c>
      <c r="B764" s="69">
        <f ca="1">IFERROR(__xludf.DUMMYFUNCTION("""COMPUTED_VALUE"""),44634)</f>
        <v>44634</v>
      </c>
      <c r="C764" s="69" t="str">
        <f ca="1">IFERROR(__xludf.DUMMYFUNCTION("""COMPUTED_VALUE"""),"Stock")</f>
        <v>Stock</v>
      </c>
      <c r="D764" s="71" t="str">
        <f ca="1">IFERROR(__xludf.DUMMYFUNCTION("""COMPUTED_VALUE"""),"1024.HK")</f>
        <v>1024.HK</v>
      </c>
      <c r="E764" s="5" t="str">
        <f ca="1">IFERROR(__xludf.DUMMYFUNCTION("""COMPUTED_VALUE"""),"HKD")</f>
        <v>HKD</v>
      </c>
      <c r="F764" s="55" t="str">
        <f ca="1">IFERROR(__xludf.DUMMYFUNCTION("""COMPUTED_VALUE"""),"")</f>
        <v/>
      </c>
      <c r="G764" s="56">
        <f ca="1">IFERROR(__xludf.DUMMYFUNCTION("""COMPUTED_VALUE"""),1)</f>
        <v>1</v>
      </c>
      <c r="H764" s="57">
        <f ca="1">IFERROR(__xludf.DUMMYFUNCTION("""COMPUTED_VALUE"""),60.2)</f>
        <v>60.2</v>
      </c>
      <c r="I764" s="57"/>
      <c r="J764" s="19"/>
      <c r="K764" s="19"/>
      <c r="L764" s="19"/>
      <c r="M764" s="19"/>
      <c r="N764" s="19"/>
      <c r="O764" s="59"/>
      <c r="P764" s="7"/>
      <c r="Q764" s="55"/>
      <c r="R764" s="55"/>
      <c r="S764" s="7"/>
      <c r="T764" s="55"/>
      <c r="U764" s="7"/>
      <c r="V764" s="55"/>
      <c r="W764" s="60"/>
      <c r="X764" s="55"/>
    </row>
    <row r="765" spans="1:24" ht="13" x14ac:dyDescent="0.15">
      <c r="A765" s="25" t="str">
        <f ca="1">IFERROR(__xludf.DUMMYFUNCTION("""COMPUTED_VALUE"""),"xiali Total")</f>
        <v>xiali Total</v>
      </c>
      <c r="B765" s="5"/>
      <c r="C765" s="69"/>
      <c r="D765" s="5"/>
      <c r="E765" s="5"/>
      <c r="F765" s="55"/>
      <c r="G765" s="56">
        <f ca="1">IFERROR(__xludf.DUMMYFUNCTION("""COMPUTED_VALUE"""),1)</f>
        <v>1</v>
      </c>
      <c r="H765" s="57">
        <f ca="1">IFERROR(__xludf.DUMMYFUNCTION("""COMPUTED_VALUE"""),60.2)</f>
        <v>60.2</v>
      </c>
      <c r="I765" s="57"/>
      <c r="J765" s="19"/>
      <c r="K765" s="19"/>
      <c r="L765" s="19"/>
      <c r="M765" s="19"/>
      <c r="N765" s="19"/>
      <c r="O765" s="59"/>
      <c r="P765" s="7"/>
      <c r="Q765" s="55"/>
      <c r="R765" s="55"/>
      <c r="S765" s="7"/>
      <c r="T765" s="55"/>
      <c r="U765" s="7"/>
      <c r="V765" s="55"/>
      <c r="W765" s="60"/>
      <c r="X765" s="55"/>
    </row>
    <row r="766" spans="1:24" ht="13" x14ac:dyDescent="0.15">
      <c r="A766" s="25"/>
      <c r="C766" s="69"/>
      <c r="F766" s="55"/>
      <c r="G766" s="56"/>
      <c r="H766" s="57"/>
      <c r="I766" s="57"/>
      <c r="J766" s="19"/>
      <c r="K766" s="19"/>
      <c r="L766" s="19"/>
      <c r="M766" s="19"/>
      <c r="N766" s="19"/>
      <c r="O766" s="59"/>
      <c r="P766" s="7"/>
      <c r="Q766" s="55"/>
      <c r="R766" s="55"/>
      <c r="S766" s="7"/>
      <c r="T766" s="55"/>
      <c r="U766" s="7"/>
      <c r="V766" s="55"/>
      <c r="W766" s="60"/>
      <c r="X766" s="55"/>
    </row>
    <row r="767" spans="1:24" ht="13" x14ac:dyDescent="0.15">
      <c r="A767" s="25"/>
      <c r="C767" s="69"/>
      <c r="F767" s="55"/>
      <c r="G767" s="56"/>
      <c r="H767" s="57"/>
      <c r="I767" s="57"/>
      <c r="J767" s="19"/>
      <c r="K767" s="19"/>
      <c r="L767" s="19"/>
      <c r="M767" s="19"/>
      <c r="N767" s="19"/>
      <c r="O767" s="59"/>
      <c r="P767" s="7"/>
      <c r="Q767" s="55"/>
      <c r="R767" s="55"/>
      <c r="S767" s="7"/>
      <c r="T767" s="55"/>
      <c r="U767" s="7"/>
      <c r="V767" s="55"/>
      <c r="W767" s="60"/>
      <c r="X767" s="55"/>
    </row>
    <row r="768" spans="1:24" ht="13" x14ac:dyDescent="0.15">
      <c r="A768" s="25"/>
      <c r="C768" s="69"/>
      <c r="F768" s="55"/>
      <c r="G768" s="56"/>
      <c r="H768" s="57"/>
      <c r="I768" s="57"/>
      <c r="J768" s="19"/>
      <c r="K768" s="19"/>
      <c r="L768" s="19"/>
      <c r="M768" s="19"/>
      <c r="N768" s="19"/>
      <c r="O768" s="59"/>
      <c r="P768" s="7"/>
      <c r="Q768" s="55"/>
      <c r="R768" s="55"/>
      <c r="S768" s="7"/>
      <c r="T768" s="55"/>
      <c r="U768" s="7"/>
      <c r="V768" s="55"/>
      <c r="W768" s="60"/>
      <c r="X768" s="55"/>
    </row>
    <row r="769" spans="1:24" ht="13" x14ac:dyDescent="0.15">
      <c r="A769" s="25"/>
      <c r="C769" s="69"/>
      <c r="F769" s="55"/>
      <c r="G769" s="56"/>
      <c r="H769" s="57"/>
      <c r="I769" s="57"/>
      <c r="J769" s="19"/>
      <c r="K769" s="19"/>
      <c r="L769" s="19"/>
      <c r="M769" s="19"/>
      <c r="N769" s="19"/>
      <c r="O769" s="59"/>
      <c r="P769" s="7"/>
      <c r="Q769" s="55"/>
      <c r="R769" s="55"/>
      <c r="S769" s="7"/>
      <c r="T769" s="55"/>
      <c r="U769" s="7"/>
      <c r="V769" s="55"/>
      <c r="W769" s="60"/>
      <c r="X769" s="55"/>
    </row>
    <row r="770" spans="1:24" ht="13" x14ac:dyDescent="0.15">
      <c r="A770" s="25"/>
      <c r="C770" s="69"/>
      <c r="F770" s="55"/>
      <c r="G770" s="56"/>
      <c r="H770" s="57"/>
      <c r="I770" s="57"/>
      <c r="J770" s="19"/>
      <c r="K770" s="19"/>
      <c r="L770" s="19"/>
      <c r="M770" s="19"/>
      <c r="N770" s="19"/>
      <c r="O770" s="59"/>
      <c r="P770" s="7"/>
      <c r="Q770" s="55"/>
      <c r="R770" s="55"/>
      <c r="S770" s="7"/>
      <c r="T770" s="55"/>
      <c r="U770" s="7"/>
      <c r="V770" s="55"/>
      <c r="W770" s="60"/>
      <c r="X770" s="55"/>
    </row>
    <row r="771" spans="1:24" ht="13" x14ac:dyDescent="0.15">
      <c r="A771" s="25"/>
      <c r="C771" s="69"/>
      <c r="F771" s="55"/>
      <c r="G771" s="56"/>
      <c r="H771" s="57"/>
      <c r="I771" s="57"/>
      <c r="J771" s="19"/>
      <c r="K771" s="19"/>
      <c r="L771" s="19"/>
      <c r="M771" s="19"/>
      <c r="N771" s="19"/>
      <c r="O771" s="59"/>
      <c r="P771" s="7"/>
      <c r="Q771" s="55"/>
      <c r="R771" s="55"/>
      <c r="S771" s="7"/>
      <c r="T771" s="55"/>
      <c r="U771" s="7"/>
      <c r="V771" s="55"/>
      <c r="W771" s="60"/>
      <c r="X771" s="55"/>
    </row>
    <row r="772" spans="1:24" ht="13" x14ac:dyDescent="0.15">
      <c r="A772" s="25"/>
      <c r="C772" s="69"/>
      <c r="F772" s="55"/>
      <c r="G772" s="56"/>
      <c r="H772" s="57"/>
      <c r="I772" s="57"/>
      <c r="J772" s="19"/>
      <c r="K772" s="19"/>
      <c r="L772" s="19"/>
      <c r="M772" s="19"/>
      <c r="N772" s="19"/>
      <c r="O772" s="59"/>
      <c r="P772" s="7"/>
      <c r="Q772" s="55"/>
      <c r="R772" s="55"/>
      <c r="S772" s="7"/>
      <c r="T772" s="55"/>
      <c r="U772" s="7"/>
      <c r="V772" s="55"/>
      <c r="W772" s="60"/>
      <c r="X772" s="55"/>
    </row>
    <row r="773" spans="1:24" ht="13" x14ac:dyDescent="0.15">
      <c r="A773" s="25"/>
      <c r="C773" s="69"/>
      <c r="F773" s="55"/>
      <c r="G773" s="56"/>
      <c r="H773" s="57"/>
      <c r="I773" s="57"/>
      <c r="J773" s="19"/>
      <c r="K773" s="19"/>
      <c r="L773" s="19"/>
      <c r="M773" s="19"/>
      <c r="N773" s="19"/>
      <c r="O773" s="59"/>
      <c r="P773" s="7"/>
      <c r="Q773" s="55"/>
      <c r="R773" s="55"/>
      <c r="S773" s="7"/>
      <c r="T773" s="55"/>
      <c r="U773" s="7"/>
      <c r="V773" s="55"/>
      <c r="W773" s="60"/>
      <c r="X773" s="55"/>
    </row>
    <row r="774" spans="1:24" ht="13" x14ac:dyDescent="0.15">
      <c r="A774" s="25"/>
      <c r="C774" s="69"/>
      <c r="F774" s="55"/>
      <c r="G774" s="56"/>
      <c r="H774" s="57"/>
      <c r="I774" s="57"/>
      <c r="J774" s="19"/>
      <c r="K774" s="19"/>
      <c r="L774" s="19"/>
      <c r="M774" s="19"/>
      <c r="N774" s="19"/>
      <c r="O774" s="59"/>
      <c r="P774" s="7"/>
      <c r="Q774" s="55"/>
      <c r="R774" s="55"/>
      <c r="S774" s="7"/>
      <c r="T774" s="55"/>
      <c r="U774" s="7"/>
      <c r="V774" s="55"/>
      <c r="W774" s="60"/>
      <c r="X774" s="55"/>
    </row>
    <row r="775" spans="1:24" ht="13" x14ac:dyDescent="0.15">
      <c r="A775" s="25"/>
      <c r="C775" s="69"/>
      <c r="F775" s="55"/>
      <c r="G775" s="56"/>
      <c r="H775" s="57"/>
      <c r="I775" s="57"/>
      <c r="J775" s="19"/>
      <c r="K775" s="19"/>
      <c r="L775" s="19"/>
      <c r="M775" s="19"/>
      <c r="N775" s="19"/>
      <c r="O775" s="59"/>
      <c r="P775" s="7"/>
      <c r="Q775" s="55"/>
      <c r="R775" s="55"/>
      <c r="S775" s="7"/>
      <c r="T775" s="55"/>
      <c r="U775" s="7"/>
      <c r="V775" s="55"/>
      <c r="W775" s="60"/>
      <c r="X775" s="55"/>
    </row>
    <row r="776" spans="1:24" ht="13" x14ac:dyDescent="0.15">
      <c r="A776" s="25"/>
      <c r="C776" s="69"/>
      <c r="F776" s="55"/>
      <c r="G776" s="56"/>
      <c r="H776" s="57"/>
      <c r="I776" s="57"/>
      <c r="J776" s="19"/>
      <c r="K776" s="19"/>
      <c r="L776" s="19"/>
      <c r="M776" s="19"/>
      <c r="N776" s="19"/>
      <c r="O776" s="59"/>
      <c r="P776" s="7"/>
      <c r="Q776" s="55"/>
      <c r="R776" s="55"/>
      <c r="S776" s="7"/>
      <c r="T776" s="55"/>
      <c r="U776" s="7"/>
      <c r="V776" s="55"/>
      <c r="W776" s="60"/>
      <c r="X776" s="55"/>
    </row>
    <row r="777" spans="1:24" ht="13" x14ac:dyDescent="0.15">
      <c r="A777" s="25"/>
      <c r="C777" s="69"/>
      <c r="F777" s="55"/>
      <c r="G777" s="56"/>
      <c r="H777" s="57"/>
      <c r="I777" s="57"/>
      <c r="J777" s="19"/>
      <c r="K777" s="19"/>
      <c r="L777" s="19"/>
      <c r="M777" s="19"/>
      <c r="N777" s="19"/>
      <c r="O777" s="59"/>
      <c r="P777" s="7"/>
      <c r="Q777" s="55"/>
      <c r="R777" s="55"/>
      <c r="S777" s="7"/>
      <c r="T777" s="55"/>
      <c r="U777" s="7"/>
      <c r="V777" s="55"/>
      <c r="W777" s="60"/>
      <c r="X777" s="55"/>
    </row>
    <row r="778" spans="1:24" ht="13" x14ac:dyDescent="0.15">
      <c r="A778" s="25"/>
      <c r="C778" s="69"/>
      <c r="F778" s="55"/>
      <c r="G778" s="56"/>
      <c r="H778" s="57"/>
      <c r="I778" s="57"/>
      <c r="J778" s="19"/>
      <c r="K778" s="19"/>
      <c r="L778" s="19"/>
      <c r="M778" s="19"/>
      <c r="N778" s="19"/>
      <c r="O778" s="59"/>
      <c r="P778" s="7"/>
      <c r="Q778" s="55"/>
      <c r="R778" s="55"/>
      <c r="S778" s="7"/>
      <c r="T778" s="55"/>
      <c r="U778" s="7"/>
      <c r="V778" s="55"/>
      <c r="W778" s="60"/>
      <c r="X778" s="55"/>
    </row>
    <row r="779" spans="1:24" ht="13" x14ac:dyDescent="0.15">
      <c r="A779" s="25"/>
      <c r="C779" s="69"/>
      <c r="F779" s="55"/>
      <c r="G779" s="56"/>
      <c r="H779" s="57"/>
      <c r="I779" s="57"/>
      <c r="J779" s="19"/>
      <c r="K779" s="19"/>
      <c r="L779" s="19"/>
      <c r="M779" s="19"/>
      <c r="N779" s="19"/>
      <c r="O779" s="59"/>
      <c r="P779" s="7"/>
      <c r="Q779" s="55"/>
      <c r="R779" s="55"/>
      <c r="S779" s="7"/>
      <c r="T779" s="55"/>
      <c r="U779" s="7"/>
      <c r="V779" s="55"/>
      <c r="W779" s="60"/>
      <c r="X779" s="55"/>
    </row>
    <row r="780" spans="1:24" ht="13" x14ac:dyDescent="0.15">
      <c r="A780" s="25"/>
      <c r="C780" s="69"/>
      <c r="F780" s="55"/>
      <c r="G780" s="56"/>
      <c r="H780" s="57"/>
      <c r="I780" s="57"/>
      <c r="J780" s="19"/>
      <c r="K780" s="19"/>
      <c r="L780" s="19"/>
      <c r="M780" s="19"/>
      <c r="N780" s="19"/>
      <c r="O780" s="59"/>
      <c r="P780" s="7"/>
      <c r="Q780" s="55"/>
      <c r="R780" s="55"/>
      <c r="S780" s="7"/>
      <c r="T780" s="55"/>
      <c r="U780" s="7"/>
      <c r="V780" s="55"/>
      <c r="W780" s="60"/>
      <c r="X780" s="55"/>
    </row>
    <row r="781" spans="1:24" ht="13" x14ac:dyDescent="0.15">
      <c r="A781" s="25"/>
      <c r="C781" s="69"/>
      <c r="F781" s="55"/>
      <c r="G781" s="56"/>
      <c r="H781" s="57"/>
      <c r="I781" s="57"/>
      <c r="J781" s="19"/>
      <c r="K781" s="19"/>
      <c r="L781" s="19"/>
      <c r="M781" s="19"/>
      <c r="N781" s="19"/>
      <c r="O781" s="59"/>
      <c r="P781" s="7"/>
      <c r="Q781" s="55"/>
      <c r="R781" s="55"/>
      <c r="S781" s="7"/>
      <c r="T781" s="55"/>
      <c r="U781" s="7"/>
      <c r="V781" s="55"/>
      <c r="W781" s="60"/>
      <c r="X781" s="55"/>
    </row>
    <row r="782" spans="1:24" ht="13" x14ac:dyDescent="0.15">
      <c r="A782" s="25"/>
      <c r="C782" s="69"/>
      <c r="F782" s="55"/>
      <c r="G782" s="56"/>
      <c r="H782" s="57"/>
      <c r="I782" s="57"/>
      <c r="J782" s="19"/>
      <c r="K782" s="19"/>
      <c r="L782" s="19"/>
      <c r="M782" s="19"/>
      <c r="N782" s="19"/>
      <c r="O782" s="59"/>
      <c r="P782" s="7"/>
      <c r="Q782" s="55"/>
      <c r="R782" s="55"/>
      <c r="S782" s="7"/>
      <c r="T782" s="55"/>
      <c r="U782" s="7"/>
      <c r="V782" s="55"/>
      <c r="W782" s="60"/>
      <c r="X782" s="55"/>
    </row>
    <row r="783" spans="1:24" ht="13" x14ac:dyDescent="0.15">
      <c r="A783" s="25"/>
      <c r="C783" s="69"/>
      <c r="F783" s="55"/>
      <c r="G783" s="56"/>
      <c r="H783" s="57"/>
      <c r="I783" s="57"/>
      <c r="J783" s="19"/>
      <c r="K783" s="19"/>
      <c r="L783" s="19"/>
      <c r="M783" s="19"/>
      <c r="N783" s="19"/>
      <c r="O783" s="59"/>
      <c r="P783" s="7"/>
      <c r="Q783" s="55"/>
      <c r="R783" s="55"/>
      <c r="S783" s="7"/>
      <c r="T783" s="55"/>
      <c r="U783" s="7"/>
      <c r="V783" s="55"/>
      <c r="W783" s="60"/>
      <c r="X783" s="55"/>
    </row>
    <row r="784" spans="1:24" ht="13" x14ac:dyDescent="0.15">
      <c r="A784" s="25"/>
      <c r="C784" s="69"/>
      <c r="F784" s="55"/>
      <c r="G784" s="56"/>
      <c r="H784" s="57"/>
      <c r="I784" s="57"/>
      <c r="J784" s="19"/>
      <c r="K784" s="19"/>
      <c r="L784" s="19"/>
      <c r="M784" s="19"/>
      <c r="N784" s="19"/>
      <c r="O784" s="59"/>
      <c r="P784" s="7"/>
      <c r="Q784" s="55"/>
      <c r="R784" s="55"/>
      <c r="S784" s="7"/>
      <c r="T784" s="55"/>
      <c r="U784" s="7"/>
      <c r="V784" s="55"/>
      <c r="W784" s="60"/>
      <c r="X784" s="55"/>
    </row>
    <row r="785" spans="1:24" ht="13" x14ac:dyDescent="0.15">
      <c r="A785" s="25"/>
      <c r="C785" s="69"/>
      <c r="F785" s="55"/>
      <c r="G785" s="56"/>
      <c r="H785" s="57"/>
      <c r="I785" s="57"/>
      <c r="J785" s="19"/>
      <c r="K785" s="19"/>
      <c r="L785" s="19"/>
      <c r="M785" s="19"/>
      <c r="N785" s="19"/>
      <c r="O785" s="59"/>
      <c r="P785" s="7"/>
      <c r="Q785" s="55"/>
      <c r="R785" s="55"/>
      <c r="S785" s="7"/>
      <c r="T785" s="55"/>
      <c r="U785" s="7"/>
      <c r="V785" s="55"/>
      <c r="W785" s="60"/>
      <c r="X785" s="55"/>
    </row>
    <row r="786" spans="1:24" ht="13" x14ac:dyDescent="0.15">
      <c r="A786" s="25"/>
      <c r="C786" s="69"/>
      <c r="F786" s="55"/>
      <c r="G786" s="56"/>
      <c r="H786" s="57"/>
      <c r="I786" s="57"/>
      <c r="J786" s="19"/>
      <c r="K786" s="19"/>
      <c r="L786" s="19"/>
      <c r="M786" s="19"/>
      <c r="N786" s="19"/>
      <c r="O786" s="59"/>
      <c r="P786" s="7"/>
      <c r="Q786" s="55"/>
      <c r="R786" s="55"/>
      <c r="S786" s="7"/>
      <c r="T786" s="55"/>
      <c r="U786" s="7"/>
      <c r="V786" s="55"/>
      <c r="W786" s="60"/>
      <c r="X786" s="55"/>
    </row>
    <row r="787" spans="1:24" ht="13" x14ac:dyDescent="0.15">
      <c r="A787" s="25"/>
      <c r="C787" s="69"/>
      <c r="F787" s="55"/>
      <c r="G787" s="56"/>
      <c r="H787" s="57"/>
      <c r="I787" s="57"/>
      <c r="J787" s="19"/>
      <c r="K787" s="19"/>
      <c r="L787" s="19"/>
      <c r="M787" s="19"/>
      <c r="N787" s="19"/>
      <c r="O787" s="59"/>
      <c r="P787" s="7"/>
      <c r="Q787" s="55"/>
      <c r="R787" s="55"/>
      <c r="S787" s="7"/>
      <c r="T787" s="55"/>
      <c r="U787" s="7"/>
      <c r="V787" s="55"/>
      <c r="W787" s="60"/>
      <c r="X787" s="55"/>
    </row>
    <row r="788" spans="1:24" ht="13" x14ac:dyDescent="0.15">
      <c r="A788" s="25"/>
      <c r="C788" s="69"/>
      <c r="F788" s="55"/>
      <c r="G788" s="56"/>
      <c r="H788" s="57"/>
      <c r="I788" s="57"/>
      <c r="J788" s="19"/>
      <c r="K788" s="19"/>
      <c r="L788" s="19"/>
      <c r="M788" s="19"/>
      <c r="N788" s="19"/>
      <c r="O788" s="59"/>
      <c r="P788" s="7"/>
      <c r="Q788" s="55"/>
      <c r="R788" s="55"/>
      <c r="S788" s="7"/>
      <c r="T788" s="55"/>
      <c r="U788" s="7"/>
      <c r="V788" s="55"/>
      <c r="W788" s="60"/>
      <c r="X788" s="55"/>
    </row>
    <row r="789" spans="1:24" ht="13" x14ac:dyDescent="0.15">
      <c r="A789" s="25"/>
      <c r="C789" s="69"/>
      <c r="F789" s="55"/>
      <c r="G789" s="56"/>
      <c r="H789" s="57"/>
      <c r="I789" s="57"/>
      <c r="J789" s="19"/>
      <c r="K789" s="19"/>
      <c r="L789" s="19"/>
      <c r="M789" s="19"/>
      <c r="N789" s="19"/>
      <c r="O789" s="59"/>
      <c r="P789" s="7"/>
      <c r="Q789" s="55"/>
      <c r="R789" s="55"/>
      <c r="S789" s="7"/>
      <c r="T789" s="55"/>
      <c r="U789" s="7"/>
      <c r="V789" s="55"/>
      <c r="W789" s="60"/>
      <c r="X789" s="55"/>
    </row>
    <row r="790" spans="1:24" ht="13" x14ac:dyDescent="0.15">
      <c r="A790" s="25"/>
      <c r="C790" s="69"/>
      <c r="F790" s="55"/>
      <c r="G790" s="56"/>
      <c r="H790" s="57"/>
      <c r="I790" s="57"/>
      <c r="J790" s="19"/>
      <c r="K790" s="19"/>
      <c r="L790" s="19"/>
      <c r="M790" s="19"/>
      <c r="N790" s="19"/>
      <c r="O790" s="59"/>
      <c r="P790" s="7"/>
      <c r="Q790" s="55"/>
      <c r="R790" s="55"/>
      <c r="S790" s="7"/>
      <c r="T790" s="55"/>
      <c r="U790" s="7"/>
      <c r="V790" s="55"/>
      <c r="W790" s="60"/>
      <c r="X790" s="55"/>
    </row>
    <row r="791" spans="1:24" ht="13" x14ac:dyDescent="0.15">
      <c r="A791" s="25"/>
      <c r="C791" s="69"/>
      <c r="F791" s="55"/>
      <c r="G791" s="56"/>
      <c r="H791" s="57"/>
      <c r="I791" s="57"/>
      <c r="J791" s="19"/>
      <c r="K791" s="19"/>
      <c r="L791" s="19"/>
      <c r="M791" s="19"/>
      <c r="N791" s="19"/>
      <c r="O791" s="59"/>
      <c r="P791" s="7"/>
      <c r="Q791" s="55"/>
      <c r="R791" s="55"/>
      <c r="S791" s="7"/>
      <c r="T791" s="55"/>
      <c r="U791" s="7"/>
      <c r="V791" s="55"/>
      <c r="W791" s="60"/>
      <c r="X791" s="55"/>
    </row>
    <row r="792" spans="1:24" ht="13" x14ac:dyDescent="0.15">
      <c r="A792" s="25"/>
      <c r="C792" s="69"/>
      <c r="F792" s="55"/>
      <c r="G792" s="56"/>
      <c r="H792" s="57"/>
      <c r="I792" s="57"/>
      <c r="J792" s="19"/>
      <c r="K792" s="19"/>
      <c r="L792" s="19"/>
      <c r="M792" s="19"/>
      <c r="N792" s="19"/>
      <c r="O792" s="59"/>
      <c r="P792" s="7"/>
      <c r="Q792" s="55"/>
      <c r="R792" s="55"/>
      <c r="S792" s="7"/>
      <c r="T792" s="55"/>
      <c r="U792" s="7"/>
      <c r="V792" s="55"/>
      <c r="W792" s="60"/>
      <c r="X792" s="55"/>
    </row>
    <row r="793" spans="1:24" ht="13" x14ac:dyDescent="0.15">
      <c r="A793" s="25"/>
      <c r="C793" s="69"/>
      <c r="F793" s="55"/>
      <c r="G793" s="56"/>
      <c r="H793" s="57"/>
      <c r="I793" s="57"/>
      <c r="J793" s="19"/>
      <c r="K793" s="19"/>
      <c r="L793" s="19"/>
      <c r="M793" s="19"/>
      <c r="N793" s="19"/>
      <c r="O793" s="59"/>
      <c r="P793" s="7"/>
      <c r="Q793" s="55"/>
      <c r="R793" s="55"/>
      <c r="S793" s="7"/>
      <c r="T793" s="55"/>
      <c r="U793" s="7"/>
      <c r="V793" s="55"/>
      <c r="W793" s="60"/>
      <c r="X793" s="55"/>
    </row>
    <row r="794" spans="1:24" ht="13" x14ac:dyDescent="0.15">
      <c r="A794" s="25"/>
      <c r="C794" s="69"/>
      <c r="F794" s="55"/>
      <c r="G794" s="56"/>
      <c r="H794" s="57"/>
      <c r="I794" s="57"/>
      <c r="J794" s="19"/>
      <c r="K794" s="19"/>
      <c r="L794" s="19"/>
      <c r="M794" s="19"/>
      <c r="N794" s="19"/>
      <c r="O794" s="59"/>
      <c r="P794" s="7"/>
      <c r="Q794" s="55"/>
      <c r="R794" s="55"/>
      <c r="S794" s="7"/>
      <c r="T794" s="55"/>
      <c r="U794" s="7"/>
      <c r="V794" s="55"/>
      <c r="W794" s="60"/>
      <c r="X794" s="55"/>
    </row>
    <row r="795" spans="1:24" ht="13" x14ac:dyDescent="0.15">
      <c r="A795" s="25"/>
      <c r="C795" s="69"/>
      <c r="F795" s="55"/>
      <c r="G795" s="56"/>
      <c r="H795" s="57"/>
      <c r="I795" s="57"/>
      <c r="J795" s="19"/>
      <c r="K795" s="19"/>
      <c r="L795" s="19"/>
      <c r="M795" s="19"/>
      <c r="N795" s="19"/>
      <c r="O795" s="59"/>
      <c r="P795" s="7"/>
      <c r="Q795" s="55"/>
      <c r="R795" s="55"/>
      <c r="S795" s="7"/>
      <c r="T795" s="55"/>
      <c r="U795" s="7"/>
      <c r="V795" s="55"/>
      <c r="W795" s="60"/>
      <c r="X795" s="55"/>
    </row>
    <row r="796" spans="1:24" ht="13" x14ac:dyDescent="0.15">
      <c r="A796" s="25"/>
      <c r="C796" s="69"/>
      <c r="F796" s="55"/>
      <c r="G796" s="56"/>
      <c r="H796" s="57"/>
      <c r="I796" s="57"/>
      <c r="J796" s="19"/>
      <c r="K796" s="19"/>
      <c r="L796" s="19"/>
      <c r="M796" s="19"/>
      <c r="N796" s="19"/>
      <c r="O796" s="59"/>
      <c r="P796" s="7"/>
      <c r="Q796" s="55"/>
      <c r="R796" s="55"/>
      <c r="S796" s="7"/>
      <c r="T796" s="55"/>
      <c r="U796" s="7"/>
      <c r="V796" s="55"/>
      <c r="W796" s="60"/>
      <c r="X796" s="55"/>
    </row>
    <row r="797" spans="1:24" ht="13" x14ac:dyDescent="0.15">
      <c r="A797" s="25"/>
      <c r="C797" s="69"/>
      <c r="F797" s="55"/>
      <c r="G797" s="56"/>
      <c r="H797" s="57"/>
      <c r="I797" s="57"/>
      <c r="J797" s="19"/>
      <c r="K797" s="19"/>
      <c r="L797" s="19"/>
      <c r="M797" s="19"/>
      <c r="N797" s="19"/>
      <c r="O797" s="59"/>
      <c r="P797" s="7"/>
      <c r="Q797" s="55"/>
      <c r="R797" s="55"/>
      <c r="S797" s="7"/>
      <c r="T797" s="55"/>
      <c r="U797" s="7"/>
      <c r="V797" s="55"/>
      <c r="W797" s="60"/>
      <c r="X797" s="55"/>
    </row>
    <row r="798" spans="1:24" ht="13" x14ac:dyDescent="0.15">
      <c r="A798" s="25"/>
      <c r="C798" s="69"/>
      <c r="F798" s="55"/>
      <c r="G798" s="56"/>
      <c r="H798" s="57"/>
      <c r="I798" s="57"/>
      <c r="J798" s="19"/>
      <c r="K798" s="19"/>
      <c r="L798" s="19"/>
      <c r="M798" s="19"/>
      <c r="N798" s="19"/>
      <c r="O798" s="59"/>
      <c r="P798" s="7"/>
      <c r="Q798" s="55"/>
      <c r="R798" s="55"/>
      <c r="S798" s="7"/>
      <c r="T798" s="55"/>
      <c r="U798" s="7"/>
      <c r="V798" s="55"/>
      <c r="W798" s="60"/>
      <c r="X798" s="55"/>
    </row>
    <row r="799" spans="1:24" ht="13" x14ac:dyDescent="0.15">
      <c r="A799" s="25"/>
      <c r="C799" s="69"/>
      <c r="F799" s="55"/>
      <c r="G799" s="56"/>
      <c r="H799" s="57"/>
      <c r="I799" s="57"/>
      <c r="J799" s="19"/>
      <c r="K799" s="19"/>
      <c r="L799" s="19"/>
      <c r="M799" s="19"/>
      <c r="N799" s="19"/>
      <c r="O799" s="59"/>
      <c r="P799" s="7"/>
      <c r="Q799" s="55"/>
      <c r="R799" s="55"/>
      <c r="S799" s="7"/>
      <c r="T799" s="55"/>
      <c r="U799" s="7"/>
      <c r="V799" s="55"/>
      <c r="W799" s="60"/>
      <c r="X799" s="55"/>
    </row>
    <row r="800" spans="1:24" ht="13" x14ac:dyDescent="0.15">
      <c r="A800" s="25"/>
      <c r="C800" s="69"/>
      <c r="F800" s="55"/>
      <c r="G800" s="56"/>
      <c r="H800" s="57"/>
      <c r="I800" s="57"/>
      <c r="J800" s="19"/>
      <c r="K800" s="19"/>
      <c r="L800" s="19"/>
      <c r="M800" s="19"/>
      <c r="N800" s="19"/>
      <c r="O800" s="59"/>
      <c r="P800" s="7"/>
      <c r="Q800" s="55"/>
      <c r="R800" s="55"/>
      <c r="S800" s="7"/>
      <c r="T800" s="55"/>
      <c r="U800" s="7"/>
      <c r="V800" s="55"/>
      <c r="W800" s="60"/>
      <c r="X800" s="55"/>
    </row>
    <row r="801" spans="1:24" ht="13" x14ac:dyDescent="0.15">
      <c r="A801" s="25"/>
      <c r="C801" s="69"/>
      <c r="F801" s="55"/>
      <c r="G801" s="56"/>
      <c r="H801" s="57"/>
      <c r="I801" s="57"/>
      <c r="J801" s="19"/>
      <c r="K801" s="19"/>
      <c r="L801" s="19"/>
      <c r="M801" s="19"/>
      <c r="N801" s="19"/>
      <c r="O801" s="59"/>
      <c r="P801" s="7"/>
      <c r="Q801" s="55"/>
      <c r="R801" s="55"/>
      <c r="S801" s="7"/>
      <c r="T801" s="55"/>
      <c r="U801" s="7"/>
      <c r="V801" s="55"/>
      <c r="W801" s="60"/>
      <c r="X801" s="55"/>
    </row>
    <row r="802" spans="1:24" ht="13" x14ac:dyDescent="0.15">
      <c r="A802" s="25"/>
      <c r="C802" s="69"/>
      <c r="F802" s="55"/>
      <c r="G802" s="56"/>
      <c r="H802" s="57"/>
      <c r="I802" s="57"/>
      <c r="J802" s="19"/>
      <c r="K802" s="19"/>
      <c r="L802" s="19"/>
      <c r="M802" s="19"/>
      <c r="N802" s="19"/>
      <c r="O802" s="59"/>
      <c r="P802" s="7"/>
      <c r="Q802" s="55"/>
      <c r="R802" s="55"/>
      <c r="S802" s="7"/>
      <c r="T802" s="55"/>
      <c r="U802" s="7"/>
      <c r="V802" s="55"/>
      <c r="W802" s="60"/>
      <c r="X802" s="55"/>
    </row>
    <row r="803" spans="1:24" ht="13" x14ac:dyDescent="0.15">
      <c r="A803" s="25"/>
      <c r="C803" s="69"/>
      <c r="F803" s="55"/>
      <c r="G803" s="56"/>
      <c r="H803" s="57"/>
      <c r="I803" s="57"/>
      <c r="J803" s="19"/>
      <c r="K803" s="19"/>
      <c r="L803" s="19"/>
      <c r="M803" s="19"/>
      <c r="N803" s="19"/>
      <c r="O803" s="59"/>
      <c r="P803" s="7"/>
      <c r="Q803" s="55"/>
      <c r="R803" s="55"/>
      <c r="S803" s="7"/>
      <c r="T803" s="55"/>
      <c r="U803" s="7"/>
      <c r="V803" s="55"/>
      <c r="W803" s="60"/>
      <c r="X803" s="55"/>
    </row>
    <row r="804" spans="1:24" ht="13" x14ac:dyDescent="0.15">
      <c r="A804" s="25"/>
      <c r="C804" s="69"/>
      <c r="F804" s="55"/>
      <c r="G804" s="56"/>
      <c r="H804" s="57"/>
      <c r="I804" s="57"/>
      <c r="J804" s="19"/>
      <c r="K804" s="19"/>
      <c r="L804" s="19"/>
      <c r="M804" s="19"/>
      <c r="N804" s="19"/>
      <c r="O804" s="59"/>
      <c r="P804" s="7"/>
      <c r="Q804" s="55"/>
      <c r="R804" s="55"/>
      <c r="S804" s="7"/>
      <c r="T804" s="55"/>
      <c r="U804" s="7"/>
      <c r="V804" s="55"/>
      <c r="W804" s="60"/>
      <c r="X804" s="55"/>
    </row>
    <row r="805" spans="1:24" ht="13" x14ac:dyDescent="0.15">
      <c r="A805" s="25"/>
      <c r="C805" s="69"/>
      <c r="F805" s="55"/>
      <c r="G805" s="56"/>
      <c r="H805" s="57"/>
      <c r="I805" s="57"/>
      <c r="J805" s="19"/>
      <c r="K805" s="19"/>
      <c r="L805" s="19"/>
      <c r="M805" s="19"/>
      <c r="N805" s="19"/>
      <c r="O805" s="59"/>
      <c r="P805" s="7"/>
      <c r="Q805" s="55"/>
      <c r="R805" s="55"/>
      <c r="S805" s="7"/>
      <c r="T805" s="55"/>
      <c r="U805" s="7"/>
      <c r="V805" s="55"/>
      <c r="W805" s="60"/>
      <c r="X805" s="55"/>
    </row>
    <row r="806" spans="1:24" ht="13" x14ac:dyDescent="0.15">
      <c r="A806" s="25"/>
      <c r="C806" s="69"/>
      <c r="F806" s="55"/>
      <c r="G806" s="56"/>
      <c r="H806" s="57"/>
      <c r="I806" s="57"/>
      <c r="J806" s="19"/>
      <c r="K806" s="19"/>
      <c r="L806" s="19"/>
      <c r="M806" s="19"/>
      <c r="N806" s="19"/>
      <c r="O806" s="59"/>
      <c r="P806" s="7"/>
      <c r="Q806" s="55"/>
      <c r="R806" s="55"/>
      <c r="S806" s="7"/>
      <c r="T806" s="55"/>
      <c r="U806" s="7"/>
      <c r="V806" s="55"/>
      <c r="W806" s="60"/>
      <c r="X806" s="55"/>
    </row>
    <row r="807" spans="1:24" ht="13" x14ac:dyDescent="0.15">
      <c r="A807" s="25"/>
      <c r="C807" s="69"/>
      <c r="F807" s="55"/>
      <c r="G807" s="56"/>
      <c r="H807" s="57"/>
      <c r="I807" s="57"/>
      <c r="J807" s="19"/>
      <c r="K807" s="19"/>
      <c r="L807" s="19"/>
      <c r="M807" s="19"/>
      <c r="N807" s="19"/>
      <c r="O807" s="59"/>
      <c r="P807" s="7"/>
      <c r="Q807" s="55"/>
      <c r="R807" s="55"/>
      <c r="S807" s="7"/>
      <c r="T807" s="55"/>
      <c r="U807" s="7"/>
      <c r="V807" s="55"/>
      <c r="W807" s="60"/>
      <c r="X807" s="55"/>
    </row>
    <row r="808" spans="1:24" ht="13" x14ac:dyDescent="0.15">
      <c r="A808" s="25"/>
      <c r="C808" s="69"/>
      <c r="F808" s="55"/>
      <c r="G808" s="56"/>
      <c r="H808" s="57"/>
      <c r="I808" s="57"/>
      <c r="J808" s="19"/>
      <c r="K808" s="19"/>
      <c r="L808" s="19"/>
      <c r="M808" s="19"/>
      <c r="N808" s="19"/>
      <c r="O808" s="59"/>
      <c r="P808" s="7"/>
      <c r="Q808" s="55"/>
      <c r="R808" s="55"/>
      <c r="S808" s="7"/>
      <c r="T808" s="55"/>
      <c r="U808" s="7"/>
      <c r="V808" s="55"/>
      <c r="W808" s="60"/>
      <c r="X808" s="55"/>
    </row>
    <row r="809" spans="1:24" ht="13" x14ac:dyDescent="0.15">
      <c r="A809" s="25"/>
      <c r="C809" s="69"/>
      <c r="F809" s="55"/>
      <c r="G809" s="56"/>
      <c r="H809" s="57"/>
      <c r="I809" s="57"/>
      <c r="J809" s="19"/>
      <c r="K809" s="19"/>
      <c r="L809" s="19"/>
      <c r="M809" s="19"/>
      <c r="N809" s="19"/>
      <c r="O809" s="59"/>
      <c r="P809" s="7"/>
      <c r="Q809" s="55"/>
      <c r="R809" s="55"/>
      <c r="S809" s="7"/>
      <c r="T809" s="55"/>
      <c r="U809" s="7"/>
      <c r="V809" s="55"/>
      <c r="W809" s="60"/>
      <c r="X809" s="55"/>
    </row>
    <row r="810" spans="1:24" ht="13" x14ac:dyDescent="0.15">
      <c r="A810" s="25"/>
      <c r="C810" s="69"/>
      <c r="F810" s="55"/>
      <c r="G810" s="56"/>
      <c r="H810" s="57"/>
      <c r="I810" s="57"/>
      <c r="J810" s="19"/>
      <c r="K810" s="19"/>
      <c r="L810" s="19"/>
      <c r="M810" s="19"/>
      <c r="N810" s="19"/>
      <c r="O810" s="59"/>
      <c r="P810" s="7"/>
      <c r="Q810" s="55"/>
      <c r="R810" s="55"/>
      <c r="S810" s="7"/>
      <c r="T810" s="55"/>
      <c r="U810" s="7"/>
      <c r="V810" s="55"/>
      <c r="W810" s="60"/>
      <c r="X810" s="55"/>
    </row>
    <row r="811" spans="1:24" ht="13" x14ac:dyDescent="0.15">
      <c r="A811" s="25"/>
      <c r="C811" s="69"/>
      <c r="F811" s="55"/>
      <c r="G811" s="56"/>
      <c r="H811" s="57"/>
      <c r="I811" s="57"/>
      <c r="J811" s="19"/>
      <c r="K811" s="19"/>
      <c r="L811" s="19"/>
      <c r="M811" s="19"/>
      <c r="N811" s="19"/>
      <c r="O811" s="59"/>
      <c r="P811" s="7"/>
      <c r="Q811" s="55"/>
      <c r="R811" s="55"/>
      <c r="S811" s="7"/>
      <c r="T811" s="55"/>
      <c r="U811" s="7"/>
      <c r="V811" s="55"/>
      <c r="W811" s="60"/>
      <c r="X811" s="55"/>
    </row>
    <row r="812" spans="1:24" ht="13" x14ac:dyDescent="0.15">
      <c r="A812" s="25"/>
      <c r="C812" s="69"/>
      <c r="F812" s="55"/>
      <c r="G812" s="56"/>
      <c r="H812" s="57"/>
      <c r="I812" s="57"/>
      <c r="J812" s="19"/>
      <c r="K812" s="19"/>
      <c r="L812" s="19"/>
      <c r="M812" s="19"/>
      <c r="N812" s="19"/>
      <c r="O812" s="59"/>
      <c r="P812" s="7"/>
      <c r="Q812" s="55"/>
      <c r="R812" s="55"/>
      <c r="S812" s="7"/>
      <c r="T812" s="55"/>
      <c r="U812" s="7"/>
      <c r="V812" s="55"/>
      <c r="W812" s="60"/>
      <c r="X812" s="55"/>
    </row>
    <row r="813" spans="1:24" ht="13" x14ac:dyDescent="0.15">
      <c r="A813" s="25"/>
      <c r="C813" s="69"/>
      <c r="F813" s="55"/>
      <c r="G813" s="56"/>
      <c r="H813" s="57"/>
      <c r="I813" s="57"/>
      <c r="J813" s="19"/>
      <c r="K813" s="19"/>
      <c r="L813" s="19"/>
      <c r="M813" s="19"/>
      <c r="N813" s="19"/>
      <c r="O813" s="59"/>
      <c r="P813" s="7"/>
      <c r="Q813" s="55"/>
      <c r="R813" s="55"/>
      <c r="S813" s="7"/>
      <c r="T813" s="55"/>
      <c r="U813" s="7"/>
      <c r="V813" s="55"/>
      <c r="W813" s="60"/>
      <c r="X813" s="55"/>
    </row>
    <row r="814" spans="1:24" ht="13" x14ac:dyDescent="0.15">
      <c r="A814" s="25"/>
      <c r="C814" s="69"/>
      <c r="F814" s="55"/>
      <c r="G814" s="56"/>
      <c r="H814" s="57"/>
      <c r="I814" s="57"/>
      <c r="J814" s="19"/>
      <c r="K814" s="19"/>
      <c r="L814" s="19"/>
      <c r="M814" s="19"/>
      <c r="N814" s="19"/>
      <c r="O814" s="59"/>
      <c r="P814" s="7"/>
      <c r="Q814" s="55"/>
      <c r="R814" s="55"/>
      <c r="S814" s="7"/>
      <c r="T814" s="55"/>
      <c r="U814" s="7"/>
      <c r="V814" s="55"/>
      <c r="W814" s="60"/>
      <c r="X814" s="55"/>
    </row>
    <row r="815" spans="1:24" ht="13" x14ac:dyDescent="0.15">
      <c r="A815" s="25"/>
      <c r="C815" s="69"/>
      <c r="F815" s="55"/>
      <c r="G815" s="56"/>
      <c r="H815" s="57"/>
      <c r="I815" s="57"/>
      <c r="J815" s="19"/>
      <c r="K815" s="19"/>
      <c r="L815" s="19"/>
      <c r="M815" s="19"/>
      <c r="N815" s="19"/>
      <c r="O815" s="59"/>
      <c r="P815" s="7"/>
      <c r="Q815" s="55"/>
      <c r="R815" s="55"/>
      <c r="S815" s="7"/>
      <c r="T815" s="55"/>
      <c r="U815" s="7"/>
      <c r="V815" s="55"/>
      <c r="W815" s="60"/>
      <c r="X815" s="55"/>
    </row>
    <row r="816" spans="1:24" ht="13" x14ac:dyDescent="0.15">
      <c r="A816" s="25"/>
      <c r="C816" s="69"/>
      <c r="F816" s="55"/>
      <c r="G816" s="56"/>
      <c r="H816" s="57"/>
      <c r="I816" s="57"/>
      <c r="J816" s="19"/>
      <c r="K816" s="19"/>
      <c r="L816" s="19"/>
      <c r="M816" s="19"/>
      <c r="N816" s="19"/>
      <c r="O816" s="59"/>
      <c r="P816" s="7"/>
      <c r="Q816" s="55"/>
      <c r="R816" s="55"/>
      <c r="S816" s="7"/>
      <c r="T816" s="55"/>
      <c r="U816" s="7"/>
      <c r="V816" s="55"/>
      <c r="W816" s="60"/>
      <c r="X816" s="55"/>
    </row>
    <row r="817" spans="1:24" ht="13" x14ac:dyDescent="0.15">
      <c r="A817" s="25"/>
      <c r="C817" s="69"/>
      <c r="F817" s="55"/>
      <c r="G817" s="56"/>
      <c r="H817" s="57"/>
      <c r="I817" s="57"/>
      <c r="J817" s="19"/>
      <c r="K817" s="19"/>
      <c r="L817" s="19"/>
      <c r="M817" s="19"/>
      <c r="N817" s="19"/>
      <c r="O817" s="59"/>
      <c r="P817" s="7"/>
      <c r="Q817" s="55"/>
      <c r="R817" s="55"/>
      <c r="S817" s="7"/>
      <c r="T817" s="55"/>
      <c r="U817" s="7"/>
      <c r="V817" s="55"/>
      <c r="W817" s="60"/>
      <c r="X817" s="55"/>
    </row>
    <row r="818" spans="1:24" ht="13" x14ac:dyDescent="0.15">
      <c r="A818" s="25"/>
      <c r="C818" s="69"/>
      <c r="F818" s="55"/>
      <c r="G818" s="56"/>
      <c r="H818" s="57"/>
      <c r="I818" s="57"/>
      <c r="J818" s="19"/>
      <c r="K818" s="19"/>
      <c r="L818" s="19"/>
      <c r="M818" s="19"/>
      <c r="N818" s="19"/>
      <c r="O818" s="59"/>
      <c r="P818" s="7"/>
      <c r="Q818" s="55"/>
      <c r="R818" s="55"/>
      <c r="S818" s="7"/>
      <c r="T818" s="55"/>
      <c r="U818" s="7"/>
      <c r="V818" s="55"/>
      <c r="W818" s="60"/>
      <c r="X818" s="55"/>
    </row>
    <row r="819" spans="1:24" ht="13" x14ac:dyDescent="0.15">
      <c r="A819" s="25"/>
      <c r="C819" s="69"/>
      <c r="F819" s="55"/>
      <c r="G819" s="56"/>
      <c r="H819" s="57"/>
      <c r="I819" s="57"/>
      <c r="J819" s="19"/>
      <c r="K819" s="19"/>
      <c r="L819" s="19"/>
      <c r="M819" s="19"/>
      <c r="N819" s="19"/>
      <c r="O819" s="59"/>
      <c r="P819" s="7"/>
      <c r="Q819" s="55"/>
      <c r="R819" s="55"/>
      <c r="S819" s="7"/>
      <c r="T819" s="55"/>
      <c r="U819" s="7"/>
      <c r="V819" s="55"/>
      <c r="W819" s="60"/>
      <c r="X819" s="55"/>
    </row>
    <row r="820" spans="1:24" ht="13" x14ac:dyDescent="0.15">
      <c r="A820" s="25"/>
      <c r="C820" s="69"/>
      <c r="F820" s="55"/>
      <c r="G820" s="56"/>
      <c r="H820" s="57"/>
      <c r="I820" s="57"/>
      <c r="J820" s="19"/>
      <c r="K820" s="19"/>
      <c r="L820" s="19"/>
      <c r="M820" s="19"/>
      <c r="N820" s="19"/>
      <c r="O820" s="59"/>
      <c r="P820" s="7"/>
      <c r="Q820" s="55"/>
      <c r="R820" s="55"/>
      <c r="S820" s="7"/>
      <c r="T820" s="55"/>
      <c r="U820" s="7"/>
      <c r="V820" s="55"/>
      <c r="W820" s="60"/>
      <c r="X820" s="55"/>
    </row>
    <row r="821" spans="1:24" ht="13" x14ac:dyDescent="0.15">
      <c r="A821" s="25"/>
      <c r="C821" s="69"/>
      <c r="F821" s="55"/>
      <c r="G821" s="56"/>
      <c r="H821" s="57"/>
      <c r="I821" s="57"/>
      <c r="J821" s="19"/>
      <c r="K821" s="19"/>
      <c r="L821" s="19"/>
      <c r="M821" s="19"/>
      <c r="N821" s="19"/>
      <c r="O821" s="59"/>
      <c r="P821" s="7"/>
      <c r="Q821" s="55"/>
      <c r="R821" s="55"/>
      <c r="S821" s="7"/>
      <c r="T821" s="55"/>
      <c r="U821" s="7"/>
      <c r="V821" s="55"/>
      <c r="W821" s="60"/>
      <c r="X821" s="55"/>
    </row>
    <row r="822" spans="1:24" ht="13" x14ac:dyDescent="0.15">
      <c r="A822" s="25"/>
      <c r="C822" s="69"/>
      <c r="F822" s="55"/>
      <c r="G822" s="56"/>
      <c r="H822" s="57"/>
      <c r="I822" s="57"/>
      <c r="J822" s="19"/>
      <c r="K822" s="19"/>
      <c r="L822" s="19"/>
      <c r="M822" s="19"/>
      <c r="N822" s="19"/>
      <c r="O822" s="59"/>
      <c r="P822" s="7"/>
      <c r="Q822" s="55"/>
      <c r="R822" s="55"/>
      <c r="S822" s="7"/>
      <c r="T822" s="55"/>
      <c r="U822" s="7"/>
      <c r="V822" s="55"/>
      <c r="W822" s="60"/>
      <c r="X822" s="55"/>
    </row>
    <row r="823" spans="1:24" ht="13" x14ac:dyDescent="0.15">
      <c r="A823" s="25"/>
      <c r="C823" s="69"/>
      <c r="F823" s="55"/>
      <c r="G823" s="56"/>
      <c r="H823" s="57"/>
      <c r="I823" s="57"/>
      <c r="J823" s="19"/>
      <c r="K823" s="19"/>
      <c r="L823" s="19"/>
      <c r="M823" s="19"/>
      <c r="N823" s="19"/>
      <c r="O823" s="59"/>
      <c r="P823" s="7"/>
      <c r="Q823" s="55"/>
      <c r="R823" s="55"/>
      <c r="S823" s="7"/>
      <c r="T823" s="55"/>
      <c r="U823" s="7"/>
      <c r="V823" s="55"/>
      <c r="W823" s="60"/>
      <c r="X823" s="55"/>
    </row>
    <row r="824" spans="1:24" ht="13" x14ac:dyDescent="0.15">
      <c r="A824" s="25"/>
      <c r="C824" s="69"/>
      <c r="F824" s="55"/>
      <c r="G824" s="56"/>
      <c r="H824" s="57"/>
      <c r="I824" s="57"/>
      <c r="J824" s="19"/>
      <c r="K824" s="19"/>
      <c r="L824" s="19"/>
      <c r="M824" s="19"/>
      <c r="N824" s="19"/>
      <c r="O824" s="59"/>
      <c r="P824" s="7"/>
      <c r="Q824" s="55"/>
      <c r="R824" s="55"/>
      <c r="S824" s="7"/>
      <c r="T824" s="55"/>
      <c r="U824" s="7"/>
      <c r="V824" s="55"/>
      <c r="W824" s="60"/>
      <c r="X824" s="55"/>
    </row>
    <row r="825" spans="1:24" ht="13" x14ac:dyDescent="0.15">
      <c r="A825" s="25"/>
      <c r="C825" s="69"/>
      <c r="F825" s="55"/>
      <c r="G825" s="56"/>
      <c r="H825" s="57"/>
      <c r="I825" s="57"/>
      <c r="J825" s="19"/>
      <c r="K825" s="19"/>
      <c r="L825" s="19"/>
      <c r="M825" s="19"/>
      <c r="N825" s="19"/>
      <c r="O825" s="59"/>
      <c r="P825" s="7"/>
      <c r="Q825" s="55"/>
      <c r="R825" s="55"/>
      <c r="S825" s="7"/>
      <c r="T825" s="55"/>
      <c r="U825" s="7"/>
      <c r="V825" s="55"/>
      <c r="W825" s="60"/>
      <c r="X825" s="55"/>
    </row>
    <row r="826" spans="1:24" ht="13" x14ac:dyDescent="0.15">
      <c r="A826" s="25"/>
      <c r="C826" s="69"/>
      <c r="F826" s="55"/>
      <c r="G826" s="56"/>
      <c r="H826" s="57"/>
      <c r="I826" s="57"/>
      <c r="J826" s="19"/>
      <c r="K826" s="19"/>
      <c r="L826" s="19"/>
      <c r="M826" s="19"/>
      <c r="N826" s="19"/>
      <c r="O826" s="59"/>
      <c r="P826" s="7"/>
      <c r="Q826" s="55"/>
      <c r="R826" s="55"/>
      <c r="S826" s="7"/>
      <c r="T826" s="55"/>
      <c r="U826" s="7"/>
      <c r="V826" s="55"/>
      <c r="W826" s="60"/>
      <c r="X826" s="55"/>
    </row>
    <row r="827" spans="1:24" ht="13" x14ac:dyDescent="0.15">
      <c r="A827" s="25"/>
      <c r="C827" s="69"/>
      <c r="F827" s="55"/>
      <c r="G827" s="56"/>
      <c r="H827" s="57"/>
      <c r="I827" s="57"/>
      <c r="J827" s="19"/>
      <c r="K827" s="19"/>
      <c r="L827" s="19"/>
      <c r="M827" s="19"/>
      <c r="N827" s="19"/>
      <c r="O827" s="59"/>
      <c r="P827" s="7"/>
      <c r="Q827" s="55"/>
      <c r="R827" s="55"/>
      <c r="S827" s="7"/>
      <c r="T827" s="55"/>
      <c r="U827" s="7"/>
      <c r="V827" s="55"/>
      <c r="W827" s="60"/>
      <c r="X827" s="55"/>
    </row>
    <row r="828" spans="1:24" ht="13" x14ac:dyDescent="0.15">
      <c r="A828" s="25"/>
      <c r="C828" s="69"/>
      <c r="F828" s="55"/>
      <c r="G828" s="56"/>
      <c r="H828" s="57"/>
      <c r="I828" s="57"/>
      <c r="J828" s="19"/>
      <c r="K828" s="19"/>
      <c r="L828" s="19"/>
      <c r="M828" s="19"/>
      <c r="N828" s="19"/>
      <c r="O828" s="59"/>
      <c r="P828" s="7"/>
      <c r="Q828" s="55"/>
      <c r="R828" s="55"/>
      <c r="S828" s="7"/>
      <c r="T828" s="55"/>
      <c r="U828" s="7"/>
      <c r="V828" s="55"/>
      <c r="W828" s="60"/>
      <c r="X828" s="55"/>
    </row>
    <row r="829" spans="1:24" ht="13" x14ac:dyDescent="0.15">
      <c r="A829" s="25"/>
      <c r="C829" s="69"/>
      <c r="F829" s="55"/>
      <c r="G829" s="56"/>
      <c r="H829" s="57"/>
      <c r="I829" s="57"/>
      <c r="J829" s="19"/>
      <c r="K829" s="19"/>
      <c r="L829" s="19"/>
      <c r="M829" s="19"/>
      <c r="N829" s="19"/>
      <c r="O829" s="59"/>
      <c r="P829" s="7"/>
      <c r="Q829" s="55"/>
      <c r="R829" s="55"/>
      <c r="S829" s="7"/>
      <c r="T829" s="55"/>
      <c r="U829" s="7"/>
      <c r="V829" s="55"/>
      <c r="W829" s="60"/>
      <c r="X829" s="55"/>
    </row>
    <row r="830" spans="1:24" ht="13" x14ac:dyDescent="0.15">
      <c r="A830" s="25"/>
      <c r="C830" s="69"/>
      <c r="F830" s="55"/>
      <c r="G830" s="56"/>
      <c r="H830" s="57"/>
      <c r="I830" s="57"/>
      <c r="J830" s="19"/>
      <c r="K830" s="19"/>
      <c r="L830" s="19"/>
      <c r="M830" s="19"/>
      <c r="N830" s="19"/>
      <c r="O830" s="59"/>
      <c r="P830" s="7"/>
      <c r="Q830" s="55"/>
      <c r="R830" s="55"/>
      <c r="S830" s="7"/>
      <c r="T830" s="55"/>
      <c r="U830" s="7"/>
      <c r="V830" s="55"/>
      <c r="W830" s="60"/>
      <c r="X830" s="55"/>
    </row>
    <row r="831" spans="1:24" ht="13" x14ac:dyDescent="0.15">
      <c r="A831" s="25"/>
      <c r="C831" s="69"/>
      <c r="F831" s="55"/>
      <c r="G831" s="56"/>
      <c r="H831" s="57"/>
      <c r="I831" s="57"/>
      <c r="J831" s="19"/>
      <c r="K831" s="19"/>
      <c r="L831" s="19"/>
      <c r="M831" s="19"/>
      <c r="N831" s="19"/>
      <c r="O831" s="59"/>
      <c r="P831" s="7"/>
      <c r="Q831" s="55"/>
      <c r="R831" s="55"/>
      <c r="S831" s="7"/>
      <c r="T831" s="55"/>
      <c r="U831" s="7"/>
      <c r="V831" s="55"/>
      <c r="W831" s="60"/>
      <c r="X831" s="55"/>
    </row>
    <row r="832" spans="1:24" ht="13" x14ac:dyDescent="0.15">
      <c r="A832" s="25"/>
      <c r="C832" s="69"/>
      <c r="F832" s="55"/>
      <c r="G832" s="56"/>
      <c r="H832" s="57"/>
      <c r="I832" s="57"/>
      <c r="J832" s="19"/>
      <c r="K832" s="19"/>
      <c r="L832" s="19"/>
      <c r="M832" s="19"/>
      <c r="N832" s="19"/>
      <c r="O832" s="59"/>
      <c r="P832" s="7"/>
      <c r="Q832" s="55"/>
      <c r="R832" s="55"/>
      <c r="S832" s="7"/>
      <c r="T832" s="55"/>
      <c r="U832" s="7"/>
      <c r="V832" s="55"/>
      <c r="W832" s="60"/>
      <c r="X832" s="55"/>
    </row>
    <row r="833" spans="1:24" ht="13" x14ac:dyDescent="0.15">
      <c r="A833" s="25"/>
      <c r="C833" s="69"/>
      <c r="F833" s="55"/>
      <c r="G833" s="56"/>
      <c r="H833" s="57"/>
      <c r="I833" s="57"/>
      <c r="J833" s="19"/>
      <c r="K833" s="19"/>
      <c r="L833" s="19"/>
      <c r="M833" s="19"/>
      <c r="N833" s="19"/>
      <c r="O833" s="59"/>
      <c r="P833" s="7"/>
      <c r="Q833" s="55"/>
      <c r="R833" s="55"/>
      <c r="S833" s="7"/>
      <c r="T833" s="55"/>
      <c r="U833" s="7"/>
      <c r="V833" s="55"/>
      <c r="W833" s="60"/>
      <c r="X833" s="55"/>
    </row>
    <row r="834" spans="1:24" ht="13" x14ac:dyDescent="0.15">
      <c r="A834" s="25"/>
      <c r="C834" s="69"/>
      <c r="F834" s="55"/>
      <c r="G834" s="56"/>
      <c r="H834" s="57"/>
      <c r="I834" s="57"/>
      <c r="J834" s="19"/>
      <c r="K834" s="19"/>
      <c r="L834" s="19"/>
      <c r="M834" s="19"/>
      <c r="N834" s="19"/>
      <c r="O834" s="59"/>
      <c r="P834" s="7"/>
      <c r="Q834" s="55"/>
      <c r="R834" s="55"/>
      <c r="S834" s="7"/>
      <c r="T834" s="55"/>
      <c r="U834" s="7"/>
      <c r="V834" s="55"/>
      <c r="W834" s="60"/>
      <c r="X834" s="55"/>
    </row>
    <row r="835" spans="1:24" ht="13" x14ac:dyDescent="0.15">
      <c r="A835" s="25"/>
      <c r="C835" s="69"/>
      <c r="F835" s="55"/>
      <c r="G835" s="56"/>
      <c r="H835" s="57"/>
      <c r="I835" s="57"/>
      <c r="J835" s="19"/>
      <c r="K835" s="19"/>
      <c r="L835" s="19"/>
      <c r="M835" s="19"/>
      <c r="N835" s="19"/>
      <c r="O835" s="59"/>
      <c r="P835" s="7"/>
      <c r="Q835" s="55"/>
      <c r="R835" s="55"/>
      <c r="S835" s="7"/>
      <c r="T835" s="55"/>
      <c r="U835" s="7"/>
      <c r="V835" s="55"/>
      <c r="W835" s="60"/>
      <c r="X835" s="55"/>
    </row>
    <row r="836" spans="1:24" ht="13" x14ac:dyDescent="0.15">
      <c r="A836" s="25"/>
      <c r="C836" s="69"/>
      <c r="F836" s="55"/>
      <c r="G836" s="56"/>
      <c r="H836" s="57"/>
      <c r="I836" s="57"/>
      <c r="J836" s="19"/>
      <c r="K836" s="19"/>
      <c r="L836" s="19"/>
      <c r="M836" s="19"/>
      <c r="N836" s="19"/>
      <c r="O836" s="59"/>
      <c r="P836" s="7"/>
      <c r="Q836" s="55"/>
      <c r="R836" s="55"/>
      <c r="S836" s="7"/>
      <c r="T836" s="55"/>
      <c r="U836" s="7"/>
      <c r="V836" s="55"/>
      <c r="W836" s="60"/>
      <c r="X836" s="55"/>
    </row>
    <row r="837" spans="1:24" ht="13" x14ac:dyDescent="0.15">
      <c r="A837" s="25"/>
      <c r="C837" s="69"/>
      <c r="F837" s="55"/>
      <c r="G837" s="56"/>
      <c r="H837" s="57"/>
      <c r="I837" s="57"/>
      <c r="J837" s="19"/>
      <c r="K837" s="19"/>
      <c r="L837" s="19"/>
      <c r="M837" s="19"/>
      <c r="N837" s="19"/>
      <c r="O837" s="59"/>
      <c r="P837" s="7"/>
      <c r="Q837" s="55"/>
      <c r="R837" s="55"/>
      <c r="S837" s="7"/>
      <c r="T837" s="55"/>
      <c r="U837" s="7"/>
      <c r="V837" s="55"/>
      <c r="W837" s="60"/>
      <c r="X837" s="55"/>
    </row>
    <row r="838" spans="1:24" ht="13" x14ac:dyDescent="0.15">
      <c r="A838" s="25"/>
      <c r="C838" s="69"/>
      <c r="F838" s="55"/>
      <c r="G838" s="56"/>
      <c r="H838" s="57"/>
      <c r="I838" s="57"/>
      <c r="J838" s="19"/>
      <c r="K838" s="19"/>
      <c r="L838" s="19"/>
      <c r="M838" s="19"/>
      <c r="N838" s="19"/>
      <c r="O838" s="59"/>
      <c r="P838" s="7"/>
      <c r="Q838" s="55"/>
      <c r="R838" s="55"/>
      <c r="S838" s="7"/>
      <c r="T838" s="55"/>
      <c r="U838" s="7"/>
      <c r="V838" s="55"/>
      <c r="W838" s="60"/>
      <c r="X838" s="55"/>
    </row>
    <row r="839" spans="1:24" ht="13" x14ac:dyDescent="0.15">
      <c r="A839" s="25"/>
      <c r="C839" s="69"/>
      <c r="F839" s="55"/>
      <c r="G839" s="56"/>
      <c r="H839" s="57"/>
      <c r="I839" s="57"/>
      <c r="J839" s="19"/>
      <c r="K839" s="19"/>
      <c r="L839" s="19"/>
      <c r="M839" s="19"/>
      <c r="N839" s="19"/>
      <c r="O839" s="59"/>
      <c r="P839" s="7"/>
      <c r="Q839" s="55"/>
      <c r="R839" s="55"/>
      <c r="S839" s="7"/>
      <c r="T839" s="55"/>
      <c r="U839" s="7"/>
      <c r="V839" s="55"/>
      <c r="W839" s="60"/>
      <c r="X839" s="55"/>
    </row>
    <row r="840" spans="1:24" ht="13" x14ac:dyDescent="0.15">
      <c r="A840" s="25"/>
      <c r="C840" s="69"/>
      <c r="F840" s="55"/>
      <c r="G840" s="56"/>
      <c r="H840" s="57"/>
      <c r="I840" s="57"/>
      <c r="J840" s="19"/>
      <c r="K840" s="19"/>
      <c r="L840" s="19"/>
      <c r="M840" s="19"/>
      <c r="N840" s="19"/>
      <c r="O840" s="59"/>
      <c r="P840" s="7"/>
      <c r="Q840" s="55"/>
      <c r="R840" s="55"/>
      <c r="S840" s="7"/>
      <c r="T840" s="55"/>
      <c r="U840" s="7"/>
      <c r="V840" s="55"/>
      <c r="W840" s="60"/>
      <c r="X840" s="55"/>
    </row>
    <row r="841" spans="1:24" ht="13" x14ac:dyDescent="0.15">
      <c r="A841" s="25"/>
      <c r="C841" s="69"/>
      <c r="F841" s="55"/>
      <c r="G841" s="56"/>
      <c r="H841" s="57"/>
      <c r="I841" s="57"/>
      <c r="J841" s="19"/>
      <c r="K841" s="19"/>
      <c r="L841" s="19"/>
      <c r="M841" s="19"/>
      <c r="N841" s="19"/>
      <c r="O841" s="59"/>
      <c r="P841" s="7"/>
      <c r="Q841" s="55"/>
      <c r="R841" s="55"/>
      <c r="S841" s="7"/>
      <c r="T841" s="55"/>
      <c r="U841" s="7"/>
      <c r="V841" s="55"/>
      <c r="W841" s="60"/>
      <c r="X841" s="55"/>
    </row>
    <row r="842" spans="1:24" ht="13" x14ac:dyDescent="0.15">
      <c r="A842" s="25"/>
      <c r="C842" s="69"/>
      <c r="F842" s="55"/>
      <c r="G842" s="56"/>
      <c r="H842" s="57"/>
      <c r="I842" s="57"/>
      <c r="J842" s="19"/>
      <c r="K842" s="19"/>
      <c r="L842" s="19"/>
      <c r="M842" s="19"/>
      <c r="N842" s="19"/>
      <c r="O842" s="59"/>
      <c r="P842" s="7"/>
      <c r="Q842" s="55"/>
      <c r="R842" s="55"/>
      <c r="S842" s="7"/>
      <c r="T842" s="55"/>
      <c r="U842" s="7"/>
      <c r="V842" s="55"/>
      <c r="W842" s="60"/>
      <c r="X842" s="55"/>
    </row>
    <row r="843" spans="1:24" ht="13" x14ac:dyDescent="0.15">
      <c r="A843" s="25"/>
      <c r="C843" s="69"/>
      <c r="F843" s="55"/>
      <c r="G843" s="56"/>
      <c r="H843" s="57"/>
      <c r="I843" s="57"/>
      <c r="J843" s="19"/>
      <c r="K843" s="19"/>
      <c r="L843" s="19"/>
      <c r="M843" s="19"/>
      <c r="N843" s="19"/>
      <c r="O843" s="59"/>
      <c r="P843" s="7"/>
      <c r="Q843" s="55"/>
      <c r="R843" s="55"/>
      <c r="S843" s="7"/>
      <c r="T843" s="55"/>
      <c r="U843" s="7"/>
      <c r="V843" s="55"/>
      <c r="W843" s="60"/>
      <c r="X843" s="55"/>
    </row>
    <row r="844" spans="1:24" ht="13" x14ac:dyDescent="0.15">
      <c r="A844" s="25"/>
      <c r="C844" s="69"/>
      <c r="F844" s="55"/>
      <c r="G844" s="56"/>
      <c r="H844" s="57"/>
      <c r="I844" s="57"/>
      <c r="J844" s="19"/>
      <c r="K844" s="19"/>
      <c r="L844" s="19"/>
      <c r="M844" s="19"/>
      <c r="N844" s="19"/>
      <c r="O844" s="59"/>
      <c r="P844" s="7"/>
      <c r="Q844" s="55"/>
      <c r="R844" s="55"/>
      <c r="S844" s="7"/>
      <c r="T844" s="55"/>
      <c r="U844" s="7"/>
      <c r="V844" s="55"/>
      <c r="W844" s="60"/>
      <c r="X844" s="55"/>
    </row>
    <row r="845" spans="1:24" ht="13" x14ac:dyDescent="0.15">
      <c r="A845" s="25"/>
      <c r="C845" s="69"/>
      <c r="F845" s="55"/>
      <c r="G845" s="56"/>
      <c r="H845" s="57"/>
      <c r="I845" s="57"/>
      <c r="J845" s="19"/>
      <c r="K845" s="19"/>
      <c r="L845" s="19"/>
      <c r="M845" s="19"/>
      <c r="N845" s="19"/>
      <c r="O845" s="59"/>
      <c r="P845" s="7"/>
      <c r="Q845" s="55"/>
      <c r="R845" s="55"/>
      <c r="S845" s="7"/>
      <c r="T845" s="55"/>
      <c r="U845" s="7"/>
      <c r="V845" s="55"/>
      <c r="W845" s="60"/>
      <c r="X845" s="55"/>
    </row>
    <row r="846" spans="1:24" ht="13" x14ac:dyDescent="0.15">
      <c r="A846" s="25"/>
      <c r="C846" s="69"/>
      <c r="F846" s="55"/>
      <c r="G846" s="56"/>
      <c r="H846" s="57"/>
      <c r="I846" s="57"/>
      <c r="J846" s="19"/>
      <c r="K846" s="19"/>
      <c r="L846" s="19"/>
      <c r="M846" s="19"/>
      <c r="N846" s="19"/>
      <c r="O846" s="59"/>
      <c r="P846" s="7"/>
      <c r="Q846" s="55"/>
      <c r="R846" s="55"/>
      <c r="S846" s="7"/>
      <c r="T846" s="55"/>
      <c r="U846" s="7"/>
      <c r="V846" s="55"/>
      <c r="W846" s="60"/>
      <c r="X846" s="55"/>
    </row>
    <row r="847" spans="1:24" ht="13" x14ac:dyDescent="0.15">
      <c r="A847" s="25"/>
      <c r="C847" s="69"/>
      <c r="F847" s="55"/>
      <c r="G847" s="56"/>
      <c r="H847" s="57"/>
      <c r="I847" s="57"/>
      <c r="J847" s="19"/>
      <c r="K847" s="19"/>
      <c r="L847" s="19"/>
      <c r="M847" s="19"/>
      <c r="N847" s="19"/>
      <c r="O847" s="59"/>
      <c r="P847" s="7"/>
      <c r="Q847" s="55"/>
      <c r="R847" s="55"/>
      <c r="S847" s="7"/>
      <c r="T847" s="55"/>
      <c r="U847" s="7"/>
      <c r="V847" s="55"/>
      <c r="W847" s="60"/>
      <c r="X847" s="55"/>
    </row>
    <row r="848" spans="1:24" ht="13" x14ac:dyDescent="0.15">
      <c r="A848" s="25"/>
      <c r="C848" s="69"/>
      <c r="F848" s="55"/>
      <c r="G848" s="56"/>
      <c r="H848" s="57"/>
      <c r="I848" s="57"/>
      <c r="J848" s="19"/>
      <c r="K848" s="19"/>
      <c r="L848" s="19"/>
      <c r="M848" s="19"/>
      <c r="N848" s="19"/>
      <c r="O848" s="59"/>
      <c r="P848" s="7"/>
      <c r="Q848" s="55"/>
      <c r="R848" s="55"/>
      <c r="S848" s="7"/>
      <c r="T848" s="55"/>
      <c r="U848" s="7"/>
      <c r="V848" s="55"/>
      <c r="W848" s="60"/>
      <c r="X848" s="55"/>
    </row>
    <row r="849" spans="1:24" ht="13" x14ac:dyDescent="0.15">
      <c r="A849" s="25"/>
      <c r="C849" s="69"/>
      <c r="F849" s="55"/>
      <c r="G849" s="56"/>
      <c r="H849" s="57"/>
      <c r="I849" s="57"/>
      <c r="J849" s="19"/>
      <c r="K849" s="19"/>
      <c r="L849" s="19"/>
      <c r="M849" s="19"/>
      <c r="N849" s="19"/>
      <c r="O849" s="59"/>
      <c r="P849" s="7"/>
      <c r="Q849" s="55"/>
      <c r="R849" s="55"/>
      <c r="S849" s="7"/>
      <c r="T849" s="55"/>
      <c r="U849" s="7"/>
      <c r="V849" s="55"/>
      <c r="W849" s="60"/>
      <c r="X849" s="55"/>
    </row>
    <row r="850" spans="1:24" ht="13" x14ac:dyDescent="0.15">
      <c r="A850" s="25"/>
      <c r="C850" s="69"/>
      <c r="F850" s="55"/>
      <c r="G850" s="56"/>
      <c r="H850" s="57"/>
      <c r="I850" s="57"/>
      <c r="J850" s="19"/>
      <c r="K850" s="19"/>
      <c r="L850" s="19"/>
      <c r="M850" s="19"/>
      <c r="N850" s="19"/>
      <c r="O850" s="59"/>
      <c r="P850" s="7"/>
      <c r="Q850" s="55"/>
      <c r="R850" s="55"/>
      <c r="S850" s="7"/>
      <c r="T850" s="55"/>
      <c r="U850" s="7"/>
      <c r="V850" s="55"/>
      <c r="W850" s="60"/>
      <c r="X850" s="55"/>
    </row>
    <row r="851" spans="1:24" ht="13" x14ac:dyDescent="0.15">
      <c r="A851" s="25"/>
      <c r="C851" s="69"/>
      <c r="F851" s="55"/>
      <c r="G851" s="56"/>
      <c r="H851" s="57"/>
      <c r="I851" s="57"/>
      <c r="J851" s="19"/>
      <c r="K851" s="19"/>
      <c r="L851" s="19"/>
      <c r="M851" s="19"/>
      <c r="N851" s="19"/>
      <c r="O851" s="59"/>
      <c r="P851" s="7"/>
      <c r="Q851" s="55"/>
      <c r="R851" s="55"/>
      <c r="S851" s="7"/>
      <c r="T851" s="55"/>
      <c r="U851" s="7"/>
      <c r="V851" s="55"/>
      <c r="W851" s="60"/>
      <c r="X851" s="55"/>
    </row>
    <row r="852" spans="1:24" ht="13" x14ac:dyDescent="0.15">
      <c r="A852" s="25"/>
      <c r="C852" s="69"/>
      <c r="F852" s="55"/>
      <c r="G852" s="56"/>
      <c r="H852" s="57"/>
      <c r="I852" s="57"/>
      <c r="J852" s="19"/>
      <c r="K852" s="19"/>
      <c r="L852" s="19"/>
      <c r="M852" s="19"/>
      <c r="N852" s="19"/>
      <c r="O852" s="59"/>
      <c r="P852" s="7"/>
      <c r="Q852" s="55"/>
      <c r="R852" s="55"/>
      <c r="S852" s="7"/>
      <c r="T852" s="55"/>
      <c r="U852" s="7"/>
      <c r="V852" s="55"/>
      <c r="W852" s="60"/>
      <c r="X852" s="55"/>
    </row>
    <row r="853" spans="1:24" ht="13" x14ac:dyDescent="0.15">
      <c r="A853" s="25"/>
      <c r="C853" s="69"/>
      <c r="F853" s="55"/>
      <c r="G853" s="56"/>
      <c r="H853" s="57"/>
      <c r="I853" s="57"/>
      <c r="J853" s="19"/>
      <c r="K853" s="19"/>
      <c r="L853" s="19"/>
      <c r="M853" s="19"/>
      <c r="N853" s="19"/>
      <c r="O853" s="59"/>
      <c r="P853" s="7"/>
      <c r="Q853" s="55"/>
      <c r="R853" s="55"/>
      <c r="S853" s="7"/>
      <c r="T853" s="55"/>
      <c r="U853" s="7"/>
      <c r="V853" s="55"/>
      <c r="W853" s="60"/>
      <c r="X853" s="55"/>
    </row>
    <row r="854" spans="1:24" ht="13" x14ac:dyDescent="0.15">
      <c r="A854" s="25"/>
      <c r="C854" s="69"/>
      <c r="F854" s="55"/>
      <c r="G854" s="56"/>
      <c r="H854" s="57"/>
      <c r="I854" s="57"/>
      <c r="J854" s="19"/>
      <c r="K854" s="19"/>
      <c r="L854" s="19"/>
      <c r="M854" s="19"/>
      <c r="N854" s="19"/>
      <c r="O854" s="59"/>
      <c r="P854" s="7"/>
      <c r="Q854" s="55"/>
      <c r="R854" s="55"/>
      <c r="S854" s="7"/>
      <c r="T854" s="55"/>
      <c r="U854" s="7"/>
      <c r="V854" s="55"/>
      <c r="W854" s="60"/>
      <c r="X854" s="55"/>
    </row>
    <row r="855" spans="1:24" ht="13" x14ac:dyDescent="0.15">
      <c r="A855" s="25"/>
      <c r="C855" s="69"/>
      <c r="F855" s="55"/>
      <c r="G855" s="56"/>
      <c r="H855" s="57"/>
      <c r="I855" s="57"/>
      <c r="J855" s="19"/>
      <c r="K855" s="19"/>
      <c r="L855" s="19"/>
      <c r="M855" s="19"/>
      <c r="N855" s="19"/>
      <c r="O855" s="59"/>
      <c r="P855" s="7"/>
      <c r="Q855" s="55"/>
      <c r="R855" s="55"/>
      <c r="S855" s="7"/>
      <c r="T855" s="55"/>
      <c r="U855" s="7"/>
      <c r="V855" s="55"/>
      <c r="W855" s="60"/>
      <c r="X855" s="55"/>
    </row>
    <row r="856" spans="1:24" ht="13" x14ac:dyDescent="0.15">
      <c r="A856" s="25"/>
      <c r="C856" s="69"/>
      <c r="F856" s="55"/>
      <c r="G856" s="56"/>
      <c r="H856" s="57"/>
      <c r="I856" s="57"/>
      <c r="J856" s="19"/>
      <c r="K856" s="19"/>
      <c r="L856" s="19"/>
      <c r="M856" s="19"/>
      <c r="N856" s="19"/>
      <c r="O856" s="59"/>
      <c r="P856" s="7"/>
      <c r="Q856" s="55"/>
      <c r="R856" s="55"/>
      <c r="S856" s="7"/>
      <c r="T856" s="55"/>
      <c r="U856" s="7"/>
      <c r="V856" s="55"/>
      <c r="W856" s="60"/>
      <c r="X856" s="55"/>
    </row>
    <row r="857" spans="1:24" ht="13" x14ac:dyDescent="0.15">
      <c r="A857" s="25"/>
      <c r="C857" s="69"/>
      <c r="F857" s="55"/>
      <c r="G857" s="56"/>
      <c r="H857" s="57"/>
      <c r="I857" s="57"/>
      <c r="J857" s="19"/>
      <c r="K857" s="19"/>
      <c r="L857" s="19"/>
      <c r="M857" s="19"/>
      <c r="N857" s="19"/>
      <c r="O857" s="59"/>
      <c r="P857" s="7"/>
      <c r="Q857" s="55"/>
      <c r="R857" s="55"/>
      <c r="S857" s="7"/>
      <c r="T857" s="55"/>
      <c r="U857" s="7"/>
      <c r="V857" s="55"/>
      <c r="W857" s="60"/>
      <c r="X857" s="55"/>
    </row>
    <row r="858" spans="1:24" ht="13" x14ac:dyDescent="0.15">
      <c r="A858" s="25"/>
      <c r="C858" s="69"/>
      <c r="F858" s="55"/>
      <c r="G858" s="56"/>
      <c r="H858" s="57"/>
      <c r="I858" s="57"/>
      <c r="J858" s="19"/>
      <c r="K858" s="19"/>
      <c r="L858" s="19"/>
      <c r="M858" s="19"/>
      <c r="N858" s="19"/>
      <c r="O858" s="59"/>
      <c r="P858" s="7"/>
      <c r="Q858" s="55"/>
      <c r="R858" s="55"/>
      <c r="S858" s="7"/>
      <c r="T858" s="55"/>
      <c r="U858" s="7"/>
      <c r="V858" s="55"/>
      <c r="W858" s="60"/>
      <c r="X858" s="55"/>
    </row>
    <row r="859" spans="1:24" ht="13" x14ac:dyDescent="0.15">
      <c r="A859" s="25"/>
      <c r="C859" s="69"/>
      <c r="F859" s="55"/>
      <c r="G859" s="56"/>
      <c r="H859" s="57"/>
      <c r="I859" s="57"/>
      <c r="J859" s="19"/>
      <c r="K859" s="19"/>
      <c r="L859" s="19"/>
      <c r="M859" s="19"/>
      <c r="N859" s="19"/>
      <c r="O859" s="59"/>
      <c r="P859" s="7"/>
      <c r="Q859" s="55"/>
      <c r="R859" s="55"/>
      <c r="S859" s="7"/>
      <c r="T859" s="55"/>
      <c r="U859" s="7"/>
      <c r="V859" s="55"/>
      <c r="W859" s="60"/>
      <c r="X859" s="55"/>
    </row>
    <row r="860" spans="1:24" ht="13" x14ac:dyDescent="0.15">
      <c r="A860" s="25"/>
      <c r="C860" s="69"/>
      <c r="F860" s="55"/>
      <c r="G860" s="56"/>
      <c r="H860" s="57"/>
      <c r="I860" s="57"/>
      <c r="J860" s="19"/>
      <c r="K860" s="19"/>
      <c r="L860" s="19"/>
      <c r="M860" s="19"/>
      <c r="N860" s="19"/>
      <c r="O860" s="59"/>
      <c r="P860" s="7"/>
      <c r="Q860" s="55"/>
      <c r="R860" s="55"/>
      <c r="S860" s="7"/>
      <c r="T860" s="55"/>
      <c r="U860" s="7"/>
      <c r="V860" s="55"/>
      <c r="W860" s="60"/>
      <c r="X860" s="55"/>
    </row>
    <row r="861" spans="1:24" ht="13" x14ac:dyDescent="0.15">
      <c r="A861" s="25"/>
      <c r="C861" s="69"/>
      <c r="F861" s="55"/>
      <c r="G861" s="56"/>
      <c r="H861" s="57"/>
      <c r="I861" s="57"/>
      <c r="J861" s="19"/>
      <c r="K861" s="19"/>
      <c r="L861" s="19"/>
      <c r="M861" s="19"/>
      <c r="N861" s="19"/>
      <c r="O861" s="59"/>
      <c r="P861" s="7"/>
      <c r="Q861" s="55"/>
      <c r="R861" s="55"/>
      <c r="S861" s="7"/>
      <c r="T861" s="55"/>
      <c r="U861" s="7"/>
      <c r="V861" s="55"/>
      <c r="W861" s="60"/>
      <c r="X861" s="55"/>
    </row>
    <row r="862" spans="1:24" ht="13" x14ac:dyDescent="0.15">
      <c r="A862" s="25"/>
      <c r="C862" s="69"/>
      <c r="F862" s="55"/>
      <c r="G862" s="56"/>
      <c r="H862" s="57"/>
      <c r="I862" s="57"/>
      <c r="J862" s="19"/>
      <c r="K862" s="19"/>
      <c r="L862" s="19"/>
      <c r="M862" s="19"/>
      <c r="N862" s="19"/>
      <c r="O862" s="59"/>
      <c r="P862" s="7"/>
      <c r="Q862" s="55"/>
      <c r="R862" s="55"/>
      <c r="S862" s="7"/>
      <c r="T862" s="55"/>
      <c r="U862" s="7"/>
      <c r="V862" s="55"/>
      <c r="W862" s="60"/>
      <c r="X862" s="55"/>
    </row>
    <row r="863" spans="1:24" ht="13" x14ac:dyDescent="0.15">
      <c r="A863" s="25"/>
      <c r="C863" s="69"/>
      <c r="F863" s="55"/>
      <c r="G863" s="56"/>
      <c r="H863" s="57"/>
      <c r="I863" s="57"/>
      <c r="J863" s="19"/>
      <c r="K863" s="19"/>
      <c r="L863" s="19"/>
      <c r="M863" s="19"/>
      <c r="N863" s="19"/>
      <c r="O863" s="59"/>
      <c r="P863" s="7"/>
      <c r="Q863" s="55"/>
      <c r="R863" s="55"/>
      <c r="S863" s="7"/>
      <c r="T863" s="55"/>
      <c r="U863" s="7"/>
      <c r="V863" s="55"/>
      <c r="W863" s="60"/>
      <c r="X863" s="55"/>
    </row>
    <row r="864" spans="1:24" ht="13" x14ac:dyDescent="0.15">
      <c r="A864" s="25"/>
      <c r="C864" s="69"/>
      <c r="F864" s="55"/>
      <c r="G864" s="56"/>
      <c r="H864" s="57"/>
      <c r="I864" s="57"/>
      <c r="J864" s="19"/>
      <c r="K864" s="19"/>
      <c r="L864" s="19"/>
      <c r="M864" s="19"/>
      <c r="N864" s="19"/>
      <c r="O864" s="59"/>
      <c r="P864" s="7"/>
      <c r="Q864" s="55"/>
      <c r="R864" s="55"/>
      <c r="S864" s="7"/>
      <c r="T864" s="55"/>
      <c r="U864" s="7"/>
      <c r="V864" s="55"/>
      <c r="W864" s="60"/>
      <c r="X864" s="55"/>
    </row>
    <row r="865" spans="1:24" ht="13" x14ac:dyDescent="0.15">
      <c r="A865" s="25"/>
      <c r="C865" s="69"/>
      <c r="F865" s="55"/>
      <c r="G865" s="56"/>
      <c r="H865" s="57"/>
      <c r="I865" s="57"/>
      <c r="J865" s="19"/>
      <c r="K865" s="19"/>
      <c r="L865" s="19"/>
      <c r="M865" s="19"/>
      <c r="N865" s="19"/>
      <c r="O865" s="59"/>
      <c r="P865" s="7"/>
      <c r="Q865" s="55"/>
      <c r="R865" s="55"/>
      <c r="S865" s="7"/>
      <c r="T865" s="55"/>
      <c r="U865" s="7"/>
      <c r="V865" s="55"/>
      <c r="W865" s="60"/>
      <c r="X865" s="55"/>
    </row>
    <row r="866" spans="1:24" ht="13" x14ac:dyDescent="0.15">
      <c r="A866" s="25"/>
      <c r="C866" s="69"/>
      <c r="F866" s="55"/>
      <c r="G866" s="56"/>
      <c r="H866" s="57"/>
      <c r="I866" s="57"/>
      <c r="J866" s="19"/>
      <c r="K866" s="19"/>
      <c r="L866" s="19"/>
      <c r="M866" s="19"/>
      <c r="N866" s="19"/>
      <c r="O866" s="59"/>
      <c r="P866" s="7"/>
      <c r="Q866" s="55"/>
      <c r="R866" s="55"/>
      <c r="S866" s="7"/>
      <c r="T866" s="55"/>
      <c r="U866" s="7"/>
      <c r="V866" s="55"/>
      <c r="W866" s="60"/>
      <c r="X866" s="55"/>
    </row>
    <row r="867" spans="1:24" ht="13" x14ac:dyDescent="0.15">
      <c r="A867" s="25"/>
      <c r="C867" s="69"/>
      <c r="F867" s="55"/>
      <c r="G867" s="56"/>
      <c r="H867" s="57"/>
      <c r="I867" s="57"/>
      <c r="J867" s="19"/>
      <c r="K867" s="19"/>
      <c r="L867" s="19"/>
      <c r="M867" s="19"/>
      <c r="N867" s="19"/>
      <c r="O867" s="59"/>
      <c r="P867" s="7"/>
      <c r="Q867" s="55"/>
      <c r="R867" s="55"/>
      <c r="S867" s="7"/>
      <c r="T867" s="55"/>
      <c r="U867" s="7"/>
      <c r="V867" s="55"/>
      <c r="W867" s="60"/>
      <c r="X867" s="55"/>
    </row>
    <row r="868" spans="1:24" ht="13" x14ac:dyDescent="0.15">
      <c r="A868" s="25"/>
      <c r="C868" s="69"/>
      <c r="F868" s="55"/>
      <c r="G868" s="56"/>
      <c r="H868" s="57"/>
      <c r="I868" s="57"/>
      <c r="J868" s="19"/>
      <c r="K868" s="19"/>
      <c r="L868" s="19"/>
      <c r="M868" s="19"/>
      <c r="N868" s="19"/>
      <c r="O868" s="59"/>
      <c r="P868" s="7"/>
      <c r="Q868" s="55"/>
      <c r="R868" s="55"/>
      <c r="S868" s="7"/>
      <c r="T868" s="55"/>
      <c r="U868" s="7"/>
      <c r="V868" s="55"/>
      <c r="W868" s="60"/>
      <c r="X868" s="55"/>
    </row>
    <row r="869" spans="1:24" ht="13" x14ac:dyDescent="0.15">
      <c r="A869" s="25"/>
      <c r="C869" s="69"/>
      <c r="F869" s="55"/>
      <c r="G869" s="56"/>
      <c r="H869" s="57"/>
      <c r="I869" s="57"/>
      <c r="J869" s="19"/>
      <c r="K869" s="19"/>
      <c r="L869" s="19"/>
      <c r="M869" s="19"/>
      <c r="N869" s="19"/>
      <c r="O869" s="59"/>
      <c r="P869" s="7"/>
      <c r="Q869" s="55"/>
      <c r="R869" s="55"/>
      <c r="S869" s="7"/>
      <c r="T869" s="55"/>
      <c r="U869" s="7"/>
      <c r="V869" s="55"/>
      <c r="W869" s="60"/>
      <c r="X869" s="55"/>
    </row>
    <row r="870" spans="1:24" ht="13" x14ac:dyDescent="0.15">
      <c r="A870" s="25"/>
      <c r="C870" s="69"/>
      <c r="F870" s="55"/>
      <c r="G870" s="56"/>
      <c r="H870" s="57"/>
      <c r="I870" s="57"/>
      <c r="J870" s="19"/>
      <c r="K870" s="19"/>
      <c r="L870" s="19"/>
      <c r="M870" s="19"/>
      <c r="N870" s="19"/>
      <c r="O870" s="59"/>
      <c r="P870" s="7"/>
      <c r="Q870" s="55"/>
      <c r="R870" s="55"/>
      <c r="S870" s="7"/>
      <c r="T870" s="55"/>
      <c r="U870" s="7"/>
      <c r="V870" s="55"/>
      <c r="W870" s="60"/>
      <c r="X870" s="55"/>
    </row>
    <row r="871" spans="1:24" ht="13" x14ac:dyDescent="0.15">
      <c r="A871" s="25"/>
      <c r="C871" s="69"/>
      <c r="F871" s="55"/>
      <c r="G871" s="56"/>
      <c r="H871" s="57"/>
      <c r="I871" s="57"/>
      <c r="J871" s="19"/>
      <c r="K871" s="19"/>
      <c r="L871" s="19"/>
      <c r="M871" s="19"/>
      <c r="N871" s="19"/>
      <c r="O871" s="59"/>
      <c r="P871" s="7"/>
      <c r="Q871" s="55"/>
      <c r="R871" s="55"/>
      <c r="S871" s="7"/>
      <c r="T871" s="55"/>
      <c r="U871" s="7"/>
      <c r="V871" s="55"/>
      <c r="W871" s="60"/>
      <c r="X871" s="55"/>
    </row>
    <row r="872" spans="1:24" ht="13" x14ac:dyDescent="0.15">
      <c r="A872" s="25"/>
      <c r="C872" s="69"/>
      <c r="F872" s="55"/>
      <c r="G872" s="56"/>
      <c r="H872" s="57"/>
      <c r="I872" s="57"/>
      <c r="J872" s="19"/>
      <c r="K872" s="19"/>
      <c r="L872" s="19"/>
      <c r="M872" s="19"/>
      <c r="N872" s="19"/>
      <c r="O872" s="59"/>
      <c r="P872" s="7"/>
      <c r="Q872" s="55"/>
      <c r="R872" s="55"/>
      <c r="S872" s="7"/>
      <c r="T872" s="55"/>
      <c r="U872" s="7"/>
      <c r="V872" s="55"/>
      <c r="W872" s="60"/>
      <c r="X872" s="55"/>
    </row>
    <row r="873" spans="1:24" ht="13" x14ac:dyDescent="0.15">
      <c r="A873" s="25"/>
      <c r="C873" s="69"/>
      <c r="F873" s="55"/>
      <c r="G873" s="56"/>
      <c r="H873" s="57"/>
      <c r="I873" s="57"/>
      <c r="J873" s="19"/>
      <c r="K873" s="19"/>
      <c r="L873" s="19"/>
      <c r="M873" s="19"/>
      <c r="N873" s="19"/>
      <c r="O873" s="59"/>
      <c r="P873" s="7"/>
      <c r="Q873" s="55"/>
      <c r="R873" s="55"/>
      <c r="S873" s="7"/>
      <c r="T873" s="55"/>
      <c r="U873" s="7"/>
      <c r="V873" s="55"/>
      <c r="W873" s="60"/>
      <c r="X873" s="55"/>
    </row>
    <row r="874" spans="1:24" ht="13" x14ac:dyDescent="0.15">
      <c r="A874" s="25"/>
      <c r="C874" s="69"/>
      <c r="F874" s="55"/>
      <c r="G874" s="56"/>
      <c r="H874" s="57"/>
      <c r="I874" s="57"/>
      <c r="J874" s="19"/>
      <c r="K874" s="19"/>
      <c r="L874" s="19"/>
      <c r="M874" s="19"/>
      <c r="N874" s="19"/>
      <c r="O874" s="59"/>
      <c r="P874" s="7"/>
      <c r="Q874" s="55"/>
      <c r="R874" s="55"/>
      <c r="S874" s="7"/>
      <c r="T874" s="55"/>
      <c r="U874" s="7"/>
      <c r="V874" s="55"/>
      <c r="W874" s="60"/>
      <c r="X874" s="55"/>
    </row>
    <row r="875" spans="1:24" ht="13" x14ac:dyDescent="0.15">
      <c r="A875" s="25"/>
      <c r="C875" s="69"/>
      <c r="F875" s="55"/>
      <c r="G875" s="56"/>
      <c r="H875" s="57"/>
      <c r="I875" s="57"/>
      <c r="J875" s="19"/>
      <c r="K875" s="19"/>
      <c r="L875" s="19"/>
      <c r="M875" s="19"/>
      <c r="N875" s="19"/>
      <c r="O875" s="59"/>
      <c r="P875" s="7"/>
      <c r="Q875" s="55"/>
      <c r="R875" s="55"/>
      <c r="S875" s="7"/>
      <c r="T875" s="55"/>
      <c r="U875" s="7"/>
      <c r="V875" s="55"/>
      <c r="W875" s="60"/>
      <c r="X875" s="55"/>
    </row>
    <row r="876" spans="1:24" ht="13" x14ac:dyDescent="0.15">
      <c r="A876" s="25"/>
      <c r="C876" s="69"/>
      <c r="F876" s="55"/>
      <c r="G876" s="56"/>
      <c r="H876" s="57"/>
      <c r="I876" s="57"/>
      <c r="J876" s="19"/>
      <c r="K876" s="19"/>
      <c r="L876" s="19"/>
      <c r="M876" s="19"/>
      <c r="N876" s="19"/>
      <c r="O876" s="59"/>
      <c r="P876" s="7"/>
      <c r="Q876" s="55"/>
      <c r="R876" s="55"/>
      <c r="S876" s="7"/>
      <c r="T876" s="55"/>
      <c r="U876" s="7"/>
      <c r="V876" s="55"/>
      <c r="W876" s="60"/>
      <c r="X876" s="55"/>
    </row>
    <row r="877" spans="1:24" ht="13" x14ac:dyDescent="0.15">
      <c r="A877" s="25"/>
      <c r="C877" s="69"/>
      <c r="F877" s="55"/>
      <c r="G877" s="56"/>
      <c r="H877" s="57"/>
      <c r="I877" s="57"/>
      <c r="J877" s="19"/>
      <c r="K877" s="19"/>
      <c r="L877" s="19"/>
      <c r="M877" s="19"/>
      <c r="N877" s="19"/>
      <c r="O877" s="59"/>
      <c r="P877" s="7"/>
      <c r="Q877" s="55"/>
      <c r="R877" s="55"/>
      <c r="S877" s="7"/>
      <c r="T877" s="55"/>
      <c r="U877" s="7"/>
      <c r="V877" s="55"/>
      <c r="W877" s="60"/>
      <c r="X877" s="55"/>
    </row>
    <row r="878" spans="1:24" ht="13" x14ac:dyDescent="0.15">
      <c r="A878" s="25"/>
      <c r="C878" s="69"/>
      <c r="F878" s="55"/>
      <c r="G878" s="56"/>
      <c r="H878" s="57"/>
      <c r="I878" s="57"/>
      <c r="J878" s="19"/>
      <c r="K878" s="19"/>
      <c r="L878" s="19"/>
      <c r="M878" s="19"/>
      <c r="N878" s="19"/>
      <c r="O878" s="59"/>
      <c r="P878" s="7"/>
      <c r="Q878" s="55"/>
      <c r="R878" s="55"/>
      <c r="S878" s="7"/>
      <c r="T878" s="55"/>
      <c r="U878" s="7"/>
      <c r="V878" s="55"/>
      <c r="W878" s="60"/>
      <c r="X878" s="55"/>
    </row>
    <row r="879" spans="1:24" ht="13" x14ac:dyDescent="0.15">
      <c r="A879" s="25"/>
      <c r="C879" s="69"/>
      <c r="F879" s="55"/>
      <c r="G879" s="56"/>
      <c r="H879" s="57"/>
      <c r="I879" s="57"/>
      <c r="J879" s="19"/>
      <c r="K879" s="19"/>
      <c r="L879" s="19"/>
      <c r="M879" s="19"/>
      <c r="N879" s="19"/>
      <c r="O879" s="59"/>
      <c r="P879" s="7"/>
      <c r="Q879" s="55"/>
      <c r="R879" s="55"/>
      <c r="S879" s="7"/>
      <c r="T879" s="55"/>
      <c r="U879" s="7"/>
      <c r="V879" s="55"/>
      <c r="W879" s="60"/>
      <c r="X879" s="55"/>
    </row>
    <row r="880" spans="1:24" ht="13" x14ac:dyDescent="0.15">
      <c r="A880" s="25"/>
      <c r="C880" s="69"/>
      <c r="F880" s="55"/>
      <c r="G880" s="56"/>
      <c r="H880" s="57"/>
      <c r="I880" s="57"/>
      <c r="J880" s="19"/>
      <c r="K880" s="19"/>
      <c r="L880" s="19"/>
      <c r="M880" s="19"/>
      <c r="N880" s="19"/>
      <c r="O880" s="59"/>
      <c r="P880" s="7"/>
      <c r="Q880" s="55"/>
      <c r="R880" s="55"/>
      <c r="S880" s="7"/>
      <c r="T880" s="55"/>
      <c r="U880" s="7"/>
      <c r="V880" s="55"/>
      <c r="W880" s="60"/>
      <c r="X880" s="55"/>
    </row>
    <row r="881" spans="1:24" ht="13" x14ac:dyDescent="0.15">
      <c r="A881" s="25"/>
      <c r="C881" s="69"/>
      <c r="F881" s="55"/>
      <c r="G881" s="56"/>
      <c r="H881" s="57"/>
      <c r="I881" s="57"/>
      <c r="J881" s="19"/>
      <c r="K881" s="19"/>
      <c r="L881" s="19"/>
      <c r="M881" s="19"/>
      <c r="N881" s="19"/>
      <c r="O881" s="59"/>
      <c r="P881" s="7"/>
      <c r="Q881" s="55"/>
      <c r="R881" s="55"/>
      <c r="S881" s="7"/>
      <c r="T881" s="55"/>
      <c r="U881" s="7"/>
      <c r="V881" s="55"/>
      <c r="W881" s="60"/>
      <c r="X881" s="55"/>
    </row>
    <row r="882" spans="1:24" ht="13" x14ac:dyDescent="0.15">
      <c r="A882" s="25"/>
      <c r="C882" s="69"/>
      <c r="F882" s="55"/>
      <c r="G882" s="56"/>
      <c r="H882" s="57"/>
      <c r="I882" s="57"/>
      <c r="J882" s="19"/>
      <c r="K882" s="19"/>
      <c r="L882" s="19"/>
      <c r="M882" s="19"/>
      <c r="N882" s="19"/>
      <c r="O882" s="59"/>
      <c r="P882" s="7"/>
      <c r="Q882" s="55"/>
      <c r="R882" s="55"/>
      <c r="S882" s="7"/>
      <c r="T882" s="55"/>
      <c r="U882" s="7"/>
      <c r="V882" s="55"/>
      <c r="W882" s="60"/>
      <c r="X882" s="55"/>
    </row>
    <row r="883" spans="1:24" ht="13" x14ac:dyDescent="0.15">
      <c r="A883" s="25"/>
      <c r="C883" s="69"/>
      <c r="F883" s="55"/>
      <c r="G883" s="56"/>
      <c r="H883" s="57"/>
      <c r="I883" s="57"/>
      <c r="J883" s="19"/>
      <c r="K883" s="19"/>
      <c r="L883" s="19"/>
      <c r="M883" s="19"/>
      <c r="N883" s="19"/>
      <c r="O883" s="59"/>
      <c r="P883" s="7"/>
      <c r="Q883" s="55"/>
      <c r="R883" s="55"/>
      <c r="S883" s="7"/>
      <c r="T883" s="55"/>
      <c r="U883" s="7"/>
      <c r="V883" s="55"/>
      <c r="W883" s="60"/>
      <c r="X883" s="55"/>
    </row>
    <row r="884" spans="1:24" ht="13" x14ac:dyDescent="0.15">
      <c r="A884" s="25"/>
      <c r="C884" s="69"/>
      <c r="F884" s="55"/>
      <c r="G884" s="56"/>
      <c r="H884" s="57"/>
      <c r="I884" s="57"/>
      <c r="J884" s="19"/>
      <c r="K884" s="19"/>
      <c r="L884" s="19"/>
      <c r="M884" s="19"/>
      <c r="N884" s="19"/>
      <c r="O884" s="59"/>
      <c r="P884" s="7"/>
      <c r="Q884" s="55"/>
      <c r="R884" s="55"/>
      <c r="S884" s="7"/>
      <c r="T884" s="55"/>
      <c r="U884" s="7"/>
      <c r="V884" s="55"/>
      <c r="W884" s="60"/>
      <c r="X884" s="55"/>
    </row>
    <row r="885" spans="1:24" ht="13" x14ac:dyDescent="0.15">
      <c r="A885" s="25"/>
      <c r="C885" s="69"/>
      <c r="F885" s="55"/>
      <c r="G885" s="56"/>
      <c r="H885" s="57"/>
      <c r="I885" s="57"/>
      <c r="J885" s="19"/>
      <c r="K885" s="19"/>
      <c r="L885" s="19"/>
      <c r="M885" s="19"/>
      <c r="N885" s="19"/>
      <c r="O885" s="59"/>
      <c r="P885" s="7"/>
      <c r="Q885" s="55"/>
      <c r="R885" s="55"/>
      <c r="S885" s="7"/>
      <c r="T885" s="55"/>
      <c r="U885" s="7"/>
      <c r="V885" s="55"/>
      <c r="W885" s="60"/>
      <c r="X885" s="55"/>
    </row>
    <row r="886" spans="1:24" ht="13" x14ac:dyDescent="0.15">
      <c r="A886" s="25"/>
      <c r="C886" s="69"/>
      <c r="F886" s="55"/>
      <c r="G886" s="56"/>
      <c r="H886" s="57"/>
      <c r="I886" s="57"/>
      <c r="J886" s="19"/>
      <c r="K886" s="19"/>
      <c r="L886" s="19"/>
      <c r="M886" s="19"/>
      <c r="N886" s="19"/>
      <c r="O886" s="59"/>
      <c r="P886" s="7"/>
      <c r="Q886" s="55"/>
      <c r="R886" s="55"/>
      <c r="S886" s="7"/>
      <c r="T886" s="55"/>
      <c r="U886" s="7"/>
      <c r="V886" s="55"/>
      <c r="W886" s="60"/>
      <c r="X886" s="55"/>
    </row>
    <row r="887" spans="1:24" ht="13" x14ac:dyDescent="0.15">
      <c r="A887" s="25"/>
      <c r="C887" s="69"/>
      <c r="F887" s="55"/>
      <c r="G887" s="56"/>
      <c r="H887" s="57"/>
      <c r="I887" s="57"/>
      <c r="J887" s="19"/>
      <c r="K887" s="19"/>
      <c r="L887" s="19"/>
      <c r="M887" s="19"/>
      <c r="N887" s="19"/>
      <c r="O887" s="59"/>
      <c r="P887" s="7"/>
      <c r="Q887" s="55"/>
      <c r="R887" s="55"/>
      <c r="S887" s="7"/>
      <c r="T887" s="55"/>
      <c r="U887" s="7"/>
      <c r="V887" s="55"/>
      <c r="W887" s="60"/>
      <c r="X887" s="55"/>
    </row>
    <row r="888" spans="1:24" ht="13" x14ac:dyDescent="0.15">
      <c r="A888" s="25"/>
      <c r="C888" s="69"/>
      <c r="F888" s="55"/>
      <c r="G888" s="56"/>
      <c r="H888" s="57"/>
      <c r="I888" s="57"/>
      <c r="J888" s="19"/>
      <c r="K888" s="19"/>
      <c r="L888" s="19"/>
      <c r="M888" s="19"/>
      <c r="N888" s="19"/>
      <c r="O888" s="59"/>
      <c r="P888" s="7"/>
      <c r="Q888" s="55"/>
      <c r="R888" s="55"/>
      <c r="S888" s="7"/>
      <c r="T888" s="55"/>
      <c r="U888" s="7"/>
      <c r="V888" s="55"/>
      <c r="W888" s="60"/>
      <c r="X888" s="55"/>
    </row>
    <row r="889" spans="1:24" ht="13" x14ac:dyDescent="0.15">
      <c r="A889" s="25"/>
      <c r="C889" s="69"/>
      <c r="F889" s="55"/>
      <c r="G889" s="56"/>
      <c r="H889" s="57"/>
      <c r="I889" s="57"/>
      <c r="J889" s="19"/>
      <c r="K889" s="19"/>
      <c r="L889" s="19"/>
      <c r="M889" s="19"/>
      <c r="N889" s="19"/>
      <c r="O889" s="59"/>
      <c r="P889" s="7"/>
      <c r="Q889" s="55"/>
      <c r="R889" s="55"/>
      <c r="S889" s="7"/>
      <c r="T889" s="55"/>
      <c r="U889" s="7"/>
      <c r="V889" s="55"/>
      <c r="W889" s="60"/>
      <c r="X889" s="55"/>
    </row>
    <row r="890" spans="1:24" ht="13" x14ac:dyDescent="0.15">
      <c r="A890" s="25"/>
      <c r="C890" s="69"/>
      <c r="F890" s="55"/>
      <c r="G890" s="56"/>
      <c r="H890" s="57"/>
      <c r="I890" s="57"/>
      <c r="J890" s="19"/>
      <c r="K890" s="19"/>
      <c r="L890" s="19"/>
      <c r="M890" s="19"/>
      <c r="N890" s="19"/>
      <c r="O890" s="59"/>
      <c r="P890" s="7"/>
      <c r="Q890" s="55"/>
      <c r="R890" s="55"/>
      <c r="S890" s="7"/>
      <c r="T890" s="55"/>
      <c r="U890" s="7"/>
      <c r="V890" s="55"/>
      <c r="W890" s="60"/>
      <c r="X890" s="55"/>
    </row>
    <row r="891" spans="1:24" ht="13" x14ac:dyDescent="0.15">
      <c r="A891" s="25"/>
      <c r="C891" s="69"/>
      <c r="F891" s="55"/>
      <c r="G891" s="56"/>
      <c r="H891" s="57"/>
      <c r="I891" s="57"/>
      <c r="J891" s="19"/>
      <c r="K891" s="19"/>
      <c r="L891" s="19"/>
      <c r="M891" s="19"/>
      <c r="N891" s="19"/>
      <c r="O891" s="59"/>
      <c r="P891" s="7"/>
      <c r="Q891" s="55"/>
      <c r="R891" s="55"/>
      <c r="S891" s="7"/>
      <c r="T891" s="55"/>
      <c r="U891" s="7"/>
      <c r="V891" s="55"/>
      <c r="W891" s="60"/>
      <c r="X891" s="55"/>
    </row>
    <row r="892" spans="1:24" ht="13" x14ac:dyDescent="0.15">
      <c r="A892" s="25"/>
      <c r="C892" s="69"/>
      <c r="F892" s="55"/>
      <c r="G892" s="56"/>
      <c r="H892" s="57"/>
      <c r="I892" s="57"/>
      <c r="J892" s="19"/>
      <c r="K892" s="19"/>
      <c r="L892" s="19"/>
      <c r="M892" s="19"/>
      <c r="N892" s="19"/>
      <c r="O892" s="59"/>
      <c r="P892" s="7"/>
      <c r="Q892" s="55"/>
      <c r="R892" s="55"/>
      <c r="S892" s="7"/>
      <c r="T892" s="55"/>
      <c r="U892" s="7"/>
      <c r="V892" s="55"/>
      <c r="W892" s="60"/>
      <c r="X892" s="55"/>
    </row>
    <row r="893" spans="1:24" ht="13" x14ac:dyDescent="0.15">
      <c r="A893" s="25"/>
      <c r="C893" s="69"/>
      <c r="F893" s="55"/>
      <c r="G893" s="56"/>
      <c r="H893" s="57"/>
      <c r="I893" s="57"/>
      <c r="J893" s="19"/>
      <c r="K893" s="19"/>
      <c r="L893" s="19"/>
      <c r="M893" s="19"/>
      <c r="N893" s="19"/>
      <c r="O893" s="59"/>
      <c r="P893" s="7"/>
      <c r="Q893" s="55"/>
      <c r="R893" s="55"/>
      <c r="S893" s="7"/>
      <c r="T893" s="55"/>
      <c r="U893" s="7"/>
      <c r="V893" s="55"/>
      <c r="W893" s="60"/>
      <c r="X893" s="55"/>
    </row>
    <row r="894" spans="1:24" ht="13" x14ac:dyDescent="0.15">
      <c r="A894" s="25"/>
      <c r="C894" s="69"/>
      <c r="F894" s="55"/>
      <c r="G894" s="56"/>
      <c r="H894" s="57"/>
      <c r="I894" s="57"/>
      <c r="J894" s="19"/>
      <c r="K894" s="19"/>
      <c r="L894" s="19"/>
      <c r="M894" s="19"/>
      <c r="N894" s="19"/>
      <c r="O894" s="59"/>
      <c r="P894" s="7"/>
      <c r="Q894" s="55"/>
      <c r="R894" s="55"/>
      <c r="S894" s="7"/>
      <c r="T894" s="55"/>
      <c r="U894" s="7"/>
      <c r="V894" s="55"/>
      <c r="W894" s="60"/>
      <c r="X894" s="55"/>
    </row>
    <row r="895" spans="1:24" ht="13" x14ac:dyDescent="0.15">
      <c r="A895" s="25"/>
      <c r="C895" s="69"/>
      <c r="F895" s="55"/>
      <c r="G895" s="56"/>
      <c r="H895" s="57"/>
      <c r="I895" s="57"/>
      <c r="J895" s="19"/>
      <c r="K895" s="19"/>
      <c r="L895" s="19"/>
      <c r="M895" s="19"/>
      <c r="N895" s="19"/>
      <c r="O895" s="59"/>
      <c r="P895" s="7"/>
      <c r="Q895" s="55"/>
      <c r="R895" s="55"/>
      <c r="S895" s="7"/>
      <c r="T895" s="55"/>
      <c r="U895" s="7"/>
      <c r="V895" s="55"/>
      <c r="W895" s="60"/>
      <c r="X895" s="55"/>
    </row>
    <row r="896" spans="1:24" ht="13" x14ac:dyDescent="0.15">
      <c r="A896" s="25"/>
      <c r="C896" s="69"/>
      <c r="F896" s="55"/>
      <c r="G896" s="56"/>
      <c r="H896" s="57"/>
      <c r="I896" s="57"/>
      <c r="J896" s="19"/>
      <c r="K896" s="19"/>
      <c r="L896" s="19"/>
      <c r="M896" s="19"/>
      <c r="N896" s="19"/>
      <c r="O896" s="59"/>
      <c r="P896" s="7"/>
      <c r="Q896" s="55"/>
      <c r="R896" s="55"/>
      <c r="S896" s="7"/>
      <c r="T896" s="55"/>
      <c r="U896" s="7"/>
      <c r="V896" s="55"/>
      <c r="W896" s="60"/>
      <c r="X896" s="55"/>
    </row>
    <row r="897" spans="1:24" ht="13" x14ac:dyDescent="0.15">
      <c r="A897" s="25"/>
      <c r="C897" s="69"/>
      <c r="F897" s="55"/>
      <c r="G897" s="56"/>
      <c r="H897" s="57"/>
      <c r="I897" s="57"/>
      <c r="J897" s="19"/>
      <c r="K897" s="19"/>
      <c r="L897" s="19"/>
      <c r="M897" s="19"/>
      <c r="N897" s="19"/>
      <c r="O897" s="59"/>
      <c r="P897" s="7"/>
      <c r="Q897" s="55"/>
      <c r="R897" s="55"/>
      <c r="S897" s="7"/>
      <c r="T897" s="55"/>
      <c r="U897" s="7"/>
      <c r="V897" s="55"/>
      <c r="W897" s="60"/>
      <c r="X897" s="55"/>
    </row>
    <row r="898" spans="1:24" ht="13" x14ac:dyDescent="0.15">
      <c r="A898" s="25"/>
      <c r="C898" s="69"/>
      <c r="F898" s="55"/>
      <c r="G898" s="56"/>
      <c r="H898" s="57"/>
      <c r="I898" s="57"/>
      <c r="J898" s="19"/>
      <c r="K898" s="19"/>
      <c r="L898" s="19"/>
      <c r="M898" s="19"/>
      <c r="N898" s="19"/>
      <c r="O898" s="59"/>
      <c r="P898" s="7"/>
      <c r="Q898" s="55"/>
      <c r="R898" s="55"/>
      <c r="S898" s="7"/>
      <c r="T898" s="55"/>
      <c r="U898" s="7"/>
      <c r="V898" s="55"/>
      <c r="W898" s="60"/>
      <c r="X898" s="55"/>
    </row>
    <row r="899" spans="1:24" ht="13" x14ac:dyDescent="0.15">
      <c r="A899" s="25"/>
      <c r="C899" s="69"/>
      <c r="F899" s="55"/>
      <c r="G899" s="56"/>
      <c r="H899" s="57"/>
      <c r="I899" s="57"/>
      <c r="J899" s="19"/>
      <c r="K899" s="19"/>
      <c r="L899" s="19"/>
      <c r="M899" s="19"/>
      <c r="N899" s="19"/>
      <c r="O899" s="59"/>
      <c r="P899" s="7"/>
      <c r="Q899" s="55"/>
      <c r="R899" s="55"/>
      <c r="S899" s="7"/>
      <c r="T899" s="55"/>
      <c r="U899" s="7"/>
      <c r="V899" s="55"/>
      <c r="W899" s="60"/>
      <c r="X899" s="55"/>
    </row>
    <row r="900" spans="1:24" ht="13" x14ac:dyDescent="0.15">
      <c r="A900" s="25"/>
      <c r="C900" s="69"/>
      <c r="F900" s="55"/>
      <c r="G900" s="56"/>
      <c r="H900" s="57"/>
      <c r="I900" s="57"/>
      <c r="J900" s="19"/>
      <c r="K900" s="19"/>
      <c r="L900" s="19"/>
      <c r="M900" s="19"/>
      <c r="N900" s="19"/>
      <c r="O900" s="59"/>
      <c r="P900" s="7"/>
      <c r="Q900" s="55"/>
      <c r="R900" s="55"/>
      <c r="S900" s="7"/>
      <c r="T900" s="55"/>
      <c r="U900" s="7"/>
      <c r="V900" s="55"/>
      <c r="W900" s="60"/>
      <c r="X900" s="55"/>
    </row>
    <row r="901" spans="1:24" ht="13" x14ac:dyDescent="0.15">
      <c r="A901" s="25"/>
      <c r="C901" s="69"/>
      <c r="F901" s="55"/>
      <c r="G901" s="56"/>
      <c r="H901" s="57"/>
      <c r="I901" s="57"/>
      <c r="J901" s="19"/>
      <c r="K901" s="19"/>
      <c r="L901" s="19"/>
      <c r="M901" s="19"/>
      <c r="N901" s="19"/>
      <c r="O901" s="59"/>
      <c r="P901" s="7"/>
      <c r="Q901" s="55"/>
      <c r="R901" s="55"/>
      <c r="S901" s="7"/>
      <c r="T901" s="55"/>
      <c r="U901" s="7"/>
      <c r="V901" s="55"/>
      <c r="W901" s="60"/>
      <c r="X901" s="55"/>
    </row>
    <row r="902" spans="1:24" ht="13" x14ac:dyDescent="0.15">
      <c r="A902" s="25"/>
      <c r="C902" s="69"/>
      <c r="F902" s="55"/>
      <c r="G902" s="56"/>
      <c r="H902" s="57"/>
      <c r="I902" s="57"/>
      <c r="J902" s="19"/>
      <c r="K902" s="19"/>
      <c r="L902" s="19"/>
      <c r="M902" s="19"/>
      <c r="N902" s="19"/>
      <c r="O902" s="59"/>
      <c r="P902" s="7"/>
      <c r="Q902" s="55"/>
      <c r="R902" s="55"/>
      <c r="S902" s="7"/>
      <c r="T902" s="55"/>
      <c r="U902" s="7"/>
      <c r="V902" s="55"/>
      <c r="W902" s="60"/>
      <c r="X902" s="55"/>
    </row>
    <row r="903" spans="1:24" ht="13" x14ac:dyDescent="0.15">
      <c r="A903" s="25"/>
      <c r="C903" s="69"/>
      <c r="F903" s="55"/>
      <c r="G903" s="56"/>
      <c r="H903" s="57"/>
      <c r="I903" s="57"/>
      <c r="J903" s="19"/>
      <c r="K903" s="19"/>
      <c r="L903" s="19"/>
      <c r="M903" s="19"/>
      <c r="N903" s="19"/>
      <c r="O903" s="59"/>
      <c r="P903" s="7"/>
      <c r="Q903" s="55"/>
      <c r="R903" s="55"/>
      <c r="S903" s="7"/>
      <c r="T903" s="55"/>
      <c r="U903" s="7"/>
      <c r="V903" s="55"/>
      <c r="W903" s="60"/>
      <c r="X903" s="55"/>
    </row>
    <row r="904" spans="1:24" ht="13" x14ac:dyDescent="0.15">
      <c r="A904" s="25"/>
      <c r="C904" s="69"/>
      <c r="F904" s="55"/>
      <c r="G904" s="56"/>
      <c r="H904" s="57"/>
      <c r="I904" s="57"/>
      <c r="J904" s="19"/>
      <c r="K904" s="19"/>
      <c r="L904" s="19"/>
      <c r="M904" s="19"/>
      <c r="N904" s="19"/>
      <c r="O904" s="59"/>
      <c r="P904" s="7"/>
      <c r="Q904" s="55"/>
      <c r="R904" s="55"/>
      <c r="S904" s="7"/>
      <c r="T904" s="55"/>
      <c r="U904" s="7"/>
      <c r="V904" s="55"/>
      <c r="W904" s="60"/>
      <c r="X904" s="55"/>
    </row>
    <row r="905" spans="1:24" ht="13" x14ac:dyDescent="0.15">
      <c r="A905" s="25"/>
      <c r="C905" s="69"/>
      <c r="F905" s="55"/>
      <c r="G905" s="56"/>
      <c r="H905" s="57"/>
      <c r="I905" s="57"/>
      <c r="J905" s="19"/>
      <c r="K905" s="19"/>
      <c r="L905" s="19"/>
      <c r="M905" s="19"/>
      <c r="N905" s="19"/>
      <c r="O905" s="59"/>
      <c r="P905" s="7"/>
      <c r="Q905" s="55"/>
      <c r="R905" s="55"/>
      <c r="S905" s="7"/>
      <c r="T905" s="55"/>
      <c r="U905" s="7"/>
      <c r="V905" s="55"/>
      <c r="W905" s="60"/>
      <c r="X905" s="55"/>
    </row>
    <row r="906" spans="1:24" ht="13" x14ac:dyDescent="0.15">
      <c r="A906" s="25"/>
      <c r="C906" s="69"/>
      <c r="F906" s="55"/>
      <c r="G906" s="56"/>
      <c r="H906" s="57"/>
      <c r="I906" s="57"/>
      <c r="J906" s="19"/>
      <c r="K906" s="19"/>
      <c r="L906" s="19"/>
      <c r="M906" s="19"/>
      <c r="N906" s="19"/>
      <c r="O906" s="59"/>
      <c r="P906" s="7"/>
      <c r="Q906" s="55"/>
      <c r="R906" s="55"/>
      <c r="S906" s="7"/>
      <c r="T906" s="55"/>
      <c r="U906" s="7"/>
      <c r="V906" s="55"/>
      <c r="W906" s="60"/>
      <c r="X906" s="55"/>
    </row>
    <row r="907" spans="1:24" ht="13" x14ac:dyDescent="0.15">
      <c r="A907" s="25"/>
      <c r="C907" s="69"/>
      <c r="F907" s="55"/>
      <c r="G907" s="56"/>
      <c r="H907" s="57"/>
      <c r="I907" s="57"/>
      <c r="J907" s="19"/>
      <c r="K907" s="19"/>
      <c r="L907" s="19"/>
      <c r="M907" s="19"/>
      <c r="N907" s="19"/>
      <c r="O907" s="59"/>
      <c r="P907" s="7"/>
      <c r="Q907" s="55"/>
      <c r="R907" s="55"/>
      <c r="S907" s="7"/>
      <c r="T907" s="55"/>
      <c r="U907" s="7"/>
      <c r="V907" s="55"/>
      <c r="W907" s="60"/>
      <c r="X907" s="55"/>
    </row>
    <row r="908" spans="1:24" ht="13" x14ac:dyDescent="0.15">
      <c r="A908" s="25"/>
      <c r="C908" s="69"/>
      <c r="F908" s="55"/>
      <c r="G908" s="56"/>
      <c r="H908" s="57"/>
      <c r="I908" s="57"/>
      <c r="J908" s="19"/>
      <c r="K908" s="19"/>
      <c r="L908" s="19"/>
      <c r="M908" s="19"/>
      <c r="N908" s="19"/>
      <c r="O908" s="59"/>
      <c r="P908" s="7"/>
      <c r="Q908" s="55"/>
      <c r="R908" s="55"/>
      <c r="S908" s="7"/>
      <c r="T908" s="55"/>
      <c r="U908" s="7"/>
      <c r="V908" s="55"/>
      <c r="W908" s="60"/>
      <c r="X908" s="55"/>
    </row>
    <row r="909" spans="1:24" ht="13" x14ac:dyDescent="0.15">
      <c r="A909" s="25"/>
      <c r="C909" s="69"/>
      <c r="F909" s="55"/>
      <c r="G909" s="56"/>
      <c r="H909" s="57"/>
      <c r="I909" s="57"/>
      <c r="J909" s="19"/>
      <c r="K909" s="19"/>
      <c r="L909" s="19"/>
      <c r="M909" s="19"/>
      <c r="N909" s="19"/>
      <c r="O909" s="59"/>
      <c r="P909" s="7"/>
      <c r="Q909" s="55"/>
      <c r="R909" s="55"/>
      <c r="S909" s="7"/>
      <c r="T909" s="55"/>
      <c r="U909" s="7"/>
      <c r="V909" s="55"/>
      <c r="W909" s="60"/>
      <c r="X909" s="55"/>
    </row>
    <row r="910" spans="1:24" ht="13" x14ac:dyDescent="0.15">
      <c r="A910" s="25"/>
      <c r="C910" s="69"/>
      <c r="F910" s="55"/>
      <c r="G910" s="56"/>
      <c r="H910" s="57"/>
      <c r="I910" s="57"/>
      <c r="J910" s="19"/>
      <c r="K910" s="19"/>
      <c r="L910" s="19"/>
      <c r="M910" s="19"/>
      <c r="N910" s="19"/>
      <c r="O910" s="59"/>
      <c r="P910" s="7"/>
      <c r="Q910" s="55"/>
      <c r="R910" s="55"/>
      <c r="S910" s="7"/>
      <c r="T910" s="55"/>
      <c r="U910" s="7"/>
      <c r="V910" s="55"/>
      <c r="W910" s="60"/>
      <c r="X910" s="55"/>
    </row>
    <row r="911" spans="1:24" ht="13" x14ac:dyDescent="0.15">
      <c r="A911" s="25"/>
      <c r="C911" s="69"/>
      <c r="F911" s="55"/>
      <c r="G911" s="56"/>
      <c r="H911" s="57"/>
      <c r="I911" s="57"/>
      <c r="J911" s="19"/>
      <c r="K911" s="19"/>
      <c r="L911" s="19"/>
      <c r="M911" s="19"/>
      <c r="N911" s="19"/>
      <c r="O911" s="59"/>
      <c r="P911" s="7"/>
      <c r="Q911" s="55"/>
      <c r="R911" s="55"/>
      <c r="S911" s="7"/>
      <c r="T911" s="55"/>
      <c r="U911" s="7"/>
      <c r="V911" s="55"/>
      <c r="W911" s="60"/>
      <c r="X911" s="55"/>
    </row>
    <row r="912" spans="1:24" ht="13" x14ac:dyDescent="0.15">
      <c r="A912" s="25"/>
      <c r="C912" s="69"/>
      <c r="F912" s="55"/>
      <c r="G912" s="56"/>
      <c r="H912" s="57"/>
      <c r="I912" s="57"/>
      <c r="J912" s="19"/>
      <c r="K912" s="19"/>
      <c r="L912" s="19"/>
      <c r="M912" s="19"/>
      <c r="N912" s="19"/>
      <c r="O912" s="59"/>
      <c r="P912" s="7"/>
      <c r="Q912" s="55"/>
      <c r="R912" s="55"/>
      <c r="S912" s="7"/>
      <c r="T912" s="55"/>
      <c r="U912" s="7"/>
      <c r="V912" s="55"/>
      <c r="W912" s="60"/>
      <c r="X912" s="55"/>
    </row>
    <row r="913" spans="1:24" ht="13" x14ac:dyDescent="0.15">
      <c r="A913" s="25"/>
      <c r="C913" s="69"/>
      <c r="F913" s="55"/>
      <c r="G913" s="56"/>
      <c r="H913" s="57"/>
      <c r="I913" s="57"/>
      <c r="J913" s="19"/>
      <c r="K913" s="19"/>
      <c r="L913" s="19"/>
      <c r="M913" s="19"/>
      <c r="N913" s="19"/>
      <c r="O913" s="59"/>
      <c r="P913" s="7"/>
      <c r="Q913" s="55"/>
      <c r="R913" s="55"/>
      <c r="S913" s="7"/>
      <c r="T913" s="55"/>
      <c r="U913" s="7"/>
      <c r="V913" s="55"/>
      <c r="W913" s="60"/>
      <c r="X913" s="55"/>
    </row>
    <row r="914" spans="1:24" ht="13" x14ac:dyDescent="0.15">
      <c r="A914" s="25"/>
      <c r="C914" s="69"/>
      <c r="F914" s="55"/>
      <c r="G914" s="56"/>
      <c r="H914" s="57"/>
      <c r="I914" s="57"/>
      <c r="J914" s="19"/>
      <c r="K914" s="19"/>
      <c r="L914" s="19"/>
      <c r="M914" s="19"/>
      <c r="N914" s="19"/>
      <c r="O914" s="59"/>
      <c r="P914" s="7"/>
      <c r="Q914" s="55"/>
      <c r="R914" s="55"/>
      <c r="S914" s="7"/>
      <c r="T914" s="55"/>
      <c r="U914" s="7"/>
      <c r="V914" s="55"/>
      <c r="W914" s="60"/>
      <c r="X914" s="55"/>
    </row>
    <row r="915" spans="1:24" ht="13" x14ac:dyDescent="0.15">
      <c r="A915" s="25"/>
      <c r="C915" s="69"/>
      <c r="F915" s="55"/>
      <c r="G915" s="56"/>
      <c r="H915" s="57"/>
      <c r="I915" s="57"/>
      <c r="J915" s="19"/>
      <c r="K915" s="19"/>
      <c r="L915" s="19"/>
      <c r="M915" s="19"/>
      <c r="N915" s="19"/>
      <c r="O915" s="59"/>
      <c r="P915" s="7"/>
      <c r="Q915" s="55"/>
      <c r="R915" s="55"/>
      <c r="S915" s="7"/>
      <c r="T915" s="55"/>
      <c r="U915" s="7"/>
      <c r="V915" s="55"/>
      <c r="W915" s="60"/>
      <c r="X915" s="55"/>
    </row>
    <row r="916" spans="1:24" ht="13" x14ac:dyDescent="0.15">
      <c r="A916" s="25"/>
      <c r="C916" s="69"/>
      <c r="F916" s="55"/>
      <c r="G916" s="56"/>
      <c r="H916" s="57"/>
      <c r="I916" s="57"/>
      <c r="J916" s="19"/>
      <c r="K916" s="19"/>
      <c r="L916" s="19"/>
      <c r="M916" s="19"/>
      <c r="N916" s="19"/>
      <c r="O916" s="59"/>
      <c r="P916" s="7"/>
      <c r="Q916" s="55"/>
      <c r="R916" s="55"/>
      <c r="S916" s="7"/>
      <c r="T916" s="55"/>
      <c r="U916" s="7"/>
      <c r="V916" s="55"/>
      <c r="W916" s="60"/>
      <c r="X916" s="55"/>
    </row>
    <row r="917" spans="1:24" ht="13" x14ac:dyDescent="0.15">
      <c r="A917" s="25"/>
      <c r="C917" s="69"/>
      <c r="F917" s="55"/>
      <c r="G917" s="56"/>
      <c r="H917" s="57"/>
      <c r="I917" s="57"/>
      <c r="J917" s="19"/>
      <c r="K917" s="19"/>
      <c r="L917" s="19"/>
      <c r="M917" s="19"/>
      <c r="N917" s="19"/>
      <c r="O917" s="59"/>
      <c r="P917" s="7"/>
      <c r="Q917" s="55"/>
      <c r="R917" s="55"/>
      <c r="S917" s="7"/>
      <c r="T917" s="55"/>
      <c r="U917" s="7"/>
      <c r="V917" s="55"/>
      <c r="W917" s="60"/>
      <c r="X917" s="55"/>
    </row>
    <row r="918" spans="1:24" ht="13" x14ac:dyDescent="0.15">
      <c r="A918" s="25"/>
      <c r="C918" s="69"/>
      <c r="F918" s="55"/>
      <c r="G918" s="56"/>
      <c r="H918" s="57"/>
      <c r="I918" s="57"/>
      <c r="J918" s="19"/>
      <c r="K918" s="19"/>
      <c r="L918" s="19"/>
      <c r="M918" s="19"/>
      <c r="N918" s="19"/>
      <c r="O918" s="59"/>
      <c r="P918" s="7"/>
      <c r="Q918" s="55"/>
      <c r="R918" s="55"/>
      <c r="S918" s="7"/>
      <c r="T918" s="55"/>
      <c r="U918" s="7"/>
      <c r="V918" s="55"/>
      <c r="W918" s="60"/>
      <c r="X918" s="55"/>
    </row>
    <row r="919" spans="1:24" ht="13" x14ac:dyDescent="0.15">
      <c r="A919" s="25"/>
      <c r="C919" s="69"/>
      <c r="F919" s="55"/>
      <c r="G919" s="56"/>
      <c r="H919" s="57"/>
      <c r="I919" s="57"/>
      <c r="J919" s="19"/>
      <c r="K919" s="19"/>
      <c r="L919" s="19"/>
      <c r="M919" s="19"/>
      <c r="N919" s="19"/>
      <c r="O919" s="59"/>
      <c r="P919" s="7"/>
      <c r="Q919" s="55"/>
      <c r="R919" s="55"/>
      <c r="S919" s="7"/>
      <c r="T919" s="55"/>
      <c r="U919" s="7"/>
      <c r="V919" s="55"/>
      <c r="W919" s="60"/>
      <c r="X919" s="55"/>
    </row>
    <row r="920" spans="1:24" ht="13" x14ac:dyDescent="0.15">
      <c r="A920" s="25"/>
      <c r="C920" s="69"/>
      <c r="F920" s="55"/>
      <c r="G920" s="56"/>
      <c r="H920" s="57"/>
      <c r="I920" s="57"/>
      <c r="J920" s="19"/>
      <c r="K920" s="19"/>
      <c r="L920" s="19"/>
      <c r="M920" s="19"/>
      <c r="N920" s="19"/>
      <c r="O920" s="59"/>
      <c r="P920" s="7"/>
      <c r="Q920" s="55"/>
      <c r="R920" s="55"/>
      <c r="S920" s="7"/>
      <c r="T920" s="55"/>
      <c r="U920" s="7"/>
      <c r="V920" s="55"/>
      <c r="W920" s="60"/>
      <c r="X920" s="55"/>
    </row>
    <row r="921" spans="1:24" ht="13" x14ac:dyDescent="0.15">
      <c r="A921" s="25"/>
      <c r="C921" s="69"/>
      <c r="F921" s="55"/>
      <c r="G921" s="56"/>
      <c r="H921" s="57"/>
      <c r="I921" s="57"/>
      <c r="J921" s="19"/>
      <c r="K921" s="19"/>
      <c r="L921" s="19"/>
      <c r="M921" s="19"/>
      <c r="N921" s="19"/>
      <c r="O921" s="59"/>
      <c r="P921" s="7"/>
      <c r="Q921" s="55"/>
      <c r="R921" s="55"/>
      <c r="S921" s="7"/>
      <c r="T921" s="55"/>
      <c r="U921" s="7"/>
      <c r="V921" s="55"/>
      <c r="W921" s="60"/>
      <c r="X921" s="55"/>
    </row>
    <row r="922" spans="1:24" ht="13" x14ac:dyDescent="0.15">
      <c r="A922" s="25"/>
      <c r="C922" s="69"/>
      <c r="F922" s="55"/>
      <c r="G922" s="56"/>
      <c r="H922" s="57"/>
      <c r="I922" s="57"/>
      <c r="J922" s="19"/>
      <c r="K922" s="19"/>
      <c r="L922" s="19"/>
      <c r="M922" s="19"/>
      <c r="N922" s="19"/>
      <c r="O922" s="59"/>
      <c r="P922" s="7"/>
      <c r="Q922" s="55"/>
      <c r="R922" s="55"/>
      <c r="S922" s="7"/>
      <c r="T922" s="55"/>
      <c r="U922" s="7"/>
      <c r="V922" s="55"/>
      <c r="W922" s="60"/>
      <c r="X922" s="55"/>
    </row>
    <row r="923" spans="1:24" ht="13" x14ac:dyDescent="0.15">
      <c r="A923" s="25"/>
      <c r="C923" s="69"/>
      <c r="F923" s="55"/>
      <c r="G923" s="56"/>
      <c r="H923" s="57"/>
      <c r="I923" s="57"/>
      <c r="J923" s="19"/>
      <c r="K923" s="19"/>
      <c r="L923" s="19"/>
      <c r="M923" s="19"/>
      <c r="N923" s="19"/>
      <c r="O923" s="59"/>
      <c r="P923" s="7"/>
      <c r="Q923" s="55"/>
      <c r="R923" s="55"/>
      <c r="S923" s="7"/>
      <c r="T923" s="55"/>
      <c r="U923" s="7"/>
      <c r="V923" s="55"/>
      <c r="W923" s="60"/>
      <c r="X923" s="55"/>
    </row>
    <row r="924" spans="1:24" ht="13" x14ac:dyDescent="0.15">
      <c r="A924" s="25"/>
      <c r="C924" s="69"/>
      <c r="F924" s="55"/>
      <c r="G924" s="56"/>
      <c r="H924" s="57"/>
      <c r="I924" s="57"/>
      <c r="J924" s="19"/>
      <c r="K924" s="19"/>
      <c r="L924" s="19"/>
      <c r="M924" s="19"/>
      <c r="N924" s="19"/>
      <c r="O924" s="59"/>
      <c r="P924" s="7"/>
      <c r="Q924" s="55"/>
      <c r="R924" s="55"/>
      <c r="S924" s="7"/>
      <c r="T924" s="55"/>
      <c r="U924" s="7"/>
      <c r="V924" s="55"/>
      <c r="W924" s="60"/>
      <c r="X924" s="55"/>
    </row>
    <row r="925" spans="1:24" ht="13" x14ac:dyDescent="0.15">
      <c r="A925" s="25"/>
      <c r="C925" s="69"/>
      <c r="F925" s="55"/>
      <c r="G925" s="56"/>
      <c r="H925" s="57"/>
      <c r="I925" s="57"/>
      <c r="J925" s="19"/>
      <c r="K925" s="19"/>
      <c r="L925" s="19"/>
      <c r="M925" s="19"/>
      <c r="N925" s="19"/>
      <c r="O925" s="59"/>
      <c r="P925" s="7"/>
      <c r="Q925" s="55"/>
      <c r="R925" s="55"/>
      <c r="S925" s="7"/>
      <c r="T925" s="55"/>
      <c r="U925" s="7"/>
      <c r="V925" s="55"/>
      <c r="W925" s="60"/>
      <c r="X925" s="55"/>
    </row>
    <row r="926" spans="1:24" ht="13" x14ac:dyDescent="0.15">
      <c r="A926" s="25"/>
      <c r="C926" s="69"/>
      <c r="F926" s="55"/>
      <c r="G926" s="56"/>
      <c r="H926" s="57"/>
      <c r="I926" s="57"/>
      <c r="J926" s="19"/>
      <c r="K926" s="19"/>
      <c r="L926" s="19"/>
      <c r="M926" s="19"/>
      <c r="N926" s="19"/>
      <c r="O926" s="59"/>
      <c r="P926" s="7"/>
      <c r="Q926" s="55"/>
      <c r="R926" s="55"/>
      <c r="S926" s="7"/>
      <c r="T926" s="55"/>
      <c r="U926" s="7"/>
      <c r="V926" s="55"/>
      <c r="W926" s="60"/>
      <c r="X926" s="55"/>
    </row>
    <row r="927" spans="1:24" ht="13" x14ac:dyDescent="0.15">
      <c r="A927" s="25"/>
      <c r="C927" s="69"/>
      <c r="F927" s="55"/>
      <c r="G927" s="56"/>
      <c r="H927" s="57"/>
      <c r="I927" s="57"/>
      <c r="J927" s="19"/>
      <c r="K927" s="19"/>
      <c r="L927" s="19"/>
      <c r="M927" s="19"/>
      <c r="N927" s="19"/>
      <c r="O927" s="59"/>
      <c r="P927" s="7"/>
      <c r="Q927" s="55"/>
      <c r="R927" s="55"/>
      <c r="S927" s="7"/>
      <c r="T927" s="55"/>
      <c r="U927" s="7"/>
      <c r="V927" s="55"/>
      <c r="W927" s="60"/>
      <c r="X927" s="55"/>
    </row>
    <row r="928" spans="1:24" ht="13" x14ac:dyDescent="0.15">
      <c r="A928" s="25"/>
      <c r="C928" s="69"/>
      <c r="F928" s="55"/>
      <c r="G928" s="56"/>
      <c r="H928" s="57"/>
      <c r="I928" s="57"/>
      <c r="J928" s="19"/>
      <c r="K928" s="19"/>
      <c r="L928" s="19"/>
      <c r="M928" s="19"/>
      <c r="N928" s="19"/>
      <c r="O928" s="59"/>
      <c r="P928" s="7"/>
      <c r="Q928" s="55"/>
      <c r="R928" s="55"/>
      <c r="S928" s="7"/>
      <c r="T928" s="55"/>
      <c r="U928" s="7"/>
      <c r="V928" s="55"/>
      <c r="W928" s="60"/>
      <c r="X928" s="55"/>
    </row>
    <row r="929" spans="1:24" ht="13" x14ac:dyDescent="0.15">
      <c r="A929" s="25"/>
      <c r="C929" s="69"/>
      <c r="F929" s="55"/>
      <c r="G929" s="56"/>
      <c r="H929" s="57"/>
      <c r="I929" s="57"/>
      <c r="J929" s="19"/>
      <c r="K929" s="19"/>
      <c r="L929" s="19"/>
      <c r="M929" s="19"/>
      <c r="N929" s="19"/>
      <c r="O929" s="59"/>
      <c r="P929" s="7"/>
      <c r="Q929" s="55"/>
      <c r="R929" s="55"/>
      <c r="S929" s="7"/>
      <c r="T929" s="55"/>
      <c r="U929" s="7"/>
      <c r="V929" s="55"/>
      <c r="W929" s="60"/>
      <c r="X929" s="55"/>
    </row>
    <row r="930" spans="1:24" ht="13" x14ac:dyDescent="0.15">
      <c r="A930" s="25"/>
      <c r="C930" s="69"/>
      <c r="F930" s="55"/>
      <c r="G930" s="56"/>
      <c r="H930" s="57"/>
      <c r="I930" s="57"/>
      <c r="J930" s="19"/>
      <c r="K930" s="19"/>
      <c r="L930" s="19"/>
      <c r="M930" s="19"/>
      <c r="N930" s="19"/>
      <c r="O930" s="59"/>
      <c r="P930" s="7"/>
      <c r="Q930" s="55"/>
      <c r="R930" s="55"/>
      <c r="S930" s="7"/>
      <c r="T930" s="55"/>
      <c r="U930" s="7"/>
      <c r="V930" s="55"/>
      <c r="W930" s="60"/>
      <c r="X930" s="55"/>
    </row>
    <row r="931" spans="1:24" ht="13" x14ac:dyDescent="0.15">
      <c r="A931" s="25"/>
      <c r="C931" s="69"/>
      <c r="F931" s="55"/>
      <c r="G931" s="56"/>
      <c r="H931" s="57"/>
      <c r="I931" s="57"/>
      <c r="J931" s="19"/>
      <c r="K931" s="19"/>
      <c r="L931" s="19"/>
      <c r="M931" s="19"/>
      <c r="N931" s="19"/>
      <c r="O931" s="59"/>
      <c r="P931" s="7"/>
      <c r="Q931" s="55"/>
      <c r="R931" s="55"/>
      <c r="S931" s="7"/>
      <c r="T931" s="55"/>
      <c r="U931" s="7"/>
      <c r="V931" s="55"/>
      <c r="W931" s="60"/>
      <c r="X931" s="55"/>
    </row>
    <row r="932" spans="1:24" ht="13" x14ac:dyDescent="0.15">
      <c r="A932" s="25"/>
      <c r="C932" s="69"/>
      <c r="F932" s="55"/>
      <c r="G932" s="56"/>
      <c r="H932" s="57"/>
      <c r="I932" s="57"/>
      <c r="J932" s="19"/>
      <c r="K932" s="19"/>
      <c r="L932" s="19"/>
      <c r="M932" s="19"/>
      <c r="N932" s="19"/>
      <c r="O932" s="59"/>
      <c r="P932" s="7"/>
      <c r="Q932" s="55"/>
      <c r="R932" s="55"/>
      <c r="S932" s="7"/>
      <c r="T932" s="55"/>
      <c r="U932" s="7"/>
      <c r="V932" s="55"/>
      <c r="W932" s="60"/>
      <c r="X932" s="55"/>
    </row>
    <row r="933" spans="1:24" ht="13" x14ac:dyDescent="0.15">
      <c r="A933" s="25"/>
      <c r="C933" s="69"/>
      <c r="F933" s="55"/>
      <c r="G933" s="56"/>
      <c r="H933" s="57"/>
      <c r="I933" s="57"/>
      <c r="J933" s="19"/>
      <c r="K933" s="19"/>
      <c r="L933" s="19"/>
      <c r="M933" s="19"/>
      <c r="N933" s="19"/>
      <c r="O933" s="59"/>
      <c r="P933" s="7"/>
      <c r="Q933" s="55"/>
      <c r="R933" s="55"/>
      <c r="S933" s="7"/>
      <c r="T933" s="55"/>
      <c r="U933" s="7"/>
      <c r="V933" s="55"/>
      <c r="W933" s="60"/>
      <c r="X933" s="55"/>
    </row>
    <row r="934" spans="1:24" ht="13" x14ac:dyDescent="0.15">
      <c r="A934" s="25"/>
      <c r="C934" s="69"/>
      <c r="F934" s="55"/>
      <c r="G934" s="56"/>
      <c r="H934" s="57"/>
      <c r="I934" s="57"/>
      <c r="J934" s="19"/>
      <c r="K934" s="19"/>
      <c r="L934" s="19"/>
      <c r="M934" s="19"/>
      <c r="N934" s="19"/>
      <c r="O934" s="59"/>
      <c r="P934" s="7"/>
      <c r="Q934" s="55"/>
      <c r="R934" s="55"/>
      <c r="S934" s="7"/>
      <c r="T934" s="55"/>
      <c r="U934" s="7"/>
      <c r="V934" s="55"/>
      <c r="W934" s="60"/>
      <c r="X934" s="55"/>
    </row>
    <row r="935" spans="1:24" ht="13" x14ac:dyDescent="0.15">
      <c r="A935" s="25"/>
      <c r="C935" s="69"/>
      <c r="F935" s="55"/>
      <c r="G935" s="56"/>
      <c r="H935" s="57"/>
      <c r="I935" s="57"/>
      <c r="J935" s="19"/>
      <c r="K935" s="19"/>
      <c r="L935" s="19"/>
      <c r="M935" s="19"/>
      <c r="N935" s="19"/>
      <c r="O935" s="59"/>
      <c r="P935" s="7"/>
      <c r="Q935" s="55"/>
      <c r="R935" s="55"/>
      <c r="S935" s="7"/>
      <c r="T935" s="55"/>
      <c r="U935" s="7"/>
      <c r="V935" s="55"/>
      <c r="W935" s="60"/>
      <c r="X935" s="55"/>
    </row>
    <row r="936" spans="1:24" ht="13" x14ac:dyDescent="0.15">
      <c r="A936" s="25"/>
      <c r="C936" s="69"/>
      <c r="F936" s="55"/>
      <c r="G936" s="56"/>
      <c r="H936" s="57"/>
      <c r="I936" s="57"/>
      <c r="J936" s="19"/>
      <c r="K936" s="19"/>
      <c r="L936" s="19"/>
      <c r="M936" s="19"/>
      <c r="N936" s="19"/>
      <c r="O936" s="59"/>
      <c r="P936" s="7"/>
      <c r="Q936" s="55"/>
      <c r="R936" s="55"/>
      <c r="S936" s="7"/>
      <c r="T936" s="55"/>
      <c r="U936" s="7"/>
      <c r="V936" s="55"/>
      <c r="W936" s="60"/>
      <c r="X936" s="55"/>
    </row>
    <row r="937" spans="1:24" ht="13" x14ac:dyDescent="0.15">
      <c r="A937" s="25"/>
      <c r="C937" s="69"/>
      <c r="F937" s="55"/>
      <c r="G937" s="56"/>
      <c r="H937" s="57"/>
      <c r="I937" s="57"/>
      <c r="J937" s="19"/>
      <c r="K937" s="19"/>
      <c r="L937" s="19"/>
      <c r="M937" s="19"/>
      <c r="N937" s="19"/>
      <c r="O937" s="59"/>
      <c r="P937" s="7"/>
      <c r="Q937" s="55"/>
      <c r="R937" s="55"/>
      <c r="S937" s="7"/>
      <c r="T937" s="55"/>
      <c r="U937" s="7"/>
      <c r="V937" s="55"/>
      <c r="W937" s="60"/>
      <c r="X937" s="55"/>
    </row>
    <row r="938" spans="1:24" ht="13" x14ac:dyDescent="0.15">
      <c r="A938" s="25"/>
      <c r="C938" s="69"/>
      <c r="F938" s="55"/>
      <c r="G938" s="56"/>
      <c r="H938" s="57"/>
      <c r="I938" s="57"/>
      <c r="J938" s="19"/>
      <c r="K938" s="19"/>
      <c r="L938" s="19"/>
      <c r="M938" s="19"/>
      <c r="N938" s="19"/>
      <c r="O938" s="59"/>
      <c r="P938" s="7"/>
      <c r="Q938" s="55"/>
      <c r="R938" s="55"/>
      <c r="S938" s="7"/>
      <c r="T938" s="55"/>
      <c r="U938" s="7"/>
      <c r="V938" s="55"/>
      <c r="W938" s="60"/>
      <c r="X938" s="55"/>
    </row>
    <row r="939" spans="1:24" ht="13" x14ac:dyDescent="0.15">
      <c r="A939" s="25"/>
      <c r="C939" s="69"/>
      <c r="F939" s="55"/>
      <c r="G939" s="56"/>
      <c r="H939" s="57"/>
      <c r="I939" s="57"/>
      <c r="J939" s="19"/>
      <c r="K939" s="19"/>
      <c r="L939" s="19"/>
      <c r="M939" s="19"/>
      <c r="N939" s="19"/>
      <c r="O939" s="59"/>
      <c r="P939" s="7"/>
      <c r="Q939" s="55"/>
      <c r="R939" s="55"/>
      <c r="S939" s="7"/>
      <c r="T939" s="55"/>
      <c r="U939" s="7"/>
      <c r="V939" s="55"/>
      <c r="W939" s="60"/>
      <c r="X939" s="55"/>
    </row>
    <row r="940" spans="1:24" ht="13" x14ac:dyDescent="0.15">
      <c r="A940" s="25"/>
      <c r="C940" s="69"/>
      <c r="F940" s="55"/>
      <c r="G940" s="56"/>
      <c r="H940" s="57"/>
      <c r="I940" s="57"/>
      <c r="J940" s="19"/>
      <c r="K940" s="19"/>
      <c r="L940" s="19"/>
      <c r="M940" s="19"/>
      <c r="N940" s="19"/>
      <c r="O940" s="59"/>
      <c r="P940" s="7"/>
      <c r="Q940" s="55"/>
      <c r="R940" s="55"/>
      <c r="S940" s="7"/>
      <c r="T940" s="55"/>
      <c r="U940" s="7"/>
      <c r="V940" s="55"/>
      <c r="W940" s="60"/>
      <c r="X940" s="55"/>
    </row>
    <row r="941" spans="1:24" ht="13" x14ac:dyDescent="0.15">
      <c r="A941" s="25"/>
      <c r="C941" s="69"/>
      <c r="F941" s="55"/>
      <c r="G941" s="56"/>
      <c r="H941" s="57"/>
      <c r="I941" s="57"/>
      <c r="J941" s="19"/>
      <c r="K941" s="19"/>
      <c r="L941" s="19"/>
      <c r="M941" s="19"/>
      <c r="N941" s="19"/>
      <c r="O941" s="59"/>
      <c r="P941" s="7"/>
      <c r="Q941" s="55"/>
      <c r="R941" s="55"/>
      <c r="S941" s="7"/>
      <c r="T941" s="55"/>
      <c r="U941" s="7"/>
      <c r="V941" s="55"/>
      <c r="W941" s="60"/>
      <c r="X941" s="55"/>
    </row>
    <row r="942" spans="1:24" ht="13" x14ac:dyDescent="0.15">
      <c r="A942" s="25"/>
      <c r="C942" s="69"/>
      <c r="F942" s="55"/>
      <c r="G942" s="56"/>
      <c r="H942" s="57"/>
      <c r="I942" s="57"/>
      <c r="J942" s="19"/>
      <c r="K942" s="19"/>
      <c r="L942" s="19"/>
      <c r="M942" s="19"/>
      <c r="N942" s="19"/>
      <c r="O942" s="59"/>
      <c r="P942" s="7"/>
      <c r="Q942" s="55"/>
      <c r="R942" s="55"/>
      <c r="S942" s="7"/>
      <c r="T942" s="55"/>
      <c r="U942" s="7"/>
      <c r="V942" s="55"/>
      <c r="W942" s="60"/>
      <c r="X942" s="55"/>
    </row>
    <row r="943" spans="1:24" ht="13" x14ac:dyDescent="0.15">
      <c r="A943" s="26"/>
      <c r="C943" s="69"/>
      <c r="F943" s="55"/>
      <c r="G943" s="56"/>
      <c r="H943" s="57"/>
      <c r="I943" s="57"/>
      <c r="J943" s="19"/>
      <c r="K943" s="19"/>
      <c r="L943" s="19"/>
      <c r="M943" s="19"/>
      <c r="N943" s="19"/>
      <c r="O943" s="59"/>
      <c r="P943" s="7"/>
      <c r="Q943" s="55"/>
      <c r="R943" s="55"/>
      <c r="S943" s="7"/>
      <c r="T943" s="55"/>
      <c r="U943" s="7"/>
      <c r="V943" s="55"/>
      <c r="W943" s="60"/>
      <c r="X943" s="55"/>
    </row>
    <row r="944" spans="1:24" ht="13" x14ac:dyDescent="0.15">
      <c r="A944" s="26"/>
      <c r="C944" s="69"/>
      <c r="F944" s="55"/>
      <c r="G944" s="56"/>
      <c r="H944" s="57"/>
      <c r="I944" s="57"/>
      <c r="J944" s="19"/>
      <c r="K944" s="19"/>
      <c r="L944" s="19"/>
      <c r="M944" s="19"/>
      <c r="N944" s="19"/>
      <c r="O944" s="59"/>
      <c r="P944" s="7"/>
      <c r="Q944" s="55"/>
      <c r="R944" s="55"/>
      <c r="S944" s="7"/>
      <c r="T944" s="55"/>
      <c r="U944" s="7"/>
      <c r="V944" s="55"/>
      <c r="W944" s="60"/>
      <c r="X944" s="55"/>
    </row>
    <row r="945" spans="1:24" ht="13" x14ac:dyDescent="0.15">
      <c r="A945" s="26"/>
      <c r="C945" s="69"/>
      <c r="F945" s="55"/>
      <c r="G945" s="56"/>
      <c r="H945" s="57"/>
      <c r="I945" s="57"/>
      <c r="J945" s="19"/>
      <c r="K945" s="19"/>
      <c r="L945" s="19"/>
      <c r="M945" s="19"/>
      <c r="N945" s="19"/>
      <c r="O945" s="59"/>
      <c r="P945" s="7"/>
      <c r="Q945" s="55"/>
      <c r="R945" s="55"/>
      <c r="S945" s="7"/>
      <c r="T945" s="55"/>
      <c r="U945" s="7"/>
      <c r="V945" s="55"/>
      <c r="W945" s="60"/>
      <c r="X945" s="55"/>
    </row>
    <row r="946" spans="1:24" ht="13" x14ac:dyDescent="0.15">
      <c r="A946" s="26"/>
      <c r="C946" s="69"/>
      <c r="F946" s="55"/>
      <c r="G946" s="56"/>
      <c r="H946" s="57"/>
      <c r="I946" s="57"/>
      <c r="J946" s="19"/>
      <c r="K946" s="19"/>
      <c r="L946" s="19"/>
      <c r="M946" s="19"/>
      <c r="N946" s="19"/>
      <c r="O946" s="59"/>
      <c r="P946" s="7"/>
      <c r="Q946" s="55"/>
      <c r="R946" s="55"/>
      <c r="S946" s="7"/>
      <c r="T946" s="55"/>
      <c r="U946" s="7"/>
      <c r="V946" s="55"/>
      <c r="W946" s="60"/>
      <c r="X946" s="55"/>
    </row>
    <row r="947" spans="1:24" ht="13" x14ac:dyDescent="0.15">
      <c r="A947" s="26"/>
      <c r="C947" s="69"/>
      <c r="F947" s="55"/>
      <c r="G947" s="56"/>
      <c r="H947" s="57"/>
      <c r="I947" s="57"/>
      <c r="J947" s="19"/>
      <c r="K947" s="19"/>
      <c r="L947" s="19"/>
      <c r="M947" s="19"/>
      <c r="N947" s="19"/>
      <c r="O947" s="59"/>
      <c r="P947" s="7"/>
      <c r="Q947" s="55"/>
      <c r="R947" s="55"/>
      <c r="S947" s="7"/>
      <c r="T947" s="55"/>
      <c r="U947" s="7"/>
      <c r="V947" s="55"/>
      <c r="W947" s="60"/>
      <c r="X947" s="55"/>
    </row>
    <row r="948" spans="1:24" ht="13" x14ac:dyDescent="0.15">
      <c r="A948" s="26"/>
      <c r="C948" s="69"/>
      <c r="F948" s="55"/>
      <c r="G948" s="56"/>
      <c r="H948" s="57"/>
      <c r="I948" s="57"/>
      <c r="J948" s="19"/>
      <c r="K948" s="19"/>
      <c r="L948" s="19"/>
      <c r="M948" s="19"/>
      <c r="N948" s="19"/>
      <c r="O948" s="59"/>
      <c r="P948" s="7"/>
      <c r="Q948" s="55"/>
      <c r="R948" s="55"/>
      <c r="S948" s="7"/>
      <c r="T948" s="55"/>
      <c r="U948" s="7"/>
      <c r="V948" s="55"/>
      <c r="W948" s="60"/>
      <c r="X948" s="55"/>
    </row>
    <row r="949" spans="1:24" ht="13" x14ac:dyDescent="0.15">
      <c r="A949" s="26"/>
      <c r="C949" s="69"/>
      <c r="F949" s="55"/>
      <c r="G949" s="56"/>
      <c r="H949" s="57"/>
      <c r="I949" s="57"/>
      <c r="J949" s="19"/>
      <c r="K949" s="19"/>
      <c r="L949" s="19"/>
      <c r="M949" s="19"/>
      <c r="N949" s="19"/>
      <c r="O949" s="59"/>
      <c r="P949" s="7"/>
      <c r="Q949" s="55"/>
      <c r="R949" s="55"/>
      <c r="S949" s="7"/>
      <c r="T949" s="55"/>
      <c r="U949" s="7"/>
      <c r="V949" s="55"/>
      <c r="W949" s="60"/>
      <c r="X949" s="55"/>
    </row>
    <row r="950" spans="1:24" ht="13" x14ac:dyDescent="0.15">
      <c r="A950" s="26"/>
      <c r="C950" s="69"/>
      <c r="F950" s="55"/>
      <c r="G950" s="56"/>
      <c r="H950" s="57"/>
      <c r="I950" s="57"/>
      <c r="J950" s="19"/>
      <c r="K950" s="19"/>
      <c r="L950" s="19"/>
      <c r="M950" s="19"/>
      <c r="N950" s="19"/>
      <c r="O950" s="59"/>
      <c r="P950" s="7"/>
      <c r="Q950" s="55"/>
      <c r="R950" s="55"/>
      <c r="S950" s="7"/>
      <c r="T950" s="55"/>
      <c r="U950" s="7"/>
      <c r="V950" s="55"/>
      <c r="W950" s="60"/>
      <c r="X950" s="55"/>
    </row>
    <row r="951" spans="1:24" ht="13" x14ac:dyDescent="0.15">
      <c r="A951" s="26"/>
      <c r="C951" s="69"/>
      <c r="F951" s="55"/>
      <c r="G951" s="56"/>
      <c r="H951" s="57"/>
      <c r="I951" s="57"/>
      <c r="J951" s="19"/>
      <c r="K951" s="19"/>
      <c r="L951" s="19"/>
      <c r="M951" s="19"/>
      <c r="N951" s="19"/>
      <c r="O951" s="59"/>
      <c r="P951" s="7"/>
      <c r="Q951" s="55"/>
      <c r="R951" s="55"/>
      <c r="S951" s="7"/>
      <c r="T951" s="55"/>
      <c r="U951" s="7"/>
      <c r="V951" s="55"/>
      <c r="W951" s="60"/>
      <c r="X951" s="55"/>
    </row>
    <row r="952" spans="1:24" ht="13" x14ac:dyDescent="0.15">
      <c r="A952" s="26"/>
      <c r="C952" s="69"/>
      <c r="F952" s="55"/>
      <c r="G952" s="56"/>
      <c r="H952" s="57"/>
      <c r="I952" s="57"/>
      <c r="J952" s="19"/>
      <c r="K952" s="19"/>
      <c r="L952" s="19"/>
      <c r="M952" s="19"/>
      <c r="N952" s="19"/>
      <c r="O952" s="59"/>
      <c r="P952" s="7"/>
      <c r="Q952" s="55"/>
      <c r="R952" s="55"/>
      <c r="S952" s="7"/>
      <c r="T952" s="55"/>
      <c r="U952" s="7"/>
      <c r="V952" s="55"/>
      <c r="W952" s="60"/>
      <c r="X952" s="55"/>
    </row>
    <row r="953" spans="1:24" ht="13" x14ac:dyDescent="0.15">
      <c r="A953" s="26"/>
      <c r="C953" s="69"/>
      <c r="F953" s="55"/>
      <c r="G953" s="56"/>
      <c r="H953" s="57"/>
      <c r="I953" s="57"/>
      <c r="J953" s="19"/>
      <c r="K953" s="19"/>
      <c r="L953" s="19"/>
      <c r="M953" s="19"/>
      <c r="N953" s="19"/>
      <c r="O953" s="59"/>
      <c r="P953" s="7"/>
      <c r="Q953" s="55"/>
      <c r="R953" s="55"/>
      <c r="S953" s="7"/>
      <c r="T953" s="55"/>
      <c r="U953" s="7"/>
      <c r="V953" s="55"/>
      <c r="W953" s="60"/>
      <c r="X953" s="55"/>
    </row>
    <row r="954" spans="1:24" ht="13" x14ac:dyDescent="0.15">
      <c r="A954" s="26"/>
      <c r="C954" s="69"/>
      <c r="F954" s="55"/>
      <c r="G954" s="56"/>
      <c r="H954" s="57"/>
      <c r="I954" s="57"/>
      <c r="J954" s="19"/>
      <c r="K954" s="19"/>
      <c r="L954" s="19"/>
      <c r="M954" s="19"/>
      <c r="N954" s="19"/>
      <c r="O954" s="59"/>
      <c r="P954" s="7"/>
      <c r="Q954" s="55"/>
      <c r="R954" s="55"/>
      <c r="S954" s="7"/>
      <c r="T954" s="55"/>
      <c r="U954" s="7"/>
      <c r="V954" s="55"/>
      <c r="W954" s="60"/>
      <c r="X954" s="55"/>
    </row>
    <row r="955" spans="1:24" ht="13" x14ac:dyDescent="0.15">
      <c r="A955" s="26"/>
      <c r="C955" s="69"/>
      <c r="F955" s="55"/>
      <c r="G955" s="56"/>
      <c r="H955" s="57"/>
      <c r="I955" s="57"/>
      <c r="J955" s="19"/>
      <c r="K955" s="19"/>
      <c r="L955" s="19"/>
      <c r="M955" s="19"/>
      <c r="N955" s="19"/>
      <c r="O955" s="59"/>
      <c r="P955" s="7"/>
      <c r="Q955" s="55"/>
      <c r="R955" s="55"/>
      <c r="S955" s="7"/>
      <c r="T955" s="55"/>
      <c r="U955" s="7"/>
      <c r="V955" s="55"/>
      <c r="W955" s="60"/>
      <c r="X955" s="55"/>
    </row>
    <row r="956" spans="1:24" ht="13" x14ac:dyDescent="0.15">
      <c r="A956" s="26"/>
      <c r="C956" s="69"/>
      <c r="F956" s="55"/>
      <c r="G956" s="56"/>
      <c r="H956" s="57"/>
      <c r="I956" s="57"/>
      <c r="J956" s="19"/>
      <c r="K956" s="19"/>
      <c r="L956" s="19"/>
      <c r="M956" s="19"/>
      <c r="N956" s="19"/>
      <c r="O956" s="59"/>
      <c r="P956" s="7"/>
      <c r="Q956" s="55"/>
      <c r="R956" s="55"/>
      <c r="S956" s="7"/>
      <c r="T956" s="55"/>
      <c r="U956" s="7"/>
      <c r="V956" s="55"/>
      <c r="W956" s="60"/>
      <c r="X956" s="55"/>
    </row>
    <row r="957" spans="1:24" ht="13" x14ac:dyDescent="0.15">
      <c r="A957" s="26"/>
      <c r="C957" s="69"/>
      <c r="F957" s="55"/>
      <c r="G957" s="56"/>
      <c r="H957" s="57"/>
      <c r="I957" s="57"/>
      <c r="J957" s="19"/>
      <c r="K957" s="19"/>
      <c r="L957" s="19"/>
      <c r="M957" s="19"/>
      <c r="N957" s="19"/>
      <c r="O957" s="59"/>
      <c r="P957" s="7"/>
      <c r="Q957" s="55"/>
      <c r="R957" s="55"/>
      <c r="S957" s="7"/>
      <c r="T957" s="55"/>
      <c r="U957" s="7"/>
      <c r="V957" s="55"/>
      <c r="W957" s="60"/>
      <c r="X957" s="55"/>
    </row>
    <row r="958" spans="1:24" ht="13" x14ac:dyDescent="0.15">
      <c r="A958" s="26"/>
      <c r="C958" s="69"/>
      <c r="F958" s="55"/>
      <c r="G958" s="56"/>
      <c r="H958" s="57"/>
      <c r="I958" s="57"/>
      <c r="J958" s="19"/>
      <c r="K958" s="19"/>
      <c r="L958" s="19"/>
      <c r="M958" s="19"/>
      <c r="N958" s="19"/>
      <c r="O958" s="59"/>
      <c r="P958" s="7"/>
      <c r="Q958" s="55"/>
      <c r="R958" s="55"/>
      <c r="S958" s="7"/>
      <c r="T958" s="55"/>
      <c r="U958" s="7"/>
      <c r="V958" s="55"/>
      <c r="W958" s="60"/>
      <c r="X958" s="55"/>
    </row>
    <row r="959" spans="1:24" ht="13" x14ac:dyDescent="0.15">
      <c r="A959" s="26"/>
      <c r="C959" s="69"/>
      <c r="F959" s="55"/>
      <c r="G959" s="56"/>
      <c r="H959" s="57"/>
      <c r="I959" s="57"/>
      <c r="J959" s="19"/>
      <c r="K959" s="19"/>
      <c r="L959" s="19"/>
      <c r="M959" s="19"/>
      <c r="N959" s="19"/>
      <c r="O959" s="59"/>
      <c r="P959" s="7"/>
      <c r="Q959" s="55"/>
      <c r="R959" s="55"/>
      <c r="S959" s="7"/>
      <c r="T959" s="55"/>
      <c r="U959" s="7"/>
      <c r="V959" s="55"/>
      <c r="W959" s="60"/>
      <c r="X959" s="55"/>
    </row>
    <row r="960" spans="1:24" ht="13" x14ac:dyDescent="0.15">
      <c r="A960" s="26"/>
      <c r="C960" s="69"/>
      <c r="F960" s="55"/>
      <c r="G960" s="56"/>
      <c r="H960" s="57"/>
      <c r="I960" s="57"/>
      <c r="J960" s="19"/>
      <c r="K960" s="19"/>
      <c r="L960" s="19"/>
      <c r="M960" s="19"/>
      <c r="N960" s="19"/>
      <c r="O960" s="59"/>
      <c r="P960" s="7"/>
      <c r="Q960" s="55"/>
      <c r="R960" s="55"/>
      <c r="S960" s="7"/>
      <c r="T960" s="55"/>
      <c r="U960" s="7"/>
      <c r="V960" s="55"/>
      <c r="W960" s="60"/>
      <c r="X960" s="55"/>
    </row>
    <row r="961" spans="1:24" ht="13" x14ac:dyDescent="0.15">
      <c r="A961" s="26"/>
      <c r="C961" s="69"/>
      <c r="F961" s="55"/>
      <c r="G961" s="56"/>
      <c r="H961" s="57"/>
      <c r="I961" s="57"/>
      <c r="J961" s="19"/>
      <c r="K961" s="19"/>
      <c r="L961" s="19"/>
      <c r="M961" s="19"/>
      <c r="N961" s="19"/>
      <c r="O961" s="59"/>
      <c r="P961" s="7"/>
      <c r="Q961" s="55"/>
      <c r="R961" s="55"/>
      <c r="S961" s="7"/>
      <c r="T961" s="55"/>
      <c r="U961" s="7"/>
      <c r="V961" s="55"/>
      <c r="W961" s="60"/>
      <c r="X961" s="55"/>
    </row>
    <row r="962" spans="1:24" ht="13" x14ac:dyDescent="0.15">
      <c r="A962" s="26"/>
      <c r="C962" s="69"/>
      <c r="F962" s="55"/>
      <c r="G962" s="56"/>
      <c r="H962" s="57"/>
      <c r="I962" s="57"/>
      <c r="J962" s="19"/>
      <c r="K962" s="19"/>
      <c r="L962" s="19"/>
      <c r="M962" s="19"/>
      <c r="N962" s="19"/>
      <c r="O962" s="59"/>
      <c r="P962" s="7"/>
      <c r="Q962" s="55"/>
      <c r="R962" s="55"/>
      <c r="S962" s="7"/>
      <c r="T962" s="55"/>
      <c r="U962" s="7"/>
      <c r="V962" s="55"/>
      <c r="W962" s="60"/>
      <c r="X962" s="55"/>
    </row>
    <row r="963" spans="1:24" ht="13" x14ac:dyDescent="0.15">
      <c r="A963" s="26"/>
      <c r="C963" s="69"/>
      <c r="F963" s="55"/>
      <c r="G963" s="56"/>
      <c r="H963" s="57"/>
      <c r="I963" s="57"/>
      <c r="J963" s="19"/>
      <c r="K963" s="19"/>
      <c r="L963" s="19"/>
      <c r="M963" s="19"/>
      <c r="N963" s="19"/>
      <c r="O963" s="59"/>
      <c r="P963" s="7"/>
      <c r="Q963" s="55"/>
      <c r="R963" s="55"/>
      <c r="S963" s="7"/>
      <c r="T963" s="55"/>
      <c r="U963" s="7"/>
      <c r="V963" s="55"/>
      <c r="W963" s="60"/>
      <c r="X963" s="55"/>
    </row>
    <row r="964" spans="1:24" ht="13" x14ac:dyDescent="0.15">
      <c r="A964" s="26"/>
      <c r="C964" s="69"/>
      <c r="F964" s="55"/>
      <c r="G964" s="56"/>
      <c r="H964" s="57"/>
      <c r="I964" s="57"/>
      <c r="J964" s="19"/>
      <c r="K964" s="19"/>
      <c r="L964" s="19"/>
      <c r="M964" s="19"/>
      <c r="N964" s="19"/>
      <c r="O964" s="59"/>
      <c r="P964" s="7"/>
      <c r="Q964" s="55"/>
      <c r="R964" s="55"/>
      <c r="S964" s="7"/>
      <c r="T964" s="55"/>
      <c r="U964" s="7"/>
      <c r="V964" s="55"/>
      <c r="W964" s="60"/>
      <c r="X964" s="55"/>
    </row>
    <row r="965" spans="1:24" ht="13" x14ac:dyDescent="0.15">
      <c r="A965" s="26"/>
      <c r="C965" s="69"/>
      <c r="F965" s="55"/>
      <c r="G965" s="56"/>
      <c r="H965" s="57"/>
      <c r="I965" s="57"/>
      <c r="J965" s="19"/>
      <c r="K965" s="19"/>
      <c r="L965" s="19"/>
      <c r="M965" s="19"/>
      <c r="N965" s="19"/>
      <c r="O965" s="59"/>
      <c r="P965" s="7"/>
      <c r="Q965" s="55"/>
      <c r="R965" s="55"/>
      <c r="S965" s="7"/>
      <c r="T965" s="55"/>
      <c r="U965" s="7"/>
      <c r="V965" s="55"/>
      <c r="W965" s="60"/>
      <c r="X965" s="55"/>
    </row>
    <row r="966" spans="1:24" ht="13" x14ac:dyDescent="0.15">
      <c r="A966" s="26"/>
      <c r="C966" s="69"/>
      <c r="F966" s="55"/>
      <c r="G966" s="56"/>
      <c r="H966" s="57"/>
      <c r="I966" s="57"/>
      <c r="J966" s="19"/>
      <c r="K966" s="19"/>
      <c r="L966" s="19"/>
      <c r="M966" s="19"/>
      <c r="N966" s="19"/>
      <c r="O966" s="59"/>
      <c r="P966" s="7"/>
      <c r="Q966" s="55"/>
      <c r="R966" s="55"/>
      <c r="S966" s="7"/>
      <c r="T966" s="55"/>
      <c r="U966" s="7"/>
      <c r="V966" s="55"/>
      <c r="W966" s="60"/>
      <c r="X966" s="55"/>
    </row>
    <row r="967" spans="1:24" ht="13" x14ac:dyDescent="0.15">
      <c r="A967" s="26"/>
      <c r="C967" s="69"/>
      <c r="F967" s="55"/>
      <c r="G967" s="56"/>
      <c r="H967" s="57"/>
      <c r="I967" s="57"/>
      <c r="J967" s="19"/>
      <c r="K967" s="19"/>
      <c r="L967" s="19"/>
      <c r="M967" s="19"/>
      <c r="N967" s="19"/>
      <c r="O967" s="59"/>
      <c r="P967" s="7"/>
      <c r="Q967" s="55"/>
      <c r="R967" s="55"/>
      <c r="S967" s="7"/>
      <c r="T967" s="55"/>
      <c r="U967" s="7"/>
      <c r="V967" s="55"/>
      <c r="W967" s="60"/>
      <c r="X967" s="55"/>
    </row>
    <row r="968" spans="1:24" ht="13" x14ac:dyDescent="0.15">
      <c r="A968" s="26"/>
      <c r="C968" s="69"/>
      <c r="F968" s="55"/>
      <c r="G968" s="56"/>
      <c r="H968" s="57"/>
      <c r="I968" s="57"/>
      <c r="J968" s="19"/>
      <c r="K968" s="19"/>
      <c r="L968" s="19"/>
      <c r="M968" s="19"/>
      <c r="N968" s="19"/>
      <c r="O968" s="59"/>
      <c r="P968" s="7"/>
      <c r="Q968" s="55"/>
      <c r="R968" s="55"/>
      <c r="S968" s="7"/>
      <c r="T968" s="55"/>
      <c r="U968" s="7"/>
      <c r="V968" s="55"/>
      <c r="W968" s="60"/>
      <c r="X968" s="55"/>
    </row>
    <row r="969" spans="1:24" ht="13" x14ac:dyDescent="0.15">
      <c r="A969" s="26"/>
      <c r="C969" s="69"/>
      <c r="F969" s="55"/>
      <c r="G969" s="56"/>
      <c r="H969" s="57"/>
      <c r="I969" s="57"/>
      <c r="J969" s="19"/>
      <c r="K969" s="19"/>
      <c r="L969" s="19"/>
      <c r="M969" s="19"/>
      <c r="N969" s="19"/>
      <c r="O969" s="59"/>
      <c r="P969" s="7"/>
      <c r="Q969" s="55"/>
      <c r="R969" s="55"/>
      <c r="S969" s="7"/>
      <c r="T969" s="55"/>
      <c r="U969" s="7"/>
      <c r="V969" s="55"/>
      <c r="W969" s="60"/>
      <c r="X969" s="55"/>
    </row>
    <row r="970" spans="1:24" ht="13" x14ac:dyDescent="0.15">
      <c r="A970" s="26"/>
      <c r="C970" s="69"/>
      <c r="F970" s="55"/>
      <c r="G970" s="56"/>
      <c r="H970" s="57"/>
      <c r="I970" s="57"/>
      <c r="J970" s="19"/>
      <c r="K970" s="19"/>
      <c r="L970" s="19"/>
      <c r="M970" s="19"/>
      <c r="N970" s="19"/>
      <c r="O970" s="59"/>
      <c r="P970" s="7"/>
      <c r="Q970" s="55"/>
      <c r="R970" s="55"/>
      <c r="S970" s="7"/>
      <c r="T970" s="55"/>
      <c r="U970" s="7"/>
      <c r="V970" s="55"/>
      <c r="W970" s="60"/>
      <c r="X970" s="55"/>
    </row>
    <row r="971" spans="1:24" ht="13" x14ac:dyDescent="0.15">
      <c r="A971" s="26"/>
      <c r="C971" s="69"/>
      <c r="F971" s="55"/>
      <c r="G971" s="56"/>
      <c r="H971" s="57"/>
      <c r="I971" s="57"/>
      <c r="J971" s="19"/>
      <c r="K971" s="19"/>
      <c r="L971" s="19"/>
      <c r="M971" s="19"/>
      <c r="N971" s="19"/>
      <c r="O971" s="59"/>
      <c r="P971" s="7"/>
      <c r="Q971" s="55"/>
      <c r="R971" s="55"/>
      <c r="S971" s="7"/>
      <c r="T971" s="55"/>
      <c r="U971" s="7"/>
      <c r="V971" s="55"/>
      <c r="W971" s="60"/>
      <c r="X971" s="55"/>
    </row>
    <row r="972" spans="1:24" ht="13" x14ac:dyDescent="0.15">
      <c r="A972" s="26"/>
      <c r="C972" s="69"/>
      <c r="F972" s="55"/>
      <c r="G972" s="56"/>
      <c r="H972" s="57"/>
      <c r="I972" s="57"/>
      <c r="J972" s="19"/>
      <c r="K972" s="19"/>
      <c r="L972" s="19"/>
      <c r="M972" s="19"/>
      <c r="N972" s="19"/>
      <c r="O972" s="59"/>
      <c r="P972" s="7"/>
      <c r="Q972" s="55"/>
      <c r="R972" s="55"/>
      <c r="S972" s="7"/>
      <c r="T972" s="55"/>
      <c r="U972" s="7"/>
      <c r="V972" s="55"/>
      <c r="W972" s="60"/>
      <c r="X972" s="55"/>
    </row>
    <row r="973" spans="1:24" ht="13" x14ac:dyDescent="0.15">
      <c r="A973" s="26"/>
      <c r="C973" s="69"/>
      <c r="F973" s="55"/>
      <c r="G973" s="56"/>
      <c r="H973" s="57"/>
      <c r="I973" s="57"/>
      <c r="J973" s="19"/>
      <c r="K973" s="19"/>
      <c r="L973" s="19"/>
      <c r="M973" s="19"/>
      <c r="N973" s="19"/>
      <c r="O973" s="59"/>
      <c r="P973" s="7"/>
      <c r="Q973" s="55"/>
      <c r="R973" s="55"/>
      <c r="S973" s="7"/>
      <c r="T973" s="55"/>
      <c r="U973" s="7"/>
      <c r="V973" s="55"/>
      <c r="W973" s="60"/>
      <c r="X973" s="55"/>
    </row>
    <row r="974" spans="1:24" ht="13" x14ac:dyDescent="0.15">
      <c r="A974" s="26"/>
      <c r="C974" s="69"/>
      <c r="F974" s="55"/>
      <c r="G974" s="56"/>
      <c r="H974" s="57"/>
      <c r="I974" s="57"/>
      <c r="J974" s="19"/>
      <c r="K974" s="19"/>
      <c r="L974" s="19"/>
      <c r="M974" s="19"/>
      <c r="N974" s="19"/>
      <c r="O974" s="59"/>
      <c r="P974" s="7"/>
      <c r="Q974" s="55"/>
      <c r="R974" s="55"/>
      <c r="S974" s="7"/>
      <c r="T974" s="55"/>
      <c r="U974" s="7"/>
      <c r="V974" s="55"/>
      <c r="W974" s="60"/>
      <c r="X974" s="55"/>
    </row>
    <row r="975" spans="1:24" ht="13" x14ac:dyDescent="0.15">
      <c r="A975" s="26"/>
      <c r="C975" s="69"/>
      <c r="F975" s="55"/>
      <c r="G975" s="56"/>
      <c r="H975" s="57"/>
      <c r="I975" s="57"/>
      <c r="J975" s="19"/>
      <c r="K975" s="19"/>
      <c r="L975" s="19"/>
      <c r="M975" s="19"/>
      <c r="N975" s="19"/>
      <c r="O975" s="59"/>
      <c r="P975" s="7"/>
      <c r="Q975" s="55"/>
      <c r="R975" s="55"/>
      <c r="S975" s="7"/>
      <c r="T975" s="55"/>
      <c r="U975" s="7"/>
      <c r="V975" s="55"/>
      <c r="W975" s="60"/>
      <c r="X975" s="55"/>
    </row>
    <row r="976" spans="1:24" ht="13" x14ac:dyDescent="0.15">
      <c r="A976" s="26"/>
      <c r="C976" s="69"/>
      <c r="F976" s="55"/>
      <c r="G976" s="56"/>
      <c r="H976" s="57"/>
      <c r="I976" s="57"/>
      <c r="J976" s="19"/>
      <c r="K976" s="19"/>
      <c r="L976" s="19"/>
      <c r="M976" s="19"/>
      <c r="N976" s="19"/>
      <c r="O976" s="59"/>
      <c r="P976" s="7"/>
      <c r="Q976" s="55"/>
      <c r="R976" s="55"/>
      <c r="S976" s="7"/>
      <c r="T976" s="55"/>
      <c r="U976" s="7"/>
      <c r="V976" s="55"/>
      <c r="W976" s="60"/>
      <c r="X976" s="55"/>
    </row>
    <row r="977" spans="1:24" ht="13" x14ac:dyDescent="0.15">
      <c r="A977" s="26"/>
      <c r="C977" s="69"/>
      <c r="F977" s="55"/>
      <c r="G977" s="56"/>
      <c r="H977" s="57"/>
      <c r="I977" s="57"/>
      <c r="J977" s="19"/>
      <c r="K977" s="19"/>
      <c r="L977" s="19"/>
      <c r="M977" s="19"/>
      <c r="N977" s="19"/>
      <c r="O977" s="59"/>
      <c r="P977" s="7"/>
      <c r="Q977" s="55"/>
      <c r="R977" s="55"/>
      <c r="S977" s="7"/>
      <c r="T977" s="55"/>
      <c r="U977" s="7"/>
      <c r="V977" s="55"/>
      <c r="W977" s="60"/>
      <c r="X977" s="55"/>
    </row>
    <row r="978" spans="1:24" ht="13" x14ac:dyDescent="0.15">
      <c r="A978" s="26"/>
      <c r="C978" s="69"/>
      <c r="F978" s="55"/>
      <c r="G978" s="56"/>
      <c r="H978" s="57"/>
      <c r="I978" s="57"/>
      <c r="J978" s="19"/>
      <c r="K978" s="19"/>
      <c r="L978" s="19"/>
      <c r="M978" s="19"/>
      <c r="N978" s="19"/>
      <c r="O978" s="59"/>
      <c r="P978" s="7"/>
      <c r="Q978" s="55"/>
      <c r="R978" s="55"/>
      <c r="S978" s="7"/>
      <c r="T978" s="55"/>
      <c r="U978" s="7"/>
      <c r="V978" s="55"/>
      <c r="W978" s="60"/>
      <c r="X978" s="55"/>
    </row>
    <row r="979" spans="1:24" ht="13" x14ac:dyDescent="0.15">
      <c r="A979" s="26"/>
      <c r="C979" s="69"/>
      <c r="F979" s="55"/>
      <c r="G979" s="56"/>
      <c r="H979" s="57"/>
      <c r="I979" s="57"/>
      <c r="J979" s="19"/>
      <c r="K979" s="19"/>
      <c r="L979" s="19"/>
      <c r="M979" s="19"/>
      <c r="N979" s="19"/>
      <c r="O979" s="59"/>
      <c r="P979" s="7"/>
      <c r="Q979" s="55"/>
      <c r="R979" s="55"/>
      <c r="S979" s="7"/>
      <c r="T979" s="55"/>
      <c r="U979" s="7"/>
      <c r="V979" s="55"/>
      <c r="W979" s="60"/>
      <c r="X979" s="55"/>
    </row>
    <row r="980" spans="1:24" ht="13" x14ac:dyDescent="0.15">
      <c r="A980" s="26"/>
      <c r="C980" s="69"/>
      <c r="F980" s="55"/>
      <c r="G980" s="56"/>
      <c r="H980" s="57"/>
      <c r="I980" s="57"/>
      <c r="J980" s="19"/>
      <c r="K980" s="19"/>
      <c r="L980" s="19"/>
      <c r="M980" s="19"/>
      <c r="N980" s="19"/>
      <c r="O980" s="59"/>
      <c r="P980" s="7"/>
      <c r="Q980" s="55"/>
      <c r="R980" s="55"/>
      <c r="S980" s="7"/>
      <c r="T980" s="55"/>
      <c r="U980" s="7"/>
      <c r="V980" s="55"/>
      <c r="W980" s="60"/>
      <c r="X980" s="55"/>
    </row>
    <row r="981" spans="1:24" ht="13" x14ac:dyDescent="0.15">
      <c r="A981" s="26"/>
      <c r="C981" s="69"/>
      <c r="F981" s="55"/>
      <c r="G981" s="56"/>
      <c r="H981" s="57"/>
      <c r="I981" s="57"/>
      <c r="J981" s="19"/>
      <c r="K981" s="19"/>
      <c r="L981" s="19"/>
      <c r="M981" s="19"/>
      <c r="N981" s="19"/>
      <c r="O981" s="59"/>
      <c r="P981" s="7"/>
      <c r="Q981" s="55"/>
      <c r="R981" s="55"/>
      <c r="S981" s="7"/>
      <c r="T981" s="55"/>
      <c r="U981" s="7"/>
      <c r="V981" s="55"/>
      <c r="W981" s="60"/>
      <c r="X981" s="55"/>
    </row>
    <row r="982" spans="1:24" ht="13" x14ac:dyDescent="0.15">
      <c r="A982" s="26"/>
      <c r="C982" s="69"/>
      <c r="F982" s="55"/>
      <c r="G982" s="56"/>
      <c r="H982" s="57"/>
      <c r="I982" s="57"/>
      <c r="J982" s="19"/>
      <c r="K982" s="19"/>
      <c r="L982" s="19"/>
      <c r="M982" s="19"/>
      <c r="N982" s="19"/>
      <c r="O982" s="59"/>
      <c r="P982" s="7"/>
      <c r="Q982" s="55"/>
      <c r="R982" s="55"/>
      <c r="S982" s="7"/>
      <c r="T982" s="55"/>
      <c r="U982" s="7"/>
      <c r="V982" s="55"/>
      <c r="W982" s="60"/>
      <c r="X982" s="55"/>
    </row>
    <row r="983" spans="1:24" ht="13" x14ac:dyDescent="0.15">
      <c r="A983" s="26"/>
      <c r="C983" s="69"/>
      <c r="F983" s="55"/>
      <c r="G983" s="56"/>
      <c r="H983" s="57"/>
      <c r="I983" s="57"/>
      <c r="J983" s="19"/>
      <c r="K983" s="19"/>
      <c r="L983" s="19"/>
      <c r="M983" s="19"/>
      <c r="N983" s="19"/>
      <c r="O983" s="59"/>
      <c r="P983" s="7"/>
      <c r="Q983" s="55"/>
      <c r="R983" s="55"/>
      <c r="S983" s="7"/>
      <c r="T983" s="55"/>
      <c r="U983" s="7"/>
      <c r="V983" s="55"/>
      <c r="W983" s="60"/>
      <c r="X983" s="55"/>
    </row>
    <row r="984" spans="1:24" ht="13" x14ac:dyDescent="0.15">
      <c r="A984" s="26"/>
      <c r="C984" s="69"/>
      <c r="F984" s="55"/>
      <c r="G984" s="56"/>
      <c r="H984" s="57"/>
      <c r="I984" s="57"/>
      <c r="J984" s="19"/>
      <c r="K984" s="19"/>
      <c r="L984" s="19"/>
      <c r="M984" s="19"/>
      <c r="N984" s="19"/>
      <c r="O984" s="59"/>
      <c r="P984" s="7"/>
      <c r="Q984" s="55"/>
      <c r="R984" s="55"/>
      <c r="S984" s="7"/>
      <c r="T984" s="55"/>
      <c r="U984" s="7"/>
      <c r="V984" s="55"/>
      <c r="W984" s="60"/>
      <c r="X984" s="55"/>
    </row>
    <row r="985" spans="1:24" ht="13" x14ac:dyDescent="0.15">
      <c r="A985" s="26"/>
      <c r="C985" s="69"/>
      <c r="F985" s="55"/>
      <c r="G985" s="56"/>
      <c r="H985" s="57"/>
      <c r="I985" s="57"/>
      <c r="J985" s="19"/>
      <c r="K985" s="19"/>
      <c r="L985" s="19"/>
      <c r="M985" s="19"/>
      <c r="N985" s="19"/>
      <c r="O985" s="59"/>
      <c r="P985" s="7"/>
      <c r="Q985" s="55"/>
      <c r="R985" s="55"/>
      <c r="S985" s="7"/>
      <c r="T985" s="55"/>
      <c r="U985" s="7"/>
      <c r="V985" s="55"/>
      <c r="W985" s="60"/>
      <c r="X985" s="55"/>
    </row>
    <row r="986" spans="1:24" ht="13" x14ac:dyDescent="0.15">
      <c r="A986" s="26"/>
      <c r="C986" s="69"/>
      <c r="F986" s="55"/>
      <c r="G986" s="56"/>
      <c r="H986" s="57"/>
      <c r="I986" s="57"/>
      <c r="J986" s="19"/>
      <c r="K986" s="19"/>
      <c r="L986" s="19"/>
      <c r="M986" s="19"/>
      <c r="N986" s="19"/>
      <c r="O986" s="59"/>
      <c r="P986" s="7"/>
      <c r="Q986" s="55"/>
      <c r="R986" s="55"/>
      <c r="S986" s="7"/>
      <c r="T986" s="55"/>
      <c r="U986" s="7"/>
      <c r="V986" s="55"/>
      <c r="W986" s="60"/>
      <c r="X986" s="55"/>
    </row>
    <row r="987" spans="1:24" ht="13" x14ac:dyDescent="0.15">
      <c r="A987" s="26"/>
      <c r="C987" s="69"/>
      <c r="F987" s="55"/>
      <c r="G987" s="56"/>
      <c r="H987" s="57"/>
      <c r="I987" s="57"/>
      <c r="J987" s="19"/>
      <c r="K987" s="19"/>
      <c r="L987" s="19"/>
      <c r="M987" s="19"/>
      <c r="N987" s="19"/>
      <c r="O987" s="59"/>
      <c r="P987" s="7"/>
      <c r="Q987" s="55"/>
      <c r="R987" s="55"/>
      <c r="S987" s="7"/>
      <c r="T987" s="55"/>
      <c r="U987" s="7"/>
      <c r="V987" s="55"/>
      <c r="W987" s="60"/>
      <c r="X987" s="55"/>
    </row>
    <row r="988" spans="1:24" ht="13" x14ac:dyDescent="0.15">
      <c r="A988" s="26"/>
      <c r="C988" s="69"/>
      <c r="F988" s="55"/>
      <c r="G988" s="56"/>
      <c r="H988" s="57"/>
      <c r="I988" s="57"/>
      <c r="J988" s="19"/>
      <c r="K988" s="19"/>
      <c r="L988" s="19"/>
      <c r="M988" s="19"/>
      <c r="N988" s="19"/>
      <c r="O988" s="59"/>
      <c r="P988" s="7"/>
      <c r="Q988" s="55"/>
      <c r="R988" s="55"/>
      <c r="S988" s="7"/>
      <c r="T988" s="55"/>
      <c r="U988" s="7"/>
      <c r="V988" s="55"/>
      <c r="W988" s="60"/>
      <c r="X988" s="55"/>
    </row>
    <row r="989" spans="1:24" ht="13" x14ac:dyDescent="0.15">
      <c r="A989" s="26"/>
      <c r="C989" s="69"/>
      <c r="F989" s="55"/>
      <c r="G989" s="56"/>
      <c r="H989" s="57"/>
      <c r="I989" s="57"/>
      <c r="J989" s="19"/>
      <c r="K989" s="19"/>
      <c r="L989" s="19"/>
      <c r="M989" s="19"/>
      <c r="N989" s="19"/>
      <c r="O989" s="59"/>
      <c r="P989" s="7"/>
      <c r="Q989" s="55"/>
      <c r="R989" s="55"/>
      <c r="S989" s="7"/>
      <c r="T989" s="55"/>
      <c r="U989" s="7"/>
      <c r="V989" s="55"/>
      <c r="W989" s="60"/>
      <c r="X989" s="55"/>
    </row>
    <row r="990" spans="1:24" ht="13" x14ac:dyDescent="0.15">
      <c r="A990" s="26"/>
      <c r="C990" s="69"/>
      <c r="F990" s="55"/>
      <c r="G990" s="56"/>
      <c r="H990" s="57"/>
      <c r="I990" s="57"/>
      <c r="J990" s="19"/>
      <c r="K990" s="19"/>
      <c r="L990" s="19"/>
      <c r="M990" s="19"/>
      <c r="N990" s="19"/>
      <c r="O990" s="59"/>
      <c r="P990" s="7"/>
      <c r="Q990" s="55"/>
      <c r="R990" s="55"/>
      <c r="S990" s="7"/>
      <c r="T990" s="55"/>
      <c r="U990" s="7"/>
      <c r="V990" s="55"/>
      <c r="W990" s="60"/>
      <c r="X990" s="55"/>
    </row>
    <row r="991" spans="1:24" ht="13" x14ac:dyDescent="0.15">
      <c r="A991" s="26"/>
      <c r="C991" s="69"/>
      <c r="F991" s="55"/>
      <c r="G991" s="56"/>
      <c r="H991" s="57"/>
      <c r="I991" s="57"/>
      <c r="J991" s="19"/>
      <c r="K991" s="19"/>
      <c r="L991" s="19"/>
      <c r="M991" s="19"/>
      <c r="N991" s="19"/>
      <c r="O991" s="59"/>
      <c r="P991" s="7"/>
      <c r="Q991" s="55"/>
      <c r="R991" s="55"/>
      <c r="S991" s="7"/>
      <c r="T991" s="55"/>
      <c r="U991" s="7"/>
      <c r="V991" s="55"/>
      <c r="W991" s="60"/>
      <c r="X991" s="55"/>
    </row>
    <row r="992" spans="1:24" ht="13" x14ac:dyDescent="0.15">
      <c r="A992" s="26"/>
      <c r="C992" s="69"/>
      <c r="F992" s="55"/>
      <c r="G992" s="56"/>
      <c r="H992" s="57"/>
      <c r="I992" s="57"/>
      <c r="J992" s="19"/>
      <c r="K992" s="19"/>
      <c r="L992" s="19"/>
      <c r="M992" s="19"/>
      <c r="N992" s="19"/>
      <c r="O992" s="59"/>
      <c r="P992" s="7"/>
      <c r="Q992" s="55"/>
      <c r="R992" s="55"/>
      <c r="S992" s="7"/>
      <c r="T992" s="55"/>
      <c r="U992" s="7"/>
      <c r="V992" s="55"/>
      <c r="W992" s="60"/>
      <c r="X992" s="55"/>
    </row>
    <row r="993" spans="1:24" ht="13" x14ac:dyDescent="0.15">
      <c r="A993" s="26"/>
      <c r="C993" s="69"/>
      <c r="F993" s="55"/>
      <c r="G993" s="56"/>
      <c r="H993" s="57"/>
      <c r="I993" s="57"/>
      <c r="J993" s="19"/>
      <c r="K993" s="19"/>
      <c r="L993" s="19"/>
      <c r="M993" s="19"/>
      <c r="N993" s="19"/>
      <c r="O993" s="59"/>
      <c r="P993" s="7"/>
      <c r="Q993" s="55"/>
      <c r="R993" s="55"/>
      <c r="S993" s="7"/>
      <c r="T993" s="55"/>
      <c r="U993" s="7"/>
      <c r="V993" s="55"/>
      <c r="W993" s="60"/>
      <c r="X993" s="55"/>
    </row>
    <row r="994" spans="1:24" ht="13" x14ac:dyDescent="0.15">
      <c r="A994" s="26"/>
      <c r="C994" s="69"/>
      <c r="F994" s="55"/>
      <c r="G994" s="56"/>
      <c r="H994" s="57"/>
      <c r="I994" s="57"/>
      <c r="J994" s="19"/>
      <c r="K994" s="19"/>
      <c r="L994" s="19"/>
      <c r="M994" s="19"/>
      <c r="N994" s="19"/>
      <c r="O994" s="59"/>
      <c r="P994" s="7"/>
      <c r="Q994" s="55"/>
      <c r="R994" s="55"/>
      <c r="S994" s="7"/>
      <c r="T994" s="55"/>
      <c r="U994" s="7"/>
      <c r="V994" s="55"/>
      <c r="W994" s="60"/>
      <c r="X994" s="55"/>
    </row>
    <row r="995" spans="1:24" ht="13" x14ac:dyDescent="0.15">
      <c r="A995" s="26"/>
      <c r="C995" s="69"/>
      <c r="F995" s="55"/>
      <c r="G995" s="56"/>
      <c r="H995" s="57"/>
      <c r="I995" s="57"/>
      <c r="J995" s="19"/>
      <c r="K995" s="19"/>
      <c r="L995" s="19"/>
      <c r="M995" s="19"/>
      <c r="N995" s="19"/>
      <c r="O995" s="59"/>
      <c r="P995" s="7"/>
      <c r="Q995" s="55"/>
      <c r="R995" s="55"/>
      <c r="S995" s="7"/>
      <c r="T995" s="55"/>
      <c r="U995" s="7"/>
      <c r="V995" s="55"/>
      <c r="W995" s="60"/>
      <c r="X995" s="55"/>
    </row>
    <row r="996" spans="1:24" ht="13" x14ac:dyDescent="0.15">
      <c r="A996" s="26"/>
      <c r="C996" s="69"/>
      <c r="F996" s="55"/>
      <c r="G996" s="56"/>
      <c r="H996" s="57"/>
      <c r="I996" s="57"/>
      <c r="J996" s="19"/>
      <c r="K996" s="19"/>
      <c r="L996" s="19"/>
      <c r="M996" s="19"/>
      <c r="N996" s="19"/>
      <c r="O996" s="59"/>
      <c r="P996" s="7"/>
      <c r="Q996" s="55"/>
      <c r="R996" s="55"/>
      <c r="S996" s="7"/>
      <c r="T996" s="55"/>
      <c r="U996" s="7"/>
      <c r="V996" s="55"/>
      <c r="W996" s="60"/>
      <c r="X996" s="55"/>
    </row>
    <row r="997" spans="1:24" ht="13" x14ac:dyDescent="0.15">
      <c r="A997" s="26"/>
      <c r="C997" s="69"/>
      <c r="F997" s="55"/>
      <c r="G997" s="56"/>
      <c r="H997" s="57"/>
      <c r="I997" s="57"/>
      <c r="J997" s="19"/>
      <c r="K997" s="19"/>
      <c r="L997" s="19"/>
      <c r="M997" s="19"/>
      <c r="N997" s="19"/>
      <c r="O997" s="59"/>
      <c r="P997" s="7"/>
      <c r="Q997" s="55"/>
      <c r="R997" s="55"/>
      <c r="S997" s="7"/>
      <c r="T997" s="55"/>
      <c r="U997" s="7"/>
      <c r="V997" s="55"/>
      <c r="W997" s="60"/>
      <c r="X997" s="55"/>
    </row>
    <row r="998" spans="1:24" ht="13" x14ac:dyDescent="0.15">
      <c r="A998" s="26"/>
      <c r="C998" s="69"/>
      <c r="F998" s="55"/>
      <c r="G998" s="56"/>
      <c r="H998" s="57"/>
      <c r="I998" s="57"/>
      <c r="J998" s="19"/>
      <c r="K998" s="19"/>
      <c r="L998" s="19"/>
      <c r="M998" s="19"/>
      <c r="N998" s="19"/>
      <c r="O998" s="59"/>
      <c r="P998" s="7"/>
      <c r="Q998" s="55"/>
      <c r="R998" s="55"/>
      <c r="S998" s="7"/>
      <c r="T998" s="55"/>
      <c r="U998" s="7"/>
      <c r="V998" s="55"/>
      <c r="W998" s="60"/>
      <c r="X998" s="55"/>
    </row>
    <row r="999" spans="1:24" ht="13" x14ac:dyDescent="0.15">
      <c r="A999" s="26"/>
      <c r="C999" s="69"/>
      <c r="F999" s="55"/>
      <c r="G999" s="56"/>
      <c r="H999" s="57"/>
      <c r="I999" s="57"/>
      <c r="J999" s="19"/>
      <c r="K999" s="19"/>
      <c r="L999" s="19"/>
      <c r="M999" s="19"/>
      <c r="N999" s="19"/>
      <c r="O999" s="59"/>
      <c r="P999" s="7"/>
      <c r="Q999" s="55"/>
      <c r="R999" s="55"/>
      <c r="S999" s="7"/>
      <c r="T999" s="55"/>
      <c r="U999" s="7"/>
      <c r="V999" s="55"/>
      <c r="W999" s="60"/>
      <c r="X999" s="55"/>
    </row>
    <row r="1000" spans="1:24" ht="13" x14ac:dyDescent="0.15">
      <c r="A1000" s="26"/>
      <c r="C1000" s="69"/>
      <c r="F1000" s="55"/>
      <c r="G1000" s="56"/>
      <c r="H1000" s="57"/>
      <c r="I1000" s="57"/>
      <c r="J1000" s="19"/>
      <c r="K1000" s="19"/>
      <c r="L1000" s="19"/>
      <c r="M1000" s="19"/>
      <c r="N1000" s="19"/>
      <c r="O1000" s="59"/>
      <c r="P1000" s="7"/>
      <c r="Q1000" s="55"/>
      <c r="R1000" s="55"/>
      <c r="S1000" s="7"/>
      <c r="T1000" s="55"/>
      <c r="U1000" s="7"/>
      <c r="V1000" s="55"/>
      <c r="W1000" s="60"/>
      <c r="X1000" s="55"/>
    </row>
    <row r="1001" spans="1:24" ht="13" x14ac:dyDescent="0.15">
      <c r="A1001" s="26"/>
      <c r="C1001" s="69"/>
      <c r="F1001" s="55"/>
      <c r="G1001" s="56"/>
      <c r="H1001" s="57"/>
      <c r="I1001" s="57"/>
      <c r="J1001" s="19"/>
      <c r="K1001" s="19"/>
      <c r="L1001" s="19"/>
      <c r="M1001" s="19"/>
      <c r="N1001" s="19"/>
      <c r="O1001" s="59"/>
      <c r="P1001" s="7"/>
      <c r="Q1001" s="55"/>
      <c r="R1001" s="55"/>
      <c r="S1001" s="7"/>
      <c r="T1001" s="55"/>
      <c r="U1001" s="7"/>
      <c r="V1001" s="55"/>
      <c r="W1001" s="60"/>
      <c r="X1001" s="55"/>
    </row>
    <row r="1002" spans="1:24" ht="13" x14ac:dyDescent="0.15">
      <c r="A1002" s="26"/>
      <c r="C1002" s="69"/>
      <c r="F1002" s="55"/>
      <c r="G1002" s="56"/>
      <c r="H1002" s="57"/>
      <c r="I1002" s="57"/>
      <c r="J1002" s="19"/>
      <c r="K1002" s="19"/>
      <c r="L1002" s="19"/>
      <c r="M1002" s="19"/>
      <c r="N1002" s="19"/>
      <c r="O1002" s="59"/>
      <c r="P1002" s="7"/>
      <c r="Q1002" s="55"/>
      <c r="R1002" s="55"/>
      <c r="S1002" s="7"/>
      <c r="T1002" s="55"/>
      <c r="U1002" s="7"/>
      <c r="V1002" s="55"/>
      <c r="W1002" s="60"/>
      <c r="X1002" s="55"/>
    </row>
  </sheetData>
  <conditionalFormatting sqref="A6:A1000">
    <cfRule type="containsText" dxfId="2" priority="1" operator="containsText" text=" Total">
      <formula>NOT(ISERROR(SEARCH((" Total"),(A6))))</formula>
    </cfRule>
  </conditionalFormatting>
  <hyperlinks>
    <hyperlink ref="J7" r:id="rId1" display="https://finance.yahoo.com/quote/AAPL/?p=AAPL" xr:uid="{00000000-0004-0000-0200-000000000000}"/>
    <hyperlink ref="J8" r:id="rId2" display="https://finance.yahoo.com/quote/TSLA/?p=TSLA" xr:uid="{00000000-0004-0000-0200-000001000000}"/>
    <hyperlink ref="J9" r:id="rId3" display="https://finance.yahoo.com/quote/TSLA/?p=TSLA" xr:uid="{00000000-0004-0000-0200-000002000000}"/>
    <hyperlink ref="J10" r:id="rId4" display="https://finance.yahoo.com/quote/GC=F/?p=GC=F" xr:uid="{00000000-0004-0000-0200-000003000000}"/>
    <hyperlink ref="J11" r:id="rId5" display="https://finance.yahoo.com/quote/CL=F/?p=CL=F" xr:uid="{00000000-0004-0000-0200-000004000000}"/>
    <hyperlink ref="J12" r:id="rId6" display="https://finance.yahoo.com/quote/SI=F/?p=SI=F" xr:uid="{00000000-0004-0000-0200-000005000000}"/>
    <hyperlink ref="J13" r:id="rId7" display="https://finance.yahoo.com/quote/AAPL/?p=AAPL" xr:uid="{00000000-0004-0000-0200-000006000000}"/>
    <hyperlink ref="J14" r:id="rId8" display="https://finance.yahoo.com/quote/ABBV/?p=ABBV" xr:uid="{00000000-0004-0000-0200-000007000000}"/>
    <hyperlink ref="J15" r:id="rId9" display="https://finance.yahoo.com/quote/AMZN/?p=AMZN" xr:uid="{00000000-0004-0000-0200-000008000000}"/>
    <hyperlink ref="J16" r:id="rId10" display="https://finance.yahoo.com/quote/MSFT/?p=MSFT" xr:uid="{00000000-0004-0000-0200-000009000000}"/>
    <hyperlink ref="J17" r:id="rId11" display="https://finance.yahoo.com/quote/OXY/?p=OXY" xr:uid="{00000000-0004-0000-0200-00000A000000}"/>
    <hyperlink ref="J18" r:id="rId12" display="https://finance.yahoo.com/quote/%5ECMC200/?p=%5ECMC200" xr:uid="{00000000-0004-0000-0200-00000B000000}"/>
    <hyperlink ref="J19" r:id="rId13" display="https://finance.yahoo.com/quote/%5EN225/?p=%5EN225" xr:uid="{00000000-0004-0000-0200-00000C000000}"/>
    <hyperlink ref="D20" r:id="rId14" display="http://0700.hk/" xr:uid="{00000000-0004-0000-0200-00000D000000}"/>
    <hyperlink ref="J20" r:id="rId15" display="https://finance.yahoo.com/quote/0700.HK/?p=0700.HK" xr:uid="{00000000-0004-0000-0200-00000E000000}"/>
    <hyperlink ref="J21" r:id="rId16" display="https://finance.yahoo.com/quote/AMC/?p=AMC" xr:uid="{00000000-0004-0000-0200-00000F000000}"/>
    <hyperlink ref="J22" r:id="rId17" display="https://finance.yahoo.com/quote/BA/?p=BA" xr:uid="{00000000-0004-0000-0200-000010000000}"/>
    <hyperlink ref="J23" r:id="rId18" display="https://finance.yahoo.com/quote/CL=F/?p=CL=F" xr:uid="{00000000-0004-0000-0200-000011000000}"/>
    <hyperlink ref="J24" r:id="rId19" display="https://finance.yahoo.com/quote/DIDI/?p=DIDI" xr:uid="{00000000-0004-0000-0200-000012000000}"/>
    <hyperlink ref="J25" r:id="rId20" display="https://finance.yahoo.com/quote/F/?p=F" xr:uid="{00000000-0004-0000-0200-000013000000}"/>
    <hyperlink ref="J26" r:id="rId21" display="https://finance.yahoo.com/quote/FB/?p=FB" xr:uid="{00000000-0004-0000-0200-000014000000}"/>
    <hyperlink ref="J27" r:id="rId22" display="https://finance.yahoo.com/quote/GOOG/?p=GOOG" xr:uid="{00000000-0004-0000-0200-000015000000}"/>
    <hyperlink ref="J28" r:id="rId23" display="https://finance.yahoo.com/quote/LUNA1-USD/?p=LUNA1-USD" xr:uid="{00000000-0004-0000-0200-000016000000}"/>
    <hyperlink ref="J29" r:id="rId24" display="https://finance.yahoo.com/quote/MMM/?p=MMM" xr:uid="{00000000-0004-0000-0200-000017000000}"/>
    <hyperlink ref="J30" r:id="rId25" display="https://finance.yahoo.com/quote/MSFT/?p=MSFT" xr:uid="{00000000-0004-0000-0200-000018000000}"/>
    <hyperlink ref="J31" r:id="rId26" display="https://finance.yahoo.com/quote/NFLX/?p=NFLX" xr:uid="{00000000-0004-0000-0200-000019000000}"/>
    <hyperlink ref="J32" r:id="rId27" display="https://finance.yahoo.com/quote/NKE/?p=NKE" xr:uid="{00000000-0004-0000-0200-00001A000000}"/>
    <hyperlink ref="J33" r:id="rId28" display="https://finance.yahoo.com/quote/NVDA/?p=NVDA" xr:uid="{00000000-0004-0000-0200-00001B000000}"/>
    <hyperlink ref="J34" r:id="rId29" display="https://finance.yahoo.com/quote/PFE/?p=PFE" xr:uid="{00000000-0004-0000-0200-00001C000000}"/>
    <hyperlink ref="J35" r:id="rId30" display="https://finance.yahoo.com/quote/SHOP/?p=SHOP" xr:uid="{00000000-0004-0000-0200-00001D000000}"/>
    <hyperlink ref="J36" r:id="rId31" display="https://finance.yahoo.com/quote/TSLA/?p=TSLA" xr:uid="{00000000-0004-0000-0200-00001E000000}"/>
    <hyperlink ref="J37" r:id="rId32" display="https://finance.yahoo.com/quote/BA/?p=BA" xr:uid="{00000000-0004-0000-0200-00001F000000}"/>
    <hyperlink ref="J38" r:id="rId33" display="https://finance.yahoo.com/quote/BRK-B/?p=BRK-B" xr:uid="{00000000-0004-0000-0200-000020000000}"/>
    <hyperlink ref="J39" r:id="rId34" display="https://finance.yahoo.com/quote/F/?p=F" xr:uid="{00000000-0004-0000-0200-000021000000}"/>
    <hyperlink ref="J40" r:id="rId35" display="https://finance.yahoo.com/quote/FB/?p=FB" xr:uid="{00000000-0004-0000-0200-000022000000}"/>
    <hyperlink ref="J41" r:id="rId36" display="https://finance.yahoo.com/quote/GOOG/?p=GOOG" xr:uid="{00000000-0004-0000-0200-000023000000}"/>
    <hyperlink ref="J42" r:id="rId37" display="https://finance.yahoo.com/quote/MSFT/?p=MSFT" xr:uid="{00000000-0004-0000-0200-000024000000}"/>
    <hyperlink ref="J43" r:id="rId38" display="https://finance.yahoo.com/quote/OXY/?p=OXY" xr:uid="{00000000-0004-0000-0200-000025000000}"/>
    <hyperlink ref="J44" r:id="rId39" display="https://finance.yahoo.com/quote/PFE/?p=PFE" xr:uid="{00000000-0004-0000-0200-000026000000}"/>
    <hyperlink ref="J45" r:id="rId40" display="https://finance.yahoo.com/quote/TSLA/?p=TSLA" xr:uid="{00000000-0004-0000-0200-000027000000}"/>
    <hyperlink ref="J54" r:id="rId41" display="https://finance.yahoo.com/quote/005930.KS/?p=005930.KS" xr:uid="{00000000-0004-0000-0200-000028000000}"/>
    <hyperlink ref="J55" r:id="rId42" display="https://finance.yahoo.com/quote/XLK/?p=XLK" xr:uid="{00000000-0004-0000-0200-000029000000}"/>
    <hyperlink ref="J56" r:id="rId43" display="https://finance.yahoo.com/quote/XLK/?p=XLK" xr:uid="{00000000-0004-0000-0200-00002A000000}"/>
    <hyperlink ref="J57" r:id="rId44" display="https://finance.yahoo.com/quote/XLB/?p=XLB" xr:uid="{00000000-0004-0000-0200-00002B000000}"/>
    <hyperlink ref="J58" r:id="rId45" display="https://finance.yahoo.com/quote/XLC/?p=XLC" xr:uid="{00000000-0004-0000-0200-00002C000000}"/>
    <hyperlink ref="J59" r:id="rId46" display="https://finance.yahoo.com/quote/XLE/?p=XLE" xr:uid="{00000000-0004-0000-0200-00002D000000}"/>
    <hyperlink ref="J60" r:id="rId47" display="https://finance.yahoo.com/quote/XLF/?p=XLF" xr:uid="{00000000-0004-0000-0200-00002E000000}"/>
    <hyperlink ref="J61" r:id="rId48" display="https://finance.yahoo.com/quote/XLI/?p=XLI" xr:uid="{00000000-0004-0000-0200-00002F000000}"/>
    <hyperlink ref="J62" r:id="rId49" display="https://finance.yahoo.com/quote/XLK/?p=XLK" xr:uid="{00000000-0004-0000-0200-000030000000}"/>
    <hyperlink ref="J63" r:id="rId50" display="https://finance.yahoo.com/quote/XLP/?p=XLP" xr:uid="{00000000-0004-0000-0200-000031000000}"/>
    <hyperlink ref="J64" r:id="rId51" display="https://finance.yahoo.com/quote/XLRE/?p=XLRE" xr:uid="{00000000-0004-0000-0200-000032000000}"/>
    <hyperlink ref="J65" r:id="rId52" display="https://finance.yahoo.com/quote/XLU/?p=XLU" xr:uid="{00000000-0004-0000-0200-000033000000}"/>
    <hyperlink ref="J66" r:id="rId53" display="https://finance.yahoo.com/quote/XLV/?p=XLV" xr:uid="{00000000-0004-0000-0200-000034000000}"/>
    <hyperlink ref="J67" r:id="rId54" display="https://finance.yahoo.com/quote/XLY/?p=XLY" xr:uid="{00000000-0004-0000-0200-000035000000}"/>
    <hyperlink ref="J70" r:id="rId55" display="https://finance.yahoo.com/quote/TSLA/?p=TSLA" xr:uid="{00000000-0004-0000-0200-000036000000}"/>
    <hyperlink ref="J71" r:id="rId56" display="https://finance.yahoo.com/quote/TSLA/?p=TSLA" xr:uid="{00000000-0004-0000-0200-000037000000}"/>
    <hyperlink ref="J72" r:id="rId57" display="https://finance.yahoo.com/quote/ANPDY/?p=ANPDY" xr:uid="{00000000-0004-0000-0200-000038000000}"/>
    <hyperlink ref="J73" r:id="rId58" display="https://finance.yahoo.com/quote/GOLD/?p=GOLD" xr:uid="{00000000-0004-0000-0200-000039000000}"/>
    <hyperlink ref="J74" r:id="rId59" display="https://finance.yahoo.com/quote/GOLD/?p=GOLD" xr:uid="{00000000-0004-0000-0200-00003A000000}"/>
    <hyperlink ref="J75" r:id="rId60" display="https://finance.yahoo.com/quote/TSLA/?p=TSLA" xr:uid="{00000000-0004-0000-0200-00003B000000}"/>
    <hyperlink ref="J76" r:id="rId61" display="https://finance.yahoo.com/quote/ANPDY/?p=ANPDY" xr:uid="{00000000-0004-0000-0200-00003C000000}"/>
    <hyperlink ref="J77" r:id="rId62" display="https://finance.yahoo.com/quote/TSLA/?p=TSLA" xr:uid="{00000000-0004-0000-0200-00003D000000}"/>
    <hyperlink ref="J86" r:id="rId63" display="https://finance.yahoo.com/quote/VYGLX/?p=VYGLX" xr:uid="{00000000-0004-0000-0200-00003E000000}"/>
    <hyperlink ref="J88" r:id="rId64" display="https://www.bondsupermart.com/bsm/general-search/US023135AN60" xr:uid="{00000000-0004-0000-0200-00003F000000}"/>
    <hyperlink ref="J89" r:id="rId65" display="https://finance.yahoo.com/quote/AAPL/?p=AAPL" xr:uid="{00000000-0004-0000-0200-000040000000}"/>
    <hyperlink ref="J90" r:id="rId66" display="https://finance.yahoo.com/quote/WMT/?p=WMT" xr:uid="{00000000-0004-0000-0200-000041000000}"/>
    <hyperlink ref="J91" r:id="rId67" display="https://finance.yahoo.com/quote/WMT/?p=WMT" xr:uid="{00000000-0004-0000-0200-000042000000}"/>
    <hyperlink ref="J92" r:id="rId68" display="https://finance.yahoo.com/quote/AAPL/?p=AAPL" xr:uid="{00000000-0004-0000-0200-000043000000}"/>
    <hyperlink ref="J101" r:id="rId69" display="https://finance.yahoo.com/quote/ATVI/?p=ATVI" xr:uid="{00000000-0004-0000-0200-000044000000}"/>
    <hyperlink ref="J102" r:id="rId70" display="https://finance.yahoo.com/quote/NVDA/?p=NVDA" xr:uid="{00000000-0004-0000-0200-000045000000}"/>
    <hyperlink ref="J103" r:id="rId71" display="https://finance.yahoo.com/quote/SONY/?p=SONY" xr:uid="{00000000-0004-0000-0200-000046000000}"/>
    <hyperlink ref="J104" r:id="rId72" display="https://finance.yahoo.com/quote/tcehy/?p=tcehy" xr:uid="{00000000-0004-0000-0200-000047000000}"/>
    <hyperlink ref="D109" r:id="rId73" display="http://2318.hk/" xr:uid="{00000000-0004-0000-0200-000048000000}"/>
    <hyperlink ref="J109" r:id="rId74" display="https://finance.yahoo.com/quote/2318.hk/?p=2318.hk" xr:uid="{00000000-0004-0000-0200-000049000000}"/>
    <hyperlink ref="D110" r:id="rId75" display="http://0346.hk/" xr:uid="{00000000-0004-0000-0200-00004A000000}"/>
    <hyperlink ref="J110" r:id="rId76" display="https://finance.yahoo.com/quote/0346.hk/?p=0346.hk" xr:uid="{00000000-0004-0000-0200-00004B000000}"/>
    <hyperlink ref="D111" r:id="rId77" display="http://2607.hk/" xr:uid="{00000000-0004-0000-0200-00004C000000}"/>
    <hyperlink ref="J111" r:id="rId78" display="https://finance.yahoo.com/quote/2607.hk/?p=2607.hk" xr:uid="{00000000-0004-0000-0200-00004D000000}"/>
    <hyperlink ref="D114" r:id="rId79" display="http://0700.hk/" xr:uid="{00000000-0004-0000-0200-00004E000000}"/>
    <hyperlink ref="J114" r:id="rId80" display="https://finance.yahoo.com/quote/0700.HK/?p=0700.HK" xr:uid="{00000000-0004-0000-0200-00004F000000}"/>
    <hyperlink ref="J115" r:id="rId81" display="https://finance.yahoo.com/quote/CL=F/?p=CL=F" xr:uid="{00000000-0004-0000-0200-000050000000}"/>
    <hyperlink ref="J116" r:id="rId82" display="https://finance.yahoo.com/quote/TSLA/?p=TSLA" xr:uid="{00000000-0004-0000-0200-000051000000}"/>
    <hyperlink ref="J117" r:id="rId83" display="https://finance.yahoo.com/quote/TSLA/?p=TSLA" xr:uid="{00000000-0004-0000-0200-000052000000}"/>
    <hyperlink ref="J122" r:id="rId84" display="https://finance.yahoo.com/quote/FB/?p=FB" xr:uid="{00000000-0004-0000-0200-000053000000}"/>
    <hyperlink ref="J123" r:id="rId85" display="https://finance.yahoo.com/quote/BMBL/?p=BMBL" xr:uid="{00000000-0004-0000-0200-000054000000}"/>
    <hyperlink ref="J124" r:id="rId86" display="https://finance.yahoo.com/quote/FB/?p=FB" xr:uid="{00000000-0004-0000-0200-000055000000}"/>
    <hyperlink ref="J125" r:id="rId87" display="https://finance.yahoo.com/quote/NUSI/?p=NUSI" xr:uid="{00000000-0004-0000-0200-000056000000}"/>
    <hyperlink ref="D126" r:id="rId88" display="http://0388.hk/" xr:uid="{00000000-0004-0000-0200-000057000000}"/>
    <hyperlink ref="J126" r:id="rId89" display="https://finance.yahoo.com/quote/0388.HK/?p=0388.HK" xr:uid="{00000000-0004-0000-0200-000058000000}"/>
    <hyperlink ref="J129" r:id="rId90" display="https://finance.yahoo.com/quote/BNTX/?p=BNTX" xr:uid="{00000000-0004-0000-0200-000059000000}"/>
    <hyperlink ref="J130" r:id="rId91" display="https://finance.yahoo.com/quote/TME/?p=TME" xr:uid="{00000000-0004-0000-0200-00005A000000}"/>
    <hyperlink ref="J131" r:id="rId92" display="https://finance.yahoo.com/quote/BNTX/?p=BNTX" xr:uid="{00000000-0004-0000-0200-00005B000000}"/>
    <hyperlink ref="J132" r:id="rId93" display="https://finance.yahoo.com/quote/CL=F/?p=CL=F" xr:uid="{00000000-0004-0000-0200-00005C000000}"/>
    <hyperlink ref="J133" r:id="rId94" display="https://finance.yahoo.com/quote/DVN/?p=DVN" xr:uid="{00000000-0004-0000-0200-00005D000000}"/>
    <hyperlink ref="J136" r:id="rId95" display="https://finance.yahoo.com/quote/TSLA/?p=TSLA" xr:uid="{00000000-0004-0000-0200-00005E000000}"/>
    <hyperlink ref="J137" r:id="rId96" display="https://finance.yahoo.com/quote/TSLA/?p=TSLA" xr:uid="{00000000-0004-0000-0200-00005F000000}"/>
    <hyperlink ref="J138" r:id="rId97" display="https://finance.yahoo.com/quote/ANPDY/?p=ANPDY" xr:uid="{00000000-0004-0000-0200-000060000000}"/>
    <hyperlink ref="J139" r:id="rId98" display="https://finance.yahoo.com/quote/GOLD/?p=GOLD" xr:uid="{00000000-0004-0000-0200-000061000000}"/>
    <hyperlink ref="J140" r:id="rId99" display="https://finance.yahoo.com/quote/GOLD/?p=GOLD" xr:uid="{00000000-0004-0000-0200-000062000000}"/>
    <hyperlink ref="J141" r:id="rId100" display="https://finance.yahoo.com/quote/TSLA/?p=TSLA" xr:uid="{00000000-0004-0000-0200-000063000000}"/>
    <hyperlink ref="J142" r:id="rId101" display="https://finance.yahoo.com/quote/ANPDY/?p=ANPDY" xr:uid="{00000000-0004-0000-0200-000064000000}"/>
    <hyperlink ref="J143" r:id="rId102" display="https://finance.yahoo.com/quote/TSLA/?p=TSLA" xr:uid="{00000000-0004-0000-0200-000065000000}"/>
    <hyperlink ref="D148" r:id="rId103" display="http://1109.hk/" xr:uid="{00000000-0004-0000-0200-000066000000}"/>
    <hyperlink ref="J148" r:id="rId104" display="https://finance.yahoo.com/quote/1109.HK/?p=1109.HK" xr:uid="{00000000-0004-0000-0200-000067000000}"/>
    <hyperlink ref="D149" r:id="rId105" display="http://1109.hk/" xr:uid="{00000000-0004-0000-0200-000068000000}"/>
    <hyperlink ref="J149" r:id="rId106" display="https://finance.yahoo.com/quote/1109.HK/?p=1109.HK" xr:uid="{00000000-0004-0000-0200-000069000000}"/>
    <hyperlink ref="D152" r:id="rId107" display="http://0700.hk/" xr:uid="{00000000-0004-0000-0200-00006A000000}"/>
    <hyperlink ref="J152" r:id="rId108" display="https://finance.yahoo.com/quote/0700.hk/?p=0700.hk" xr:uid="{00000000-0004-0000-0200-00006B000000}"/>
    <hyperlink ref="J154" r:id="rId109" display="https://finance.yahoo.com/quote/SOFI/?p=SOFI" xr:uid="{00000000-0004-0000-0200-00006C000000}"/>
    <hyperlink ref="J156" r:id="rId110" display="https://finance.yahoo.com/quote/SOFI/?p=SOFI" xr:uid="{00000000-0004-0000-0200-00006D000000}"/>
    <hyperlink ref="D157" r:id="rId111" display="http://9626.hk/" xr:uid="{00000000-0004-0000-0200-00006E000000}"/>
    <hyperlink ref="J157" r:id="rId112" display="https://finance.yahoo.com/quote/9626.HK/?p=9626.HK" xr:uid="{00000000-0004-0000-0200-00006F000000}"/>
    <hyperlink ref="D158" r:id="rId113" display="http://9626.hk/" xr:uid="{00000000-0004-0000-0200-000070000000}"/>
    <hyperlink ref="J158" r:id="rId114" display="https://finance.yahoo.com/quote/9626.HK/?p=9626.HK" xr:uid="{00000000-0004-0000-0200-000071000000}"/>
    <hyperlink ref="D159" r:id="rId115" display="http://9888.hk/" xr:uid="{00000000-0004-0000-0200-000072000000}"/>
    <hyperlink ref="J159" r:id="rId116" display="https://finance.yahoo.com/quote/9888.HK/?p=9888.HK" xr:uid="{00000000-0004-0000-0200-000073000000}"/>
    <hyperlink ref="D160" r:id="rId117" display="http://9988.hk/" xr:uid="{00000000-0004-0000-0200-000074000000}"/>
    <hyperlink ref="J160" r:id="rId118" display="https://finance.yahoo.com/quote/9988.HK/?p=9988.HK" xr:uid="{00000000-0004-0000-0200-000075000000}"/>
    <hyperlink ref="J161" r:id="rId119" display="https://finance.yahoo.com/quote/TSLA/?p=TSLA" xr:uid="{00000000-0004-0000-0200-000076000000}"/>
    <hyperlink ref="J162" r:id="rId120" display="https://finance.yahoo.com/quote/TSLA/?p=TSLA" xr:uid="{00000000-0004-0000-0200-000077000000}"/>
    <hyperlink ref="D173" r:id="rId121" display="http://1810.hk/" xr:uid="{00000000-0004-0000-0200-000078000000}"/>
    <hyperlink ref="J173" r:id="rId122" display="https://finance.yahoo.com/quote/1810.HK/?p=1810.HK" xr:uid="{00000000-0004-0000-0200-000079000000}"/>
    <hyperlink ref="D174" r:id="rId123" display="http://1024.hk/" xr:uid="{00000000-0004-0000-0200-00007A000000}"/>
    <hyperlink ref="J174" r:id="rId124" display="https://finance.yahoo.com/quote/1024.HK/?p=1024.HK" xr:uid="{00000000-0004-0000-0200-00007B000000}"/>
    <hyperlink ref="D175" r:id="rId125" display="http://1810.hk/" xr:uid="{00000000-0004-0000-0200-00007C000000}"/>
    <hyperlink ref="J175" r:id="rId126" display="https://finance.yahoo.com/quote/1810.HK/?p=1810.HK" xr:uid="{00000000-0004-0000-0200-00007D000000}"/>
    <hyperlink ref="D176" r:id="rId127" display="http://9988.hk/" xr:uid="{00000000-0004-0000-0200-00007E000000}"/>
    <hyperlink ref="J176" r:id="rId128" display="https://finance.yahoo.com/quote/9988.HK/?p=9988.HK" xr:uid="{00000000-0004-0000-0200-00007F000000}"/>
    <hyperlink ref="D177" r:id="rId129" display="http://1024.hk/" xr:uid="{00000000-0004-0000-0200-000080000000}"/>
    <hyperlink ref="J177" r:id="rId130" display="https://finance.yahoo.com/quote/1024.HK/?p=1024.HK" xr:uid="{00000000-0004-0000-0200-000081000000}"/>
    <hyperlink ref="D178" r:id="rId131" display="http://1810.hk/" xr:uid="{00000000-0004-0000-0200-000082000000}"/>
    <hyperlink ref="J178" r:id="rId132" display="https://finance.yahoo.com/quote/1810.HK/?p=1810.HK" xr:uid="{00000000-0004-0000-0200-000083000000}"/>
    <hyperlink ref="D179" r:id="rId133" display="http://9988.hk/" xr:uid="{00000000-0004-0000-0200-000084000000}"/>
    <hyperlink ref="J179" r:id="rId134" display="https://finance.yahoo.com/quote/9988.Hk/?p=9988.Hk" xr:uid="{00000000-0004-0000-0200-000085000000}"/>
    <hyperlink ref="D180" r:id="rId135" display="http://1024.hk/" xr:uid="{00000000-0004-0000-0200-000086000000}"/>
    <hyperlink ref="J180" r:id="rId136" display="https://finance.yahoo.com/quote/1024.HK/?p=1024.HK" xr:uid="{00000000-0004-0000-0200-000087000000}"/>
    <hyperlink ref="D181" r:id="rId137" display="http://1810.hk/" xr:uid="{00000000-0004-0000-0200-000088000000}"/>
    <hyperlink ref="J181" r:id="rId138" display="https://finance.yahoo.com/quote/1810.HK/?p=1810.HK" xr:uid="{00000000-0004-0000-0200-000089000000}"/>
    <hyperlink ref="D182" r:id="rId139" display="http://6680.hk/" xr:uid="{00000000-0004-0000-0200-00008A000000}"/>
    <hyperlink ref="J182" r:id="rId140" display="https://finance.yahoo.com/quote/6680.HK/?p=6680.HK" xr:uid="{00000000-0004-0000-0200-00008B000000}"/>
    <hyperlink ref="D183" r:id="rId141" display="http://9988.hk/" xr:uid="{00000000-0004-0000-0200-00008C000000}"/>
    <hyperlink ref="J183" r:id="rId142" display="https://finance.yahoo.com/quote/9988.HK/?p=9988.HK" xr:uid="{00000000-0004-0000-0200-00008D000000}"/>
    <hyperlink ref="D184" r:id="rId143" display="http://1024.hk/" xr:uid="{00000000-0004-0000-0200-00008E000000}"/>
    <hyperlink ref="J184" r:id="rId144" display="https://finance.yahoo.com/quote/1024.HK/?p=1024.HK" xr:uid="{00000000-0004-0000-0200-00008F000000}"/>
    <hyperlink ref="D185" r:id="rId145" display="http://1024.hk/" xr:uid="{00000000-0004-0000-0200-000090000000}"/>
    <hyperlink ref="J185" r:id="rId146" display="https://finance.yahoo.com/quote/1024.HK/?p=1024.HK" xr:uid="{00000000-0004-0000-0200-000091000000}"/>
    <hyperlink ref="D186" r:id="rId147" display="http://6680.hk/" xr:uid="{00000000-0004-0000-0200-000092000000}"/>
    <hyperlink ref="J186" r:id="rId148" display="https://finance.yahoo.com/quote/6680.HK/?p=6680.HK" xr:uid="{00000000-0004-0000-0200-000093000000}"/>
    <hyperlink ref="D187" r:id="rId149" display="http://9988.hk/" xr:uid="{00000000-0004-0000-0200-000094000000}"/>
    <hyperlink ref="J187" r:id="rId150" display="https://finance.yahoo.com/quote/9988.HK/?p=9988.HK" xr:uid="{00000000-0004-0000-0200-000095000000}"/>
    <hyperlink ref="D188" r:id="rId151" display="http://1024.hk/" xr:uid="{00000000-0004-0000-0200-000096000000}"/>
    <hyperlink ref="J188" r:id="rId152" display="https://finance.yahoo.com/quote/1024.HK/?p=1024.HK" xr:uid="{00000000-0004-0000-0200-000097000000}"/>
    <hyperlink ref="D189" r:id="rId153" display="http://9988.hk/" xr:uid="{00000000-0004-0000-0200-000098000000}"/>
    <hyperlink ref="J189" r:id="rId154" display="https://finance.yahoo.com/quote/9988.HK/?p=9988.HK" xr:uid="{00000000-0004-0000-0200-000099000000}"/>
    <hyperlink ref="D190" r:id="rId155" display="http://600519.ss/" xr:uid="{00000000-0004-0000-0200-00009A000000}"/>
    <hyperlink ref="J190" r:id="rId156" display="https://finance.yahoo.com/quote/600519.SS/?p=600519.SS" xr:uid="{00000000-0004-0000-0200-00009B000000}"/>
    <hyperlink ref="D191" r:id="rId157" display="http://6862.hk/" xr:uid="{00000000-0004-0000-0200-00009C000000}"/>
    <hyperlink ref="J191" r:id="rId158" display="https://finance.yahoo.com/quote/6862.HK/?p=6862.HK" xr:uid="{00000000-0004-0000-0200-00009D000000}"/>
    <hyperlink ref="D192" r:id="rId159" display="http://9988.hk/" xr:uid="{00000000-0004-0000-0200-00009E000000}"/>
    <hyperlink ref="J192" r:id="rId160" display="https://finance.yahoo.com/quote/9988.HK/?p=9988.HK" xr:uid="{00000000-0004-0000-0200-00009F000000}"/>
    <hyperlink ref="J193" r:id="rId161" display="https://finance.yahoo.com/quote/XLV/?p=XLV" xr:uid="{00000000-0004-0000-0200-0000A0000000}"/>
    <hyperlink ref="D194" r:id="rId162" display="http://1810.hk/" xr:uid="{00000000-0004-0000-0200-0000A1000000}"/>
    <hyperlink ref="J194" r:id="rId163" display="https://finance.yahoo.com/quote/1810.HK/?p=1810.HK" xr:uid="{00000000-0004-0000-0200-0000A2000000}"/>
    <hyperlink ref="D195" r:id="rId164" display="http://9988.hk/" xr:uid="{00000000-0004-0000-0200-0000A3000000}"/>
    <hyperlink ref="J195" r:id="rId165" display="https://finance.yahoo.com/quote/9988.HK/?p=9988.HK" xr:uid="{00000000-0004-0000-0200-0000A4000000}"/>
    <hyperlink ref="D196" r:id="rId166" display="http://600519.ss/" xr:uid="{00000000-0004-0000-0200-0000A5000000}"/>
    <hyperlink ref="J196" r:id="rId167" display="https://finance.yahoo.com/quote/600519.SS/?p=600519.SS" xr:uid="{00000000-0004-0000-0200-0000A6000000}"/>
    <hyperlink ref="J197" r:id="rId168" display="https://finance.yahoo.com/quote/XLV/?p=XLV" xr:uid="{00000000-0004-0000-0200-0000A7000000}"/>
    <hyperlink ref="J202" r:id="rId169" display="https://finance.yahoo.com/quote/NVAX/?p=NVAX" xr:uid="{00000000-0004-0000-0200-0000A8000000}"/>
    <hyperlink ref="J203" r:id="rId170" display="https://finance.yahoo.com/quote/PFE/?p=PFE" xr:uid="{00000000-0004-0000-0200-0000A9000000}"/>
    <hyperlink ref="D204" r:id="rId171" display="http://603392.ss/" xr:uid="{00000000-0004-0000-0200-0000AA000000}"/>
    <hyperlink ref="J204" r:id="rId172" display="https://finance.yahoo.com/quote/603392.SS/?p=603392.SS" xr:uid="{00000000-0004-0000-0200-0000AB000000}"/>
    <hyperlink ref="D205" r:id="rId173" display="http://603939.ss/" xr:uid="{00000000-0004-0000-0200-0000AC000000}"/>
    <hyperlink ref="J205" r:id="rId174" display="https://finance.yahoo.com/quote/603939.SS/?p=603939.SS" xr:uid="{00000000-0004-0000-0200-0000AD000000}"/>
    <hyperlink ref="J210" r:id="rId175" display="https://finance.yahoo.com/quote/AAPL/?p=AAPL" xr:uid="{00000000-0004-0000-0200-0000AE000000}"/>
    <hyperlink ref="J211" r:id="rId176" display="https://finance.yahoo.com/quote/BZ=F/?p=BZ=F" xr:uid="{00000000-0004-0000-0200-0000AF000000}"/>
    <hyperlink ref="D212" r:id="rId177" display="http://3988.hk/" xr:uid="{00000000-0004-0000-0200-0000B0000000}"/>
    <hyperlink ref="J212" r:id="rId178" display="https://finance.yahoo.com/quote/3988.HK/?p=3988.HK" xr:uid="{00000000-0004-0000-0200-0000B1000000}"/>
    <hyperlink ref="J213" r:id="rId179" display="https://finance.yahoo.com/quote/JPM/?p=JPM" xr:uid="{00000000-0004-0000-0200-0000B2000000}"/>
    <hyperlink ref="J216" r:id="rId180" display="https://finance.yahoo.com/quote/ANTM/?p=ANTM" xr:uid="{00000000-0004-0000-0200-0000B3000000}"/>
    <hyperlink ref="J217" r:id="rId181" display="https://finance.yahoo.com/quote/NKE/?p=NKE" xr:uid="{00000000-0004-0000-0200-0000B4000000}"/>
    <hyperlink ref="J218" r:id="rId182" display="https://finance.yahoo.com/quote/NKE/?p=NKE" xr:uid="{00000000-0004-0000-0200-0000B5000000}"/>
    <hyperlink ref="D221" r:id="rId183" display="http://0700.hk/" xr:uid="{00000000-0004-0000-0200-0000B6000000}"/>
    <hyperlink ref="J221" r:id="rId184" display="https://finance.yahoo.com/quote/0700.HK/?p=0700.HK" xr:uid="{00000000-0004-0000-0200-0000B7000000}"/>
    <hyperlink ref="D222" r:id="rId185" display="http://600519.ss/" xr:uid="{00000000-0004-0000-0200-0000B8000000}"/>
    <hyperlink ref="J222" r:id="rId186" display="https://finance.yahoo.com/quote/600519.SS/?p=600519.SS" xr:uid="{00000000-0004-0000-0200-0000B9000000}"/>
    <hyperlink ref="D227" r:id="rId187" display="http://0700.hk/" xr:uid="{00000000-0004-0000-0200-0000BA000000}"/>
    <hyperlink ref="J227" r:id="rId188" display="https://finance.yahoo.com/quote/0700.HK/?p=0700.HK" xr:uid="{00000000-0004-0000-0200-0000BB000000}"/>
    <hyperlink ref="J232" r:id="rId189" display="https://finance.yahoo.com/quote/AMZN/?p=AMZN" xr:uid="{00000000-0004-0000-0200-0000BC000000}"/>
    <hyperlink ref="J233" r:id="rId190" display="https://finance.yahoo.com/quote/GOOG/?p=GOOG" xr:uid="{00000000-0004-0000-0200-0000BD000000}"/>
    <hyperlink ref="J235" r:id="rId191" display="https://finance.yahoo.com/quote/BABA/?p=BABA" xr:uid="{00000000-0004-0000-0200-0000BE000000}"/>
    <hyperlink ref="J236" r:id="rId192" display="https://finance.yahoo.com/quote/CL=F/?p=CL=F" xr:uid="{00000000-0004-0000-0200-0000BF000000}"/>
    <hyperlink ref="J237" r:id="rId193" display="https://finance.yahoo.com/quote/GOOG/?p=GOOG" xr:uid="{00000000-0004-0000-0200-0000C0000000}"/>
    <hyperlink ref="J238" r:id="rId194" display="https://finance.yahoo.com/quote/AMZN/?p=AMZN" xr:uid="{00000000-0004-0000-0200-0000C1000000}"/>
    <hyperlink ref="J239" r:id="rId195" display="https://finance.yahoo.com/quote/BABA/?p=BABA" xr:uid="{00000000-0004-0000-0200-0000C2000000}"/>
    <hyperlink ref="D240" r:id="rId196" display="http://0070.hk/" xr:uid="{00000000-0004-0000-0200-0000C3000000}"/>
    <hyperlink ref="J240" r:id="rId197" display="https://finance.yahoo.com/quote/0070.HK/?p=0070.HK" xr:uid="{00000000-0004-0000-0200-0000C4000000}"/>
    <hyperlink ref="J241" r:id="rId198" display="https://finance.yahoo.com/quote/BABA/?p=BABA" xr:uid="{00000000-0004-0000-0200-0000C5000000}"/>
    <hyperlink ref="D242" r:id="rId199" display="http://0700.hk/" xr:uid="{00000000-0004-0000-0200-0000C6000000}"/>
    <hyperlink ref="J242" r:id="rId200" display="https://finance.yahoo.com/quote/0700.HK/?p=0700.HK" xr:uid="{00000000-0004-0000-0200-0000C7000000}"/>
    <hyperlink ref="D243" r:id="rId201" display="http://0700.hk/" xr:uid="{00000000-0004-0000-0200-0000C8000000}"/>
    <hyperlink ref="J243" r:id="rId202" display="https://finance.yahoo.com/quote/0700.HK/?p=0700.HK" xr:uid="{00000000-0004-0000-0200-0000C9000000}"/>
    <hyperlink ref="J244" r:id="rId203" display="https://finance.yahoo.com/quote/BABA/?p=BABA" xr:uid="{00000000-0004-0000-0200-0000CA000000}"/>
    <hyperlink ref="J245" r:id="rId204" display="https://finance.yahoo.com/quote/BABA/?p=BABA" xr:uid="{00000000-0004-0000-0200-0000CB000000}"/>
    <hyperlink ref="J246" r:id="rId205" display="https://finance.yahoo.com/quote/AMZN/?p=AMZN" xr:uid="{00000000-0004-0000-0200-0000CC000000}"/>
    <hyperlink ref="J247" r:id="rId206" display="https://finance.yahoo.com/quote/GC=F/?p=GC=F" xr:uid="{00000000-0004-0000-0200-0000CD000000}"/>
    <hyperlink ref="D248" r:id="rId207" display="http://0700.hk/" xr:uid="{00000000-0004-0000-0200-0000CE000000}"/>
    <hyperlink ref="J248" r:id="rId208" display="https://finance.yahoo.com/quote/0700.HK/?p=0700.HK" xr:uid="{00000000-0004-0000-0200-0000CF000000}"/>
    <hyperlink ref="J249" r:id="rId209" display="https://finance.yahoo.com/quote/AAPL/?p=AAPL" xr:uid="{00000000-0004-0000-0200-0000D0000000}"/>
    <hyperlink ref="J250" r:id="rId210" display="https://finance.yahoo.com/quote/AMZN/?p=AMZN" xr:uid="{00000000-0004-0000-0200-0000D1000000}"/>
    <hyperlink ref="J251" r:id="rId211" display="https://finance.yahoo.com/quote/BABA/?p=BABA" xr:uid="{00000000-0004-0000-0200-0000D2000000}"/>
    <hyperlink ref="D252" r:id="rId212" display="http://0700.hk/" xr:uid="{00000000-0004-0000-0200-0000D3000000}"/>
    <hyperlink ref="J252" r:id="rId213" display="https://finance.yahoo.com/quote/0700.HK/?p=0700.HK" xr:uid="{00000000-0004-0000-0200-0000D4000000}"/>
    <hyperlink ref="J255" r:id="rId214" display="https://finance.yahoo.com/quote/MSFT/?p=MSFT" xr:uid="{00000000-0004-0000-0200-0000D5000000}"/>
    <hyperlink ref="D256" r:id="rId215" display="http://ubi.pa/" xr:uid="{00000000-0004-0000-0200-0000D6000000}"/>
    <hyperlink ref="J256" r:id="rId216" display="https://finance.yahoo.com/quote/UBI.PA/?p=UBI.PA" xr:uid="{00000000-0004-0000-0200-0000D7000000}"/>
    <hyperlink ref="J257" r:id="rId217" display="https://finance.yahoo.com/quote/NTDOY/?p=NTDOY" xr:uid="{00000000-0004-0000-0200-0000D8000000}"/>
    <hyperlink ref="J258" r:id="rId218" display="https://finance.yahoo.com/quote/NVDA/?p=NVDA" xr:uid="{00000000-0004-0000-0200-0000D9000000}"/>
    <hyperlink ref="J259" r:id="rId219" display="https://finance.yahoo.com/quote/SONY/?p=SONY" xr:uid="{00000000-0004-0000-0200-0000DA000000}"/>
    <hyperlink ref="J264" r:id="rId220" display="https://finance.yahoo.com/quote/TSLA/?p=TSLA" xr:uid="{00000000-0004-0000-0200-0000DB000000}"/>
    <hyperlink ref="J265" r:id="rId221" display="https://finance.yahoo.com/quote/TSLA/?p=TSLA" xr:uid="{00000000-0004-0000-0200-0000DC000000}"/>
    <hyperlink ref="J266" r:id="rId222" display="https://finance.yahoo.com/quote/ANPDY/?p=ANPDY" xr:uid="{00000000-0004-0000-0200-0000DD000000}"/>
    <hyperlink ref="J267" r:id="rId223" display="https://finance.yahoo.com/quote/GOLD/?p=GOLD" xr:uid="{00000000-0004-0000-0200-0000DE000000}"/>
    <hyperlink ref="J268" r:id="rId224" display="https://finance.yahoo.com/quote/GOLD/?p=GOLD" xr:uid="{00000000-0004-0000-0200-0000DF000000}"/>
    <hyperlink ref="J269" r:id="rId225" display="https://finance.yahoo.com/quote/TSLA/?p=TSLA" xr:uid="{00000000-0004-0000-0200-0000E0000000}"/>
    <hyperlink ref="J270" r:id="rId226" display="https://finance.yahoo.com/quote/ANPDY/?p=ANPDY" xr:uid="{00000000-0004-0000-0200-0000E1000000}"/>
    <hyperlink ref="J271" r:id="rId227" display="https://finance.yahoo.com/quote/TSLA/?p=TSLA" xr:uid="{00000000-0004-0000-0200-0000E2000000}"/>
    <hyperlink ref="J276" r:id="rId228" display="https://finance.yahoo.com/quote/AEP/?p=AEP" xr:uid="{00000000-0004-0000-0200-0000E3000000}"/>
    <hyperlink ref="D279" r:id="rId229" display="http://1208.hk/" xr:uid="{00000000-0004-0000-0200-0000E4000000}"/>
    <hyperlink ref="J279" r:id="rId230" display="https://finance.yahoo.com/quote/1208.HK/?p=1208.HK" xr:uid="{00000000-0004-0000-0200-0000E5000000}"/>
    <hyperlink ref="D280" r:id="rId231" display="http://3800.hk/" xr:uid="{00000000-0004-0000-0200-0000E6000000}"/>
    <hyperlink ref="J280" r:id="rId232" display="https://finance.yahoo.com/quote/3800.hk/?p=3800.hk" xr:uid="{00000000-0004-0000-0200-0000E7000000}"/>
    <hyperlink ref="D281" r:id="rId233" display="http://3800.hk/" xr:uid="{00000000-0004-0000-0200-0000E8000000}"/>
    <hyperlink ref="J281" r:id="rId234" display="https://finance.yahoo.com/quote/3800.hk/?p=3800.hk" xr:uid="{00000000-0004-0000-0200-0000E9000000}"/>
    <hyperlink ref="D282" r:id="rId235" display="http://3800.hk/" xr:uid="{00000000-0004-0000-0200-0000EA000000}"/>
    <hyperlink ref="J282" r:id="rId236" display="https://finance.yahoo.com/quote/3800.HK/?p=3800.HK" xr:uid="{00000000-0004-0000-0200-0000EB000000}"/>
    <hyperlink ref="J287" r:id="rId237" display="https://finance.yahoo.com/quote/TSLA/?p=TSLA" xr:uid="{00000000-0004-0000-0200-0000EC000000}"/>
    <hyperlink ref="J288" r:id="rId238" display="https://finance.yahoo.com/quote/DIS/?p=DIS" xr:uid="{00000000-0004-0000-0200-0000ED000000}"/>
    <hyperlink ref="J289" r:id="rId239" display="https://finance.yahoo.com/quote/DIS/?p=DIS" xr:uid="{00000000-0004-0000-0200-0000EE000000}"/>
    <hyperlink ref="J290" r:id="rId240" display="https://finance.yahoo.com/quote/RIVN/?p=RIVN" xr:uid="{00000000-0004-0000-0200-0000EF000000}"/>
    <hyperlink ref="J291" r:id="rId241" display="https://finance.yahoo.com/quote/TSLA/?p=TSLA" xr:uid="{00000000-0004-0000-0200-0000F0000000}"/>
    <hyperlink ref="J292" r:id="rId242" display="https://finance.yahoo.com/quote/TSLA/?p=TSLA" xr:uid="{00000000-0004-0000-0200-0000F1000000}"/>
    <hyperlink ref="J293" r:id="rId243" display="https://finance.yahoo.com/quote/DIS/?p=DIS" xr:uid="{00000000-0004-0000-0200-0000F2000000}"/>
    <hyperlink ref="J294" r:id="rId244" display="https://finance.yahoo.com/quote/TSLA/?p=TSLA" xr:uid="{00000000-0004-0000-0200-0000F3000000}"/>
    <hyperlink ref="J295" r:id="rId245" display="https://finance.yahoo.com/quote/TSLA/?p=TSLA" xr:uid="{00000000-0004-0000-0200-0000F4000000}"/>
    <hyperlink ref="J299" r:id="rId246" display="https://finance.yahoo.com/quote/DIS/?p=DIS" xr:uid="{00000000-0004-0000-0200-0000F5000000}"/>
    <hyperlink ref="J300" r:id="rId247" display="https://finance.yahoo.com/quote/DIS/?p=DIS" xr:uid="{00000000-0004-0000-0200-0000F6000000}"/>
    <hyperlink ref="J301" r:id="rId248" display="https://www.bondsupermart.com/bsm/general-search/US88032XAE40" xr:uid="{00000000-0004-0000-0200-0000F7000000}"/>
    <hyperlink ref="D304" r:id="rId249" display="http://2020.hk/" xr:uid="{00000000-0004-0000-0200-0000F8000000}"/>
    <hyperlink ref="J304" r:id="rId250" display="https://finance.yahoo.com/quote/2020.HK/?p=2020.HK" xr:uid="{00000000-0004-0000-0200-0000F9000000}"/>
    <hyperlink ref="D305" r:id="rId251" display="http://2020.hk/" xr:uid="{00000000-0004-0000-0200-0000FA000000}"/>
    <hyperlink ref="J305" r:id="rId252" display="https://finance.yahoo.com/quote/2020.HK/?p=2020.HK" xr:uid="{00000000-0004-0000-0200-0000FB000000}"/>
    <hyperlink ref="J306" r:id="rId253" display="https://finance.yahoo.com/quote/TSLA/?p=TSLA" xr:uid="{00000000-0004-0000-0200-0000FC000000}"/>
    <hyperlink ref="J309" r:id="rId254" display="https://finance.yahoo.com/quote/AAPL/?p=AAPL" xr:uid="{00000000-0004-0000-0200-0000FD000000}"/>
    <hyperlink ref="J310" r:id="rId255" display="https://finance.yahoo.com/quote/ABNB/?p=ABNB" xr:uid="{00000000-0004-0000-0200-0000FE000000}"/>
    <hyperlink ref="J311" r:id="rId256" display="https://finance.yahoo.com/quote/LMT/?p=LMT" xr:uid="{00000000-0004-0000-0200-0000FF000000}"/>
    <hyperlink ref="J312" r:id="rId257" display="https://finance.yahoo.com/quote/AAPL/?p=AAPL" xr:uid="{00000000-0004-0000-0200-000000010000}"/>
    <hyperlink ref="J313" r:id="rId258" display="https://finance.yahoo.com/quote/BA/?p=BA" xr:uid="{00000000-0004-0000-0200-000001010000}"/>
    <hyperlink ref="J316" r:id="rId259" display="https://finance.yahoo.com/quote/TSLA/?p=TSLA" xr:uid="{00000000-0004-0000-0200-000002010000}"/>
    <hyperlink ref="J317" r:id="rId260" display="https://finance.yahoo.com/quote/TSLA/?p=TSLA" xr:uid="{00000000-0004-0000-0200-000003010000}"/>
    <hyperlink ref="J318" r:id="rId261" display="https://finance.yahoo.com/quote/DIS/?p=DIS" xr:uid="{00000000-0004-0000-0200-000004010000}"/>
    <hyperlink ref="J319" r:id="rId262" display="https://finance.yahoo.com/quote/LVMHF/?p=LVMHF" xr:uid="{00000000-0004-0000-0200-000005010000}"/>
    <hyperlink ref="D320" r:id="rId263" display="http://2222.sr/" xr:uid="{00000000-0004-0000-0200-000006010000}"/>
    <hyperlink ref="J320" r:id="rId264" display="https://finance.yahoo.com/quote/2222.SR/?p=2222.SR" xr:uid="{00000000-0004-0000-0200-000007010000}"/>
    <hyperlink ref="D321" r:id="rId265" display="http://2222.sr/" xr:uid="{00000000-0004-0000-0200-000008010000}"/>
    <hyperlink ref="J321" r:id="rId266" display="https://finance.yahoo.com/quote/2222.SR/?p=2222.SR" xr:uid="{00000000-0004-0000-0200-000009010000}"/>
    <hyperlink ref="J322" r:id="rId267" display="https://finance.yahoo.com/quote/GOLD/?p=GOLD" xr:uid="{00000000-0004-0000-0200-00000A010000}"/>
    <hyperlink ref="D329" r:id="rId268" display="http://0700.hk/" xr:uid="{00000000-0004-0000-0200-00000B010000}"/>
    <hyperlink ref="J329" r:id="rId269" display="https://finance.yahoo.com/quote/0700.HK/?p=0700.HK" xr:uid="{00000000-0004-0000-0200-00000C010000}"/>
    <hyperlink ref="D330" r:id="rId270" display="http://0700.hk/" xr:uid="{00000000-0004-0000-0200-00000D010000}"/>
    <hyperlink ref="J330" r:id="rId271" display="https://finance.yahoo.com/quote/0700.hk/?p=0700.hk" xr:uid="{00000000-0004-0000-0200-00000E010000}"/>
    <hyperlink ref="J343" r:id="rId272" display="https://finance.yahoo.com/quote/FB/?p=FB" xr:uid="{00000000-0004-0000-0200-00000F010000}"/>
    <hyperlink ref="D344" r:id="rId273" display="http://0883.hk/" xr:uid="{00000000-0004-0000-0200-000010010000}"/>
    <hyperlink ref="J344" r:id="rId274" display="https://finance.yahoo.com/quote/0883.HK/?p=0883.HK" xr:uid="{00000000-0004-0000-0200-000011010000}"/>
    <hyperlink ref="J345" r:id="rId275" display="https://finance.yahoo.com/quote/FB/?p=FB" xr:uid="{00000000-0004-0000-0200-000012010000}"/>
    <hyperlink ref="J346" r:id="rId276" display="https://finance.yahoo.com/quote/BTC-USD/?p=BTC-USD" xr:uid="{00000000-0004-0000-0200-000013010000}"/>
    <hyperlink ref="J347" r:id="rId277" display="https://finance.yahoo.com/quote/NFLX/?p=NFLX" xr:uid="{00000000-0004-0000-0200-000014010000}"/>
    <hyperlink ref="J348" r:id="rId278" display="https://finance.yahoo.com/quote/MCD/?p=MCD" xr:uid="{00000000-0004-0000-0200-000015010000}"/>
    <hyperlink ref="J349" r:id="rId279" display="https://finance.yahoo.com/quote/TSLA/?p=TSLA" xr:uid="{00000000-0004-0000-0200-000016010000}"/>
    <hyperlink ref="D350" r:id="rId280" display="http://0883.hk/" xr:uid="{00000000-0004-0000-0200-000017010000}"/>
    <hyperlink ref="J350" r:id="rId281" display="https://finance.yahoo.com/quote/0883.hk/?p=0883.hk" xr:uid="{00000000-0004-0000-0200-000018010000}"/>
    <hyperlink ref="J351" r:id="rId282" display="https://finance.yahoo.com/quote/BTC-USD/?p=BTC-USD" xr:uid="{00000000-0004-0000-0200-000019010000}"/>
    <hyperlink ref="J352" r:id="rId283" display="https://finance.yahoo.com/quote/GOOG/?p=GOOG" xr:uid="{00000000-0004-0000-0200-00001A010000}"/>
    <hyperlink ref="J353" r:id="rId284" display="https://finance.yahoo.com/quote/RBLX/?p=RBLX" xr:uid="{00000000-0004-0000-0200-00001B010000}"/>
    <hyperlink ref="J354" r:id="rId285" display="https://finance.yahoo.com/quote/BTC-USD/?p=BTC-USD" xr:uid="{00000000-0004-0000-0200-00001C010000}"/>
    <hyperlink ref="D355" r:id="rId286" display="http://6969.hk/" xr:uid="{00000000-0004-0000-0200-00001D010000}"/>
    <hyperlink ref="J355" r:id="rId287" display="https://finance.yahoo.com/quote/6969.HK/?p=6969.HK" xr:uid="{00000000-0004-0000-0200-00001E010000}"/>
    <hyperlink ref="J356" r:id="rId288" display="https://finance.yahoo.com/quote/TSLA/?p=TSLA" xr:uid="{00000000-0004-0000-0200-00001F010000}"/>
    <hyperlink ref="J357" r:id="rId289" display="https://finance.yahoo.com/quote/YINN/?p=YINN" xr:uid="{00000000-0004-0000-0200-000020010000}"/>
    <hyperlink ref="J358" r:id="rId290" display="https://finance.yahoo.com/quote/AMZN/?p=AMZN" xr:uid="{00000000-0004-0000-0200-000021010000}"/>
    <hyperlink ref="J359" r:id="rId291" display="https://finance.yahoo.com/quote/NFLX/?p=NFLX" xr:uid="{00000000-0004-0000-0200-000022010000}"/>
    <hyperlink ref="D360" r:id="rId292" display="http://9988.hk/" xr:uid="{00000000-0004-0000-0200-000023010000}"/>
    <hyperlink ref="J360" r:id="rId293" display="https://finance.yahoo.com/quote/9988.HK/?p=9988.HK" xr:uid="{00000000-0004-0000-0200-000024010000}"/>
    <hyperlink ref="J361" r:id="rId294" display="https://finance.yahoo.com/quote/GC=F/?p=GC=F" xr:uid="{00000000-0004-0000-0200-000025010000}"/>
    <hyperlink ref="J366" r:id="rId295" display="https://finance.yahoo.com/quote/BAC/?p=BAC" xr:uid="{00000000-0004-0000-0200-000026010000}"/>
    <hyperlink ref="J367" r:id="rId296" display="https://finance.yahoo.com/quote/BRK-B/?p=BRK-B" xr:uid="{00000000-0004-0000-0200-000027010000}"/>
    <hyperlink ref="J368" r:id="rId297" display="https://finance.yahoo.com/quote/BRK-B/?p=BRK-B" xr:uid="{00000000-0004-0000-0200-000028010000}"/>
    <hyperlink ref="D371" r:id="rId298" display="http://0941.hk/" xr:uid="{00000000-0004-0000-0200-000029010000}"/>
    <hyperlink ref="J371" r:id="rId299" display="https://finance.yahoo.com/quote/0941.HK/?p=0941.HK" xr:uid="{00000000-0004-0000-0200-00002A010000}"/>
    <hyperlink ref="D372" r:id="rId300" display="http://3047.hk/" xr:uid="{00000000-0004-0000-0200-00002B010000}"/>
    <hyperlink ref="J372" r:id="rId301" display="https://finance.yahoo.com/quote/3047.HK/?p=3047.HK" xr:uid="{00000000-0004-0000-0200-00002C010000}"/>
    <hyperlink ref="D373" r:id="rId302" display="http://9988.hk/" xr:uid="{00000000-0004-0000-0200-00002D010000}"/>
    <hyperlink ref="J373" r:id="rId303" display="https://finance.yahoo.com/quote/9988.HK/?p=9988.HK" xr:uid="{00000000-0004-0000-0200-00002E010000}"/>
    <hyperlink ref="J374" r:id="rId304" display="https://finance.yahoo.com/quote/SARK/?p=SARK" xr:uid="{00000000-0004-0000-0200-00002F010000}"/>
    <hyperlink ref="J375" r:id="rId305" display="https://finance.yahoo.com/quote/ARKK/?p=ARKK" xr:uid="{00000000-0004-0000-0200-000030010000}"/>
    <hyperlink ref="J376" r:id="rId306" display="https://finance.yahoo.com/quote/ARKK/?p=ARKK" xr:uid="{00000000-0004-0000-0200-000031010000}"/>
    <hyperlink ref="J377" r:id="rId307" display="https://finance.yahoo.com/quote/SARK/?p=SARK" xr:uid="{00000000-0004-0000-0200-000032010000}"/>
    <hyperlink ref="D378" r:id="rId308" display="http://3047.hk/" xr:uid="{00000000-0004-0000-0200-000033010000}"/>
    <hyperlink ref="J378" r:id="rId309" display="https://finance.yahoo.com/quote/3047.HK/?p=3047.HK" xr:uid="{00000000-0004-0000-0200-000034010000}"/>
    <hyperlink ref="D379" r:id="rId310" display="http://9988.hk/" xr:uid="{00000000-0004-0000-0200-000035010000}"/>
    <hyperlink ref="J379" r:id="rId311" display="https://finance.yahoo.com/quote/9988.HK/?p=9988.HK" xr:uid="{00000000-0004-0000-0200-000036010000}"/>
    <hyperlink ref="D380" r:id="rId312" display="http://9988.hk/" xr:uid="{00000000-0004-0000-0200-000037010000}"/>
    <hyperlink ref="J380" r:id="rId313" display="https://finance.yahoo.com/quote/9988.HK/?p=9988.HK" xr:uid="{00000000-0004-0000-0200-000038010000}"/>
    <hyperlink ref="J381" r:id="rId314" display="https://finance.yahoo.com/quote/NET/?p=NET" xr:uid="{00000000-0004-0000-0200-000039010000}"/>
    <hyperlink ref="J382" r:id="rId315" display="https://finance.yahoo.com/quote/SARK/?p=SARK" xr:uid="{00000000-0004-0000-0200-00003A010000}"/>
    <hyperlink ref="J383" r:id="rId316" display="https://finance.yahoo.com/quote/SARK/?p=SARK" xr:uid="{00000000-0004-0000-0200-00003B010000}"/>
    <hyperlink ref="J384" r:id="rId317" display="https://finance.yahoo.com/quote/SARK/?p=SARK" xr:uid="{00000000-0004-0000-0200-00003C010000}"/>
    <hyperlink ref="D389" r:id="rId318" display="http://0700.hk/" xr:uid="{00000000-0004-0000-0200-00003D010000}"/>
    <hyperlink ref="J389" r:id="rId319" display="https://finance.yahoo.com/quote/0700.HK/?p=0700.HK" xr:uid="{00000000-0004-0000-0200-00003E010000}"/>
    <hyperlink ref="D390" r:id="rId320" display="http://0700.hk/" xr:uid="{00000000-0004-0000-0200-00003F010000}"/>
    <hyperlink ref="J390" r:id="rId321" display="https://finance.yahoo.com/quote/0700.HK/?p=0700.HK" xr:uid="{00000000-0004-0000-0200-000040010000}"/>
    <hyperlink ref="D391" r:id="rId322" display="http://0700.hk/" xr:uid="{00000000-0004-0000-0200-000041010000}"/>
    <hyperlink ref="J391" r:id="rId323" display="https://finance.yahoo.com/quote/0700.HK/?p=0700.HK" xr:uid="{00000000-0004-0000-0200-000042010000}"/>
    <hyperlink ref="D392" r:id="rId324" display="http://9988.hk/" xr:uid="{00000000-0004-0000-0200-000043010000}"/>
    <hyperlink ref="J392" r:id="rId325" display="https://finance.yahoo.com/quote/9988.HK/?p=9988.HK" xr:uid="{00000000-0004-0000-0200-000044010000}"/>
    <hyperlink ref="D393" r:id="rId326" display="http://9988.hk/" xr:uid="{00000000-0004-0000-0200-000045010000}"/>
    <hyperlink ref="J393" r:id="rId327" display="https://finance.yahoo.com/quote/9988.HK/?p=9988.HK" xr:uid="{00000000-0004-0000-0200-000046010000}"/>
    <hyperlink ref="J396" r:id="rId328" display="https://finance.yahoo.com/quote/AAPL/?p=AAPL" xr:uid="{00000000-0004-0000-0200-000047010000}"/>
    <hyperlink ref="J397" r:id="rId329" display="https://finance.yahoo.com/quote/NFLX/?p=NFLX" xr:uid="{00000000-0004-0000-0200-000048010000}"/>
    <hyperlink ref="D400" r:id="rId330" display="http://0001.hk/" xr:uid="{00000000-0004-0000-0200-000049010000}"/>
    <hyperlink ref="J400" r:id="rId331" display="https://finance.yahoo.com/quote/0001.HK/?p=0001.HK" xr:uid="{00000000-0004-0000-0200-00004A010000}"/>
    <hyperlink ref="D401" r:id="rId332" display="http://0151.hk/" xr:uid="{00000000-0004-0000-0200-00004B010000}"/>
    <hyperlink ref="J401" r:id="rId333" display="https://finance.yahoo.com/quote/0151.HK/?p=0151.HK" xr:uid="{00000000-0004-0000-0200-00004C010000}"/>
    <hyperlink ref="D402" r:id="rId334" display="http://0151.hk/" xr:uid="{00000000-0004-0000-0200-00004D010000}"/>
    <hyperlink ref="J402" r:id="rId335" display="https://finance.yahoo.com/quote/0151.HK/?p=0151.HK" xr:uid="{00000000-0004-0000-0200-00004E010000}"/>
    <hyperlink ref="D403" r:id="rId336" display="http://0151.hk/" xr:uid="{00000000-0004-0000-0200-00004F010000}"/>
    <hyperlink ref="J403" r:id="rId337" display="https://finance.yahoo.com/quote/0151.HK/?p=0151.HK" xr:uid="{00000000-0004-0000-0200-000050010000}"/>
    <hyperlink ref="J406" r:id="rId338" display="https://finance.yahoo.com/quote/FSR/?p=FSR" xr:uid="{00000000-0004-0000-0200-000051010000}"/>
    <hyperlink ref="D407" r:id="rId339" display="http://1898.hk/" xr:uid="{00000000-0004-0000-0200-000052010000}"/>
    <hyperlink ref="J407" r:id="rId340" display="https://finance.yahoo.com/quote/1898.HK/?p=1898.HK" xr:uid="{00000000-0004-0000-0200-000053010000}"/>
    <hyperlink ref="D408" r:id="rId341" display="http://9988.hk/" xr:uid="{00000000-0004-0000-0200-000054010000}"/>
    <hyperlink ref="J408" r:id="rId342" display="https://finance.yahoo.com/quote/9988.HK/?p=9988.HK" xr:uid="{00000000-0004-0000-0200-000055010000}"/>
    <hyperlink ref="J411" r:id="rId343" display="https://finance.yahoo.com/quote/AAPL/?p=AAPL" xr:uid="{00000000-0004-0000-0200-000056010000}"/>
    <hyperlink ref="D412" r:id="rId344" display="http://6862.hk/" xr:uid="{00000000-0004-0000-0200-000057010000}"/>
    <hyperlink ref="J412" r:id="rId345" display="https://finance.yahoo.com/quote/6862.HK/?p=6862.HK" xr:uid="{00000000-0004-0000-0200-000058010000}"/>
    <hyperlink ref="D413" r:id="rId346" display="http://0700.hk/" xr:uid="{00000000-0004-0000-0200-000059010000}"/>
    <hyperlink ref="J413" r:id="rId347" display="https://finance.yahoo.com/quote/0700.HK/?p=0700.HK" xr:uid="{00000000-0004-0000-0200-00005A010000}"/>
    <hyperlink ref="D414" r:id="rId348" display="http://0700.hk/" xr:uid="{00000000-0004-0000-0200-00005B010000}"/>
    <hyperlink ref="J414" r:id="rId349" display="https://finance.yahoo.com/quote/0700.HK/?p=0700.HK" xr:uid="{00000000-0004-0000-0200-00005C010000}"/>
    <hyperlink ref="D415" r:id="rId350" display="http://6862.hk/" xr:uid="{00000000-0004-0000-0200-00005D010000}"/>
    <hyperlink ref="J415" r:id="rId351" display="https://finance.yahoo.com/quote/6862.HK/?p=6862.HK" xr:uid="{00000000-0004-0000-0200-00005E010000}"/>
    <hyperlink ref="D420" r:id="rId352" display="http://3339.hk/" xr:uid="{00000000-0004-0000-0200-00005F010000}"/>
    <hyperlink ref="J420" r:id="rId353" display="https://finance.yahoo.com/quote/3339.HK/?p=3339.HK" xr:uid="{00000000-0004-0000-0200-000060010000}"/>
    <hyperlink ref="J421" r:id="rId354" display="https://finance.yahoo.com/quote/LMT/?p=LMT" xr:uid="{00000000-0004-0000-0200-000061010000}"/>
    <hyperlink ref="J422" r:id="rId355" display="https://finance.yahoo.com/quote/PFE/?p=PFE" xr:uid="{00000000-0004-0000-0200-000062010000}"/>
    <hyperlink ref="J423" r:id="rId356" display="https://finance.yahoo.com/quote/PFE/?p=PFE" xr:uid="{00000000-0004-0000-0200-000063010000}"/>
    <hyperlink ref="J424" r:id="rId357" display="https://finance.yahoo.com/quote/SOFI/?p=SOFI" xr:uid="{00000000-0004-0000-0200-000064010000}"/>
    <hyperlink ref="J425" r:id="rId358" display="https://finance.yahoo.com/quote/LMT/?p=LMT" xr:uid="{00000000-0004-0000-0200-000065010000}"/>
    <hyperlink ref="J426" r:id="rId359" display="https://finance.yahoo.com/quote/NFLX/?p=NFLX" xr:uid="{00000000-0004-0000-0200-000066010000}"/>
    <hyperlink ref="J427" r:id="rId360" display="https://finance.yahoo.com/quote/SOFI/?p=SOFI" xr:uid="{00000000-0004-0000-0200-000067010000}"/>
    <hyperlink ref="D430" r:id="rId361" display="http://2318.hk/" xr:uid="{00000000-0004-0000-0200-000068010000}"/>
    <hyperlink ref="J430" r:id="rId362" display="https://finance.yahoo.com/quote/2318.HK/?p=2318.HK" xr:uid="{00000000-0004-0000-0200-000069010000}"/>
    <hyperlink ref="D431" r:id="rId363" display="http://2318.hk/" xr:uid="{00000000-0004-0000-0200-00006A010000}"/>
    <hyperlink ref="J431" r:id="rId364" display="https://finance.yahoo.com/quote/2318.HK/?p=2318.HK" xr:uid="{00000000-0004-0000-0200-00006B010000}"/>
    <hyperlink ref="D438" r:id="rId365" display="http://1610.hk/" xr:uid="{00000000-0004-0000-0200-00006C010000}"/>
    <hyperlink ref="J438" r:id="rId366" display="https://finance.yahoo.com/quote/1610.HK/?p=1610.HK" xr:uid="{00000000-0004-0000-0200-00006D010000}"/>
    <hyperlink ref="D439" r:id="rId367" display="http://1810.hk/" xr:uid="{00000000-0004-0000-0200-00006E010000}"/>
    <hyperlink ref="J439" r:id="rId368" display="https://finance.yahoo.com/quote/1810.HK/?p=1810.HK" xr:uid="{00000000-0004-0000-0200-00006F010000}"/>
    <hyperlink ref="D440" r:id="rId369" display="http://2333.hk/" xr:uid="{00000000-0004-0000-0200-000070010000}"/>
    <hyperlink ref="J440" r:id="rId370" display="https://finance.yahoo.com/quote/2333.HK/?p=2333.HK" xr:uid="{00000000-0004-0000-0200-000071010000}"/>
    <hyperlink ref="D441" r:id="rId371" display="http://3339.hk/" xr:uid="{00000000-0004-0000-0200-000072010000}"/>
    <hyperlink ref="J441" r:id="rId372" display="https://finance.yahoo.com/quote/3339.HK/?p=3339.HK" xr:uid="{00000000-0004-0000-0200-000073010000}"/>
    <hyperlink ref="D442" r:id="rId373" display="http://1810.hk/" xr:uid="{00000000-0004-0000-0200-000074010000}"/>
    <hyperlink ref="J442" r:id="rId374" display="https://finance.yahoo.com/quote/1810.HK/?p=1810.HK" xr:uid="{00000000-0004-0000-0200-000075010000}"/>
    <hyperlink ref="D443" r:id="rId375" display="http://2333.hk/" xr:uid="{00000000-0004-0000-0200-000076010000}"/>
    <hyperlink ref="J443" r:id="rId376" display="https://finance.yahoo.com/quote/2333.HK/?p=2333.HK" xr:uid="{00000000-0004-0000-0200-000077010000}"/>
    <hyperlink ref="D444" r:id="rId377" display="http://3339.hk/" xr:uid="{00000000-0004-0000-0200-000078010000}"/>
    <hyperlink ref="J444" r:id="rId378" display="https://finance.yahoo.com/quote/3339.HK/?p=3339.HK" xr:uid="{00000000-0004-0000-0200-000079010000}"/>
    <hyperlink ref="D445" r:id="rId379" display="http://3339.hk/" xr:uid="{00000000-0004-0000-0200-00007A010000}"/>
    <hyperlink ref="J445" r:id="rId380" display="https://finance.yahoo.com/quote/3339.HK/?p=3339.HK" xr:uid="{00000000-0004-0000-0200-00007B010000}"/>
    <hyperlink ref="D446" r:id="rId381" display="http://0175.hk/" xr:uid="{00000000-0004-0000-0200-00007C010000}"/>
    <hyperlink ref="J446" r:id="rId382" display="https://finance.yahoo.com/quote/0175.HK/?p=0175.HK" xr:uid="{00000000-0004-0000-0200-00007D010000}"/>
    <hyperlink ref="D447" r:id="rId383" display="http://2333.hk/" xr:uid="{00000000-0004-0000-0200-00007E010000}"/>
    <hyperlink ref="J447" r:id="rId384" display="https://finance.yahoo.com/quote/2333.HK/?p=2333.HK" xr:uid="{00000000-0004-0000-0200-00007F010000}"/>
    <hyperlink ref="D456" r:id="rId385" display="http://0700.hk/" xr:uid="{00000000-0004-0000-0200-000080010000}"/>
    <hyperlink ref="J456" r:id="rId386" display="https://finance.yahoo.com/quote/0700.HK/?p=0700.HK" xr:uid="{00000000-0004-0000-0200-000081010000}"/>
    <hyperlink ref="D457" r:id="rId387" display="http://3690.hk/" xr:uid="{00000000-0004-0000-0200-000082010000}"/>
    <hyperlink ref="J457" r:id="rId388" display="https://finance.yahoo.com/quote/3690.HK/?p=3690.HK" xr:uid="{00000000-0004-0000-0200-000083010000}"/>
    <hyperlink ref="D460" r:id="rId389" display="http://1398.hk/" xr:uid="{00000000-0004-0000-0200-000084010000}"/>
    <hyperlink ref="J460" r:id="rId390" display="https://finance.yahoo.com/quote/1398.HK/?p=1398.HK" xr:uid="{00000000-0004-0000-0200-000085010000}"/>
    <hyperlink ref="J461" r:id="rId391" display="https://finance.yahoo.com/quote/NET/?p=NET" xr:uid="{00000000-0004-0000-0200-000086010000}"/>
    <hyperlink ref="J462" r:id="rId392" display="https://finance.yahoo.com/quote/AMAT/?p=AMAT" xr:uid="{00000000-0004-0000-0200-000087010000}"/>
    <hyperlink ref="J463" r:id="rId393" display="https://finance.yahoo.com/quote/CL=F/?p=CL=F" xr:uid="{00000000-0004-0000-0200-000088010000}"/>
    <hyperlink ref="J464" r:id="rId394" display="https://finance.yahoo.com/quote/CL=F/?p=CL=F" xr:uid="{00000000-0004-0000-0200-000089010000}"/>
    <hyperlink ref="J465" r:id="rId395" display="https://finance.yahoo.com/quote/NET/?p=NET" xr:uid="{00000000-0004-0000-0200-00008A010000}"/>
    <hyperlink ref="D466" r:id="rId396" display="http://1398.hk/" xr:uid="{00000000-0004-0000-0200-00008B010000}"/>
    <hyperlink ref="J466" r:id="rId397" display="https://finance.yahoo.com/quote/1398.HK/?p=1398.HK" xr:uid="{00000000-0004-0000-0200-00008C010000}"/>
    <hyperlink ref="D467" r:id="rId398" display="http://300157.sz/" xr:uid="{00000000-0004-0000-0200-00008D010000}"/>
    <hyperlink ref="J467" r:id="rId399" display="https://finance.yahoo.com/quote/300157.SZ/?p=300157.SZ" xr:uid="{00000000-0004-0000-0200-00008E010000}"/>
    <hyperlink ref="J468" r:id="rId400" display="https://finance.yahoo.com/quote/AMAT/?p=AMAT" xr:uid="{00000000-0004-0000-0200-00008F010000}"/>
    <hyperlink ref="J469" r:id="rId401" display="https://finance.yahoo.com/quote/BRK-B/?p=BRK-B" xr:uid="{00000000-0004-0000-0200-000090010000}"/>
    <hyperlink ref="J470" r:id="rId402" display="https://finance.yahoo.com/quote/NET/?p=NET" xr:uid="{00000000-0004-0000-0200-000091010000}"/>
    <hyperlink ref="J471" r:id="rId403" display="https://finance.yahoo.com/quote/AAPL/?p=AAPL" xr:uid="{00000000-0004-0000-0200-000092010000}"/>
    <hyperlink ref="J472" r:id="rId404" display="https://finance.yahoo.com/quote/BRK-B/?p=BRK-B" xr:uid="{00000000-0004-0000-0200-000093010000}"/>
    <hyperlink ref="J473" r:id="rId405" display="https://finance.yahoo.com/quote/CL=F/?p=CL=F" xr:uid="{00000000-0004-0000-0200-000094010000}"/>
    <hyperlink ref="J474" r:id="rId406" display="https://finance.yahoo.com/quote/AAPL/?p=AAPL" xr:uid="{00000000-0004-0000-0200-000095010000}"/>
    <hyperlink ref="J475" r:id="rId407" display="https://finance.yahoo.com/quote/AMAT/?p=AMAT" xr:uid="{00000000-0004-0000-0200-000096010000}"/>
    <hyperlink ref="J476" r:id="rId408" display="https://finance.yahoo.com/quote/BRK-B/?p=BRK-B" xr:uid="{00000000-0004-0000-0200-000097010000}"/>
    <hyperlink ref="J477" r:id="rId409" display="https://finance.yahoo.com/quote/CL=F/?p=CL=F" xr:uid="{00000000-0004-0000-0200-000098010000}"/>
    <hyperlink ref="J478" r:id="rId410" display="https://finance.yahoo.com/quote/IXHL/?p=IXHL" xr:uid="{00000000-0004-0000-0200-000099010000}"/>
    <hyperlink ref="J479" r:id="rId411" display="https://finance.yahoo.com/quote/NET/?p=NET" xr:uid="{00000000-0004-0000-0200-00009A010000}"/>
    <hyperlink ref="D480" r:id="rId412" display="http://1398.hk/" xr:uid="{00000000-0004-0000-0200-00009B010000}"/>
    <hyperlink ref="J480" r:id="rId413" display="https://finance.yahoo.com/quote/1398.HK/?p=1398.HK" xr:uid="{00000000-0004-0000-0200-00009C010000}"/>
    <hyperlink ref="D483" r:id="rId414" display="http://601168.ss/" xr:uid="{00000000-0004-0000-0200-00009D010000}"/>
    <hyperlink ref="J483" r:id="rId415" display="https://finance.yahoo.com/quote/601168.ss/?p=601168.ss" xr:uid="{00000000-0004-0000-0200-00009E010000}"/>
    <hyperlink ref="D484" r:id="rId416" display="http://600986.ss/" xr:uid="{00000000-0004-0000-0200-00009F010000}"/>
    <hyperlink ref="J484" r:id="rId417" display="https://finance.yahoo.com/quote/600986.ss/?p=600986.ss" xr:uid="{00000000-0004-0000-0200-0000A0010000}"/>
    <hyperlink ref="D485" r:id="rId418" display="http://002230.sz/" xr:uid="{00000000-0004-0000-0200-0000A1010000}"/>
    <hyperlink ref="J485" r:id="rId419" display="https://finance.yahoo.com/quote/002230.SZ/?p=002230.SZ" xr:uid="{00000000-0004-0000-0200-0000A2010000}"/>
    <hyperlink ref="D486" r:id="rId420" display="http://002475.sz/" xr:uid="{00000000-0004-0000-0200-0000A3010000}"/>
    <hyperlink ref="J486" r:id="rId421" display="https://finance.yahoo.com/quote/002475.SZ/?p=002475.SZ" xr:uid="{00000000-0004-0000-0200-0000A4010000}"/>
    <hyperlink ref="J493" r:id="rId422" display="https://finance.yahoo.com/quote/XLE/?p=XLE" xr:uid="{00000000-0004-0000-0200-0000A5010000}"/>
    <hyperlink ref="D496" r:id="rId423" display="http://0700.hk/" xr:uid="{00000000-0004-0000-0200-0000A6010000}"/>
    <hyperlink ref="J496" r:id="rId424" display="https://finance.yahoo.com/quote/0700.HK/?p=0700.HK" xr:uid="{00000000-0004-0000-0200-0000A7010000}"/>
    <hyperlink ref="D497" r:id="rId425" display="http://3800.hk/" xr:uid="{00000000-0004-0000-0200-0000A8010000}"/>
    <hyperlink ref="J497" r:id="rId426" display="https://finance.yahoo.com/quote/3800.HK/?p=3800.HK" xr:uid="{00000000-0004-0000-0200-0000A9010000}"/>
    <hyperlink ref="D498" r:id="rId427" display="http://0700.hk/" xr:uid="{00000000-0004-0000-0200-0000AA010000}"/>
    <hyperlink ref="J498" r:id="rId428" display="https://finance.yahoo.com/quote/0700.HK/?p=0700.HK" xr:uid="{00000000-0004-0000-0200-0000AB010000}"/>
    <hyperlink ref="D499" r:id="rId429" display="http://0700.hk/" xr:uid="{00000000-0004-0000-0200-0000AC010000}"/>
    <hyperlink ref="J499" r:id="rId430" display="https://finance.yahoo.com/quote/0700.HK/?p=0700.HK" xr:uid="{00000000-0004-0000-0200-0000AD010000}"/>
    <hyperlink ref="D500" r:id="rId431" display="http://9868.hk/" xr:uid="{00000000-0004-0000-0200-0000AE010000}"/>
    <hyperlink ref="J500" r:id="rId432" display="https://finance.yahoo.com/quote/9868.HK/?p=9868.HK" xr:uid="{00000000-0004-0000-0200-0000AF010000}"/>
    <hyperlink ref="D503" r:id="rId433" display="http://1810.hk/" xr:uid="{00000000-0004-0000-0200-0000B0010000}"/>
    <hyperlink ref="J503" r:id="rId434" display="https://finance.yahoo.com/quote/1810.hk/?p=1810.hk" xr:uid="{00000000-0004-0000-0200-0000B1010000}"/>
    <hyperlink ref="J506" r:id="rId435" display="https://finance.yahoo.com/quote/GBTC/?p=GBTC" xr:uid="{00000000-0004-0000-0200-0000B2010000}"/>
    <hyperlink ref="J507" r:id="rId436" display="https://finance.yahoo.com/quote/F/?p=F" xr:uid="{00000000-0004-0000-0200-0000B3010000}"/>
    <hyperlink ref="J508" r:id="rId437" display="https://finance.yahoo.com/quote/f/?p=f" xr:uid="{00000000-0004-0000-0200-0000B4010000}"/>
    <hyperlink ref="J509" r:id="rId438" display="https://finance.yahoo.com/quote/GBTC/?p=GBTC" xr:uid="{00000000-0004-0000-0200-0000B5010000}"/>
    <hyperlink ref="J510" r:id="rId439" display="https://finance.yahoo.com/quote/MSFT/?p=MSFT" xr:uid="{00000000-0004-0000-0200-0000B6010000}"/>
    <hyperlink ref="J511" r:id="rId440" display="https://finance.yahoo.com/quote/MSFT/?p=MSFT" xr:uid="{00000000-0004-0000-0200-0000B7010000}"/>
    <hyperlink ref="J512" r:id="rId441" display="https://finance.yahoo.com/quote/UVXY/?p=UVXY" xr:uid="{00000000-0004-0000-0200-0000B8010000}"/>
    <hyperlink ref="J513" r:id="rId442" display="https://finance.yahoo.com/quote/UVXY/?p=UVXY" xr:uid="{00000000-0004-0000-0200-0000B9010000}"/>
    <hyperlink ref="J514" r:id="rId443" display="https://finance.yahoo.com/quote/WEAT/?p=WEAT" xr:uid="{00000000-0004-0000-0200-0000BA010000}"/>
    <hyperlink ref="D517" r:id="rId444" display="http://600519.ss/" xr:uid="{00000000-0004-0000-0200-0000BB010000}"/>
    <hyperlink ref="J517" r:id="rId445" display="https://finance.yahoo.com/quote/600519.SS/?p=600519.SS" xr:uid="{00000000-0004-0000-0200-0000BC010000}"/>
    <hyperlink ref="J520" r:id="rId446" display="https://finance.yahoo.com/quote/aapl/?p=aapl" xr:uid="{00000000-0004-0000-0200-0000BD010000}"/>
    <hyperlink ref="J521" r:id="rId447" display="https://finance.yahoo.com/quote/ES=F/?p=ES=F" xr:uid="{00000000-0004-0000-0200-0000BE010000}"/>
    <hyperlink ref="J522" r:id="rId448" display="https://finance.yahoo.com/quote/TSLA/?p=TSLA" xr:uid="{00000000-0004-0000-0200-0000BF010000}"/>
    <hyperlink ref="J527" r:id="rId449" display="https://finance.yahoo.com/quote/MGM/?p=MGM" xr:uid="{00000000-0004-0000-0200-0000C0010000}"/>
    <hyperlink ref="J528" r:id="rId450" display="https://finance.yahoo.com/quote/XPEV/?p=XPEV" xr:uid="{00000000-0004-0000-0200-0000C1010000}"/>
    <hyperlink ref="D529" r:id="rId451" display="http://1498.hk/" xr:uid="{00000000-0004-0000-0200-0000C2010000}"/>
    <hyperlink ref="J529" r:id="rId452" display="https://finance.yahoo.com/quote/1498.HK/?p=1498.HK" xr:uid="{00000000-0004-0000-0200-0000C3010000}"/>
    <hyperlink ref="D530" r:id="rId453" display="http://000554.sz/" xr:uid="{00000000-0004-0000-0200-0000C4010000}"/>
    <hyperlink ref="J530" r:id="rId454" display="https://finance.yahoo.com/quote/000554.SZ/?p=000554.SZ" xr:uid="{00000000-0004-0000-0200-0000C5010000}"/>
    <hyperlink ref="D531" r:id="rId455" display="http://002665.sz/" xr:uid="{00000000-0004-0000-0200-0000C6010000}"/>
    <hyperlink ref="J531" r:id="rId456" display="https://finance.yahoo.com/quote/002665.SZ/?p=002665.SZ" xr:uid="{00000000-0004-0000-0200-0000C7010000}"/>
    <hyperlink ref="D532" r:id="rId457" display="http://300922.sz/" xr:uid="{00000000-0004-0000-0200-0000C8010000}"/>
    <hyperlink ref="J532" r:id="rId458" display="https://finance.yahoo.com/quote/300922.SZ/?p=300922.SZ" xr:uid="{00000000-0004-0000-0200-0000C9010000}"/>
    <hyperlink ref="D533" r:id="rId459" display="http://300922.sz/" xr:uid="{00000000-0004-0000-0200-0000CA010000}"/>
    <hyperlink ref="J533" r:id="rId460" display="https://finance.yahoo.com/quote/300922.SZ/?p=300922.SZ" xr:uid="{00000000-0004-0000-0200-0000CB010000}"/>
    <hyperlink ref="D534" r:id="rId461" display="http://300945.sz/" xr:uid="{00000000-0004-0000-0200-0000CC010000}"/>
    <hyperlink ref="J534" r:id="rId462" display="https://finance.yahoo.com/quote/300945.SZ/?p=300945.SZ" xr:uid="{00000000-0004-0000-0200-0000CD010000}"/>
    <hyperlink ref="D535" r:id="rId463" display="http://601808.ss/" xr:uid="{00000000-0004-0000-0200-0000CE010000}"/>
    <hyperlink ref="J535" r:id="rId464" display="https://finance.yahoo.com/quote/601808.SS/?p=601808.SS" xr:uid="{00000000-0004-0000-0200-0000CF010000}"/>
    <hyperlink ref="D536" r:id="rId465" display="http://000554.sz/" xr:uid="{00000000-0004-0000-0200-0000D0010000}"/>
    <hyperlink ref="J536" r:id="rId466" display="https://finance.yahoo.com/quote/000554.SZ/?p=000554.SZ" xr:uid="{00000000-0004-0000-0200-0000D1010000}"/>
    <hyperlink ref="D537" r:id="rId467" display="http://300922.sz/" xr:uid="{00000000-0004-0000-0200-0000D2010000}"/>
    <hyperlink ref="J537" r:id="rId468" display="https://finance.yahoo.com/quote/300922.SZ/?p=300922.SZ" xr:uid="{00000000-0004-0000-0200-0000D3010000}"/>
    <hyperlink ref="D538" r:id="rId469" display="http://300922.sz/" xr:uid="{00000000-0004-0000-0200-0000D4010000}"/>
    <hyperlink ref="J538" r:id="rId470" display="https://finance.yahoo.com/quote/300922.SZ/?p=300922.SZ" xr:uid="{00000000-0004-0000-0200-0000D5010000}"/>
    <hyperlink ref="D539" r:id="rId471" display="http://300945.sz/" xr:uid="{00000000-0004-0000-0200-0000D6010000}"/>
    <hyperlink ref="J539" r:id="rId472" display="https://finance.yahoo.com/quote/300945.SZ/?p=300945.SZ" xr:uid="{00000000-0004-0000-0200-0000D7010000}"/>
    <hyperlink ref="D540" r:id="rId473" display="http://601808.ss/" xr:uid="{00000000-0004-0000-0200-0000D8010000}"/>
    <hyperlink ref="J540" r:id="rId474" display="https://finance.yahoo.com/quote/601808.SS/?p=601808.SS" xr:uid="{00000000-0004-0000-0200-0000D9010000}"/>
    <hyperlink ref="D541" r:id="rId475" display="http://603967.ss/" xr:uid="{00000000-0004-0000-0200-0000DA010000}"/>
    <hyperlink ref="J541" r:id="rId476" display="https://finance.yahoo.com/quote/603967.SS/?p=603967.SS" xr:uid="{00000000-0004-0000-0200-0000DB010000}"/>
    <hyperlink ref="D542" r:id="rId477" display="http://002665.sz/" xr:uid="{00000000-0004-0000-0200-0000DC010000}"/>
    <hyperlink ref="J542" r:id="rId478" display="https://finance.yahoo.com/quote/002665.SZ/?p=002665.SZ" xr:uid="{00000000-0004-0000-0200-0000DD010000}"/>
    <hyperlink ref="D543" r:id="rId479" display="http://603967.ss/" xr:uid="{00000000-0004-0000-0200-0000DE010000}"/>
    <hyperlink ref="J543" r:id="rId480" display="https://finance.yahoo.com/quote/603967.SS/?p=603967.SS" xr:uid="{00000000-0004-0000-0200-0000DF010000}"/>
    <hyperlink ref="D544" r:id="rId481" display="http://603963.ss/" xr:uid="{00000000-0004-0000-0200-0000E0010000}"/>
    <hyperlink ref="J544" r:id="rId482" display="https://finance.yahoo.com/quote/603963.SS/?p=603963.SS" xr:uid="{00000000-0004-0000-0200-0000E1010000}"/>
    <hyperlink ref="D545" r:id="rId483" display="http://603963.ss/" xr:uid="{00000000-0004-0000-0200-0000E2010000}"/>
    <hyperlink ref="J545" r:id="rId484" display="https://finance.yahoo.com/quote/603963.SS/?p=603963.SS" xr:uid="{00000000-0004-0000-0200-0000E3010000}"/>
    <hyperlink ref="D546" r:id="rId485" display="http://603963.ss/" xr:uid="{00000000-0004-0000-0200-0000E4010000}"/>
    <hyperlink ref="J546" r:id="rId486" display="https://finance.yahoo.com/quote/603963.SS/?p=603963.SS" xr:uid="{00000000-0004-0000-0200-0000E5010000}"/>
    <hyperlink ref="J547" r:id="rId487" display="https://finance.yahoo.com/quote/GC=F/?p=GC=F" xr:uid="{00000000-0004-0000-0200-0000E6010000}"/>
    <hyperlink ref="D548" r:id="rId488" display="http://603538.ss/" xr:uid="{00000000-0004-0000-0200-0000E7010000}"/>
    <hyperlink ref="J548" r:id="rId489" display="https://finance.yahoo.com/quote/603538.SS/?p=603538.SS" xr:uid="{00000000-0004-0000-0200-0000E8010000}"/>
    <hyperlink ref="D549" r:id="rId490" display="http://688076.ss/" xr:uid="{00000000-0004-0000-0200-0000E9010000}"/>
    <hyperlink ref="J549" r:id="rId491" display="https://finance.yahoo.com/quote/688076.SS/?p=688076.SS" xr:uid="{00000000-0004-0000-0200-0000EA010000}"/>
    <hyperlink ref="J550" r:id="rId492" display="https://finance.yahoo.com/quote/GC=F/?p=GC=F" xr:uid="{00000000-0004-0000-0200-0000EB010000}"/>
    <hyperlink ref="J551" r:id="rId493" display="https://finance.yahoo.com/quote/GC=F/?p=GC=F" xr:uid="{00000000-0004-0000-0200-0000EC010000}"/>
    <hyperlink ref="D552" r:id="rId494" display="http://002670.sz/" xr:uid="{00000000-0004-0000-0200-0000ED010000}"/>
    <hyperlink ref="J552" r:id="rId495" display="https://finance.yahoo.com/quote/002670.SZ/?p=002670.SZ" xr:uid="{00000000-0004-0000-0200-0000EE010000}"/>
    <hyperlink ref="D553" r:id="rId496" display="http://0700.hk/" xr:uid="{00000000-0004-0000-0200-0000EF010000}"/>
    <hyperlink ref="J553" r:id="rId497" display="https://finance.yahoo.com/quote/0700.HK/?p=0700.HK" xr:uid="{00000000-0004-0000-0200-0000F0010000}"/>
    <hyperlink ref="D554" r:id="rId498" display="http://9988.hk/" xr:uid="{00000000-0004-0000-0200-0000F1010000}"/>
    <hyperlink ref="J554" r:id="rId499" display="https://finance.yahoo.com/quote/9988.HK/?p=9988.HK" xr:uid="{00000000-0004-0000-0200-0000F2010000}"/>
    <hyperlink ref="J555" r:id="rId500" display="https://finance.yahoo.com/quote/GC=F/?p=GC=F" xr:uid="{00000000-0004-0000-0200-0000F3010000}"/>
    <hyperlink ref="J558" r:id="rId501" display="https://finance.yahoo.com/quote/TSLA/?p=TSLA" xr:uid="{00000000-0004-0000-0200-0000F4010000}"/>
    <hyperlink ref="J559" r:id="rId502" display="https://finance.yahoo.com/quote/MSFT/?p=MSFT" xr:uid="{00000000-0004-0000-0200-0000F5010000}"/>
    <hyperlink ref="J560" r:id="rId503" display="https://finance.yahoo.com/quote/NVDA/?p=NVDA" xr:uid="{00000000-0004-0000-0200-0000F6010000}"/>
    <hyperlink ref="J561" r:id="rId504" display="https://finance.yahoo.com/quote/ISPO/?p=ISPO" xr:uid="{00000000-0004-0000-0200-0000F7010000}"/>
    <hyperlink ref="J562" r:id="rId505" display="https://finance.yahoo.com/quote/GOOGL/?p=GOOGL" xr:uid="{00000000-0004-0000-0200-0000F8010000}"/>
    <hyperlink ref="J563" r:id="rId506" display="https://finance.yahoo.com/quote/MSFT/?p=MSFT" xr:uid="{00000000-0004-0000-0200-0000F9010000}"/>
    <hyperlink ref="D566" r:id="rId507" display="http://1398.hk/" xr:uid="{00000000-0004-0000-0200-0000FA010000}"/>
    <hyperlink ref="J566" r:id="rId508" display="https://finance.yahoo.com/quote/1398.HK/?p=1398.HK" xr:uid="{00000000-0004-0000-0200-0000FB010000}"/>
    <hyperlink ref="J567" r:id="rId509" display="https://finance.yahoo.com/quote/NET/?p=NET" xr:uid="{00000000-0004-0000-0200-0000FC010000}"/>
    <hyperlink ref="J568" r:id="rId510" display="https://finance.yahoo.com/quote/AMAT/?p=AMAT" xr:uid="{00000000-0004-0000-0200-0000FD010000}"/>
    <hyperlink ref="J569" r:id="rId511" display="https://finance.yahoo.com/quote/CL=F/?p=CL=F" xr:uid="{00000000-0004-0000-0200-0000FE010000}"/>
    <hyperlink ref="J570" r:id="rId512" display="https://finance.yahoo.com/quote/CL=F/?p=CL=F" xr:uid="{00000000-0004-0000-0200-0000FF010000}"/>
    <hyperlink ref="J571" r:id="rId513" display="https://finance.yahoo.com/quote/NET/?p=NET" xr:uid="{00000000-0004-0000-0200-000000020000}"/>
    <hyperlink ref="D572" r:id="rId514" display="http://1398.hk/" xr:uid="{00000000-0004-0000-0200-000001020000}"/>
    <hyperlink ref="J572" r:id="rId515" display="https://finance.yahoo.com/quote/1398.HK/?p=1398.HK" xr:uid="{00000000-0004-0000-0200-000002020000}"/>
    <hyperlink ref="D573" r:id="rId516" display="http://300157.sz/" xr:uid="{00000000-0004-0000-0200-000003020000}"/>
    <hyperlink ref="J573" r:id="rId517" display="https://finance.yahoo.com/quote/300157.SZ/?p=300157.SZ" xr:uid="{00000000-0004-0000-0200-000004020000}"/>
    <hyperlink ref="J574" r:id="rId518" display="https://finance.yahoo.com/quote/AMAT/?p=AMAT" xr:uid="{00000000-0004-0000-0200-000005020000}"/>
    <hyperlink ref="J575" r:id="rId519" display="https://finance.yahoo.com/quote/BRK-B/?p=BRK-B" xr:uid="{00000000-0004-0000-0200-000006020000}"/>
    <hyperlink ref="J576" r:id="rId520" display="https://finance.yahoo.com/quote/AAPL/?p=AAPL" xr:uid="{00000000-0004-0000-0200-000007020000}"/>
    <hyperlink ref="J577" r:id="rId521" display="https://finance.yahoo.com/quote/BRK-B/?p=BRK-B" xr:uid="{00000000-0004-0000-0200-000008020000}"/>
    <hyperlink ref="J578" r:id="rId522" display="https://finance.yahoo.com/quote/CL=F/?p=CL=F" xr:uid="{00000000-0004-0000-0200-000009020000}"/>
    <hyperlink ref="J579" r:id="rId523" display="https://finance.yahoo.com/quote/CL=F/?p=CL=F" xr:uid="{00000000-0004-0000-0200-00000A020000}"/>
    <hyperlink ref="J580" r:id="rId524" display="https://finance.yahoo.com/quote/IXHL/?p=IXHL" xr:uid="{00000000-0004-0000-0200-00000B020000}"/>
    <hyperlink ref="D581" r:id="rId525" display="http://1398.hk/" xr:uid="{00000000-0004-0000-0200-00000C020000}"/>
    <hyperlink ref="J581" r:id="rId526" display="https://finance.yahoo.com/quote/1398.HK/?p=1398.HK" xr:uid="{00000000-0004-0000-0200-00000D020000}"/>
    <hyperlink ref="J582" r:id="rId527" display="https://finance.yahoo.com/quote/IXHL/?p=IXHL" xr:uid="{00000000-0004-0000-0200-00000E020000}"/>
    <hyperlink ref="J589" r:id="rId528" display="https://finance.yahoo.com/quote/JD/?p=JD" xr:uid="{00000000-0004-0000-0200-00000F020000}"/>
    <hyperlink ref="D590" r:id="rId529" display="http://0700.hk/" xr:uid="{00000000-0004-0000-0200-000010020000}"/>
    <hyperlink ref="J590" r:id="rId530" display="https://finance.yahoo.com/quote/0700.HK/?p=0700.HK" xr:uid="{00000000-0004-0000-0200-000011020000}"/>
    <hyperlink ref="D591" r:id="rId531" display="http://3690.hk/" xr:uid="{00000000-0004-0000-0200-000012020000}"/>
    <hyperlink ref="J591" r:id="rId532" display="https://finance.yahoo.com/quote/3690.HK/?p=3690.HK" xr:uid="{00000000-0004-0000-0200-000013020000}"/>
    <hyperlink ref="J592" r:id="rId533" display="https://finance.yahoo.com/quote/JD/?p=JD" xr:uid="{00000000-0004-0000-0200-000014020000}"/>
    <hyperlink ref="D593" r:id="rId534" display="http://0700.hk/" xr:uid="{00000000-0004-0000-0200-000015020000}"/>
    <hyperlink ref="J593" r:id="rId535" display="https://finance.yahoo.com/quote/0700.HK/?p=0700.HK" xr:uid="{00000000-0004-0000-0200-000016020000}"/>
    <hyperlink ref="D594" r:id="rId536" display="http://0700.hk/" xr:uid="{00000000-0004-0000-0200-000017020000}"/>
    <hyperlink ref="J594" r:id="rId537" display="https://finance.yahoo.com/quote/0700.HK/?p=0700.HK" xr:uid="{00000000-0004-0000-0200-000018020000}"/>
    <hyperlink ref="D601" r:id="rId538" display="http://000568.sz/" xr:uid="{00000000-0004-0000-0200-000019020000}"/>
    <hyperlink ref="J601" r:id="rId539" display="https://finance.yahoo.com/quote/000568.SZ/?p=000568.SZ" xr:uid="{00000000-0004-0000-0200-00001A020000}"/>
    <hyperlink ref="D604" r:id="rId540" display="http://1024.hk/" xr:uid="{00000000-0004-0000-0200-00001B020000}"/>
    <hyperlink ref="J604" r:id="rId541" display="https://finance.yahoo.com/quote/1024.HK/?p=1024.HK" xr:uid="{00000000-0004-0000-0200-00001C020000}"/>
    <hyperlink ref="D609" r:id="rId542" display="http://0700.hk/" xr:uid="{00000000-0004-0000-0200-00001D020000}"/>
    <hyperlink ref="J609" r:id="rId543" display="https://finance.yahoo.com/quote/0700.HK/?p=0700.HK" xr:uid="{00000000-0004-0000-0200-00001E020000}"/>
    <hyperlink ref="D610" r:id="rId544" display="http://3690.hk/" xr:uid="{00000000-0004-0000-0200-00001F020000}"/>
    <hyperlink ref="J610" r:id="rId545" display="https://finance.yahoo.com/quote/3690.HK/?p=3690.HK" xr:uid="{00000000-0004-0000-0200-000020020000}"/>
    <hyperlink ref="D611" r:id="rId546" display="http://0700.hk/" xr:uid="{00000000-0004-0000-0200-000021020000}"/>
    <hyperlink ref="J611" r:id="rId547" display="https://finance.yahoo.com/quote/0700.HK/?p=0700.HK" xr:uid="{00000000-0004-0000-0200-000022020000}"/>
    <hyperlink ref="D612" r:id="rId548" display="http://3690.hk/" xr:uid="{00000000-0004-0000-0200-000023020000}"/>
    <hyperlink ref="J612" r:id="rId549" display="https://finance.yahoo.com/quote/3690.HK/?p=3690.HK" xr:uid="{00000000-0004-0000-0200-000024020000}"/>
    <hyperlink ref="D615" r:id="rId550" display="http://9626.hk/" xr:uid="{00000000-0004-0000-0200-000025020000}"/>
    <hyperlink ref="J615" r:id="rId551" display="https://finance.yahoo.com/quote/9626.HK/?p=9626.HK" xr:uid="{00000000-0004-0000-0200-000026020000}"/>
    <hyperlink ref="D616" r:id="rId552" display="http://9988.hk/" xr:uid="{00000000-0004-0000-0200-000027020000}"/>
    <hyperlink ref="J616" r:id="rId553" display="https://finance.yahoo.com/quote/9988.HK/?p=9988.HK" xr:uid="{00000000-0004-0000-0200-000028020000}"/>
    <hyperlink ref="D617" r:id="rId554" display="http://3690.hk/" xr:uid="{00000000-0004-0000-0200-000029020000}"/>
    <hyperlink ref="J617" r:id="rId555" display="https://finance.yahoo.com/quote/3690.HK/?p=3690.HK" xr:uid="{00000000-0004-0000-0200-00002A020000}"/>
    <hyperlink ref="D618" r:id="rId556" display="http://6078.hk/" xr:uid="{00000000-0004-0000-0200-00002B020000}"/>
    <hyperlink ref="J618" r:id="rId557" display="https://finance.yahoo.com/quote/6078.HK/?p=6078.HK" xr:uid="{00000000-0004-0000-0200-00002C020000}"/>
    <hyperlink ref="J621" r:id="rId558" display="https://finance.yahoo.com/quote/AAPL/?p=AAPL" xr:uid="{00000000-0004-0000-0200-00002D020000}"/>
    <hyperlink ref="D622" r:id="rId559" display="http://000950.sz/" xr:uid="{00000000-0004-0000-0200-00002E020000}"/>
    <hyperlink ref="J622" r:id="rId560" display="https://finance.yahoo.com/quote/000950.SZ/?p=000950.SZ" xr:uid="{00000000-0004-0000-0200-00002F020000}"/>
    <hyperlink ref="D623" r:id="rId561" display="http://600661.ss/" xr:uid="{00000000-0004-0000-0200-000030020000}"/>
    <hyperlink ref="J623" r:id="rId562" display="https://finance.yahoo.com/quote/600661.SS/?p=600661.SS" xr:uid="{00000000-0004-0000-0200-000031020000}"/>
    <hyperlink ref="J624" r:id="rId563" display="https://finance.yahoo.com/quote/AAPL/?p=AAPL" xr:uid="{00000000-0004-0000-0200-000032020000}"/>
    <hyperlink ref="D625" r:id="rId564" display="http://000950.sz/" xr:uid="{00000000-0004-0000-0200-000033020000}"/>
    <hyperlink ref="J625" r:id="rId565" display="https://finance.yahoo.com/quote/000950.SZ/?p=000950.SZ" xr:uid="{00000000-0004-0000-0200-000034020000}"/>
    <hyperlink ref="D626" r:id="rId566" display="http://600661.ss/" xr:uid="{00000000-0004-0000-0200-000035020000}"/>
    <hyperlink ref="J626" r:id="rId567" display="https://finance.yahoo.com/quote/600661.SS/?p=600661.SS" xr:uid="{00000000-0004-0000-0200-000036020000}"/>
    <hyperlink ref="D627" r:id="rId568" display="http://001896.sz/" xr:uid="{00000000-0004-0000-0200-000037020000}"/>
    <hyperlink ref="J627" r:id="rId569" display="https://finance.yahoo.com/quote/001896.SZ/?p=001896.SZ" xr:uid="{00000000-0004-0000-0200-000038020000}"/>
    <hyperlink ref="D628" r:id="rId570" display="http://0700.hk/" xr:uid="{00000000-0004-0000-0200-000039020000}"/>
    <hyperlink ref="J628" r:id="rId571" display="https://finance.yahoo.com/quote/0700.HK/?p=0700.HK" xr:uid="{00000000-0004-0000-0200-00003A020000}"/>
    <hyperlink ref="D629" r:id="rId572" display="http://0700.hk/" xr:uid="{00000000-0004-0000-0200-00003B020000}"/>
    <hyperlink ref="J629" r:id="rId573" display="https://finance.yahoo.com/quote/0700.HK/?p=0700.HK" xr:uid="{00000000-0004-0000-0200-00003C020000}"/>
    <hyperlink ref="D632" r:id="rId574" display="http://9988.hk/" xr:uid="{00000000-0004-0000-0200-00003D020000}"/>
    <hyperlink ref="J632" r:id="rId575" display="https://finance.yahoo.com/quote/9988.HK/?p=9988.HK" xr:uid="{00000000-0004-0000-0200-00003E020000}"/>
    <hyperlink ref="D633" r:id="rId576" display="http://0941.hk/" xr:uid="{00000000-0004-0000-0200-00003F020000}"/>
    <hyperlink ref="J633" r:id="rId577" display="https://finance.yahoo.com/quote/0941.HK/?p=0941.HK" xr:uid="{00000000-0004-0000-0200-000040020000}"/>
    <hyperlink ref="D634" r:id="rId578" display="http://2800.hk/" xr:uid="{00000000-0004-0000-0200-000041020000}"/>
    <hyperlink ref="J634" r:id="rId579" display="https://finance.yahoo.com/quote/2800.HK/?p=2800.HK" xr:uid="{00000000-0004-0000-0200-000042020000}"/>
    <hyperlink ref="D635" r:id="rId580" display="http://9988.hk/" xr:uid="{00000000-0004-0000-0200-000043020000}"/>
    <hyperlink ref="J635" r:id="rId581" display="https://finance.yahoo.com/quote/9988.HK/?p=9988.HK" xr:uid="{00000000-0004-0000-0200-000044020000}"/>
    <hyperlink ref="D636" r:id="rId582" display="http://2800.hk/" xr:uid="{00000000-0004-0000-0200-000045020000}"/>
    <hyperlink ref="J636" r:id="rId583" display="https://finance.yahoo.com/quote/2800.HK/?p=2800.HK" xr:uid="{00000000-0004-0000-0200-000046020000}"/>
    <hyperlink ref="D637" r:id="rId584" display="http://9988.hk/" xr:uid="{00000000-0004-0000-0200-000047020000}"/>
    <hyperlink ref="J637" r:id="rId585" display="https://finance.yahoo.com/quote/9988.HK/?p=9988.HK" xr:uid="{00000000-0004-0000-0200-000048020000}"/>
    <hyperlink ref="D638" r:id="rId586" display="http://0700.hk/" xr:uid="{00000000-0004-0000-0200-000049020000}"/>
    <hyperlink ref="J638" r:id="rId587" display="https://finance.yahoo.com/quote/0700.HK/?p=0700.HK" xr:uid="{00000000-0004-0000-0200-00004A020000}"/>
    <hyperlink ref="D639" r:id="rId588" display="http://2800.hk/" xr:uid="{00000000-0004-0000-0200-00004B020000}"/>
    <hyperlink ref="J639" r:id="rId589" display="https://finance.yahoo.com/quote/2800.HK/?p=2800.HK" xr:uid="{00000000-0004-0000-0200-00004C020000}"/>
    <hyperlink ref="D640" r:id="rId590" display="http://0388.hk/" xr:uid="{00000000-0004-0000-0200-00004D020000}"/>
    <hyperlink ref="J640" r:id="rId591" display="https://finance.yahoo.com/quote/0388.HK/?p=0388.HK" xr:uid="{00000000-0004-0000-0200-00004E020000}"/>
    <hyperlink ref="D641" r:id="rId592" display="http://9988.hk/" xr:uid="{00000000-0004-0000-0200-00004F020000}"/>
    <hyperlink ref="J641" r:id="rId593" display="https://finance.yahoo.com/quote/9988.HK/?p=9988.HK" xr:uid="{00000000-0004-0000-0200-000050020000}"/>
    <hyperlink ref="D642" r:id="rId594" display="http://9988.hk/" xr:uid="{00000000-0004-0000-0200-000051020000}"/>
    <hyperlink ref="J642" r:id="rId595" display="https://finance.yahoo.com/quote/9988.HK/?p=9988.HK" xr:uid="{00000000-0004-0000-0200-000052020000}"/>
    <hyperlink ref="J649" r:id="rId596" display="https://finance.yahoo.com/quote/BITO/?p=BITO" xr:uid="{00000000-0004-0000-0200-000053020000}"/>
    <hyperlink ref="D660" r:id="rId597" display="http://3690.hk/" xr:uid="{00000000-0004-0000-0200-000054020000}"/>
    <hyperlink ref="J660" r:id="rId598" display="https://finance.yahoo.com/quote/3690.HK/?p=3690.HK" xr:uid="{00000000-0004-0000-0200-000055020000}"/>
    <hyperlink ref="D661" r:id="rId599" display="http://9698.hk/" xr:uid="{00000000-0004-0000-0200-000056020000}"/>
    <hyperlink ref="J661" r:id="rId600" display="https://finance.yahoo.com/quote/9698.HK/?p=9698.HK" xr:uid="{00000000-0004-0000-0200-000057020000}"/>
    <hyperlink ref="D662" r:id="rId601" display="http://9698.hk/" xr:uid="{00000000-0004-0000-0200-000058020000}"/>
    <hyperlink ref="J662" r:id="rId602" display="https://finance.yahoo.com/quote/9698.HK/?p=9698.HK" xr:uid="{00000000-0004-0000-0200-000059020000}"/>
    <hyperlink ref="D663" r:id="rId603" display="http://3690.hk/" xr:uid="{00000000-0004-0000-0200-00005A020000}"/>
    <hyperlink ref="J663" r:id="rId604" display="https://finance.yahoo.com/quote/3690.HK/?p=3690.HK" xr:uid="{00000000-0004-0000-0200-00005B020000}"/>
    <hyperlink ref="D664" r:id="rId605" display="http://2269.hk/" xr:uid="{00000000-0004-0000-0200-00005C020000}"/>
    <hyperlink ref="J664" r:id="rId606" display="https://finance.yahoo.com/quote/2269.HK/?p=2269.HK" xr:uid="{00000000-0004-0000-0200-00005D020000}"/>
    <hyperlink ref="J665" r:id="rId607" display="https://finance.yahoo.com/quote/UVXY/?p=UVXY" xr:uid="{00000000-0004-0000-0200-00005E020000}"/>
    <hyperlink ref="D666" r:id="rId608" display="http://9698.hk/" xr:uid="{00000000-0004-0000-0200-00005F020000}"/>
    <hyperlink ref="J666" r:id="rId609" display="https://finance.yahoo.com/quote/9698.HK/?p=9698.HK" xr:uid="{00000000-0004-0000-0200-000060020000}"/>
    <hyperlink ref="D667" r:id="rId610" display="http://6969.hk/" xr:uid="{00000000-0004-0000-0200-000061020000}"/>
    <hyperlink ref="J667" r:id="rId611" display="https://finance.yahoo.com/quote/6969.HK/?p=6969.HK" xr:uid="{00000000-0004-0000-0200-000062020000}"/>
    <hyperlink ref="D668" r:id="rId612" display="http://6969.hk/" xr:uid="{00000000-0004-0000-0200-000063020000}"/>
    <hyperlink ref="J668" r:id="rId613" display="https://finance.yahoo.com/quote/6969.HK/?p=6969.HK" xr:uid="{00000000-0004-0000-0200-000064020000}"/>
    <hyperlink ref="J669" r:id="rId614" display="https://finance.yahoo.com/quote/SOFI/?p=SOFI" xr:uid="{00000000-0004-0000-0200-000065020000}"/>
    <hyperlink ref="J670" r:id="rId615" display="https://finance.yahoo.com/quote/SOXL/?p=SOXL" xr:uid="{00000000-0004-0000-0200-000066020000}"/>
    <hyperlink ref="J671" r:id="rId616" display="https://finance.yahoo.com/quote/UVXY/?p=UVXY" xr:uid="{00000000-0004-0000-0200-000067020000}"/>
    <hyperlink ref="D672" r:id="rId617" display="http://9698.hk/" xr:uid="{00000000-0004-0000-0200-000068020000}"/>
    <hyperlink ref="J672" r:id="rId618" display="https://finance.yahoo.com/quote/9698.HK/?p=9698.HK" xr:uid="{00000000-0004-0000-0200-000069020000}"/>
    <hyperlink ref="J674" r:id="rId619" display="https://finance.yahoo.com/quote/NU/?p=NU" xr:uid="{00000000-0004-0000-0200-00006A020000}"/>
    <hyperlink ref="J675" r:id="rId620" display="https://finance.yahoo.com/quote/SOFI/?p=SOFI" xr:uid="{00000000-0004-0000-0200-00006B020000}"/>
    <hyperlink ref="J676" r:id="rId621" display="https://finance.yahoo.com/quote/TCEHY/?p=TCEHY" xr:uid="{00000000-0004-0000-0200-00006C020000}"/>
    <hyperlink ref="J677" r:id="rId622" display="https://finance.yahoo.com/quote/UVXY/?p=UVXY" xr:uid="{00000000-0004-0000-0200-00006D020000}"/>
    <hyperlink ref="J678" r:id="rId623" display="https://finance.yahoo.com/quote/YINN/?p=YINN" xr:uid="{00000000-0004-0000-0200-00006E020000}"/>
    <hyperlink ref="D682" r:id="rId624" display="http://6969.hk/" xr:uid="{00000000-0004-0000-0200-00006F020000}"/>
    <hyperlink ref="J682" r:id="rId625" display="https://finance.yahoo.com/quote/6969.HK/?p=6969.HK" xr:uid="{00000000-0004-0000-0200-000070020000}"/>
    <hyperlink ref="D683" r:id="rId626" display="http://9698.hk/" xr:uid="{00000000-0004-0000-0200-000071020000}"/>
    <hyperlink ref="J683" r:id="rId627" display="https://finance.yahoo.com/quote/9698.HK/?p=9698.HK" xr:uid="{00000000-0004-0000-0200-000072020000}"/>
    <hyperlink ref="J684" r:id="rId628" display="https://finance.yahoo.com/quote/NU/?p=NU" xr:uid="{00000000-0004-0000-0200-000073020000}"/>
    <hyperlink ref="J685" r:id="rId629" display="https://finance.yahoo.com/quote/SOFI/?p=SOFI" xr:uid="{00000000-0004-0000-0200-000074020000}"/>
    <hyperlink ref="J686" r:id="rId630" display="https://finance.yahoo.com/quote/YINN/?p=YINN" xr:uid="{00000000-0004-0000-0200-000075020000}"/>
    <hyperlink ref="J689" r:id="rId631" display="https://finance.yahoo.com/quote/SBRCY/?p=SBRCY" xr:uid="{00000000-0004-0000-0200-000076020000}"/>
    <hyperlink ref="J690" r:id="rId632" display="https://finance.yahoo.com/quote/SOXL/?p=SOXL" xr:uid="{00000000-0004-0000-0200-000077020000}"/>
    <hyperlink ref="J693" r:id="rId633" display="https://finance.yahoo.com/quote/NU/?p=NU" xr:uid="{00000000-0004-0000-0200-000078020000}"/>
    <hyperlink ref="J694" r:id="rId634" display="https://finance.yahoo.com/quote/SOFI/?p=SOFI" xr:uid="{00000000-0004-0000-0200-000079020000}"/>
    <hyperlink ref="J695" r:id="rId635" display="https://finance.yahoo.com/quote/SOXL/?p=SOXL" xr:uid="{00000000-0004-0000-0200-00007A020000}"/>
    <hyperlink ref="D697" r:id="rId636" display="http://9988.hk/" xr:uid="{00000000-0004-0000-0200-00007B020000}"/>
    <hyperlink ref="J697" r:id="rId637" display="https://finance.yahoo.com/quote/9988.HK/?p=9988.HK" xr:uid="{00000000-0004-0000-0200-00007C020000}"/>
    <hyperlink ref="J698" r:id="rId638" display="https://finance.yahoo.com/quote/SOXL/?p=SOXL" xr:uid="{00000000-0004-0000-0200-00007D020000}"/>
    <hyperlink ref="J699" r:id="rId639" display="https://finance.yahoo.com/quote/SOXL/?p=SOXL" xr:uid="{00000000-0004-0000-0200-00007E020000}"/>
    <hyperlink ref="J702" r:id="rId640" display="https://finance.yahoo.com/quote/TCEHY/?p=TCEHY" xr:uid="{00000000-0004-0000-0200-00007F020000}"/>
    <hyperlink ref="J709" r:id="rId641" display="https://finance.yahoo.com/quote/YINN/?p=YINN" xr:uid="{00000000-0004-0000-0200-000080020000}"/>
    <hyperlink ref="D713" r:id="rId642" display="http://9988.hk/" xr:uid="{00000000-0004-0000-0200-000081020000}"/>
    <hyperlink ref="J713" r:id="rId643" display="https://finance.yahoo.com/quote/9988.HK/?p=9988.HK" xr:uid="{00000000-0004-0000-0200-000082020000}"/>
    <hyperlink ref="D714" r:id="rId644" display="http://0708.hk/" xr:uid="{00000000-0004-0000-0200-000083020000}"/>
    <hyperlink ref="J714" r:id="rId645" display="https://finance.yahoo.com/quote/0708.HK/?p=0708.HK" xr:uid="{00000000-0004-0000-0200-000084020000}"/>
    <hyperlink ref="D715" r:id="rId646" display="http://3690.hk/" xr:uid="{00000000-0004-0000-0200-000085020000}"/>
    <hyperlink ref="J715" r:id="rId647" display="https://finance.yahoo.com/quote/3690.HK/?p=3690.HK" xr:uid="{00000000-0004-0000-0200-000086020000}"/>
    <hyperlink ref="J716" r:id="rId648" display="https://finance.yahoo.com/quote/TCEHY/?p=TCEHY" xr:uid="{00000000-0004-0000-0200-000087020000}"/>
    <hyperlink ref="J720" r:id="rId649" display="https://finance.yahoo.com/quote/SBRCY/?p=SBRCY" xr:uid="{00000000-0004-0000-0200-000088020000}"/>
    <hyperlink ref="D721" r:id="rId650" display="http://3833.hk/" xr:uid="{00000000-0004-0000-0200-000089020000}"/>
    <hyperlink ref="J721" r:id="rId651" display="https://finance.yahoo.com/quote/3833.HK/?p=3833.HK" xr:uid="{00000000-0004-0000-0200-00008A020000}"/>
    <hyperlink ref="J727" r:id="rId652" display="https://finance.yahoo.com/quote/ASML/?p=ASML" xr:uid="{00000000-0004-0000-0200-00008B020000}"/>
    <hyperlink ref="J728" r:id="rId653" display="https://finance.yahoo.com/quote/ASML/?p=ASML" xr:uid="{00000000-0004-0000-0200-00008C020000}"/>
    <hyperlink ref="D731" r:id="rId654" display="http://0175.hk/" xr:uid="{00000000-0004-0000-0200-00008D020000}"/>
    <hyperlink ref="J731" r:id="rId655" display="https://finance.yahoo.com/quote/0175.HK/?p=0175.HK" xr:uid="{00000000-0004-0000-0200-00008E020000}"/>
    <hyperlink ref="D732" r:id="rId656" display="http://0968.hk/" xr:uid="{00000000-0004-0000-0200-00008F020000}"/>
    <hyperlink ref="J732" r:id="rId657" display="https://finance.yahoo.com/quote/0968.HK/?p=0968.HK" xr:uid="{00000000-0004-0000-0200-000090020000}"/>
    <hyperlink ref="D733" r:id="rId658" display="http://3800.hk/" xr:uid="{00000000-0004-0000-0200-000091020000}"/>
    <hyperlink ref="J733" r:id="rId659" display="https://finance.yahoo.com/quote/3800.HK/?p=3800.HK" xr:uid="{00000000-0004-0000-0200-000092020000}"/>
    <hyperlink ref="D734" r:id="rId660" display="http://9988.hk/" xr:uid="{00000000-0004-0000-0200-000093020000}"/>
    <hyperlink ref="J734" r:id="rId661" display="https://finance.yahoo.com/quote/9988.HK/?p=9988.HK" xr:uid="{00000000-0004-0000-0200-000094020000}"/>
    <hyperlink ref="D735" r:id="rId662" display="http://9999.hk/" xr:uid="{00000000-0004-0000-0200-000095020000}"/>
    <hyperlink ref="J735" r:id="rId663" display="https://finance.yahoo.com/quote/9999.HK/?p=9999.HK" xr:uid="{00000000-0004-0000-0200-000096020000}"/>
    <hyperlink ref="D736" r:id="rId664" display="http://9988.hk/" xr:uid="{00000000-0004-0000-0200-000097020000}"/>
    <hyperlink ref="J736" r:id="rId665" display="https://finance.yahoo.com/quote/9988.HK/?p=9988.HK" xr:uid="{00000000-0004-0000-0200-000098020000}"/>
    <hyperlink ref="J741" r:id="rId666" display="https://finance.yahoo.com/quote/AMZN/?p=AMZN" xr:uid="{00000000-0004-0000-0200-000099020000}"/>
    <hyperlink ref="D742" r:id="rId667" display="http://0909.hk/" xr:uid="{00000000-0004-0000-0200-00009A020000}"/>
    <hyperlink ref="J742" r:id="rId668" display="https://finance.yahoo.com/quote/0909.HK/?p=0909.HK" xr:uid="{00000000-0004-0000-0200-00009B020000}"/>
    <hyperlink ref="D743" r:id="rId669" display="http://9961.hk/" xr:uid="{00000000-0004-0000-0200-00009C020000}"/>
    <hyperlink ref="J743" r:id="rId670" display="https://finance.yahoo.com/quote/9961.HK/?p=9961.HK" xr:uid="{00000000-0004-0000-0200-00009D020000}"/>
    <hyperlink ref="D744" r:id="rId671" display="http://9999.hk/" xr:uid="{00000000-0004-0000-0200-00009E020000}"/>
    <hyperlink ref="J744" r:id="rId672" display="https://finance.yahoo.com/quote/9999.HK/?p=9999.HK" xr:uid="{00000000-0004-0000-0200-00009F020000}"/>
    <hyperlink ref="J745" r:id="rId673" display="https://finance.yahoo.com/quote/AMGN/?p=AMGN" xr:uid="{00000000-0004-0000-0200-0000A0020000}"/>
    <hyperlink ref="J746" r:id="rId674" display="https://finance.yahoo.com/quote/ATVI/?p=ATVI" xr:uid="{00000000-0004-0000-0200-0000A1020000}"/>
    <hyperlink ref="J747" r:id="rId675" display="https://finance.yahoo.com/quote/LCID/?p=LCID" xr:uid="{00000000-0004-0000-0200-0000A2020000}"/>
    <hyperlink ref="J748" r:id="rId676" display="https://finance.yahoo.com/quote/PANW/?p=PANW" xr:uid="{00000000-0004-0000-0200-0000A3020000}"/>
    <hyperlink ref="D764" r:id="rId677" display="http://1024.hk/" xr:uid="{00000000-0004-0000-0200-0000A4020000}"/>
  </hyperlinks>
  <printOptions horizontalCentered="1" gridLines="1"/>
  <pageMargins left="0.25" right="0.25" top="0.75" bottom="0.75" header="0" footer="0"/>
  <pageSetup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O85"/>
  <sheetViews>
    <sheetView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12.6640625" defaultRowHeight="15.75" customHeight="1" x14ac:dyDescent="0.15"/>
  <cols>
    <col min="2" max="171" width="7.6640625" customWidth="1"/>
  </cols>
  <sheetData>
    <row r="1" spans="1:171" ht="15.75" customHeight="1" x14ac:dyDescent="0.25">
      <c r="A1" s="105" t="str">
        <f ca="1">IFERROR(__xludf.DUMMYFUNCTION("importrange(""https://docs.google.com/spreadsheets/d/1mvA960mm3QaFyRdwkfIRxhE1UQJl45QEUTnDVxtxiIE/edit?usp=sharing"",""HistClsP!A1:FO84"")"),"Historical Closing Prices in COMPASS System")</f>
        <v>Historical Closing Prices in COMPASS System</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row>
    <row r="2" spans="1:171" ht="15.75" customHeight="1" x14ac:dyDescent="0.15">
      <c r="A2" s="43" t="str">
        <f ca="1">IFERROR(__xludf.DUMMYFUNCTION("""COMPUTED_VALUE"""),"System date:")</f>
        <v>System date:</v>
      </c>
      <c r="B2" s="106">
        <f ca="1">IFERROR(__xludf.DUMMYFUNCTION("""COMPUTED_VALUE"""),44643)</f>
        <v>44643</v>
      </c>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107" t="str">
        <f ca="1">IFERROR(__xludf.DUMMYFUNCTION("""COMPUTED_VALUE"""),"Use Avg (Bid,Ask for Bond)")</f>
        <v>Use Avg (Bid,Ask for Bond)</v>
      </c>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row>
    <row r="3" spans="1:171" ht="15.75" customHeight="1" x14ac:dyDescent="0.15">
      <c r="A3" s="43"/>
      <c r="B3" s="108">
        <f ca="1">IFERROR(__xludf.DUMMYFUNCTION("""COMPUTED_VALUE"""),1)</f>
        <v>1</v>
      </c>
      <c r="C3" s="108">
        <f ca="1">IFERROR(__xludf.DUMMYFUNCTION("""COMPUTED_VALUE"""),2)</f>
        <v>2</v>
      </c>
      <c r="D3" s="108">
        <f ca="1">IFERROR(__xludf.DUMMYFUNCTION("""COMPUTED_VALUE"""),3)</f>
        <v>3</v>
      </c>
      <c r="E3" s="108">
        <f ca="1">IFERROR(__xludf.DUMMYFUNCTION("""COMPUTED_VALUE"""),4)</f>
        <v>4</v>
      </c>
      <c r="F3" s="108">
        <f ca="1">IFERROR(__xludf.DUMMYFUNCTION("""COMPUTED_VALUE"""),5)</f>
        <v>5</v>
      </c>
      <c r="G3" s="108">
        <f ca="1">IFERROR(__xludf.DUMMYFUNCTION("""COMPUTED_VALUE"""),6)</f>
        <v>6</v>
      </c>
      <c r="H3" s="108">
        <f ca="1">IFERROR(__xludf.DUMMYFUNCTION("""COMPUTED_VALUE"""),7)</f>
        <v>7</v>
      </c>
      <c r="I3" s="108">
        <f ca="1">IFERROR(__xludf.DUMMYFUNCTION("""COMPUTED_VALUE"""),8)</f>
        <v>8</v>
      </c>
      <c r="J3" s="108">
        <f ca="1">IFERROR(__xludf.DUMMYFUNCTION("""COMPUTED_VALUE"""),9)</f>
        <v>9</v>
      </c>
      <c r="K3" s="108">
        <f ca="1">IFERROR(__xludf.DUMMYFUNCTION("""COMPUTED_VALUE"""),10)</f>
        <v>10</v>
      </c>
      <c r="L3" s="108">
        <f ca="1">IFERROR(__xludf.DUMMYFUNCTION("""COMPUTED_VALUE"""),11)</f>
        <v>11</v>
      </c>
      <c r="M3" s="108">
        <f ca="1">IFERROR(__xludf.DUMMYFUNCTION("""COMPUTED_VALUE"""),12)</f>
        <v>12</v>
      </c>
      <c r="N3" s="108">
        <f ca="1">IFERROR(__xludf.DUMMYFUNCTION("""COMPUTED_VALUE"""),13)</f>
        <v>13</v>
      </c>
      <c r="O3" s="108">
        <f ca="1">IFERROR(__xludf.DUMMYFUNCTION("""COMPUTED_VALUE"""),14)</f>
        <v>14</v>
      </c>
      <c r="P3" s="108">
        <f ca="1">IFERROR(__xludf.DUMMYFUNCTION("""COMPUTED_VALUE"""),15)</f>
        <v>15</v>
      </c>
      <c r="Q3" s="108">
        <f ca="1">IFERROR(__xludf.DUMMYFUNCTION("""COMPUTED_VALUE"""),16)</f>
        <v>16</v>
      </c>
      <c r="R3" s="108">
        <f ca="1">IFERROR(__xludf.DUMMYFUNCTION("""COMPUTED_VALUE"""),17)</f>
        <v>17</v>
      </c>
      <c r="S3" s="108">
        <f ca="1">IFERROR(__xludf.DUMMYFUNCTION("""COMPUTED_VALUE"""),18)</f>
        <v>18</v>
      </c>
      <c r="T3" s="108">
        <f ca="1">IFERROR(__xludf.DUMMYFUNCTION("""COMPUTED_VALUE"""),19)</f>
        <v>19</v>
      </c>
      <c r="U3" s="108">
        <f ca="1">IFERROR(__xludf.DUMMYFUNCTION("""COMPUTED_VALUE"""),20)</f>
        <v>20</v>
      </c>
      <c r="V3" s="108">
        <f ca="1">IFERROR(__xludf.DUMMYFUNCTION("""COMPUTED_VALUE"""),21)</f>
        <v>21</v>
      </c>
      <c r="W3" s="108">
        <f ca="1">IFERROR(__xludf.DUMMYFUNCTION("""COMPUTED_VALUE"""),22)</f>
        <v>22</v>
      </c>
      <c r="X3" s="108">
        <f ca="1">IFERROR(__xludf.DUMMYFUNCTION("""COMPUTED_VALUE"""),23)</f>
        <v>23</v>
      </c>
      <c r="Y3" s="108">
        <f ca="1">IFERROR(__xludf.DUMMYFUNCTION("""COMPUTED_VALUE"""),24)</f>
        <v>24</v>
      </c>
      <c r="Z3" s="108">
        <f ca="1">IFERROR(__xludf.DUMMYFUNCTION("""COMPUTED_VALUE"""),25)</f>
        <v>25</v>
      </c>
      <c r="AA3" s="108">
        <f ca="1">IFERROR(__xludf.DUMMYFUNCTION("""COMPUTED_VALUE"""),26)</f>
        <v>26</v>
      </c>
      <c r="AB3" s="108">
        <f ca="1">IFERROR(__xludf.DUMMYFUNCTION("""COMPUTED_VALUE"""),27)</f>
        <v>27</v>
      </c>
      <c r="AC3" s="108">
        <f ca="1">IFERROR(__xludf.DUMMYFUNCTION("""COMPUTED_VALUE"""),28)</f>
        <v>28</v>
      </c>
      <c r="AD3" s="108">
        <f ca="1">IFERROR(__xludf.DUMMYFUNCTION("""COMPUTED_VALUE"""),29)</f>
        <v>29</v>
      </c>
      <c r="AE3" s="108">
        <f ca="1">IFERROR(__xludf.DUMMYFUNCTION("""COMPUTED_VALUE"""),30)</f>
        <v>30</v>
      </c>
      <c r="AF3" s="108">
        <f ca="1">IFERROR(__xludf.DUMMYFUNCTION("""COMPUTED_VALUE"""),31)</f>
        <v>31</v>
      </c>
      <c r="AG3" s="108">
        <f ca="1">IFERROR(__xludf.DUMMYFUNCTION("""COMPUTED_VALUE"""),32)</f>
        <v>32</v>
      </c>
      <c r="AH3" s="108">
        <f ca="1">IFERROR(__xludf.DUMMYFUNCTION("""COMPUTED_VALUE"""),33)</f>
        <v>33</v>
      </c>
      <c r="AI3" s="108">
        <f ca="1">IFERROR(__xludf.DUMMYFUNCTION("""COMPUTED_VALUE"""),34)</f>
        <v>34</v>
      </c>
      <c r="AJ3" s="108">
        <f ca="1">IFERROR(__xludf.DUMMYFUNCTION("""COMPUTED_VALUE"""),35)</f>
        <v>35</v>
      </c>
      <c r="AK3" s="108">
        <f ca="1">IFERROR(__xludf.DUMMYFUNCTION("""COMPUTED_VALUE"""),36)</f>
        <v>36</v>
      </c>
      <c r="AL3" s="108">
        <f ca="1">IFERROR(__xludf.DUMMYFUNCTION("""COMPUTED_VALUE"""),37)</f>
        <v>37</v>
      </c>
      <c r="AM3" s="108">
        <f ca="1">IFERROR(__xludf.DUMMYFUNCTION("""COMPUTED_VALUE"""),38)</f>
        <v>38</v>
      </c>
      <c r="AN3" s="108">
        <f ca="1">IFERROR(__xludf.DUMMYFUNCTION("""COMPUTED_VALUE"""),39)</f>
        <v>39</v>
      </c>
      <c r="AO3" s="108">
        <f ca="1">IFERROR(__xludf.DUMMYFUNCTION("""COMPUTED_VALUE"""),40)</f>
        <v>40</v>
      </c>
      <c r="AP3" s="108">
        <f ca="1">IFERROR(__xludf.DUMMYFUNCTION("""COMPUTED_VALUE"""),41)</f>
        <v>41</v>
      </c>
      <c r="AQ3" s="108">
        <f ca="1">IFERROR(__xludf.DUMMYFUNCTION("""COMPUTED_VALUE"""),42)</f>
        <v>42</v>
      </c>
      <c r="AR3" s="108">
        <f ca="1">IFERROR(__xludf.DUMMYFUNCTION("""COMPUTED_VALUE"""),43)</f>
        <v>43</v>
      </c>
      <c r="AS3" s="108">
        <f ca="1">IFERROR(__xludf.DUMMYFUNCTION("""COMPUTED_VALUE"""),44)</f>
        <v>44</v>
      </c>
      <c r="AT3" s="108">
        <f ca="1">IFERROR(__xludf.DUMMYFUNCTION("""COMPUTED_VALUE"""),45)</f>
        <v>45</v>
      </c>
      <c r="AU3" s="108">
        <f ca="1">IFERROR(__xludf.DUMMYFUNCTION("""COMPUTED_VALUE"""),46)</f>
        <v>46</v>
      </c>
      <c r="AV3" s="108">
        <f ca="1">IFERROR(__xludf.DUMMYFUNCTION("""COMPUTED_VALUE"""),47)</f>
        <v>47</v>
      </c>
      <c r="AW3" s="108">
        <f ca="1">IFERROR(__xludf.DUMMYFUNCTION("""COMPUTED_VALUE"""),48)</f>
        <v>48</v>
      </c>
      <c r="AX3" s="108">
        <f ca="1">IFERROR(__xludf.DUMMYFUNCTION("""COMPUTED_VALUE"""),49)</f>
        <v>49</v>
      </c>
      <c r="AY3" s="108">
        <f ca="1">IFERROR(__xludf.DUMMYFUNCTION("""COMPUTED_VALUE"""),50)</f>
        <v>50</v>
      </c>
      <c r="AZ3" s="108">
        <f ca="1">IFERROR(__xludf.DUMMYFUNCTION("""COMPUTED_VALUE"""),51)</f>
        <v>51</v>
      </c>
      <c r="BA3" s="108">
        <f ca="1">IFERROR(__xludf.DUMMYFUNCTION("""COMPUTED_VALUE"""),52)</f>
        <v>52</v>
      </c>
      <c r="BB3" s="108">
        <f ca="1">IFERROR(__xludf.DUMMYFUNCTION("""COMPUTED_VALUE"""),53)</f>
        <v>53</v>
      </c>
      <c r="BC3" s="108">
        <f ca="1">IFERROR(__xludf.DUMMYFUNCTION("""COMPUTED_VALUE"""),54)</f>
        <v>54</v>
      </c>
      <c r="BD3" s="108">
        <f ca="1">IFERROR(__xludf.DUMMYFUNCTION("""COMPUTED_VALUE"""),55)</f>
        <v>55</v>
      </c>
      <c r="BE3" s="108">
        <f ca="1">IFERROR(__xludf.DUMMYFUNCTION("""COMPUTED_VALUE"""),56)</f>
        <v>56</v>
      </c>
      <c r="BF3" s="108">
        <f ca="1">IFERROR(__xludf.DUMMYFUNCTION("""COMPUTED_VALUE"""),57)</f>
        <v>57</v>
      </c>
      <c r="BG3" s="108">
        <f ca="1">IFERROR(__xludf.DUMMYFUNCTION("""COMPUTED_VALUE"""),58)</f>
        <v>58</v>
      </c>
      <c r="BH3" s="108">
        <f ca="1">IFERROR(__xludf.DUMMYFUNCTION("""COMPUTED_VALUE"""),59)</f>
        <v>59</v>
      </c>
      <c r="BI3" s="108">
        <f ca="1">IFERROR(__xludf.DUMMYFUNCTION("""COMPUTED_VALUE"""),60)</f>
        <v>60</v>
      </c>
      <c r="BJ3" s="108">
        <f ca="1">IFERROR(__xludf.DUMMYFUNCTION("""COMPUTED_VALUE"""),61)</f>
        <v>61</v>
      </c>
      <c r="BK3" s="108">
        <f ca="1">IFERROR(__xludf.DUMMYFUNCTION("""COMPUTED_VALUE"""),62)</f>
        <v>62</v>
      </c>
      <c r="BL3" s="108">
        <f ca="1">IFERROR(__xludf.DUMMYFUNCTION("""COMPUTED_VALUE"""),63)</f>
        <v>63</v>
      </c>
      <c r="BM3" s="108">
        <f ca="1">IFERROR(__xludf.DUMMYFUNCTION("""COMPUTED_VALUE"""),64)</f>
        <v>64</v>
      </c>
      <c r="BN3" s="108">
        <f ca="1">IFERROR(__xludf.DUMMYFUNCTION("""COMPUTED_VALUE"""),65)</f>
        <v>65</v>
      </c>
      <c r="BO3" s="108">
        <f ca="1">IFERROR(__xludf.DUMMYFUNCTION("""COMPUTED_VALUE"""),66)</f>
        <v>66</v>
      </c>
      <c r="BP3" s="108">
        <f ca="1">IFERROR(__xludf.DUMMYFUNCTION("""COMPUTED_VALUE"""),67)</f>
        <v>67</v>
      </c>
      <c r="BQ3" s="108">
        <f ca="1">IFERROR(__xludf.DUMMYFUNCTION("""COMPUTED_VALUE"""),68)</f>
        <v>68</v>
      </c>
      <c r="BR3" s="108">
        <f ca="1">IFERROR(__xludf.DUMMYFUNCTION("""COMPUTED_VALUE"""),69)</f>
        <v>69</v>
      </c>
      <c r="BS3" s="108">
        <f ca="1">IFERROR(__xludf.DUMMYFUNCTION("""COMPUTED_VALUE"""),70)</f>
        <v>70</v>
      </c>
      <c r="BT3" s="108">
        <f ca="1">IFERROR(__xludf.DUMMYFUNCTION("""COMPUTED_VALUE"""),71)</f>
        <v>71</v>
      </c>
      <c r="BU3" s="108">
        <f ca="1">IFERROR(__xludf.DUMMYFUNCTION("""COMPUTED_VALUE"""),72)</f>
        <v>72</v>
      </c>
      <c r="BV3" s="108">
        <f ca="1">IFERROR(__xludf.DUMMYFUNCTION("""COMPUTED_VALUE"""),73)</f>
        <v>73</v>
      </c>
      <c r="BW3" s="108">
        <f ca="1">IFERROR(__xludf.DUMMYFUNCTION("""COMPUTED_VALUE"""),74)</f>
        <v>74</v>
      </c>
      <c r="BX3" s="108">
        <f ca="1">IFERROR(__xludf.DUMMYFUNCTION("""COMPUTED_VALUE"""),75)</f>
        <v>75</v>
      </c>
      <c r="BY3" s="108">
        <f ca="1">IFERROR(__xludf.DUMMYFUNCTION("""COMPUTED_VALUE"""),76)</f>
        <v>76</v>
      </c>
      <c r="BZ3" s="108">
        <f ca="1">IFERROR(__xludf.DUMMYFUNCTION("""COMPUTED_VALUE"""),77)</f>
        <v>77</v>
      </c>
      <c r="CA3" s="108">
        <f ca="1">IFERROR(__xludf.DUMMYFUNCTION("""COMPUTED_VALUE"""),78)</f>
        <v>78</v>
      </c>
      <c r="CB3" s="108">
        <f ca="1">IFERROR(__xludf.DUMMYFUNCTION("""COMPUTED_VALUE"""),79)</f>
        <v>79</v>
      </c>
      <c r="CC3" s="108">
        <f ca="1">IFERROR(__xludf.DUMMYFUNCTION("""COMPUTED_VALUE"""),80)</f>
        <v>80</v>
      </c>
      <c r="CD3" s="108">
        <f ca="1">IFERROR(__xludf.DUMMYFUNCTION("""COMPUTED_VALUE"""),81)</f>
        <v>81</v>
      </c>
      <c r="CE3" s="108">
        <f ca="1">IFERROR(__xludf.DUMMYFUNCTION("""COMPUTED_VALUE"""),82)</f>
        <v>82</v>
      </c>
      <c r="CF3" s="108">
        <f ca="1">IFERROR(__xludf.DUMMYFUNCTION("""COMPUTED_VALUE"""),83)</f>
        <v>83</v>
      </c>
      <c r="CG3" s="108">
        <f ca="1">IFERROR(__xludf.DUMMYFUNCTION("""COMPUTED_VALUE"""),84)</f>
        <v>84</v>
      </c>
      <c r="CH3" s="108">
        <f ca="1">IFERROR(__xludf.DUMMYFUNCTION("""COMPUTED_VALUE"""),85)</f>
        <v>85</v>
      </c>
      <c r="CI3" s="108">
        <f ca="1">IFERROR(__xludf.DUMMYFUNCTION("""COMPUTED_VALUE"""),86)</f>
        <v>86</v>
      </c>
      <c r="CJ3" s="108">
        <f ca="1">IFERROR(__xludf.DUMMYFUNCTION("""COMPUTED_VALUE"""),87)</f>
        <v>87</v>
      </c>
      <c r="CK3" s="108">
        <f ca="1">IFERROR(__xludf.DUMMYFUNCTION("""COMPUTED_VALUE"""),88)</f>
        <v>88</v>
      </c>
      <c r="CL3" s="108">
        <f ca="1">IFERROR(__xludf.DUMMYFUNCTION("""COMPUTED_VALUE"""),89)</f>
        <v>89</v>
      </c>
      <c r="CM3" s="108">
        <f ca="1">IFERROR(__xludf.DUMMYFUNCTION("""COMPUTED_VALUE"""),90)</f>
        <v>90</v>
      </c>
      <c r="CN3" s="108">
        <f ca="1">IFERROR(__xludf.DUMMYFUNCTION("""COMPUTED_VALUE"""),91)</f>
        <v>91</v>
      </c>
      <c r="CO3" s="108">
        <f ca="1">IFERROR(__xludf.DUMMYFUNCTION("""COMPUTED_VALUE"""),92)</f>
        <v>92</v>
      </c>
      <c r="CP3" s="108">
        <f ca="1">IFERROR(__xludf.DUMMYFUNCTION("""COMPUTED_VALUE"""),93)</f>
        <v>93</v>
      </c>
      <c r="CQ3" s="108">
        <f ca="1">IFERROR(__xludf.DUMMYFUNCTION("""COMPUTED_VALUE"""),94)</f>
        <v>94</v>
      </c>
      <c r="CR3" s="108">
        <f ca="1">IFERROR(__xludf.DUMMYFUNCTION("""COMPUTED_VALUE"""),95)</f>
        <v>95</v>
      </c>
      <c r="CS3" s="108">
        <f ca="1">IFERROR(__xludf.DUMMYFUNCTION("""COMPUTED_VALUE"""),96)</f>
        <v>96</v>
      </c>
      <c r="CT3" s="108">
        <f ca="1">IFERROR(__xludf.DUMMYFUNCTION("""COMPUTED_VALUE"""),97)</f>
        <v>97</v>
      </c>
      <c r="CU3" s="108">
        <f ca="1">IFERROR(__xludf.DUMMYFUNCTION("""COMPUTED_VALUE"""),98)</f>
        <v>98</v>
      </c>
      <c r="CV3" s="108">
        <f ca="1">IFERROR(__xludf.DUMMYFUNCTION("""COMPUTED_VALUE"""),99)</f>
        <v>99</v>
      </c>
      <c r="CW3" s="108">
        <f ca="1">IFERROR(__xludf.DUMMYFUNCTION("""COMPUTED_VALUE"""),100)</f>
        <v>100</v>
      </c>
      <c r="CX3" s="108">
        <f ca="1">IFERROR(__xludf.DUMMYFUNCTION("""COMPUTED_VALUE"""),101)</f>
        <v>101</v>
      </c>
      <c r="CY3" s="108">
        <f ca="1">IFERROR(__xludf.DUMMYFUNCTION("""COMPUTED_VALUE"""),102)</f>
        <v>102</v>
      </c>
      <c r="CZ3" s="108">
        <f ca="1">IFERROR(__xludf.DUMMYFUNCTION("""COMPUTED_VALUE"""),103)</f>
        <v>103</v>
      </c>
      <c r="DA3" s="108">
        <f ca="1">IFERROR(__xludf.DUMMYFUNCTION("""COMPUTED_VALUE"""),104)</f>
        <v>104</v>
      </c>
      <c r="DB3" s="108">
        <f ca="1">IFERROR(__xludf.DUMMYFUNCTION("""COMPUTED_VALUE"""),105)</f>
        <v>105</v>
      </c>
      <c r="DC3" s="108">
        <f ca="1">IFERROR(__xludf.DUMMYFUNCTION("""COMPUTED_VALUE"""),106)</f>
        <v>106</v>
      </c>
      <c r="DD3" s="108">
        <f ca="1">IFERROR(__xludf.DUMMYFUNCTION("""COMPUTED_VALUE"""),107)</f>
        <v>107</v>
      </c>
      <c r="DE3" s="108">
        <f ca="1">IFERROR(__xludf.DUMMYFUNCTION("""COMPUTED_VALUE"""),108)</f>
        <v>108</v>
      </c>
      <c r="DF3" s="108">
        <f ca="1">IFERROR(__xludf.DUMMYFUNCTION("""COMPUTED_VALUE"""),109)</f>
        <v>109</v>
      </c>
      <c r="DG3" s="108">
        <f ca="1">IFERROR(__xludf.DUMMYFUNCTION("""COMPUTED_VALUE"""),110)</f>
        <v>110</v>
      </c>
      <c r="DH3" s="108">
        <f ca="1">IFERROR(__xludf.DUMMYFUNCTION("""COMPUTED_VALUE"""),111)</f>
        <v>111</v>
      </c>
      <c r="DI3" s="108">
        <f ca="1">IFERROR(__xludf.DUMMYFUNCTION("""COMPUTED_VALUE"""),112)</f>
        <v>112</v>
      </c>
      <c r="DJ3" s="108">
        <f ca="1">IFERROR(__xludf.DUMMYFUNCTION("""COMPUTED_VALUE"""),113)</f>
        <v>113</v>
      </c>
      <c r="DK3" s="108">
        <f ca="1">IFERROR(__xludf.DUMMYFUNCTION("""COMPUTED_VALUE"""),114)</f>
        <v>114</v>
      </c>
      <c r="DL3" s="108">
        <f ca="1">IFERROR(__xludf.DUMMYFUNCTION("""COMPUTED_VALUE"""),115)</f>
        <v>115</v>
      </c>
      <c r="DM3" s="108">
        <f ca="1">IFERROR(__xludf.DUMMYFUNCTION("""COMPUTED_VALUE"""),116)</f>
        <v>116</v>
      </c>
      <c r="DN3" s="108">
        <f ca="1">IFERROR(__xludf.DUMMYFUNCTION("""COMPUTED_VALUE"""),117)</f>
        <v>117</v>
      </c>
      <c r="DO3" s="108">
        <f ca="1">IFERROR(__xludf.DUMMYFUNCTION("""COMPUTED_VALUE"""),118)</f>
        <v>118</v>
      </c>
      <c r="DP3" s="108">
        <f ca="1">IFERROR(__xludf.DUMMYFUNCTION("""COMPUTED_VALUE"""),119)</f>
        <v>119</v>
      </c>
      <c r="DQ3" s="108">
        <f ca="1">IFERROR(__xludf.DUMMYFUNCTION("""COMPUTED_VALUE"""),120)</f>
        <v>120</v>
      </c>
      <c r="DR3" s="108">
        <f ca="1">IFERROR(__xludf.DUMMYFUNCTION("""COMPUTED_VALUE"""),121)</f>
        <v>121</v>
      </c>
      <c r="DS3" s="108">
        <f ca="1">IFERROR(__xludf.DUMMYFUNCTION("""COMPUTED_VALUE"""),122)</f>
        <v>122</v>
      </c>
      <c r="DT3" s="108">
        <f ca="1">IFERROR(__xludf.DUMMYFUNCTION("""COMPUTED_VALUE"""),123)</f>
        <v>123</v>
      </c>
      <c r="DU3" s="108">
        <f ca="1">IFERROR(__xludf.DUMMYFUNCTION("""COMPUTED_VALUE"""),124)</f>
        <v>124</v>
      </c>
      <c r="DV3" s="108">
        <f ca="1">IFERROR(__xludf.DUMMYFUNCTION("""COMPUTED_VALUE"""),125)</f>
        <v>125</v>
      </c>
      <c r="DW3" s="108">
        <f ca="1">IFERROR(__xludf.DUMMYFUNCTION("""COMPUTED_VALUE"""),126)</f>
        <v>126</v>
      </c>
      <c r="DX3" s="108">
        <f ca="1">IFERROR(__xludf.DUMMYFUNCTION("""COMPUTED_VALUE"""),127)</f>
        <v>127</v>
      </c>
      <c r="DY3" s="108">
        <f ca="1">IFERROR(__xludf.DUMMYFUNCTION("""COMPUTED_VALUE"""),128)</f>
        <v>128</v>
      </c>
      <c r="DZ3" s="108">
        <f ca="1">IFERROR(__xludf.DUMMYFUNCTION("""COMPUTED_VALUE"""),129)</f>
        <v>129</v>
      </c>
      <c r="EA3" s="108">
        <f ca="1">IFERROR(__xludf.DUMMYFUNCTION("""COMPUTED_VALUE"""),130)</f>
        <v>130</v>
      </c>
      <c r="EB3" s="108">
        <f ca="1">IFERROR(__xludf.DUMMYFUNCTION("""COMPUTED_VALUE"""),131)</f>
        <v>131</v>
      </c>
      <c r="EC3" s="108">
        <f ca="1">IFERROR(__xludf.DUMMYFUNCTION("""COMPUTED_VALUE"""),132)</f>
        <v>132</v>
      </c>
      <c r="ED3" s="108">
        <f ca="1">IFERROR(__xludf.DUMMYFUNCTION("""COMPUTED_VALUE"""),133)</f>
        <v>133</v>
      </c>
      <c r="EE3" s="108">
        <f ca="1">IFERROR(__xludf.DUMMYFUNCTION("""COMPUTED_VALUE"""),134)</f>
        <v>134</v>
      </c>
      <c r="EF3" s="108">
        <f ca="1">IFERROR(__xludf.DUMMYFUNCTION("""COMPUTED_VALUE"""),135)</f>
        <v>135</v>
      </c>
      <c r="EG3" s="108">
        <f ca="1">IFERROR(__xludf.DUMMYFUNCTION("""COMPUTED_VALUE"""),136)</f>
        <v>136</v>
      </c>
      <c r="EH3" s="108">
        <f ca="1">IFERROR(__xludf.DUMMYFUNCTION("""COMPUTED_VALUE"""),137)</f>
        <v>137</v>
      </c>
      <c r="EI3" s="108">
        <f ca="1">IFERROR(__xludf.DUMMYFUNCTION("""COMPUTED_VALUE"""),138)</f>
        <v>138</v>
      </c>
      <c r="EJ3" s="108">
        <f ca="1">IFERROR(__xludf.DUMMYFUNCTION("""COMPUTED_VALUE"""),139)</f>
        <v>139</v>
      </c>
      <c r="EK3" s="108">
        <f ca="1">IFERROR(__xludf.DUMMYFUNCTION("""COMPUTED_VALUE"""),140)</f>
        <v>140</v>
      </c>
      <c r="EL3" s="108">
        <f ca="1">IFERROR(__xludf.DUMMYFUNCTION("""COMPUTED_VALUE"""),141)</f>
        <v>141</v>
      </c>
      <c r="EM3" s="108">
        <f ca="1">IFERROR(__xludf.DUMMYFUNCTION("""COMPUTED_VALUE"""),142)</f>
        <v>142</v>
      </c>
      <c r="EN3" s="108">
        <f ca="1">IFERROR(__xludf.DUMMYFUNCTION("""COMPUTED_VALUE"""),143)</f>
        <v>143</v>
      </c>
      <c r="EO3" s="108">
        <f ca="1">IFERROR(__xludf.DUMMYFUNCTION("""COMPUTED_VALUE"""),144)</f>
        <v>144</v>
      </c>
      <c r="EP3" s="108">
        <f ca="1">IFERROR(__xludf.DUMMYFUNCTION("""COMPUTED_VALUE"""),145)</f>
        <v>145</v>
      </c>
      <c r="EQ3" s="108">
        <f ca="1">IFERROR(__xludf.DUMMYFUNCTION("""COMPUTED_VALUE"""),146)</f>
        <v>146</v>
      </c>
      <c r="ER3" s="108">
        <f ca="1">IFERROR(__xludf.DUMMYFUNCTION("""COMPUTED_VALUE"""),147)</f>
        <v>147</v>
      </c>
      <c r="ES3" s="108">
        <f ca="1">IFERROR(__xludf.DUMMYFUNCTION("""COMPUTED_VALUE"""),148)</f>
        <v>148</v>
      </c>
      <c r="ET3" s="108">
        <f ca="1">IFERROR(__xludf.DUMMYFUNCTION("""COMPUTED_VALUE"""),149)</f>
        <v>149</v>
      </c>
      <c r="EU3" s="108">
        <f ca="1">IFERROR(__xludf.DUMMYFUNCTION("""COMPUTED_VALUE"""),150)</f>
        <v>150</v>
      </c>
      <c r="EV3" s="108">
        <f ca="1">IFERROR(__xludf.DUMMYFUNCTION("""COMPUTED_VALUE"""),151)</f>
        <v>151</v>
      </c>
      <c r="EW3" s="108">
        <f ca="1">IFERROR(__xludf.DUMMYFUNCTION("""COMPUTED_VALUE"""),152)</f>
        <v>152</v>
      </c>
      <c r="EX3" s="108">
        <f ca="1">IFERROR(__xludf.DUMMYFUNCTION("""COMPUTED_VALUE"""),153)</f>
        <v>153</v>
      </c>
      <c r="EY3" s="108">
        <f ca="1">IFERROR(__xludf.DUMMYFUNCTION("""COMPUTED_VALUE"""),154)</f>
        <v>154</v>
      </c>
      <c r="EZ3" s="108">
        <f ca="1">IFERROR(__xludf.DUMMYFUNCTION("""COMPUTED_VALUE"""),155)</f>
        <v>155</v>
      </c>
      <c r="FA3" s="108">
        <f ca="1">IFERROR(__xludf.DUMMYFUNCTION("""COMPUTED_VALUE"""),156)</f>
        <v>156</v>
      </c>
      <c r="FB3" s="108">
        <f ca="1">IFERROR(__xludf.DUMMYFUNCTION("""COMPUTED_VALUE"""),157)</f>
        <v>157</v>
      </c>
      <c r="FC3" s="108">
        <f ca="1">IFERROR(__xludf.DUMMYFUNCTION("""COMPUTED_VALUE"""),158)</f>
        <v>158</v>
      </c>
      <c r="FD3" s="108">
        <f ca="1">IFERROR(__xludf.DUMMYFUNCTION("""COMPUTED_VALUE"""),159)</f>
        <v>159</v>
      </c>
      <c r="FE3" s="108">
        <f ca="1">IFERROR(__xludf.DUMMYFUNCTION("""COMPUTED_VALUE"""),160)</f>
        <v>160</v>
      </c>
      <c r="FF3" s="108">
        <f ca="1">IFERROR(__xludf.DUMMYFUNCTION("""COMPUTED_VALUE"""),161)</f>
        <v>161</v>
      </c>
      <c r="FG3" s="108">
        <f ca="1">IFERROR(__xludf.DUMMYFUNCTION("""COMPUTED_VALUE"""),162)</f>
        <v>162</v>
      </c>
      <c r="FH3" s="108">
        <f ca="1">IFERROR(__xludf.DUMMYFUNCTION("""COMPUTED_VALUE"""),163)</f>
        <v>163</v>
      </c>
      <c r="FI3" s="108">
        <f ca="1">IFERROR(__xludf.DUMMYFUNCTION("""COMPUTED_VALUE"""),164)</f>
        <v>164</v>
      </c>
      <c r="FJ3" s="108">
        <f ca="1">IFERROR(__xludf.DUMMYFUNCTION("""COMPUTED_VALUE"""),165)</f>
        <v>165</v>
      </c>
      <c r="FK3" s="108">
        <f ca="1">IFERROR(__xludf.DUMMYFUNCTION("""COMPUTED_VALUE"""),166)</f>
        <v>166</v>
      </c>
      <c r="FL3" s="108">
        <f ca="1">IFERROR(__xludf.DUMMYFUNCTION("""COMPUTED_VALUE"""),167)</f>
        <v>167</v>
      </c>
      <c r="FM3" s="108">
        <f ca="1">IFERROR(__xludf.DUMMYFUNCTION("""COMPUTED_VALUE"""),168)</f>
        <v>168</v>
      </c>
      <c r="FN3" s="108">
        <f ca="1">IFERROR(__xludf.DUMMYFUNCTION("""COMPUTED_VALUE"""),169)</f>
        <v>169</v>
      </c>
      <c r="FO3" s="108">
        <f ca="1">IFERROR(__xludf.DUMMYFUNCTION("""COMPUTED_VALUE"""),170)</f>
        <v>170</v>
      </c>
    </row>
    <row r="4" spans="1:171" ht="15.75" customHeight="1" x14ac:dyDescent="0.15">
      <c r="A4" s="43" t="str">
        <f ca="1">IFERROR(__xludf.DUMMYFUNCTION("""COMPUTED_VALUE"""),"External Link")</f>
        <v>External Link</v>
      </c>
      <c r="B4" s="109" t="str">
        <f ca="1">IFERROR(__xludf.DUMMYFUNCTION("""COMPUTED_VALUE"""),"Eqty")</f>
        <v>Eqty</v>
      </c>
      <c r="C4" s="109" t="str">
        <f ca="1">IFERROR(__xludf.DUMMYFUNCTION("""COMPUTED_VALUE"""),"Eqty")</f>
        <v>Eqty</v>
      </c>
      <c r="D4" s="109" t="str">
        <f ca="1">IFERROR(__xludf.DUMMYFUNCTION("""COMPUTED_VALUE"""),"Eqty")</f>
        <v>Eqty</v>
      </c>
      <c r="E4" s="109" t="str">
        <f ca="1">IFERROR(__xludf.DUMMYFUNCTION("""COMPUTED_VALUE"""),"Eqty")</f>
        <v>Eqty</v>
      </c>
      <c r="F4" s="109" t="str">
        <f ca="1">IFERROR(__xludf.DUMMYFUNCTION("""COMPUTED_VALUE"""),"Eqty")</f>
        <v>Eqty</v>
      </c>
      <c r="G4" s="109" t="str">
        <f ca="1">IFERROR(__xludf.DUMMYFUNCTION("""COMPUTED_VALUE"""),"Eqty")</f>
        <v>Eqty</v>
      </c>
      <c r="H4" s="109" t="str">
        <f ca="1">IFERROR(__xludf.DUMMYFUNCTION("""COMPUTED_VALUE"""),"Eqty")</f>
        <v>Eqty</v>
      </c>
      <c r="I4" s="109" t="str">
        <f ca="1">IFERROR(__xludf.DUMMYFUNCTION("""COMPUTED_VALUE"""),"Eqty")</f>
        <v>Eqty</v>
      </c>
      <c r="J4" s="109" t="str">
        <f ca="1">IFERROR(__xludf.DUMMYFUNCTION("""COMPUTED_VALUE"""),"Eqty")</f>
        <v>Eqty</v>
      </c>
      <c r="K4" s="109" t="str">
        <f ca="1">IFERROR(__xludf.DUMMYFUNCTION("""COMPUTED_VALUE"""),"Eqty")</f>
        <v>Eqty</v>
      </c>
      <c r="L4" s="109" t="str">
        <f ca="1">IFERROR(__xludf.DUMMYFUNCTION("""COMPUTED_VALUE"""),"Eqty")</f>
        <v>Eqty</v>
      </c>
      <c r="M4" s="109" t="str">
        <f ca="1">IFERROR(__xludf.DUMMYFUNCTION("""COMPUTED_VALUE"""),"Eqty")</f>
        <v>Eqty</v>
      </c>
      <c r="N4" s="109" t="str">
        <f ca="1">IFERROR(__xludf.DUMMYFUNCTION("""COMPUTED_VALUE"""),"Eqty")</f>
        <v>Eqty</v>
      </c>
      <c r="O4" s="109" t="str">
        <f ca="1">IFERROR(__xludf.DUMMYFUNCTION("""COMPUTED_VALUE"""),"Eqty")</f>
        <v>Eqty</v>
      </c>
      <c r="P4" s="109" t="str">
        <f ca="1">IFERROR(__xludf.DUMMYFUNCTION("""COMPUTED_VALUE"""),"Eqty")</f>
        <v>Eqty</v>
      </c>
      <c r="Q4" s="109" t="str">
        <f ca="1">IFERROR(__xludf.DUMMYFUNCTION("""COMPUTED_VALUE"""),"Eqty")</f>
        <v>Eqty</v>
      </c>
      <c r="R4" s="109" t="str">
        <f ca="1">IFERROR(__xludf.DUMMYFUNCTION("""COMPUTED_VALUE"""),"Eqty")</f>
        <v>Eqty</v>
      </c>
      <c r="S4" s="109" t="str">
        <f ca="1">IFERROR(__xludf.DUMMYFUNCTION("""COMPUTED_VALUE"""),"Eqty")</f>
        <v>Eqty</v>
      </c>
      <c r="T4" s="109" t="str">
        <f ca="1">IFERROR(__xludf.DUMMYFUNCTION("""COMPUTED_VALUE"""),"Eqty")</f>
        <v>Eqty</v>
      </c>
      <c r="U4" s="109" t="str">
        <f ca="1">IFERROR(__xludf.DUMMYFUNCTION("""COMPUTED_VALUE"""),"Eqty")</f>
        <v>Eqty</v>
      </c>
      <c r="V4" s="109" t="str">
        <f ca="1">IFERROR(__xludf.DUMMYFUNCTION("""COMPUTED_VALUE"""),"Eqty")</f>
        <v>Eqty</v>
      </c>
      <c r="W4" s="109" t="str">
        <f ca="1">IFERROR(__xludf.DUMMYFUNCTION("""COMPUTED_VALUE"""),"Eqty")</f>
        <v>Eqty</v>
      </c>
      <c r="X4" s="109" t="str">
        <f ca="1">IFERROR(__xludf.DUMMYFUNCTION("""COMPUTED_VALUE"""),"Eqty")</f>
        <v>Eqty</v>
      </c>
      <c r="Y4" s="109" t="str">
        <f ca="1">IFERROR(__xludf.DUMMYFUNCTION("""COMPUTED_VALUE"""),"Eqty")</f>
        <v>Eqty</v>
      </c>
      <c r="Z4" s="109" t="str">
        <f ca="1">IFERROR(__xludf.DUMMYFUNCTION("""COMPUTED_VALUE"""),"Eqty")</f>
        <v>Eqty</v>
      </c>
      <c r="AA4" s="109" t="str">
        <f ca="1">IFERROR(__xludf.DUMMYFUNCTION("""COMPUTED_VALUE"""),"Eqty")</f>
        <v>Eqty</v>
      </c>
      <c r="AB4" s="109" t="str">
        <f ca="1">IFERROR(__xludf.DUMMYFUNCTION("""COMPUTED_VALUE"""),"Eqty")</f>
        <v>Eqty</v>
      </c>
      <c r="AC4" s="109" t="str">
        <f ca="1">IFERROR(__xludf.DUMMYFUNCTION("""COMPUTED_VALUE"""),"Eqty")</f>
        <v>Eqty</v>
      </c>
      <c r="AD4" s="109" t="str">
        <f ca="1">IFERROR(__xludf.DUMMYFUNCTION("""COMPUTED_VALUE"""),"Eqty")</f>
        <v>Eqty</v>
      </c>
      <c r="AE4" s="109" t="str">
        <f ca="1">IFERROR(__xludf.DUMMYFUNCTION("""COMPUTED_VALUE"""),"Eqty")</f>
        <v>Eqty</v>
      </c>
      <c r="AF4" s="109" t="str">
        <f ca="1">IFERROR(__xludf.DUMMYFUNCTION("""COMPUTED_VALUE"""),"Eqty")</f>
        <v>Eqty</v>
      </c>
      <c r="AG4" s="109" t="str">
        <f ca="1">IFERROR(__xludf.DUMMYFUNCTION("""COMPUTED_VALUE"""),"Eqty")</f>
        <v>Eqty</v>
      </c>
      <c r="AH4" s="109" t="str">
        <f ca="1">IFERROR(__xludf.DUMMYFUNCTION("""COMPUTED_VALUE"""),"Eqty")</f>
        <v>Eqty</v>
      </c>
      <c r="AI4" s="109" t="str">
        <f ca="1">IFERROR(__xludf.DUMMYFUNCTION("""COMPUTED_VALUE"""),"Eqty")</f>
        <v>Eqty</v>
      </c>
      <c r="AJ4" s="109" t="str">
        <f ca="1">IFERROR(__xludf.DUMMYFUNCTION("""COMPUTED_VALUE"""),"Eqty")</f>
        <v>Eqty</v>
      </c>
      <c r="AK4" s="109" t="str">
        <f ca="1">IFERROR(__xludf.DUMMYFUNCTION("""COMPUTED_VALUE"""),"Eqty")</f>
        <v>Eqty</v>
      </c>
      <c r="AL4" s="109" t="str">
        <f ca="1">IFERROR(__xludf.DUMMYFUNCTION("""COMPUTED_VALUE"""),"Eqty")</f>
        <v>Eqty</v>
      </c>
      <c r="AM4" s="109" t="str">
        <f ca="1">IFERROR(__xludf.DUMMYFUNCTION("""COMPUTED_VALUE"""),"Eqty")</f>
        <v>Eqty</v>
      </c>
      <c r="AN4" s="109" t="str">
        <f ca="1">IFERROR(__xludf.DUMMYFUNCTION("""COMPUTED_VALUE"""),"Eqty")</f>
        <v>Eqty</v>
      </c>
      <c r="AO4" s="109" t="str">
        <f ca="1">IFERROR(__xludf.DUMMYFUNCTION("""COMPUTED_VALUE"""),"Eqty")</f>
        <v>Eqty</v>
      </c>
      <c r="AP4" s="109" t="str">
        <f ca="1">IFERROR(__xludf.DUMMYFUNCTION("""COMPUTED_VALUE"""),"Eqty")</f>
        <v>Eqty</v>
      </c>
      <c r="AQ4" s="109" t="str">
        <f ca="1">IFERROR(__xludf.DUMMYFUNCTION("""COMPUTED_VALUE"""),"Eqty")</f>
        <v>Eqty</v>
      </c>
      <c r="AR4" s="109" t="str">
        <f ca="1">IFERROR(__xludf.DUMMYFUNCTION("""COMPUTED_VALUE"""),"Bond")</f>
        <v>Bond</v>
      </c>
      <c r="AS4" s="109" t="str">
        <f ca="1">IFERROR(__xludf.DUMMYFUNCTION("""COMPUTED_VALUE"""),"Eqty")</f>
        <v>Eqty</v>
      </c>
      <c r="AT4" s="109" t="str">
        <f ca="1">IFERROR(__xludf.DUMMYFUNCTION("""COMPUTED_VALUE"""),"Eqty")</f>
        <v>Eqty</v>
      </c>
      <c r="AU4" s="109" t="str">
        <f ca="1">IFERROR(__xludf.DUMMYFUNCTION("""COMPUTED_VALUE"""),"Eqty")</f>
        <v>Eqty</v>
      </c>
      <c r="AV4" s="109" t="str">
        <f ca="1">IFERROR(__xludf.DUMMYFUNCTION("""COMPUTED_VALUE"""),"Eqty")</f>
        <v>Eqty</v>
      </c>
      <c r="AW4" s="109" t="str">
        <f ca="1">IFERROR(__xludf.DUMMYFUNCTION("""COMPUTED_VALUE"""),"Eqty")</f>
        <v>Eqty</v>
      </c>
      <c r="AX4" s="109" t="str">
        <f ca="1">IFERROR(__xludf.DUMMYFUNCTION("""COMPUTED_VALUE"""),"Eqty")</f>
        <v>Eqty</v>
      </c>
      <c r="AY4" s="109" t="str">
        <f ca="1">IFERROR(__xludf.DUMMYFUNCTION("""COMPUTED_VALUE"""),"Eqty")</f>
        <v>Eqty</v>
      </c>
      <c r="AZ4" s="109" t="str">
        <f ca="1">IFERROR(__xludf.DUMMYFUNCTION("""COMPUTED_VALUE"""),"Eqty")</f>
        <v>Eqty</v>
      </c>
      <c r="BA4" s="109" t="str">
        <f ca="1">IFERROR(__xludf.DUMMYFUNCTION("""COMPUTED_VALUE"""),"Eqty")</f>
        <v>Eqty</v>
      </c>
      <c r="BB4" s="109" t="str">
        <f ca="1">IFERROR(__xludf.DUMMYFUNCTION("""COMPUTED_VALUE"""),"Eqty")</f>
        <v>Eqty</v>
      </c>
      <c r="BC4" s="109" t="str">
        <f ca="1">IFERROR(__xludf.DUMMYFUNCTION("""COMPUTED_VALUE"""),"Eqty")</f>
        <v>Eqty</v>
      </c>
      <c r="BD4" s="109" t="str">
        <f ca="1">IFERROR(__xludf.DUMMYFUNCTION("""COMPUTED_VALUE"""),"Eqty")</f>
        <v>Eqty</v>
      </c>
      <c r="BE4" s="109" t="str">
        <f ca="1">IFERROR(__xludf.DUMMYFUNCTION("""COMPUTED_VALUE"""),"Eqty")</f>
        <v>Eqty</v>
      </c>
      <c r="BF4" s="109" t="str">
        <f ca="1">IFERROR(__xludf.DUMMYFUNCTION("""COMPUTED_VALUE"""),"Eqty")</f>
        <v>Eqty</v>
      </c>
      <c r="BG4" s="109" t="str">
        <f ca="1">IFERROR(__xludf.DUMMYFUNCTION("""COMPUTED_VALUE"""),"Eqty")</f>
        <v>Eqty</v>
      </c>
      <c r="BH4" s="109" t="str">
        <f ca="1">IFERROR(__xludf.DUMMYFUNCTION("""COMPUTED_VALUE"""),"Eqty")</f>
        <v>Eqty</v>
      </c>
      <c r="BI4" s="109" t="str">
        <f ca="1">IFERROR(__xludf.DUMMYFUNCTION("""COMPUTED_VALUE"""),"Eqty")</f>
        <v>Eqty</v>
      </c>
      <c r="BJ4" s="109" t="str">
        <f ca="1">IFERROR(__xludf.DUMMYFUNCTION("""COMPUTED_VALUE"""),"Eqty")</f>
        <v>Eqty</v>
      </c>
      <c r="BK4" s="109" t="str">
        <f ca="1">IFERROR(__xludf.DUMMYFUNCTION("""COMPUTED_VALUE"""),"Eqty")</f>
        <v>Eqty</v>
      </c>
      <c r="BL4" s="109" t="str">
        <f ca="1">IFERROR(__xludf.DUMMYFUNCTION("""COMPUTED_VALUE"""),"Eqty")</f>
        <v>Eqty</v>
      </c>
      <c r="BM4" s="109" t="str">
        <f ca="1">IFERROR(__xludf.DUMMYFUNCTION("""COMPUTED_VALUE"""),"Eqty")</f>
        <v>Eqty</v>
      </c>
      <c r="BN4" s="109" t="str">
        <f ca="1">IFERROR(__xludf.DUMMYFUNCTION("""COMPUTED_VALUE"""),"Eqty")</f>
        <v>Eqty</v>
      </c>
      <c r="BO4" s="109" t="str">
        <f ca="1">IFERROR(__xludf.DUMMYFUNCTION("""COMPUTED_VALUE"""),"Eqty")</f>
        <v>Eqty</v>
      </c>
      <c r="BP4" s="109" t="str">
        <f ca="1">IFERROR(__xludf.DUMMYFUNCTION("""COMPUTED_VALUE"""),"Eqty")</f>
        <v>Eqty</v>
      </c>
      <c r="BQ4" s="109" t="str">
        <f ca="1">IFERROR(__xludf.DUMMYFUNCTION("""COMPUTED_VALUE"""),"Eqty")</f>
        <v>Eqty</v>
      </c>
      <c r="BR4" s="109" t="str">
        <f ca="1">IFERROR(__xludf.DUMMYFUNCTION("""COMPUTED_VALUE"""),"Eqty")</f>
        <v>Eqty</v>
      </c>
      <c r="BS4" s="109" t="str">
        <f ca="1">IFERROR(__xludf.DUMMYFUNCTION("""COMPUTED_VALUE"""),"Eqty")</f>
        <v>Eqty</v>
      </c>
      <c r="BT4" s="109" t="str">
        <f ca="1">IFERROR(__xludf.DUMMYFUNCTION("""COMPUTED_VALUE"""),"Eqty")</f>
        <v>Eqty</v>
      </c>
      <c r="BU4" s="109" t="str">
        <f ca="1">IFERROR(__xludf.DUMMYFUNCTION("""COMPUTED_VALUE"""),"Eqty")</f>
        <v>Eqty</v>
      </c>
      <c r="BV4" s="109" t="str">
        <f ca="1">IFERROR(__xludf.DUMMYFUNCTION("""COMPUTED_VALUE"""),"Eqty")</f>
        <v>Eqty</v>
      </c>
      <c r="BW4" s="109" t="str">
        <f ca="1">IFERROR(__xludf.DUMMYFUNCTION("""COMPUTED_VALUE"""),"Eqty")</f>
        <v>Eqty</v>
      </c>
      <c r="BX4" s="109" t="str">
        <f ca="1">IFERROR(__xludf.DUMMYFUNCTION("""COMPUTED_VALUE"""),"Eqty")</f>
        <v>Eqty</v>
      </c>
      <c r="BY4" s="109" t="str">
        <f ca="1">IFERROR(__xludf.DUMMYFUNCTION("""COMPUTED_VALUE"""),"Eqty")</f>
        <v>Eqty</v>
      </c>
      <c r="BZ4" s="109" t="str">
        <f ca="1">IFERROR(__xludf.DUMMYFUNCTION("""COMPUTED_VALUE"""),"Eqty")</f>
        <v>Eqty</v>
      </c>
      <c r="CA4" s="109" t="str">
        <f ca="1">IFERROR(__xludf.DUMMYFUNCTION("""COMPUTED_VALUE"""),"Eqty")</f>
        <v>Eqty</v>
      </c>
      <c r="CB4" s="109" t="str">
        <f ca="1">IFERROR(__xludf.DUMMYFUNCTION("""COMPUTED_VALUE"""),"Eqty")</f>
        <v>Eqty</v>
      </c>
      <c r="CC4" s="109" t="str">
        <f ca="1">IFERROR(__xludf.DUMMYFUNCTION("""COMPUTED_VALUE"""),"Eqty")</f>
        <v>Eqty</v>
      </c>
      <c r="CD4" s="109" t="str">
        <f ca="1">IFERROR(__xludf.DUMMYFUNCTION("""COMPUTED_VALUE"""),"Eqty")</f>
        <v>Eqty</v>
      </c>
      <c r="CE4" s="109" t="str">
        <f ca="1">IFERROR(__xludf.DUMMYFUNCTION("""COMPUTED_VALUE"""),"Eqty")</f>
        <v>Eqty</v>
      </c>
      <c r="CF4" s="109" t="str">
        <f ca="1">IFERROR(__xludf.DUMMYFUNCTION("""COMPUTED_VALUE"""),"Eqty")</f>
        <v>Eqty</v>
      </c>
      <c r="CG4" s="109" t="str">
        <f ca="1">IFERROR(__xludf.DUMMYFUNCTION("""COMPUTED_VALUE"""),"Eqty")</f>
        <v>Eqty</v>
      </c>
      <c r="CH4" s="109" t="str">
        <f ca="1">IFERROR(__xludf.DUMMYFUNCTION("""COMPUTED_VALUE"""),"Eqty")</f>
        <v>Eqty</v>
      </c>
      <c r="CI4" s="109" t="str">
        <f ca="1">IFERROR(__xludf.DUMMYFUNCTION("""COMPUTED_VALUE"""),"Eqty")</f>
        <v>Eqty</v>
      </c>
      <c r="CJ4" s="109" t="str">
        <f ca="1">IFERROR(__xludf.DUMMYFUNCTION("""COMPUTED_VALUE"""),"Eqty")</f>
        <v>Eqty</v>
      </c>
      <c r="CK4" s="109" t="str">
        <f ca="1">IFERROR(__xludf.DUMMYFUNCTION("""COMPUTED_VALUE"""),"Eqty")</f>
        <v>Eqty</v>
      </c>
      <c r="CL4" s="109" t="str">
        <f ca="1">IFERROR(__xludf.DUMMYFUNCTION("""COMPUTED_VALUE"""),"Eqty")</f>
        <v>Eqty</v>
      </c>
      <c r="CM4" s="109" t="str">
        <f ca="1">IFERROR(__xludf.DUMMYFUNCTION("""COMPUTED_VALUE"""),"Eqty")</f>
        <v>Eqty</v>
      </c>
      <c r="CN4" s="109" t="str">
        <f ca="1">IFERROR(__xludf.DUMMYFUNCTION("""COMPUTED_VALUE"""),"Eqty")</f>
        <v>Eqty</v>
      </c>
      <c r="CO4" s="109" t="str">
        <f ca="1">IFERROR(__xludf.DUMMYFUNCTION("""COMPUTED_VALUE"""),"Eqty")</f>
        <v>Eqty</v>
      </c>
      <c r="CP4" s="109" t="str">
        <f ca="1">IFERROR(__xludf.DUMMYFUNCTION("""COMPUTED_VALUE"""),"Eqty")</f>
        <v>Eqty</v>
      </c>
      <c r="CQ4" s="109" t="str">
        <f ca="1">IFERROR(__xludf.DUMMYFUNCTION("""COMPUTED_VALUE"""),"Eqty")</f>
        <v>Eqty</v>
      </c>
      <c r="CR4" s="109" t="str">
        <f ca="1">IFERROR(__xludf.DUMMYFUNCTION("""COMPUTED_VALUE"""),"Eqty")</f>
        <v>Eqty</v>
      </c>
      <c r="CS4" s="109" t="str">
        <f ca="1">IFERROR(__xludf.DUMMYFUNCTION("""COMPUTED_VALUE"""),"Eqty")</f>
        <v>Eqty</v>
      </c>
      <c r="CT4" s="109" t="str">
        <f ca="1">IFERROR(__xludf.DUMMYFUNCTION("""COMPUTED_VALUE"""),"Eqty")</f>
        <v>Eqty</v>
      </c>
      <c r="CU4" s="109" t="str">
        <f ca="1">IFERROR(__xludf.DUMMYFUNCTION("""COMPUTED_VALUE"""),"Eqty")</f>
        <v>Eqty</v>
      </c>
      <c r="CV4" s="109" t="str">
        <f ca="1">IFERROR(__xludf.DUMMYFUNCTION("""COMPUTED_VALUE"""),"Eqty")</f>
        <v>Eqty</v>
      </c>
      <c r="CW4" s="109" t="str">
        <f ca="1">IFERROR(__xludf.DUMMYFUNCTION("""COMPUTED_VALUE"""),"Eqty")</f>
        <v>Eqty</v>
      </c>
      <c r="CX4" s="109" t="str">
        <f ca="1">IFERROR(__xludf.DUMMYFUNCTION("""COMPUTED_VALUE"""),"Eqty")</f>
        <v>Eqty</v>
      </c>
      <c r="CY4" s="109" t="str">
        <f ca="1">IFERROR(__xludf.DUMMYFUNCTION("""COMPUTED_VALUE"""),"Eqty")</f>
        <v>Eqty</v>
      </c>
      <c r="CZ4" s="109" t="str">
        <f ca="1">IFERROR(__xludf.DUMMYFUNCTION("""COMPUTED_VALUE"""),"Eqty")</f>
        <v>Eqty</v>
      </c>
      <c r="DA4" s="109" t="str">
        <f ca="1">IFERROR(__xludf.DUMMYFUNCTION("""COMPUTED_VALUE"""),"Eqty")</f>
        <v>Eqty</v>
      </c>
      <c r="DB4" s="109" t="str">
        <f ca="1">IFERROR(__xludf.DUMMYFUNCTION("""COMPUTED_VALUE"""),"Eqty")</f>
        <v>Eqty</v>
      </c>
      <c r="DC4" s="109" t="str">
        <f ca="1">IFERROR(__xludf.DUMMYFUNCTION("""COMPUTED_VALUE"""),"Eqty")</f>
        <v>Eqty</v>
      </c>
      <c r="DD4" s="109" t="str">
        <f ca="1">IFERROR(__xludf.DUMMYFUNCTION("""COMPUTED_VALUE"""),"Eqty")</f>
        <v>Eqty</v>
      </c>
      <c r="DE4" s="109" t="str">
        <f ca="1">IFERROR(__xludf.DUMMYFUNCTION("""COMPUTED_VALUE"""),"Eqty")</f>
        <v>Eqty</v>
      </c>
      <c r="DF4" s="109" t="str">
        <f ca="1">IFERROR(__xludf.DUMMYFUNCTION("""COMPUTED_VALUE"""),"Eqty")</f>
        <v>Eqty</v>
      </c>
      <c r="DG4" s="109" t="str">
        <f ca="1">IFERROR(__xludf.DUMMYFUNCTION("""COMPUTED_VALUE"""),"Eqty")</f>
        <v>Eqty</v>
      </c>
      <c r="DH4" s="109" t="str">
        <f ca="1">IFERROR(__xludf.DUMMYFUNCTION("""COMPUTED_VALUE"""),"Eqty")</f>
        <v>Eqty</v>
      </c>
      <c r="DI4" s="109" t="str">
        <f ca="1">IFERROR(__xludf.DUMMYFUNCTION("""COMPUTED_VALUE"""),"Eqty")</f>
        <v>Eqty</v>
      </c>
      <c r="DJ4" s="109" t="str">
        <f ca="1">IFERROR(__xludf.DUMMYFUNCTION("""COMPUTED_VALUE"""),"Eqty")</f>
        <v>Eqty</v>
      </c>
      <c r="DK4" s="109" t="str">
        <f ca="1">IFERROR(__xludf.DUMMYFUNCTION("""COMPUTED_VALUE"""),"Eqty")</f>
        <v>Eqty</v>
      </c>
      <c r="DL4" s="109" t="str">
        <f ca="1">IFERROR(__xludf.DUMMYFUNCTION("""COMPUTED_VALUE"""),"Eqty")</f>
        <v>Eqty</v>
      </c>
      <c r="DM4" s="109" t="str">
        <f ca="1">IFERROR(__xludf.DUMMYFUNCTION("""COMPUTED_VALUE"""),"Eqty")</f>
        <v>Eqty</v>
      </c>
      <c r="DN4" s="109" t="str">
        <f ca="1">IFERROR(__xludf.DUMMYFUNCTION("""COMPUTED_VALUE"""),"Eqty")</f>
        <v>Eqty</v>
      </c>
      <c r="DO4" s="109" t="str">
        <f ca="1">IFERROR(__xludf.DUMMYFUNCTION("""COMPUTED_VALUE"""),"Eqty")</f>
        <v>Eqty</v>
      </c>
      <c r="DP4" s="109" t="str">
        <f ca="1">IFERROR(__xludf.DUMMYFUNCTION("""COMPUTED_VALUE"""),"Eqty")</f>
        <v>Eqty</v>
      </c>
      <c r="DQ4" s="109" t="str">
        <f ca="1">IFERROR(__xludf.DUMMYFUNCTION("""COMPUTED_VALUE"""),"Eqty")</f>
        <v>Eqty</v>
      </c>
      <c r="DR4" s="109" t="str">
        <f ca="1">IFERROR(__xludf.DUMMYFUNCTION("""COMPUTED_VALUE"""),"Eqty")</f>
        <v>Eqty</v>
      </c>
      <c r="DS4" s="109" t="str">
        <f ca="1">IFERROR(__xludf.DUMMYFUNCTION("""COMPUTED_VALUE"""),"Eqty")</f>
        <v>Eqty</v>
      </c>
      <c r="DT4" s="109" t="str">
        <f ca="1">IFERROR(__xludf.DUMMYFUNCTION("""COMPUTED_VALUE"""),"Eqty")</f>
        <v>Eqty</v>
      </c>
      <c r="DU4" s="109" t="str">
        <f ca="1">IFERROR(__xludf.DUMMYFUNCTION("""COMPUTED_VALUE"""),"Eqty")</f>
        <v>Eqty</v>
      </c>
      <c r="DV4" s="109" t="str">
        <f ca="1">IFERROR(__xludf.DUMMYFUNCTION("""COMPUTED_VALUE"""),"Eqty")</f>
        <v>Eqty</v>
      </c>
      <c r="DW4" s="109" t="str">
        <f ca="1">IFERROR(__xludf.DUMMYFUNCTION("""COMPUTED_VALUE"""),"Eqty")</f>
        <v>Eqty</v>
      </c>
      <c r="DX4" s="109" t="str">
        <f ca="1">IFERROR(__xludf.DUMMYFUNCTION("""COMPUTED_VALUE"""),"Eqty")</f>
        <v>Eqty</v>
      </c>
      <c r="DY4" s="109" t="str">
        <f ca="1">IFERROR(__xludf.DUMMYFUNCTION("""COMPUTED_VALUE"""),"Eqty")</f>
        <v>Eqty</v>
      </c>
      <c r="DZ4" s="109" t="str">
        <f ca="1">IFERROR(__xludf.DUMMYFUNCTION("""COMPUTED_VALUE"""),"Eqty")</f>
        <v>Eqty</v>
      </c>
      <c r="EA4" s="109" t="str">
        <f ca="1">IFERROR(__xludf.DUMMYFUNCTION("""COMPUTED_VALUE"""),"Eqty")</f>
        <v>Eqty</v>
      </c>
      <c r="EB4" s="109" t="str">
        <f ca="1">IFERROR(__xludf.DUMMYFUNCTION("""COMPUTED_VALUE"""),"Eqty")</f>
        <v>Eqty</v>
      </c>
      <c r="EC4" s="109" t="str">
        <f ca="1">IFERROR(__xludf.DUMMYFUNCTION("""COMPUTED_VALUE"""),"Eqty")</f>
        <v>Eqty</v>
      </c>
      <c r="ED4" s="109" t="str">
        <f ca="1">IFERROR(__xludf.DUMMYFUNCTION("""COMPUTED_VALUE"""),"Eqty")</f>
        <v>Eqty</v>
      </c>
      <c r="EE4" s="109" t="str">
        <f ca="1">IFERROR(__xludf.DUMMYFUNCTION("""COMPUTED_VALUE"""),"Eqty")</f>
        <v>Eqty</v>
      </c>
      <c r="EF4" s="109" t="str">
        <f ca="1">IFERROR(__xludf.DUMMYFUNCTION("""COMPUTED_VALUE"""),"Eqty")</f>
        <v>Eqty</v>
      </c>
      <c r="EG4" s="109" t="str">
        <f ca="1">IFERROR(__xludf.DUMMYFUNCTION("""COMPUTED_VALUE"""),"Eqty")</f>
        <v>Eqty</v>
      </c>
      <c r="EH4" s="109" t="str">
        <f ca="1">IFERROR(__xludf.DUMMYFUNCTION("""COMPUTED_VALUE"""),"Eqty")</f>
        <v>Eqty</v>
      </c>
      <c r="EI4" s="109" t="str">
        <f ca="1">IFERROR(__xludf.DUMMYFUNCTION("""COMPUTED_VALUE"""),"Eqty")</f>
        <v>Eqty</v>
      </c>
      <c r="EJ4" s="109" t="str">
        <f ca="1">IFERROR(__xludf.DUMMYFUNCTION("""COMPUTED_VALUE"""),"Eqty")</f>
        <v>Eqty</v>
      </c>
      <c r="EK4" s="109" t="str">
        <f ca="1">IFERROR(__xludf.DUMMYFUNCTION("""COMPUTED_VALUE"""),"Eqty")</f>
        <v>Eqty</v>
      </c>
      <c r="EL4" s="109" t="str">
        <f ca="1">IFERROR(__xludf.DUMMYFUNCTION("""COMPUTED_VALUE"""),"Eqty")</f>
        <v>Eqty</v>
      </c>
      <c r="EM4" s="109" t="str">
        <f ca="1">IFERROR(__xludf.DUMMYFUNCTION("""COMPUTED_VALUE"""),"Eqty")</f>
        <v>Eqty</v>
      </c>
      <c r="EN4" s="109" t="str">
        <f ca="1">IFERROR(__xludf.DUMMYFUNCTION("""COMPUTED_VALUE"""),"Eqty")</f>
        <v>Eqty</v>
      </c>
      <c r="EO4" s="109" t="str">
        <f ca="1">IFERROR(__xludf.DUMMYFUNCTION("""COMPUTED_VALUE"""),"Eqty")</f>
        <v>Eqty</v>
      </c>
      <c r="EP4" s="109" t="str">
        <f ca="1">IFERROR(__xludf.DUMMYFUNCTION("""COMPUTED_VALUE"""),"Eqty")</f>
        <v>Eqty</v>
      </c>
      <c r="EQ4" s="109" t="str">
        <f ca="1">IFERROR(__xludf.DUMMYFUNCTION("""COMPUTED_VALUE"""),"Eqty")</f>
        <v>Eqty</v>
      </c>
      <c r="ER4" s="109" t="str">
        <f ca="1">IFERROR(__xludf.DUMMYFUNCTION("""COMPUTED_VALUE"""),"Eqty")</f>
        <v>Eqty</v>
      </c>
      <c r="ES4" s="109" t="str">
        <f ca="1">IFERROR(__xludf.DUMMYFUNCTION("""COMPUTED_VALUE"""),"Eqty")</f>
        <v>Eqty</v>
      </c>
      <c r="ET4" s="109" t="str">
        <f ca="1">IFERROR(__xludf.DUMMYFUNCTION("""COMPUTED_VALUE"""),"Eqty")</f>
        <v>Eqty</v>
      </c>
      <c r="EU4" s="109" t="str">
        <f ca="1">IFERROR(__xludf.DUMMYFUNCTION("""COMPUTED_VALUE"""),"Eqty")</f>
        <v>Eqty</v>
      </c>
      <c r="EV4" s="109" t="str">
        <f ca="1">IFERROR(__xludf.DUMMYFUNCTION("""COMPUTED_VALUE"""),"Eqty")</f>
        <v>Eqty</v>
      </c>
      <c r="EW4" s="109" t="str">
        <f ca="1">IFERROR(__xludf.DUMMYFUNCTION("""COMPUTED_VALUE"""),"Eqty")</f>
        <v>Eqty</v>
      </c>
      <c r="EX4" s="110" t="str">
        <f ca="1">IFERROR(__xludf.DUMMYFUNCTION("""COMPUTED_VALUE"""),"Eqty")</f>
        <v>Eqty</v>
      </c>
      <c r="EY4" s="110" t="str">
        <f ca="1">IFERROR(__xludf.DUMMYFUNCTION("""COMPUTED_VALUE"""),"Eqty")</f>
        <v>Eqty</v>
      </c>
      <c r="EZ4" s="110" t="str">
        <f ca="1">IFERROR(__xludf.DUMMYFUNCTION("""COMPUTED_VALUE"""),"Eqty")</f>
        <v>Eqty</v>
      </c>
      <c r="FA4" s="110" t="str">
        <f ca="1">IFERROR(__xludf.DUMMYFUNCTION("""COMPUTED_VALUE"""),"Eqty")</f>
        <v>Eqty</v>
      </c>
      <c r="FB4" s="110" t="str">
        <f ca="1">IFERROR(__xludf.DUMMYFUNCTION("""COMPUTED_VALUE"""),"Eqty")</f>
        <v>Eqty</v>
      </c>
      <c r="FC4" s="110" t="str">
        <f ca="1">IFERROR(__xludf.DUMMYFUNCTION("""COMPUTED_VALUE"""),"Eqty")</f>
        <v>Eqty</v>
      </c>
      <c r="FD4" s="110" t="str">
        <f ca="1">IFERROR(__xludf.DUMMYFUNCTION("""COMPUTED_VALUE"""),"Eqty")</f>
        <v>Eqty</v>
      </c>
      <c r="FE4" s="110" t="str">
        <f ca="1">IFERROR(__xludf.DUMMYFUNCTION("""COMPUTED_VALUE"""),"Eqty")</f>
        <v>Eqty</v>
      </c>
      <c r="FF4" s="110" t="str">
        <f ca="1">IFERROR(__xludf.DUMMYFUNCTION("""COMPUTED_VALUE"""),"Eqty")</f>
        <v>Eqty</v>
      </c>
      <c r="FG4" s="110" t="str">
        <f ca="1">IFERROR(__xludf.DUMMYFUNCTION("""COMPUTED_VALUE"""),"Eqty")</f>
        <v>Eqty</v>
      </c>
      <c r="FH4" s="110" t="str">
        <f ca="1">IFERROR(__xludf.DUMMYFUNCTION("""COMPUTED_VALUE"""),"Eqty")</f>
        <v>Eqty</v>
      </c>
      <c r="FI4" s="110" t="str">
        <f ca="1">IFERROR(__xludf.DUMMYFUNCTION("""COMPUTED_VALUE"""),"Eqty")</f>
        <v>Eqty</v>
      </c>
      <c r="FJ4" s="110" t="str">
        <f ca="1">IFERROR(__xludf.DUMMYFUNCTION("""COMPUTED_VALUE"""),"Eqty")</f>
        <v>Eqty</v>
      </c>
      <c r="FK4" s="110" t="str">
        <f ca="1">IFERROR(__xludf.DUMMYFUNCTION("""COMPUTED_VALUE"""),"Eqty")</f>
        <v>Eqty</v>
      </c>
      <c r="FL4" s="110" t="str">
        <f ca="1">IFERROR(__xludf.DUMMYFUNCTION("""COMPUTED_VALUE"""),"Eqty")</f>
        <v>Eqty</v>
      </c>
      <c r="FM4" s="110" t="str">
        <f ca="1">IFERROR(__xludf.DUMMYFUNCTION("""COMPUTED_VALUE"""),"Eqty")</f>
        <v>Eqty</v>
      </c>
      <c r="FN4" s="110" t="str">
        <f ca="1">IFERROR(__xludf.DUMMYFUNCTION("""COMPUTED_VALUE"""),"Eqty")</f>
        <v>Eqty</v>
      </c>
      <c r="FO4" s="110" t="str">
        <f ca="1">IFERROR(__xludf.DUMMYFUNCTION("""COMPUTED_VALUE"""),"Eqty")</f>
        <v>Eqty</v>
      </c>
    </row>
    <row r="5" spans="1:171" ht="15.75" customHeight="1" x14ac:dyDescent="0.15">
      <c r="A5" s="43" t="str">
        <f ca="1">IFERROR(__xludf.DUMMYFUNCTION("""COMPUTED_VALUE"""),"Ticker")</f>
        <v>Ticker</v>
      </c>
      <c r="B5" s="111" t="str">
        <f ca="1">IFERROR(__xludf.DUMMYFUNCTION("""COMPUTED_VALUE"""),"AMZN")</f>
        <v>AMZN</v>
      </c>
      <c r="C5" s="111" t="str">
        <f ca="1">IFERROR(__xludf.DUMMYFUNCTION("""COMPUTED_VALUE"""),"FB")</f>
        <v>FB</v>
      </c>
      <c r="D5" s="111" t="str">
        <f ca="1">IFERROR(__xludf.DUMMYFUNCTION("""COMPUTED_VALUE"""),"TSLA")</f>
        <v>TSLA</v>
      </c>
      <c r="E5" s="112" t="str">
        <f ca="1">IFERROR(__xludf.DUMMYFUNCTION("""COMPUTED_VALUE"""),"0700.HK")</f>
        <v>0700.HK</v>
      </c>
      <c r="F5" s="112" t="str">
        <f ca="1">IFERROR(__xludf.DUMMYFUNCTION("""COMPUTED_VALUE"""),"0883.HK")</f>
        <v>0883.HK</v>
      </c>
      <c r="G5" s="111" t="str">
        <f ca="1">IFERROR(__xludf.DUMMYFUNCTION("""COMPUTED_VALUE"""),"AAPL")</f>
        <v>AAPL</v>
      </c>
      <c r="H5" s="111" t="str">
        <f ca="1">IFERROR(__xludf.DUMMYFUNCTION("""COMPUTED_VALUE"""),"BILI220318P00040000")</f>
        <v>BILI220318P00040000</v>
      </c>
      <c r="I5" s="111" t="str">
        <f ca="1">IFERROR(__xludf.DUMMYFUNCTION("""COMPUTED_VALUE"""),"FB220325P00210000")</f>
        <v>FB220325P00210000</v>
      </c>
      <c r="J5" s="111" t="str">
        <f ca="1">IFERROR(__xludf.DUMMYFUNCTION("""COMPUTED_VALUE"""),"BAC220325C00045000")</f>
        <v>BAC220325C00045000</v>
      </c>
      <c r="K5" s="112" t="str">
        <f ca="1">IFERROR(__xludf.DUMMYFUNCTION("""COMPUTED_VALUE"""),"9698.HK")</f>
        <v>9698.HK</v>
      </c>
      <c r="L5" s="112" t="str">
        <f ca="1">IFERROR(__xludf.DUMMYFUNCTION("""COMPUTED_VALUE"""),"3690.HK")</f>
        <v>3690.HK</v>
      </c>
      <c r="M5" s="111" t="str">
        <f ca="1">IFERROR(__xludf.DUMMYFUNCTION("""COMPUTED_VALUE"""),"BTC-USD")</f>
        <v>BTC-USD</v>
      </c>
      <c r="N5" s="111" t="str">
        <f ca="1">IFERROR(__xludf.DUMMYFUNCTION("""COMPUTED_VALUE"""),"NFLX")</f>
        <v>NFLX</v>
      </c>
      <c r="O5" s="111" t="str">
        <f ca="1">IFERROR(__xludf.DUMMYFUNCTION("""COMPUTED_VALUE"""),"MSFT")</f>
        <v>MSFT</v>
      </c>
      <c r="P5" s="111" t="str">
        <f ca="1">IFERROR(__xludf.DUMMYFUNCTION("""COMPUTED_VALUE"""),"BMBL")</f>
        <v>BMBL</v>
      </c>
      <c r="Q5" s="111" t="str">
        <f ca="1">IFERROR(__xludf.DUMMYFUNCTION("""COMPUTED_VALUE"""),"NUSI")</f>
        <v>NUSI</v>
      </c>
      <c r="R5" s="111" t="str">
        <f ca="1">IFERROR(__xludf.DUMMYFUNCTION("""COMPUTED_VALUE"""),"JD")</f>
        <v>JD</v>
      </c>
      <c r="S5" s="111" t="str">
        <f ca="1">IFERROR(__xludf.DUMMYFUNCTION("""COMPUTED_VALUE"""),"GBTC")</f>
        <v>GBTC</v>
      </c>
      <c r="T5" s="111" t="str">
        <f ca="1">IFERROR(__xludf.DUMMYFUNCTION("""COMPUTED_VALUE"""),"XPEV")</f>
        <v>XPEV</v>
      </c>
      <c r="U5" s="111" t="str">
        <f ca="1">IFERROR(__xludf.DUMMYFUNCTION("""COMPUTED_VALUE"""),"MGM")</f>
        <v>MGM</v>
      </c>
      <c r="V5" s="112" t="str">
        <f ca="1">IFERROR(__xludf.DUMMYFUNCTION("""COMPUTED_VALUE"""),"601168.ss")</f>
        <v>601168.ss</v>
      </c>
      <c r="W5" s="111" t="str">
        <f ca="1">IFERROR(__xludf.DUMMYFUNCTION("""COMPUTED_VALUE"""),"MCD")</f>
        <v>MCD</v>
      </c>
      <c r="X5" s="111" t="str">
        <f ca="1">IFERROR(__xludf.DUMMYFUNCTION("""COMPUTED_VALUE"""),"GOOG")</f>
        <v>GOOG</v>
      </c>
      <c r="Y5" s="112" t="str">
        <f ca="1">IFERROR(__xludf.DUMMYFUNCTION("""COMPUTED_VALUE"""),"2318.HK")</f>
        <v>2318.HK</v>
      </c>
      <c r="Z5" s="112" t="str">
        <f ca="1">IFERROR(__xludf.DUMMYFUNCTION("""COMPUTED_VALUE"""),"2269.HK")</f>
        <v>2269.HK</v>
      </c>
      <c r="AA5" s="111" t="str">
        <f ca="1">IFERROR(__xludf.DUMMYFUNCTION("""COMPUTED_VALUE"""),"NET")</f>
        <v>NET</v>
      </c>
      <c r="AB5" s="112" t="str">
        <f ca="1">IFERROR(__xludf.DUMMYFUNCTION("""COMPUTED_VALUE"""),"1398.HK")</f>
        <v>1398.HK</v>
      </c>
      <c r="AC5" s="111" t="str">
        <f ca="1">IFERROR(__xludf.DUMMYFUNCTION("""COMPUTED_VALUE"""),"XLE")</f>
        <v>XLE</v>
      </c>
      <c r="AD5" s="111" t="str">
        <f ca="1">IFERROR(__xludf.DUMMYFUNCTION("""COMPUTED_VALUE"""),"VYGLX")</f>
        <v>VYGLX</v>
      </c>
      <c r="AE5" s="112" t="str">
        <f ca="1">IFERROR(__xludf.DUMMYFUNCTION("""COMPUTED_VALUE"""),"600986.ss")</f>
        <v>600986.ss</v>
      </c>
      <c r="AF5" s="112" t="str">
        <f ca="1">IFERROR(__xludf.DUMMYFUNCTION("""COMPUTED_VALUE"""),"UBI.PA")</f>
        <v>UBI.PA</v>
      </c>
      <c r="AG5" s="112" t="str">
        <f ca="1">IFERROR(__xludf.DUMMYFUNCTION("""COMPUTED_VALUE"""),"2333.HK")</f>
        <v>2333.HK</v>
      </c>
      <c r="AH5" s="112" t="str">
        <f ca="1">IFERROR(__xludf.DUMMYFUNCTION("""COMPUTED_VALUE"""),"3339.HK")</f>
        <v>3339.HK</v>
      </c>
      <c r="AI5" s="112" t="str">
        <f ca="1">IFERROR(__xludf.DUMMYFUNCTION("""COMPUTED_VALUE"""),"1610.HK")</f>
        <v>1610.HK</v>
      </c>
      <c r="AJ5" s="112" t="str">
        <f ca="1">IFERROR(__xludf.DUMMYFUNCTION("""COMPUTED_VALUE"""),"2020.HK")</f>
        <v>2020.HK</v>
      </c>
      <c r="AK5" s="111" t="str">
        <f ca="1">IFERROR(__xludf.DUMMYFUNCTION("""COMPUTED_VALUE"""),"NVDA")</f>
        <v>NVDA</v>
      </c>
      <c r="AL5" s="112" t="str">
        <f ca="1">IFERROR(__xludf.DUMMYFUNCTION("""COMPUTED_VALUE"""),"1810.HK")</f>
        <v>1810.HK</v>
      </c>
      <c r="AM5" s="111" t="str">
        <f ca="1">IFERROR(__xludf.DUMMYFUNCTION("""COMPUTED_VALUE"""),"BAC")</f>
        <v>BAC</v>
      </c>
      <c r="AN5" s="111" t="str">
        <f ca="1">IFERROR(__xludf.DUMMYFUNCTION("""COMPUTED_VALUE"""),"BRK-B")</f>
        <v>BRK-B</v>
      </c>
      <c r="AO5" s="111" t="str">
        <f ca="1">IFERROR(__xludf.DUMMYFUNCTION("""COMPUTED_VALUE"""),"SONY")</f>
        <v>SONY</v>
      </c>
      <c r="AP5" s="111" t="str">
        <f ca="1">IFERROR(__xludf.DUMMYFUNCTION("""COMPUTED_VALUE"""),"ATVI")</f>
        <v>ATVI</v>
      </c>
      <c r="AQ5" s="111" t="str">
        <f ca="1">IFERROR(__xludf.DUMMYFUNCTION("""COMPUTED_VALUE"""),"tcehy")</f>
        <v>tcehy</v>
      </c>
      <c r="AR5" s="111" t="str">
        <f ca="1">IFERROR(__xludf.DUMMYFUNCTION("""COMPUTED_VALUE"""),"US023135AN60")</f>
        <v>US023135AN60</v>
      </c>
      <c r="AS5" s="111" t="str">
        <f ca="1">IFERROR(__xludf.DUMMYFUNCTION("""COMPUTED_VALUE"""),"UVXY")</f>
        <v>UVXY</v>
      </c>
      <c r="AT5" s="112" t="str">
        <f ca="1">IFERROR(__xludf.DUMMYFUNCTION("""COMPUTED_VALUE"""),"9988.HK")</f>
        <v>9988.HK</v>
      </c>
      <c r="AU5" s="111" t="str">
        <f ca="1">IFERROR(__xludf.DUMMYFUNCTION("""COMPUTED_VALUE"""),"NTDOY")</f>
        <v>NTDOY</v>
      </c>
      <c r="AV5" s="111" t="str">
        <f ca="1">IFERROR(__xludf.DUMMYFUNCTION("""COMPUTED_VALUE"""),"DIS")</f>
        <v>DIS</v>
      </c>
      <c r="AW5" s="111" t="str">
        <f ca="1">IFERROR(__xludf.DUMMYFUNCTION("""COMPUTED_VALUE"""),"AMAT")</f>
        <v>AMAT</v>
      </c>
      <c r="AX5" s="112" t="str">
        <f ca="1">IFERROR(__xludf.DUMMYFUNCTION("""COMPUTED_VALUE"""),"6969.HK")</f>
        <v>6969.HK</v>
      </c>
      <c r="AY5" s="111" t="str">
        <f ca="1">IFERROR(__xludf.DUMMYFUNCTION("""COMPUTED_VALUE"""),"RBLX")</f>
        <v>RBLX</v>
      </c>
      <c r="AZ5" s="111" t="str">
        <f ca="1">IFERROR(__xludf.DUMMYFUNCTION("""COMPUTED_VALUE"""),"SPXW220218P04300000")</f>
        <v>SPXW220218P04300000</v>
      </c>
      <c r="BA5" s="111" t="str">
        <f ca="1">IFERROR(__xludf.DUMMYFUNCTION("""COMPUTED_VALUE"""),"SPX220218P04220000")</f>
        <v>SPX220218P04220000</v>
      </c>
      <c r="BB5" s="112" t="str">
        <f ca="1">IFERROR(__xludf.DUMMYFUNCTION("""COMPUTED_VALUE"""),"0175.HK")</f>
        <v>0175.HK</v>
      </c>
      <c r="BC5" s="111" t="str">
        <f ca="1">IFERROR(__xludf.DUMMYFUNCTION("""COMPUTED_VALUE"""),"ISPO")</f>
        <v>ISPO</v>
      </c>
      <c r="BD5" s="112" t="str">
        <f ca="1">IFERROR(__xludf.DUMMYFUNCTION("""COMPUTED_VALUE"""),"9961.HK")</f>
        <v>9961.HK</v>
      </c>
      <c r="BE5" s="112" t="str">
        <f ca="1">IFERROR(__xludf.DUMMYFUNCTION("""COMPUTED_VALUE"""),"9999.HK")</f>
        <v>9999.HK</v>
      </c>
      <c r="BF5" s="112" t="str">
        <f ca="1">IFERROR(__xludf.DUMMYFUNCTION("""COMPUTED_VALUE"""),"0909.HK")</f>
        <v>0909.HK</v>
      </c>
      <c r="BG5" s="111" t="str">
        <f ca="1">IFERROR(__xludf.DUMMYFUNCTION("""COMPUTED_VALUE"""),"PANW")</f>
        <v>PANW</v>
      </c>
      <c r="BH5" s="111" t="str">
        <f ca="1">IFERROR(__xludf.DUMMYFUNCTION("""COMPUTED_VALUE"""),"TEAM")</f>
        <v>TEAM</v>
      </c>
      <c r="BI5" s="111" t="str">
        <f ca="1">IFERROR(__xludf.DUMMYFUNCTION("""COMPUTED_VALUE"""),"AMGN")</f>
        <v>AMGN</v>
      </c>
      <c r="BJ5" s="111" t="str">
        <f ca="1">IFERROR(__xludf.DUMMYFUNCTION("""COMPUTED_VALUE"""),"LCID")</f>
        <v>LCID</v>
      </c>
      <c r="BK5" s="111" t="str">
        <f ca="1">IFERROR(__xludf.DUMMYFUNCTION("""COMPUTED_VALUE"""),"SNPS")</f>
        <v>SNPS</v>
      </c>
      <c r="BL5" s="111" t="str">
        <f ca="1">IFERROR(__xludf.DUMMYFUNCTION("""COMPUTED_VALUE"""),"TMUS")</f>
        <v>TMUS</v>
      </c>
      <c r="BM5" s="111" t="str">
        <f ca="1">IFERROR(__xludf.DUMMYFUNCTION("""COMPUTED_VALUE"""),"F")</f>
        <v>F</v>
      </c>
      <c r="BN5" s="111" t="str">
        <f ca="1">IFERROR(__xludf.DUMMYFUNCTION("""COMPUTED_VALUE"""),"ANPDY")</f>
        <v>ANPDY</v>
      </c>
      <c r="BO5" s="111" t="str">
        <f ca="1">IFERROR(__xludf.DUMMYFUNCTION("""COMPUTED_VALUE"""),"LVMHF")</f>
        <v>LVMHF</v>
      </c>
      <c r="BP5" s="111" t="str">
        <f ca="1">IFERROR(__xludf.DUMMYFUNCTION("""COMPUTED_VALUE"""),"RIVN")</f>
        <v>RIVN</v>
      </c>
      <c r="BQ5" s="111" t="str">
        <f ca="1">IFERROR(__xludf.DUMMYFUNCTION("""COMPUTED_VALUE"""),"SOFI")</f>
        <v>SOFI</v>
      </c>
      <c r="BR5" s="111" t="str">
        <f ca="1">IFERROR(__xludf.DUMMYFUNCTION("""COMPUTED_VALUE"""),"SOXL")</f>
        <v>SOXL</v>
      </c>
      <c r="BS5" s="112" t="str">
        <f ca="1">IFERROR(__xludf.DUMMYFUNCTION("""COMPUTED_VALUE"""),"1498.HK")</f>
        <v>1498.HK</v>
      </c>
      <c r="BT5" s="112" t="str">
        <f ca="1">IFERROR(__xludf.DUMMYFUNCTION("""COMPUTED_VALUE"""),"002230.SZ")</f>
        <v>002230.SZ</v>
      </c>
      <c r="BU5" s="112" t="str">
        <f ca="1">IFERROR(__xludf.DUMMYFUNCTION("""COMPUTED_VALUE"""),"1109.HK")</f>
        <v>1109.HK</v>
      </c>
      <c r="BV5" s="112" t="str">
        <f ca="1">IFERROR(__xludf.DUMMYFUNCTION("""COMPUTED_VALUE"""),"0941.HK")</f>
        <v>0941.HK</v>
      </c>
      <c r="BW5" s="111" t="str">
        <f ca="1">IFERROR(__xludf.DUMMYFUNCTION("""COMPUTED_VALUE"""),"NU")</f>
        <v>NU</v>
      </c>
      <c r="BX5" s="111" t="str">
        <f ca="1">IFERROR(__xludf.DUMMYFUNCTION("""COMPUTED_VALUE"""),"YINN")</f>
        <v>YINN</v>
      </c>
      <c r="BY5" s="111" t="str">
        <f ca="1">IFERROR(__xludf.DUMMYFUNCTION("""COMPUTED_VALUE"""),"FUTU220225C00041500")</f>
        <v>FUTU220225C00041500</v>
      </c>
      <c r="BZ5" s="112" t="str">
        <f ca="1">IFERROR(__xludf.DUMMYFUNCTION("""COMPUTED_VALUE"""),"3047.HK")</f>
        <v>3047.HK</v>
      </c>
      <c r="CA5" s="112" t="str">
        <f ca="1">IFERROR(__xludf.DUMMYFUNCTION("""COMPUTED_VALUE"""),"002665.SZ")</f>
        <v>002665.SZ</v>
      </c>
      <c r="CB5" s="112" t="str">
        <f ca="1">IFERROR(__xludf.DUMMYFUNCTION("""COMPUTED_VALUE"""),"000554.SZ")</f>
        <v>000554.SZ</v>
      </c>
      <c r="CC5" s="112" t="str">
        <f ca="1">IFERROR(__xludf.DUMMYFUNCTION("""COMPUTED_VALUE"""),"300945.SZ")</f>
        <v>300945.SZ</v>
      </c>
      <c r="CD5" s="112" t="str">
        <f ca="1">IFERROR(__xludf.DUMMYFUNCTION("""COMPUTED_VALUE"""),"601808.SS")</f>
        <v>601808.SS</v>
      </c>
      <c r="CE5" s="112" t="str">
        <f ca="1">IFERROR(__xludf.DUMMYFUNCTION("""COMPUTED_VALUE"""),"300922.SZ")</f>
        <v>300922.SZ</v>
      </c>
      <c r="CF5" s="111" t="str">
        <f ca="1">IFERROR(__xludf.DUMMYFUNCTION("""COMPUTED_VALUE"""),"CL=F")</f>
        <v>CL=F</v>
      </c>
      <c r="CG5" s="112" t="str">
        <f ca="1">IFERROR(__xludf.DUMMYFUNCTION("""COMPUTED_VALUE"""),"300157.SZ")</f>
        <v>300157.SZ</v>
      </c>
      <c r="CH5" s="111" t="str">
        <f ca="1">IFERROR(__xludf.DUMMYFUNCTION("""COMPUTED_VALUE"""),"GOLD")</f>
        <v>GOLD</v>
      </c>
      <c r="CI5" s="111" t="str">
        <f ca="1">IFERROR(__xludf.DUMMYFUNCTION("""COMPUTED_VALUE"""),"SARK")</f>
        <v>SARK</v>
      </c>
      <c r="CJ5" s="111" t="str">
        <f ca="1">IFERROR(__xludf.DUMMYFUNCTION("""COMPUTED_VALUE"""),"SPXL220318C00080000")</f>
        <v>SPXL220318C00080000</v>
      </c>
      <c r="CK5" s="112" t="str">
        <f ca="1">IFERROR(__xludf.DUMMYFUNCTION("""COMPUTED_VALUE"""),"603967.SS")</f>
        <v>603967.SS</v>
      </c>
      <c r="CL5" s="111" t="str">
        <f ca="1">IFERROR(__xludf.DUMMYFUNCTION("""COMPUTED_VALUE"""),"GOOGL")</f>
        <v>GOOGL</v>
      </c>
      <c r="CM5" s="111" t="str">
        <f ca="1">IFERROR(__xludf.DUMMYFUNCTION("""COMPUTED_VALUE"""),"FTCH220318P00017500")</f>
        <v>FTCH220318P00017500</v>
      </c>
      <c r="CN5" s="112" t="str">
        <f ca="1">IFERROR(__xludf.DUMMYFUNCTION("""COMPUTED_VALUE"""),"9626.HK")</f>
        <v>9626.HK</v>
      </c>
      <c r="CO5" s="112" t="str">
        <f ca="1">IFERROR(__xludf.DUMMYFUNCTION("""COMPUTED_VALUE"""),"9888.HK")</f>
        <v>9888.HK</v>
      </c>
      <c r="CP5" s="111" t="str">
        <f ca="1">IFERROR(__xludf.DUMMYFUNCTION("""COMPUTED_VALUE"""),"ARKK")</f>
        <v>ARKK</v>
      </c>
      <c r="CQ5" s="111" t="str">
        <f ca="1">IFERROR(__xludf.DUMMYFUNCTION("""COMPUTED_VALUE"""),"005930.KS")</f>
        <v>005930.KS</v>
      </c>
      <c r="CR5" s="111" t="str">
        <f ca="1">IFERROR(__xludf.DUMMYFUNCTION("""COMPUTED_VALUE"""),"SBRCY")</f>
        <v>SBRCY</v>
      </c>
      <c r="CS5" s="112" t="str">
        <f ca="1">IFERROR(__xludf.DUMMYFUNCTION("""COMPUTED_VALUE"""),"002475.SZ")</f>
        <v>002475.SZ</v>
      </c>
      <c r="CT5" s="112" t="str">
        <f ca="1">IFERROR(__xludf.DUMMYFUNCTION("""COMPUTED_VALUE"""),"2800.HK")</f>
        <v>2800.HK</v>
      </c>
      <c r="CU5" s="111" t="str">
        <f ca="1">IFERROR(__xludf.DUMMYFUNCTION("""COMPUTED_VALUE"""),"GC=F")</f>
        <v>GC=F</v>
      </c>
      <c r="CV5" s="112" t="str">
        <f ca="1">IFERROR(__xludf.DUMMYFUNCTION("""COMPUTED_VALUE"""),"3800.hk")</f>
        <v>3800.hk</v>
      </c>
      <c r="CW5" s="112" t="str">
        <f ca="1">IFERROR(__xludf.DUMMYFUNCTION("""COMPUTED_VALUE"""),"1208.HK")</f>
        <v>1208.HK</v>
      </c>
      <c r="CX5" s="111" t="str">
        <f ca="1">IFERROR(__xludf.DUMMYFUNCTION("""COMPUTED_VALUE"""),"TQQQ220311P00057500")</f>
        <v>TQQQ220311P00057500</v>
      </c>
      <c r="CY5" s="111" t="str">
        <f ca="1">IFERROR(__xludf.DUMMYFUNCTION("""COMPUTED_VALUE"""),"RLX220414C00005000")</f>
        <v>RLX220414C00005000</v>
      </c>
      <c r="CZ5" s="112" t="str">
        <f ca="1">IFERROR(__xludf.DUMMYFUNCTION("""COMPUTED_VALUE"""),"1024.HK")</f>
        <v>1024.HK</v>
      </c>
      <c r="DA5" s="111" t="str">
        <f ca="1">IFERROR(__xludf.DUMMYFUNCTION("""COMPUTED_VALUE"""),"MARA220401P00016000")</f>
        <v>MARA220401P00016000</v>
      </c>
      <c r="DB5" s="111" t="str">
        <f ca="1">IFERROR(__xludf.DUMMYFUNCTION("""COMPUTED_VALUE"""),"NU220414C00009000")</f>
        <v>NU220414C00009000</v>
      </c>
      <c r="DC5" s="111" t="str">
        <f ca="1">IFERROR(__xludf.DUMMYFUNCTION("""COMPUTED_VALUE"""),"XLK")</f>
        <v>XLK</v>
      </c>
      <c r="DD5" s="112" t="str">
        <f ca="1">IFERROR(__xludf.DUMMYFUNCTION("""COMPUTED_VALUE"""),"603963.SS")</f>
        <v>603963.SS</v>
      </c>
      <c r="DE5" s="112" t="str">
        <f ca="1">IFERROR(__xludf.DUMMYFUNCTION("""COMPUTED_VALUE"""),"0151.HK")</f>
        <v>0151.HK</v>
      </c>
      <c r="DF5" s="112" t="str">
        <f ca="1">IFERROR(__xludf.DUMMYFUNCTION("""COMPUTED_VALUE"""),"0001.HK")</f>
        <v>0001.HK</v>
      </c>
      <c r="DG5" s="112" t="str">
        <f ca="1">IFERROR(__xludf.DUMMYFUNCTION("""COMPUTED_VALUE"""),"000950.SZ")</f>
        <v>000950.SZ</v>
      </c>
      <c r="DH5" s="112" t="str">
        <f ca="1">IFERROR(__xludf.DUMMYFUNCTION("""COMPUTED_VALUE"""),"600661.SS")</f>
        <v>600661.SS</v>
      </c>
      <c r="DI5" s="111" t="str">
        <f ca="1">IFERROR(__xludf.DUMMYFUNCTION("""COMPUTED_VALUE"""),"WMT")</f>
        <v>WMT</v>
      </c>
      <c r="DJ5" s="111" t="str">
        <f ca="1">IFERROR(__xludf.DUMMYFUNCTION("""COMPUTED_VALUE"""),"FSR")</f>
        <v>FSR</v>
      </c>
      <c r="DK5" s="111" t="str">
        <f ca="1">IFERROR(__xludf.DUMMYFUNCTION("""COMPUTED_VALUE"""),"NU220318C00005000")</f>
        <v>NU220318C00005000</v>
      </c>
      <c r="DL5" s="112" t="str">
        <f ca="1">IFERROR(__xludf.DUMMYFUNCTION("""COMPUTED_VALUE"""),"6680.HK")</f>
        <v>6680.HK</v>
      </c>
      <c r="DM5" s="111" t="str">
        <f ca="1">IFERROR(__xludf.DUMMYFUNCTION("""COMPUTED_VALUE"""),"LMT")</f>
        <v>LMT</v>
      </c>
      <c r="DN5" s="111" t="str">
        <f ca="1">IFERROR(__xludf.DUMMYFUNCTION("""COMPUTED_VALUE"""),"ABNB")</f>
        <v>ABNB</v>
      </c>
      <c r="DO5" s="112" t="str">
        <f ca="1">IFERROR(__xludf.DUMMYFUNCTION("""COMPUTED_VALUE"""),"0388.HK")</f>
        <v>0388.HK</v>
      </c>
      <c r="DP5" s="111" t="str">
        <f ca="1">IFERROR(__xludf.DUMMYFUNCTION("""COMPUTED_VALUE"""),"TQQQ220408P00056000")</f>
        <v>TQQQ220408P00056000</v>
      </c>
      <c r="DQ5" s="111" t="str">
        <f ca="1">IFERROR(__xludf.DUMMYFUNCTION("""COMPUTED_VALUE"""),"BABA")</f>
        <v>BABA</v>
      </c>
      <c r="DR5" s="111" t="str">
        <f ca="1">IFERROR(__xludf.DUMMYFUNCTION("""COMPUTED_VALUE"""),"BILI220401P00020000")</f>
        <v>BILI220401P00020000</v>
      </c>
      <c r="DS5" s="112" t="str">
        <f ca="1">IFERROR(__xludf.DUMMYFUNCTION("""COMPUTED_VALUE"""),"0708.HK")</f>
        <v>0708.HK</v>
      </c>
      <c r="DT5" s="112" t="str">
        <f ca="1">IFERROR(__xludf.DUMMYFUNCTION("""COMPUTED_VALUE"""),"1898.HK")</f>
        <v>1898.HK</v>
      </c>
      <c r="DU5" s="111" t="str">
        <f ca="1">IFERROR(__xludf.DUMMYFUNCTION("""COMPUTED_VALUE"""),"PFE")</f>
        <v>PFE</v>
      </c>
      <c r="DV5" s="112" t="str">
        <f ca="1">IFERROR(__xludf.DUMMYFUNCTION("""COMPUTED_VALUE"""),"6862.HK")</f>
        <v>6862.HK</v>
      </c>
      <c r="DW5" s="112" t="str">
        <f ca="1">IFERROR(__xludf.DUMMYFUNCTION("""COMPUTED_VALUE"""),"0070.HK")</f>
        <v>0070.HK</v>
      </c>
      <c r="DX5" s="111" t="str">
        <f ca="1">IFERROR(__xludf.DUMMYFUNCTION("""COMPUTED_VALUE"""),"BITO")</f>
        <v>BITO</v>
      </c>
      <c r="DY5" s="111" t="str">
        <f ca="1">IFERROR(__xludf.DUMMYFUNCTION("""COMPUTED_VALUE"""),"TSLA220318C00005000")</f>
        <v>TSLA220318C00005000</v>
      </c>
      <c r="DZ5" s="111" t="str">
        <f ca="1">IFERROR(__xludf.DUMMYFUNCTION("""COMPUTED_VALUE"""),"NVAX")</f>
        <v>NVAX</v>
      </c>
      <c r="EA5" s="111" t="str">
        <f ca="1">IFERROR(__xludf.DUMMYFUNCTION("""COMPUTED_VALUE"""),"XLRE")</f>
        <v>XLRE</v>
      </c>
      <c r="EB5" s="111" t="str">
        <f ca="1">IFERROR(__xludf.DUMMYFUNCTION("""COMPUTED_VALUE"""),"XLU")</f>
        <v>XLU</v>
      </c>
      <c r="EC5" s="111" t="str">
        <f ca="1">IFERROR(__xludf.DUMMYFUNCTION("""COMPUTED_VALUE"""),"XLP")</f>
        <v>XLP</v>
      </c>
      <c r="ED5" s="111" t="str">
        <f ca="1">IFERROR(__xludf.DUMMYFUNCTION("""COMPUTED_VALUE"""),"XLF")</f>
        <v>XLF</v>
      </c>
      <c r="EE5" s="111" t="str">
        <f ca="1">IFERROR(__xludf.DUMMYFUNCTION("""COMPUTED_VALUE"""),"XLB")</f>
        <v>XLB</v>
      </c>
      <c r="EF5" s="111" t="str">
        <f ca="1">IFERROR(__xludf.DUMMYFUNCTION("""COMPUTED_VALUE"""),"XLY")</f>
        <v>XLY</v>
      </c>
      <c r="EG5" s="111" t="str">
        <f ca="1">IFERROR(__xludf.DUMMYFUNCTION("""COMPUTED_VALUE"""),"XLC")</f>
        <v>XLC</v>
      </c>
      <c r="EH5" s="111" t="str">
        <f ca="1">IFERROR(__xludf.DUMMYFUNCTION("""COMPUTED_VALUE"""),"XLI")</f>
        <v>XLI</v>
      </c>
      <c r="EI5" s="111" t="str">
        <f ca="1">IFERROR(__xludf.DUMMYFUNCTION("""COMPUTED_VALUE"""),"XLV")</f>
        <v>XLV</v>
      </c>
      <c r="EJ5" s="112" t="str">
        <f ca="1">IFERROR(__xludf.DUMMYFUNCTION("""COMPUTED_VALUE"""),"603939.SS")</f>
        <v>603939.SS</v>
      </c>
      <c r="EK5" s="112" t="str">
        <f ca="1">IFERROR(__xludf.DUMMYFUNCTION("""COMPUTED_VALUE"""),"603392.SS")</f>
        <v>603392.SS</v>
      </c>
      <c r="EL5" s="112" t="str">
        <f ca="1">IFERROR(__xludf.DUMMYFUNCTION("""COMPUTED_VALUE"""),"603538.SS")</f>
        <v>603538.SS</v>
      </c>
      <c r="EM5" s="112" t="str">
        <f ca="1">IFERROR(__xludf.DUMMYFUNCTION("""COMPUTED_VALUE"""),"688076.SS")</f>
        <v>688076.SS</v>
      </c>
      <c r="EN5" s="112" t="str">
        <f ca="1">IFERROR(__xludf.DUMMYFUNCTION("""COMPUTED_VALUE"""),"600519.SS")</f>
        <v>600519.SS</v>
      </c>
      <c r="EO5" s="111" t="str">
        <f ca="1">IFERROR(__xludf.DUMMYFUNCTION("""COMPUTED_VALUE"""),"IXHL")</f>
        <v>IXHL</v>
      </c>
      <c r="EP5" s="111" t="str">
        <f ca="1">IFERROR(__xludf.DUMMYFUNCTION("""COMPUTED_VALUE"""),"OXY220318P00065000")</f>
        <v>OXY220318P00065000</v>
      </c>
      <c r="EQ5" s="111" t="str">
        <f ca="1">IFERROR(__xludf.DUMMYFUNCTION("""COMPUTED_VALUE"""),"NU220414C00006000")</f>
        <v>NU220414C00006000</v>
      </c>
      <c r="ER5" s="111" t="str">
        <f ca="1">IFERROR(__xludf.DUMMYFUNCTION("""COMPUTED_VALUE"""),"ES=F")</f>
        <v>ES=F</v>
      </c>
      <c r="ES5" s="111" t="str">
        <f ca="1">IFERROR(__xludf.DUMMYFUNCTION("""COMPUTED_VALUE"""),"AEP")</f>
        <v>AEP</v>
      </c>
      <c r="ET5" s="111" t="str">
        <f ca="1">IFERROR(__xludf.DUMMYFUNCTION("""COMPUTED_VALUE"""),"BZ=F")</f>
        <v>BZ=F</v>
      </c>
      <c r="EU5" s="112" t="str">
        <f ca="1">IFERROR(__xludf.DUMMYFUNCTION("""COMPUTED_VALUE"""),"6078.HK")</f>
        <v>6078.HK</v>
      </c>
      <c r="EV5" s="112" t="str">
        <f ca="1">IFERROR(__xludf.DUMMYFUNCTION("""COMPUTED_VALUE"""),"3833.HK")</f>
        <v>3833.HK</v>
      </c>
      <c r="EW5" s="112" t="str">
        <f ca="1">IFERROR(__xludf.DUMMYFUNCTION("""COMPUTED_VALUE"""),"0968.HK")</f>
        <v>0968.HK</v>
      </c>
      <c r="EX5" s="113" t="str">
        <f ca="1">IFERROR(__xludf.DUMMYFUNCTION("""COMPUTED_VALUE"""),"TME")</f>
        <v>TME</v>
      </c>
      <c r="EY5" s="113" t="str">
        <f ca="1">IFERROR(__xludf.DUMMYFUNCTION("""COMPUTED_VALUE"""),"BNTX")</f>
        <v>BNTX</v>
      </c>
      <c r="EZ5" s="113" t="str">
        <f ca="1">IFERROR(__xludf.DUMMYFUNCTION("""COMPUTED_VALUE"""),"SI=F")</f>
        <v>SI=F</v>
      </c>
      <c r="FA5" s="114" t="str">
        <f ca="1">IFERROR(__xludf.DUMMYFUNCTION("""COMPUTED_VALUE"""),"3988.HK")</f>
        <v>3988.HK</v>
      </c>
      <c r="FB5" s="113" t="str">
        <f ca="1">IFERROR(__xludf.DUMMYFUNCTION("""COMPUTED_VALUE"""),"JPM")</f>
        <v>JPM</v>
      </c>
      <c r="FC5" s="114" t="str">
        <f ca="1">IFERROR(__xludf.DUMMYFUNCTION("""COMPUTED_VALUE"""),"002670.SZ")</f>
        <v>002670.SZ</v>
      </c>
      <c r="FD5" s="113" t="str">
        <f ca="1">IFERROR(__xludf.DUMMYFUNCTION("""COMPUTED_VALUE"""),"DVN")</f>
        <v>DVN</v>
      </c>
      <c r="FE5" s="113" t="str">
        <f ca="1">IFERROR(__xludf.DUMMYFUNCTION("""COMPUTED_VALUE"""),"OXY")</f>
        <v>OXY</v>
      </c>
      <c r="FF5" s="114" t="str">
        <f ca="1">IFERROR(__xludf.DUMMYFUNCTION("""COMPUTED_VALUE"""),"001896.SZ")</f>
        <v>001896.SZ</v>
      </c>
      <c r="FG5" s="113" t="str">
        <f ca="1">IFERROR(__xludf.DUMMYFUNCTION("""COMPUTED_VALUE"""),"ASML")</f>
        <v>ASML</v>
      </c>
      <c r="FH5" s="113" t="str">
        <f ca="1">IFERROR(__xludf.DUMMYFUNCTION("""COMPUTED_VALUE"""),"ABBV")</f>
        <v>ABBV</v>
      </c>
      <c r="FI5" s="114" t="str">
        <f ca="1">IFERROR(__xludf.DUMMYFUNCTION("""COMPUTED_VALUE"""),"0346.hk")</f>
        <v>0346.hk</v>
      </c>
      <c r="FJ5" s="114" t="str">
        <f ca="1">IFERROR(__xludf.DUMMYFUNCTION("""COMPUTED_VALUE"""),"2607.hk")</f>
        <v>2607.hk</v>
      </c>
      <c r="FK5" s="114" t="str">
        <f ca="1">IFERROR(__xludf.DUMMYFUNCTION("""COMPUTED_VALUE"""),"000568.SZ")</f>
        <v>000568.SZ</v>
      </c>
      <c r="FL5" s="113" t="str">
        <f ca="1">IFERROR(__xludf.DUMMYFUNCTION("""COMPUTED_VALUE"""),"ANTM")</f>
        <v>ANTM</v>
      </c>
      <c r="FM5" s="113" t="str">
        <f ca="1">IFERROR(__xludf.DUMMYFUNCTION("""COMPUTED_VALUE"""),"NKE")</f>
        <v>NKE</v>
      </c>
      <c r="FN5" s="113" t="str">
        <f ca="1">IFERROR(__xludf.DUMMYFUNCTION("""COMPUTED_VALUE"""),"^CMC200")</f>
        <v>^CMC200</v>
      </c>
      <c r="FO5" s="113" t="str">
        <f ca="1">IFERROR(__xludf.DUMMYFUNCTION("""COMPUTED_VALUE"""),"SHOP")</f>
        <v>SHOP</v>
      </c>
    </row>
    <row r="6" spans="1:171" ht="15.75" customHeight="1" x14ac:dyDescent="0.15">
      <c r="A6" s="115">
        <f ca="1">IFERROR(__xludf.DUMMYFUNCTION("""COMPUTED_VALUE"""),44598)</f>
        <v>44598</v>
      </c>
      <c r="B6" s="116">
        <f ca="1">IFERROR(__xludf.DUMMYFUNCTION("""COMPUTED_VALUE"""),3152.79)</f>
        <v>3152.79</v>
      </c>
      <c r="C6" s="117"/>
      <c r="D6" s="117"/>
      <c r="E6" s="117"/>
      <c r="F6" s="117"/>
      <c r="G6" s="117"/>
      <c r="H6" s="117"/>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117"/>
      <c r="AL6" s="117"/>
      <c r="AM6" s="117"/>
      <c r="AN6" s="117"/>
      <c r="AO6" s="117"/>
      <c r="AP6" s="117"/>
      <c r="AQ6" s="117"/>
      <c r="AR6" s="118"/>
      <c r="AS6" s="117"/>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c r="DQ6" s="117"/>
      <c r="DR6" s="117"/>
      <c r="DS6" s="117"/>
      <c r="DT6" s="117"/>
      <c r="DU6" s="117"/>
      <c r="DV6" s="117"/>
      <c r="DW6" s="117"/>
      <c r="DX6" s="117"/>
      <c r="DY6" s="117"/>
      <c r="DZ6" s="117"/>
      <c r="EA6" s="117"/>
      <c r="EB6" s="117"/>
      <c r="EC6" s="117"/>
      <c r="ED6" s="117"/>
      <c r="EE6" s="117"/>
      <c r="EF6" s="117"/>
      <c r="EG6" s="117"/>
      <c r="EH6" s="117"/>
      <c r="EI6" s="117"/>
      <c r="EJ6" s="117"/>
      <c r="EK6" s="117"/>
      <c r="EL6" s="117"/>
      <c r="EM6" s="117"/>
      <c r="EN6" s="117"/>
      <c r="EO6" s="117"/>
      <c r="EP6" s="117"/>
      <c r="EQ6" s="117"/>
      <c r="ER6" s="117"/>
      <c r="ES6" s="117"/>
      <c r="ET6" s="117"/>
      <c r="EU6" s="117"/>
      <c r="EV6" s="117"/>
      <c r="EW6" s="117"/>
      <c r="EX6" s="117"/>
      <c r="EY6" s="117"/>
      <c r="EZ6" s="117"/>
      <c r="FA6" s="117"/>
      <c r="FB6" s="117"/>
      <c r="FC6" s="117"/>
      <c r="FD6" s="117"/>
      <c r="FE6" s="117"/>
      <c r="FF6" s="117"/>
      <c r="FG6" s="117"/>
      <c r="FH6" s="117"/>
      <c r="FI6" s="117"/>
      <c r="FJ6" s="117"/>
      <c r="FK6" s="117"/>
      <c r="FL6" s="117"/>
      <c r="FM6" s="117"/>
      <c r="FN6" s="117"/>
      <c r="FO6" s="117"/>
    </row>
    <row r="7" spans="1:171" ht="15.75" customHeight="1" x14ac:dyDescent="0.15">
      <c r="A7" s="115">
        <f ca="1">IFERROR(__xludf.DUMMYFUNCTION("""COMPUTED_VALUE"""),44599)</f>
        <v>44599</v>
      </c>
      <c r="B7" s="119">
        <f ca="1">IFERROR(__xludf.DUMMYFUNCTION("""COMPUTED_VALUE"""),3158.71)</f>
        <v>3158.71</v>
      </c>
      <c r="C7" s="119">
        <f ca="1">IFERROR(__xludf.DUMMYFUNCTION("""COMPUTED_VALUE"""),224.91)</f>
        <v>224.91</v>
      </c>
      <c r="D7" s="119">
        <f ca="1">IFERROR(__xludf.DUMMYFUNCTION("""COMPUTED_VALUE"""),907.34)</f>
        <v>907.34</v>
      </c>
      <c r="E7" s="119">
        <f ca="1">IFERROR(__xludf.DUMMYFUNCTION("""COMPUTED_VALUE"""),478)</f>
        <v>478</v>
      </c>
      <c r="F7" s="119">
        <f ca="1">IFERROR(__xludf.DUMMYFUNCTION("""COMPUTED_VALUE"""),9.9)</f>
        <v>9.9</v>
      </c>
      <c r="G7" s="119">
        <f ca="1">IFERROR(__xludf.DUMMYFUNCTION("""COMPUTED_VALUE"""),171.66)</f>
        <v>171.66</v>
      </c>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117"/>
      <c r="AN7" s="117"/>
      <c r="AO7" s="117"/>
      <c r="AP7" s="117"/>
      <c r="AQ7" s="117"/>
      <c r="AR7" s="118"/>
      <c r="AS7" s="117"/>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c r="DR7" s="117"/>
      <c r="DS7" s="117"/>
      <c r="DT7" s="117"/>
      <c r="DU7" s="117"/>
      <c r="DV7" s="117"/>
      <c r="DW7" s="117"/>
      <c r="DX7" s="117"/>
      <c r="DY7" s="117"/>
      <c r="DZ7" s="117"/>
      <c r="EA7" s="117"/>
      <c r="EB7" s="117"/>
      <c r="EC7" s="117"/>
      <c r="ED7" s="117"/>
      <c r="EE7" s="117"/>
      <c r="EF7" s="117"/>
      <c r="EG7" s="117"/>
      <c r="EH7" s="117"/>
      <c r="EI7" s="117"/>
      <c r="EJ7" s="117"/>
      <c r="EK7" s="117"/>
      <c r="EL7" s="117"/>
      <c r="EM7" s="117"/>
      <c r="EN7" s="117"/>
      <c r="EO7" s="117"/>
      <c r="EP7" s="117"/>
      <c r="EQ7" s="117"/>
      <c r="ER7" s="117"/>
      <c r="ES7" s="117"/>
      <c r="ET7" s="117"/>
      <c r="EU7" s="117"/>
      <c r="EV7" s="117"/>
      <c r="EW7" s="117"/>
      <c r="EX7" s="117"/>
      <c r="EY7" s="117"/>
      <c r="EZ7" s="117"/>
      <c r="FA7" s="117"/>
      <c r="FB7" s="117"/>
      <c r="FC7" s="117"/>
      <c r="FD7" s="117"/>
      <c r="FE7" s="117"/>
      <c r="FF7" s="117"/>
      <c r="FG7" s="117"/>
      <c r="FH7" s="117"/>
      <c r="FI7" s="117"/>
      <c r="FJ7" s="117"/>
      <c r="FK7" s="117"/>
      <c r="FL7" s="117"/>
      <c r="FM7" s="117"/>
      <c r="FN7" s="117"/>
      <c r="FO7" s="117"/>
    </row>
    <row r="8" spans="1:171" ht="15.75" customHeight="1" x14ac:dyDescent="0.15">
      <c r="A8" s="115">
        <f ca="1">IFERROR(__xludf.DUMMYFUNCTION("""COMPUTED_VALUE"""),44600)</f>
        <v>44600</v>
      </c>
      <c r="B8" s="119">
        <f ca="1">IFERROR(__xludf.DUMMYFUNCTION("""COMPUTED_VALUE"""),3228.27)</f>
        <v>3228.27</v>
      </c>
      <c r="C8" s="119">
        <f ca="1">IFERROR(__xludf.DUMMYFUNCTION("""COMPUTED_VALUE"""),220.18)</f>
        <v>220.18</v>
      </c>
      <c r="D8" s="119">
        <f ca="1">IFERROR(__xludf.DUMMYFUNCTION("""COMPUTED_VALUE"""),922)</f>
        <v>922</v>
      </c>
      <c r="E8" s="119">
        <f ca="1">IFERROR(__xludf.DUMMYFUNCTION("""COMPUTED_VALUE"""),470)</f>
        <v>470</v>
      </c>
      <c r="F8" s="119">
        <f ca="1">IFERROR(__xludf.DUMMYFUNCTION("""COMPUTED_VALUE"""),9.79)</f>
        <v>9.7899999999999991</v>
      </c>
      <c r="G8" s="119">
        <f ca="1">IFERROR(__xludf.DUMMYFUNCTION("""COMPUTED_VALUE"""),174.83)</f>
        <v>174.83</v>
      </c>
      <c r="H8" s="119">
        <f ca="1">IFERROR(__xludf.DUMMYFUNCTION("""COMPUTED_VALUE"""),8.5)</f>
        <v>8.5</v>
      </c>
      <c r="I8" s="119">
        <f ca="1">IFERROR(__xludf.DUMMYFUNCTION("""COMPUTED_VALUE"""),8.95)</f>
        <v>8.9499999999999993</v>
      </c>
      <c r="J8" s="119">
        <f ca="1">IFERROR(__xludf.DUMMYFUNCTION("""COMPUTED_VALUE"""),5)</f>
        <v>5</v>
      </c>
      <c r="K8" s="117"/>
      <c r="L8" s="117"/>
      <c r="M8" s="117"/>
      <c r="N8" s="117"/>
      <c r="O8" s="117"/>
      <c r="P8" s="117"/>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7"/>
      <c r="AP8" s="117"/>
      <c r="AQ8" s="117"/>
      <c r="AR8" s="118"/>
      <c r="AS8" s="117"/>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c r="DR8" s="117"/>
      <c r="DS8" s="117"/>
      <c r="DT8" s="117"/>
      <c r="DU8" s="117"/>
      <c r="DV8" s="117"/>
      <c r="DW8" s="117"/>
      <c r="DX8" s="117"/>
      <c r="DY8" s="117"/>
      <c r="DZ8" s="117"/>
      <c r="EA8" s="117"/>
      <c r="EB8" s="117"/>
      <c r="EC8" s="117"/>
      <c r="ED8" s="117"/>
      <c r="EE8" s="117"/>
      <c r="EF8" s="117"/>
      <c r="EG8" s="117"/>
      <c r="EH8" s="117"/>
      <c r="EI8" s="117"/>
      <c r="EJ8" s="117"/>
      <c r="EK8" s="117"/>
      <c r="EL8" s="117"/>
      <c r="EM8" s="117"/>
      <c r="EN8" s="117"/>
      <c r="EO8" s="117"/>
      <c r="EP8" s="117"/>
      <c r="EQ8" s="117"/>
      <c r="ER8" s="117"/>
      <c r="ES8" s="117"/>
      <c r="ET8" s="117"/>
      <c r="EU8" s="117"/>
      <c r="EV8" s="117"/>
      <c r="EW8" s="117"/>
      <c r="EX8" s="117"/>
      <c r="EY8" s="117"/>
      <c r="EZ8" s="117"/>
      <c r="FA8" s="117"/>
      <c r="FB8" s="117"/>
      <c r="FC8" s="117"/>
      <c r="FD8" s="117"/>
      <c r="FE8" s="117"/>
      <c r="FF8" s="117"/>
      <c r="FG8" s="117"/>
      <c r="FH8" s="117"/>
      <c r="FI8" s="117"/>
      <c r="FJ8" s="117"/>
      <c r="FK8" s="117"/>
      <c r="FL8" s="117"/>
      <c r="FM8" s="117"/>
      <c r="FN8" s="117"/>
      <c r="FO8" s="117"/>
    </row>
    <row r="9" spans="1:171" ht="15.75" customHeight="1" x14ac:dyDescent="0.15">
      <c r="A9" s="115">
        <f ca="1">IFERROR(__xludf.DUMMYFUNCTION("""COMPUTED_VALUE"""),44601)</f>
        <v>44601</v>
      </c>
      <c r="B9" s="119">
        <f ca="1">IFERROR(__xludf.DUMMYFUNCTION("""COMPUTED_VALUE"""),3223.79)</f>
        <v>3223.79</v>
      </c>
      <c r="C9" s="119">
        <f ca="1">IFERROR(__xludf.DUMMYFUNCTION("""COMPUTED_VALUE"""),232)</f>
        <v>232</v>
      </c>
      <c r="D9" s="119">
        <f ca="1">IFERROR(__xludf.DUMMYFUNCTION("""COMPUTED_VALUE"""),932)</f>
        <v>932</v>
      </c>
      <c r="E9" s="119">
        <f ca="1">IFERROR(__xludf.DUMMYFUNCTION("""COMPUTED_VALUE"""),482.8)</f>
        <v>482.8</v>
      </c>
      <c r="F9" s="119">
        <f ca="1">IFERROR(__xludf.DUMMYFUNCTION("""COMPUTED_VALUE"""),9.86)</f>
        <v>9.86</v>
      </c>
      <c r="G9" s="119">
        <f ca="1">IFERROR(__xludf.DUMMYFUNCTION("""COMPUTED_VALUE"""),176.28)</f>
        <v>176.28</v>
      </c>
      <c r="H9" s="119">
        <f ca="1">IFERROR(__xludf.DUMMYFUNCTION("""COMPUTED_VALUE"""),6.1)</f>
        <v>6.1</v>
      </c>
      <c r="I9" s="119">
        <f ca="1">IFERROR(__xludf.DUMMYFUNCTION("""COMPUTED_VALUE"""),4.82)</f>
        <v>4.82</v>
      </c>
      <c r="J9" s="119">
        <f ca="1">IFERROR(__xludf.DUMMYFUNCTION("""COMPUTED_VALUE"""),4.6)</f>
        <v>4.5999999999999996</v>
      </c>
      <c r="K9" s="119">
        <f ca="1">IFERROR(__xludf.DUMMYFUNCTION("""COMPUTED_VALUE"""),38.75)</f>
        <v>38.75</v>
      </c>
      <c r="L9" s="119">
        <f ca="1">IFERROR(__xludf.DUMMYFUNCTION("""COMPUTED_VALUE"""),229.2)</f>
        <v>229.2</v>
      </c>
      <c r="M9" s="119">
        <f ca="1">IFERROR(__xludf.DUMMYFUNCTION("""COMPUTED_VALUE"""),44185.375)</f>
        <v>44185.375</v>
      </c>
      <c r="N9" s="119">
        <f ca="1">IFERROR(__xludf.DUMMYFUNCTION("""COMPUTED_VALUE"""),412.89)</f>
        <v>412.89</v>
      </c>
      <c r="O9" s="119">
        <f ca="1">IFERROR(__xludf.DUMMYFUNCTION("""COMPUTED_VALUE"""),311.21)</f>
        <v>311.20999999999998</v>
      </c>
      <c r="P9" s="119">
        <f ca="1">IFERROR(__xludf.DUMMYFUNCTION("""COMPUTED_VALUE"""),29.59)</f>
        <v>29.59</v>
      </c>
      <c r="Q9" s="119">
        <f ca="1">IFERROR(__xludf.DUMMYFUNCTION("""COMPUTED_VALUE"""),25.76)</f>
        <v>25.76</v>
      </c>
      <c r="R9" s="119">
        <f ca="1">IFERROR(__xludf.DUMMYFUNCTION("""COMPUTED_VALUE"""),78.29)</f>
        <v>78.290000000000006</v>
      </c>
      <c r="S9" s="119">
        <f ca="1">IFERROR(__xludf.DUMMYFUNCTION("""COMPUTED_VALUE"""),32.08)</f>
        <v>32.08</v>
      </c>
      <c r="T9" s="117"/>
      <c r="U9" s="117"/>
      <c r="V9" s="117"/>
      <c r="W9" s="117"/>
      <c r="X9" s="117"/>
      <c r="Y9" s="117"/>
      <c r="Z9" s="117"/>
      <c r="AA9" s="117"/>
      <c r="AB9" s="117"/>
      <c r="AC9" s="117"/>
      <c r="AD9" s="117"/>
      <c r="AE9" s="117"/>
      <c r="AF9" s="117"/>
      <c r="AG9" s="117"/>
      <c r="AH9" s="117"/>
      <c r="AI9" s="117"/>
      <c r="AJ9" s="117"/>
      <c r="AK9" s="117"/>
      <c r="AL9" s="117"/>
      <c r="AM9" s="117"/>
      <c r="AN9" s="117"/>
      <c r="AO9" s="117"/>
      <c r="AP9" s="117"/>
      <c r="AQ9" s="117"/>
      <c r="AR9" s="118"/>
      <c r="AS9" s="117"/>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c r="DR9" s="117"/>
      <c r="DS9" s="117"/>
      <c r="DT9" s="117"/>
      <c r="DU9" s="117"/>
      <c r="DV9" s="117"/>
      <c r="DW9" s="117"/>
      <c r="DX9" s="117"/>
      <c r="DY9" s="117"/>
      <c r="DZ9" s="117"/>
      <c r="EA9" s="117"/>
      <c r="EB9" s="117"/>
      <c r="EC9" s="117"/>
      <c r="ED9" s="117"/>
      <c r="EE9" s="117"/>
      <c r="EF9" s="117"/>
      <c r="EG9" s="117"/>
      <c r="EH9" s="117"/>
      <c r="EI9" s="117"/>
      <c r="EJ9" s="117"/>
      <c r="EK9" s="117"/>
      <c r="EL9" s="117"/>
      <c r="EM9" s="117"/>
      <c r="EN9" s="117"/>
      <c r="EO9" s="117"/>
      <c r="EP9" s="117"/>
      <c r="EQ9" s="117"/>
      <c r="ER9" s="117"/>
      <c r="ES9" s="117"/>
      <c r="ET9" s="117"/>
      <c r="EU9" s="117"/>
      <c r="EV9" s="117"/>
      <c r="EW9" s="117"/>
      <c r="EX9" s="117"/>
      <c r="EY9" s="117"/>
      <c r="EZ9" s="117"/>
      <c r="FA9" s="117"/>
      <c r="FB9" s="117"/>
      <c r="FC9" s="117"/>
      <c r="FD9" s="117"/>
      <c r="FE9" s="117"/>
      <c r="FF9" s="117"/>
      <c r="FG9" s="117"/>
      <c r="FH9" s="117"/>
      <c r="FI9" s="117"/>
      <c r="FJ9" s="117"/>
      <c r="FK9" s="117"/>
      <c r="FL9" s="117"/>
      <c r="FM9" s="117"/>
      <c r="FN9" s="117"/>
      <c r="FO9" s="117"/>
    </row>
    <row r="10" spans="1:171" ht="15.75" customHeight="1" x14ac:dyDescent="0.15">
      <c r="A10" s="115">
        <f ca="1">IFERROR(__xludf.DUMMYFUNCTION("""COMPUTED_VALUE"""),44602)</f>
        <v>44602</v>
      </c>
      <c r="B10" s="119">
        <f ca="1">IFERROR(__xludf.DUMMYFUNCTION("""COMPUTED_VALUE"""),3180.07)</f>
        <v>3180.07</v>
      </c>
      <c r="C10" s="119">
        <f ca="1">IFERROR(__xludf.DUMMYFUNCTION("""COMPUTED_VALUE"""),228.07)</f>
        <v>228.07</v>
      </c>
      <c r="D10" s="119">
        <f ca="1">IFERROR(__xludf.DUMMYFUNCTION("""COMPUTED_VALUE"""),904.55)</f>
        <v>904.55</v>
      </c>
      <c r="E10" s="119">
        <f ca="1">IFERROR(__xludf.DUMMYFUNCTION("""COMPUTED_VALUE"""),484.4)</f>
        <v>484.4</v>
      </c>
      <c r="F10" s="119">
        <f ca="1">IFERROR(__xludf.DUMMYFUNCTION("""COMPUTED_VALUE"""),9.86)</f>
        <v>9.86</v>
      </c>
      <c r="G10" s="119">
        <f ca="1">IFERROR(__xludf.DUMMYFUNCTION("""COMPUTED_VALUE"""),172.12)</f>
        <v>172.12</v>
      </c>
      <c r="H10" s="119">
        <f ca="1">IFERROR(__xludf.DUMMYFUNCTION("""COMPUTED_VALUE"""),5.86)</f>
        <v>5.86</v>
      </c>
      <c r="I10" s="119">
        <f ca="1">IFERROR(__xludf.DUMMYFUNCTION("""COMPUTED_VALUE"""),5.9)</f>
        <v>5.9</v>
      </c>
      <c r="J10" s="119">
        <f ca="1">IFERROR(__xludf.DUMMYFUNCTION("""COMPUTED_VALUE"""),4.7)</f>
        <v>4.7</v>
      </c>
      <c r="K10" s="119">
        <f ca="1">IFERROR(__xludf.DUMMYFUNCTION("""COMPUTED_VALUE"""),43.2)</f>
        <v>43.2</v>
      </c>
      <c r="L10" s="119">
        <f ca="1">IFERROR(__xludf.DUMMYFUNCTION("""COMPUTED_VALUE"""),233)</f>
        <v>233</v>
      </c>
      <c r="M10" s="119">
        <f ca="1">IFERROR(__xludf.DUMMYFUNCTION("""COMPUTED_VALUE"""),43065.125)</f>
        <v>43065.125</v>
      </c>
      <c r="N10" s="119">
        <f ca="1">IFERROR(__xludf.DUMMYFUNCTION("""COMPUTED_VALUE"""),406.27)</f>
        <v>406.27</v>
      </c>
      <c r="O10" s="119">
        <f ca="1">IFERROR(__xludf.DUMMYFUNCTION("""COMPUTED_VALUE"""),302.38)</f>
        <v>302.38</v>
      </c>
      <c r="P10" s="119">
        <f ca="1">IFERROR(__xludf.DUMMYFUNCTION("""COMPUTED_VALUE"""),29.48)</f>
        <v>29.48</v>
      </c>
      <c r="Q10" s="119">
        <f ca="1">IFERROR(__xludf.DUMMYFUNCTION("""COMPUTED_VALUE"""),25.5)</f>
        <v>25.5</v>
      </c>
      <c r="R10" s="119">
        <f ca="1">IFERROR(__xludf.DUMMYFUNCTION("""COMPUTED_VALUE"""),76.4)</f>
        <v>76.400000000000006</v>
      </c>
      <c r="S10" s="119">
        <f ca="1">IFERROR(__xludf.DUMMYFUNCTION("""COMPUTED_VALUE"""),31)</f>
        <v>31</v>
      </c>
      <c r="T10" s="119">
        <f ca="1">IFERROR(__xludf.DUMMYFUNCTION("""COMPUTED_VALUE"""),38.92)</f>
        <v>38.92</v>
      </c>
      <c r="U10" s="119">
        <f ca="1">IFERROR(__xludf.DUMMYFUNCTION("""COMPUTED_VALUE"""),47.07)</f>
        <v>47.07</v>
      </c>
      <c r="V10" s="119">
        <f ca="1">IFERROR(__xludf.DUMMYFUNCTION("""COMPUTED_VALUE"""),14.66)</f>
        <v>14.66</v>
      </c>
      <c r="W10" s="119">
        <f ca="1">IFERROR(__xludf.DUMMYFUNCTION("""COMPUTED_VALUE"""),256.87)</f>
        <v>256.87</v>
      </c>
      <c r="X10" s="119">
        <f ca="1">IFERROR(__xludf.DUMMYFUNCTION("""COMPUTED_VALUE"""),2772.05)</f>
        <v>2772.05</v>
      </c>
      <c r="Y10" s="117"/>
      <c r="Z10" s="117"/>
      <c r="AA10" s="117"/>
      <c r="AB10" s="117"/>
      <c r="AC10" s="117"/>
      <c r="AD10" s="117"/>
      <c r="AE10" s="117"/>
      <c r="AF10" s="117"/>
      <c r="AG10" s="117"/>
      <c r="AH10" s="117"/>
      <c r="AI10" s="117"/>
      <c r="AJ10" s="117"/>
      <c r="AK10" s="117"/>
      <c r="AL10" s="117"/>
      <c r="AM10" s="117"/>
      <c r="AN10" s="117"/>
      <c r="AO10" s="117"/>
      <c r="AP10" s="117"/>
      <c r="AQ10" s="117"/>
      <c r="AR10" s="118"/>
      <c r="AS10" s="117"/>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c r="DQ10" s="117"/>
      <c r="DR10" s="117"/>
      <c r="DS10" s="117"/>
      <c r="DT10" s="117"/>
      <c r="DU10" s="117"/>
      <c r="DV10" s="117"/>
      <c r="DW10" s="117"/>
      <c r="DX10" s="117"/>
      <c r="DY10" s="117"/>
      <c r="DZ10" s="117"/>
      <c r="EA10" s="117"/>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7"/>
      <c r="FA10" s="117"/>
      <c r="FB10" s="117"/>
      <c r="FC10" s="117"/>
      <c r="FD10" s="117"/>
      <c r="FE10" s="117"/>
      <c r="FF10" s="117"/>
      <c r="FG10" s="117"/>
      <c r="FH10" s="117"/>
      <c r="FI10" s="117"/>
      <c r="FJ10" s="117"/>
      <c r="FK10" s="117"/>
      <c r="FL10" s="117"/>
      <c r="FM10" s="117"/>
      <c r="FN10" s="117"/>
      <c r="FO10" s="117"/>
    </row>
    <row r="11" spans="1:171" ht="15.75" customHeight="1" x14ac:dyDescent="0.15">
      <c r="A11" s="115">
        <f ca="1">IFERROR(__xludf.DUMMYFUNCTION("""COMPUTED_VALUE"""),44603)</f>
        <v>44603</v>
      </c>
      <c r="B11" s="119">
        <f ca="1">IFERROR(__xludf.DUMMYFUNCTION("""COMPUTED_VALUE"""),3065.87)</f>
        <v>3065.87</v>
      </c>
      <c r="C11" s="119">
        <f ca="1">IFERROR(__xludf.DUMMYFUNCTION("""COMPUTED_VALUE"""),219.55)</f>
        <v>219.55</v>
      </c>
      <c r="D11" s="119">
        <f ca="1">IFERROR(__xludf.DUMMYFUNCTION("""COMPUTED_VALUE"""),860)</f>
        <v>860</v>
      </c>
      <c r="E11" s="119">
        <f ca="1">IFERROR(__xludf.DUMMYFUNCTION("""COMPUTED_VALUE"""),477)</f>
        <v>477</v>
      </c>
      <c r="F11" s="119">
        <f ca="1">IFERROR(__xludf.DUMMYFUNCTION("""COMPUTED_VALUE"""),9.95)</f>
        <v>9.9499999999999993</v>
      </c>
      <c r="G11" s="119">
        <f ca="1">IFERROR(__xludf.DUMMYFUNCTION("""COMPUTED_VALUE"""),168.64)</f>
        <v>168.64</v>
      </c>
      <c r="H11" s="119">
        <f ca="1">IFERROR(__xludf.DUMMYFUNCTION("""COMPUTED_VALUE"""),6.4)</f>
        <v>6.4</v>
      </c>
      <c r="I11" s="119">
        <f ca="1">IFERROR(__xludf.DUMMYFUNCTION("""COMPUTED_VALUE"""),8.6)</f>
        <v>8.6</v>
      </c>
      <c r="J11" s="119">
        <f ca="1">IFERROR(__xludf.DUMMYFUNCTION("""COMPUTED_VALUE"""),3.55)</f>
        <v>3.55</v>
      </c>
      <c r="K11" s="119">
        <f ca="1">IFERROR(__xludf.DUMMYFUNCTION("""COMPUTED_VALUE"""),43.2)</f>
        <v>43.2</v>
      </c>
      <c r="L11" s="119">
        <f ca="1">IFERROR(__xludf.DUMMYFUNCTION("""COMPUTED_VALUE"""),227.8)</f>
        <v>227.8</v>
      </c>
      <c r="M11" s="119">
        <f ca="1">IFERROR(__xludf.DUMMYFUNCTION("""COMPUTED_VALUE"""),42194.062)</f>
        <v>42194.061999999998</v>
      </c>
      <c r="N11" s="119">
        <f ca="1">IFERROR(__xludf.DUMMYFUNCTION("""COMPUTED_VALUE"""),391.31)</f>
        <v>391.31</v>
      </c>
      <c r="O11" s="119">
        <f ca="1">IFERROR(__xludf.DUMMYFUNCTION("""COMPUTED_VALUE"""),295.04)</f>
        <v>295.04000000000002</v>
      </c>
      <c r="P11" s="119">
        <f ca="1">IFERROR(__xludf.DUMMYFUNCTION("""COMPUTED_VALUE"""),28.1)</f>
        <v>28.1</v>
      </c>
      <c r="Q11" s="119">
        <f ca="1">IFERROR(__xludf.DUMMYFUNCTION("""COMPUTED_VALUE"""),25.1)</f>
        <v>25.1</v>
      </c>
      <c r="R11" s="119">
        <f ca="1">IFERROR(__xludf.DUMMYFUNCTION("""COMPUTED_VALUE"""),73.98)</f>
        <v>73.98</v>
      </c>
      <c r="S11" s="119">
        <f ca="1">IFERROR(__xludf.DUMMYFUNCTION("""COMPUTED_VALUE"""),29.61)</f>
        <v>29.61</v>
      </c>
      <c r="T11" s="119">
        <f ca="1">IFERROR(__xludf.DUMMYFUNCTION("""COMPUTED_VALUE"""),37.27)</f>
        <v>37.270000000000003</v>
      </c>
      <c r="U11" s="119">
        <f ca="1">IFERROR(__xludf.DUMMYFUNCTION("""COMPUTED_VALUE"""),45.46)</f>
        <v>45.46</v>
      </c>
      <c r="V11" s="119">
        <f ca="1">IFERROR(__xludf.DUMMYFUNCTION("""COMPUTED_VALUE"""),14.44)</f>
        <v>14.44</v>
      </c>
      <c r="W11" s="119">
        <f ca="1">IFERROR(__xludf.DUMMYFUNCTION("""COMPUTED_VALUE"""),255.16)</f>
        <v>255.16</v>
      </c>
      <c r="X11" s="119">
        <f ca="1">IFERROR(__xludf.DUMMYFUNCTION("""COMPUTED_VALUE"""),2682.6)</f>
        <v>2682.6</v>
      </c>
      <c r="Y11" s="119">
        <f ca="1">IFERROR(__xludf.DUMMYFUNCTION("""COMPUTED_VALUE"""),69.3)</f>
        <v>69.3</v>
      </c>
      <c r="Z11" s="119">
        <f ca="1">IFERROR(__xludf.DUMMYFUNCTION("""COMPUTED_VALUE"""),56.7)</f>
        <v>56.7</v>
      </c>
      <c r="AA11" s="119">
        <f ca="1">IFERROR(__xludf.DUMMYFUNCTION("""COMPUTED_VALUE"""),104.92)</f>
        <v>104.92</v>
      </c>
      <c r="AB11" s="119">
        <f ca="1">IFERROR(__xludf.DUMMYFUNCTION("""COMPUTED_VALUE"""),4.93)</f>
        <v>4.93</v>
      </c>
      <c r="AC11" s="119">
        <f ca="1">IFERROR(__xludf.DUMMYFUNCTION("""COMPUTED_VALUE"""),70.41)</f>
        <v>70.41</v>
      </c>
      <c r="AD11" s="117"/>
      <c r="AE11" s="117"/>
      <c r="AF11" s="117"/>
      <c r="AG11" s="117"/>
      <c r="AH11" s="117"/>
      <c r="AI11" s="117"/>
      <c r="AJ11" s="117"/>
      <c r="AK11" s="117"/>
      <c r="AL11" s="117"/>
      <c r="AM11" s="117"/>
      <c r="AN11" s="117"/>
      <c r="AO11" s="117"/>
      <c r="AP11" s="117"/>
      <c r="AQ11" s="117"/>
      <c r="AR11" s="118"/>
      <c r="AS11" s="117"/>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c r="DR11" s="117"/>
      <c r="DS11" s="117"/>
      <c r="DT11" s="117"/>
      <c r="DU11" s="117"/>
      <c r="DV11" s="117"/>
      <c r="DW11" s="117"/>
      <c r="DX11" s="117"/>
      <c r="DY11" s="117"/>
      <c r="DZ11" s="117"/>
      <c r="EA11" s="117"/>
      <c r="EB11" s="117"/>
      <c r="EC11" s="117"/>
      <c r="ED11" s="117"/>
      <c r="EE11" s="117"/>
      <c r="EF11" s="117"/>
      <c r="EG11" s="117"/>
      <c r="EH11" s="117"/>
      <c r="EI11" s="117"/>
      <c r="EJ11" s="117"/>
      <c r="EK11" s="117"/>
      <c r="EL11" s="117"/>
      <c r="EM11" s="117"/>
      <c r="EN11" s="117"/>
      <c r="EO11" s="117"/>
      <c r="EP11" s="117"/>
      <c r="EQ11" s="117"/>
      <c r="ER11" s="117"/>
      <c r="ES11" s="117"/>
      <c r="ET11" s="117"/>
      <c r="EU11" s="117"/>
      <c r="EV11" s="117"/>
      <c r="EW11" s="117"/>
      <c r="EX11" s="117"/>
      <c r="EY11" s="117"/>
      <c r="EZ11" s="117"/>
      <c r="FA11" s="117"/>
      <c r="FB11" s="117"/>
      <c r="FC11" s="117"/>
      <c r="FD11" s="117"/>
      <c r="FE11" s="117"/>
      <c r="FF11" s="117"/>
      <c r="FG11" s="117"/>
      <c r="FH11" s="117"/>
      <c r="FI11" s="117"/>
      <c r="FJ11" s="117"/>
      <c r="FK11" s="117"/>
      <c r="FL11" s="117"/>
      <c r="FM11" s="117"/>
      <c r="FN11" s="117"/>
      <c r="FO11" s="117"/>
    </row>
    <row r="12" spans="1:171" ht="15.75" customHeight="1" x14ac:dyDescent="0.15">
      <c r="A12" s="115">
        <f ca="1">IFERROR(__xludf.DUMMYFUNCTION("""COMPUTED_VALUE"""),44604)</f>
        <v>44604</v>
      </c>
      <c r="B12" s="119">
        <f ca="1">IFERROR(__xludf.DUMMYFUNCTION("""COMPUTED_VALUE"""),3065.87)</f>
        <v>3065.87</v>
      </c>
      <c r="C12" s="119">
        <f ca="1">IFERROR(__xludf.DUMMYFUNCTION("""COMPUTED_VALUE"""),219.55)</f>
        <v>219.55</v>
      </c>
      <c r="D12" s="119">
        <f ca="1">IFERROR(__xludf.DUMMYFUNCTION("""COMPUTED_VALUE"""),860)</f>
        <v>860</v>
      </c>
      <c r="E12" s="119">
        <f ca="1">IFERROR(__xludf.DUMMYFUNCTION("""COMPUTED_VALUE"""),477)</f>
        <v>477</v>
      </c>
      <c r="F12" s="119">
        <f ca="1">IFERROR(__xludf.DUMMYFUNCTION("""COMPUTED_VALUE"""),9.95)</f>
        <v>9.9499999999999993</v>
      </c>
      <c r="G12" s="119">
        <f ca="1">IFERROR(__xludf.DUMMYFUNCTION("""COMPUTED_VALUE"""),168.64)</f>
        <v>168.64</v>
      </c>
      <c r="H12" s="119">
        <f ca="1">IFERROR(__xludf.DUMMYFUNCTION("""COMPUTED_VALUE"""),6.4)</f>
        <v>6.4</v>
      </c>
      <c r="I12" s="119">
        <f ca="1">IFERROR(__xludf.DUMMYFUNCTION("""COMPUTED_VALUE"""),8.6)</f>
        <v>8.6</v>
      </c>
      <c r="J12" s="119">
        <f ca="1">IFERROR(__xludf.DUMMYFUNCTION("""COMPUTED_VALUE"""),3.55)</f>
        <v>3.55</v>
      </c>
      <c r="K12" s="119">
        <f ca="1">IFERROR(__xludf.DUMMYFUNCTION("""COMPUTED_VALUE"""),43.2)</f>
        <v>43.2</v>
      </c>
      <c r="L12" s="119">
        <f ca="1">IFERROR(__xludf.DUMMYFUNCTION("""COMPUTED_VALUE"""),227.8)</f>
        <v>227.8</v>
      </c>
      <c r="M12" s="119">
        <f ca="1">IFERROR(__xludf.DUMMYFUNCTION("""COMPUTED_VALUE"""),42397.91)</f>
        <v>42397.91</v>
      </c>
      <c r="N12" s="119">
        <f ca="1">IFERROR(__xludf.DUMMYFUNCTION("""COMPUTED_VALUE"""),391.31)</f>
        <v>391.31</v>
      </c>
      <c r="O12" s="119">
        <f ca="1">IFERROR(__xludf.DUMMYFUNCTION("""COMPUTED_VALUE"""),295.04)</f>
        <v>295.04000000000002</v>
      </c>
      <c r="P12" s="119">
        <f ca="1">IFERROR(__xludf.DUMMYFUNCTION("""COMPUTED_VALUE"""),28.1)</f>
        <v>28.1</v>
      </c>
      <c r="Q12" s="119">
        <f ca="1">IFERROR(__xludf.DUMMYFUNCTION("""COMPUTED_VALUE"""),25.1)</f>
        <v>25.1</v>
      </c>
      <c r="R12" s="119">
        <f ca="1">IFERROR(__xludf.DUMMYFUNCTION("""COMPUTED_VALUE"""),73.98)</f>
        <v>73.98</v>
      </c>
      <c r="S12" s="119">
        <f ca="1">IFERROR(__xludf.DUMMYFUNCTION("""COMPUTED_VALUE"""),29.61)</f>
        <v>29.61</v>
      </c>
      <c r="T12" s="119">
        <f ca="1">IFERROR(__xludf.DUMMYFUNCTION("""COMPUTED_VALUE"""),37.27)</f>
        <v>37.270000000000003</v>
      </c>
      <c r="U12" s="119">
        <f ca="1">IFERROR(__xludf.DUMMYFUNCTION("""COMPUTED_VALUE"""),45.46)</f>
        <v>45.46</v>
      </c>
      <c r="V12" s="119">
        <f ca="1">IFERROR(__xludf.DUMMYFUNCTION("""COMPUTED_VALUE"""),14.44)</f>
        <v>14.44</v>
      </c>
      <c r="W12" s="119">
        <f ca="1">IFERROR(__xludf.DUMMYFUNCTION("""COMPUTED_VALUE"""),255.16)</f>
        <v>255.16</v>
      </c>
      <c r="X12" s="119">
        <f ca="1">IFERROR(__xludf.DUMMYFUNCTION("""COMPUTED_VALUE"""),2682.6)</f>
        <v>2682.6</v>
      </c>
      <c r="Y12" s="119">
        <f ca="1">IFERROR(__xludf.DUMMYFUNCTION("""COMPUTED_VALUE"""),69.3)</f>
        <v>69.3</v>
      </c>
      <c r="Z12" s="119">
        <f ca="1">IFERROR(__xludf.DUMMYFUNCTION("""COMPUTED_VALUE"""),56.7)</f>
        <v>56.7</v>
      </c>
      <c r="AA12" s="119">
        <f ca="1">IFERROR(__xludf.DUMMYFUNCTION("""COMPUTED_VALUE"""),104.92)</f>
        <v>104.92</v>
      </c>
      <c r="AB12" s="119">
        <f ca="1">IFERROR(__xludf.DUMMYFUNCTION("""COMPUTED_VALUE"""),4.93)</f>
        <v>4.93</v>
      </c>
      <c r="AC12" s="119">
        <f ca="1">IFERROR(__xludf.DUMMYFUNCTION("""COMPUTED_VALUE"""),70.41)</f>
        <v>70.41</v>
      </c>
      <c r="AD12" s="117"/>
      <c r="AE12" s="117"/>
      <c r="AF12" s="117"/>
      <c r="AG12" s="117"/>
      <c r="AH12" s="117"/>
      <c r="AI12" s="117"/>
      <c r="AJ12" s="117"/>
      <c r="AK12" s="117"/>
      <c r="AL12" s="117"/>
      <c r="AM12" s="117"/>
      <c r="AN12" s="117"/>
      <c r="AO12" s="117"/>
      <c r="AP12" s="117"/>
      <c r="AQ12" s="117"/>
      <c r="AR12" s="118"/>
      <c r="AS12" s="117"/>
      <c r="AT12" s="117"/>
      <c r="AU12" s="117"/>
      <c r="AV12" s="117"/>
      <c r="AW12" s="117"/>
      <c r="AX12" s="117"/>
      <c r="AY12" s="117"/>
      <c r="AZ12" s="117"/>
      <c r="BA12" s="117"/>
      <c r="BB12" s="117"/>
      <c r="BC12" s="117"/>
      <c r="BD12" s="117"/>
      <c r="BE12" s="117"/>
      <c r="BF12" s="117"/>
      <c r="BG12" s="117"/>
      <c r="BH12" s="117"/>
      <c r="BI12" s="117"/>
      <c r="BJ12" s="117"/>
      <c r="BK12" s="117"/>
      <c r="BL12" s="117"/>
      <c r="BM12" s="117"/>
      <c r="BN12" s="117"/>
      <c r="BO12" s="117"/>
      <c r="BP12" s="117"/>
      <c r="BQ12" s="117"/>
      <c r="BR12" s="117"/>
      <c r="BS12" s="117"/>
      <c r="BT12" s="117"/>
      <c r="BU12" s="117"/>
      <c r="BV12" s="117"/>
      <c r="BW12" s="117"/>
      <c r="BX12" s="117"/>
      <c r="BY12" s="117"/>
      <c r="BZ12" s="117"/>
      <c r="CA12" s="117"/>
      <c r="CB12" s="117"/>
      <c r="CC12" s="117"/>
      <c r="CD12" s="117"/>
      <c r="CE12" s="117"/>
      <c r="CF12" s="117"/>
      <c r="CG12" s="117"/>
      <c r="CH12" s="117"/>
      <c r="CI12" s="117"/>
      <c r="CJ12" s="117"/>
      <c r="CK12" s="117"/>
      <c r="CL12" s="117"/>
      <c r="CM12" s="117"/>
      <c r="CN12" s="117"/>
      <c r="CO12" s="117"/>
      <c r="CP12" s="117"/>
      <c r="CQ12" s="117"/>
      <c r="CR12" s="117"/>
      <c r="CS12" s="117"/>
      <c r="CT12" s="117"/>
      <c r="CU12" s="117"/>
      <c r="CV12" s="117"/>
      <c r="CW12" s="117"/>
      <c r="CX12" s="117"/>
      <c r="CY12" s="117"/>
      <c r="CZ12" s="117"/>
      <c r="DA12" s="117"/>
      <c r="DB12" s="117"/>
      <c r="DC12" s="117"/>
      <c r="DD12" s="117"/>
      <c r="DE12" s="117"/>
      <c r="DF12" s="117"/>
      <c r="DG12" s="117"/>
      <c r="DH12" s="117"/>
      <c r="DI12" s="117"/>
      <c r="DJ12" s="117"/>
      <c r="DK12" s="117"/>
      <c r="DL12" s="117"/>
      <c r="DM12" s="117"/>
      <c r="DN12" s="117"/>
      <c r="DO12" s="117"/>
      <c r="DP12" s="117"/>
      <c r="DQ12" s="117"/>
      <c r="DR12" s="117"/>
      <c r="DS12" s="117"/>
      <c r="DT12" s="117"/>
      <c r="DU12" s="117"/>
      <c r="DV12" s="117"/>
      <c r="DW12" s="117"/>
      <c r="DX12" s="117"/>
      <c r="DY12" s="117"/>
      <c r="DZ12" s="117"/>
      <c r="EA12" s="117"/>
      <c r="EB12" s="117"/>
      <c r="EC12" s="117"/>
      <c r="ED12" s="117"/>
      <c r="EE12" s="117"/>
      <c r="EF12" s="117"/>
      <c r="EG12" s="117"/>
      <c r="EH12" s="117"/>
      <c r="EI12" s="117"/>
      <c r="EJ12" s="117"/>
      <c r="EK12" s="117"/>
      <c r="EL12" s="117"/>
      <c r="EM12" s="117"/>
      <c r="EN12" s="117"/>
      <c r="EO12" s="117"/>
      <c r="EP12" s="117"/>
      <c r="EQ12" s="117"/>
      <c r="ER12" s="117"/>
      <c r="ES12" s="117"/>
      <c r="ET12" s="117"/>
      <c r="EU12" s="117"/>
      <c r="EV12" s="117"/>
      <c r="EW12" s="117"/>
      <c r="EX12" s="117"/>
      <c r="EY12" s="117"/>
      <c r="EZ12" s="117"/>
      <c r="FA12" s="117"/>
      <c r="FB12" s="117"/>
      <c r="FC12" s="117"/>
      <c r="FD12" s="117"/>
      <c r="FE12" s="117"/>
      <c r="FF12" s="117"/>
      <c r="FG12" s="117"/>
      <c r="FH12" s="117"/>
      <c r="FI12" s="117"/>
      <c r="FJ12" s="117"/>
      <c r="FK12" s="117"/>
      <c r="FL12" s="117"/>
      <c r="FM12" s="117"/>
      <c r="FN12" s="117"/>
      <c r="FO12" s="117"/>
    </row>
    <row r="13" spans="1:171" ht="15.75" customHeight="1" x14ac:dyDescent="0.15">
      <c r="A13" s="115">
        <f ca="1">IFERROR(__xludf.DUMMYFUNCTION("""COMPUTED_VALUE"""),44605)</f>
        <v>44605</v>
      </c>
      <c r="B13" s="119">
        <f ca="1">IFERROR(__xludf.DUMMYFUNCTION("""COMPUTED_VALUE"""),3065.87)</f>
        <v>3065.87</v>
      </c>
      <c r="C13" s="119">
        <f ca="1">IFERROR(__xludf.DUMMYFUNCTION("""COMPUTED_VALUE"""),219.55)</f>
        <v>219.55</v>
      </c>
      <c r="D13" s="119">
        <f ca="1">IFERROR(__xludf.DUMMYFUNCTION("""COMPUTED_VALUE"""),860)</f>
        <v>860</v>
      </c>
      <c r="E13" s="119">
        <f ca="1">IFERROR(__xludf.DUMMYFUNCTION("""COMPUTED_VALUE"""),477)</f>
        <v>477</v>
      </c>
      <c r="F13" s="119">
        <f ca="1">IFERROR(__xludf.DUMMYFUNCTION("""COMPUTED_VALUE"""),9.95)</f>
        <v>9.9499999999999993</v>
      </c>
      <c r="G13" s="119">
        <f ca="1">IFERROR(__xludf.DUMMYFUNCTION("""COMPUTED_VALUE"""),168.64)</f>
        <v>168.64</v>
      </c>
      <c r="H13" s="119">
        <f ca="1">IFERROR(__xludf.DUMMYFUNCTION("""COMPUTED_VALUE"""),6.4)</f>
        <v>6.4</v>
      </c>
      <c r="I13" s="119">
        <f ca="1">IFERROR(__xludf.DUMMYFUNCTION("""COMPUTED_VALUE"""),8.6)</f>
        <v>8.6</v>
      </c>
      <c r="J13" s="119">
        <f ca="1">IFERROR(__xludf.DUMMYFUNCTION("""COMPUTED_VALUE"""),3.55)</f>
        <v>3.55</v>
      </c>
      <c r="K13" s="119">
        <f ca="1">IFERROR(__xludf.DUMMYFUNCTION("""COMPUTED_VALUE"""),43.2)</f>
        <v>43.2</v>
      </c>
      <c r="L13" s="119">
        <f ca="1">IFERROR(__xludf.DUMMYFUNCTION("""COMPUTED_VALUE"""),227.8)</f>
        <v>227.8</v>
      </c>
      <c r="M13" s="119">
        <f ca="1">IFERROR(__xludf.DUMMYFUNCTION("""COMPUTED_VALUE"""),42397.91)</f>
        <v>42397.91</v>
      </c>
      <c r="N13" s="119">
        <f ca="1">IFERROR(__xludf.DUMMYFUNCTION("""COMPUTED_VALUE"""),391.31)</f>
        <v>391.31</v>
      </c>
      <c r="O13" s="119">
        <f ca="1">IFERROR(__xludf.DUMMYFUNCTION("""COMPUTED_VALUE"""),295.04)</f>
        <v>295.04000000000002</v>
      </c>
      <c r="P13" s="119">
        <f ca="1">IFERROR(__xludf.DUMMYFUNCTION("""COMPUTED_VALUE"""),28.1)</f>
        <v>28.1</v>
      </c>
      <c r="Q13" s="119">
        <f ca="1">IFERROR(__xludf.DUMMYFUNCTION("""COMPUTED_VALUE"""),25.1)</f>
        <v>25.1</v>
      </c>
      <c r="R13" s="119">
        <f ca="1">IFERROR(__xludf.DUMMYFUNCTION("""COMPUTED_VALUE"""),73.98)</f>
        <v>73.98</v>
      </c>
      <c r="S13" s="119">
        <f ca="1">IFERROR(__xludf.DUMMYFUNCTION("""COMPUTED_VALUE"""),29.61)</f>
        <v>29.61</v>
      </c>
      <c r="T13" s="119">
        <f ca="1">IFERROR(__xludf.DUMMYFUNCTION("""COMPUTED_VALUE"""),37.27)</f>
        <v>37.270000000000003</v>
      </c>
      <c r="U13" s="119">
        <f ca="1">IFERROR(__xludf.DUMMYFUNCTION("""COMPUTED_VALUE"""),45.46)</f>
        <v>45.46</v>
      </c>
      <c r="V13" s="119">
        <f ca="1">IFERROR(__xludf.DUMMYFUNCTION("""COMPUTED_VALUE"""),14.44)</f>
        <v>14.44</v>
      </c>
      <c r="W13" s="119">
        <f ca="1">IFERROR(__xludf.DUMMYFUNCTION("""COMPUTED_VALUE"""),255.16)</f>
        <v>255.16</v>
      </c>
      <c r="X13" s="119">
        <f ca="1">IFERROR(__xludf.DUMMYFUNCTION("""COMPUTED_VALUE"""),2682.6)</f>
        <v>2682.6</v>
      </c>
      <c r="Y13" s="119">
        <f ca="1">IFERROR(__xludf.DUMMYFUNCTION("""COMPUTED_VALUE"""),69.3)</f>
        <v>69.3</v>
      </c>
      <c r="Z13" s="119">
        <f ca="1">IFERROR(__xludf.DUMMYFUNCTION("""COMPUTED_VALUE"""),56.7)</f>
        <v>56.7</v>
      </c>
      <c r="AA13" s="119">
        <f ca="1">IFERROR(__xludf.DUMMYFUNCTION("""COMPUTED_VALUE"""),104.92)</f>
        <v>104.92</v>
      </c>
      <c r="AB13" s="119">
        <f ca="1">IFERROR(__xludf.DUMMYFUNCTION("""COMPUTED_VALUE"""),4.93)</f>
        <v>4.93</v>
      </c>
      <c r="AC13" s="119">
        <f ca="1">IFERROR(__xludf.DUMMYFUNCTION("""COMPUTED_VALUE"""),70.41)</f>
        <v>70.41</v>
      </c>
      <c r="AD13" s="117"/>
      <c r="AE13" s="117"/>
      <c r="AF13" s="117"/>
      <c r="AG13" s="117"/>
      <c r="AH13" s="117"/>
      <c r="AI13" s="117"/>
      <c r="AJ13" s="117"/>
      <c r="AK13" s="117"/>
      <c r="AL13" s="117"/>
      <c r="AM13" s="117"/>
      <c r="AN13" s="117"/>
      <c r="AO13" s="117"/>
      <c r="AP13" s="117"/>
      <c r="AQ13" s="117"/>
      <c r="AR13" s="118"/>
      <c r="AS13" s="117"/>
      <c r="AT13" s="117"/>
      <c r="AU13" s="117"/>
      <c r="AV13" s="117"/>
      <c r="AW13" s="117"/>
      <c r="AX13" s="117"/>
      <c r="AY13" s="117"/>
      <c r="AZ13" s="117"/>
      <c r="BA13" s="117"/>
      <c r="BB13" s="117"/>
      <c r="BC13" s="117"/>
      <c r="BD13" s="117"/>
      <c r="BE13" s="117"/>
      <c r="BF13" s="117"/>
      <c r="BG13" s="117"/>
      <c r="BH13" s="117"/>
      <c r="BI13" s="117"/>
      <c r="BJ13" s="117"/>
      <c r="BK13" s="117"/>
      <c r="BL13" s="117"/>
      <c r="BM13" s="117"/>
      <c r="BN13" s="117"/>
      <c r="BO13" s="117"/>
      <c r="BP13" s="117"/>
      <c r="BQ13" s="117"/>
      <c r="BR13" s="117"/>
      <c r="BS13" s="117"/>
      <c r="BT13" s="117"/>
      <c r="BU13" s="117"/>
      <c r="BV13" s="117"/>
      <c r="BW13" s="117"/>
      <c r="BX13" s="117"/>
      <c r="BY13" s="117"/>
      <c r="BZ13" s="117"/>
      <c r="CA13" s="117"/>
      <c r="CB13" s="117"/>
      <c r="CC13" s="117"/>
      <c r="CD13" s="117"/>
      <c r="CE13" s="117"/>
      <c r="CF13" s="117"/>
      <c r="CG13" s="117"/>
      <c r="CH13" s="117"/>
      <c r="CI13" s="117"/>
      <c r="CJ13" s="117"/>
      <c r="CK13" s="117"/>
      <c r="CL13" s="117"/>
      <c r="CM13" s="117"/>
      <c r="CN13" s="117"/>
      <c r="CO13" s="117"/>
      <c r="CP13" s="117"/>
      <c r="CQ13" s="117"/>
      <c r="CR13" s="117"/>
      <c r="CS13" s="117"/>
      <c r="CT13" s="117"/>
      <c r="CU13" s="117"/>
      <c r="CV13" s="117"/>
      <c r="CW13" s="117"/>
      <c r="CX13" s="117"/>
      <c r="CY13" s="117"/>
      <c r="CZ13" s="117"/>
      <c r="DA13" s="117"/>
      <c r="DB13" s="117"/>
      <c r="DC13" s="117"/>
      <c r="DD13" s="117"/>
      <c r="DE13" s="117"/>
      <c r="DF13" s="117"/>
      <c r="DG13" s="117"/>
      <c r="DH13" s="117"/>
      <c r="DI13" s="117"/>
      <c r="DJ13" s="117"/>
      <c r="DK13" s="117"/>
      <c r="DL13" s="117"/>
      <c r="DM13" s="117"/>
      <c r="DN13" s="117"/>
      <c r="DO13" s="117"/>
      <c r="DP13" s="117"/>
      <c r="DQ13" s="117"/>
      <c r="DR13" s="117"/>
      <c r="DS13" s="117"/>
      <c r="DT13" s="117"/>
      <c r="DU13" s="117"/>
      <c r="DV13" s="117"/>
      <c r="DW13" s="117"/>
      <c r="DX13" s="117"/>
      <c r="DY13" s="117"/>
      <c r="DZ13" s="117"/>
      <c r="EA13" s="117"/>
      <c r="EB13" s="117"/>
      <c r="EC13" s="117"/>
      <c r="ED13" s="117"/>
      <c r="EE13" s="117"/>
      <c r="EF13" s="117"/>
      <c r="EG13" s="117"/>
      <c r="EH13" s="117"/>
      <c r="EI13" s="117"/>
      <c r="EJ13" s="117"/>
      <c r="EK13" s="117"/>
      <c r="EL13" s="117"/>
      <c r="EM13" s="117"/>
      <c r="EN13" s="117"/>
      <c r="EO13" s="117"/>
      <c r="EP13" s="117"/>
      <c r="EQ13" s="117"/>
      <c r="ER13" s="117"/>
      <c r="ES13" s="117"/>
      <c r="ET13" s="117"/>
      <c r="EU13" s="117"/>
      <c r="EV13" s="117"/>
      <c r="EW13" s="117"/>
      <c r="EX13" s="117"/>
      <c r="EY13" s="117"/>
      <c r="EZ13" s="117"/>
      <c r="FA13" s="117"/>
      <c r="FB13" s="117"/>
      <c r="FC13" s="117"/>
      <c r="FD13" s="117"/>
      <c r="FE13" s="117"/>
      <c r="FF13" s="117"/>
      <c r="FG13" s="117"/>
      <c r="FH13" s="117"/>
      <c r="FI13" s="117"/>
      <c r="FJ13" s="117"/>
      <c r="FK13" s="117"/>
      <c r="FL13" s="117"/>
      <c r="FM13" s="117"/>
      <c r="FN13" s="117"/>
      <c r="FO13" s="117"/>
    </row>
    <row r="14" spans="1:171" ht="15.75" customHeight="1" x14ac:dyDescent="0.15">
      <c r="A14" s="115">
        <f ca="1">IFERROR(__xludf.DUMMYFUNCTION("""COMPUTED_VALUE"""),44606)</f>
        <v>44606</v>
      </c>
      <c r="B14" s="119">
        <f ca="1">IFERROR(__xludf.DUMMYFUNCTION("""COMPUTED_VALUE"""),3103.34)</f>
        <v>3103.34</v>
      </c>
      <c r="C14" s="119">
        <f ca="1">IFERROR(__xludf.DUMMYFUNCTION("""COMPUTED_VALUE"""),217.7)</f>
        <v>217.7</v>
      </c>
      <c r="D14" s="119">
        <f ca="1">IFERROR(__xludf.DUMMYFUNCTION("""COMPUTED_VALUE"""),875.76)</f>
        <v>875.76</v>
      </c>
      <c r="E14" s="119">
        <f ca="1">IFERROR(__xludf.DUMMYFUNCTION("""COMPUTED_VALUE"""),472)</f>
        <v>472</v>
      </c>
      <c r="F14" s="119">
        <f ca="1">IFERROR(__xludf.DUMMYFUNCTION("""COMPUTED_VALUE"""),9.96)</f>
        <v>9.9600000000000009</v>
      </c>
      <c r="G14" s="119">
        <f ca="1">IFERROR(__xludf.DUMMYFUNCTION("""COMPUTED_VALUE"""),168.88)</f>
        <v>168.88</v>
      </c>
      <c r="H14" s="119">
        <f ca="1">IFERROR(__xludf.DUMMYFUNCTION("""COMPUTED_VALUE"""),7.35)</f>
        <v>7.35</v>
      </c>
      <c r="I14" s="119">
        <f ca="1">IFERROR(__xludf.DUMMYFUNCTION("""COMPUTED_VALUE"""),9.55)</f>
        <v>9.5500000000000007</v>
      </c>
      <c r="J14" s="119">
        <f ca="1">IFERROR(__xludf.DUMMYFUNCTION("""COMPUTED_VALUE"""),3.55)</f>
        <v>3.55</v>
      </c>
      <c r="K14" s="119">
        <f ca="1">IFERROR(__xludf.DUMMYFUNCTION("""COMPUTED_VALUE"""),41.25)</f>
        <v>41.25</v>
      </c>
      <c r="L14" s="119">
        <f ca="1">IFERROR(__xludf.DUMMYFUNCTION("""COMPUTED_VALUE"""),219.6)</f>
        <v>219.6</v>
      </c>
      <c r="M14" s="119">
        <f ca="1">IFERROR(__xludf.DUMMYFUNCTION("""COMPUTED_VALUE"""),42616.605)</f>
        <v>42616.605000000003</v>
      </c>
      <c r="N14" s="119">
        <f ca="1">IFERROR(__xludf.DUMMYFUNCTION("""COMPUTED_VALUE"""),396.57)</f>
        <v>396.57</v>
      </c>
      <c r="O14" s="119">
        <f ca="1">IFERROR(__xludf.DUMMYFUNCTION("""COMPUTED_VALUE"""),295)</f>
        <v>295</v>
      </c>
      <c r="P14" s="119">
        <f ca="1">IFERROR(__xludf.DUMMYFUNCTION("""COMPUTED_VALUE"""),28.07)</f>
        <v>28.07</v>
      </c>
      <c r="Q14" s="119">
        <f ca="1">IFERROR(__xludf.DUMMYFUNCTION("""COMPUTED_VALUE"""),24.99)</f>
        <v>24.99</v>
      </c>
      <c r="R14" s="119">
        <f ca="1">IFERROR(__xludf.DUMMYFUNCTION("""COMPUTED_VALUE"""),74.45)</f>
        <v>74.45</v>
      </c>
      <c r="S14" s="119">
        <f ca="1">IFERROR(__xludf.DUMMYFUNCTION("""COMPUTED_VALUE"""),29.45)</f>
        <v>29.45</v>
      </c>
      <c r="T14" s="119">
        <f ca="1">IFERROR(__xludf.DUMMYFUNCTION("""COMPUTED_VALUE"""),37.01)</f>
        <v>37.01</v>
      </c>
      <c r="U14" s="119">
        <f ca="1">IFERROR(__xludf.DUMMYFUNCTION("""COMPUTED_VALUE"""),44.65)</f>
        <v>44.65</v>
      </c>
      <c r="V14" s="119">
        <f ca="1">IFERROR(__xludf.DUMMYFUNCTION("""COMPUTED_VALUE"""),14.16)</f>
        <v>14.16</v>
      </c>
      <c r="W14" s="119">
        <f ca="1">IFERROR(__xludf.DUMMYFUNCTION("""COMPUTED_VALUE"""),253.39)</f>
        <v>253.39</v>
      </c>
      <c r="X14" s="119">
        <f ca="1">IFERROR(__xludf.DUMMYFUNCTION("""COMPUTED_VALUE"""),2706)</f>
        <v>2706</v>
      </c>
      <c r="Y14" s="119">
        <f ca="1">IFERROR(__xludf.DUMMYFUNCTION("""COMPUTED_VALUE"""),66.65)</f>
        <v>66.650000000000006</v>
      </c>
      <c r="Z14" s="119">
        <f ca="1">IFERROR(__xludf.DUMMYFUNCTION("""COMPUTED_VALUE"""),56)</f>
        <v>56</v>
      </c>
      <c r="AA14" s="119">
        <f ca="1">IFERROR(__xludf.DUMMYFUNCTION("""COMPUTED_VALUE"""),105.56)</f>
        <v>105.56</v>
      </c>
      <c r="AB14" s="119">
        <f ca="1">IFERROR(__xludf.DUMMYFUNCTION("""COMPUTED_VALUE"""),4.88)</f>
        <v>4.88</v>
      </c>
      <c r="AC14" s="119">
        <f ca="1">IFERROR(__xludf.DUMMYFUNCTION("""COMPUTED_VALUE"""),68.75)</f>
        <v>68.75</v>
      </c>
      <c r="AD14" s="119">
        <f ca="1">IFERROR(__xludf.DUMMYFUNCTION("""COMPUTED_VALUE"""),12.34)</f>
        <v>12.34</v>
      </c>
      <c r="AE14" s="119">
        <f ca="1">IFERROR(__xludf.DUMMYFUNCTION("""COMPUTED_VALUE"""),6.63)</f>
        <v>6.63</v>
      </c>
      <c r="AF14" s="119">
        <f ca="1">IFERROR(__xludf.DUMMYFUNCTION("""COMPUTED_VALUE"""),50.44)</f>
        <v>50.44</v>
      </c>
      <c r="AG14" s="117"/>
      <c r="AH14" s="117"/>
      <c r="AI14" s="117"/>
      <c r="AJ14" s="117"/>
      <c r="AK14" s="117"/>
      <c r="AL14" s="117"/>
      <c r="AM14" s="117"/>
      <c r="AN14" s="117"/>
      <c r="AO14" s="117"/>
      <c r="AP14" s="117"/>
      <c r="AQ14" s="117"/>
      <c r="AR14" s="118"/>
      <c r="AS14" s="117"/>
      <c r="AT14" s="117"/>
      <c r="AU14" s="117"/>
      <c r="AV14" s="117"/>
      <c r="AW14" s="117"/>
      <c r="AX14" s="117"/>
      <c r="AY14" s="117"/>
      <c r="AZ14" s="117"/>
      <c r="BA14" s="117"/>
      <c r="BB14" s="117"/>
      <c r="BC14" s="117"/>
      <c r="BD14" s="117"/>
      <c r="BE14" s="117"/>
      <c r="BF14" s="117"/>
      <c r="BG14" s="117"/>
      <c r="BH14" s="117"/>
      <c r="BI14" s="117"/>
      <c r="BJ14" s="117"/>
      <c r="BK14" s="117"/>
      <c r="BL14" s="117"/>
      <c r="BM14" s="117"/>
      <c r="BN14" s="117"/>
      <c r="BO14" s="117"/>
      <c r="BP14" s="117"/>
      <c r="BQ14" s="117"/>
      <c r="BR14" s="117"/>
      <c r="BS14" s="117"/>
      <c r="BT14" s="117"/>
      <c r="BU14" s="117"/>
      <c r="BV14" s="117"/>
      <c r="BW14" s="117"/>
      <c r="BX14" s="117"/>
      <c r="BY14" s="117"/>
      <c r="BZ14" s="117"/>
      <c r="CA14" s="117"/>
      <c r="CB14" s="117"/>
      <c r="CC14" s="117"/>
      <c r="CD14" s="117"/>
      <c r="CE14" s="117"/>
      <c r="CF14" s="117"/>
      <c r="CG14" s="117"/>
      <c r="CH14" s="117"/>
      <c r="CI14" s="117"/>
      <c r="CJ14" s="117"/>
      <c r="CK14" s="117"/>
      <c r="CL14" s="117"/>
      <c r="CM14" s="117"/>
      <c r="CN14" s="117"/>
      <c r="CO14" s="117"/>
      <c r="CP14" s="117"/>
      <c r="CQ14" s="117"/>
      <c r="CR14" s="117"/>
      <c r="CS14" s="117"/>
      <c r="CT14" s="117"/>
      <c r="CU14" s="117"/>
      <c r="CV14" s="117"/>
      <c r="CW14" s="117"/>
      <c r="CX14" s="117"/>
      <c r="CY14" s="117"/>
      <c r="CZ14" s="117"/>
      <c r="DA14" s="117"/>
      <c r="DB14" s="117"/>
      <c r="DC14" s="117"/>
      <c r="DD14" s="117"/>
      <c r="DE14" s="117"/>
      <c r="DF14" s="117"/>
      <c r="DG14" s="117"/>
      <c r="DH14" s="117"/>
      <c r="DI14" s="117"/>
      <c r="DJ14" s="117"/>
      <c r="DK14" s="117"/>
      <c r="DL14" s="117"/>
      <c r="DM14" s="117"/>
      <c r="DN14" s="117"/>
      <c r="DO14" s="117"/>
      <c r="DP14" s="117"/>
      <c r="DQ14" s="117"/>
      <c r="DR14" s="117"/>
      <c r="DS14" s="117"/>
      <c r="DT14" s="117"/>
      <c r="DU14" s="117"/>
      <c r="DV14" s="117"/>
      <c r="DW14" s="117"/>
      <c r="DX14" s="117"/>
      <c r="DY14" s="117"/>
      <c r="DZ14" s="117"/>
      <c r="EA14" s="117"/>
      <c r="EB14" s="117"/>
      <c r="EC14" s="117"/>
      <c r="ED14" s="117"/>
      <c r="EE14" s="117"/>
      <c r="EF14" s="117"/>
      <c r="EG14" s="117"/>
      <c r="EH14" s="117"/>
      <c r="EI14" s="117"/>
      <c r="EJ14" s="117"/>
      <c r="EK14" s="117"/>
      <c r="EL14" s="117"/>
      <c r="EM14" s="117"/>
      <c r="EN14" s="117"/>
      <c r="EO14" s="117"/>
      <c r="EP14" s="117"/>
      <c r="EQ14" s="117"/>
      <c r="ER14" s="117"/>
      <c r="ES14" s="117"/>
      <c r="ET14" s="117"/>
      <c r="EU14" s="117"/>
      <c r="EV14" s="117"/>
      <c r="EW14" s="117"/>
      <c r="EX14" s="117"/>
      <c r="EY14" s="117"/>
      <c r="EZ14" s="117"/>
      <c r="FA14" s="117"/>
      <c r="FB14" s="117"/>
      <c r="FC14" s="117"/>
      <c r="FD14" s="117"/>
      <c r="FE14" s="117"/>
      <c r="FF14" s="117"/>
      <c r="FG14" s="117"/>
      <c r="FH14" s="117"/>
      <c r="FI14" s="117"/>
      <c r="FJ14" s="117"/>
      <c r="FK14" s="117"/>
      <c r="FL14" s="117"/>
      <c r="FM14" s="117"/>
      <c r="FN14" s="117"/>
      <c r="FO14" s="117"/>
    </row>
    <row r="15" spans="1:171" ht="15.75" customHeight="1" x14ac:dyDescent="0.15">
      <c r="A15" s="115">
        <f ca="1">IFERROR(__xludf.DUMMYFUNCTION("""COMPUTED_VALUE"""),44607)</f>
        <v>44607</v>
      </c>
      <c r="B15" s="119">
        <f ca="1">IFERROR(__xludf.DUMMYFUNCTION("""COMPUTED_VALUE"""),3130.21)</f>
        <v>3130.21</v>
      </c>
      <c r="C15" s="119">
        <f ca="1">IFERROR(__xludf.DUMMYFUNCTION("""COMPUTED_VALUE"""),221)</f>
        <v>221</v>
      </c>
      <c r="D15" s="119">
        <f ca="1">IFERROR(__xludf.DUMMYFUNCTION("""COMPUTED_VALUE"""),922.43)</f>
        <v>922.43</v>
      </c>
      <c r="E15" s="119">
        <f ca="1">IFERROR(__xludf.DUMMYFUNCTION("""COMPUTED_VALUE"""),470)</f>
        <v>470</v>
      </c>
      <c r="F15" s="119">
        <f ca="1">IFERROR(__xludf.DUMMYFUNCTION("""COMPUTED_VALUE"""),9.7)</f>
        <v>9.6999999999999993</v>
      </c>
      <c r="G15" s="119">
        <f ca="1">IFERROR(__xludf.DUMMYFUNCTION("""COMPUTED_VALUE"""),172.79)</f>
        <v>172.79</v>
      </c>
      <c r="H15" s="119">
        <f ca="1">IFERROR(__xludf.DUMMYFUNCTION("""COMPUTED_VALUE"""),5.33)</f>
        <v>5.33</v>
      </c>
      <c r="I15" s="119">
        <f ca="1">IFERROR(__xludf.DUMMYFUNCTION("""COMPUTED_VALUE"""),7.3)</f>
        <v>7.3</v>
      </c>
      <c r="J15" s="119">
        <f ca="1">IFERROR(__xludf.DUMMYFUNCTION("""COMPUTED_VALUE"""),3.44)</f>
        <v>3.44</v>
      </c>
      <c r="K15" s="119">
        <f ca="1">IFERROR(__xludf.DUMMYFUNCTION("""COMPUTED_VALUE"""),40.8)</f>
        <v>40.799999999999997</v>
      </c>
      <c r="L15" s="119">
        <f ca="1">IFERROR(__xludf.DUMMYFUNCTION("""COMPUTED_VALUE"""),214)</f>
        <v>214</v>
      </c>
      <c r="M15" s="119">
        <f ca="1">IFERROR(__xludf.DUMMYFUNCTION("""COMPUTED_VALUE"""),44246.695)</f>
        <v>44246.695</v>
      </c>
      <c r="N15" s="119">
        <f ca="1">IFERROR(__xludf.DUMMYFUNCTION("""COMPUTED_VALUE"""),407.46)</f>
        <v>407.46</v>
      </c>
      <c r="O15" s="119">
        <f ca="1">IFERROR(__xludf.DUMMYFUNCTION("""COMPUTED_VALUE"""),300.47)</f>
        <v>300.47000000000003</v>
      </c>
      <c r="P15" s="119">
        <f ca="1">IFERROR(__xludf.DUMMYFUNCTION("""COMPUTED_VALUE"""),29.03)</f>
        <v>29.03</v>
      </c>
      <c r="Q15" s="119">
        <f ca="1">IFERROR(__xludf.DUMMYFUNCTION("""COMPUTED_VALUE"""),25.28)</f>
        <v>25.28</v>
      </c>
      <c r="R15" s="119">
        <f ca="1">IFERROR(__xludf.DUMMYFUNCTION("""COMPUTED_VALUE"""),76.13)</f>
        <v>76.13</v>
      </c>
      <c r="S15" s="119">
        <f ca="1">IFERROR(__xludf.DUMMYFUNCTION("""COMPUTED_VALUE"""),31.29)</f>
        <v>31.29</v>
      </c>
      <c r="T15" s="119">
        <f ca="1">IFERROR(__xludf.DUMMYFUNCTION("""COMPUTED_VALUE"""),40.06)</f>
        <v>40.06</v>
      </c>
      <c r="U15" s="119">
        <f ca="1">IFERROR(__xludf.DUMMYFUNCTION("""COMPUTED_VALUE"""),45.08)</f>
        <v>45.08</v>
      </c>
      <c r="V15" s="119">
        <f ca="1">IFERROR(__xludf.DUMMYFUNCTION("""COMPUTED_VALUE"""),14.05)</f>
        <v>14.05</v>
      </c>
      <c r="W15" s="119">
        <f ca="1">IFERROR(__xludf.DUMMYFUNCTION("""COMPUTED_VALUE"""),253.81)</f>
        <v>253.81</v>
      </c>
      <c r="X15" s="119">
        <f ca="1">IFERROR(__xludf.DUMMYFUNCTION("""COMPUTED_VALUE"""),2728.51)</f>
        <v>2728.51</v>
      </c>
      <c r="Y15" s="119">
        <f ca="1">IFERROR(__xludf.DUMMYFUNCTION("""COMPUTED_VALUE"""),64.3)</f>
        <v>64.3</v>
      </c>
      <c r="Z15" s="119">
        <f ca="1">IFERROR(__xludf.DUMMYFUNCTION("""COMPUTED_VALUE"""),61.65)</f>
        <v>61.65</v>
      </c>
      <c r="AA15" s="119">
        <f ca="1">IFERROR(__xludf.DUMMYFUNCTION("""COMPUTED_VALUE"""),115.35)</f>
        <v>115.35</v>
      </c>
      <c r="AB15" s="119">
        <f ca="1">IFERROR(__xludf.DUMMYFUNCTION("""COMPUTED_VALUE"""),4.75)</f>
        <v>4.75</v>
      </c>
      <c r="AC15" s="119">
        <f ca="1">IFERROR(__xludf.DUMMYFUNCTION("""COMPUTED_VALUE"""),68.03)</f>
        <v>68.03</v>
      </c>
      <c r="AD15" s="119">
        <f ca="1">IFERROR(__xludf.DUMMYFUNCTION("""COMPUTED_VALUE"""),12.43)</f>
        <v>12.43</v>
      </c>
      <c r="AE15" s="119">
        <f ca="1">IFERROR(__xludf.DUMMYFUNCTION("""COMPUTED_VALUE"""),6.4)</f>
        <v>6.4</v>
      </c>
      <c r="AF15" s="119">
        <f ca="1">IFERROR(__xludf.DUMMYFUNCTION("""COMPUTED_VALUE"""),48.49)</f>
        <v>48.49</v>
      </c>
      <c r="AG15" s="119">
        <f ca="1">IFERROR(__xludf.DUMMYFUNCTION("""COMPUTED_VALUE"""),18.88)</f>
        <v>18.88</v>
      </c>
      <c r="AH15" s="119">
        <f ca="1">IFERROR(__xludf.DUMMYFUNCTION("""COMPUTED_VALUE"""),2.09)</f>
        <v>2.09</v>
      </c>
      <c r="AI15" s="119">
        <f ca="1">IFERROR(__xludf.DUMMYFUNCTION("""COMPUTED_VALUE"""),3.49)</f>
        <v>3.49</v>
      </c>
      <c r="AJ15" s="119">
        <f ca="1">IFERROR(__xludf.DUMMYFUNCTION("""COMPUTED_VALUE"""),127.2)</f>
        <v>127.2</v>
      </c>
      <c r="AK15" s="119">
        <f ca="1">IFERROR(__xludf.DUMMYFUNCTION("""COMPUTED_VALUE"""),264.95)</f>
        <v>264.95</v>
      </c>
      <c r="AL15" s="119">
        <f ca="1">IFERROR(__xludf.DUMMYFUNCTION("""COMPUTED_VALUE"""),16.28)</f>
        <v>16.28</v>
      </c>
      <c r="AM15" s="119">
        <f ca="1">IFERROR(__xludf.DUMMYFUNCTION("""COMPUTED_VALUE"""),47.79)</f>
        <v>47.79</v>
      </c>
      <c r="AN15" s="119">
        <f ca="1">IFERROR(__xludf.DUMMYFUNCTION("""COMPUTED_VALUE"""),316.2)</f>
        <v>316.2</v>
      </c>
      <c r="AO15" s="119">
        <f ca="1">IFERROR(__xludf.DUMMYFUNCTION("""COMPUTED_VALUE"""),108.46)</f>
        <v>108.46</v>
      </c>
      <c r="AP15" s="119">
        <f ca="1">IFERROR(__xludf.DUMMYFUNCTION("""COMPUTED_VALUE"""),81.52)</f>
        <v>81.52</v>
      </c>
      <c r="AQ15" s="119">
        <f ca="1">IFERROR(__xludf.DUMMYFUNCTION("""COMPUTED_VALUE"""),61.07)</f>
        <v>61.07</v>
      </c>
      <c r="AR15" s="118">
        <f ca="1">IFERROR(__xludf.DUMMYFUNCTION("""COMPUTED_VALUE"""),104.756)</f>
        <v>104.756</v>
      </c>
      <c r="AS15" s="119">
        <f ca="1">IFERROR(__xludf.DUMMYFUNCTION("""COMPUTED_VALUE"""),14.89)</f>
        <v>14.89</v>
      </c>
      <c r="AT15" s="117"/>
      <c r="AU15" s="117"/>
      <c r="AV15" s="117"/>
      <c r="AW15" s="11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c r="CT15" s="117"/>
      <c r="CU15" s="117"/>
      <c r="CV15" s="117"/>
      <c r="CW15" s="117"/>
      <c r="CX15" s="117"/>
      <c r="CY15" s="117"/>
      <c r="CZ15" s="117"/>
      <c r="DA15" s="117"/>
      <c r="DB15" s="117"/>
      <c r="DC15" s="117"/>
      <c r="DD15" s="117"/>
      <c r="DE15" s="117"/>
      <c r="DF15" s="117"/>
      <c r="DG15" s="117"/>
      <c r="DH15" s="117"/>
      <c r="DI15" s="117"/>
      <c r="DJ15" s="117"/>
      <c r="DK15" s="117"/>
      <c r="DL15" s="117"/>
      <c r="DM15" s="117"/>
      <c r="DN15" s="117"/>
      <c r="DO15" s="117"/>
      <c r="DP15" s="117"/>
      <c r="DQ15" s="117"/>
      <c r="DR15" s="117"/>
      <c r="DS15" s="117"/>
      <c r="DT15" s="117"/>
      <c r="DU15" s="117"/>
      <c r="DV15" s="117"/>
      <c r="DW15" s="117"/>
      <c r="DX15" s="117"/>
      <c r="DY15" s="117"/>
      <c r="DZ15" s="117"/>
      <c r="EA15" s="117"/>
      <c r="EB15" s="117"/>
      <c r="EC15" s="117"/>
      <c r="ED15" s="117"/>
      <c r="EE15" s="117"/>
      <c r="EF15" s="117"/>
      <c r="EG15" s="117"/>
      <c r="EH15" s="117"/>
      <c r="EI15" s="117"/>
      <c r="EJ15" s="117"/>
      <c r="EK15" s="117"/>
      <c r="EL15" s="117"/>
      <c r="EM15" s="117"/>
      <c r="EN15" s="117"/>
      <c r="EO15" s="117"/>
      <c r="EP15" s="117"/>
      <c r="EQ15" s="117"/>
      <c r="ER15" s="117"/>
      <c r="ES15" s="117"/>
      <c r="ET15" s="117"/>
      <c r="EU15" s="117"/>
      <c r="EV15" s="117"/>
      <c r="EW15" s="117"/>
      <c r="EX15" s="117"/>
      <c r="EY15" s="117"/>
      <c r="EZ15" s="117"/>
      <c r="FA15" s="117"/>
      <c r="FB15" s="117"/>
      <c r="FC15" s="117"/>
      <c r="FD15" s="117"/>
      <c r="FE15" s="117"/>
      <c r="FF15" s="117"/>
      <c r="FG15" s="117"/>
      <c r="FH15" s="117"/>
      <c r="FI15" s="117"/>
      <c r="FJ15" s="117"/>
      <c r="FK15" s="117"/>
      <c r="FL15" s="117"/>
      <c r="FM15" s="117"/>
      <c r="FN15" s="117"/>
      <c r="FO15" s="117"/>
    </row>
    <row r="16" spans="1:171" ht="15.75" customHeight="1" x14ac:dyDescent="0.15">
      <c r="A16" s="115">
        <f ca="1">IFERROR(__xludf.DUMMYFUNCTION("""COMPUTED_VALUE"""),44608)</f>
        <v>44608</v>
      </c>
      <c r="B16" s="119">
        <f ca="1">IFERROR(__xludf.DUMMYFUNCTION("""COMPUTED_VALUE"""),3162.01)</f>
        <v>3162.01</v>
      </c>
      <c r="C16" s="119">
        <f ca="1">IFERROR(__xludf.DUMMYFUNCTION("""COMPUTED_VALUE"""),216.54)</f>
        <v>216.54</v>
      </c>
      <c r="D16" s="119">
        <f ca="1">IFERROR(__xludf.DUMMYFUNCTION("""COMPUTED_VALUE"""),923.39)</f>
        <v>923.39</v>
      </c>
      <c r="E16" s="119">
        <f ca="1">IFERROR(__xludf.DUMMYFUNCTION("""COMPUTED_VALUE"""),476.2)</f>
        <v>476.2</v>
      </c>
      <c r="F16" s="119">
        <f ca="1">IFERROR(__xludf.DUMMYFUNCTION("""COMPUTED_VALUE"""),9.82)</f>
        <v>9.82</v>
      </c>
      <c r="G16" s="119">
        <f ca="1">IFERROR(__xludf.DUMMYFUNCTION("""COMPUTED_VALUE"""),172.55)</f>
        <v>172.55</v>
      </c>
      <c r="H16" s="119">
        <f ca="1">IFERROR(__xludf.DUMMYFUNCTION("""COMPUTED_VALUE"""),4.9)</f>
        <v>4.9000000000000004</v>
      </c>
      <c r="I16" s="119">
        <f ca="1">IFERROR(__xludf.DUMMYFUNCTION("""COMPUTED_VALUE"""),7.78)</f>
        <v>7.78</v>
      </c>
      <c r="J16" s="119">
        <f ca="1">IFERROR(__xludf.DUMMYFUNCTION("""COMPUTED_VALUE"""),3.32)</f>
        <v>3.32</v>
      </c>
      <c r="K16" s="119">
        <f ca="1">IFERROR(__xludf.DUMMYFUNCTION("""COMPUTED_VALUE"""),44.5)</f>
        <v>44.5</v>
      </c>
      <c r="L16" s="119">
        <f ca="1">IFERROR(__xludf.DUMMYFUNCTION("""COMPUTED_VALUE"""),219.4)</f>
        <v>219.4</v>
      </c>
      <c r="M16" s="119">
        <f ca="1">IFERROR(__xludf.DUMMYFUNCTION("""COMPUTED_VALUE"""),43921.59)</f>
        <v>43921.59</v>
      </c>
      <c r="N16" s="119">
        <f ca="1">IFERROR(__xludf.DUMMYFUNCTION("""COMPUTED_VALUE"""),398.08)</f>
        <v>398.08</v>
      </c>
      <c r="O16" s="119">
        <f ca="1">IFERROR(__xludf.DUMMYFUNCTION("""COMPUTED_VALUE"""),299.5)</f>
        <v>299.5</v>
      </c>
      <c r="P16" s="119">
        <f ca="1">IFERROR(__xludf.DUMMYFUNCTION("""COMPUTED_VALUE"""),28.8)</f>
        <v>28.8</v>
      </c>
      <c r="Q16" s="119">
        <f ca="1">IFERROR(__xludf.DUMMYFUNCTION("""COMPUTED_VALUE"""),25.24)</f>
        <v>25.24</v>
      </c>
      <c r="R16" s="119">
        <f ca="1">IFERROR(__xludf.DUMMYFUNCTION("""COMPUTED_VALUE"""),75.3)</f>
        <v>75.3</v>
      </c>
      <c r="S16" s="119">
        <f ca="1">IFERROR(__xludf.DUMMYFUNCTION("""COMPUTED_VALUE"""),31.12)</f>
        <v>31.12</v>
      </c>
      <c r="T16" s="119">
        <f ca="1">IFERROR(__xludf.DUMMYFUNCTION("""COMPUTED_VALUE"""),39.15)</f>
        <v>39.15</v>
      </c>
      <c r="U16" s="119">
        <f ca="1">IFERROR(__xludf.DUMMYFUNCTION("""COMPUTED_VALUE"""),45.17)</f>
        <v>45.17</v>
      </c>
      <c r="V16" s="119">
        <f ca="1">IFERROR(__xludf.DUMMYFUNCTION("""COMPUTED_VALUE"""),14)</f>
        <v>14</v>
      </c>
      <c r="W16" s="119">
        <f ca="1">IFERROR(__xludf.DUMMYFUNCTION("""COMPUTED_VALUE"""),253.09)</f>
        <v>253.09</v>
      </c>
      <c r="X16" s="119">
        <f ca="1">IFERROR(__xludf.DUMMYFUNCTION("""COMPUTED_VALUE"""),2749.75)</f>
        <v>2749.75</v>
      </c>
      <c r="Y16" s="119">
        <f ca="1">IFERROR(__xludf.DUMMYFUNCTION("""COMPUTED_VALUE"""),66.55)</f>
        <v>66.55</v>
      </c>
      <c r="Z16" s="119">
        <f ca="1">IFERROR(__xludf.DUMMYFUNCTION("""COMPUTED_VALUE"""),61.1)</f>
        <v>61.1</v>
      </c>
      <c r="AA16" s="119">
        <f ca="1">IFERROR(__xludf.DUMMYFUNCTION("""COMPUTED_VALUE"""),111.99)</f>
        <v>111.99</v>
      </c>
      <c r="AB16" s="119">
        <f ca="1">IFERROR(__xludf.DUMMYFUNCTION("""COMPUTED_VALUE"""),4.76)</f>
        <v>4.76</v>
      </c>
      <c r="AC16" s="119">
        <f ca="1">IFERROR(__xludf.DUMMYFUNCTION("""COMPUTED_VALUE"""),68.58)</f>
        <v>68.58</v>
      </c>
      <c r="AD16" s="119">
        <f ca="1">IFERROR(__xludf.DUMMYFUNCTION("""COMPUTED_VALUE"""),12.45)</f>
        <v>12.45</v>
      </c>
      <c r="AE16" s="119">
        <f ca="1">IFERROR(__xludf.DUMMYFUNCTION("""COMPUTED_VALUE"""),6.59)</f>
        <v>6.59</v>
      </c>
      <c r="AF16" s="119">
        <f ca="1">IFERROR(__xludf.DUMMYFUNCTION("""COMPUTED_VALUE"""),45.66)</f>
        <v>45.66</v>
      </c>
      <c r="AG16" s="119">
        <f ca="1">IFERROR(__xludf.DUMMYFUNCTION("""COMPUTED_VALUE"""),20.2)</f>
        <v>20.2</v>
      </c>
      <c r="AH16" s="119">
        <f ca="1">IFERROR(__xludf.DUMMYFUNCTION("""COMPUTED_VALUE"""),2.1)</f>
        <v>2.1</v>
      </c>
      <c r="AI16" s="119">
        <f ca="1">IFERROR(__xludf.DUMMYFUNCTION("""COMPUTED_VALUE"""),3.43)</f>
        <v>3.43</v>
      </c>
      <c r="AJ16" s="119">
        <f ca="1">IFERROR(__xludf.DUMMYFUNCTION("""COMPUTED_VALUE"""),129.8)</f>
        <v>129.80000000000001</v>
      </c>
      <c r="AK16" s="119">
        <f ca="1">IFERROR(__xludf.DUMMYFUNCTION("""COMPUTED_VALUE"""),265.11)</f>
        <v>265.11</v>
      </c>
      <c r="AL16" s="119">
        <f ca="1">IFERROR(__xludf.DUMMYFUNCTION("""COMPUTED_VALUE"""),16.6)</f>
        <v>16.600000000000001</v>
      </c>
      <c r="AM16" s="119">
        <f ca="1">IFERROR(__xludf.DUMMYFUNCTION("""COMPUTED_VALUE"""),47.68)</f>
        <v>47.68</v>
      </c>
      <c r="AN16" s="119">
        <f ca="1">IFERROR(__xludf.DUMMYFUNCTION("""COMPUTED_VALUE"""),315.65)</f>
        <v>315.64999999999998</v>
      </c>
      <c r="AO16" s="119">
        <f ca="1">IFERROR(__xludf.DUMMYFUNCTION("""COMPUTED_VALUE"""),106.52)</f>
        <v>106.52</v>
      </c>
      <c r="AP16" s="119">
        <f ca="1">IFERROR(__xludf.DUMMYFUNCTION("""COMPUTED_VALUE"""),81.46)</f>
        <v>81.459999999999994</v>
      </c>
      <c r="AQ16" s="119">
        <f ca="1">IFERROR(__xludf.DUMMYFUNCTION("""COMPUTED_VALUE"""),61.01)</f>
        <v>61.01</v>
      </c>
      <c r="AR16" s="118">
        <f ca="1">IFERROR(__xludf.DUMMYFUNCTION("""COMPUTED_VALUE"""),104.791)</f>
        <v>104.791</v>
      </c>
      <c r="AS16" s="119">
        <f ca="1">IFERROR(__xludf.DUMMYFUNCTION("""COMPUTED_VALUE"""),14.03)</f>
        <v>14.03</v>
      </c>
      <c r="AT16" s="119">
        <f ca="1">IFERROR(__xludf.DUMMYFUNCTION("""COMPUTED_VALUE"""),122.5)</f>
        <v>122.5</v>
      </c>
      <c r="AU16" s="119">
        <f ca="1">IFERROR(__xludf.DUMMYFUNCTION("""COMPUTED_VALUE"""),63.55)</f>
        <v>63.55</v>
      </c>
      <c r="AV16" s="119">
        <f ca="1">IFERROR(__xludf.DUMMYFUNCTION("""COMPUTED_VALUE"""),156.35)</f>
        <v>156.35</v>
      </c>
      <c r="AW16" s="117"/>
      <c r="AX16" s="117"/>
      <c r="AY16" s="117"/>
      <c r="AZ16" s="117"/>
      <c r="BA16" s="117"/>
      <c r="BB16" s="117"/>
      <c r="BC16" s="117"/>
      <c r="BD16" s="117"/>
      <c r="BE16" s="117"/>
      <c r="BF16" s="117"/>
      <c r="BG16" s="117"/>
      <c r="BH16" s="117"/>
      <c r="BI16" s="117"/>
      <c r="BJ16" s="117"/>
      <c r="BK16" s="117"/>
      <c r="BL16" s="117"/>
      <c r="BM16" s="117"/>
      <c r="BN16" s="117"/>
      <c r="BO16" s="117"/>
      <c r="BP16" s="117"/>
      <c r="BQ16" s="117"/>
      <c r="BR16" s="117"/>
      <c r="BS16" s="117"/>
      <c r="BT16" s="117"/>
      <c r="BU16" s="117"/>
      <c r="BV16" s="117"/>
      <c r="BW16" s="117"/>
      <c r="BX16" s="117"/>
      <c r="BY16" s="117"/>
      <c r="BZ16" s="117"/>
      <c r="CA16" s="117"/>
      <c r="CB16" s="117"/>
      <c r="CC16" s="117"/>
      <c r="CD16" s="117"/>
      <c r="CE16" s="117"/>
      <c r="CF16" s="117"/>
      <c r="CG16" s="117"/>
      <c r="CH16" s="117"/>
      <c r="CI16" s="117"/>
      <c r="CJ16" s="117"/>
      <c r="CK16" s="117"/>
      <c r="CL16" s="117"/>
      <c r="CM16" s="117"/>
      <c r="CN16" s="117"/>
      <c r="CO16" s="117"/>
      <c r="CP16" s="117"/>
      <c r="CQ16" s="117"/>
      <c r="CR16" s="117"/>
      <c r="CS16" s="117"/>
      <c r="CT16" s="117"/>
      <c r="CU16" s="117"/>
      <c r="CV16" s="117"/>
      <c r="CW16" s="117"/>
      <c r="CX16" s="117"/>
      <c r="CY16" s="117"/>
      <c r="CZ16" s="117"/>
      <c r="DA16" s="117"/>
      <c r="DB16" s="117"/>
      <c r="DC16" s="117"/>
      <c r="DD16" s="117"/>
      <c r="DE16" s="117"/>
      <c r="DF16" s="117"/>
      <c r="DG16" s="117"/>
      <c r="DH16" s="117"/>
      <c r="DI16" s="117"/>
      <c r="DJ16" s="117"/>
      <c r="DK16" s="117"/>
      <c r="DL16" s="117"/>
      <c r="DM16" s="117"/>
      <c r="DN16" s="117"/>
      <c r="DO16" s="117"/>
      <c r="DP16" s="117"/>
      <c r="DQ16" s="117"/>
      <c r="DR16" s="117"/>
      <c r="DS16" s="117"/>
      <c r="DT16" s="117"/>
      <c r="DU16" s="117"/>
      <c r="DV16" s="117"/>
      <c r="DW16" s="117"/>
      <c r="DX16" s="117"/>
      <c r="DY16" s="117"/>
      <c r="DZ16" s="117"/>
      <c r="EA16" s="117"/>
      <c r="EB16" s="117"/>
      <c r="EC16" s="117"/>
      <c r="ED16" s="117"/>
      <c r="EE16" s="117"/>
      <c r="EF16" s="117"/>
      <c r="EG16" s="117"/>
      <c r="EH16" s="117"/>
      <c r="EI16" s="117"/>
      <c r="EJ16" s="117"/>
      <c r="EK16" s="117"/>
      <c r="EL16" s="117"/>
      <c r="EM16" s="117"/>
      <c r="EN16" s="117"/>
      <c r="EO16" s="117"/>
      <c r="EP16" s="117"/>
      <c r="EQ16" s="117"/>
      <c r="ER16" s="117"/>
      <c r="ES16" s="117"/>
      <c r="ET16" s="117"/>
      <c r="EU16" s="117"/>
      <c r="EV16" s="117"/>
      <c r="EW16" s="117"/>
      <c r="EX16" s="117"/>
      <c r="EY16" s="117"/>
      <c r="EZ16" s="117"/>
      <c r="FA16" s="117"/>
      <c r="FB16" s="117"/>
      <c r="FC16" s="117"/>
      <c r="FD16" s="117"/>
      <c r="FE16" s="117"/>
      <c r="FF16" s="117"/>
      <c r="FG16" s="117"/>
      <c r="FH16" s="117"/>
      <c r="FI16" s="117"/>
      <c r="FJ16" s="117"/>
      <c r="FK16" s="117"/>
      <c r="FL16" s="117"/>
      <c r="FM16" s="117"/>
      <c r="FN16" s="117"/>
      <c r="FO16" s="117"/>
    </row>
    <row r="17" spans="1:171" ht="15.75" customHeight="1" x14ac:dyDescent="0.15">
      <c r="A17" s="115">
        <f ca="1">IFERROR(__xludf.DUMMYFUNCTION("""COMPUTED_VALUE"""),44609)</f>
        <v>44609</v>
      </c>
      <c r="B17" s="119">
        <f ca="1">IFERROR(__xludf.DUMMYFUNCTION("""COMPUTED_VALUE"""),3093.05)</f>
        <v>3093.05</v>
      </c>
      <c r="C17" s="119">
        <f ca="1">IFERROR(__xludf.DUMMYFUNCTION("""COMPUTED_VALUE"""),207.71)</f>
        <v>207.71</v>
      </c>
      <c r="D17" s="119">
        <f ca="1">IFERROR(__xludf.DUMMYFUNCTION("""COMPUTED_VALUE"""),876.35)</f>
        <v>876.35</v>
      </c>
      <c r="E17" s="119">
        <f ca="1">IFERROR(__xludf.DUMMYFUNCTION("""COMPUTED_VALUE"""),479)</f>
        <v>479</v>
      </c>
      <c r="F17" s="119">
        <f ca="1">IFERROR(__xludf.DUMMYFUNCTION("""COMPUTED_VALUE"""),9.83)</f>
        <v>9.83</v>
      </c>
      <c r="G17" s="119">
        <f ca="1">IFERROR(__xludf.DUMMYFUNCTION("""COMPUTED_VALUE"""),168.88)</f>
        <v>168.88</v>
      </c>
      <c r="H17" s="119">
        <f ca="1">IFERROR(__xludf.DUMMYFUNCTION("""COMPUTED_VALUE"""),6)</f>
        <v>6</v>
      </c>
      <c r="I17" s="119">
        <f ca="1">IFERROR(__xludf.DUMMYFUNCTION("""COMPUTED_VALUE"""),12.75)</f>
        <v>12.75</v>
      </c>
      <c r="J17" s="119">
        <f ca="1">IFERROR(__xludf.DUMMYFUNCTION("""COMPUTED_VALUE"""),2.34)</f>
        <v>2.34</v>
      </c>
      <c r="K17" s="119">
        <f ca="1">IFERROR(__xludf.DUMMYFUNCTION("""COMPUTED_VALUE"""),43.55)</f>
        <v>43.55</v>
      </c>
      <c r="L17" s="119">
        <f ca="1">IFERROR(__xludf.DUMMYFUNCTION("""COMPUTED_VALUE"""),220.8)</f>
        <v>220.8</v>
      </c>
      <c r="M17" s="119">
        <f ca="1">IFERROR(__xludf.DUMMYFUNCTION("""COMPUTED_VALUE"""),40473.55)</f>
        <v>40473.550000000003</v>
      </c>
      <c r="N17" s="119">
        <f ca="1">IFERROR(__xludf.DUMMYFUNCTION("""COMPUTED_VALUE"""),386.67)</f>
        <v>386.67</v>
      </c>
      <c r="O17" s="119">
        <f ca="1">IFERROR(__xludf.DUMMYFUNCTION("""COMPUTED_VALUE"""),290.73)</f>
        <v>290.73</v>
      </c>
      <c r="P17" s="119">
        <f ca="1">IFERROR(__xludf.DUMMYFUNCTION("""COMPUTED_VALUE"""),26.64)</f>
        <v>26.64</v>
      </c>
      <c r="Q17" s="119">
        <f ca="1">IFERROR(__xludf.DUMMYFUNCTION("""COMPUTED_VALUE"""),24.72)</f>
        <v>24.72</v>
      </c>
      <c r="R17" s="119">
        <f ca="1">IFERROR(__xludf.DUMMYFUNCTION("""COMPUTED_VALUE"""),74.55)</f>
        <v>74.55</v>
      </c>
      <c r="S17" s="119">
        <f ca="1">IFERROR(__xludf.DUMMYFUNCTION("""COMPUTED_VALUE"""),28.34)</f>
        <v>28.34</v>
      </c>
      <c r="T17" s="119">
        <f ca="1">IFERROR(__xludf.DUMMYFUNCTION("""COMPUTED_VALUE"""),39.36)</f>
        <v>39.36</v>
      </c>
      <c r="U17" s="119">
        <f ca="1">IFERROR(__xludf.DUMMYFUNCTION("""COMPUTED_VALUE"""),43.68)</f>
        <v>43.68</v>
      </c>
      <c r="V17" s="119">
        <f ca="1">IFERROR(__xludf.DUMMYFUNCTION("""COMPUTED_VALUE"""),14.31)</f>
        <v>14.31</v>
      </c>
      <c r="W17" s="119">
        <f ca="1">IFERROR(__xludf.DUMMYFUNCTION("""COMPUTED_VALUE"""),250.93)</f>
        <v>250.93</v>
      </c>
      <c r="X17" s="119">
        <f ca="1">IFERROR(__xludf.DUMMYFUNCTION("""COMPUTED_VALUE"""),2646.17)</f>
        <v>2646.17</v>
      </c>
      <c r="Y17" s="119">
        <f ca="1">IFERROR(__xludf.DUMMYFUNCTION("""COMPUTED_VALUE"""),66.6)</f>
        <v>66.599999999999994</v>
      </c>
      <c r="Z17" s="119">
        <f ca="1">IFERROR(__xludf.DUMMYFUNCTION("""COMPUTED_VALUE"""),64.8)</f>
        <v>64.8</v>
      </c>
      <c r="AA17" s="119">
        <f ca="1">IFERROR(__xludf.DUMMYFUNCTION("""COMPUTED_VALUE"""),103.81)</f>
        <v>103.81</v>
      </c>
      <c r="AB17" s="119">
        <f ca="1">IFERROR(__xludf.DUMMYFUNCTION("""COMPUTED_VALUE"""),4.79)</f>
        <v>4.79</v>
      </c>
      <c r="AC17" s="119">
        <f ca="1">IFERROR(__xludf.DUMMYFUNCTION("""COMPUTED_VALUE"""),68.47)</f>
        <v>68.47</v>
      </c>
      <c r="AD17" s="119">
        <f ca="1">IFERROR(__xludf.DUMMYFUNCTION("""COMPUTED_VALUE"""),12.27)</f>
        <v>12.27</v>
      </c>
      <c r="AE17" s="119">
        <f ca="1">IFERROR(__xludf.DUMMYFUNCTION("""COMPUTED_VALUE"""),6.31)</f>
        <v>6.31</v>
      </c>
      <c r="AF17" s="119">
        <f ca="1">IFERROR(__xludf.DUMMYFUNCTION("""COMPUTED_VALUE"""),44.08)</f>
        <v>44.08</v>
      </c>
      <c r="AG17" s="119">
        <f ca="1">IFERROR(__xludf.DUMMYFUNCTION("""COMPUTED_VALUE"""),19.5)</f>
        <v>19.5</v>
      </c>
      <c r="AH17" s="119">
        <f ca="1">IFERROR(__xludf.DUMMYFUNCTION("""COMPUTED_VALUE"""),2.11)</f>
        <v>2.11</v>
      </c>
      <c r="AI17" s="119">
        <f ca="1">IFERROR(__xludf.DUMMYFUNCTION("""COMPUTED_VALUE"""),3.5)</f>
        <v>3.5</v>
      </c>
      <c r="AJ17" s="119">
        <f ca="1">IFERROR(__xludf.DUMMYFUNCTION("""COMPUTED_VALUE"""),129.9)</f>
        <v>129.9</v>
      </c>
      <c r="AK17" s="119">
        <f ca="1">IFERROR(__xludf.DUMMYFUNCTION("""COMPUTED_VALUE"""),245.07)</f>
        <v>245.07</v>
      </c>
      <c r="AL17" s="119">
        <f ca="1">IFERROR(__xludf.DUMMYFUNCTION("""COMPUTED_VALUE"""),16.54)</f>
        <v>16.54</v>
      </c>
      <c r="AM17" s="119">
        <f ca="1">IFERROR(__xludf.DUMMYFUNCTION("""COMPUTED_VALUE"""),46.07)</f>
        <v>46.07</v>
      </c>
      <c r="AN17" s="119">
        <f ca="1">IFERROR(__xludf.DUMMYFUNCTION("""COMPUTED_VALUE"""),313.55)</f>
        <v>313.55</v>
      </c>
      <c r="AO17" s="119">
        <f ca="1">IFERROR(__xludf.DUMMYFUNCTION("""COMPUTED_VALUE"""),104.81)</f>
        <v>104.81</v>
      </c>
      <c r="AP17" s="119">
        <f ca="1">IFERROR(__xludf.DUMMYFUNCTION("""COMPUTED_VALUE"""),80.97)</f>
        <v>80.97</v>
      </c>
      <c r="AQ17" s="119">
        <f ca="1">IFERROR(__xludf.DUMMYFUNCTION("""COMPUTED_VALUE"""),60.63)</f>
        <v>60.63</v>
      </c>
      <c r="AR17" s="118">
        <f ca="1">IFERROR(__xludf.DUMMYFUNCTION("""COMPUTED_VALUE"""),104.8445)</f>
        <v>104.8445</v>
      </c>
      <c r="AS17" s="119">
        <f ca="1">IFERROR(__xludf.DUMMYFUNCTION("""COMPUTED_VALUE"""),16.42)</f>
        <v>16.420000000000002</v>
      </c>
      <c r="AT17" s="119">
        <f ca="1">IFERROR(__xludf.DUMMYFUNCTION("""COMPUTED_VALUE"""),123)</f>
        <v>123</v>
      </c>
      <c r="AU17" s="119">
        <f ca="1">IFERROR(__xludf.DUMMYFUNCTION("""COMPUTED_VALUE"""),63.25)</f>
        <v>63.25</v>
      </c>
      <c r="AV17" s="119">
        <f ca="1">IFERROR(__xludf.DUMMYFUNCTION("""COMPUTED_VALUE"""),152.95)</f>
        <v>152.94999999999999</v>
      </c>
      <c r="AW17" s="119">
        <f ca="1">IFERROR(__xludf.DUMMYFUNCTION("""COMPUTED_VALUE"""),136.47)</f>
        <v>136.47</v>
      </c>
      <c r="AX17" s="119">
        <f ca="1">IFERROR(__xludf.DUMMYFUNCTION("""COMPUTED_VALUE"""),36)</f>
        <v>36</v>
      </c>
      <c r="AY17" s="119">
        <f ca="1">IFERROR(__xludf.DUMMYFUNCTION("""COMPUTED_VALUE"""),54.49)</f>
        <v>54.49</v>
      </c>
      <c r="AZ17" s="119">
        <f ca="1">IFERROR(__xludf.DUMMYFUNCTION("""COMPUTED_VALUE"""),5.25)</f>
        <v>5.25</v>
      </c>
      <c r="BA17" s="119">
        <f ca="1">IFERROR(__xludf.DUMMYFUNCTION("""COMPUTED_VALUE"""),0.3)</f>
        <v>0.3</v>
      </c>
      <c r="BB17" s="117"/>
      <c r="BC17" s="117"/>
      <c r="BD17" s="117"/>
      <c r="BE17" s="117"/>
      <c r="BF17" s="117"/>
      <c r="BG17" s="117"/>
      <c r="BH17" s="117"/>
      <c r="BI17" s="117"/>
      <c r="BJ17" s="117"/>
      <c r="BK17" s="117"/>
      <c r="BL17" s="117"/>
      <c r="BM17" s="117"/>
      <c r="BN17" s="117"/>
      <c r="BO17" s="117"/>
      <c r="BP17" s="117"/>
      <c r="BQ17" s="117"/>
      <c r="BR17" s="117"/>
      <c r="BS17" s="117"/>
      <c r="BT17" s="117"/>
      <c r="BU17" s="117"/>
      <c r="BV17" s="117"/>
      <c r="BW17" s="117"/>
      <c r="BX17" s="117"/>
      <c r="BY17" s="117"/>
      <c r="BZ17" s="117"/>
      <c r="CA17" s="117"/>
      <c r="CB17" s="117"/>
      <c r="CC17" s="117"/>
      <c r="CD17" s="117"/>
      <c r="CE17" s="117"/>
      <c r="CF17" s="117"/>
      <c r="CG17" s="117"/>
      <c r="CH17" s="117"/>
      <c r="CI17" s="117"/>
      <c r="CJ17" s="117"/>
      <c r="CK17" s="117"/>
      <c r="CL17" s="117"/>
      <c r="CM17" s="117"/>
      <c r="CN17" s="117"/>
      <c r="CO17" s="117"/>
      <c r="CP17" s="117"/>
      <c r="CQ17" s="117"/>
      <c r="CR17" s="117"/>
      <c r="CS17" s="117"/>
      <c r="CT17" s="117"/>
      <c r="CU17" s="117"/>
      <c r="CV17" s="117"/>
      <c r="CW17" s="117"/>
      <c r="CX17" s="117"/>
      <c r="CY17" s="117"/>
      <c r="CZ17" s="117"/>
      <c r="DA17" s="117"/>
      <c r="DB17" s="117"/>
      <c r="DC17" s="117"/>
      <c r="DD17" s="117"/>
      <c r="DE17" s="117"/>
      <c r="DF17" s="117"/>
      <c r="DG17" s="117"/>
      <c r="DH17" s="117"/>
      <c r="DI17" s="117"/>
      <c r="DJ17" s="117"/>
      <c r="DK17" s="117"/>
      <c r="DL17" s="117"/>
      <c r="DM17" s="117"/>
      <c r="DN17" s="117"/>
      <c r="DO17" s="117"/>
      <c r="DP17" s="117"/>
      <c r="DQ17" s="117"/>
      <c r="DR17" s="117"/>
      <c r="DS17" s="117"/>
      <c r="DT17" s="117"/>
      <c r="DU17" s="117"/>
      <c r="DV17" s="117"/>
      <c r="DW17" s="117"/>
      <c r="DX17" s="117"/>
      <c r="DY17" s="117"/>
      <c r="DZ17" s="117"/>
      <c r="EA17" s="117"/>
      <c r="EB17" s="117"/>
      <c r="EC17" s="117"/>
      <c r="ED17" s="117"/>
      <c r="EE17" s="117"/>
      <c r="EF17" s="117"/>
      <c r="EG17" s="117"/>
      <c r="EH17" s="117"/>
      <c r="EI17" s="117"/>
      <c r="EJ17" s="117"/>
      <c r="EK17" s="117"/>
      <c r="EL17" s="117"/>
      <c r="EM17" s="117"/>
      <c r="EN17" s="117"/>
      <c r="EO17" s="117"/>
      <c r="EP17" s="117"/>
      <c r="EQ17" s="117"/>
      <c r="ER17" s="117"/>
      <c r="ES17" s="117"/>
      <c r="ET17" s="117"/>
      <c r="EU17" s="117"/>
      <c r="EV17" s="117"/>
      <c r="EW17" s="117"/>
      <c r="EX17" s="117"/>
      <c r="EY17" s="117"/>
      <c r="EZ17" s="117"/>
      <c r="FA17" s="117"/>
      <c r="FB17" s="117"/>
      <c r="FC17" s="117"/>
      <c r="FD17" s="117"/>
      <c r="FE17" s="117"/>
      <c r="FF17" s="117"/>
      <c r="FG17" s="117"/>
      <c r="FH17" s="117"/>
      <c r="FI17" s="117"/>
      <c r="FJ17" s="117"/>
      <c r="FK17" s="117"/>
      <c r="FL17" s="117"/>
      <c r="FM17" s="117"/>
      <c r="FN17" s="117"/>
      <c r="FO17" s="117"/>
    </row>
    <row r="18" spans="1:171" ht="15.75" customHeight="1" x14ac:dyDescent="0.15">
      <c r="A18" s="115">
        <f ca="1">IFERROR(__xludf.DUMMYFUNCTION("""COMPUTED_VALUE"""),44610)</f>
        <v>44610</v>
      </c>
      <c r="B18" s="119">
        <f ca="1">IFERROR(__xludf.DUMMYFUNCTION("""COMPUTED_VALUE"""),3052.03)</f>
        <v>3052.03</v>
      </c>
      <c r="C18" s="119">
        <f ca="1">IFERROR(__xludf.DUMMYFUNCTION("""COMPUTED_VALUE"""),206.16)</f>
        <v>206.16</v>
      </c>
      <c r="D18" s="119">
        <f ca="1">IFERROR(__xludf.DUMMYFUNCTION("""COMPUTED_VALUE"""),856.98)</f>
        <v>856.98</v>
      </c>
      <c r="E18" s="119">
        <f ca="1">IFERROR(__xludf.DUMMYFUNCTION("""COMPUTED_VALUE"""),470)</f>
        <v>470</v>
      </c>
      <c r="F18" s="119">
        <f ca="1">IFERROR(__xludf.DUMMYFUNCTION("""COMPUTED_VALUE"""),9.87)</f>
        <v>9.8699999999999992</v>
      </c>
      <c r="G18" s="119">
        <f ca="1">IFERROR(__xludf.DUMMYFUNCTION("""COMPUTED_VALUE"""),167.3)</f>
        <v>167.3</v>
      </c>
      <c r="H18" s="119">
        <f ca="1">IFERROR(__xludf.DUMMYFUNCTION("""COMPUTED_VALUE"""),7.3)</f>
        <v>7.3</v>
      </c>
      <c r="I18" s="119">
        <f ca="1">IFERROR(__xludf.DUMMYFUNCTION("""COMPUTED_VALUE"""),12.97)</f>
        <v>12.97</v>
      </c>
      <c r="J18" s="119">
        <f ca="1">IFERROR(__xludf.DUMMYFUNCTION("""COMPUTED_VALUE"""),2.22)</f>
        <v>2.2200000000000002</v>
      </c>
      <c r="K18" s="119">
        <f ca="1">IFERROR(__xludf.DUMMYFUNCTION("""COMPUTED_VALUE"""),42.15)</f>
        <v>42.15</v>
      </c>
      <c r="L18" s="119">
        <f ca="1">IFERROR(__xludf.DUMMYFUNCTION("""COMPUTED_VALUE"""),188)</f>
        <v>188</v>
      </c>
      <c r="M18" s="119">
        <f ca="1">IFERROR(__xludf.DUMMYFUNCTION("""COMPUTED_VALUE"""),40115.457)</f>
        <v>40115.457000000002</v>
      </c>
      <c r="N18" s="119">
        <f ca="1">IFERROR(__xludf.DUMMYFUNCTION("""COMPUTED_VALUE"""),391.29)</f>
        <v>391.29</v>
      </c>
      <c r="O18" s="119">
        <f ca="1">IFERROR(__xludf.DUMMYFUNCTION("""COMPUTED_VALUE"""),287.93)</f>
        <v>287.93</v>
      </c>
      <c r="P18" s="119">
        <f ca="1">IFERROR(__xludf.DUMMYFUNCTION("""COMPUTED_VALUE"""),25.19)</f>
        <v>25.19</v>
      </c>
      <c r="Q18" s="119">
        <f ca="1">IFERROR(__xludf.DUMMYFUNCTION("""COMPUTED_VALUE"""),24.6)</f>
        <v>24.6</v>
      </c>
      <c r="R18" s="119">
        <f ca="1">IFERROR(__xludf.DUMMYFUNCTION("""COMPUTED_VALUE"""),71.86)</f>
        <v>71.86</v>
      </c>
      <c r="S18" s="119">
        <f ca="1">IFERROR(__xludf.DUMMYFUNCTION("""COMPUTED_VALUE"""),27.3)</f>
        <v>27.3</v>
      </c>
      <c r="T18" s="119">
        <f ca="1">IFERROR(__xludf.DUMMYFUNCTION("""COMPUTED_VALUE"""),37.89)</f>
        <v>37.89</v>
      </c>
      <c r="U18" s="119">
        <f ca="1">IFERROR(__xludf.DUMMYFUNCTION("""COMPUTED_VALUE"""),43.56)</f>
        <v>43.56</v>
      </c>
      <c r="V18" s="119">
        <f ca="1">IFERROR(__xludf.DUMMYFUNCTION("""COMPUTED_VALUE"""),14.46)</f>
        <v>14.46</v>
      </c>
      <c r="W18" s="119">
        <f ca="1">IFERROR(__xludf.DUMMYFUNCTION("""COMPUTED_VALUE"""),250.6)</f>
        <v>250.6</v>
      </c>
      <c r="X18" s="119">
        <f ca="1">IFERROR(__xludf.DUMMYFUNCTION("""COMPUTED_VALUE"""),2609.35)</f>
        <v>2609.35</v>
      </c>
      <c r="Y18" s="119">
        <f ca="1">IFERROR(__xludf.DUMMYFUNCTION("""COMPUTED_VALUE"""),66.7)</f>
        <v>66.7</v>
      </c>
      <c r="Z18" s="119">
        <f ca="1">IFERROR(__xludf.DUMMYFUNCTION("""COMPUTED_VALUE"""),62.55)</f>
        <v>62.55</v>
      </c>
      <c r="AA18" s="119">
        <f ca="1">IFERROR(__xludf.DUMMYFUNCTION("""COMPUTED_VALUE"""),95.87)</f>
        <v>95.87</v>
      </c>
      <c r="AB18" s="119">
        <f ca="1">IFERROR(__xludf.DUMMYFUNCTION("""COMPUTED_VALUE"""),4.79)</f>
        <v>4.79</v>
      </c>
      <c r="AC18" s="119">
        <f ca="1">IFERROR(__xludf.DUMMYFUNCTION("""COMPUTED_VALUE"""),68.05)</f>
        <v>68.05</v>
      </c>
      <c r="AD18" s="119">
        <f ca="1">IFERROR(__xludf.DUMMYFUNCTION("""COMPUTED_VALUE"""),12.27)</f>
        <v>12.27</v>
      </c>
      <c r="AE18" s="119">
        <f ca="1">IFERROR(__xludf.DUMMYFUNCTION("""COMPUTED_VALUE"""),6.18)</f>
        <v>6.18</v>
      </c>
      <c r="AF18" s="119">
        <f ca="1">IFERROR(__xludf.DUMMYFUNCTION("""COMPUTED_VALUE"""),45.64)</f>
        <v>45.64</v>
      </c>
      <c r="AG18" s="119">
        <f ca="1">IFERROR(__xludf.DUMMYFUNCTION("""COMPUTED_VALUE"""),19.2)</f>
        <v>19.2</v>
      </c>
      <c r="AH18" s="119">
        <f ca="1">IFERROR(__xludf.DUMMYFUNCTION("""COMPUTED_VALUE"""),2.14)</f>
        <v>2.14</v>
      </c>
      <c r="AI18" s="119">
        <f ca="1">IFERROR(__xludf.DUMMYFUNCTION("""COMPUTED_VALUE"""),3.55)</f>
        <v>3.55</v>
      </c>
      <c r="AJ18" s="119">
        <f ca="1">IFERROR(__xludf.DUMMYFUNCTION("""COMPUTED_VALUE"""),124.2)</f>
        <v>124.2</v>
      </c>
      <c r="AK18" s="119">
        <f ca="1">IFERROR(__xludf.DUMMYFUNCTION("""COMPUTED_VALUE"""),236.42)</f>
        <v>236.42</v>
      </c>
      <c r="AL18" s="119">
        <f ca="1">IFERROR(__xludf.DUMMYFUNCTION("""COMPUTED_VALUE"""),16.14)</f>
        <v>16.14</v>
      </c>
      <c r="AM18" s="119">
        <f ca="1">IFERROR(__xludf.DUMMYFUNCTION("""COMPUTED_VALUE"""),45.96)</f>
        <v>45.96</v>
      </c>
      <c r="AN18" s="119">
        <f ca="1">IFERROR(__xludf.DUMMYFUNCTION("""COMPUTED_VALUE"""),314.8)</f>
        <v>314.8</v>
      </c>
      <c r="AO18" s="119">
        <f ca="1">IFERROR(__xludf.DUMMYFUNCTION("""COMPUTED_VALUE"""),104.23)</f>
        <v>104.23</v>
      </c>
      <c r="AP18" s="119">
        <f ca="1">IFERROR(__xludf.DUMMYFUNCTION("""COMPUTED_VALUE"""),81.05)</f>
        <v>81.05</v>
      </c>
      <c r="AQ18" s="119">
        <f ca="1">IFERROR(__xludf.DUMMYFUNCTION("""COMPUTED_VALUE"""),59.1)</f>
        <v>59.1</v>
      </c>
      <c r="AR18" s="118">
        <f ca="1">IFERROR(__xludf.DUMMYFUNCTION("""COMPUTED_VALUE"""),104.941)</f>
        <v>104.941</v>
      </c>
      <c r="AS18" s="119">
        <f ca="1">IFERROR(__xludf.DUMMYFUNCTION("""COMPUTED_VALUE"""),17.005)</f>
        <v>17.004999999999999</v>
      </c>
      <c r="AT18" s="119">
        <f ca="1">IFERROR(__xludf.DUMMYFUNCTION("""COMPUTED_VALUE"""),119.5)</f>
        <v>119.5</v>
      </c>
      <c r="AU18" s="119">
        <f ca="1">IFERROR(__xludf.DUMMYFUNCTION("""COMPUTED_VALUE"""),63.88)</f>
        <v>63.88</v>
      </c>
      <c r="AV18" s="119">
        <f ca="1">IFERROR(__xludf.DUMMYFUNCTION("""COMPUTED_VALUE"""),151.36)</f>
        <v>151.36000000000001</v>
      </c>
      <c r="AW18" s="119">
        <f ca="1">IFERROR(__xludf.DUMMYFUNCTION("""COMPUTED_VALUE"""),133.35)</f>
        <v>133.35</v>
      </c>
      <c r="AX18" s="119">
        <f ca="1">IFERROR(__xludf.DUMMYFUNCTION("""COMPUTED_VALUE"""),35.5)</f>
        <v>35.5</v>
      </c>
      <c r="AY18" s="119">
        <f ca="1">IFERROR(__xludf.DUMMYFUNCTION("""COMPUTED_VALUE"""),49.72)</f>
        <v>49.72</v>
      </c>
      <c r="AZ18" s="119">
        <f ca="1">IFERROR(__xludf.DUMMYFUNCTION("""COMPUTED_VALUE"""),0)</f>
        <v>0</v>
      </c>
      <c r="BA18" s="119">
        <f ca="1">IFERROR(__xludf.DUMMYFUNCTION("""COMPUTED_VALUE"""),0)</f>
        <v>0</v>
      </c>
      <c r="BB18" s="119">
        <f ca="1">IFERROR(__xludf.DUMMYFUNCTION("""COMPUTED_VALUE"""),16.66)</f>
        <v>16.66</v>
      </c>
      <c r="BC18" s="119">
        <f ca="1">IFERROR(__xludf.DUMMYFUNCTION("""COMPUTED_VALUE"""),46)</f>
        <v>46</v>
      </c>
      <c r="BD18" s="119">
        <f ca="1">IFERROR(__xludf.DUMMYFUNCTION("""COMPUTED_VALUE"""),232.8)</f>
        <v>232.8</v>
      </c>
      <c r="BE18" s="119">
        <f ca="1">IFERROR(__xludf.DUMMYFUNCTION("""COMPUTED_VALUE"""),156.7)</f>
        <v>156.69999999999999</v>
      </c>
      <c r="BF18" s="119">
        <f ca="1">IFERROR(__xludf.DUMMYFUNCTION("""COMPUTED_VALUE"""),17.62)</f>
        <v>17.62</v>
      </c>
      <c r="BG18" s="119">
        <f ca="1">IFERROR(__xludf.DUMMYFUNCTION("""COMPUTED_VALUE"""),482.17)</f>
        <v>482.17</v>
      </c>
      <c r="BH18" s="119">
        <f ca="1">IFERROR(__xludf.DUMMYFUNCTION("""COMPUTED_VALUE"""),298.07)</f>
        <v>298.07</v>
      </c>
      <c r="BI18" s="119">
        <f ca="1">IFERROR(__xludf.DUMMYFUNCTION("""COMPUTED_VALUE"""),220.77)</f>
        <v>220.77</v>
      </c>
      <c r="BJ18" s="119">
        <f ca="1">IFERROR(__xludf.DUMMYFUNCTION("""COMPUTED_VALUE"""),26.59)</f>
        <v>26.59</v>
      </c>
      <c r="BK18" s="119">
        <f ca="1">IFERROR(__xludf.DUMMYFUNCTION("""COMPUTED_VALUE"""),287.63)</f>
        <v>287.63</v>
      </c>
      <c r="BL18" s="119">
        <f ca="1">IFERROR(__xludf.DUMMYFUNCTION("""COMPUTED_VALUE"""),123.98)</f>
        <v>123.98</v>
      </c>
      <c r="BM18" s="119">
        <f ca="1">IFERROR(__xludf.DUMMYFUNCTION("""COMPUTED_VALUE"""),18.04)</f>
        <v>18.04</v>
      </c>
      <c r="BN18" s="119">
        <f ca="1">IFERROR(__xludf.DUMMYFUNCTION("""COMPUTED_VALUE"""),397.5)</f>
        <v>397.5</v>
      </c>
      <c r="BO18" s="119">
        <f ca="1">IFERROR(__xludf.DUMMYFUNCTION("""COMPUTED_VALUE"""),780)</f>
        <v>780</v>
      </c>
      <c r="BP18" s="119">
        <f ca="1">IFERROR(__xludf.DUMMYFUNCTION("""COMPUTED_VALUE"""),66.37)</f>
        <v>66.37</v>
      </c>
      <c r="BQ18" s="119">
        <f ca="1">IFERROR(__xludf.DUMMYFUNCTION("""COMPUTED_VALUE"""),11.39)</f>
        <v>11.39</v>
      </c>
      <c r="BR18" s="119">
        <f ca="1">IFERROR(__xludf.DUMMYFUNCTION("""COMPUTED_VALUE"""),39.63)</f>
        <v>39.630000000000003</v>
      </c>
      <c r="BS18" s="119">
        <f ca="1">IFERROR(__xludf.DUMMYFUNCTION("""COMPUTED_VALUE"""),1)</f>
        <v>1</v>
      </c>
      <c r="BT18" s="117"/>
      <c r="BU18" s="117"/>
      <c r="BV18" s="117"/>
      <c r="BW18" s="117"/>
      <c r="BX18" s="117"/>
      <c r="BY18" s="117"/>
      <c r="BZ18" s="117"/>
      <c r="CA18" s="117"/>
      <c r="CB18" s="117"/>
      <c r="CC18" s="117"/>
      <c r="CD18" s="117"/>
      <c r="CE18" s="117"/>
      <c r="CF18" s="117"/>
      <c r="CG18" s="117"/>
      <c r="CH18" s="117"/>
      <c r="CI18" s="117"/>
      <c r="CJ18" s="117"/>
      <c r="CK18" s="117"/>
      <c r="CL18" s="117"/>
      <c r="CM18" s="117"/>
      <c r="CN18" s="117"/>
      <c r="CO18" s="117"/>
      <c r="CP18" s="117"/>
      <c r="CQ18" s="117"/>
      <c r="CR18" s="117"/>
      <c r="CS18" s="117"/>
      <c r="CT18" s="117"/>
      <c r="CU18" s="117"/>
      <c r="CV18" s="117"/>
      <c r="CW18" s="117"/>
      <c r="CX18" s="117"/>
      <c r="CY18" s="117"/>
      <c r="CZ18" s="117"/>
      <c r="DA18" s="117"/>
      <c r="DB18" s="117"/>
      <c r="DC18" s="117"/>
      <c r="DD18" s="117"/>
      <c r="DE18" s="117"/>
      <c r="DF18" s="117"/>
      <c r="DG18" s="117"/>
      <c r="DH18" s="117"/>
      <c r="DI18" s="117"/>
      <c r="DJ18" s="117"/>
      <c r="DK18" s="117"/>
      <c r="DL18" s="117"/>
      <c r="DM18" s="117"/>
      <c r="DN18" s="117"/>
      <c r="DO18" s="117"/>
      <c r="DP18" s="117"/>
      <c r="DQ18" s="117"/>
      <c r="DR18" s="117"/>
      <c r="DS18" s="117"/>
      <c r="DT18" s="117"/>
      <c r="DU18" s="117"/>
      <c r="DV18" s="117"/>
      <c r="DW18" s="117"/>
      <c r="DX18" s="117"/>
      <c r="DY18" s="117"/>
      <c r="DZ18" s="117"/>
      <c r="EA18" s="117"/>
      <c r="EB18" s="117"/>
      <c r="EC18" s="117"/>
      <c r="ED18" s="117"/>
      <c r="EE18" s="117"/>
      <c r="EF18" s="117"/>
      <c r="EG18" s="117"/>
      <c r="EH18" s="117"/>
      <c r="EI18" s="117"/>
      <c r="EJ18" s="117"/>
      <c r="EK18" s="117"/>
      <c r="EL18" s="117"/>
      <c r="EM18" s="117"/>
      <c r="EN18" s="117"/>
      <c r="EO18" s="117"/>
      <c r="EP18" s="117"/>
      <c r="EQ18" s="117"/>
      <c r="ER18" s="117"/>
      <c r="ES18" s="117"/>
      <c r="ET18" s="117"/>
      <c r="EU18" s="117"/>
      <c r="EV18" s="117"/>
      <c r="EW18" s="117"/>
      <c r="EX18" s="117"/>
      <c r="EY18" s="117"/>
      <c r="EZ18" s="117"/>
      <c r="FA18" s="117"/>
      <c r="FB18" s="117"/>
      <c r="FC18" s="117"/>
      <c r="FD18" s="117"/>
      <c r="FE18" s="117"/>
      <c r="FF18" s="117"/>
      <c r="FG18" s="117"/>
      <c r="FH18" s="117"/>
      <c r="FI18" s="117"/>
      <c r="FJ18" s="117"/>
      <c r="FK18" s="117"/>
      <c r="FL18" s="117"/>
      <c r="FM18" s="117"/>
      <c r="FN18" s="117"/>
      <c r="FO18" s="117"/>
    </row>
    <row r="19" spans="1:171" ht="15.75" customHeight="1" x14ac:dyDescent="0.15">
      <c r="A19" s="115">
        <f ca="1">IFERROR(__xludf.DUMMYFUNCTION("""COMPUTED_VALUE"""),44611)</f>
        <v>44611</v>
      </c>
      <c r="B19" s="119">
        <f ca="1">IFERROR(__xludf.DUMMYFUNCTION("""COMPUTED_VALUE"""),3052.03)</f>
        <v>3052.03</v>
      </c>
      <c r="C19" s="119">
        <f ca="1">IFERROR(__xludf.DUMMYFUNCTION("""COMPUTED_VALUE"""),206.16)</f>
        <v>206.16</v>
      </c>
      <c r="D19" s="119">
        <f ca="1">IFERROR(__xludf.DUMMYFUNCTION("""COMPUTED_VALUE"""),856.98)</f>
        <v>856.98</v>
      </c>
      <c r="E19" s="119">
        <f ca="1">IFERROR(__xludf.DUMMYFUNCTION("""COMPUTED_VALUE"""),470)</f>
        <v>470</v>
      </c>
      <c r="F19" s="119">
        <f ca="1">IFERROR(__xludf.DUMMYFUNCTION("""COMPUTED_VALUE"""),9.87)</f>
        <v>9.8699999999999992</v>
      </c>
      <c r="G19" s="119">
        <f ca="1">IFERROR(__xludf.DUMMYFUNCTION("""COMPUTED_VALUE"""),167.3)</f>
        <v>167.3</v>
      </c>
      <c r="H19" s="119">
        <f ca="1">IFERROR(__xludf.DUMMYFUNCTION("""COMPUTED_VALUE"""),7.3)</f>
        <v>7.3</v>
      </c>
      <c r="I19" s="119">
        <f ca="1">IFERROR(__xludf.DUMMYFUNCTION("""COMPUTED_VALUE"""),12.97)</f>
        <v>12.97</v>
      </c>
      <c r="J19" s="119">
        <f ca="1">IFERROR(__xludf.DUMMYFUNCTION("""COMPUTED_VALUE"""),2.22)</f>
        <v>2.2200000000000002</v>
      </c>
      <c r="K19" s="119">
        <f ca="1">IFERROR(__xludf.DUMMYFUNCTION("""COMPUTED_VALUE"""),42.15)</f>
        <v>42.15</v>
      </c>
      <c r="L19" s="119">
        <f ca="1">IFERROR(__xludf.DUMMYFUNCTION("""COMPUTED_VALUE"""),188)</f>
        <v>188</v>
      </c>
      <c r="M19" s="119">
        <f ca="1">IFERROR(__xludf.DUMMYFUNCTION("""COMPUTED_VALUE"""),39939.14)</f>
        <v>39939.14</v>
      </c>
      <c r="N19" s="119">
        <f ca="1">IFERROR(__xludf.DUMMYFUNCTION("""COMPUTED_VALUE"""),391.29)</f>
        <v>391.29</v>
      </c>
      <c r="O19" s="119">
        <f ca="1">IFERROR(__xludf.DUMMYFUNCTION("""COMPUTED_VALUE"""),287.93)</f>
        <v>287.93</v>
      </c>
      <c r="P19" s="119">
        <f ca="1">IFERROR(__xludf.DUMMYFUNCTION("""COMPUTED_VALUE"""),25.19)</f>
        <v>25.19</v>
      </c>
      <c r="Q19" s="119">
        <f ca="1">IFERROR(__xludf.DUMMYFUNCTION("""COMPUTED_VALUE"""),24.6)</f>
        <v>24.6</v>
      </c>
      <c r="R19" s="119">
        <f ca="1">IFERROR(__xludf.DUMMYFUNCTION("""COMPUTED_VALUE"""),71.86)</f>
        <v>71.86</v>
      </c>
      <c r="S19" s="119">
        <f ca="1">IFERROR(__xludf.DUMMYFUNCTION("""COMPUTED_VALUE"""),27.3)</f>
        <v>27.3</v>
      </c>
      <c r="T19" s="119">
        <f ca="1">IFERROR(__xludf.DUMMYFUNCTION("""COMPUTED_VALUE"""),37.89)</f>
        <v>37.89</v>
      </c>
      <c r="U19" s="119">
        <f ca="1">IFERROR(__xludf.DUMMYFUNCTION("""COMPUTED_VALUE"""),43.56)</f>
        <v>43.56</v>
      </c>
      <c r="V19" s="119">
        <f ca="1">IFERROR(__xludf.DUMMYFUNCTION("""COMPUTED_VALUE"""),14.46)</f>
        <v>14.46</v>
      </c>
      <c r="W19" s="119">
        <f ca="1">IFERROR(__xludf.DUMMYFUNCTION("""COMPUTED_VALUE"""),250.6)</f>
        <v>250.6</v>
      </c>
      <c r="X19" s="119">
        <f ca="1">IFERROR(__xludf.DUMMYFUNCTION("""COMPUTED_VALUE"""),2609.35)</f>
        <v>2609.35</v>
      </c>
      <c r="Y19" s="119">
        <f ca="1">IFERROR(__xludf.DUMMYFUNCTION("""COMPUTED_VALUE"""),66.7)</f>
        <v>66.7</v>
      </c>
      <c r="Z19" s="119">
        <f ca="1">IFERROR(__xludf.DUMMYFUNCTION("""COMPUTED_VALUE"""),62.55)</f>
        <v>62.55</v>
      </c>
      <c r="AA19" s="119">
        <f ca="1">IFERROR(__xludf.DUMMYFUNCTION("""COMPUTED_VALUE"""),95.87)</f>
        <v>95.87</v>
      </c>
      <c r="AB19" s="119">
        <f ca="1">IFERROR(__xludf.DUMMYFUNCTION("""COMPUTED_VALUE"""),4.79)</f>
        <v>4.79</v>
      </c>
      <c r="AC19" s="119">
        <f ca="1">IFERROR(__xludf.DUMMYFUNCTION("""COMPUTED_VALUE"""),68.05)</f>
        <v>68.05</v>
      </c>
      <c r="AD19" s="119">
        <f ca="1">IFERROR(__xludf.DUMMYFUNCTION("""COMPUTED_VALUE"""),12.27)</f>
        <v>12.27</v>
      </c>
      <c r="AE19" s="119">
        <f ca="1">IFERROR(__xludf.DUMMYFUNCTION("""COMPUTED_VALUE"""),6.18)</f>
        <v>6.18</v>
      </c>
      <c r="AF19" s="119">
        <f ca="1">IFERROR(__xludf.DUMMYFUNCTION("""COMPUTED_VALUE"""),45.64)</f>
        <v>45.64</v>
      </c>
      <c r="AG19" s="119">
        <f ca="1">IFERROR(__xludf.DUMMYFUNCTION("""COMPUTED_VALUE"""),19.2)</f>
        <v>19.2</v>
      </c>
      <c r="AH19" s="119">
        <f ca="1">IFERROR(__xludf.DUMMYFUNCTION("""COMPUTED_VALUE"""),2.14)</f>
        <v>2.14</v>
      </c>
      <c r="AI19" s="119">
        <f ca="1">IFERROR(__xludf.DUMMYFUNCTION("""COMPUTED_VALUE"""),3.55)</f>
        <v>3.55</v>
      </c>
      <c r="AJ19" s="119">
        <f ca="1">IFERROR(__xludf.DUMMYFUNCTION("""COMPUTED_VALUE"""),124.2)</f>
        <v>124.2</v>
      </c>
      <c r="AK19" s="119">
        <f ca="1">IFERROR(__xludf.DUMMYFUNCTION("""COMPUTED_VALUE"""),236.42)</f>
        <v>236.42</v>
      </c>
      <c r="AL19" s="119">
        <f ca="1">IFERROR(__xludf.DUMMYFUNCTION("""COMPUTED_VALUE"""),16.14)</f>
        <v>16.14</v>
      </c>
      <c r="AM19" s="119">
        <f ca="1">IFERROR(__xludf.DUMMYFUNCTION("""COMPUTED_VALUE"""),45.96)</f>
        <v>45.96</v>
      </c>
      <c r="AN19" s="119">
        <f ca="1">IFERROR(__xludf.DUMMYFUNCTION("""COMPUTED_VALUE"""),314.8)</f>
        <v>314.8</v>
      </c>
      <c r="AO19" s="119">
        <f ca="1">IFERROR(__xludf.DUMMYFUNCTION("""COMPUTED_VALUE"""),104.23)</f>
        <v>104.23</v>
      </c>
      <c r="AP19" s="119">
        <f ca="1">IFERROR(__xludf.DUMMYFUNCTION("""COMPUTED_VALUE"""),81.05)</f>
        <v>81.05</v>
      </c>
      <c r="AQ19" s="119">
        <f ca="1">IFERROR(__xludf.DUMMYFUNCTION("""COMPUTED_VALUE"""),59.1)</f>
        <v>59.1</v>
      </c>
      <c r="AR19" s="118">
        <f ca="1">IFERROR(__xludf.DUMMYFUNCTION("""COMPUTED_VALUE"""),104.941)</f>
        <v>104.941</v>
      </c>
      <c r="AS19" s="119">
        <f ca="1">IFERROR(__xludf.DUMMYFUNCTION("""COMPUTED_VALUE"""),17.005)</f>
        <v>17.004999999999999</v>
      </c>
      <c r="AT19" s="119">
        <f ca="1">IFERROR(__xludf.DUMMYFUNCTION("""COMPUTED_VALUE"""),119.5)</f>
        <v>119.5</v>
      </c>
      <c r="AU19" s="119">
        <f ca="1">IFERROR(__xludf.DUMMYFUNCTION("""COMPUTED_VALUE"""),63.88)</f>
        <v>63.88</v>
      </c>
      <c r="AV19" s="119">
        <f ca="1">IFERROR(__xludf.DUMMYFUNCTION("""COMPUTED_VALUE"""),151.36)</f>
        <v>151.36000000000001</v>
      </c>
      <c r="AW19" s="119">
        <f ca="1">IFERROR(__xludf.DUMMYFUNCTION("""COMPUTED_VALUE"""),133.35)</f>
        <v>133.35</v>
      </c>
      <c r="AX19" s="119">
        <f ca="1">IFERROR(__xludf.DUMMYFUNCTION("""COMPUTED_VALUE"""),35.5)</f>
        <v>35.5</v>
      </c>
      <c r="AY19" s="119">
        <f ca="1">IFERROR(__xludf.DUMMYFUNCTION("""COMPUTED_VALUE"""),49.72)</f>
        <v>49.72</v>
      </c>
      <c r="AZ19" s="119">
        <f ca="1">IFERROR(__xludf.DUMMYFUNCTION("""COMPUTED_VALUE"""),0)</f>
        <v>0</v>
      </c>
      <c r="BA19" s="119">
        <f ca="1">IFERROR(__xludf.DUMMYFUNCTION("""COMPUTED_VALUE"""),0)</f>
        <v>0</v>
      </c>
      <c r="BB19" s="119">
        <f ca="1">IFERROR(__xludf.DUMMYFUNCTION("""COMPUTED_VALUE"""),16.66)</f>
        <v>16.66</v>
      </c>
      <c r="BC19" s="119">
        <f ca="1">IFERROR(__xludf.DUMMYFUNCTION("""COMPUTED_VALUE"""),46)</f>
        <v>46</v>
      </c>
      <c r="BD19" s="119">
        <f ca="1">IFERROR(__xludf.DUMMYFUNCTION("""COMPUTED_VALUE"""),232.8)</f>
        <v>232.8</v>
      </c>
      <c r="BE19" s="119">
        <f ca="1">IFERROR(__xludf.DUMMYFUNCTION("""COMPUTED_VALUE"""),156.7)</f>
        <v>156.69999999999999</v>
      </c>
      <c r="BF19" s="119">
        <f ca="1">IFERROR(__xludf.DUMMYFUNCTION("""COMPUTED_VALUE"""),17.62)</f>
        <v>17.62</v>
      </c>
      <c r="BG19" s="119">
        <f ca="1">IFERROR(__xludf.DUMMYFUNCTION("""COMPUTED_VALUE"""),482.17)</f>
        <v>482.17</v>
      </c>
      <c r="BH19" s="119">
        <f ca="1">IFERROR(__xludf.DUMMYFUNCTION("""COMPUTED_VALUE"""),298.07)</f>
        <v>298.07</v>
      </c>
      <c r="BI19" s="119">
        <f ca="1">IFERROR(__xludf.DUMMYFUNCTION("""COMPUTED_VALUE"""),220.77)</f>
        <v>220.77</v>
      </c>
      <c r="BJ19" s="119">
        <f ca="1">IFERROR(__xludf.DUMMYFUNCTION("""COMPUTED_VALUE"""),26.59)</f>
        <v>26.59</v>
      </c>
      <c r="BK19" s="119">
        <f ca="1">IFERROR(__xludf.DUMMYFUNCTION("""COMPUTED_VALUE"""),287.63)</f>
        <v>287.63</v>
      </c>
      <c r="BL19" s="119">
        <f ca="1">IFERROR(__xludf.DUMMYFUNCTION("""COMPUTED_VALUE"""),123.98)</f>
        <v>123.98</v>
      </c>
      <c r="BM19" s="119">
        <f ca="1">IFERROR(__xludf.DUMMYFUNCTION("""COMPUTED_VALUE"""),18.04)</f>
        <v>18.04</v>
      </c>
      <c r="BN19" s="119">
        <f ca="1">IFERROR(__xludf.DUMMYFUNCTION("""COMPUTED_VALUE"""),397.5)</f>
        <v>397.5</v>
      </c>
      <c r="BO19" s="119">
        <f ca="1">IFERROR(__xludf.DUMMYFUNCTION("""COMPUTED_VALUE"""),780)</f>
        <v>780</v>
      </c>
      <c r="BP19" s="119">
        <f ca="1">IFERROR(__xludf.DUMMYFUNCTION("""COMPUTED_VALUE"""),66.37)</f>
        <v>66.37</v>
      </c>
      <c r="BQ19" s="119">
        <f ca="1">IFERROR(__xludf.DUMMYFUNCTION("""COMPUTED_VALUE"""),11.39)</f>
        <v>11.39</v>
      </c>
      <c r="BR19" s="119">
        <f ca="1">IFERROR(__xludf.DUMMYFUNCTION("""COMPUTED_VALUE"""),39.63)</f>
        <v>39.630000000000003</v>
      </c>
      <c r="BS19" s="119">
        <f ca="1">IFERROR(__xludf.DUMMYFUNCTION("""COMPUTED_VALUE"""),1)</f>
        <v>1</v>
      </c>
      <c r="BT19" s="117"/>
      <c r="BU19" s="117"/>
      <c r="BV19" s="117"/>
      <c r="BW19" s="117"/>
      <c r="BX19" s="117"/>
      <c r="BY19" s="117"/>
      <c r="BZ19" s="117"/>
      <c r="CA19" s="117"/>
      <c r="CB19" s="117"/>
      <c r="CC19" s="117"/>
      <c r="CD19" s="117"/>
      <c r="CE19" s="117"/>
      <c r="CF19" s="117"/>
      <c r="CG19" s="117"/>
      <c r="CH19" s="117"/>
      <c r="CI19" s="117"/>
      <c r="CJ19" s="117"/>
      <c r="CK19" s="117"/>
      <c r="CL19" s="117"/>
      <c r="CM19" s="117"/>
      <c r="CN19" s="117"/>
      <c r="CO19" s="117"/>
      <c r="CP19" s="117"/>
      <c r="CQ19" s="117"/>
      <c r="CR19" s="117"/>
      <c r="CS19" s="117"/>
      <c r="CT19" s="117"/>
      <c r="CU19" s="117"/>
      <c r="CV19" s="117"/>
      <c r="CW19" s="117"/>
      <c r="CX19" s="117"/>
      <c r="CY19" s="117"/>
      <c r="CZ19" s="117"/>
      <c r="DA19" s="117"/>
      <c r="DB19" s="117"/>
      <c r="DC19" s="117"/>
      <c r="DD19" s="117"/>
      <c r="DE19" s="117"/>
      <c r="DF19" s="117"/>
      <c r="DG19" s="117"/>
      <c r="DH19" s="117"/>
      <c r="DI19" s="117"/>
      <c r="DJ19" s="117"/>
      <c r="DK19" s="117"/>
      <c r="DL19" s="117"/>
      <c r="DM19" s="117"/>
      <c r="DN19" s="117"/>
      <c r="DO19" s="117"/>
      <c r="DP19" s="117"/>
      <c r="DQ19" s="117"/>
      <c r="DR19" s="117"/>
      <c r="DS19" s="117"/>
      <c r="DT19" s="117"/>
      <c r="DU19" s="117"/>
      <c r="DV19" s="117"/>
      <c r="DW19" s="117"/>
      <c r="DX19" s="117"/>
      <c r="DY19" s="117"/>
      <c r="DZ19" s="117"/>
      <c r="EA19" s="117"/>
      <c r="EB19" s="117"/>
      <c r="EC19" s="117"/>
      <c r="ED19" s="117"/>
      <c r="EE19" s="117"/>
      <c r="EF19" s="117"/>
      <c r="EG19" s="117"/>
      <c r="EH19" s="117"/>
      <c r="EI19" s="117"/>
      <c r="EJ19" s="117"/>
      <c r="EK19" s="117"/>
      <c r="EL19" s="117"/>
      <c r="EM19" s="117"/>
      <c r="EN19" s="117"/>
      <c r="EO19" s="117"/>
      <c r="EP19" s="117"/>
      <c r="EQ19" s="117"/>
      <c r="ER19" s="117"/>
      <c r="ES19" s="117"/>
      <c r="ET19" s="117"/>
      <c r="EU19" s="117"/>
      <c r="EV19" s="117"/>
      <c r="EW19" s="117"/>
      <c r="EX19" s="117"/>
      <c r="EY19" s="117"/>
      <c r="EZ19" s="117"/>
      <c r="FA19" s="117"/>
      <c r="FB19" s="117"/>
      <c r="FC19" s="117"/>
      <c r="FD19" s="117"/>
      <c r="FE19" s="117"/>
      <c r="FF19" s="117"/>
      <c r="FG19" s="117"/>
      <c r="FH19" s="117"/>
      <c r="FI19" s="117"/>
      <c r="FJ19" s="117"/>
      <c r="FK19" s="117"/>
      <c r="FL19" s="117"/>
      <c r="FM19" s="117"/>
      <c r="FN19" s="117"/>
      <c r="FO19" s="117"/>
    </row>
    <row r="20" spans="1:171" ht="15.75" customHeight="1" x14ac:dyDescent="0.15">
      <c r="A20" s="115">
        <f ca="1">IFERROR(__xludf.DUMMYFUNCTION("""COMPUTED_VALUE"""),44612)</f>
        <v>44612</v>
      </c>
      <c r="B20" s="119">
        <f ca="1">IFERROR(__xludf.DUMMYFUNCTION("""COMPUTED_VALUE"""),3052.03)</f>
        <v>3052.03</v>
      </c>
      <c r="C20" s="119">
        <f ca="1">IFERROR(__xludf.DUMMYFUNCTION("""COMPUTED_VALUE"""),206.16)</f>
        <v>206.16</v>
      </c>
      <c r="D20" s="119">
        <f ca="1">IFERROR(__xludf.DUMMYFUNCTION("""COMPUTED_VALUE"""),856.98)</f>
        <v>856.98</v>
      </c>
      <c r="E20" s="119">
        <f ca="1">IFERROR(__xludf.DUMMYFUNCTION("""COMPUTED_VALUE"""),470)</f>
        <v>470</v>
      </c>
      <c r="F20" s="119">
        <f ca="1">IFERROR(__xludf.DUMMYFUNCTION("""COMPUTED_VALUE"""),9.87)</f>
        <v>9.8699999999999992</v>
      </c>
      <c r="G20" s="119">
        <f ca="1">IFERROR(__xludf.DUMMYFUNCTION("""COMPUTED_VALUE"""),167.3)</f>
        <v>167.3</v>
      </c>
      <c r="H20" s="119">
        <f ca="1">IFERROR(__xludf.DUMMYFUNCTION("""COMPUTED_VALUE"""),7.3)</f>
        <v>7.3</v>
      </c>
      <c r="I20" s="119">
        <f ca="1">IFERROR(__xludf.DUMMYFUNCTION("""COMPUTED_VALUE"""),12.97)</f>
        <v>12.97</v>
      </c>
      <c r="J20" s="119">
        <f ca="1">IFERROR(__xludf.DUMMYFUNCTION("""COMPUTED_VALUE"""),2.22)</f>
        <v>2.2200000000000002</v>
      </c>
      <c r="K20" s="119">
        <f ca="1">IFERROR(__xludf.DUMMYFUNCTION("""COMPUTED_VALUE"""),42.15)</f>
        <v>42.15</v>
      </c>
      <c r="L20" s="119">
        <f ca="1">IFERROR(__xludf.DUMMYFUNCTION("""COMPUTED_VALUE"""),188)</f>
        <v>188</v>
      </c>
      <c r="M20" s="119">
        <f ca="1">IFERROR(__xludf.DUMMYFUNCTION("""COMPUTED_VALUE"""),38423.21)</f>
        <v>38423.21</v>
      </c>
      <c r="N20" s="119">
        <f ca="1">IFERROR(__xludf.DUMMYFUNCTION("""COMPUTED_VALUE"""),391.29)</f>
        <v>391.29</v>
      </c>
      <c r="O20" s="119">
        <f ca="1">IFERROR(__xludf.DUMMYFUNCTION("""COMPUTED_VALUE"""),287.93)</f>
        <v>287.93</v>
      </c>
      <c r="P20" s="119">
        <f ca="1">IFERROR(__xludf.DUMMYFUNCTION("""COMPUTED_VALUE"""),25.19)</f>
        <v>25.19</v>
      </c>
      <c r="Q20" s="119">
        <f ca="1">IFERROR(__xludf.DUMMYFUNCTION("""COMPUTED_VALUE"""),24.6)</f>
        <v>24.6</v>
      </c>
      <c r="R20" s="119">
        <f ca="1">IFERROR(__xludf.DUMMYFUNCTION("""COMPUTED_VALUE"""),71.86)</f>
        <v>71.86</v>
      </c>
      <c r="S20" s="119">
        <f ca="1">IFERROR(__xludf.DUMMYFUNCTION("""COMPUTED_VALUE"""),27.3)</f>
        <v>27.3</v>
      </c>
      <c r="T20" s="119">
        <f ca="1">IFERROR(__xludf.DUMMYFUNCTION("""COMPUTED_VALUE"""),37.89)</f>
        <v>37.89</v>
      </c>
      <c r="U20" s="119">
        <f ca="1">IFERROR(__xludf.DUMMYFUNCTION("""COMPUTED_VALUE"""),43.56)</f>
        <v>43.56</v>
      </c>
      <c r="V20" s="119">
        <f ca="1">IFERROR(__xludf.DUMMYFUNCTION("""COMPUTED_VALUE"""),14.46)</f>
        <v>14.46</v>
      </c>
      <c r="W20" s="119">
        <f ca="1">IFERROR(__xludf.DUMMYFUNCTION("""COMPUTED_VALUE"""),250.6)</f>
        <v>250.6</v>
      </c>
      <c r="X20" s="119">
        <f ca="1">IFERROR(__xludf.DUMMYFUNCTION("""COMPUTED_VALUE"""),2609.35)</f>
        <v>2609.35</v>
      </c>
      <c r="Y20" s="119">
        <f ca="1">IFERROR(__xludf.DUMMYFUNCTION("""COMPUTED_VALUE"""),66.7)</f>
        <v>66.7</v>
      </c>
      <c r="Z20" s="119">
        <f ca="1">IFERROR(__xludf.DUMMYFUNCTION("""COMPUTED_VALUE"""),62.55)</f>
        <v>62.55</v>
      </c>
      <c r="AA20" s="119">
        <f ca="1">IFERROR(__xludf.DUMMYFUNCTION("""COMPUTED_VALUE"""),95.87)</f>
        <v>95.87</v>
      </c>
      <c r="AB20" s="119">
        <f ca="1">IFERROR(__xludf.DUMMYFUNCTION("""COMPUTED_VALUE"""),4.79)</f>
        <v>4.79</v>
      </c>
      <c r="AC20" s="119">
        <f ca="1">IFERROR(__xludf.DUMMYFUNCTION("""COMPUTED_VALUE"""),68.05)</f>
        <v>68.05</v>
      </c>
      <c r="AD20" s="119">
        <f ca="1">IFERROR(__xludf.DUMMYFUNCTION("""COMPUTED_VALUE"""),12.27)</f>
        <v>12.27</v>
      </c>
      <c r="AE20" s="119">
        <f ca="1">IFERROR(__xludf.DUMMYFUNCTION("""COMPUTED_VALUE"""),6.18)</f>
        <v>6.18</v>
      </c>
      <c r="AF20" s="119">
        <f ca="1">IFERROR(__xludf.DUMMYFUNCTION("""COMPUTED_VALUE"""),45.64)</f>
        <v>45.64</v>
      </c>
      <c r="AG20" s="119">
        <f ca="1">IFERROR(__xludf.DUMMYFUNCTION("""COMPUTED_VALUE"""),19.2)</f>
        <v>19.2</v>
      </c>
      <c r="AH20" s="119">
        <f ca="1">IFERROR(__xludf.DUMMYFUNCTION("""COMPUTED_VALUE"""),2.14)</f>
        <v>2.14</v>
      </c>
      <c r="AI20" s="119">
        <f ca="1">IFERROR(__xludf.DUMMYFUNCTION("""COMPUTED_VALUE"""),3.55)</f>
        <v>3.55</v>
      </c>
      <c r="AJ20" s="119">
        <f ca="1">IFERROR(__xludf.DUMMYFUNCTION("""COMPUTED_VALUE"""),124.2)</f>
        <v>124.2</v>
      </c>
      <c r="AK20" s="119">
        <f ca="1">IFERROR(__xludf.DUMMYFUNCTION("""COMPUTED_VALUE"""),236.42)</f>
        <v>236.42</v>
      </c>
      <c r="AL20" s="119">
        <f ca="1">IFERROR(__xludf.DUMMYFUNCTION("""COMPUTED_VALUE"""),16.14)</f>
        <v>16.14</v>
      </c>
      <c r="AM20" s="119">
        <f ca="1">IFERROR(__xludf.DUMMYFUNCTION("""COMPUTED_VALUE"""),45.96)</f>
        <v>45.96</v>
      </c>
      <c r="AN20" s="119">
        <f ca="1">IFERROR(__xludf.DUMMYFUNCTION("""COMPUTED_VALUE"""),314.8)</f>
        <v>314.8</v>
      </c>
      <c r="AO20" s="119">
        <f ca="1">IFERROR(__xludf.DUMMYFUNCTION("""COMPUTED_VALUE"""),104.23)</f>
        <v>104.23</v>
      </c>
      <c r="AP20" s="119">
        <f ca="1">IFERROR(__xludf.DUMMYFUNCTION("""COMPUTED_VALUE"""),81.05)</f>
        <v>81.05</v>
      </c>
      <c r="AQ20" s="119">
        <f ca="1">IFERROR(__xludf.DUMMYFUNCTION("""COMPUTED_VALUE"""),59.1)</f>
        <v>59.1</v>
      </c>
      <c r="AR20" s="118">
        <f ca="1">IFERROR(__xludf.DUMMYFUNCTION("""COMPUTED_VALUE"""),104.941)</f>
        <v>104.941</v>
      </c>
      <c r="AS20" s="119">
        <f ca="1">IFERROR(__xludf.DUMMYFUNCTION("""COMPUTED_VALUE"""),17.005)</f>
        <v>17.004999999999999</v>
      </c>
      <c r="AT20" s="119">
        <f ca="1">IFERROR(__xludf.DUMMYFUNCTION("""COMPUTED_VALUE"""),119.5)</f>
        <v>119.5</v>
      </c>
      <c r="AU20" s="119">
        <f ca="1">IFERROR(__xludf.DUMMYFUNCTION("""COMPUTED_VALUE"""),63.88)</f>
        <v>63.88</v>
      </c>
      <c r="AV20" s="119">
        <f ca="1">IFERROR(__xludf.DUMMYFUNCTION("""COMPUTED_VALUE"""),151.36)</f>
        <v>151.36000000000001</v>
      </c>
      <c r="AW20" s="119">
        <f ca="1">IFERROR(__xludf.DUMMYFUNCTION("""COMPUTED_VALUE"""),133.35)</f>
        <v>133.35</v>
      </c>
      <c r="AX20" s="119">
        <f ca="1">IFERROR(__xludf.DUMMYFUNCTION("""COMPUTED_VALUE"""),35.5)</f>
        <v>35.5</v>
      </c>
      <c r="AY20" s="119">
        <f ca="1">IFERROR(__xludf.DUMMYFUNCTION("""COMPUTED_VALUE"""),49.72)</f>
        <v>49.72</v>
      </c>
      <c r="AZ20" s="119">
        <f ca="1">IFERROR(__xludf.DUMMYFUNCTION("""COMPUTED_VALUE"""),0)</f>
        <v>0</v>
      </c>
      <c r="BA20" s="119">
        <f ca="1">IFERROR(__xludf.DUMMYFUNCTION("""COMPUTED_VALUE"""),0)</f>
        <v>0</v>
      </c>
      <c r="BB20" s="119">
        <f ca="1">IFERROR(__xludf.DUMMYFUNCTION("""COMPUTED_VALUE"""),16.66)</f>
        <v>16.66</v>
      </c>
      <c r="BC20" s="119">
        <f ca="1">IFERROR(__xludf.DUMMYFUNCTION("""COMPUTED_VALUE"""),46)</f>
        <v>46</v>
      </c>
      <c r="BD20" s="119">
        <f ca="1">IFERROR(__xludf.DUMMYFUNCTION("""COMPUTED_VALUE"""),232.8)</f>
        <v>232.8</v>
      </c>
      <c r="BE20" s="119">
        <f ca="1">IFERROR(__xludf.DUMMYFUNCTION("""COMPUTED_VALUE"""),156.7)</f>
        <v>156.69999999999999</v>
      </c>
      <c r="BF20" s="119">
        <f ca="1">IFERROR(__xludf.DUMMYFUNCTION("""COMPUTED_VALUE"""),17.62)</f>
        <v>17.62</v>
      </c>
      <c r="BG20" s="119">
        <f ca="1">IFERROR(__xludf.DUMMYFUNCTION("""COMPUTED_VALUE"""),482.17)</f>
        <v>482.17</v>
      </c>
      <c r="BH20" s="119">
        <f ca="1">IFERROR(__xludf.DUMMYFUNCTION("""COMPUTED_VALUE"""),298.07)</f>
        <v>298.07</v>
      </c>
      <c r="BI20" s="119">
        <f ca="1">IFERROR(__xludf.DUMMYFUNCTION("""COMPUTED_VALUE"""),220.77)</f>
        <v>220.77</v>
      </c>
      <c r="BJ20" s="119">
        <f ca="1">IFERROR(__xludf.DUMMYFUNCTION("""COMPUTED_VALUE"""),26.59)</f>
        <v>26.59</v>
      </c>
      <c r="BK20" s="119">
        <f ca="1">IFERROR(__xludf.DUMMYFUNCTION("""COMPUTED_VALUE"""),287.63)</f>
        <v>287.63</v>
      </c>
      <c r="BL20" s="119">
        <f ca="1">IFERROR(__xludf.DUMMYFUNCTION("""COMPUTED_VALUE"""),123.98)</f>
        <v>123.98</v>
      </c>
      <c r="BM20" s="119">
        <f ca="1">IFERROR(__xludf.DUMMYFUNCTION("""COMPUTED_VALUE"""),18.04)</f>
        <v>18.04</v>
      </c>
      <c r="BN20" s="119">
        <f ca="1">IFERROR(__xludf.DUMMYFUNCTION("""COMPUTED_VALUE"""),397.5)</f>
        <v>397.5</v>
      </c>
      <c r="BO20" s="119">
        <f ca="1">IFERROR(__xludf.DUMMYFUNCTION("""COMPUTED_VALUE"""),780)</f>
        <v>780</v>
      </c>
      <c r="BP20" s="119">
        <f ca="1">IFERROR(__xludf.DUMMYFUNCTION("""COMPUTED_VALUE"""),66.37)</f>
        <v>66.37</v>
      </c>
      <c r="BQ20" s="119">
        <f ca="1">IFERROR(__xludf.DUMMYFUNCTION("""COMPUTED_VALUE"""),11.39)</f>
        <v>11.39</v>
      </c>
      <c r="BR20" s="119">
        <f ca="1">IFERROR(__xludf.DUMMYFUNCTION("""COMPUTED_VALUE"""),39.63)</f>
        <v>39.630000000000003</v>
      </c>
      <c r="BS20" s="119">
        <f ca="1">IFERROR(__xludf.DUMMYFUNCTION("""COMPUTED_VALUE"""),1)</f>
        <v>1</v>
      </c>
      <c r="BT20" s="117"/>
      <c r="BU20" s="117"/>
      <c r="BV20" s="117"/>
      <c r="BW20" s="117"/>
      <c r="BX20" s="117"/>
      <c r="BY20" s="117"/>
      <c r="BZ20" s="117"/>
      <c r="CA20" s="117"/>
      <c r="CB20" s="117"/>
      <c r="CC20" s="117"/>
      <c r="CD20" s="117"/>
      <c r="CE20" s="117"/>
      <c r="CF20" s="117"/>
      <c r="CG20" s="117"/>
      <c r="CH20" s="117"/>
      <c r="CI20" s="117"/>
      <c r="CJ20" s="117"/>
      <c r="CK20" s="117"/>
      <c r="CL20" s="117"/>
      <c r="CM20" s="117"/>
      <c r="CN20" s="117"/>
      <c r="CO20" s="117"/>
      <c r="CP20" s="117"/>
      <c r="CQ20" s="117"/>
      <c r="CR20" s="117"/>
      <c r="CS20" s="117"/>
      <c r="CT20" s="117"/>
      <c r="CU20" s="117"/>
      <c r="CV20" s="117"/>
      <c r="CW20" s="117"/>
      <c r="CX20" s="117"/>
      <c r="CY20" s="117"/>
      <c r="CZ20" s="117"/>
      <c r="DA20" s="117"/>
      <c r="DB20" s="117"/>
      <c r="DC20" s="117"/>
      <c r="DD20" s="117"/>
      <c r="DE20" s="117"/>
      <c r="DF20" s="117"/>
      <c r="DG20" s="117"/>
      <c r="DH20" s="117"/>
      <c r="DI20" s="117"/>
      <c r="DJ20" s="117"/>
      <c r="DK20" s="117"/>
      <c r="DL20" s="117"/>
      <c r="DM20" s="117"/>
      <c r="DN20" s="117"/>
      <c r="DO20" s="117"/>
      <c r="DP20" s="117"/>
      <c r="DQ20" s="117"/>
      <c r="DR20" s="117"/>
      <c r="DS20" s="117"/>
      <c r="DT20" s="117"/>
      <c r="DU20" s="117"/>
      <c r="DV20" s="117"/>
      <c r="DW20" s="117"/>
      <c r="DX20" s="117"/>
      <c r="DY20" s="117"/>
      <c r="DZ20" s="117"/>
      <c r="EA20" s="117"/>
      <c r="EB20" s="117"/>
      <c r="EC20" s="117"/>
      <c r="ED20" s="117"/>
      <c r="EE20" s="117"/>
      <c r="EF20" s="117"/>
      <c r="EG20" s="117"/>
      <c r="EH20" s="117"/>
      <c r="EI20" s="117"/>
      <c r="EJ20" s="117"/>
      <c r="EK20" s="117"/>
      <c r="EL20" s="117"/>
      <c r="EM20" s="117"/>
      <c r="EN20" s="117"/>
      <c r="EO20" s="117"/>
      <c r="EP20" s="117"/>
      <c r="EQ20" s="117"/>
      <c r="ER20" s="117"/>
      <c r="ES20" s="117"/>
      <c r="ET20" s="117"/>
      <c r="EU20" s="117"/>
      <c r="EV20" s="117"/>
      <c r="EW20" s="117"/>
      <c r="EX20" s="117"/>
      <c r="EY20" s="117"/>
      <c r="EZ20" s="117"/>
      <c r="FA20" s="117"/>
      <c r="FB20" s="117"/>
      <c r="FC20" s="117"/>
      <c r="FD20" s="117"/>
      <c r="FE20" s="117"/>
      <c r="FF20" s="117"/>
      <c r="FG20" s="117"/>
      <c r="FH20" s="117"/>
      <c r="FI20" s="117"/>
      <c r="FJ20" s="117"/>
      <c r="FK20" s="117"/>
      <c r="FL20" s="117"/>
      <c r="FM20" s="117"/>
      <c r="FN20" s="117"/>
      <c r="FO20" s="117"/>
    </row>
    <row r="21" spans="1:171" ht="15.75" customHeight="1" x14ac:dyDescent="0.15">
      <c r="A21" s="115">
        <f ca="1">IFERROR(__xludf.DUMMYFUNCTION("""COMPUTED_VALUE"""),44613)</f>
        <v>44613</v>
      </c>
      <c r="B21" s="119">
        <f ca="1">IFERROR(__xludf.DUMMYFUNCTION("""COMPUTED_VALUE"""),3052.03)</f>
        <v>3052.03</v>
      </c>
      <c r="C21" s="119">
        <f ca="1">IFERROR(__xludf.DUMMYFUNCTION("""COMPUTED_VALUE"""),206.16)</f>
        <v>206.16</v>
      </c>
      <c r="D21" s="119">
        <f ca="1">IFERROR(__xludf.DUMMYFUNCTION("""COMPUTED_VALUE"""),856.98)</f>
        <v>856.98</v>
      </c>
      <c r="E21" s="119">
        <f ca="1">IFERROR(__xludf.DUMMYFUNCTION("""COMPUTED_VALUE"""),445.4)</f>
        <v>445.4</v>
      </c>
      <c r="F21" s="119">
        <f ca="1">IFERROR(__xludf.DUMMYFUNCTION("""COMPUTED_VALUE"""),10)</f>
        <v>10</v>
      </c>
      <c r="G21" s="119">
        <f ca="1">IFERROR(__xludf.DUMMYFUNCTION("""COMPUTED_VALUE"""),167.3)</f>
        <v>167.3</v>
      </c>
      <c r="H21" s="119">
        <f ca="1">IFERROR(__xludf.DUMMYFUNCTION("""COMPUTED_VALUE"""),7.3)</f>
        <v>7.3</v>
      </c>
      <c r="I21" s="119">
        <f ca="1">IFERROR(__xludf.DUMMYFUNCTION("""COMPUTED_VALUE"""),12.97)</f>
        <v>12.97</v>
      </c>
      <c r="J21" s="119">
        <f ca="1">IFERROR(__xludf.DUMMYFUNCTION("""COMPUTED_VALUE"""),2.22)</f>
        <v>2.2200000000000002</v>
      </c>
      <c r="K21" s="119">
        <f ca="1">IFERROR(__xludf.DUMMYFUNCTION("""COMPUTED_VALUE"""),42.25)</f>
        <v>42.25</v>
      </c>
      <c r="L21" s="119">
        <f ca="1">IFERROR(__xludf.DUMMYFUNCTION("""COMPUTED_VALUE"""),180.5)</f>
        <v>180.5</v>
      </c>
      <c r="M21" s="119">
        <f ca="1">IFERROR(__xludf.DUMMYFUNCTION("""COMPUTED_VALUE"""),37104.48)</f>
        <v>37104.480000000003</v>
      </c>
      <c r="N21" s="119">
        <f ca="1">IFERROR(__xludf.DUMMYFUNCTION("""COMPUTED_VALUE"""),391.29)</f>
        <v>391.29</v>
      </c>
      <c r="O21" s="119">
        <f ca="1">IFERROR(__xludf.DUMMYFUNCTION("""COMPUTED_VALUE"""),287.93)</f>
        <v>287.93</v>
      </c>
      <c r="P21" s="119">
        <f ca="1">IFERROR(__xludf.DUMMYFUNCTION("""COMPUTED_VALUE"""),25.19)</f>
        <v>25.19</v>
      </c>
      <c r="Q21" s="119">
        <f ca="1">IFERROR(__xludf.DUMMYFUNCTION("""COMPUTED_VALUE"""),24.6)</f>
        <v>24.6</v>
      </c>
      <c r="R21" s="119">
        <f ca="1">IFERROR(__xludf.DUMMYFUNCTION("""COMPUTED_VALUE"""),71.86)</f>
        <v>71.86</v>
      </c>
      <c r="S21" s="119">
        <f ca="1">IFERROR(__xludf.DUMMYFUNCTION("""COMPUTED_VALUE"""),27.3)</f>
        <v>27.3</v>
      </c>
      <c r="T21" s="119">
        <f ca="1">IFERROR(__xludf.DUMMYFUNCTION("""COMPUTED_VALUE"""),37.89)</f>
        <v>37.89</v>
      </c>
      <c r="U21" s="119">
        <f ca="1">IFERROR(__xludf.DUMMYFUNCTION("""COMPUTED_VALUE"""),43.56)</f>
        <v>43.56</v>
      </c>
      <c r="V21" s="119">
        <f ca="1">IFERROR(__xludf.DUMMYFUNCTION("""COMPUTED_VALUE"""),14.38)</f>
        <v>14.38</v>
      </c>
      <c r="W21" s="119">
        <f ca="1">IFERROR(__xludf.DUMMYFUNCTION("""COMPUTED_VALUE"""),250.6)</f>
        <v>250.6</v>
      </c>
      <c r="X21" s="119">
        <f ca="1">IFERROR(__xludf.DUMMYFUNCTION("""COMPUTED_VALUE"""),2609.35)</f>
        <v>2609.35</v>
      </c>
      <c r="Y21" s="119">
        <f ca="1">IFERROR(__xludf.DUMMYFUNCTION("""COMPUTED_VALUE"""),67.2)</f>
        <v>67.2</v>
      </c>
      <c r="Z21" s="119">
        <f ca="1">IFERROR(__xludf.DUMMYFUNCTION("""COMPUTED_VALUE"""),62.45)</f>
        <v>62.45</v>
      </c>
      <c r="AA21" s="119">
        <f ca="1">IFERROR(__xludf.DUMMYFUNCTION("""COMPUTED_VALUE"""),95.87)</f>
        <v>95.87</v>
      </c>
      <c r="AB21" s="119">
        <f ca="1">IFERROR(__xludf.DUMMYFUNCTION("""COMPUTED_VALUE"""),4.83)</f>
        <v>4.83</v>
      </c>
      <c r="AC21" s="119">
        <f ca="1">IFERROR(__xludf.DUMMYFUNCTION("""COMPUTED_VALUE"""),68.05)</f>
        <v>68.05</v>
      </c>
      <c r="AD21" s="119">
        <f ca="1">IFERROR(__xludf.DUMMYFUNCTION("""COMPUTED_VALUE"""),12.27)</f>
        <v>12.27</v>
      </c>
      <c r="AE21" s="119">
        <f ca="1">IFERROR(__xludf.DUMMYFUNCTION("""COMPUTED_VALUE"""),6.22)</f>
        <v>6.22</v>
      </c>
      <c r="AF21" s="119">
        <f ca="1">IFERROR(__xludf.DUMMYFUNCTION("""COMPUTED_VALUE"""),44.99)</f>
        <v>44.99</v>
      </c>
      <c r="AG21" s="119">
        <f ca="1">IFERROR(__xludf.DUMMYFUNCTION("""COMPUTED_VALUE"""),19.08)</f>
        <v>19.079999999999998</v>
      </c>
      <c r="AH21" s="119">
        <f ca="1">IFERROR(__xludf.DUMMYFUNCTION("""COMPUTED_VALUE"""),2.12)</f>
        <v>2.12</v>
      </c>
      <c r="AI21" s="119">
        <f ca="1">IFERROR(__xludf.DUMMYFUNCTION("""COMPUTED_VALUE"""),3.51)</f>
        <v>3.51</v>
      </c>
      <c r="AJ21" s="119">
        <f ca="1">IFERROR(__xludf.DUMMYFUNCTION("""COMPUTED_VALUE"""),127)</f>
        <v>127</v>
      </c>
      <c r="AK21" s="119">
        <f ca="1">IFERROR(__xludf.DUMMYFUNCTION("""COMPUTED_VALUE"""),236.42)</f>
        <v>236.42</v>
      </c>
      <c r="AL21" s="119">
        <f ca="1">IFERROR(__xludf.DUMMYFUNCTION("""COMPUTED_VALUE"""),16.1)</f>
        <v>16.100000000000001</v>
      </c>
      <c r="AM21" s="119">
        <f ca="1">IFERROR(__xludf.DUMMYFUNCTION("""COMPUTED_VALUE"""),45.96)</f>
        <v>45.96</v>
      </c>
      <c r="AN21" s="119">
        <f ca="1">IFERROR(__xludf.DUMMYFUNCTION("""COMPUTED_VALUE"""),314.8)</f>
        <v>314.8</v>
      </c>
      <c r="AO21" s="119">
        <f ca="1">IFERROR(__xludf.DUMMYFUNCTION("""COMPUTED_VALUE"""),104.23)</f>
        <v>104.23</v>
      </c>
      <c r="AP21" s="119">
        <f ca="1">IFERROR(__xludf.DUMMYFUNCTION("""COMPUTED_VALUE"""),81.05)</f>
        <v>81.05</v>
      </c>
      <c r="AQ21" s="119">
        <f ca="1">IFERROR(__xludf.DUMMYFUNCTION("""COMPUTED_VALUE"""),59.1)</f>
        <v>59.1</v>
      </c>
      <c r="AR21" s="118">
        <f ca="1">IFERROR(__xludf.DUMMYFUNCTION("""COMPUTED_VALUE"""),104.9485)</f>
        <v>104.9485</v>
      </c>
      <c r="AS21" s="119">
        <f ca="1">IFERROR(__xludf.DUMMYFUNCTION("""COMPUTED_VALUE"""),17.005)</f>
        <v>17.004999999999999</v>
      </c>
      <c r="AT21" s="119">
        <f ca="1">IFERROR(__xludf.DUMMYFUNCTION("""COMPUTED_VALUE"""),114.9)</f>
        <v>114.9</v>
      </c>
      <c r="AU21" s="119">
        <f ca="1">IFERROR(__xludf.DUMMYFUNCTION("""COMPUTED_VALUE"""),63.88)</f>
        <v>63.88</v>
      </c>
      <c r="AV21" s="119">
        <f ca="1">IFERROR(__xludf.DUMMYFUNCTION("""COMPUTED_VALUE"""),151.36)</f>
        <v>151.36000000000001</v>
      </c>
      <c r="AW21" s="119">
        <f ca="1">IFERROR(__xludf.DUMMYFUNCTION("""COMPUTED_VALUE"""),133.35)</f>
        <v>133.35</v>
      </c>
      <c r="AX21" s="119">
        <f ca="1">IFERROR(__xludf.DUMMYFUNCTION("""COMPUTED_VALUE"""),33.6)</f>
        <v>33.6</v>
      </c>
      <c r="AY21" s="119">
        <f ca="1">IFERROR(__xludf.DUMMYFUNCTION("""COMPUTED_VALUE"""),49.72)</f>
        <v>49.72</v>
      </c>
      <c r="AZ21" s="119">
        <f ca="1">IFERROR(__xludf.DUMMYFUNCTION("""COMPUTED_VALUE"""),0)</f>
        <v>0</v>
      </c>
      <c r="BA21" s="119">
        <f ca="1">IFERROR(__xludf.DUMMYFUNCTION("""COMPUTED_VALUE"""),0)</f>
        <v>0</v>
      </c>
      <c r="BB21" s="119">
        <f ca="1">IFERROR(__xludf.DUMMYFUNCTION("""COMPUTED_VALUE"""),16.36)</f>
        <v>16.36</v>
      </c>
      <c r="BC21" s="119">
        <f ca="1">IFERROR(__xludf.DUMMYFUNCTION("""COMPUTED_VALUE"""),46)</f>
        <v>46</v>
      </c>
      <c r="BD21" s="119">
        <f ca="1">IFERROR(__xludf.DUMMYFUNCTION("""COMPUTED_VALUE"""),227.2)</f>
        <v>227.2</v>
      </c>
      <c r="BE21" s="119">
        <f ca="1">IFERROR(__xludf.DUMMYFUNCTION("""COMPUTED_VALUE"""),150.8)</f>
        <v>150.80000000000001</v>
      </c>
      <c r="BF21" s="119">
        <f ca="1">IFERROR(__xludf.DUMMYFUNCTION("""COMPUTED_VALUE"""),16.84)</f>
        <v>16.84</v>
      </c>
      <c r="BG21" s="119">
        <f ca="1">IFERROR(__xludf.DUMMYFUNCTION("""COMPUTED_VALUE"""),482.17)</f>
        <v>482.17</v>
      </c>
      <c r="BH21" s="119">
        <f ca="1">IFERROR(__xludf.DUMMYFUNCTION("""COMPUTED_VALUE"""),298.07)</f>
        <v>298.07</v>
      </c>
      <c r="BI21" s="119">
        <f ca="1">IFERROR(__xludf.DUMMYFUNCTION("""COMPUTED_VALUE"""),220.77)</f>
        <v>220.77</v>
      </c>
      <c r="BJ21" s="119">
        <f ca="1">IFERROR(__xludf.DUMMYFUNCTION("""COMPUTED_VALUE"""),26.59)</f>
        <v>26.59</v>
      </c>
      <c r="BK21" s="119">
        <f ca="1">IFERROR(__xludf.DUMMYFUNCTION("""COMPUTED_VALUE"""),287.63)</f>
        <v>287.63</v>
      </c>
      <c r="BL21" s="119">
        <f ca="1">IFERROR(__xludf.DUMMYFUNCTION("""COMPUTED_VALUE"""),123.98)</f>
        <v>123.98</v>
      </c>
      <c r="BM21" s="119">
        <f ca="1">IFERROR(__xludf.DUMMYFUNCTION("""COMPUTED_VALUE"""),18.04)</f>
        <v>18.04</v>
      </c>
      <c r="BN21" s="119">
        <f ca="1">IFERROR(__xludf.DUMMYFUNCTION("""COMPUTED_VALUE"""),397.5)</f>
        <v>397.5</v>
      </c>
      <c r="BO21" s="119">
        <f ca="1">IFERROR(__xludf.DUMMYFUNCTION("""COMPUTED_VALUE"""),780)</f>
        <v>780</v>
      </c>
      <c r="BP21" s="119">
        <f ca="1">IFERROR(__xludf.DUMMYFUNCTION("""COMPUTED_VALUE"""),66.37)</f>
        <v>66.37</v>
      </c>
      <c r="BQ21" s="119">
        <f ca="1">IFERROR(__xludf.DUMMYFUNCTION("""COMPUTED_VALUE"""),11.39)</f>
        <v>11.39</v>
      </c>
      <c r="BR21" s="119">
        <f ca="1">IFERROR(__xludf.DUMMYFUNCTION("""COMPUTED_VALUE"""),39.63)</f>
        <v>39.630000000000003</v>
      </c>
      <c r="BS21" s="119">
        <f ca="1">IFERROR(__xludf.DUMMYFUNCTION("""COMPUTED_VALUE"""),0.98)</f>
        <v>0.98</v>
      </c>
      <c r="BT21" s="119">
        <f ca="1">IFERROR(__xludf.DUMMYFUNCTION("""COMPUTED_VALUE"""),50.77)</f>
        <v>50.77</v>
      </c>
      <c r="BU21" s="119">
        <f ca="1">IFERROR(__xludf.DUMMYFUNCTION("""COMPUTED_VALUE"""),39.7)</f>
        <v>39.700000000000003</v>
      </c>
      <c r="BV21" s="119">
        <f ca="1">IFERROR(__xludf.DUMMYFUNCTION("""COMPUTED_VALUE"""),55.9)</f>
        <v>55.9</v>
      </c>
      <c r="BW21" s="117"/>
      <c r="BX21" s="117"/>
      <c r="BY21" s="117"/>
      <c r="BZ21" s="117"/>
      <c r="CA21" s="117"/>
      <c r="CB21" s="117"/>
      <c r="CC21" s="117"/>
      <c r="CD21" s="117"/>
      <c r="CE21" s="117"/>
      <c r="CF21" s="117"/>
      <c r="CG21" s="117"/>
      <c r="CH21" s="117"/>
      <c r="CI21" s="117"/>
      <c r="CJ21" s="117"/>
      <c r="CK21" s="117"/>
      <c r="CL21" s="117"/>
      <c r="CM21" s="117"/>
      <c r="CN21" s="117"/>
      <c r="CO21" s="117"/>
      <c r="CP21" s="117"/>
      <c r="CQ21" s="117"/>
      <c r="CR21" s="117"/>
      <c r="CS21" s="117"/>
      <c r="CT21" s="117"/>
      <c r="CU21" s="117"/>
      <c r="CV21" s="117"/>
      <c r="CW21" s="117"/>
      <c r="CX21" s="117"/>
      <c r="CY21" s="117"/>
      <c r="CZ21" s="117"/>
      <c r="DA21" s="117"/>
      <c r="DB21" s="117"/>
      <c r="DC21" s="117"/>
      <c r="DD21" s="117"/>
      <c r="DE21" s="117"/>
      <c r="DF21" s="117"/>
      <c r="DG21" s="117"/>
      <c r="DH21" s="117"/>
      <c r="DI21" s="117"/>
      <c r="DJ21" s="117"/>
      <c r="DK21" s="117"/>
      <c r="DL21" s="117"/>
      <c r="DM21" s="117"/>
      <c r="DN21" s="117"/>
      <c r="DO21" s="117"/>
      <c r="DP21" s="117"/>
      <c r="DQ21" s="117"/>
      <c r="DR21" s="117"/>
      <c r="DS21" s="117"/>
      <c r="DT21" s="117"/>
      <c r="DU21" s="117"/>
      <c r="DV21" s="117"/>
      <c r="DW21" s="117"/>
      <c r="DX21" s="117"/>
      <c r="DY21" s="117"/>
      <c r="DZ21" s="117"/>
      <c r="EA21" s="117"/>
      <c r="EB21" s="117"/>
      <c r="EC21" s="117"/>
      <c r="ED21" s="117"/>
      <c r="EE21" s="117"/>
      <c r="EF21" s="117"/>
      <c r="EG21" s="117"/>
      <c r="EH21" s="117"/>
      <c r="EI21" s="117"/>
      <c r="EJ21" s="117"/>
      <c r="EK21" s="117"/>
      <c r="EL21" s="117"/>
      <c r="EM21" s="117"/>
      <c r="EN21" s="117"/>
      <c r="EO21" s="117"/>
      <c r="EP21" s="117"/>
      <c r="EQ21" s="117"/>
      <c r="ER21" s="117"/>
      <c r="ES21" s="117"/>
      <c r="ET21" s="117"/>
      <c r="EU21" s="117"/>
      <c r="EV21" s="117"/>
      <c r="EW21" s="117"/>
      <c r="EX21" s="117"/>
      <c r="EY21" s="117"/>
      <c r="EZ21" s="117"/>
      <c r="FA21" s="117"/>
      <c r="FB21" s="117"/>
      <c r="FC21" s="117"/>
      <c r="FD21" s="117"/>
      <c r="FE21" s="117"/>
      <c r="FF21" s="117"/>
      <c r="FG21" s="117"/>
      <c r="FH21" s="117"/>
      <c r="FI21" s="117"/>
      <c r="FJ21" s="117"/>
      <c r="FK21" s="117"/>
      <c r="FL21" s="117"/>
      <c r="FM21" s="117"/>
      <c r="FN21" s="117"/>
      <c r="FO21" s="117"/>
    </row>
    <row r="22" spans="1:171" ht="15.75" customHeight="1" x14ac:dyDescent="0.15">
      <c r="A22" s="115">
        <f ca="1">IFERROR(__xludf.DUMMYFUNCTION("""COMPUTED_VALUE"""),44614)</f>
        <v>44614</v>
      </c>
      <c r="B22" s="119">
        <f ca="1">IFERROR(__xludf.DUMMYFUNCTION("""COMPUTED_VALUE"""),3003.95)</f>
        <v>3003.95</v>
      </c>
      <c r="C22" s="119">
        <f ca="1">IFERROR(__xludf.DUMMYFUNCTION("""COMPUTED_VALUE"""),202.08)</f>
        <v>202.08</v>
      </c>
      <c r="D22" s="119">
        <f ca="1">IFERROR(__xludf.DUMMYFUNCTION("""COMPUTED_VALUE"""),821.53)</f>
        <v>821.53</v>
      </c>
      <c r="E22" s="119">
        <f ca="1">IFERROR(__xludf.DUMMYFUNCTION("""COMPUTED_VALUE"""),444.8)</f>
        <v>444.8</v>
      </c>
      <c r="F22" s="119">
        <f ca="1">IFERROR(__xludf.DUMMYFUNCTION("""COMPUTED_VALUE"""),10.06)</f>
        <v>10.06</v>
      </c>
      <c r="G22" s="119">
        <f ca="1">IFERROR(__xludf.DUMMYFUNCTION("""COMPUTED_VALUE"""),164.32)</f>
        <v>164.32</v>
      </c>
      <c r="H22" s="119">
        <f ca="1">IFERROR(__xludf.DUMMYFUNCTION("""COMPUTED_VALUE"""),9.7)</f>
        <v>9.6999999999999993</v>
      </c>
      <c r="I22" s="119">
        <f ca="1">IFERROR(__xludf.DUMMYFUNCTION("""COMPUTED_VALUE"""),13.13)</f>
        <v>13.13</v>
      </c>
      <c r="J22" s="119">
        <f ca="1">IFERROR(__xludf.DUMMYFUNCTION("""COMPUTED_VALUE"""),2.01)</f>
        <v>2.0099999999999998</v>
      </c>
      <c r="K22" s="119">
        <f ca="1">IFERROR(__xludf.DUMMYFUNCTION("""COMPUTED_VALUE"""),41.15)</f>
        <v>41.15</v>
      </c>
      <c r="L22" s="119">
        <f ca="1">IFERROR(__xludf.DUMMYFUNCTION("""COMPUTED_VALUE"""),171.3)</f>
        <v>171.3</v>
      </c>
      <c r="M22" s="119">
        <f ca="1">IFERROR(__xludf.DUMMYFUNCTION("""COMPUTED_VALUE"""),38168.8)</f>
        <v>38168.800000000003</v>
      </c>
      <c r="N22" s="119">
        <f ca="1">IFERROR(__xludf.DUMMYFUNCTION("""COMPUTED_VALUE"""),377.38)</f>
        <v>377.38</v>
      </c>
      <c r="O22" s="119">
        <f ca="1">IFERROR(__xludf.DUMMYFUNCTION("""COMPUTED_VALUE"""),287.72)</f>
        <v>287.72000000000003</v>
      </c>
      <c r="P22" s="119">
        <f ca="1">IFERROR(__xludf.DUMMYFUNCTION("""COMPUTED_VALUE"""),24.52)</f>
        <v>24.52</v>
      </c>
      <c r="Q22" s="119">
        <f ca="1">IFERROR(__xludf.DUMMYFUNCTION("""COMPUTED_VALUE"""),24.54)</f>
        <v>24.54</v>
      </c>
      <c r="R22" s="119">
        <f ca="1">IFERROR(__xludf.DUMMYFUNCTION("""COMPUTED_VALUE"""),70.98)</f>
        <v>70.98</v>
      </c>
      <c r="S22" s="119">
        <f ca="1">IFERROR(__xludf.DUMMYFUNCTION("""COMPUTED_VALUE"""),25.93)</f>
        <v>25.93</v>
      </c>
      <c r="T22" s="119">
        <f ca="1">IFERROR(__xludf.DUMMYFUNCTION("""COMPUTED_VALUE"""),34.77)</f>
        <v>34.770000000000003</v>
      </c>
      <c r="U22" s="119">
        <f ca="1">IFERROR(__xludf.DUMMYFUNCTION("""COMPUTED_VALUE"""),43.23)</f>
        <v>43.23</v>
      </c>
      <c r="V22" s="119">
        <f ca="1">IFERROR(__xludf.DUMMYFUNCTION("""COMPUTED_VALUE"""),14.47)</f>
        <v>14.47</v>
      </c>
      <c r="W22" s="119">
        <f ca="1">IFERROR(__xludf.DUMMYFUNCTION("""COMPUTED_VALUE"""),252.7)</f>
        <v>252.7</v>
      </c>
      <c r="X22" s="119">
        <f ca="1">IFERROR(__xludf.DUMMYFUNCTION("""COMPUTED_VALUE"""),2588.05)</f>
        <v>2588.0500000000002</v>
      </c>
      <c r="Y22" s="119">
        <f ca="1">IFERROR(__xludf.DUMMYFUNCTION("""COMPUTED_VALUE"""),64.45)</f>
        <v>64.45</v>
      </c>
      <c r="Z22" s="119">
        <f ca="1">IFERROR(__xludf.DUMMYFUNCTION("""COMPUTED_VALUE"""),59.2)</f>
        <v>59.2</v>
      </c>
      <c r="AA22" s="119">
        <f ca="1">IFERROR(__xludf.DUMMYFUNCTION("""COMPUTED_VALUE"""),94.73)</f>
        <v>94.73</v>
      </c>
      <c r="AB22" s="119">
        <f ca="1">IFERROR(__xludf.DUMMYFUNCTION("""COMPUTED_VALUE"""),4.76)</f>
        <v>4.76</v>
      </c>
      <c r="AC22" s="119">
        <f ca="1">IFERROR(__xludf.DUMMYFUNCTION("""COMPUTED_VALUE"""),66.95)</f>
        <v>66.95</v>
      </c>
      <c r="AD22" s="119">
        <f ca="1">IFERROR(__xludf.DUMMYFUNCTION("""COMPUTED_VALUE"""),12.11)</f>
        <v>12.11</v>
      </c>
      <c r="AE22" s="119">
        <f ca="1">IFERROR(__xludf.DUMMYFUNCTION("""COMPUTED_VALUE"""),5.97)</f>
        <v>5.97</v>
      </c>
      <c r="AF22" s="119">
        <f ca="1">IFERROR(__xludf.DUMMYFUNCTION("""COMPUTED_VALUE"""),47.29)</f>
        <v>47.29</v>
      </c>
      <c r="AG22" s="119">
        <f ca="1">IFERROR(__xludf.DUMMYFUNCTION("""COMPUTED_VALUE"""),18.02)</f>
        <v>18.02</v>
      </c>
      <c r="AH22" s="119">
        <f ca="1">IFERROR(__xludf.DUMMYFUNCTION("""COMPUTED_VALUE"""),2.13)</f>
        <v>2.13</v>
      </c>
      <c r="AI22" s="119">
        <f ca="1">IFERROR(__xludf.DUMMYFUNCTION("""COMPUTED_VALUE"""),3.44)</f>
        <v>3.44</v>
      </c>
      <c r="AJ22" s="119">
        <f ca="1">IFERROR(__xludf.DUMMYFUNCTION("""COMPUTED_VALUE"""),122.9)</f>
        <v>122.9</v>
      </c>
      <c r="AK22" s="119">
        <f ca="1">IFERROR(__xludf.DUMMYFUNCTION("""COMPUTED_VALUE"""),233.9)</f>
        <v>233.9</v>
      </c>
      <c r="AL22" s="119">
        <f ca="1">IFERROR(__xludf.DUMMYFUNCTION("""COMPUTED_VALUE"""),15.62)</f>
        <v>15.62</v>
      </c>
      <c r="AM22" s="119">
        <f ca="1">IFERROR(__xludf.DUMMYFUNCTION("""COMPUTED_VALUE"""),45.56)</f>
        <v>45.56</v>
      </c>
      <c r="AN22" s="119">
        <f ca="1">IFERROR(__xludf.DUMMYFUNCTION("""COMPUTED_VALUE"""),314.16)</f>
        <v>314.16000000000003</v>
      </c>
      <c r="AO22" s="119">
        <f ca="1">IFERROR(__xludf.DUMMYFUNCTION("""COMPUTED_VALUE"""),102.68)</f>
        <v>102.68</v>
      </c>
      <c r="AP22" s="119">
        <f ca="1">IFERROR(__xludf.DUMMYFUNCTION("""COMPUTED_VALUE"""),81.23)</f>
        <v>81.23</v>
      </c>
      <c r="AQ22" s="119">
        <f ca="1">IFERROR(__xludf.DUMMYFUNCTION("""COMPUTED_VALUE"""),56.34)</f>
        <v>56.34</v>
      </c>
      <c r="AR22" s="118">
        <f ca="1">IFERROR(__xludf.DUMMYFUNCTION("""COMPUTED_VALUE"""),104.9485)</f>
        <v>104.9485</v>
      </c>
      <c r="AS22" s="119">
        <f ca="1">IFERROR(__xludf.DUMMYFUNCTION("""COMPUTED_VALUE"""),16.82)</f>
        <v>16.82</v>
      </c>
      <c r="AT22" s="119">
        <f ca="1">IFERROR(__xludf.DUMMYFUNCTION("""COMPUTED_VALUE"""),111.4)</f>
        <v>111.4</v>
      </c>
      <c r="AU22" s="119">
        <f ca="1">IFERROR(__xludf.DUMMYFUNCTION("""COMPUTED_VALUE"""),63.1)</f>
        <v>63.1</v>
      </c>
      <c r="AV22" s="119">
        <f ca="1">IFERROR(__xludf.DUMMYFUNCTION("""COMPUTED_VALUE"""),148.09)</f>
        <v>148.09</v>
      </c>
      <c r="AW22" s="119">
        <f ca="1">IFERROR(__xludf.DUMMYFUNCTION("""COMPUTED_VALUE"""),130.26)</f>
        <v>130.26</v>
      </c>
      <c r="AX22" s="119">
        <f ca="1">IFERROR(__xludf.DUMMYFUNCTION("""COMPUTED_VALUE"""),30.85)</f>
        <v>30.85</v>
      </c>
      <c r="AY22" s="119">
        <f ca="1">IFERROR(__xludf.DUMMYFUNCTION("""COMPUTED_VALUE"""),48.21)</f>
        <v>48.21</v>
      </c>
      <c r="AZ22" s="119">
        <f ca="1">IFERROR(__xludf.DUMMYFUNCTION("""COMPUTED_VALUE"""),0)</f>
        <v>0</v>
      </c>
      <c r="BA22" s="119">
        <f ca="1">IFERROR(__xludf.DUMMYFUNCTION("""COMPUTED_VALUE"""),0)</f>
        <v>0</v>
      </c>
      <c r="BB22" s="119">
        <f ca="1">IFERROR(__xludf.DUMMYFUNCTION("""COMPUTED_VALUE"""),15.64)</f>
        <v>15.64</v>
      </c>
      <c r="BC22" s="119">
        <f ca="1">IFERROR(__xludf.DUMMYFUNCTION("""COMPUTED_VALUE"""),37.64)</f>
        <v>37.64</v>
      </c>
      <c r="BD22" s="119">
        <f ca="1">IFERROR(__xludf.DUMMYFUNCTION("""COMPUTED_VALUE"""),220.8)</f>
        <v>220.8</v>
      </c>
      <c r="BE22" s="119">
        <f ca="1">IFERROR(__xludf.DUMMYFUNCTION("""COMPUTED_VALUE"""),150.3)</f>
        <v>150.30000000000001</v>
      </c>
      <c r="BF22" s="119">
        <f ca="1">IFERROR(__xludf.DUMMYFUNCTION("""COMPUTED_VALUE"""),16.58)</f>
        <v>16.579999999999998</v>
      </c>
      <c r="BG22" s="119">
        <f ca="1">IFERROR(__xludf.DUMMYFUNCTION("""COMPUTED_VALUE"""),475.51)</f>
        <v>475.51</v>
      </c>
      <c r="BH22" s="119">
        <f ca="1">IFERROR(__xludf.DUMMYFUNCTION("""COMPUTED_VALUE"""),295.7)</f>
        <v>295.7</v>
      </c>
      <c r="BI22" s="119">
        <f ca="1">IFERROR(__xludf.DUMMYFUNCTION("""COMPUTED_VALUE"""),221.41)</f>
        <v>221.41</v>
      </c>
      <c r="BJ22" s="119">
        <f ca="1">IFERROR(__xludf.DUMMYFUNCTION("""COMPUTED_VALUE"""),25.51)</f>
        <v>25.51</v>
      </c>
      <c r="BK22" s="119">
        <f ca="1">IFERROR(__xludf.DUMMYFUNCTION("""COMPUTED_VALUE"""),289.47)</f>
        <v>289.47000000000003</v>
      </c>
      <c r="BL22" s="119">
        <f ca="1">IFERROR(__xludf.DUMMYFUNCTION("""COMPUTED_VALUE"""),123.51)</f>
        <v>123.51</v>
      </c>
      <c r="BM22" s="119">
        <f ca="1">IFERROR(__xludf.DUMMYFUNCTION("""COMPUTED_VALUE"""),17.29)</f>
        <v>17.29</v>
      </c>
      <c r="BN22" s="119">
        <f ca="1">IFERROR(__xludf.DUMMYFUNCTION("""COMPUTED_VALUE"""),395.4)</f>
        <v>395.4</v>
      </c>
      <c r="BO22" s="119">
        <f ca="1">IFERROR(__xludf.DUMMYFUNCTION("""COMPUTED_VALUE"""),754.08)</f>
        <v>754.08</v>
      </c>
      <c r="BP22" s="119">
        <f ca="1">IFERROR(__xludf.DUMMYFUNCTION("""COMPUTED_VALUE"""),62.39)</f>
        <v>62.39</v>
      </c>
      <c r="BQ22" s="119">
        <f ca="1">IFERROR(__xludf.DUMMYFUNCTION("""COMPUTED_VALUE"""),10.26)</f>
        <v>10.26</v>
      </c>
      <c r="BR22" s="119">
        <f ca="1">IFERROR(__xludf.DUMMYFUNCTION("""COMPUTED_VALUE"""),38.61)</f>
        <v>38.61</v>
      </c>
      <c r="BS22" s="119">
        <f ca="1">IFERROR(__xludf.DUMMYFUNCTION("""COMPUTED_VALUE"""),0.97)</f>
        <v>0.97</v>
      </c>
      <c r="BT22" s="119">
        <f ca="1">IFERROR(__xludf.DUMMYFUNCTION("""COMPUTED_VALUE"""),50.18)</f>
        <v>50.18</v>
      </c>
      <c r="BU22" s="119">
        <f ca="1">IFERROR(__xludf.DUMMYFUNCTION("""COMPUTED_VALUE"""),39.75)</f>
        <v>39.75</v>
      </c>
      <c r="BV22" s="119">
        <f ca="1">IFERROR(__xludf.DUMMYFUNCTION("""COMPUTED_VALUE"""),55.3)</f>
        <v>55.3</v>
      </c>
      <c r="BW22" s="119">
        <f ca="1">IFERROR(__xludf.DUMMYFUNCTION("""COMPUTED_VALUE"""),8.8)</f>
        <v>8.8000000000000007</v>
      </c>
      <c r="BX22" s="119">
        <f ca="1">IFERROR(__xludf.DUMMYFUNCTION("""COMPUTED_VALUE"""),7.5)</f>
        <v>7.5</v>
      </c>
      <c r="BY22" s="119">
        <f ca="1">IFERROR(__xludf.DUMMYFUNCTION("""COMPUTED_VALUE"""),1.4)</f>
        <v>1.4</v>
      </c>
      <c r="BZ22" s="117"/>
      <c r="CA22" s="117"/>
      <c r="CB22" s="117"/>
      <c r="CC22" s="117"/>
      <c r="CD22" s="117"/>
      <c r="CE22" s="117"/>
      <c r="CF22" s="117"/>
      <c r="CG22" s="117"/>
      <c r="CH22" s="117"/>
      <c r="CI22" s="117"/>
      <c r="CJ22" s="117"/>
      <c r="CK22" s="117"/>
      <c r="CL22" s="117"/>
      <c r="CM22" s="117"/>
      <c r="CN22" s="117"/>
      <c r="CO22" s="117"/>
      <c r="CP22" s="117"/>
      <c r="CQ22" s="117"/>
      <c r="CR22" s="117"/>
      <c r="CS22" s="117"/>
      <c r="CT22" s="117"/>
      <c r="CU22" s="117"/>
      <c r="CV22" s="117"/>
      <c r="CW22" s="117"/>
      <c r="CX22" s="117"/>
      <c r="CY22" s="117"/>
      <c r="CZ22" s="117"/>
      <c r="DA22" s="117"/>
      <c r="DB22" s="117"/>
      <c r="DC22" s="117"/>
      <c r="DD22" s="117"/>
      <c r="DE22" s="117"/>
      <c r="DF22" s="117"/>
      <c r="DG22" s="117"/>
      <c r="DH22" s="117"/>
      <c r="DI22" s="117"/>
      <c r="DJ22" s="117"/>
      <c r="DK22" s="117"/>
      <c r="DL22" s="117"/>
      <c r="DM22" s="117"/>
      <c r="DN22" s="117"/>
      <c r="DO22" s="117"/>
      <c r="DP22" s="117"/>
      <c r="DQ22" s="117"/>
      <c r="DR22" s="117"/>
      <c r="DS22" s="117"/>
      <c r="DT22" s="117"/>
      <c r="DU22" s="117"/>
      <c r="DV22" s="117"/>
      <c r="DW22" s="117"/>
      <c r="DX22" s="117"/>
      <c r="DY22" s="117"/>
      <c r="DZ22" s="117"/>
      <c r="EA22" s="117"/>
      <c r="EB22" s="117"/>
      <c r="EC22" s="117"/>
      <c r="ED22" s="117"/>
      <c r="EE22" s="117"/>
      <c r="EF22" s="117"/>
      <c r="EG22" s="117"/>
      <c r="EH22" s="117"/>
      <c r="EI22" s="117"/>
      <c r="EJ22" s="117"/>
      <c r="EK22" s="117"/>
      <c r="EL22" s="117"/>
      <c r="EM22" s="117"/>
      <c r="EN22" s="117"/>
      <c r="EO22" s="117"/>
      <c r="EP22" s="117"/>
      <c r="EQ22" s="117"/>
      <c r="ER22" s="117"/>
      <c r="ES22" s="117"/>
      <c r="ET22" s="117"/>
      <c r="EU22" s="117"/>
      <c r="EV22" s="117"/>
      <c r="EW22" s="117"/>
      <c r="EX22" s="117"/>
      <c r="EY22" s="117"/>
      <c r="EZ22" s="117"/>
      <c r="FA22" s="117"/>
      <c r="FB22" s="117"/>
      <c r="FC22" s="117"/>
      <c r="FD22" s="117"/>
      <c r="FE22" s="117"/>
      <c r="FF22" s="117"/>
      <c r="FG22" s="117"/>
      <c r="FH22" s="117"/>
      <c r="FI22" s="117"/>
      <c r="FJ22" s="117"/>
      <c r="FK22" s="117"/>
      <c r="FL22" s="117"/>
      <c r="FM22" s="117"/>
      <c r="FN22" s="117"/>
      <c r="FO22" s="117"/>
    </row>
    <row r="23" spans="1:171" ht="15.75" customHeight="1" x14ac:dyDescent="0.15">
      <c r="A23" s="115">
        <f ca="1">IFERROR(__xludf.DUMMYFUNCTION("""COMPUTED_VALUE"""),44615)</f>
        <v>44615</v>
      </c>
      <c r="B23" s="119">
        <f ca="1">IFERROR(__xludf.DUMMYFUNCTION("""COMPUTED_VALUE"""),2896.54)</f>
        <v>2896.54</v>
      </c>
      <c r="C23" s="119">
        <f ca="1">IFERROR(__xludf.DUMMYFUNCTION("""COMPUTED_VALUE"""),198.45)</f>
        <v>198.45</v>
      </c>
      <c r="D23" s="119">
        <f ca="1">IFERROR(__xludf.DUMMYFUNCTION("""COMPUTED_VALUE"""),764.04)</f>
        <v>764.04</v>
      </c>
      <c r="E23" s="119">
        <f ca="1">IFERROR(__xludf.DUMMYFUNCTION("""COMPUTED_VALUE"""),445)</f>
        <v>445</v>
      </c>
      <c r="F23" s="119">
        <f ca="1">IFERROR(__xludf.DUMMYFUNCTION("""COMPUTED_VALUE"""),10.02)</f>
        <v>10.02</v>
      </c>
      <c r="G23" s="119">
        <f ca="1">IFERROR(__xludf.DUMMYFUNCTION("""COMPUTED_VALUE"""),160.07)</f>
        <v>160.07</v>
      </c>
      <c r="H23" s="119">
        <f ca="1">IFERROR(__xludf.DUMMYFUNCTION("""COMPUTED_VALUE"""),10.25)</f>
        <v>10.25</v>
      </c>
      <c r="I23" s="119">
        <f ca="1">IFERROR(__xludf.DUMMYFUNCTION("""COMPUTED_VALUE"""),16)</f>
        <v>16</v>
      </c>
      <c r="J23" s="119">
        <f ca="1">IFERROR(__xludf.DUMMYFUNCTION("""COMPUTED_VALUE"""),1.54)</f>
        <v>1.54</v>
      </c>
      <c r="K23" s="119">
        <f ca="1">IFERROR(__xludf.DUMMYFUNCTION("""COMPUTED_VALUE"""),42.45)</f>
        <v>42.45</v>
      </c>
      <c r="L23" s="119">
        <f ca="1">IFERROR(__xludf.DUMMYFUNCTION("""COMPUTED_VALUE"""),176.6)</f>
        <v>176.6</v>
      </c>
      <c r="M23" s="119">
        <f ca="1">IFERROR(__xludf.DUMMYFUNCTION("""COMPUTED_VALUE"""),37227.023)</f>
        <v>37227.023000000001</v>
      </c>
      <c r="N23" s="119">
        <f ca="1">IFERROR(__xludf.DUMMYFUNCTION("""COMPUTED_VALUE"""),367.46)</f>
        <v>367.46</v>
      </c>
      <c r="O23" s="119">
        <f ca="1">IFERROR(__xludf.DUMMYFUNCTION("""COMPUTED_VALUE"""),280.27)</f>
        <v>280.27</v>
      </c>
      <c r="P23" s="119">
        <f ca="1">IFERROR(__xludf.DUMMYFUNCTION("""COMPUTED_VALUE"""),24.22)</f>
        <v>24.22</v>
      </c>
      <c r="Q23" s="119">
        <f ca="1">IFERROR(__xludf.DUMMYFUNCTION("""COMPUTED_VALUE"""),24.3)</f>
        <v>24.3</v>
      </c>
      <c r="R23" s="119">
        <f ca="1">IFERROR(__xludf.DUMMYFUNCTION("""COMPUTED_VALUE"""),70.54)</f>
        <v>70.540000000000006</v>
      </c>
      <c r="S23" s="119">
        <f ca="1">IFERROR(__xludf.DUMMYFUNCTION("""COMPUTED_VALUE"""),25.63)</f>
        <v>25.63</v>
      </c>
      <c r="T23" s="119">
        <f ca="1">IFERROR(__xludf.DUMMYFUNCTION("""COMPUTED_VALUE"""),34.21)</f>
        <v>34.21</v>
      </c>
      <c r="U23" s="119">
        <f ca="1">IFERROR(__xludf.DUMMYFUNCTION("""COMPUTED_VALUE"""),42.48)</f>
        <v>42.48</v>
      </c>
      <c r="V23" s="119">
        <f ca="1">IFERROR(__xludf.DUMMYFUNCTION("""COMPUTED_VALUE"""),14.43)</f>
        <v>14.43</v>
      </c>
      <c r="W23" s="119">
        <f ca="1">IFERROR(__xludf.DUMMYFUNCTION("""COMPUTED_VALUE"""),247.79)</f>
        <v>247.79</v>
      </c>
      <c r="X23" s="119">
        <f ca="1">IFERROR(__xludf.DUMMYFUNCTION("""COMPUTED_VALUE"""),2551.7)</f>
        <v>2551.6999999999998</v>
      </c>
      <c r="Y23" s="119">
        <f ca="1">IFERROR(__xludf.DUMMYFUNCTION("""COMPUTED_VALUE"""),64.15)</f>
        <v>64.150000000000006</v>
      </c>
      <c r="Z23" s="119">
        <f ca="1">IFERROR(__xludf.DUMMYFUNCTION("""COMPUTED_VALUE"""),62.1)</f>
        <v>62.1</v>
      </c>
      <c r="AA23" s="119">
        <f ca="1">IFERROR(__xludf.DUMMYFUNCTION("""COMPUTED_VALUE"""),91.34)</f>
        <v>91.34</v>
      </c>
      <c r="AB23" s="119">
        <f ca="1">IFERROR(__xludf.DUMMYFUNCTION("""COMPUTED_VALUE"""),4.74)</f>
        <v>4.74</v>
      </c>
      <c r="AC23" s="119">
        <f ca="1">IFERROR(__xludf.DUMMYFUNCTION("""COMPUTED_VALUE"""),67.64)</f>
        <v>67.64</v>
      </c>
      <c r="AD23" s="119">
        <f ca="1">IFERROR(__xludf.DUMMYFUNCTION("""COMPUTED_VALUE"""),11.95)</f>
        <v>11.95</v>
      </c>
      <c r="AE23" s="119">
        <f ca="1">IFERROR(__xludf.DUMMYFUNCTION("""COMPUTED_VALUE"""),6.13)</f>
        <v>6.13</v>
      </c>
      <c r="AF23" s="119">
        <f ca="1">IFERROR(__xludf.DUMMYFUNCTION("""COMPUTED_VALUE"""),46.54)</f>
        <v>46.54</v>
      </c>
      <c r="AG23" s="119">
        <f ca="1">IFERROR(__xludf.DUMMYFUNCTION("""COMPUTED_VALUE"""),18.32)</f>
        <v>18.32</v>
      </c>
      <c r="AH23" s="119">
        <f ca="1">IFERROR(__xludf.DUMMYFUNCTION("""COMPUTED_VALUE"""),2.14)</f>
        <v>2.14</v>
      </c>
      <c r="AI23" s="119">
        <f ca="1">IFERROR(__xludf.DUMMYFUNCTION("""COMPUTED_VALUE"""),3.46)</f>
        <v>3.46</v>
      </c>
      <c r="AJ23" s="119">
        <f ca="1">IFERROR(__xludf.DUMMYFUNCTION("""COMPUTED_VALUE"""),122)</f>
        <v>122</v>
      </c>
      <c r="AK23" s="119">
        <f ca="1">IFERROR(__xludf.DUMMYFUNCTION("""COMPUTED_VALUE"""),223.87)</f>
        <v>223.87</v>
      </c>
      <c r="AL23" s="119">
        <f ca="1">IFERROR(__xludf.DUMMYFUNCTION("""COMPUTED_VALUE"""),15.76)</f>
        <v>15.76</v>
      </c>
      <c r="AM23" s="119">
        <f ca="1">IFERROR(__xludf.DUMMYFUNCTION("""COMPUTED_VALUE"""),44.78)</f>
        <v>44.78</v>
      </c>
      <c r="AN23" s="119">
        <f ca="1">IFERROR(__xludf.DUMMYFUNCTION("""COMPUTED_VALUE"""),309.99)</f>
        <v>309.99</v>
      </c>
      <c r="AO23" s="119">
        <f ca="1">IFERROR(__xludf.DUMMYFUNCTION("""COMPUTED_VALUE"""),101.31)</f>
        <v>101.31</v>
      </c>
      <c r="AP23" s="119">
        <f ca="1">IFERROR(__xludf.DUMMYFUNCTION("""COMPUTED_VALUE"""),80.71)</f>
        <v>80.709999999999994</v>
      </c>
      <c r="AQ23" s="119">
        <f ca="1">IFERROR(__xludf.DUMMYFUNCTION("""COMPUTED_VALUE"""),55.82)</f>
        <v>55.82</v>
      </c>
      <c r="AR23" s="118">
        <f ca="1">IFERROR(__xludf.DUMMYFUNCTION("""COMPUTED_VALUE"""),104.6995)</f>
        <v>104.6995</v>
      </c>
      <c r="AS23" s="119">
        <f ca="1">IFERROR(__xludf.DUMMYFUNCTION("""COMPUTED_VALUE"""),18.28)</f>
        <v>18.28</v>
      </c>
      <c r="AT23" s="119">
        <f ca="1">IFERROR(__xludf.DUMMYFUNCTION("""COMPUTED_VALUE"""),112.4)</f>
        <v>112.4</v>
      </c>
      <c r="AU23" s="119">
        <f ca="1">IFERROR(__xludf.DUMMYFUNCTION("""COMPUTED_VALUE"""),62.62)</f>
        <v>62.62</v>
      </c>
      <c r="AV23" s="119">
        <f ca="1">IFERROR(__xludf.DUMMYFUNCTION("""COMPUTED_VALUE"""),145.87)</f>
        <v>145.87</v>
      </c>
      <c r="AW23" s="119">
        <f ca="1">IFERROR(__xludf.DUMMYFUNCTION("""COMPUTED_VALUE"""),127.86)</f>
        <v>127.86</v>
      </c>
      <c r="AX23" s="119">
        <f ca="1">IFERROR(__xludf.DUMMYFUNCTION("""COMPUTED_VALUE"""),30.15)</f>
        <v>30.15</v>
      </c>
      <c r="AY23" s="119">
        <f ca="1">IFERROR(__xludf.DUMMYFUNCTION("""COMPUTED_VALUE"""),45.68)</f>
        <v>45.68</v>
      </c>
      <c r="AZ23" s="119">
        <f ca="1">IFERROR(__xludf.DUMMYFUNCTION("""COMPUTED_VALUE"""),0)</f>
        <v>0</v>
      </c>
      <c r="BA23" s="119">
        <f ca="1">IFERROR(__xludf.DUMMYFUNCTION("""COMPUTED_VALUE"""),0)</f>
        <v>0</v>
      </c>
      <c r="BB23" s="119">
        <f ca="1">IFERROR(__xludf.DUMMYFUNCTION("""COMPUTED_VALUE"""),15.92)</f>
        <v>15.92</v>
      </c>
      <c r="BC23" s="119">
        <f ca="1">IFERROR(__xludf.DUMMYFUNCTION("""COMPUTED_VALUE"""),34.9)</f>
        <v>34.9</v>
      </c>
      <c r="BD23" s="119">
        <f ca="1">IFERROR(__xludf.DUMMYFUNCTION("""COMPUTED_VALUE"""),218)</f>
        <v>218</v>
      </c>
      <c r="BE23" s="119">
        <f ca="1">IFERROR(__xludf.DUMMYFUNCTION("""COMPUTED_VALUE"""),147.1)</f>
        <v>147.1</v>
      </c>
      <c r="BF23" s="119">
        <f ca="1">IFERROR(__xludf.DUMMYFUNCTION("""COMPUTED_VALUE"""),16.58)</f>
        <v>16.579999999999998</v>
      </c>
      <c r="BG23" s="119">
        <f ca="1">IFERROR(__xludf.DUMMYFUNCTION("""COMPUTED_VALUE"""),477.61)</f>
        <v>477.61</v>
      </c>
      <c r="BH23" s="119">
        <f ca="1">IFERROR(__xludf.DUMMYFUNCTION("""COMPUTED_VALUE"""),281.02)</f>
        <v>281.02</v>
      </c>
      <c r="BI23" s="119">
        <f ca="1">IFERROR(__xludf.DUMMYFUNCTION("""COMPUTED_VALUE"""),221)</f>
        <v>221</v>
      </c>
      <c r="BJ23" s="119">
        <f ca="1">IFERROR(__xludf.DUMMYFUNCTION("""COMPUTED_VALUE"""),23.97)</f>
        <v>23.97</v>
      </c>
      <c r="BK23" s="119">
        <f ca="1">IFERROR(__xludf.DUMMYFUNCTION("""COMPUTED_VALUE"""),285.53)</f>
        <v>285.52999999999997</v>
      </c>
      <c r="BL23" s="119">
        <f ca="1">IFERROR(__xludf.DUMMYFUNCTION("""COMPUTED_VALUE"""),121.44)</f>
        <v>121.44</v>
      </c>
      <c r="BM23" s="119">
        <f ca="1">IFERROR(__xludf.DUMMYFUNCTION("""COMPUTED_VALUE"""),16.95)</f>
        <v>16.95</v>
      </c>
      <c r="BN23" s="119">
        <f ca="1">IFERROR(__xludf.DUMMYFUNCTION("""COMPUTED_VALUE"""),387.31)</f>
        <v>387.31</v>
      </c>
      <c r="BO23" s="119">
        <f ca="1">IFERROR(__xludf.DUMMYFUNCTION("""COMPUTED_VALUE"""),755)</f>
        <v>755</v>
      </c>
      <c r="BP23" s="119">
        <f ca="1">IFERROR(__xludf.DUMMYFUNCTION("""COMPUTED_VALUE"""),57.53)</f>
        <v>57.53</v>
      </c>
      <c r="BQ23" s="119">
        <f ca="1">IFERROR(__xludf.DUMMYFUNCTION("""COMPUTED_VALUE"""),9.82)</f>
        <v>9.82</v>
      </c>
      <c r="BR23" s="119">
        <f ca="1">IFERROR(__xludf.DUMMYFUNCTION("""COMPUTED_VALUE"""),35.91)</f>
        <v>35.909999999999997</v>
      </c>
      <c r="BS23" s="119">
        <f ca="1">IFERROR(__xludf.DUMMYFUNCTION("""COMPUTED_VALUE"""),0.97)</f>
        <v>0.97</v>
      </c>
      <c r="BT23" s="119">
        <f ca="1">IFERROR(__xludf.DUMMYFUNCTION("""COMPUTED_VALUE"""),50.35)</f>
        <v>50.35</v>
      </c>
      <c r="BU23" s="119">
        <f ca="1">IFERROR(__xludf.DUMMYFUNCTION("""COMPUTED_VALUE"""),39.3)</f>
        <v>39.299999999999997</v>
      </c>
      <c r="BV23" s="119">
        <f ca="1">IFERROR(__xludf.DUMMYFUNCTION("""COMPUTED_VALUE"""),54.9)</f>
        <v>54.9</v>
      </c>
      <c r="BW23" s="119">
        <f ca="1">IFERROR(__xludf.DUMMYFUNCTION("""COMPUTED_VALUE"""),7.52)</f>
        <v>7.52</v>
      </c>
      <c r="BX23" s="119">
        <f ca="1">IFERROR(__xludf.DUMMYFUNCTION("""COMPUTED_VALUE"""),7.24)</f>
        <v>7.24</v>
      </c>
      <c r="BY23" s="119">
        <f ca="1">IFERROR(__xludf.DUMMYFUNCTION("""COMPUTED_VALUE"""),0.49)</f>
        <v>0.49</v>
      </c>
      <c r="BZ23" s="117"/>
      <c r="CA23" s="117"/>
      <c r="CB23" s="117"/>
      <c r="CC23" s="117"/>
      <c r="CD23" s="117"/>
      <c r="CE23" s="117"/>
      <c r="CF23" s="117"/>
      <c r="CG23" s="117"/>
      <c r="CH23" s="117"/>
      <c r="CI23" s="117"/>
      <c r="CJ23" s="117"/>
      <c r="CK23" s="117"/>
      <c r="CL23" s="117"/>
      <c r="CM23" s="117"/>
      <c r="CN23" s="117"/>
      <c r="CO23" s="117"/>
      <c r="CP23" s="117"/>
      <c r="CQ23" s="117"/>
      <c r="CR23" s="117"/>
      <c r="CS23" s="117"/>
      <c r="CT23" s="117"/>
      <c r="CU23" s="117"/>
      <c r="CV23" s="117"/>
      <c r="CW23" s="117"/>
      <c r="CX23" s="117"/>
      <c r="CY23" s="117"/>
      <c r="CZ23" s="117"/>
      <c r="DA23" s="117"/>
      <c r="DB23" s="117"/>
      <c r="DC23" s="117"/>
      <c r="DD23" s="117"/>
      <c r="DE23" s="117"/>
      <c r="DF23" s="117"/>
      <c r="DG23" s="117"/>
      <c r="DH23" s="117"/>
      <c r="DI23" s="117"/>
      <c r="DJ23" s="117"/>
      <c r="DK23" s="117"/>
      <c r="DL23" s="117"/>
      <c r="DM23" s="117"/>
      <c r="DN23" s="117"/>
      <c r="DO23" s="117"/>
      <c r="DP23" s="117"/>
      <c r="DQ23" s="117"/>
      <c r="DR23" s="117"/>
      <c r="DS23" s="117"/>
      <c r="DT23" s="117"/>
      <c r="DU23" s="117"/>
      <c r="DV23" s="117"/>
      <c r="DW23" s="117"/>
      <c r="DX23" s="117"/>
      <c r="DY23" s="117"/>
      <c r="DZ23" s="117"/>
      <c r="EA23" s="117"/>
      <c r="EB23" s="117"/>
      <c r="EC23" s="117"/>
      <c r="ED23" s="117"/>
      <c r="EE23" s="117"/>
      <c r="EF23" s="117"/>
      <c r="EG23" s="117"/>
      <c r="EH23" s="117"/>
      <c r="EI23" s="117"/>
      <c r="EJ23" s="117"/>
      <c r="EK23" s="117"/>
      <c r="EL23" s="117"/>
      <c r="EM23" s="117"/>
      <c r="EN23" s="117"/>
      <c r="EO23" s="117"/>
      <c r="EP23" s="117"/>
      <c r="EQ23" s="117"/>
      <c r="ER23" s="117"/>
      <c r="ES23" s="117"/>
      <c r="ET23" s="117"/>
      <c r="EU23" s="117"/>
      <c r="EV23" s="117"/>
      <c r="EW23" s="117"/>
      <c r="EX23" s="117"/>
      <c r="EY23" s="117"/>
      <c r="EZ23" s="117"/>
      <c r="FA23" s="117"/>
      <c r="FB23" s="117"/>
      <c r="FC23" s="117"/>
      <c r="FD23" s="117"/>
      <c r="FE23" s="117"/>
      <c r="FF23" s="117"/>
      <c r="FG23" s="117"/>
      <c r="FH23" s="117"/>
      <c r="FI23" s="117"/>
      <c r="FJ23" s="117"/>
      <c r="FK23" s="117"/>
      <c r="FL23" s="117"/>
      <c r="FM23" s="117"/>
      <c r="FN23" s="117"/>
      <c r="FO23" s="117"/>
    </row>
    <row r="24" spans="1:171" ht="15.75" customHeight="1" x14ac:dyDescent="0.15">
      <c r="A24" s="115">
        <f ca="1">IFERROR(__xludf.DUMMYFUNCTION("""COMPUTED_VALUE"""),44616)</f>
        <v>44616</v>
      </c>
      <c r="B24" s="119">
        <f ca="1">IFERROR(__xludf.DUMMYFUNCTION("""COMPUTED_VALUE"""),3027.16)</f>
        <v>3027.16</v>
      </c>
      <c r="C24" s="119">
        <f ca="1">IFERROR(__xludf.DUMMYFUNCTION("""COMPUTED_VALUE"""),207.6)</f>
        <v>207.6</v>
      </c>
      <c r="D24" s="119">
        <f ca="1">IFERROR(__xludf.DUMMYFUNCTION("""COMPUTED_VALUE"""),800.77)</f>
        <v>800.77</v>
      </c>
      <c r="E24" s="119">
        <f ca="1">IFERROR(__xludf.DUMMYFUNCTION("""COMPUTED_VALUE"""),427.8)</f>
        <v>427.8</v>
      </c>
      <c r="F24" s="119">
        <f ca="1">IFERROR(__xludf.DUMMYFUNCTION("""COMPUTED_VALUE"""),10.12)</f>
        <v>10.119999999999999</v>
      </c>
      <c r="G24" s="119">
        <f ca="1">IFERROR(__xludf.DUMMYFUNCTION("""COMPUTED_VALUE"""),162.74)</f>
        <v>162.74</v>
      </c>
      <c r="H24" s="119">
        <f ca="1">IFERROR(__xludf.DUMMYFUNCTION("""COMPUTED_VALUE"""),9.54)</f>
        <v>9.5399999999999991</v>
      </c>
      <c r="I24" s="119">
        <f ca="1">IFERROR(__xludf.DUMMYFUNCTION("""COMPUTED_VALUE"""),11.04)</f>
        <v>11.04</v>
      </c>
      <c r="J24" s="119">
        <f ca="1">IFERROR(__xludf.DUMMYFUNCTION("""COMPUTED_VALUE"""),1.01)</f>
        <v>1.01</v>
      </c>
      <c r="K24" s="119">
        <f ca="1">IFERROR(__xludf.DUMMYFUNCTION("""COMPUTED_VALUE"""),41.15)</f>
        <v>41.15</v>
      </c>
      <c r="L24" s="119">
        <f ca="1">IFERROR(__xludf.DUMMYFUNCTION("""COMPUTED_VALUE"""),170.2)</f>
        <v>170.2</v>
      </c>
      <c r="M24" s="119">
        <f ca="1">IFERROR(__xludf.DUMMYFUNCTION("""COMPUTED_VALUE"""),38618.562)</f>
        <v>38618.561999999998</v>
      </c>
      <c r="N24" s="119">
        <f ca="1">IFERROR(__xludf.DUMMYFUNCTION("""COMPUTED_VALUE"""),390.03)</f>
        <v>390.03</v>
      </c>
      <c r="O24" s="119">
        <f ca="1">IFERROR(__xludf.DUMMYFUNCTION("""COMPUTED_VALUE"""),294.59)</f>
        <v>294.58999999999997</v>
      </c>
      <c r="P24" s="119">
        <f ca="1">IFERROR(__xludf.DUMMYFUNCTION("""COMPUTED_VALUE"""),25.44)</f>
        <v>25.44</v>
      </c>
      <c r="Q24" s="119">
        <f ca="1">IFERROR(__xludf.DUMMYFUNCTION("""COMPUTED_VALUE"""),24.46)</f>
        <v>24.46</v>
      </c>
      <c r="R24" s="119">
        <f ca="1">IFERROR(__xludf.DUMMYFUNCTION("""COMPUTED_VALUE"""),70.91)</f>
        <v>70.91</v>
      </c>
      <c r="S24" s="119">
        <f ca="1">IFERROR(__xludf.DUMMYFUNCTION("""COMPUTED_VALUE"""),26.59)</f>
        <v>26.59</v>
      </c>
      <c r="T24" s="119">
        <f ca="1">IFERROR(__xludf.DUMMYFUNCTION("""COMPUTED_VALUE"""),34.56)</f>
        <v>34.56</v>
      </c>
      <c r="U24" s="119">
        <f ca="1">IFERROR(__xludf.DUMMYFUNCTION("""COMPUTED_VALUE"""),43.51)</f>
        <v>43.51</v>
      </c>
      <c r="V24" s="119">
        <f ca="1">IFERROR(__xludf.DUMMYFUNCTION("""COMPUTED_VALUE"""),14.43)</f>
        <v>14.43</v>
      </c>
      <c r="W24" s="119">
        <f ca="1">IFERROR(__xludf.DUMMYFUNCTION("""COMPUTED_VALUE"""),245.03)</f>
        <v>245.03</v>
      </c>
      <c r="X24" s="119">
        <f ca="1">IFERROR(__xludf.DUMMYFUNCTION("""COMPUTED_VALUE"""),2653.47)</f>
        <v>2653.47</v>
      </c>
      <c r="Y24" s="119">
        <f ca="1">IFERROR(__xludf.DUMMYFUNCTION("""COMPUTED_VALUE"""),61.35)</f>
        <v>61.35</v>
      </c>
      <c r="Z24" s="119">
        <f ca="1">IFERROR(__xludf.DUMMYFUNCTION("""COMPUTED_VALUE"""),61.75)</f>
        <v>61.75</v>
      </c>
      <c r="AA24" s="119">
        <f ca="1">IFERROR(__xludf.DUMMYFUNCTION("""COMPUTED_VALUE"""),108.38)</f>
        <v>108.38</v>
      </c>
      <c r="AB24" s="119">
        <f ca="1">IFERROR(__xludf.DUMMYFUNCTION("""COMPUTED_VALUE"""),4.65)</f>
        <v>4.6500000000000004</v>
      </c>
      <c r="AC24" s="119">
        <f ca="1">IFERROR(__xludf.DUMMYFUNCTION("""COMPUTED_VALUE"""),67.11)</f>
        <v>67.11</v>
      </c>
      <c r="AD24" s="119">
        <f ca="1">IFERROR(__xludf.DUMMYFUNCTION("""COMPUTED_VALUE"""),12)</f>
        <v>12</v>
      </c>
      <c r="AE24" s="119">
        <f ca="1">IFERROR(__xludf.DUMMYFUNCTION("""COMPUTED_VALUE"""),5.74)</f>
        <v>5.74</v>
      </c>
      <c r="AF24" s="119">
        <f ca="1">IFERROR(__xludf.DUMMYFUNCTION("""COMPUTED_VALUE"""),45.5)</f>
        <v>45.5</v>
      </c>
      <c r="AG24" s="119">
        <f ca="1">IFERROR(__xludf.DUMMYFUNCTION("""COMPUTED_VALUE"""),17.32)</f>
        <v>17.32</v>
      </c>
      <c r="AH24" s="119">
        <f ca="1">IFERROR(__xludf.DUMMYFUNCTION("""COMPUTED_VALUE"""),2.1)</f>
        <v>2.1</v>
      </c>
      <c r="AI24" s="119">
        <f ca="1">IFERROR(__xludf.DUMMYFUNCTION("""COMPUTED_VALUE"""),3.36)</f>
        <v>3.36</v>
      </c>
      <c r="AJ24" s="119">
        <f ca="1">IFERROR(__xludf.DUMMYFUNCTION("""COMPUTED_VALUE"""),117.3)</f>
        <v>117.3</v>
      </c>
      <c r="AK24" s="119">
        <f ca="1">IFERROR(__xludf.DUMMYFUNCTION("""COMPUTED_VALUE"""),237.48)</f>
        <v>237.48</v>
      </c>
      <c r="AL24" s="119">
        <f ca="1">IFERROR(__xludf.DUMMYFUNCTION("""COMPUTED_VALUE"""),14.96)</f>
        <v>14.96</v>
      </c>
      <c r="AM24" s="119">
        <f ca="1">IFERROR(__xludf.DUMMYFUNCTION("""COMPUTED_VALUE"""),43.6)</f>
        <v>43.6</v>
      </c>
      <c r="AN24" s="119">
        <f ca="1">IFERROR(__xludf.DUMMYFUNCTION("""COMPUTED_VALUE"""),308.28)</f>
        <v>308.27999999999997</v>
      </c>
      <c r="AO24" s="119">
        <f ca="1">IFERROR(__xludf.DUMMYFUNCTION("""COMPUTED_VALUE"""),101.99)</f>
        <v>101.99</v>
      </c>
      <c r="AP24" s="119">
        <f ca="1">IFERROR(__xludf.DUMMYFUNCTION("""COMPUTED_VALUE"""),81.01)</f>
        <v>81.010000000000005</v>
      </c>
      <c r="AQ24" s="119">
        <f ca="1">IFERROR(__xludf.DUMMYFUNCTION("""COMPUTED_VALUE"""),55.58)</f>
        <v>55.58</v>
      </c>
      <c r="AR24" s="118">
        <f ca="1">IFERROR(__xludf.DUMMYFUNCTION("""COMPUTED_VALUE"""),104.6535)</f>
        <v>104.65349999999999</v>
      </c>
      <c r="AS24" s="119">
        <f ca="1">IFERROR(__xludf.DUMMYFUNCTION("""COMPUTED_VALUE"""),17.44)</f>
        <v>17.440000000000001</v>
      </c>
      <c r="AT24" s="119">
        <f ca="1">IFERROR(__xludf.DUMMYFUNCTION("""COMPUTED_VALUE"""),104.9)</f>
        <v>104.9</v>
      </c>
      <c r="AU24" s="119">
        <f ca="1">IFERROR(__xludf.DUMMYFUNCTION("""COMPUTED_VALUE"""),62.35)</f>
        <v>62.35</v>
      </c>
      <c r="AV24" s="119">
        <f ca="1">IFERROR(__xludf.DUMMYFUNCTION("""COMPUTED_VALUE"""),149.4)</f>
        <v>149.4</v>
      </c>
      <c r="AW24" s="119">
        <f ca="1">IFERROR(__xludf.DUMMYFUNCTION("""COMPUTED_VALUE"""),133.42)</f>
        <v>133.41999999999999</v>
      </c>
      <c r="AX24" s="119">
        <f ca="1">IFERROR(__xludf.DUMMYFUNCTION("""COMPUTED_VALUE"""),28.6)</f>
        <v>28.6</v>
      </c>
      <c r="AY24" s="119">
        <f ca="1">IFERROR(__xludf.DUMMYFUNCTION("""COMPUTED_VALUE"""),50.1)</f>
        <v>50.1</v>
      </c>
      <c r="AZ24" s="119">
        <f ca="1">IFERROR(__xludf.DUMMYFUNCTION("""COMPUTED_VALUE"""),0)</f>
        <v>0</v>
      </c>
      <c r="BA24" s="119">
        <f ca="1">IFERROR(__xludf.DUMMYFUNCTION("""COMPUTED_VALUE"""),0)</f>
        <v>0</v>
      </c>
      <c r="BB24" s="119">
        <f ca="1">IFERROR(__xludf.DUMMYFUNCTION("""COMPUTED_VALUE"""),15.16)</f>
        <v>15.16</v>
      </c>
      <c r="BC24" s="119">
        <f ca="1">IFERROR(__xludf.DUMMYFUNCTION("""COMPUTED_VALUE"""),36.49)</f>
        <v>36.49</v>
      </c>
      <c r="BD24" s="119">
        <f ca="1">IFERROR(__xludf.DUMMYFUNCTION("""COMPUTED_VALUE"""),204.8)</f>
        <v>204.8</v>
      </c>
      <c r="BE24" s="119">
        <f ca="1">IFERROR(__xludf.DUMMYFUNCTION("""COMPUTED_VALUE"""),144.4)</f>
        <v>144.4</v>
      </c>
      <c r="BF24" s="119">
        <f ca="1">IFERROR(__xludf.DUMMYFUNCTION("""COMPUTED_VALUE"""),15.98)</f>
        <v>15.98</v>
      </c>
      <c r="BG24" s="119">
        <f ca="1">IFERROR(__xludf.DUMMYFUNCTION("""COMPUTED_VALUE"""),539.94)</f>
        <v>539.94000000000005</v>
      </c>
      <c r="BH24" s="119">
        <f ca="1">IFERROR(__xludf.DUMMYFUNCTION("""COMPUTED_VALUE"""),301.6)</f>
        <v>301.60000000000002</v>
      </c>
      <c r="BI24" s="119">
        <f ca="1">IFERROR(__xludf.DUMMYFUNCTION("""COMPUTED_VALUE"""),219.27)</f>
        <v>219.27</v>
      </c>
      <c r="BJ24" s="119">
        <f ca="1">IFERROR(__xludf.DUMMYFUNCTION("""COMPUTED_VALUE"""),25.28)</f>
        <v>25.28</v>
      </c>
      <c r="BK24" s="119">
        <f ca="1">IFERROR(__xludf.DUMMYFUNCTION("""COMPUTED_VALUE"""),307.8)</f>
        <v>307.8</v>
      </c>
      <c r="BL24" s="119">
        <f ca="1">IFERROR(__xludf.DUMMYFUNCTION("""COMPUTED_VALUE"""),123.66)</f>
        <v>123.66</v>
      </c>
      <c r="BM24" s="119">
        <f ca="1">IFERROR(__xludf.DUMMYFUNCTION("""COMPUTED_VALUE"""),17.15)</f>
        <v>17.149999999999999</v>
      </c>
      <c r="BN24" s="119">
        <f ca="1">IFERROR(__xludf.DUMMYFUNCTION("""COMPUTED_VALUE"""),378.703)</f>
        <v>378.70299999999997</v>
      </c>
      <c r="BO24" s="119">
        <f ca="1">IFERROR(__xludf.DUMMYFUNCTION("""COMPUTED_VALUE"""),731.92)</f>
        <v>731.92</v>
      </c>
      <c r="BP24" s="119">
        <f ca="1">IFERROR(__xludf.DUMMYFUNCTION("""COMPUTED_VALUE"""),63.71)</f>
        <v>63.71</v>
      </c>
      <c r="BQ24" s="119">
        <f ca="1">IFERROR(__xludf.DUMMYFUNCTION("""COMPUTED_VALUE"""),10.33)</f>
        <v>10.33</v>
      </c>
      <c r="BR24" s="119">
        <f ca="1">IFERROR(__xludf.DUMMYFUNCTION("""COMPUTED_VALUE"""),39.94)</f>
        <v>39.94</v>
      </c>
      <c r="BS24" s="119">
        <f ca="1">IFERROR(__xludf.DUMMYFUNCTION("""COMPUTED_VALUE"""),0.94)</f>
        <v>0.94</v>
      </c>
      <c r="BT24" s="119">
        <f ca="1">IFERROR(__xludf.DUMMYFUNCTION("""COMPUTED_VALUE"""),49.3)</f>
        <v>49.3</v>
      </c>
      <c r="BU24" s="119">
        <f ca="1">IFERROR(__xludf.DUMMYFUNCTION("""COMPUTED_VALUE"""),38.05)</f>
        <v>38.049999999999997</v>
      </c>
      <c r="BV24" s="119">
        <f ca="1">IFERROR(__xludf.DUMMYFUNCTION("""COMPUTED_VALUE"""),54)</f>
        <v>54</v>
      </c>
      <c r="BW24" s="119">
        <f ca="1">IFERROR(__xludf.DUMMYFUNCTION("""COMPUTED_VALUE"""),7.94)</f>
        <v>7.94</v>
      </c>
      <c r="BX24" s="119">
        <f ca="1">IFERROR(__xludf.DUMMYFUNCTION("""COMPUTED_VALUE"""),7.06)</f>
        <v>7.06</v>
      </c>
      <c r="BY24" s="119">
        <f ca="1">IFERROR(__xludf.DUMMYFUNCTION("""COMPUTED_VALUE"""),0.3)</f>
        <v>0.3</v>
      </c>
      <c r="BZ24" s="119">
        <f ca="1">IFERROR(__xludf.DUMMYFUNCTION("""COMPUTED_VALUE"""),13)</f>
        <v>13</v>
      </c>
      <c r="CA24" s="119">
        <f ca="1">IFERROR(__xludf.DUMMYFUNCTION("""COMPUTED_VALUE"""),3.98)</f>
        <v>3.98</v>
      </c>
      <c r="CB24" s="119">
        <f ca="1">IFERROR(__xludf.DUMMYFUNCTION("""COMPUTED_VALUE"""),6.42)</f>
        <v>6.42</v>
      </c>
      <c r="CC24" s="119">
        <f ca="1">IFERROR(__xludf.DUMMYFUNCTION("""COMPUTED_VALUE"""),23.78)</f>
        <v>23.78</v>
      </c>
      <c r="CD24" s="119">
        <f ca="1">IFERROR(__xludf.DUMMYFUNCTION("""COMPUTED_VALUE"""),16.71)</f>
        <v>16.71</v>
      </c>
      <c r="CE24" s="119">
        <f ca="1">IFERROR(__xludf.DUMMYFUNCTION("""COMPUTED_VALUE"""),38.31)</f>
        <v>38.31</v>
      </c>
      <c r="CF24" s="119">
        <f ca="1">IFERROR(__xludf.DUMMYFUNCTION("""COMPUTED_VALUE"""),94.57)</f>
        <v>94.57</v>
      </c>
      <c r="CG24" s="119">
        <f ca="1">IFERROR(__xludf.DUMMYFUNCTION("""COMPUTED_VALUE"""),5.45)</f>
        <v>5.45</v>
      </c>
      <c r="CH24" s="119">
        <f ca="1">IFERROR(__xludf.DUMMYFUNCTION("""COMPUTED_VALUE"""),22.54)</f>
        <v>22.54</v>
      </c>
      <c r="CI24" s="117"/>
      <c r="CJ24" s="117"/>
      <c r="CK24" s="117"/>
      <c r="CL24" s="117"/>
      <c r="CM24" s="117"/>
      <c r="CN24" s="117"/>
      <c r="CO24" s="117"/>
      <c r="CP24" s="117"/>
      <c r="CQ24" s="117"/>
      <c r="CR24" s="117"/>
      <c r="CS24" s="117"/>
      <c r="CT24" s="117"/>
      <c r="CU24" s="117"/>
      <c r="CV24" s="117"/>
      <c r="CW24" s="117"/>
      <c r="CX24" s="117"/>
      <c r="CY24" s="117"/>
      <c r="CZ24" s="117"/>
      <c r="DA24" s="117"/>
      <c r="DB24" s="117"/>
      <c r="DC24" s="117"/>
      <c r="DD24" s="117"/>
      <c r="DE24" s="117"/>
      <c r="DF24" s="117"/>
      <c r="DG24" s="117"/>
      <c r="DH24" s="117"/>
      <c r="DI24" s="117"/>
      <c r="DJ24" s="117"/>
      <c r="DK24" s="117"/>
      <c r="DL24" s="117"/>
      <c r="DM24" s="117"/>
      <c r="DN24" s="117"/>
      <c r="DO24" s="117"/>
      <c r="DP24" s="117"/>
      <c r="DQ24" s="117"/>
      <c r="DR24" s="117"/>
      <c r="DS24" s="117"/>
      <c r="DT24" s="117"/>
      <c r="DU24" s="117"/>
      <c r="DV24" s="117"/>
      <c r="DW24" s="117"/>
      <c r="DX24" s="117"/>
      <c r="DY24" s="117"/>
      <c r="DZ24" s="117"/>
      <c r="EA24" s="117"/>
      <c r="EB24" s="117"/>
      <c r="EC24" s="117"/>
      <c r="ED24" s="117"/>
      <c r="EE24" s="117"/>
      <c r="EF24" s="117"/>
      <c r="EG24" s="117"/>
      <c r="EH24" s="117"/>
      <c r="EI24" s="117"/>
      <c r="EJ24" s="117"/>
      <c r="EK24" s="117"/>
      <c r="EL24" s="117"/>
      <c r="EM24" s="117"/>
      <c r="EN24" s="117"/>
      <c r="EO24" s="117"/>
      <c r="EP24" s="117"/>
      <c r="EQ24" s="117"/>
      <c r="ER24" s="117"/>
      <c r="ES24" s="117"/>
      <c r="ET24" s="117"/>
      <c r="EU24" s="117"/>
      <c r="EV24" s="117"/>
      <c r="EW24" s="117"/>
      <c r="EX24" s="117"/>
      <c r="EY24" s="117"/>
      <c r="EZ24" s="117"/>
      <c r="FA24" s="117"/>
      <c r="FB24" s="117"/>
      <c r="FC24" s="117"/>
      <c r="FD24" s="117"/>
      <c r="FE24" s="117"/>
      <c r="FF24" s="117"/>
      <c r="FG24" s="117"/>
      <c r="FH24" s="117"/>
      <c r="FI24" s="117"/>
      <c r="FJ24" s="117"/>
      <c r="FK24" s="117"/>
      <c r="FL24" s="117"/>
      <c r="FM24" s="117"/>
      <c r="FN24" s="117"/>
      <c r="FO24" s="117"/>
    </row>
    <row r="25" spans="1:171" ht="15.75" customHeight="1" x14ac:dyDescent="0.15">
      <c r="A25" s="115">
        <f ca="1">IFERROR(__xludf.DUMMYFUNCTION("""COMPUTED_VALUE"""),44617)</f>
        <v>44617</v>
      </c>
      <c r="B25" s="119">
        <f ca="1">IFERROR(__xludf.DUMMYFUNCTION("""COMPUTED_VALUE"""),3075.77)</f>
        <v>3075.77</v>
      </c>
      <c r="C25" s="119">
        <f ca="1">IFERROR(__xludf.DUMMYFUNCTION("""COMPUTED_VALUE"""),210.48)</f>
        <v>210.48</v>
      </c>
      <c r="D25" s="119">
        <f ca="1">IFERROR(__xludf.DUMMYFUNCTION("""COMPUTED_VALUE"""),809.87)</f>
        <v>809.87</v>
      </c>
      <c r="E25" s="119">
        <f ca="1">IFERROR(__xludf.DUMMYFUNCTION("""COMPUTED_VALUE"""),424)</f>
        <v>424</v>
      </c>
      <c r="F25" s="119">
        <f ca="1">IFERROR(__xludf.DUMMYFUNCTION("""COMPUTED_VALUE"""),9.8)</f>
        <v>9.8000000000000007</v>
      </c>
      <c r="G25" s="119">
        <f ca="1">IFERROR(__xludf.DUMMYFUNCTION("""COMPUTED_VALUE"""),164.85)</f>
        <v>164.85</v>
      </c>
      <c r="H25" s="119">
        <f ca="1">IFERROR(__xludf.DUMMYFUNCTION("""COMPUTED_VALUE"""),9.54)</f>
        <v>9.5399999999999991</v>
      </c>
      <c r="I25" s="119">
        <f ca="1">IFERROR(__xludf.DUMMYFUNCTION("""COMPUTED_VALUE"""),9.25)</f>
        <v>9.25</v>
      </c>
      <c r="J25" s="119">
        <f ca="1">IFERROR(__xludf.DUMMYFUNCTION("""COMPUTED_VALUE"""),1.53)</f>
        <v>1.53</v>
      </c>
      <c r="K25" s="119">
        <f ca="1">IFERROR(__xludf.DUMMYFUNCTION("""COMPUTED_VALUE"""),42.55)</f>
        <v>42.55</v>
      </c>
      <c r="L25" s="119">
        <f ca="1">IFERROR(__xludf.DUMMYFUNCTION("""COMPUTED_VALUE"""),170.2)</f>
        <v>170.2</v>
      </c>
      <c r="M25" s="119">
        <f ca="1">IFERROR(__xludf.DUMMYFUNCTION("""COMPUTED_VALUE"""),39756.33)</f>
        <v>39756.33</v>
      </c>
      <c r="N25" s="119">
        <f ca="1">IFERROR(__xludf.DUMMYFUNCTION("""COMPUTED_VALUE"""),390.8)</f>
        <v>390.8</v>
      </c>
      <c r="O25" s="119">
        <f ca="1">IFERROR(__xludf.DUMMYFUNCTION("""COMPUTED_VALUE"""),297.31)</f>
        <v>297.31</v>
      </c>
      <c r="P25" s="119">
        <f ca="1">IFERROR(__xludf.DUMMYFUNCTION("""COMPUTED_VALUE"""),26.38)</f>
        <v>26.38</v>
      </c>
      <c r="Q25" s="119">
        <f ca="1">IFERROR(__xludf.DUMMYFUNCTION("""COMPUTED_VALUE"""),24.5)</f>
        <v>24.5</v>
      </c>
      <c r="R25" s="119">
        <f ca="1">IFERROR(__xludf.DUMMYFUNCTION("""COMPUTED_VALUE"""),72.5)</f>
        <v>72.5</v>
      </c>
      <c r="S25" s="119">
        <f ca="1">IFERROR(__xludf.DUMMYFUNCTION("""COMPUTED_VALUE"""),27.175)</f>
        <v>27.175000000000001</v>
      </c>
      <c r="T25" s="119">
        <f ca="1">IFERROR(__xludf.DUMMYFUNCTION("""COMPUTED_VALUE"""),35.03)</f>
        <v>35.03</v>
      </c>
      <c r="U25" s="119">
        <f ca="1">IFERROR(__xludf.DUMMYFUNCTION("""COMPUTED_VALUE"""),45.12)</f>
        <v>45.12</v>
      </c>
      <c r="V25" s="119">
        <f ca="1">IFERROR(__xludf.DUMMYFUNCTION("""COMPUTED_VALUE"""),14.91)</f>
        <v>14.91</v>
      </c>
      <c r="W25" s="119">
        <f ca="1">IFERROR(__xludf.DUMMYFUNCTION("""COMPUTED_VALUE"""),249.45)</f>
        <v>249.45</v>
      </c>
      <c r="X25" s="119">
        <f ca="1">IFERROR(__xludf.DUMMYFUNCTION("""COMPUTED_VALUE"""),2690.39)</f>
        <v>2690.39</v>
      </c>
      <c r="Y25" s="119">
        <f ca="1">IFERROR(__xludf.DUMMYFUNCTION("""COMPUTED_VALUE"""),60.6)</f>
        <v>60.6</v>
      </c>
      <c r="Z25" s="119">
        <f ca="1">IFERROR(__xludf.DUMMYFUNCTION("""COMPUTED_VALUE"""),64.2)</f>
        <v>64.2</v>
      </c>
      <c r="AA25" s="119">
        <f ca="1">IFERROR(__xludf.DUMMYFUNCTION("""COMPUTED_VALUE"""),109.27)</f>
        <v>109.27</v>
      </c>
      <c r="AB25" s="119">
        <f ca="1">IFERROR(__xludf.DUMMYFUNCTION("""COMPUTED_VALUE"""),4.58)</f>
        <v>4.58</v>
      </c>
      <c r="AC25" s="119">
        <f ca="1">IFERROR(__xludf.DUMMYFUNCTION("""COMPUTED_VALUE"""),68.88)</f>
        <v>68.88</v>
      </c>
      <c r="AD25" s="119">
        <f ca="1">IFERROR(__xludf.DUMMYFUNCTION("""COMPUTED_VALUE"""),12.2)</f>
        <v>12.2</v>
      </c>
      <c r="AE25" s="119">
        <f ca="1">IFERROR(__xludf.DUMMYFUNCTION("""COMPUTED_VALUE"""),5.72)</f>
        <v>5.72</v>
      </c>
      <c r="AF25" s="119">
        <f ca="1">IFERROR(__xludf.DUMMYFUNCTION("""COMPUTED_VALUE"""),46.54)</f>
        <v>46.54</v>
      </c>
      <c r="AG25" s="119">
        <f ca="1">IFERROR(__xludf.DUMMYFUNCTION("""COMPUTED_VALUE"""),17.56)</f>
        <v>17.559999999999999</v>
      </c>
      <c r="AH25" s="119">
        <f ca="1">IFERROR(__xludf.DUMMYFUNCTION("""COMPUTED_VALUE"""),2.09)</f>
        <v>2.09</v>
      </c>
      <c r="AI25" s="119">
        <f ca="1">IFERROR(__xludf.DUMMYFUNCTION("""COMPUTED_VALUE"""),3.43)</f>
        <v>3.43</v>
      </c>
      <c r="AJ25" s="119">
        <f ca="1">IFERROR(__xludf.DUMMYFUNCTION("""COMPUTED_VALUE"""),119.7)</f>
        <v>119.7</v>
      </c>
      <c r="AK25" s="119">
        <f ca="1">IFERROR(__xludf.DUMMYFUNCTION("""COMPUTED_VALUE"""),241.57)</f>
        <v>241.57</v>
      </c>
      <c r="AL25" s="119">
        <f ca="1">IFERROR(__xludf.DUMMYFUNCTION("""COMPUTED_VALUE"""),14.74)</f>
        <v>14.74</v>
      </c>
      <c r="AM25" s="119">
        <f ca="1">IFERROR(__xludf.DUMMYFUNCTION("""COMPUTED_VALUE"""),45.02)</f>
        <v>45.02</v>
      </c>
      <c r="AN25" s="119">
        <f ca="1">IFERROR(__xludf.DUMMYFUNCTION("""COMPUTED_VALUE"""),319.24)</f>
        <v>319.24</v>
      </c>
      <c r="AO25" s="119">
        <f ca="1">IFERROR(__xludf.DUMMYFUNCTION("""COMPUTED_VALUE"""),104.09)</f>
        <v>104.09</v>
      </c>
      <c r="AP25" s="119">
        <f ca="1">IFERROR(__xludf.DUMMYFUNCTION("""COMPUTED_VALUE"""),81.44)</f>
        <v>81.44</v>
      </c>
      <c r="AQ25" s="119">
        <f ca="1">IFERROR(__xludf.DUMMYFUNCTION("""COMPUTED_VALUE"""),54.49)</f>
        <v>54.49</v>
      </c>
      <c r="AR25" s="118">
        <f ca="1">IFERROR(__xludf.DUMMYFUNCTION("""COMPUTED_VALUE"""),104.652999999999)</f>
        <v>104.652999999999</v>
      </c>
      <c r="AS25" s="119">
        <f ca="1">IFERROR(__xludf.DUMMYFUNCTION("""COMPUTED_VALUE"""),16.37)</f>
        <v>16.37</v>
      </c>
      <c r="AT25" s="119">
        <f ca="1">IFERROR(__xludf.DUMMYFUNCTION("""COMPUTED_VALUE"""),105.3)</f>
        <v>105.3</v>
      </c>
      <c r="AU25" s="119">
        <f ca="1">IFERROR(__xludf.DUMMYFUNCTION("""COMPUTED_VALUE"""),62.19)</f>
        <v>62.19</v>
      </c>
      <c r="AV25" s="119">
        <f ca="1">IFERROR(__xludf.DUMMYFUNCTION("""COMPUTED_VALUE"""),149.53)</f>
        <v>149.53</v>
      </c>
      <c r="AW25" s="119">
        <f ca="1">IFERROR(__xludf.DUMMYFUNCTION("""COMPUTED_VALUE"""),135.72)</f>
        <v>135.72</v>
      </c>
      <c r="AX25" s="119">
        <f ca="1">IFERROR(__xludf.DUMMYFUNCTION("""COMPUTED_VALUE"""),28.95)</f>
        <v>28.95</v>
      </c>
      <c r="AY25" s="119">
        <f ca="1">IFERROR(__xludf.DUMMYFUNCTION("""COMPUTED_VALUE"""),50.05)</f>
        <v>50.05</v>
      </c>
      <c r="AZ25" s="119">
        <f ca="1">IFERROR(__xludf.DUMMYFUNCTION("""COMPUTED_VALUE"""),0)</f>
        <v>0</v>
      </c>
      <c r="BA25" s="119">
        <f ca="1">IFERROR(__xludf.DUMMYFUNCTION("""COMPUTED_VALUE"""),0)</f>
        <v>0</v>
      </c>
      <c r="BB25" s="119">
        <f ca="1">IFERROR(__xludf.DUMMYFUNCTION("""COMPUTED_VALUE"""),15.16)</f>
        <v>15.16</v>
      </c>
      <c r="BC25" s="119">
        <f ca="1">IFERROR(__xludf.DUMMYFUNCTION("""COMPUTED_VALUE"""),54.9)</f>
        <v>54.9</v>
      </c>
      <c r="BD25" s="119">
        <f ca="1">IFERROR(__xludf.DUMMYFUNCTION("""COMPUTED_VALUE"""),208)</f>
        <v>208</v>
      </c>
      <c r="BE25" s="119">
        <f ca="1">IFERROR(__xludf.DUMMYFUNCTION("""COMPUTED_VALUE"""),146.3)</f>
        <v>146.30000000000001</v>
      </c>
      <c r="BF25" s="119">
        <f ca="1">IFERROR(__xludf.DUMMYFUNCTION("""COMPUTED_VALUE"""),16.36)</f>
        <v>16.36</v>
      </c>
      <c r="BG25" s="119">
        <f ca="1">IFERROR(__xludf.DUMMYFUNCTION("""COMPUTED_VALUE"""),569.75)</f>
        <v>569.75</v>
      </c>
      <c r="BH25" s="119">
        <f ca="1">IFERROR(__xludf.DUMMYFUNCTION("""COMPUTED_VALUE"""),305.03)</f>
        <v>305.02999999999997</v>
      </c>
      <c r="BI25" s="119">
        <f ca="1">IFERROR(__xludf.DUMMYFUNCTION("""COMPUTED_VALUE"""),227.03)</f>
        <v>227.03</v>
      </c>
      <c r="BJ25" s="119">
        <f ca="1">IFERROR(__xludf.DUMMYFUNCTION("""COMPUTED_VALUE"""),26.35)</f>
        <v>26.35</v>
      </c>
      <c r="BK25" s="119">
        <f ca="1">IFERROR(__xludf.DUMMYFUNCTION("""COMPUTED_VALUE"""),311.15)</f>
        <v>311.14999999999998</v>
      </c>
      <c r="BL25" s="119">
        <f ca="1">IFERROR(__xludf.DUMMYFUNCTION("""COMPUTED_VALUE"""),125.46)</f>
        <v>125.46</v>
      </c>
      <c r="BM25" s="119">
        <f ca="1">IFERROR(__xludf.DUMMYFUNCTION("""COMPUTED_VALUE"""),17.83)</f>
        <v>17.829999999999998</v>
      </c>
      <c r="BN25" s="119">
        <f ca="1">IFERROR(__xludf.DUMMYFUNCTION("""COMPUTED_VALUE"""),388.46)</f>
        <v>388.46</v>
      </c>
      <c r="BO25" s="119">
        <f ca="1">IFERROR(__xludf.DUMMYFUNCTION("""COMPUTED_VALUE"""),755)</f>
        <v>755</v>
      </c>
      <c r="BP25" s="119">
        <f ca="1">IFERROR(__xludf.DUMMYFUNCTION("""COMPUTED_VALUE"""),63.43)</f>
        <v>63.43</v>
      </c>
      <c r="BQ25" s="119">
        <f ca="1">IFERROR(__xludf.DUMMYFUNCTION("""COMPUTED_VALUE"""),10.67)</f>
        <v>10.67</v>
      </c>
      <c r="BR25" s="119">
        <f ca="1">IFERROR(__xludf.DUMMYFUNCTION("""COMPUTED_VALUE"""),41.78)</f>
        <v>41.78</v>
      </c>
      <c r="BS25" s="119">
        <f ca="1">IFERROR(__xludf.DUMMYFUNCTION("""COMPUTED_VALUE"""),0.93)</f>
        <v>0.93</v>
      </c>
      <c r="BT25" s="119">
        <f ca="1">IFERROR(__xludf.DUMMYFUNCTION("""COMPUTED_VALUE"""),49.29)</f>
        <v>49.29</v>
      </c>
      <c r="BU25" s="119">
        <f ca="1">IFERROR(__xludf.DUMMYFUNCTION("""COMPUTED_VALUE"""),36.8)</f>
        <v>36.799999999999997</v>
      </c>
      <c r="BV25" s="119">
        <f ca="1">IFERROR(__xludf.DUMMYFUNCTION("""COMPUTED_VALUE"""),53.15)</f>
        <v>53.15</v>
      </c>
      <c r="BW25" s="119">
        <f ca="1">IFERROR(__xludf.DUMMYFUNCTION("""COMPUTED_VALUE"""),7.78)</f>
        <v>7.78</v>
      </c>
      <c r="BX25" s="119">
        <f ca="1">IFERROR(__xludf.DUMMYFUNCTION("""COMPUTED_VALUE"""),7.16)</f>
        <v>7.16</v>
      </c>
      <c r="BY25" s="119">
        <f ca="1">IFERROR(__xludf.DUMMYFUNCTION("""COMPUTED_VALUE"""),0.12)</f>
        <v>0.12</v>
      </c>
      <c r="BZ25" s="119">
        <f ca="1">IFERROR(__xludf.DUMMYFUNCTION("""COMPUTED_VALUE"""),12.7)</f>
        <v>12.7</v>
      </c>
      <c r="CA25" s="119">
        <f ca="1">IFERROR(__xludf.DUMMYFUNCTION("""COMPUTED_VALUE"""),4.23)</f>
        <v>4.2300000000000004</v>
      </c>
      <c r="CB25" s="119">
        <f ca="1">IFERROR(__xludf.DUMMYFUNCTION("""COMPUTED_VALUE"""),6.23)</f>
        <v>6.23</v>
      </c>
      <c r="CC25" s="119">
        <f ca="1">IFERROR(__xludf.DUMMYFUNCTION("""COMPUTED_VALUE"""),22.63)</f>
        <v>22.63</v>
      </c>
      <c r="CD25" s="119">
        <f ca="1">IFERROR(__xludf.DUMMYFUNCTION("""COMPUTED_VALUE"""),16.49)</f>
        <v>16.489999999999998</v>
      </c>
      <c r="CE25" s="119">
        <f ca="1">IFERROR(__xludf.DUMMYFUNCTION("""COMPUTED_VALUE"""),36.82)</f>
        <v>36.82</v>
      </c>
      <c r="CF25" s="119">
        <f ca="1">IFERROR(__xludf.DUMMYFUNCTION("""COMPUTED_VALUE"""),91.94)</f>
        <v>91.94</v>
      </c>
      <c r="CG25" s="119">
        <f ca="1">IFERROR(__xludf.DUMMYFUNCTION("""COMPUTED_VALUE"""),6.01)</f>
        <v>6.01</v>
      </c>
      <c r="CH25" s="119">
        <f ca="1">IFERROR(__xludf.DUMMYFUNCTION("""COMPUTED_VALUE"""),22.56)</f>
        <v>22.56</v>
      </c>
      <c r="CI25" s="119">
        <f ca="1">IFERROR(__xludf.DUMMYFUNCTION("""COMPUTED_VALUE"""),48)</f>
        <v>48</v>
      </c>
      <c r="CJ25" s="119">
        <f ca="1">IFERROR(__xludf.DUMMYFUNCTION("""COMPUTED_VALUE"""),17.9)</f>
        <v>17.899999999999999</v>
      </c>
      <c r="CK25" s="119">
        <f ca="1">IFERROR(__xludf.DUMMYFUNCTION("""COMPUTED_VALUE"""),12.95)</f>
        <v>12.95</v>
      </c>
      <c r="CL25" s="119">
        <f ca="1">IFERROR(__xludf.DUMMYFUNCTION("""COMPUTED_VALUE"""),2689.19)</f>
        <v>2689.19</v>
      </c>
      <c r="CM25" s="119">
        <f ca="1">IFERROR(__xludf.DUMMYFUNCTION("""COMPUTED_VALUE"""),0.6)</f>
        <v>0.6</v>
      </c>
      <c r="CN25" s="117"/>
      <c r="CO25" s="117"/>
      <c r="CP25" s="117"/>
      <c r="CQ25" s="117"/>
      <c r="CR25" s="117"/>
      <c r="CS25" s="117"/>
      <c r="CT25" s="117"/>
      <c r="CU25" s="117"/>
      <c r="CV25" s="117"/>
      <c r="CW25" s="117"/>
      <c r="CX25" s="117"/>
      <c r="CY25" s="117"/>
      <c r="CZ25" s="117"/>
      <c r="DA25" s="117"/>
      <c r="DB25" s="117"/>
      <c r="DC25" s="117"/>
      <c r="DD25" s="117"/>
      <c r="DE25" s="117"/>
      <c r="DF25" s="117"/>
      <c r="DG25" s="117"/>
      <c r="DH25" s="117"/>
      <c r="DI25" s="117"/>
      <c r="DJ25" s="117"/>
      <c r="DK25" s="117"/>
      <c r="DL25" s="117"/>
      <c r="DM25" s="117"/>
      <c r="DN25" s="117"/>
      <c r="DO25" s="117"/>
      <c r="DP25" s="117"/>
      <c r="DQ25" s="117"/>
      <c r="DR25" s="117"/>
      <c r="DS25" s="117"/>
      <c r="DT25" s="117"/>
      <c r="DU25" s="117"/>
      <c r="DV25" s="117"/>
      <c r="DW25" s="117"/>
      <c r="DX25" s="117"/>
      <c r="DY25" s="117"/>
      <c r="DZ25" s="117"/>
      <c r="EA25" s="117"/>
      <c r="EB25" s="117"/>
      <c r="EC25" s="117"/>
      <c r="ED25" s="117"/>
      <c r="EE25" s="117"/>
      <c r="EF25" s="117"/>
      <c r="EG25" s="117"/>
      <c r="EH25" s="117"/>
      <c r="EI25" s="117"/>
      <c r="EJ25" s="117"/>
      <c r="EK25" s="117"/>
      <c r="EL25" s="117"/>
      <c r="EM25" s="117"/>
      <c r="EN25" s="117"/>
      <c r="EO25" s="117"/>
      <c r="EP25" s="117"/>
      <c r="EQ25" s="117"/>
      <c r="ER25" s="117"/>
      <c r="ES25" s="117"/>
      <c r="ET25" s="117"/>
      <c r="EU25" s="117"/>
      <c r="EV25" s="117"/>
      <c r="EW25" s="117"/>
      <c r="EX25" s="117"/>
      <c r="EY25" s="117"/>
      <c r="EZ25" s="117"/>
      <c r="FA25" s="117"/>
      <c r="FB25" s="117"/>
      <c r="FC25" s="117"/>
      <c r="FD25" s="117"/>
      <c r="FE25" s="117"/>
      <c r="FF25" s="117"/>
      <c r="FG25" s="117"/>
      <c r="FH25" s="117"/>
      <c r="FI25" s="117"/>
      <c r="FJ25" s="117"/>
      <c r="FK25" s="117"/>
      <c r="FL25" s="117"/>
      <c r="FM25" s="117"/>
      <c r="FN25" s="117"/>
      <c r="FO25" s="117"/>
    </row>
    <row r="26" spans="1:171" ht="15.75" customHeight="1" x14ac:dyDescent="0.15">
      <c r="A26" s="115">
        <f ca="1">IFERROR(__xludf.DUMMYFUNCTION("""COMPUTED_VALUE"""),44618)</f>
        <v>44618</v>
      </c>
      <c r="B26" s="119">
        <f ca="1">IFERROR(__xludf.DUMMYFUNCTION("""COMPUTED_VALUE"""),3075.77)</f>
        <v>3075.77</v>
      </c>
      <c r="C26" s="119">
        <f ca="1">IFERROR(__xludf.DUMMYFUNCTION("""COMPUTED_VALUE"""),210.48)</f>
        <v>210.48</v>
      </c>
      <c r="D26" s="119">
        <f ca="1">IFERROR(__xludf.DUMMYFUNCTION("""COMPUTED_VALUE"""),809.87)</f>
        <v>809.87</v>
      </c>
      <c r="E26" s="119">
        <f ca="1">IFERROR(__xludf.DUMMYFUNCTION("""COMPUTED_VALUE"""),424)</f>
        <v>424</v>
      </c>
      <c r="F26" s="119">
        <f ca="1">IFERROR(__xludf.DUMMYFUNCTION("""COMPUTED_VALUE"""),9.8)</f>
        <v>9.8000000000000007</v>
      </c>
      <c r="G26" s="119">
        <f ca="1">IFERROR(__xludf.DUMMYFUNCTION("""COMPUTED_VALUE"""),164.85)</f>
        <v>164.85</v>
      </c>
      <c r="H26" s="119">
        <f ca="1">IFERROR(__xludf.DUMMYFUNCTION("""COMPUTED_VALUE"""),9.54)</f>
        <v>9.5399999999999991</v>
      </c>
      <c r="I26" s="119">
        <f ca="1">IFERROR(__xludf.DUMMYFUNCTION("""COMPUTED_VALUE"""),9.25)</f>
        <v>9.25</v>
      </c>
      <c r="J26" s="119">
        <f ca="1">IFERROR(__xludf.DUMMYFUNCTION("""COMPUTED_VALUE"""),1.53)</f>
        <v>1.53</v>
      </c>
      <c r="K26" s="119">
        <f ca="1">IFERROR(__xludf.DUMMYFUNCTION("""COMPUTED_VALUE"""),42.55)</f>
        <v>42.55</v>
      </c>
      <c r="L26" s="119">
        <f ca="1">IFERROR(__xludf.DUMMYFUNCTION("""COMPUTED_VALUE"""),170.2)</f>
        <v>170.2</v>
      </c>
      <c r="M26" s="119">
        <f ca="1">IFERROR(__xludf.DUMMYFUNCTION("""COMPUTED_VALUE"""),39047.734)</f>
        <v>39047.733999999997</v>
      </c>
      <c r="N26" s="119">
        <f ca="1">IFERROR(__xludf.DUMMYFUNCTION("""COMPUTED_VALUE"""),390.8)</f>
        <v>390.8</v>
      </c>
      <c r="O26" s="119">
        <f ca="1">IFERROR(__xludf.DUMMYFUNCTION("""COMPUTED_VALUE"""),297.31)</f>
        <v>297.31</v>
      </c>
      <c r="P26" s="119">
        <f ca="1">IFERROR(__xludf.DUMMYFUNCTION("""COMPUTED_VALUE"""),26.38)</f>
        <v>26.38</v>
      </c>
      <c r="Q26" s="119">
        <f ca="1">IFERROR(__xludf.DUMMYFUNCTION("""COMPUTED_VALUE"""),24.5)</f>
        <v>24.5</v>
      </c>
      <c r="R26" s="119">
        <f ca="1">IFERROR(__xludf.DUMMYFUNCTION("""COMPUTED_VALUE"""),72.5)</f>
        <v>72.5</v>
      </c>
      <c r="S26" s="119">
        <f ca="1">IFERROR(__xludf.DUMMYFUNCTION("""COMPUTED_VALUE"""),27.175)</f>
        <v>27.175000000000001</v>
      </c>
      <c r="T26" s="119">
        <f ca="1">IFERROR(__xludf.DUMMYFUNCTION("""COMPUTED_VALUE"""),35.03)</f>
        <v>35.03</v>
      </c>
      <c r="U26" s="119">
        <f ca="1">IFERROR(__xludf.DUMMYFUNCTION("""COMPUTED_VALUE"""),45.12)</f>
        <v>45.12</v>
      </c>
      <c r="V26" s="119">
        <f ca="1">IFERROR(__xludf.DUMMYFUNCTION("""COMPUTED_VALUE"""),14.91)</f>
        <v>14.91</v>
      </c>
      <c r="W26" s="119">
        <f ca="1">IFERROR(__xludf.DUMMYFUNCTION("""COMPUTED_VALUE"""),249.45)</f>
        <v>249.45</v>
      </c>
      <c r="X26" s="119">
        <f ca="1">IFERROR(__xludf.DUMMYFUNCTION("""COMPUTED_VALUE"""),2690.39)</f>
        <v>2690.39</v>
      </c>
      <c r="Y26" s="119">
        <f ca="1">IFERROR(__xludf.DUMMYFUNCTION("""COMPUTED_VALUE"""),60.6)</f>
        <v>60.6</v>
      </c>
      <c r="Z26" s="119">
        <f ca="1">IFERROR(__xludf.DUMMYFUNCTION("""COMPUTED_VALUE"""),64.2)</f>
        <v>64.2</v>
      </c>
      <c r="AA26" s="119">
        <f ca="1">IFERROR(__xludf.DUMMYFUNCTION("""COMPUTED_VALUE"""),109.27)</f>
        <v>109.27</v>
      </c>
      <c r="AB26" s="119">
        <f ca="1">IFERROR(__xludf.DUMMYFUNCTION("""COMPUTED_VALUE"""),4.58)</f>
        <v>4.58</v>
      </c>
      <c r="AC26" s="119">
        <f ca="1">IFERROR(__xludf.DUMMYFUNCTION("""COMPUTED_VALUE"""),68.88)</f>
        <v>68.88</v>
      </c>
      <c r="AD26" s="119">
        <f ca="1">IFERROR(__xludf.DUMMYFUNCTION("""COMPUTED_VALUE"""),12.2)</f>
        <v>12.2</v>
      </c>
      <c r="AE26" s="119">
        <f ca="1">IFERROR(__xludf.DUMMYFUNCTION("""COMPUTED_VALUE"""),5.72)</f>
        <v>5.72</v>
      </c>
      <c r="AF26" s="119">
        <f ca="1">IFERROR(__xludf.DUMMYFUNCTION("""COMPUTED_VALUE"""),46.54)</f>
        <v>46.54</v>
      </c>
      <c r="AG26" s="119">
        <f ca="1">IFERROR(__xludf.DUMMYFUNCTION("""COMPUTED_VALUE"""),17.56)</f>
        <v>17.559999999999999</v>
      </c>
      <c r="AH26" s="119">
        <f ca="1">IFERROR(__xludf.DUMMYFUNCTION("""COMPUTED_VALUE"""),2.09)</f>
        <v>2.09</v>
      </c>
      <c r="AI26" s="119">
        <f ca="1">IFERROR(__xludf.DUMMYFUNCTION("""COMPUTED_VALUE"""),3.43)</f>
        <v>3.43</v>
      </c>
      <c r="AJ26" s="119">
        <f ca="1">IFERROR(__xludf.DUMMYFUNCTION("""COMPUTED_VALUE"""),119.7)</f>
        <v>119.7</v>
      </c>
      <c r="AK26" s="119">
        <f ca="1">IFERROR(__xludf.DUMMYFUNCTION("""COMPUTED_VALUE"""),241.57)</f>
        <v>241.57</v>
      </c>
      <c r="AL26" s="119">
        <f ca="1">IFERROR(__xludf.DUMMYFUNCTION("""COMPUTED_VALUE"""),14.74)</f>
        <v>14.74</v>
      </c>
      <c r="AM26" s="119">
        <f ca="1">IFERROR(__xludf.DUMMYFUNCTION("""COMPUTED_VALUE"""),45.02)</f>
        <v>45.02</v>
      </c>
      <c r="AN26" s="119">
        <f ca="1">IFERROR(__xludf.DUMMYFUNCTION("""COMPUTED_VALUE"""),319.24)</f>
        <v>319.24</v>
      </c>
      <c r="AO26" s="119">
        <f ca="1">IFERROR(__xludf.DUMMYFUNCTION("""COMPUTED_VALUE"""),104.09)</f>
        <v>104.09</v>
      </c>
      <c r="AP26" s="119">
        <f ca="1">IFERROR(__xludf.DUMMYFUNCTION("""COMPUTED_VALUE"""),81.44)</f>
        <v>81.44</v>
      </c>
      <c r="AQ26" s="119">
        <f ca="1">IFERROR(__xludf.DUMMYFUNCTION("""COMPUTED_VALUE"""),54.49)</f>
        <v>54.49</v>
      </c>
      <c r="AR26" s="118">
        <f ca="1">IFERROR(__xludf.DUMMYFUNCTION("""COMPUTED_VALUE"""),104.652999999999)</f>
        <v>104.652999999999</v>
      </c>
      <c r="AS26" s="119">
        <f ca="1">IFERROR(__xludf.DUMMYFUNCTION("""COMPUTED_VALUE"""),16.37)</f>
        <v>16.37</v>
      </c>
      <c r="AT26" s="119">
        <f ca="1">IFERROR(__xludf.DUMMYFUNCTION("""COMPUTED_VALUE"""),105.3)</f>
        <v>105.3</v>
      </c>
      <c r="AU26" s="119">
        <f ca="1">IFERROR(__xludf.DUMMYFUNCTION("""COMPUTED_VALUE"""),62.19)</f>
        <v>62.19</v>
      </c>
      <c r="AV26" s="119">
        <f ca="1">IFERROR(__xludf.DUMMYFUNCTION("""COMPUTED_VALUE"""),149.53)</f>
        <v>149.53</v>
      </c>
      <c r="AW26" s="119">
        <f ca="1">IFERROR(__xludf.DUMMYFUNCTION("""COMPUTED_VALUE"""),135.72)</f>
        <v>135.72</v>
      </c>
      <c r="AX26" s="119">
        <f ca="1">IFERROR(__xludf.DUMMYFUNCTION("""COMPUTED_VALUE"""),28.95)</f>
        <v>28.95</v>
      </c>
      <c r="AY26" s="119">
        <f ca="1">IFERROR(__xludf.DUMMYFUNCTION("""COMPUTED_VALUE"""),50.05)</f>
        <v>50.05</v>
      </c>
      <c r="AZ26" s="119">
        <f ca="1">IFERROR(__xludf.DUMMYFUNCTION("""COMPUTED_VALUE"""),0)</f>
        <v>0</v>
      </c>
      <c r="BA26" s="119">
        <f ca="1">IFERROR(__xludf.DUMMYFUNCTION("""COMPUTED_VALUE"""),0)</f>
        <v>0</v>
      </c>
      <c r="BB26" s="119">
        <f ca="1">IFERROR(__xludf.DUMMYFUNCTION("""COMPUTED_VALUE"""),15.16)</f>
        <v>15.16</v>
      </c>
      <c r="BC26" s="119">
        <f ca="1">IFERROR(__xludf.DUMMYFUNCTION("""COMPUTED_VALUE"""),54.9)</f>
        <v>54.9</v>
      </c>
      <c r="BD26" s="119">
        <f ca="1">IFERROR(__xludf.DUMMYFUNCTION("""COMPUTED_VALUE"""),208)</f>
        <v>208</v>
      </c>
      <c r="BE26" s="119">
        <f ca="1">IFERROR(__xludf.DUMMYFUNCTION("""COMPUTED_VALUE"""),146.3)</f>
        <v>146.30000000000001</v>
      </c>
      <c r="BF26" s="119">
        <f ca="1">IFERROR(__xludf.DUMMYFUNCTION("""COMPUTED_VALUE"""),16.36)</f>
        <v>16.36</v>
      </c>
      <c r="BG26" s="119">
        <f ca="1">IFERROR(__xludf.DUMMYFUNCTION("""COMPUTED_VALUE"""),569.75)</f>
        <v>569.75</v>
      </c>
      <c r="BH26" s="119">
        <f ca="1">IFERROR(__xludf.DUMMYFUNCTION("""COMPUTED_VALUE"""),305.03)</f>
        <v>305.02999999999997</v>
      </c>
      <c r="BI26" s="119">
        <f ca="1">IFERROR(__xludf.DUMMYFUNCTION("""COMPUTED_VALUE"""),227.03)</f>
        <v>227.03</v>
      </c>
      <c r="BJ26" s="119">
        <f ca="1">IFERROR(__xludf.DUMMYFUNCTION("""COMPUTED_VALUE"""),26.35)</f>
        <v>26.35</v>
      </c>
      <c r="BK26" s="119">
        <f ca="1">IFERROR(__xludf.DUMMYFUNCTION("""COMPUTED_VALUE"""),311.15)</f>
        <v>311.14999999999998</v>
      </c>
      <c r="BL26" s="119">
        <f ca="1">IFERROR(__xludf.DUMMYFUNCTION("""COMPUTED_VALUE"""),125.46)</f>
        <v>125.46</v>
      </c>
      <c r="BM26" s="119">
        <f ca="1">IFERROR(__xludf.DUMMYFUNCTION("""COMPUTED_VALUE"""),17.83)</f>
        <v>17.829999999999998</v>
      </c>
      <c r="BN26" s="119">
        <f ca="1">IFERROR(__xludf.DUMMYFUNCTION("""COMPUTED_VALUE"""),388.46)</f>
        <v>388.46</v>
      </c>
      <c r="BO26" s="119">
        <f ca="1">IFERROR(__xludf.DUMMYFUNCTION("""COMPUTED_VALUE"""),755)</f>
        <v>755</v>
      </c>
      <c r="BP26" s="119">
        <f ca="1">IFERROR(__xludf.DUMMYFUNCTION("""COMPUTED_VALUE"""),63.43)</f>
        <v>63.43</v>
      </c>
      <c r="BQ26" s="119">
        <f ca="1">IFERROR(__xludf.DUMMYFUNCTION("""COMPUTED_VALUE"""),10.67)</f>
        <v>10.67</v>
      </c>
      <c r="BR26" s="119">
        <f ca="1">IFERROR(__xludf.DUMMYFUNCTION("""COMPUTED_VALUE"""),41.78)</f>
        <v>41.78</v>
      </c>
      <c r="BS26" s="119">
        <f ca="1">IFERROR(__xludf.DUMMYFUNCTION("""COMPUTED_VALUE"""),0.93)</f>
        <v>0.93</v>
      </c>
      <c r="BT26" s="119">
        <f ca="1">IFERROR(__xludf.DUMMYFUNCTION("""COMPUTED_VALUE"""),49.29)</f>
        <v>49.29</v>
      </c>
      <c r="BU26" s="119">
        <f ca="1">IFERROR(__xludf.DUMMYFUNCTION("""COMPUTED_VALUE"""),36.8)</f>
        <v>36.799999999999997</v>
      </c>
      <c r="BV26" s="119">
        <f ca="1">IFERROR(__xludf.DUMMYFUNCTION("""COMPUTED_VALUE"""),53.15)</f>
        <v>53.15</v>
      </c>
      <c r="BW26" s="119">
        <f ca="1">IFERROR(__xludf.DUMMYFUNCTION("""COMPUTED_VALUE"""),7.78)</f>
        <v>7.78</v>
      </c>
      <c r="BX26" s="119">
        <f ca="1">IFERROR(__xludf.DUMMYFUNCTION("""COMPUTED_VALUE"""),7.16)</f>
        <v>7.16</v>
      </c>
      <c r="BY26" s="119">
        <f ca="1">IFERROR(__xludf.DUMMYFUNCTION("""COMPUTED_VALUE"""),0)</f>
        <v>0</v>
      </c>
      <c r="BZ26" s="119">
        <f ca="1">IFERROR(__xludf.DUMMYFUNCTION("""COMPUTED_VALUE"""),12.7)</f>
        <v>12.7</v>
      </c>
      <c r="CA26" s="119">
        <f ca="1">IFERROR(__xludf.DUMMYFUNCTION("""COMPUTED_VALUE"""),4.23)</f>
        <v>4.2300000000000004</v>
      </c>
      <c r="CB26" s="119">
        <f ca="1">IFERROR(__xludf.DUMMYFUNCTION("""COMPUTED_VALUE"""),6.23)</f>
        <v>6.23</v>
      </c>
      <c r="CC26" s="119">
        <f ca="1">IFERROR(__xludf.DUMMYFUNCTION("""COMPUTED_VALUE"""),22.63)</f>
        <v>22.63</v>
      </c>
      <c r="CD26" s="119">
        <f ca="1">IFERROR(__xludf.DUMMYFUNCTION("""COMPUTED_VALUE"""),16.49)</f>
        <v>16.489999999999998</v>
      </c>
      <c r="CE26" s="119">
        <f ca="1">IFERROR(__xludf.DUMMYFUNCTION("""COMPUTED_VALUE"""),36.82)</f>
        <v>36.82</v>
      </c>
      <c r="CF26" s="119">
        <f ca="1">IFERROR(__xludf.DUMMYFUNCTION("""COMPUTED_VALUE"""),91.94)</f>
        <v>91.94</v>
      </c>
      <c r="CG26" s="119">
        <f ca="1">IFERROR(__xludf.DUMMYFUNCTION("""COMPUTED_VALUE"""),6.01)</f>
        <v>6.01</v>
      </c>
      <c r="CH26" s="119">
        <f ca="1">IFERROR(__xludf.DUMMYFUNCTION("""COMPUTED_VALUE"""),22.56)</f>
        <v>22.56</v>
      </c>
      <c r="CI26" s="119">
        <f ca="1">IFERROR(__xludf.DUMMYFUNCTION("""COMPUTED_VALUE"""),48)</f>
        <v>48</v>
      </c>
      <c r="CJ26" s="119">
        <f ca="1">IFERROR(__xludf.DUMMYFUNCTION("""COMPUTED_VALUE"""),17.9)</f>
        <v>17.899999999999999</v>
      </c>
      <c r="CK26" s="119">
        <f ca="1">IFERROR(__xludf.DUMMYFUNCTION("""COMPUTED_VALUE"""),12.95)</f>
        <v>12.95</v>
      </c>
      <c r="CL26" s="119">
        <f ca="1">IFERROR(__xludf.DUMMYFUNCTION("""COMPUTED_VALUE"""),2689.19)</f>
        <v>2689.19</v>
      </c>
      <c r="CM26" s="119">
        <f ca="1">IFERROR(__xludf.DUMMYFUNCTION("""COMPUTED_VALUE"""),0.6)</f>
        <v>0.6</v>
      </c>
      <c r="CN26" s="117"/>
      <c r="CO26" s="117"/>
      <c r="CP26" s="117"/>
      <c r="CQ26" s="117"/>
      <c r="CR26" s="117"/>
      <c r="CS26" s="117"/>
      <c r="CT26" s="117"/>
      <c r="CU26" s="117"/>
      <c r="CV26" s="117"/>
      <c r="CW26" s="117"/>
      <c r="CX26" s="117"/>
      <c r="CY26" s="117"/>
      <c r="CZ26" s="117"/>
      <c r="DA26" s="117"/>
      <c r="DB26" s="117"/>
      <c r="DC26" s="117"/>
      <c r="DD26" s="117"/>
      <c r="DE26" s="117"/>
      <c r="DF26" s="117"/>
      <c r="DG26" s="117"/>
      <c r="DH26" s="117"/>
      <c r="DI26" s="117"/>
      <c r="DJ26" s="117"/>
      <c r="DK26" s="117"/>
      <c r="DL26" s="117"/>
      <c r="DM26" s="117"/>
      <c r="DN26" s="117"/>
      <c r="DO26" s="117"/>
      <c r="DP26" s="117"/>
      <c r="DQ26" s="117"/>
      <c r="DR26" s="117"/>
      <c r="DS26" s="117"/>
      <c r="DT26" s="117"/>
      <c r="DU26" s="117"/>
      <c r="DV26" s="117"/>
      <c r="DW26" s="117"/>
      <c r="DX26" s="117"/>
      <c r="DY26" s="117"/>
      <c r="DZ26" s="117"/>
      <c r="EA26" s="117"/>
      <c r="EB26" s="117"/>
      <c r="EC26" s="117"/>
      <c r="ED26" s="117"/>
      <c r="EE26" s="117"/>
      <c r="EF26" s="117"/>
      <c r="EG26" s="117"/>
      <c r="EH26" s="117"/>
      <c r="EI26" s="117"/>
      <c r="EJ26" s="117"/>
      <c r="EK26" s="117"/>
      <c r="EL26" s="117"/>
      <c r="EM26" s="117"/>
      <c r="EN26" s="117"/>
      <c r="EO26" s="117"/>
      <c r="EP26" s="117"/>
      <c r="EQ26" s="117"/>
      <c r="ER26" s="117"/>
      <c r="ES26" s="117"/>
      <c r="ET26" s="117"/>
      <c r="EU26" s="117"/>
      <c r="EV26" s="117"/>
      <c r="EW26" s="117"/>
      <c r="EX26" s="117"/>
      <c r="EY26" s="117"/>
      <c r="EZ26" s="117"/>
      <c r="FA26" s="117"/>
      <c r="FB26" s="117"/>
      <c r="FC26" s="117"/>
      <c r="FD26" s="117"/>
      <c r="FE26" s="117"/>
      <c r="FF26" s="117"/>
      <c r="FG26" s="117"/>
      <c r="FH26" s="117"/>
      <c r="FI26" s="117"/>
      <c r="FJ26" s="117"/>
      <c r="FK26" s="117"/>
      <c r="FL26" s="117"/>
      <c r="FM26" s="117"/>
      <c r="FN26" s="117"/>
      <c r="FO26" s="117"/>
    </row>
    <row r="27" spans="1:171" ht="15.75" customHeight="1" x14ac:dyDescent="0.15">
      <c r="A27" s="115">
        <f ca="1">IFERROR(__xludf.DUMMYFUNCTION("""COMPUTED_VALUE"""),44619)</f>
        <v>44619</v>
      </c>
      <c r="B27" s="119">
        <f ca="1">IFERROR(__xludf.DUMMYFUNCTION("""COMPUTED_VALUE"""),3075.77)</f>
        <v>3075.77</v>
      </c>
      <c r="C27" s="119">
        <f ca="1">IFERROR(__xludf.DUMMYFUNCTION("""COMPUTED_VALUE"""),210.48)</f>
        <v>210.48</v>
      </c>
      <c r="D27" s="119">
        <f ca="1">IFERROR(__xludf.DUMMYFUNCTION("""COMPUTED_VALUE"""),809.87)</f>
        <v>809.87</v>
      </c>
      <c r="E27" s="119">
        <f ca="1">IFERROR(__xludf.DUMMYFUNCTION("""COMPUTED_VALUE"""),424)</f>
        <v>424</v>
      </c>
      <c r="F27" s="119">
        <f ca="1">IFERROR(__xludf.DUMMYFUNCTION("""COMPUTED_VALUE"""),9.8)</f>
        <v>9.8000000000000007</v>
      </c>
      <c r="G27" s="119">
        <f ca="1">IFERROR(__xludf.DUMMYFUNCTION("""COMPUTED_VALUE"""),164.85)</f>
        <v>164.85</v>
      </c>
      <c r="H27" s="119">
        <f ca="1">IFERROR(__xludf.DUMMYFUNCTION("""COMPUTED_VALUE"""),9.54)</f>
        <v>9.5399999999999991</v>
      </c>
      <c r="I27" s="119">
        <f ca="1">IFERROR(__xludf.DUMMYFUNCTION("""COMPUTED_VALUE"""),9.25)</f>
        <v>9.25</v>
      </c>
      <c r="J27" s="119">
        <f ca="1">IFERROR(__xludf.DUMMYFUNCTION("""COMPUTED_VALUE"""),1.53)</f>
        <v>1.53</v>
      </c>
      <c r="K27" s="119">
        <f ca="1">IFERROR(__xludf.DUMMYFUNCTION("""COMPUTED_VALUE"""),42.55)</f>
        <v>42.55</v>
      </c>
      <c r="L27" s="119">
        <f ca="1">IFERROR(__xludf.DUMMYFUNCTION("""COMPUTED_VALUE"""),170.2)</f>
        <v>170.2</v>
      </c>
      <c r="M27" s="119">
        <f ca="1">IFERROR(__xludf.DUMMYFUNCTION("""COMPUTED_VALUE"""),37730.23)</f>
        <v>37730.230000000003</v>
      </c>
      <c r="N27" s="119">
        <f ca="1">IFERROR(__xludf.DUMMYFUNCTION("""COMPUTED_VALUE"""),390.8)</f>
        <v>390.8</v>
      </c>
      <c r="O27" s="119">
        <f ca="1">IFERROR(__xludf.DUMMYFUNCTION("""COMPUTED_VALUE"""),297.31)</f>
        <v>297.31</v>
      </c>
      <c r="P27" s="119">
        <f ca="1">IFERROR(__xludf.DUMMYFUNCTION("""COMPUTED_VALUE"""),26.38)</f>
        <v>26.38</v>
      </c>
      <c r="Q27" s="119">
        <f ca="1">IFERROR(__xludf.DUMMYFUNCTION("""COMPUTED_VALUE"""),24.5)</f>
        <v>24.5</v>
      </c>
      <c r="R27" s="119">
        <f ca="1">IFERROR(__xludf.DUMMYFUNCTION("""COMPUTED_VALUE"""),72.5)</f>
        <v>72.5</v>
      </c>
      <c r="S27" s="119">
        <f ca="1">IFERROR(__xludf.DUMMYFUNCTION("""COMPUTED_VALUE"""),27.175)</f>
        <v>27.175000000000001</v>
      </c>
      <c r="T27" s="119">
        <f ca="1">IFERROR(__xludf.DUMMYFUNCTION("""COMPUTED_VALUE"""),35.03)</f>
        <v>35.03</v>
      </c>
      <c r="U27" s="119">
        <f ca="1">IFERROR(__xludf.DUMMYFUNCTION("""COMPUTED_VALUE"""),45.12)</f>
        <v>45.12</v>
      </c>
      <c r="V27" s="119">
        <f ca="1">IFERROR(__xludf.DUMMYFUNCTION("""COMPUTED_VALUE"""),14.91)</f>
        <v>14.91</v>
      </c>
      <c r="W27" s="119">
        <f ca="1">IFERROR(__xludf.DUMMYFUNCTION("""COMPUTED_VALUE"""),249.45)</f>
        <v>249.45</v>
      </c>
      <c r="X27" s="119">
        <f ca="1">IFERROR(__xludf.DUMMYFUNCTION("""COMPUTED_VALUE"""),2690.39)</f>
        <v>2690.39</v>
      </c>
      <c r="Y27" s="119">
        <f ca="1">IFERROR(__xludf.DUMMYFUNCTION("""COMPUTED_VALUE"""),60.6)</f>
        <v>60.6</v>
      </c>
      <c r="Z27" s="119">
        <f ca="1">IFERROR(__xludf.DUMMYFUNCTION("""COMPUTED_VALUE"""),64.2)</f>
        <v>64.2</v>
      </c>
      <c r="AA27" s="119">
        <f ca="1">IFERROR(__xludf.DUMMYFUNCTION("""COMPUTED_VALUE"""),109.27)</f>
        <v>109.27</v>
      </c>
      <c r="AB27" s="119">
        <f ca="1">IFERROR(__xludf.DUMMYFUNCTION("""COMPUTED_VALUE"""),4.58)</f>
        <v>4.58</v>
      </c>
      <c r="AC27" s="119">
        <f ca="1">IFERROR(__xludf.DUMMYFUNCTION("""COMPUTED_VALUE"""),68.88)</f>
        <v>68.88</v>
      </c>
      <c r="AD27" s="119">
        <f ca="1">IFERROR(__xludf.DUMMYFUNCTION("""COMPUTED_VALUE"""),12.2)</f>
        <v>12.2</v>
      </c>
      <c r="AE27" s="119">
        <f ca="1">IFERROR(__xludf.DUMMYFUNCTION("""COMPUTED_VALUE"""),5.72)</f>
        <v>5.72</v>
      </c>
      <c r="AF27" s="119">
        <f ca="1">IFERROR(__xludf.DUMMYFUNCTION("""COMPUTED_VALUE"""),46.54)</f>
        <v>46.54</v>
      </c>
      <c r="AG27" s="119">
        <f ca="1">IFERROR(__xludf.DUMMYFUNCTION("""COMPUTED_VALUE"""),17.56)</f>
        <v>17.559999999999999</v>
      </c>
      <c r="AH27" s="119">
        <f ca="1">IFERROR(__xludf.DUMMYFUNCTION("""COMPUTED_VALUE"""),2.09)</f>
        <v>2.09</v>
      </c>
      <c r="AI27" s="119">
        <f ca="1">IFERROR(__xludf.DUMMYFUNCTION("""COMPUTED_VALUE"""),3.43)</f>
        <v>3.43</v>
      </c>
      <c r="AJ27" s="119">
        <f ca="1">IFERROR(__xludf.DUMMYFUNCTION("""COMPUTED_VALUE"""),119.7)</f>
        <v>119.7</v>
      </c>
      <c r="AK27" s="119">
        <f ca="1">IFERROR(__xludf.DUMMYFUNCTION("""COMPUTED_VALUE"""),241.57)</f>
        <v>241.57</v>
      </c>
      <c r="AL27" s="119">
        <f ca="1">IFERROR(__xludf.DUMMYFUNCTION("""COMPUTED_VALUE"""),14.74)</f>
        <v>14.74</v>
      </c>
      <c r="AM27" s="119">
        <f ca="1">IFERROR(__xludf.DUMMYFUNCTION("""COMPUTED_VALUE"""),45.02)</f>
        <v>45.02</v>
      </c>
      <c r="AN27" s="119">
        <f ca="1">IFERROR(__xludf.DUMMYFUNCTION("""COMPUTED_VALUE"""),319.24)</f>
        <v>319.24</v>
      </c>
      <c r="AO27" s="119">
        <f ca="1">IFERROR(__xludf.DUMMYFUNCTION("""COMPUTED_VALUE"""),104.09)</f>
        <v>104.09</v>
      </c>
      <c r="AP27" s="119">
        <f ca="1">IFERROR(__xludf.DUMMYFUNCTION("""COMPUTED_VALUE"""),81.44)</f>
        <v>81.44</v>
      </c>
      <c r="AQ27" s="119">
        <f ca="1">IFERROR(__xludf.DUMMYFUNCTION("""COMPUTED_VALUE"""),54.49)</f>
        <v>54.49</v>
      </c>
      <c r="AR27" s="118">
        <f ca="1">IFERROR(__xludf.DUMMYFUNCTION("""COMPUTED_VALUE"""),104.835)</f>
        <v>104.83499999999999</v>
      </c>
      <c r="AS27" s="119">
        <f ca="1">IFERROR(__xludf.DUMMYFUNCTION("""COMPUTED_VALUE"""),16.37)</f>
        <v>16.37</v>
      </c>
      <c r="AT27" s="119">
        <f ca="1">IFERROR(__xludf.DUMMYFUNCTION("""COMPUTED_VALUE"""),105.3)</f>
        <v>105.3</v>
      </c>
      <c r="AU27" s="119">
        <f ca="1">IFERROR(__xludf.DUMMYFUNCTION("""COMPUTED_VALUE"""),62.19)</f>
        <v>62.19</v>
      </c>
      <c r="AV27" s="119">
        <f ca="1">IFERROR(__xludf.DUMMYFUNCTION("""COMPUTED_VALUE"""),149.53)</f>
        <v>149.53</v>
      </c>
      <c r="AW27" s="119">
        <f ca="1">IFERROR(__xludf.DUMMYFUNCTION("""COMPUTED_VALUE"""),135.72)</f>
        <v>135.72</v>
      </c>
      <c r="AX27" s="119">
        <f ca="1">IFERROR(__xludf.DUMMYFUNCTION("""COMPUTED_VALUE"""),28.95)</f>
        <v>28.95</v>
      </c>
      <c r="AY27" s="119">
        <f ca="1">IFERROR(__xludf.DUMMYFUNCTION("""COMPUTED_VALUE"""),50.05)</f>
        <v>50.05</v>
      </c>
      <c r="AZ27" s="119">
        <f ca="1">IFERROR(__xludf.DUMMYFUNCTION("""COMPUTED_VALUE"""),0)</f>
        <v>0</v>
      </c>
      <c r="BA27" s="119">
        <f ca="1">IFERROR(__xludf.DUMMYFUNCTION("""COMPUTED_VALUE"""),0)</f>
        <v>0</v>
      </c>
      <c r="BB27" s="119">
        <f ca="1">IFERROR(__xludf.DUMMYFUNCTION("""COMPUTED_VALUE"""),15.16)</f>
        <v>15.16</v>
      </c>
      <c r="BC27" s="119">
        <f ca="1">IFERROR(__xludf.DUMMYFUNCTION("""COMPUTED_VALUE"""),54.9)</f>
        <v>54.9</v>
      </c>
      <c r="BD27" s="119">
        <f ca="1">IFERROR(__xludf.DUMMYFUNCTION("""COMPUTED_VALUE"""),208)</f>
        <v>208</v>
      </c>
      <c r="BE27" s="119">
        <f ca="1">IFERROR(__xludf.DUMMYFUNCTION("""COMPUTED_VALUE"""),146.3)</f>
        <v>146.30000000000001</v>
      </c>
      <c r="BF27" s="119">
        <f ca="1">IFERROR(__xludf.DUMMYFUNCTION("""COMPUTED_VALUE"""),16.36)</f>
        <v>16.36</v>
      </c>
      <c r="BG27" s="119">
        <f ca="1">IFERROR(__xludf.DUMMYFUNCTION("""COMPUTED_VALUE"""),569.75)</f>
        <v>569.75</v>
      </c>
      <c r="BH27" s="119">
        <f ca="1">IFERROR(__xludf.DUMMYFUNCTION("""COMPUTED_VALUE"""),305.03)</f>
        <v>305.02999999999997</v>
      </c>
      <c r="BI27" s="119">
        <f ca="1">IFERROR(__xludf.DUMMYFUNCTION("""COMPUTED_VALUE"""),227.03)</f>
        <v>227.03</v>
      </c>
      <c r="BJ27" s="119">
        <f ca="1">IFERROR(__xludf.DUMMYFUNCTION("""COMPUTED_VALUE"""),26.35)</f>
        <v>26.35</v>
      </c>
      <c r="BK27" s="119">
        <f ca="1">IFERROR(__xludf.DUMMYFUNCTION("""COMPUTED_VALUE"""),311.15)</f>
        <v>311.14999999999998</v>
      </c>
      <c r="BL27" s="119">
        <f ca="1">IFERROR(__xludf.DUMMYFUNCTION("""COMPUTED_VALUE"""),125.46)</f>
        <v>125.46</v>
      </c>
      <c r="BM27" s="119">
        <f ca="1">IFERROR(__xludf.DUMMYFUNCTION("""COMPUTED_VALUE"""),17.83)</f>
        <v>17.829999999999998</v>
      </c>
      <c r="BN27" s="119">
        <f ca="1">IFERROR(__xludf.DUMMYFUNCTION("""COMPUTED_VALUE"""),388.46)</f>
        <v>388.46</v>
      </c>
      <c r="BO27" s="119">
        <f ca="1">IFERROR(__xludf.DUMMYFUNCTION("""COMPUTED_VALUE"""),755)</f>
        <v>755</v>
      </c>
      <c r="BP27" s="119">
        <f ca="1">IFERROR(__xludf.DUMMYFUNCTION("""COMPUTED_VALUE"""),63.43)</f>
        <v>63.43</v>
      </c>
      <c r="BQ27" s="119">
        <f ca="1">IFERROR(__xludf.DUMMYFUNCTION("""COMPUTED_VALUE"""),10.67)</f>
        <v>10.67</v>
      </c>
      <c r="BR27" s="119">
        <f ca="1">IFERROR(__xludf.DUMMYFUNCTION("""COMPUTED_VALUE"""),41.78)</f>
        <v>41.78</v>
      </c>
      <c r="BS27" s="119">
        <f ca="1">IFERROR(__xludf.DUMMYFUNCTION("""COMPUTED_VALUE"""),0.93)</f>
        <v>0.93</v>
      </c>
      <c r="BT27" s="119">
        <f ca="1">IFERROR(__xludf.DUMMYFUNCTION("""COMPUTED_VALUE"""),49.29)</f>
        <v>49.29</v>
      </c>
      <c r="BU27" s="119">
        <f ca="1">IFERROR(__xludf.DUMMYFUNCTION("""COMPUTED_VALUE"""),36.8)</f>
        <v>36.799999999999997</v>
      </c>
      <c r="BV27" s="119">
        <f ca="1">IFERROR(__xludf.DUMMYFUNCTION("""COMPUTED_VALUE"""),53.15)</f>
        <v>53.15</v>
      </c>
      <c r="BW27" s="119">
        <f ca="1">IFERROR(__xludf.DUMMYFUNCTION("""COMPUTED_VALUE"""),7.78)</f>
        <v>7.78</v>
      </c>
      <c r="BX27" s="119">
        <f ca="1">IFERROR(__xludf.DUMMYFUNCTION("""COMPUTED_VALUE"""),7.16)</f>
        <v>7.16</v>
      </c>
      <c r="BY27" s="119">
        <f ca="1">IFERROR(__xludf.DUMMYFUNCTION("""COMPUTED_VALUE"""),0)</f>
        <v>0</v>
      </c>
      <c r="BZ27" s="119">
        <f ca="1">IFERROR(__xludf.DUMMYFUNCTION("""COMPUTED_VALUE"""),12.75)</f>
        <v>12.75</v>
      </c>
      <c r="CA27" s="119">
        <f ca="1">IFERROR(__xludf.DUMMYFUNCTION("""COMPUTED_VALUE"""),4.23)</f>
        <v>4.2300000000000004</v>
      </c>
      <c r="CB27" s="119">
        <f ca="1">IFERROR(__xludf.DUMMYFUNCTION("""COMPUTED_VALUE"""),6.23)</f>
        <v>6.23</v>
      </c>
      <c r="CC27" s="119">
        <f ca="1">IFERROR(__xludf.DUMMYFUNCTION("""COMPUTED_VALUE"""),22.63)</f>
        <v>22.63</v>
      </c>
      <c r="CD27" s="119">
        <f ca="1">IFERROR(__xludf.DUMMYFUNCTION("""COMPUTED_VALUE"""),16.49)</f>
        <v>16.489999999999998</v>
      </c>
      <c r="CE27" s="119">
        <f ca="1">IFERROR(__xludf.DUMMYFUNCTION("""COMPUTED_VALUE"""),36.82)</f>
        <v>36.82</v>
      </c>
      <c r="CF27" s="119">
        <f ca="1">IFERROR(__xludf.DUMMYFUNCTION("""COMPUTED_VALUE"""),91.94)</f>
        <v>91.94</v>
      </c>
      <c r="CG27" s="119">
        <f ca="1">IFERROR(__xludf.DUMMYFUNCTION("""COMPUTED_VALUE"""),6.01)</f>
        <v>6.01</v>
      </c>
      <c r="CH27" s="119">
        <f ca="1">IFERROR(__xludf.DUMMYFUNCTION("""COMPUTED_VALUE"""),22.56)</f>
        <v>22.56</v>
      </c>
      <c r="CI27" s="119">
        <f ca="1">IFERROR(__xludf.DUMMYFUNCTION("""COMPUTED_VALUE"""),48)</f>
        <v>48</v>
      </c>
      <c r="CJ27" s="119">
        <f ca="1">IFERROR(__xludf.DUMMYFUNCTION("""COMPUTED_VALUE"""),17.9)</f>
        <v>17.899999999999999</v>
      </c>
      <c r="CK27" s="119">
        <f ca="1">IFERROR(__xludf.DUMMYFUNCTION("""COMPUTED_VALUE"""),12.95)</f>
        <v>12.95</v>
      </c>
      <c r="CL27" s="119">
        <f ca="1">IFERROR(__xludf.DUMMYFUNCTION("""COMPUTED_VALUE"""),2689.19)</f>
        <v>2689.19</v>
      </c>
      <c r="CM27" s="119">
        <f ca="1">IFERROR(__xludf.DUMMYFUNCTION("""COMPUTED_VALUE"""),0.6)</f>
        <v>0.6</v>
      </c>
      <c r="CN27" s="117"/>
      <c r="CO27" s="117"/>
      <c r="CP27" s="117"/>
      <c r="CQ27" s="117"/>
      <c r="CR27" s="117"/>
      <c r="CS27" s="117"/>
      <c r="CT27" s="117"/>
      <c r="CU27" s="117"/>
      <c r="CV27" s="117"/>
      <c r="CW27" s="117"/>
      <c r="CX27" s="117"/>
      <c r="CY27" s="117"/>
      <c r="CZ27" s="117"/>
      <c r="DA27" s="117"/>
      <c r="DB27" s="117"/>
      <c r="DC27" s="117"/>
      <c r="DD27" s="117"/>
      <c r="DE27" s="117"/>
      <c r="DF27" s="117"/>
      <c r="DG27" s="117"/>
      <c r="DH27" s="117"/>
      <c r="DI27" s="117"/>
      <c r="DJ27" s="117"/>
      <c r="DK27" s="117"/>
      <c r="DL27" s="117"/>
      <c r="DM27" s="117"/>
      <c r="DN27" s="117"/>
      <c r="DO27" s="117"/>
      <c r="DP27" s="117"/>
      <c r="DQ27" s="117"/>
      <c r="DR27" s="117"/>
      <c r="DS27" s="117"/>
      <c r="DT27" s="117"/>
      <c r="DU27" s="117"/>
      <c r="DV27" s="117"/>
      <c r="DW27" s="117"/>
      <c r="DX27" s="117"/>
      <c r="DY27" s="117"/>
      <c r="DZ27" s="117"/>
      <c r="EA27" s="117"/>
      <c r="EB27" s="117"/>
      <c r="EC27" s="117"/>
      <c r="ED27" s="117"/>
      <c r="EE27" s="117"/>
      <c r="EF27" s="117"/>
      <c r="EG27" s="117"/>
      <c r="EH27" s="117"/>
      <c r="EI27" s="117"/>
      <c r="EJ27" s="117"/>
      <c r="EK27" s="117"/>
      <c r="EL27" s="117"/>
      <c r="EM27" s="117"/>
      <c r="EN27" s="117"/>
      <c r="EO27" s="117"/>
      <c r="EP27" s="117"/>
      <c r="EQ27" s="117"/>
      <c r="ER27" s="117"/>
      <c r="ES27" s="117"/>
      <c r="ET27" s="117"/>
      <c r="EU27" s="117"/>
      <c r="EV27" s="117"/>
      <c r="EW27" s="117"/>
      <c r="EX27" s="117"/>
      <c r="EY27" s="117"/>
      <c r="EZ27" s="117"/>
      <c r="FA27" s="117"/>
      <c r="FB27" s="117"/>
      <c r="FC27" s="117"/>
      <c r="FD27" s="117"/>
      <c r="FE27" s="117"/>
      <c r="FF27" s="117"/>
      <c r="FG27" s="117"/>
      <c r="FH27" s="117"/>
      <c r="FI27" s="117"/>
      <c r="FJ27" s="117"/>
      <c r="FK27" s="117"/>
      <c r="FL27" s="117"/>
      <c r="FM27" s="117"/>
      <c r="FN27" s="117"/>
      <c r="FO27" s="117"/>
    </row>
    <row r="28" spans="1:171" ht="15.75" customHeight="1" x14ac:dyDescent="0.15">
      <c r="A28" s="115">
        <f ca="1">IFERROR(__xludf.DUMMYFUNCTION("""COMPUTED_VALUE"""),44620)</f>
        <v>44620</v>
      </c>
      <c r="B28" s="119">
        <f ca="1">IFERROR(__xludf.DUMMYFUNCTION("""COMPUTED_VALUE"""),3071.26)</f>
        <v>3071.26</v>
      </c>
      <c r="C28" s="119">
        <f ca="1">IFERROR(__xludf.DUMMYFUNCTION("""COMPUTED_VALUE"""),211.03)</f>
        <v>211.03</v>
      </c>
      <c r="D28" s="119">
        <f ca="1">IFERROR(__xludf.DUMMYFUNCTION("""COMPUTED_VALUE"""),870.43)</f>
        <v>870.43</v>
      </c>
      <c r="E28" s="119">
        <f ca="1">IFERROR(__xludf.DUMMYFUNCTION("""COMPUTED_VALUE"""),421.2)</f>
        <v>421.2</v>
      </c>
      <c r="F28" s="119">
        <f ca="1">IFERROR(__xludf.DUMMYFUNCTION("""COMPUTED_VALUE"""),9.97)</f>
        <v>9.9700000000000006</v>
      </c>
      <c r="G28" s="119">
        <f ca="1">IFERROR(__xludf.DUMMYFUNCTION("""COMPUTED_VALUE"""),165.12)</f>
        <v>165.12</v>
      </c>
      <c r="H28" s="119">
        <f ca="1">IFERROR(__xludf.DUMMYFUNCTION("""COMPUTED_VALUE"""),9.3)</f>
        <v>9.3000000000000007</v>
      </c>
      <c r="I28" s="119">
        <f ca="1">IFERROR(__xludf.DUMMYFUNCTION("""COMPUTED_VALUE"""),10.2)</f>
        <v>10.199999999999999</v>
      </c>
      <c r="J28" s="119">
        <f ca="1">IFERROR(__xludf.DUMMYFUNCTION("""COMPUTED_VALUE"""),1.15)</f>
        <v>1.1499999999999999</v>
      </c>
      <c r="K28" s="119">
        <f ca="1">IFERROR(__xludf.DUMMYFUNCTION("""COMPUTED_VALUE"""),42.95)</f>
        <v>42.95</v>
      </c>
      <c r="L28" s="119">
        <f ca="1">IFERROR(__xludf.DUMMYFUNCTION("""COMPUTED_VALUE"""),172.2)</f>
        <v>172.2</v>
      </c>
      <c r="M28" s="119">
        <f ca="1">IFERROR(__xludf.DUMMYFUNCTION("""COMPUTED_VALUE"""),43215.414)</f>
        <v>43215.413999999997</v>
      </c>
      <c r="N28" s="119">
        <f ca="1">IFERROR(__xludf.DUMMYFUNCTION("""COMPUTED_VALUE"""),394.52)</f>
        <v>394.52</v>
      </c>
      <c r="O28" s="119">
        <f ca="1">IFERROR(__xludf.DUMMYFUNCTION("""COMPUTED_VALUE"""),298.79)</f>
        <v>298.79000000000002</v>
      </c>
      <c r="P28" s="119">
        <f ca="1">IFERROR(__xludf.DUMMYFUNCTION("""COMPUTED_VALUE"""),25.63)</f>
        <v>25.63</v>
      </c>
      <c r="Q28" s="119">
        <f ca="1">IFERROR(__xludf.DUMMYFUNCTION("""COMPUTED_VALUE"""),24.52)</f>
        <v>24.52</v>
      </c>
      <c r="R28" s="119">
        <f ca="1">IFERROR(__xludf.DUMMYFUNCTION("""COMPUTED_VALUE"""),71.63)</f>
        <v>71.63</v>
      </c>
      <c r="S28" s="119">
        <f ca="1">IFERROR(__xludf.DUMMYFUNCTION("""COMPUTED_VALUE"""),29.39)</f>
        <v>29.39</v>
      </c>
      <c r="T28" s="119">
        <f ca="1">IFERROR(__xludf.DUMMYFUNCTION("""COMPUTED_VALUE"""),36.37)</f>
        <v>36.369999999999997</v>
      </c>
      <c r="U28" s="119">
        <f ca="1">IFERROR(__xludf.DUMMYFUNCTION("""COMPUTED_VALUE"""),44.29)</f>
        <v>44.29</v>
      </c>
      <c r="V28" s="119">
        <f ca="1">IFERROR(__xludf.DUMMYFUNCTION("""COMPUTED_VALUE"""),16.3)</f>
        <v>16.3</v>
      </c>
      <c r="W28" s="119">
        <f ca="1">IFERROR(__xludf.DUMMYFUNCTION("""COMPUTED_VALUE"""),244.77)</f>
        <v>244.77</v>
      </c>
      <c r="X28" s="119">
        <f ca="1">IFERROR(__xludf.DUMMYFUNCTION("""COMPUTED_VALUE"""),2697.82)</f>
        <v>2697.82</v>
      </c>
      <c r="Y28" s="119">
        <f ca="1">IFERROR(__xludf.DUMMYFUNCTION("""COMPUTED_VALUE"""),60.4)</f>
        <v>60.4</v>
      </c>
      <c r="Z28" s="119">
        <f ca="1">IFERROR(__xludf.DUMMYFUNCTION("""COMPUTED_VALUE"""),64.25)</f>
        <v>64.25</v>
      </c>
      <c r="AA28" s="119">
        <f ca="1">IFERROR(__xludf.DUMMYFUNCTION("""COMPUTED_VALUE"""),116.42)</f>
        <v>116.42</v>
      </c>
      <c r="AB28" s="119">
        <f ca="1">IFERROR(__xludf.DUMMYFUNCTION("""COMPUTED_VALUE"""),4.67)</f>
        <v>4.67</v>
      </c>
      <c r="AC28" s="119">
        <f ca="1">IFERROR(__xludf.DUMMYFUNCTION("""COMPUTED_VALUE"""),70.58)</f>
        <v>70.58</v>
      </c>
      <c r="AD28" s="119">
        <f ca="1">IFERROR(__xludf.DUMMYFUNCTION("""COMPUTED_VALUE"""),12.15)</f>
        <v>12.15</v>
      </c>
      <c r="AE28" s="119">
        <f ca="1">IFERROR(__xludf.DUMMYFUNCTION("""COMPUTED_VALUE"""),5.82)</f>
        <v>5.82</v>
      </c>
      <c r="AF28" s="119">
        <f ca="1">IFERROR(__xludf.DUMMYFUNCTION("""COMPUTED_VALUE"""),48.35)</f>
        <v>48.35</v>
      </c>
      <c r="AG28" s="119">
        <f ca="1">IFERROR(__xludf.DUMMYFUNCTION("""COMPUTED_VALUE"""),16.26)</f>
        <v>16.260000000000002</v>
      </c>
      <c r="AH28" s="119">
        <f ca="1">IFERROR(__xludf.DUMMYFUNCTION("""COMPUTED_VALUE"""),2.08)</f>
        <v>2.08</v>
      </c>
      <c r="AI28" s="119">
        <f ca="1">IFERROR(__xludf.DUMMYFUNCTION("""COMPUTED_VALUE"""),3.4)</f>
        <v>3.4</v>
      </c>
      <c r="AJ28" s="119">
        <f ca="1">IFERROR(__xludf.DUMMYFUNCTION("""COMPUTED_VALUE"""),118.9)</f>
        <v>118.9</v>
      </c>
      <c r="AK28" s="119">
        <f ca="1">IFERROR(__xludf.DUMMYFUNCTION("""COMPUTED_VALUE"""),243.85)</f>
        <v>243.85</v>
      </c>
      <c r="AL28" s="119">
        <f ca="1">IFERROR(__xludf.DUMMYFUNCTION("""COMPUTED_VALUE"""),14.66)</f>
        <v>14.66</v>
      </c>
      <c r="AM28" s="119">
        <f ca="1">IFERROR(__xludf.DUMMYFUNCTION("""COMPUTED_VALUE"""),44.2)</f>
        <v>44.2</v>
      </c>
      <c r="AN28" s="119">
        <f ca="1">IFERROR(__xludf.DUMMYFUNCTION("""COMPUTED_VALUE"""),321.45)</f>
        <v>321.45</v>
      </c>
      <c r="AO28" s="119">
        <f ca="1">IFERROR(__xludf.DUMMYFUNCTION("""COMPUTED_VALUE"""),102.53)</f>
        <v>102.53</v>
      </c>
      <c r="AP28" s="119">
        <f ca="1">IFERROR(__xludf.DUMMYFUNCTION("""COMPUTED_VALUE"""),81.5)</f>
        <v>81.5</v>
      </c>
      <c r="AQ28" s="119">
        <f ca="1">IFERROR(__xludf.DUMMYFUNCTION("""COMPUTED_VALUE"""),53.79)</f>
        <v>53.79</v>
      </c>
      <c r="AR28" s="118">
        <f ca="1">IFERROR(__xludf.DUMMYFUNCTION("""COMPUTED_VALUE"""),104.7675)</f>
        <v>104.7675</v>
      </c>
      <c r="AS28" s="119">
        <f ca="1">IFERROR(__xludf.DUMMYFUNCTION("""COMPUTED_VALUE"""),17.54)</f>
        <v>17.54</v>
      </c>
      <c r="AT28" s="119">
        <f ca="1">IFERROR(__xludf.DUMMYFUNCTION("""COMPUTED_VALUE"""),104.2)</f>
        <v>104.2</v>
      </c>
      <c r="AU28" s="119">
        <f ca="1">IFERROR(__xludf.DUMMYFUNCTION("""COMPUTED_VALUE"""),63.57)</f>
        <v>63.57</v>
      </c>
      <c r="AV28" s="119">
        <f ca="1">IFERROR(__xludf.DUMMYFUNCTION("""COMPUTED_VALUE"""),148.46)</f>
        <v>148.46</v>
      </c>
      <c r="AW28" s="119">
        <f ca="1">IFERROR(__xludf.DUMMYFUNCTION("""COMPUTED_VALUE"""),134.2)</f>
        <v>134.19999999999999</v>
      </c>
      <c r="AX28" s="119">
        <f ca="1">IFERROR(__xludf.DUMMYFUNCTION("""COMPUTED_VALUE"""),28.8)</f>
        <v>28.8</v>
      </c>
      <c r="AY28" s="119">
        <f ca="1">IFERROR(__xludf.DUMMYFUNCTION("""COMPUTED_VALUE"""),51.57)</f>
        <v>51.57</v>
      </c>
      <c r="AZ28" s="119">
        <f ca="1">IFERROR(__xludf.DUMMYFUNCTION("""COMPUTED_VALUE"""),0)</f>
        <v>0</v>
      </c>
      <c r="BA28" s="119">
        <f ca="1">IFERROR(__xludf.DUMMYFUNCTION("""COMPUTED_VALUE"""),0)</f>
        <v>0</v>
      </c>
      <c r="BB28" s="119">
        <f ca="1">IFERROR(__xludf.DUMMYFUNCTION("""COMPUTED_VALUE"""),14.42)</f>
        <v>14.42</v>
      </c>
      <c r="BC28" s="119">
        <f ca="1">IFERROR(__xludf.DUMMYFUNCTION("""COMPUTED_VALUE"""),47.9273)</f>
        <v>47.927300000000002</v>
      </c>
      <c r="BD28" s="119">
        <f ca="1">IFERROR(__xludf.DUMMYFUNCTION("""COMPUTED_VALUE"""),209)</f>
        <v>209</v>
      </c>
      <c r="BE28" s="119">
        <f ca="1">IFERROR(__xludf.DUMMYFUNCTION("""COMPUTED_VALUE"""),152.5)</f>
        <v>152.5</v>
      </c>
      <c r="BF28" s="119">
        <f ca="1">IFERROR(__xludf.DUMMYFUNCTION("""COMPUTED_VALUE"""),15.34)</f>
        <v>15.34</v>
      </c>
      <c r="BG28" s="119">
        <f ca="1">IFERROR(__xludf.DUMMYFUNCTION("""COMPUTED_VALUE"""),594.25)</f>
        <v>594.25</v>
      </c>
      <c r="BH28" s="119">
        <f ca="1">IFERROR(__xludf.DUMMYFUNCTION("""COMPUTED_VALUE"""),305.72)</f>
        <v>305.72000000000003</v>
      </c>
      <c r="BI28" s="119">
        <f ca="1">IFERROR(__xludf.DUMMYFUNCTION("""COMPUTED_VALUE"""),226.48)</f>
        <v>226.48</v>
      </c>
      <c r="BJ28" s="119">
        <f ca="1">IFERROR(__xludf.DUMMYFUNCTION("""COMPUTED_VALUE"""),28.98)</f>
        <v>28.98</v>
      </c>
      <c r="BK28" s="119">
        <f ca="1">IFERROR(__xludf.DUMMYFUNCTION("""COMPUTED_VALUE"""),312.39)</f>
        <v>312.39</v>
      </c>
      <c r="BL28" s="119">
        <f ca="1">IFERROR(__xludf.DUMMYFUNCTION("""COMPUTED_VALUE"""),123.21)</f>
        <v>123.21</v>
      </c>
      <c r="BM28" s="119">
        <f ca="1">IFERROR(__xludf.DUMMYFUNCTION("""COMPUTED_VALUE"""),17.56)</f>
        <v>17.559999999999999</v>
      </c>
      <c r="BN28" s="119">
        <f ca="1">IFERROR(__xludf.DUMMYFUNCTION("""COMPUTED_VALUE"""),383.69)</f>
        <v>383.69</v>
      </c>
      <c r="BO28" s="119">
        <f ca="1">IFERROR(__xludf.DUMMYFUNCTION("""COMPUTED_VALUE"""),729)</f>
        <v>729</v>
      </c>
      <c r="BP28" s="119">
        <f ca="1">IFERROR(__xludf.DUMMYFUNCTION("""COMPUTED_VALUE"""),67.56)</f>
        <v>67.56</v>
      </c>
      <c r="BQ28" s="119">
        <f ca="1">IFERROR(__xludf.DUMMYFUNCTION("""COMPUTED_VALUE"""),11.45)</f>
        <v>11.45</v>
      </c>
      <c r="BR28" s="119">
        <f ca="1">IFERROR(__xludf.DUMMYFUNCTION("""COMPUTED_VALUE"""),41.01)</f>
        <v>41.01</v>
      </c>
      <c r="BS28" s="119">
        <f ca="1">IFERROR(__xludf.DUMMYFUNCTION("""COMPUTED_VALUE"""),0.87)</f>
        <v>0.87</v>
      </c>
      <c r="BT28" s="119">
        <f ca="1">IFERROR(__xludf.DUMMYFUNCTION("""COMPUTED_VALUE"""),48.99)</f>
        <v>48.99</v>
      </c>
      <c r="BU28" s="119">
        <f ca="1">IFERROR(__xludf.DUMMYFUNCTION("""COMPUTED_VALUE"""),38)</f>
        <v>38</v>
      </c>
      <c r="BV28" s="119">
        <f ca="1">IFERROR(__xludf.DUMMYFUNCTION("""COMPUTED_VALUE"""),52.8)</f>
        <v>52.8</v>
      </c>
      <c r="BW28" s="119">
        <f ca="1">IFERROR(__xludf.DUMMYFUNCTION("""COMPUTED_VALUE"""),7.65)</f>
        <v>7.65</v>
      </c>
      <c r="BX28" s="119">
        <f ca="1">IFERROR(__xludf.DUMMYFUNCTION("""COMPUTED_VALUE"""),6.93)</f>
        <v>6.93</v>
      </c>
      <c r="BY28" s="119">
        <f ca="1">IFERROR(__xludf.DUMMYFUNCTION("""COMPUTED_VALUE"""),0)</f>
        <v>0</v>
      </c>
      <c r="BZ28" s="119">
        <f ca="1">IFERROR(__xludf.DUMMYFUNCTION("""COMPUTED_VALUE"""),13.05)</f>
        <v>13.05</v>
      </c>
      <c r="CA28" s="119">
        <f ca="1">IFERROR(__xludf.DUMMYFUNCTION("""COMPUTED_VALUE"""),3.99)</f>
        <v>3.99</v>
      </c>
      <c r="CB28" s="119">
        <f ca="1">IFERROR(__xludf.DUMMYFUNCTION("""COMPUTED_VALUE"""),6.19)</f>
        <v>6.19</v>
      </c>
      <c r="CC28" s="119">
        <f ca="1">IFERROR(__xludf.DUMMYFUNCTION("""COMPUTED_VALUE"""),21.85)</f>
        <v>21.85</v>
      </c>
      <c r="CD28" s="119">
        <f ca="1">IFERROR(__xludf.DUMMYFUNCTION("""COMPUTED_VALUE"""),17.18)</f>
        <v>17.18</v>
      </c>
      <c r="CE28" s="119">
        <f ca="1">IFERROR(__xludf.DUMMYFUNCTION("""COMPUTED_VALUE"""),35.95)</f>
        <v>35.950000000000003</v>
      </c>
      <c r="CF28" s="119">
        <f ca="1">IFERROR(__xludf.DUMMYFUNCTION("""COMPUTED_VALUE"""),95.84)</f>
        <v>95.84</v>
      </c>
      <c r="CG28" s="119">
        <f ca="1">IFERROR(__xludf.DUMMYFUNCTION("""COMPUTED_VALUE"""),6.6)</f>
        <v>6.6</v>
      </c>
      <c r="CH28" s="119">
        <f ca="1">IFERROR(__xludf.DUMMYFUNCTION("""COMPUTED_VALUE"""),22.57)</f>
        <v>22.57</v>
      </c>
      <c r="CI28" s="119">
        <f ca="1">IFERROR(__xludf.DUMMYFUNCTION("""COMPUTED_VALUE"""),45.96)</f>
        <v>45.96</v>
      </c>
      <c r="CJ28" s="119">
        <f ca="1">IFERROR(__xludf.DUMMYFUNCTION("""COMPUTED_VALUE"""),17.9)</f>
        <v>17.899999999999999</v>
      </c>
      <c r="CK28" s="119">
        <f ca="1">IFERROR(__xludf.DUMMYFUNCTION("""COMPUTED_VALUE"""),12.73)</f>
        <v>12.73</v>
      </c>
      <c r="CL28" s="119">
        <f ca="1">IFERROR(__xludf.DUMMYFUNCTION("""COMPUTED_VALUE"""),2701.14)</f>
        <v>2701.14</v>
      </c>
      <c r="CM28" s="119">
        <f ca="1">IFERROR(__xludf.DUMMYFUNCTION("""COMPUTED_VALUE"""),1.03)</f>
        <v>1.03</v>
      </c>
      <c r="CN28" s="119">
        <f ca="1">IFERROR(__xludf.DUMMYFUNCTION("""COMPUTED_VALUE"""),237)</f>
        <v>237</v>
      </c>
      <c r="CO28" s="119">
        <f ca="1">IFERROR(__xludf.DUMMYFUNCTION("""COMPUTED_VALUE"""),147.4)</f>
        <v>147.4</v>
      </c>
      <c r="CP28" s="119">
        <f ca="1">IFERROR(__xludf.DUMMYFUNCTION("""COMPUTED_VALUE"""),70.47)</f>
        <v>70.47</v>
      </c>
      <c r="CQ28" s="119">
        <f ca="1">IFERROR(__xludf.DUMMYFUNCTION("""COMPUTED_VALUE"""),72100)</f>
        <v>72100</v>
      </c>
      <c r="CR28" s="119">
        <f ca="1">IFERROR(__xludf.DUMMYFUNCTION("""COMPUTED_VALUE"""),1.25)</f>
        <v>1.25</v>
      </c>
      <c r="CS28" s="117"/>
      <c r="CT28" s="117"/>
      <c r="CU28" s="117"/>
      <c r="CV28" s="117"/>
      <c r="CW28" s="117"/>
      <c r="CX28" s="117"/>
      <c r="CY28" s="117"/>
      <c r="CZ28" s="117"/>
      <c r="DA28" s="117"/>
      <c r="DB28" s="117"/>
      <c r="DC28" s="117"/>
      <c r="DD28" s="117"/>
      <c r="DE28" s="117"/>
      <c r="DF28" s="117"/>
      <c r="DG28" s="117"/>
      <c r="DH28" s="117"/>
      <c r="DI28" s="117"/>
      <c r="DJ28" s="117"/>
      <c r="DK28" s="117"/>
      <c r="DL28" s="117"/>
      <c r="DM28" s="117"/>
      <c r="DN28" s="117"/>
      <c r="DO28" s="117"/>
      <c r="DP28" s="117"/>
      <c r="DQ28" s="117"/>
      <c r="DR28" s="117"/>
      <c r="DS28" s="117"/>
      <c r="DT28" s="117"/>
      <c r="DU28" s="117"/>
      <c r="DV28" s="117"/>
      <c r="DW28" s="117"/>
      <c r="DX28" s="117"/>
      <c r="DY28" s="117"/>
      <c r="DZ28" s="117"/>
      <c r="EA28" s="117"/>
      <c r="EB28" s="117"/>
      <c r="EC28" s="117"/>
      <c r="ED28" s="117"/>
      <c r="EE28" s="117"/>
      <c r="EF28" s="117"/>
      <c r="EG28" s="117"/>
      <c r="EH28" s="117"/>
      <c r="EI28" s="117"/>
      <c r="EJ28" s="117"/>
      <c r="EK28" s="117"/>
      <c r="EL28" s="117"/>
      <c r="EM28" s="117"/>
      <c r="EN28" s="117"/>
      <c r="EO28" s="117"/>
      <c r="EP28" s="117"/>
      <c r="EQ28" s="117"/>
      <c r="ER28" s="117"/>
      <c r="ES28" s="117"/>
      <c r="ET28" s="117"/>
      <c r="EU28" s="117"/>
      <c r="EV28" s="117"/>
      <c r="EW28" s="117"/>
      <c r="EX28" s="117"/>
      <c r="EY28" s="117"/>
      <c r="EZ28" s="117"/>
      <c r="FA28" s="117"/>
      <c r="FB28" s="117"/>
      <c r="FC28" s="117"/>
      <c r="FD28" s="117"/>
      <c r="FE28" s="117"/>
      <c r="FF28" s="117"/>
      <c r="FG28" s="117"/>
      <c r="FH28" s="117"/>
      <c r="FI28" s="117"/>
      <c r="FJ28" s="117"/>
      <c r="FK28" s="117"/>
      <c r="FL28" s="117"/>
      <c r="FM28" s="117"/>
      <c r="FN28" s="117"/>
      <c r="FO28" s="117"/>
    </row>
    <row r="29" spans="1:171" ht="15.75" customHeight="1" x14ac:dyDescent="0.15">
      <c r="A29" s="115">
        <f ca="1">IFERROR(__xludf.DUMMYFUNCTION("""COMPUTED_VALUE"""),44621)</f>
        <v>44621</v>
      </c>
      <c r="B29" s="119">
        <f ca="1">IFERROR(__xludf.DUMMYFUNCTION("""COMPUTED_VALUE"""),3022.84)</f>
        <v>3022.84</v>
      </c>
      <c r="C29" s="119">
        <f ca="1">IFERROR(__xludf.DUMMYFUNCTION("""COMPUTED_VALUE"""),203.49)</f>
        <v>203.49</v>
      </c>
      <c r="D29" s="119">
        <f ca="1">IFERROR(__xludf.DUMMYFUNCTION("""COMPUTED_VALUE"""),864.37)</f>
        <v>864.37</v>
      </c>
      <c r="E29" s="119">
        <f ca="1">IFERROR(__xludf.DUMMYFUNCTION("""COMPUTED_VALUE"""),431)</f>
        <v>431</v>
      </c>
      <c r="F29" s="119">
        <f ca="1">IFERROR(__xludf.DUMMYFUNCTION("""COMPUTED_VALUE"""),10.02)</f>
        <v>10.02</v>
      </c>
      <c r="G29" s="119">
        <f ca="1">IFERROR(__xludf.DUMMYFUNCTION("""COMPUTED_VALUE"""),163.2)</f>
        <v>163.19999999999999</v>
      </c>
      <c r="H29" s="119">
        <f ca="1">IFERROR(__xludf.DUMMYFUNCTION("""COMPUTED_VALUE"""),9.3)</f>
        <v>9.3000000000000007</v>
      </c>
      <c r="I29" s="119">
        <f ca="1">IFERROR(__xludf.DUMMYFUNCTION("""COMPUTED_VALUE"""),13.5)</f>
        <v>13.5</v>
      </c>
      <c r="J29" s="119">
        <f ca="1">IFERROR(__xludf.DUMMYFUNCTION("""COMPUTED_VALUE"""),0.75)</f>
        <v>0.75</v>
      </c>
      <c r="K29" s="119">
        <f ca="1">IFERROR(__xludf.DUMMYFUNCTION("""COMPUTED_VALUE"""),44.45)</f>
        <v>44.45</v>
      </c>
      <c r="L29" s="119">
        <f ca="1">IFERROR(__xludf.DUMMYFUNCTION("""COMPUTED_VALUE"""),173.4)</f>
        <v>173.4</v>
      </c>
      <c r="M29" s="119">
        <f ca="1">IFERROR(__xludf.DUMMYFUNCTION("""COMPUTED_VALUE"""),44085.594)</f>
        <v>44085.593999999997</v>
      </c>
      <c r="N29" s="119">
        <f ca="1">IFERROR(__xludf.DUMMYFUNCTION("""COMPUTED_VALUE"""),386.24)</f>
        <v>386.24</v>
      </c>
      <c r="O29" s="119">
        <f ca="1">IFERROR(__xludf.DUMMYFUNCTION("""COMPUTED_VALUE"""),294.95)</f>
        <v>294.95</v>
      </c>
      <c r="P29" s="119">
        <f ca="1">IFERROR(__xludf.DUMMYFUNCTION("""COMPUTED_VALUE"""),23.35)</f>
        <v>23.35</v>
      </c>
      <c r="Q29" s="119">
        <f ca="1">IFERROR(__xludf.DUMMYFUNCTION("""COMPUTED_VALUE"""),24.39)</f>
        <v>24.39</v>
      </c>
      <c r="R29" s="119">
        <f ca="1">IFERROR(__xludf.DUMMYFUNCTION("""COMPUTED_VALUE"""),73.3)</f>
        <v>73.3</v>
      </c>
      <c r="S29" s="119">
        <f ca="1">IFERROR(__xludf.DUMMYFUNCTION("""COMPUTED_VALUE"""),30.75)</f>
        <v>30.75</v>
      </c>
      <c r="T29" s="119">
        <f ca="1">IFERROR(__xludf.DUMMYFUNCTION("""COMPUTED_VALUE"""),33.84)</f>
        <v>33.840000000000003</v>
      </c>
      <c r="U29" s="119">
        <f ca="1">IFERROR(__xludf.DUMMYFUNCTION("""COMPUTED_VALUE"""),41.92)</f>
        <v>41.92</v>
      </c>
      <c r="V29" s="119">
        <f ca="1">IFERROR(__xludf.DUMMYFUNCTION("""COMPUTED_VALUE"""),17.38)</f>
        <v>17.38</v>
      </c>
      <c r="W29" s="119">
        <f ca="1">IFERROR(__xludf.DUMMYFUNCTION("""COMPUTED_VALUE"""),239.63)</f>
        <v>239.63</v>
      </c>
      <c r="X29" s="119">
        <f ca="1">IFERROR(__xludf.DUMMYFUNCTION("""COMPUTED_VALUE"""),2683.36)</f>
        <v>2683.36</v>
      </c>
      <c r="Y29" s="119">
        <f ca="1">IFERROR(__xludf.DUMMYFUNCTION("""COMPUTED_VALUE"""),60.7)</f>
        <v>60.7</v>
      </c>
      <c r="Z29" s="119">
        <f ca="1">IFERROR(__xludf.DUMMYFUNCTION("""COMPUTED_VALUE"""),67.35)</f>
        <v>67.349999999999994</v>
      </c>
      <c r="AA29" s="119">
        <f ca="1">IFERROR(__xludf.DUMMYFUNCTION("""COMPUTED_VALUE"""),117.65)</f>
        <v>117.65</v>
      </c>
      <c r="AB29" s="119">
        <f ca="1">IFERROR(__xludf.DUMMYFUNCTION("""COMPUTED_VALUE"""),4.67)</f>
        <v>4.67</v>
      </c>
      <c r="AC29" s="119">
        <f ca="1">IFERROR(__xludf.DUMMYFUNCTION("""COMPUTED_VALUE"""),71.29)</f>
        <v>71.290000000000006</v>
      </c>
      <c r="AD29" s="119">
        <f ca="1">IFERROR(__xludf.DUMMYFUNCTION("""COMPUTED_VALUE"""),12.01)</f>
        <v>12.01</v>
      </c>
      <c r="AE29" s="119">
        <f ca="1">IFERROR(__xludf.DUMMYFUNCTION("""COMPUTED_VALUE"""),5.84)</f>
        <v>5.84</v>
      </c>
      <c r="AF29" s="119">
        <f ca="1">IFERROR(__xludf.DUMMYFUNCTION("""COMPUTED_VALUE"""),47.32)</f>
        <v>47.32</v>
      </c>
      <c r="AG29" s="119">
        <f ca="1">IFERROR(__xludf.DUMMYFUNCTION("""COMPUTED_VALUE"""),16.42)</f>
        <v>16.420000000000002</v>
      </c>
      <c r="AH29" s="119">
        <f ca="1">IFERROR(__xludf.DUMMYFUNCTION("""COMPUTED_VALUE"""),2.1)</f>
        <v>2.1</v>
      </c>
      <c r="AI29" s="119">
        <f ca="1">IFERROR(__xludf.DUMMYFUNCTION("""COMPUTED_VALUE"""),3.61)</f>
        <v>3.61</v>
      </c>
      <c r="AJ29" s="119">
        <f ca="1">IFERROR(__xludf.DUMMYFUNCTION("""COMPUTED_VALUE"""),120.3)</f>
        <v>120.3</v>
      </c>
      <c r="AK29" s="119">
        <f ca="1">IFERROR(__xludf.DUMMYFUNCTION("""COMPUTED_VALUE"""),234.77)</f>
        <v>234.77</v>
      </c>
      <c r="AL29" s="119">
        <f ca="1">IFERROR(__xludf.DUMMYFUNCTION("""COMPUTED_VALUE"""),14.68)</f>
        <v>14.68</v>
      </c>
      <c r="AM29" s="119">
        <f ca="1">IFERROR(__xludf.DUMMYFUNCTION("""COMPUTED_VALUE"""),42.47)</f>
        <v>42.47</v>
      </c>
      <c r="AN29" s="119">
        <f ca="1">IFERROR(__xludf.DUMMYFUNCTION("""COMPUTED_VALUE"""),316.84)</f>
        <v>316.83999999999997</v>
      </c>
      <c r="AO29" s="119">
        <f ca="1">IFERROR(__xludf.DUMMYFUNCTION("""COMPUTED_VALUE"""),100.86)</f>
        <v>100.86</v>
      </c>
      <c r="AP29" s="119">
        <f ca="1">IFERROR(__xludf.DUMMYFUNCTION("""COMPUTED_VALUE"""),80.88)</f>
        <v>80.88</v>
      </c>
      <c r="AQ29" s="119">
        <f ca="1">IFERROR(__xludf.DUMMYFUNCTION("""COMPUTED_VALUE"""),54.57)</f>
        <v>54.57</v>
      </c>
      <c r="AR29" s="118">
        <f ca="1">IFERROR(__xludf.DUMMYFUNCTION("""COMPUTED_VALUE"""),105.0855)</f>
        <v>105.0855</v>
      </c>
      <c r="AS29" s="119">
        <f ca="1">IFERROR(__xludf.DUMMYFUNCTION("""COMPUTED_VALUE"""),20.34)</f>
        <v>20.34</v>
      </c>
      <c r="AT29" s="119">
        <f ca="1">IFERROR(__xludf.DUMMYFUNCTION("""COMPUTED_VALUE"""),103.8)</f>
        <v>103.8</v>
      </c>
      <c r="AU29" s="119">
        <f ca="1">IFERROR(__xludf.DUMMYFUNCTION("""COMPUTED_VALUE"""),62.76)</f>
        <v>62.76</v>
      </c>
      <c r="AV29" s="119">
        <f ca="1">IFERROR(__xludf.DUMMYFUNCTION("""COMPUTED_VALUE"""),145.7)</f>
        <v>145.69999999999999</v>
      </c>
      <c r="AW29" s="119">
        <f ca="1">IFERROR(__xludf.DUMMYFUNCTION("""COMPUTED_VALUE"""),129.61)</f>
        <v>129.61000000000001</v>
      </c>
      <c r="AX29" s="119">
        <f ca="1">IFERROR(__xludf.DUMMYFUNCTION("""COMPUTED_VALUE"""),28.95)</f>
        <v>28.95</v>
      </c>
      <c r="AY29" s="119">
        <f ca="1">IFERROR(__xludf.DUMMYFUNCTION("""COMPUTED_VALUE"""),50.22)</f>
        <v>50.22</v>
      </c>
      <c r="AZ29" s="119">
        <f ca="1">IFERROR(__xludf.DUMMYFUNCTION("""COMPUTED_VALUE"""),0)</f>
        <v>0</v>
      </c>
      <c r="BA29" s="119">
        <f ca="1">IFERROR(__xludf.DUMMYFUNCTION("""COMPUTED_VALUE"""),0)</f>
        <v>0</v>
      </c>
      <c r="BB29" s="119">
        <f ca="1">IFERROR(__xludf.DUMMYFUNCTION("""COMPUTED_VALUE"""),14.5)</f>
        <v>14.5</v>
      </c>
      <c r="BC29" s="119">
        <f ca="1">IFERROR(__xludf.DUMMYFUNCTION("""COMPUTED_VALUE"""),52.28)</f>
        <v>52.28</v>
      </c>
      <c r="BD29" s="119">
        <f ca="1">IFERROR(__xludf.DUMMYFUNCTION("""COMPUTED_VALUE"""),204.2)</f>
        <v>204.2</v>
      </c>
      <c r="BE29" s="119">
        <f ca="1">IFERROR(__xludf.DUMMYFUNCTION("""COMPUTED_VALUE"""),151.6)</f>
        <v>151.6</v>
      </c>
      <c r="BF29" s="119">
        <f ca="1">IFERROR(__xludf.DUMMYFUNCTION("""COMPUTED_VALUE"""),16.18)</f>
        <v>16.18</v>
      </c>
      <c r="BG29" s="119">
        <f ca="1">IFERROR(__xludf.DUMMYFUNCTION("""COMPUTED_VALUE"""),576.75)</f>
        <v>576.75</v>
      </c>
      <c r="BH29" s="119">
        <f ca="1">IFERROR(__xludf.DUMMYFUNCTION("""COMPUTED_VALUE"""),307.27)</f>
        <v>307.27</v>
      </c>
      <c r="BI29" s="119">
        <f ca="1">IFERROR(__xludf.DUMMYFUNCTION("""COMPUTED_VALUE"""),225.21)</f>
        <v>225.21</v>
      </c>
      <c r="BJ29" s="119">
        <f ca="1">IFERROR(__xludf.DUMMYFUNCTION("""COMPUTED_VALUE"""),24.99)</f>
        <v>24.99</v>
      </c>
      <c r="BK29" s="119">
        <f ca="1">IFERROR(__xludf.DUMMYFUNCTION("""COMPUTED_VALUE"""),307.71)</f>
        <v>307.70999999999998</v>
      </c>
      <c r="BL29" s="119">
        <f ca="1">IFERROR(__xludf.DUMMYFUNCTION("""COMPUTED_VALUE"""),123.13)</f>
        <v>123.13</v>
      </c>
      <c r="BM29" s="119">
        <f ca="1">IFERROR(__xludf.DUMMYFUNCTION("""COMPUTED_VALUE"""),16.7)</f>
        <v>16.7</v>
      </c>
      <c r="BN29" s="119">
        <f ca="1">IFERROR(__xludf.DUMMYFUNCTION("""COMPUTED_VALUE"""),379.56)</f>
        <v>379.56</v>
      </c>
      <c r="BO29" s="119">
        <f ca="1">IFERROR(__xludf.DUMMYFUNCTION("""COMPUTED_VALUE"""),689.08)</f>
        <v>689.08</v>
      </c>
      <c r="BP29" s="119">
        <f ca="1">IFERROR(__xludf.DUMMYFUNCTION("""COMPUTED_VALUE"""),61.91)</f>
        <v>61.91</v>
      </c>
      <c r="BQ29" s="119">
        <f ca="1">IFERROR(__xludf.DUMMYFUNCTION("""COMPUTED_VALUE"""),11.2)</f>
        <v>11.2</v>
      </c>
      <c r="BR29" s="119">
        <f ca="1">IFERROR(__xludf.DUMMYFUNCTION("""COMPUTED_VALUE"""),36.58)</f>
        <v>36.58</v>
      </c>
      <c r="BS29" s="119">
        <f ca="1">IFERROR(__xludf.DUMMYFUNCTION("""COMPUTED_VALUE"""),0.84)</f>
        <v>0.84</v>
      </c>
      <c r="BT29" s="119">
        <f ca="1">IFERROR(__xludf.DUMMYFUNCTION("""COMPUTED_VALUE"""),49.9)</f>
        <v>49.9</v>
      </c>
      <c r="BU29" s="119">
        <f ca="1">IFERROR(__xludf.DUMMYFUNCTION("""COMPUTED_VALUE"""),37.6)</f>
        <v>37.6</v>
      </c>
      <c r="BV29" s="119">
        <f ca="1">IFERROR(__xludf.DUMMYFUNCTION("""COMPUTED_VALUE"""),53.15)</f>
        <v>53.15</v>
      </c>
      <c r="BW29" s="119">
        <f ca="1">IFERROR(__xludf.DUMMYFUNCTION("""COMPUTED_VALUE"""),7.92)</f>
        <v>7.92</v>
      </c>
      <c r="BX29" s="119">
        <f ca="1">IFERROR(__xludf.DUMMYFUNCTION("""COMPUTED_VALUE"""),6.89)</f>
        <v>6.89</v>
      </c>
      <c r="BY29" s="119">
        <f ca="1">IFERROR(__xludf.DUMMYFUNCTION("""COMPUTED_VALUE"""),0)</f>
        <v>0</v>
      </c>
      <c r="BZ29" s="119">
        <f ca="1">IFERROR(__xludf.DUMMYFUNCTION("""COMPUTED_VALUE"""),13.56)</f>
        <v>13.56</v>
      </c>
      <c r="CA29" s="119">
        <f ca="1">IFERROR(__xludf.DUMMYFUNCTION("""COMPUTED_VALUE"""),4.09)</f>
        <v>4.09</v>
      </c>
      <c r="CB29" s="119">
        <f ca="1">IFERROR(__xludf.DUMMYFUNCTION("""COMPUTED_VALUE"""),6.29)</f>
        <v>6.29</v>
      </c>
      <c r="CC29" s="119">
        <f ca="1">IFERROR(__xludf.DUMMYFUNCTION("""COMPUTED_VALUE"""),21.26)</f>
        <v>21.26</v>
      </c>
      <c r="CD29" s="119">
        <f ca="1">IFERROR(__xludf.DUMMYFUNCTION("""COMPUTED_VALUE"""),16.83)</f>
        <v>16.829999999999998</v>
      </c>
      <c r="CE29" s="119">
        <f ca="1">IFERROR(__xludf.DUMMYFUNCTION("""COMPUTED_VALUE"""),36.35)</f>
        <v>36.35</v>
      </c>
      <c r="CF29" s="119">
        <f ca="1">IFERROR(__xludf.DUMMYFUNCTION("""COMPUTED_VALUE"""),105.86)</f>
        <v>105.86</v>
      </c>
      <c r="CG29" s="119">
        <f ca="1">IFERROR(__xludf.DUMMYFUNCTION("""COMPUTED_VALUE"""),6.49)</f>
        <v>6.49</v>
      </c>
      <c r="CH29" s="119">
        <f ca="1">IFERROR(__xludf.DUMMYFUNCTION("""COMPUTED_VALUE"""),23.46)</f>
        <v>23.46</v>
      </c>
      <c r="CI29" s="119">
        <f ca="1">IFERROR(__xludf.DUMMYFUNCTION("""COMPUTED_VALUE"""),47.46)</f>
        <v>47.46</v>
      </c>
      <c r="CJ29" s="119">
        <f ca="1">IFERROR(__xludf.DUMMYFUNCTION("""COMPUTED_VALUE"""),17.9)</f>
        <v>17.899999999999999</v>
      </c>
      <c r="CK29" s="119">
        <f ca="1">IFERROR(__xludf.DUMMYFUNCTION("""COMPUTED_VALUE"""),12.85)</f>
        <v>12.85</v>
      </c>
      <c r="CL29" s="119">
        <f ca="1">IFERROR(__xludf.DUMMYFUNCTION("""COMPUTED_VALUE"""),2681.23)</f>
        <v>2681.23</v>
      </c>
      <c r="CM29" s="119">
        <f ca="1">IFERROR(__xludf.DUMMYFUNCTION("""COMPUTED_VALUE"""),1.75)</f>
        <v>1.75</v>
      </c>
      <c r="CN29" s="119">
        <f ca="1">IFERROR(__xludf.DUMMYFUNCTION("""COMPUTED_VALUE"""),250.2)</f>
        <v>250.2</v>
      </c>
      <c r="CO29" s="119">
        <f ca="1">IFERROR(__xludf.DUMMYFUNCTION("""COMPUTED_VALUE"""),148.1)</f>
        <v>148.1</v>
      </c>
      <c r="CP29" s="119">
        <f ca="1">IFERROR(__xludf.DUMMYFUNCTION("""COMPUTED_VALUE"""),68.31)</f>
        <v>68.31</v>
      </c>
      <c r="CQ29" s="119">
        <f ca="1">IFERROR(__xludf.DUMMYFUNCTION("""COMPUTED_VALUE"""),71700)</f>
        <v>71700</v>
      </c>
      <c r="CR29" s="119">
        <f ca="1">IFERROR(__xludf.DUMMYFUNCTION("""COMPUTED_VALUE"""),1)</f>
        <v>1</v>
      </c>
      <c r="CS29" s="119">
        <f ca="1">IFERROR(__xludf.DUMMYFUNCTION("""COMPUTED_VALUE"""),43)</f>
        <v>43</v>
      </c>
      <c r="CT29" s="119">
        <f ca="1">IFERROR(__xludf.DUMMYFUNCTION("""COMPUTED_VALUE"""),22.88)</f>
        <v>22.88</v>
      </c>
      <c r="CU29" s="119">
        <f ca="1">IFERROR(__xludf.DUMMYFUNCTION("""COMPUTED_VALUE"""),1944)</f>
        <v>1944</v>
      </c>
      <c r="CV29" s="117"/>
      <c r="CW29" s="117"/>
      <c r="CX29" s="117"/>
      <c r="CY29" s="117"/>
      <c r="CZ29" s="117"/>
      <c r="DA29" s="117"/>
      <c r="DB29" s="117"/>
      <c r="DC29" s="117"/>
      <c r="DD29" s="117"/>
      <c r="DE29" s="117"/>
      <c r="DF29" s="117"/>
      <c r="DG29" s="117"/>
      <c r="DH29" s="117"/>
      <c r="DI29" s="117"/>
      <c r="DJ29" s="117"/>
      <c r="DK29" s="117"/>
      <c r="DL29" s="117"/>
      <c r="DM29" s="117"/>
      <c r="DN29" s="117"/>
      <c r="DO29" s="117"/>
      <c r="DP29" s="117"/>
      <c r="DQ29" s="117"/>
      <c r="DR29" s="117"/>
      <c r="DS29" s="117"/>
      <c r="DT29" s="117"/>
      <c r="DU29" s="117"/>
      <c r="DV29" s="117"/>
      <c r="DW29" s="117"/>
      <c r="DX29" s="117"/>
      <c r="DY29" s="117"/>
      <c r="DZ29" s="117"/>
      <c r="EA29" s="117"/>
      <c r="EB29" s="117"/>
      <c r="EC29" s="117"/>
      <c r="ED29" s="117"/>
      <c r="EE29" s="117"/>
      <c r="EF29" s="117"/>
      <c r="EG29" s="117"/>
      <c r="EH29" s="117"/>
      <c r="EI29" s="117"/>
      <c r="EJ29" s="117"/>
      <c r="EK29" s="117"/>
      <c r="EL29" s="117"/>
      <c r="EM29" s="117"/>
      <c r="EN29" s="117"/>
      <c r="EO29" s="117"/>
      <c r="EP29" s="117"/>
      <c r="EQ29" s="117"/>
      <c r="ER29" s="117"/>
      <c r="ES29" s="117"/>
      <c r="ET29" s="117"/>
      <c r="EU29" s="117"/>
      <c r="EV29" s="117"/>
      <c r="EW29" s="117"/>
      <c r="EX29" s="117"/>
      <c r="EY29" s="117"/>
      <c r="EZ29" s="117"/>
      <c r="FA29" s="117"/>
      <c r="FB29" s="117"/>
      <c r="FC29" s="117"/>
      <c r="FD29" s="117"/>
      <c r="FE29" s="117"/>
      <c r="FF29" s="117"/>
      <c r="FG29" s="117"/>
      <c r="FH29" s="117"/>
      <c r="FI29" s="117"/>
      <c r="FJ29" s="117"/>
      <c r="FK29" s="117"/>
      <c r="FL29" s="117"/>
      <c r="FM29" s="117"/>
      <c r="FN29" s="117"/>
      <c r="FO29" s="117"/>
    </row>
    <row r="30" spans="1:171" ht="15.75" customHeight="1" x14ac:dyDescent="0.15">
      <c r="A30" s="115">
        <f ca="1">IFERROR(__xludf.DUMMYFUNCTION("""COMPUTED_VALUE"""),44622)</f>
        <v>44622</v>
      </c>
      <c r="B30" s="119">
        <f ca="1">IFERROR(__xludf.DUMMYFUNCTION("""COMPUTED_VALUE"""),3041.05)</f>
        <v>3041.05</v>
      </c>
      <c r="C30" s="119">
        <f ca="1">IFERROR(__xludf.DUMMYFUNCTION("""COMPUTED_VALUE"""),208.11)</f>
        <v>208.11</v>
      </c>
      <c r="D30" s="119">
        <f ca="1">IFERROR(__xludf.DUMMYFUNCTION("""COMPUTED_VALUE"""),879.89)</f>
        <v>879.89</v>
      </c>
      <c r="E30" s="119">
        <f ca="1">IFERROR(__xludf.DUMMYFUNCTION("""COMPUTED_VALUE"""),423.4)</f>
        <v>423.4</v>
      </c>
      <c r="F30" s="119">
        <f ca="1">IFERROR(__xludf.DUMMYFUNCTION("""COMPUTED_VALUE"""),10.36)</f>
        <v>10.36</v>
      </c>
      <c r="G30" s="119">
        <f ca="1">IFERROR(__xludf.DUMMYFUNCTION("""COMPUTED_VALUE"""),166.56)</f>
        <v>166.56</v>
      </c>
      <c r="H30" s="119">
        <f ca="1">IFERROR(__xludf.DUMMYFUNCTION("""COMPUTED_VALUE"""),10.45)</f>
        <v>10.45</v>
      </c>
      <c r="I30" s="119">
        <f ca="1">IFERROR(__xludf.DUMMYFUNCTION("""COMPUTED_VALUE"""),9.69)</f>
        <v>9.69</v>
      </c>
      <c r="J30" s="119">
        <f ca="1">IFERROR(__xludf.DUMMYFUNCTION("""COMPUTED_VALUE"""),0.75)</f>
        <v>0.75</v>
      </c>
      <c r="K30" s="119">
        <f ca="1">IFERROR(__xludf.DUMMYFUNCTION("""COMPUTED_VALUE"""),45)</f>
        <v>45</v>
      </c>
      <c r="L30" s="119">
        <f ca="1">IFERROR(__xludf.DUMMYFUNCTION("""COMPUTED_VALUE"""),176.4)</f>
        <v>176.4</v>
      </c>
      <c r="M30" s="119">
        <f ca="1">IFERROR(__xludf.DUMMYFUNCTION("""COMPUTED_VALUE"""),43969.242)</f>
        <v>43969.241999999998</v>
      </c>
      <c r="N30" s="119">
        <f ca="1">IFERROR(__xludf.DUMMYFUNCTION("""COMPUTED_VALUE"""),380.03)</f>
        <v>380.03</v>
      </c>
      <c r="O30" s="119">
        <f ca="1">IFERROR(__xludf.DUMMYFUNCTION("""COMPUTED_VALUE"""),300.19)</f>
        <v>300.19</v>
      </c>
      <c r="P30" s="119">
        <f ca="1">IFERROR(__xludf.DUMMYFUNCTION("""COMPUTED_VALUE"""),23.12)</f>
        <v>23.12</v>
      </c>
      <c r="Q30" s="119">
        <f ca="1">IFERROR(__xludf.DUMMYFUNCTION("""COMPUTED_VALUE"""),24.58)</f>
        <v>24.58</v>
      </c>
      <c r="R30" s="119">
        <f ca="1">IFERROR(__xludf.DUMMYFUNCTION("""COMPUTED_VALUE"""),71.79)</f>
        <v>71.790000000000006</v>
      </c>
      <c r="S30" s="119">
        <f ca="1">IFERROR(__xludf.DUMMYFUNCTION("""COMPUTED_VALUE"""),30.177)</f>
        <v>30.177</v>
      </c>
      <c r="T30" s="119">
        <f ca="1">IFERROR(__xludf.DUMMYFUNCTION("""COMPUTED_VALUE"""),34.42)</f>
        <v>34.42</v>
      </c>
      <c r="U30" s="119">
        <f ca="1">IFERROR(__xludf.DUMMYFUNCTION("""COMPUTED_VALUE"""),43.73)</f>
        <v>43.73</v>
      </c>
      <c r="V30" s="119">
        <f ca="1">IFERROR(__xludf.DUMMYFUNCTION("""COMPUTED_VALUE"""),17.94)</f>
        <v>17.940000000000001</v>
      </c>
      <c r="W30" s="119">
        <f ca="1">IFERROR(__xludf.DUMMYFUNCTION("""COMPUTED_VALUE"""),240.94)</f>
        <v>240.94</v>
      </c>
      <c r="X30" s="119">
        <f ca="1">IFERROR(__xludf.DUMMYFUNCTION("""COMPUTED_VALUE"""),2695.03)</f>
        <v>2695.03</v>
      </c>
      <c r="Y30" s="119">
        <f ca="1">IFERROR(__xludf.DUMMYFUNCTION("""COMPUTED_VALUE"""),58.85)</f>
        <v>58.85</v>
      </c>
      <c r="Z30" s="119">
        <f ca="1">IFERROR(__xludf.DUMMYFUNCTION("""COMPUTED_VALUE"""),66.05)</f>
        <v>66.05</v>
      </c>
      <c r="AA30" s="119">
        <f ca="1">IFERROR(__xludf.DUMMYFUNCTION("""COMPUTED_VALUE"""),119.8)</f>
        <v>119.8</v>
      </c>
      <c r="AB30" s="119">
        <f ca="1">IFERROR(__xludf.DUMMYFUNCTION("""COMPUTED_VALUE"""),4.59)</f>
        <v>4.59</v>
      </c>
      <c r="AC30" s="119">
        <f ca="1">IFERROR(__xludf.DUMMYFUNCTION("""COMPUTED_VALUE"""),72.92)</f>
        <v>72.92</v>
      </c>
      <c r="AD30" s="119">
        <f ca="1">IFERROR(__xludf.DUMMYFUNCTION("""COMPUTED_VALUE"""),12.1)</f>
        <v>12.1</v>
      </c>
      <c r="AE30" s="119">
        <f ca="1">IFERROR(__xludf.DUMMYFUNCTION("""COMPUTED_VALUE"""),5.87)</f>
        <v>5.87</v>
      </c>
      <c r="AF30" s="119">
        <f ca="1">IFERROR(__xludf.DUMMYFUNCTION("""COMPUTED_VALUE"""),47.33)</f>
        <v>47.33</v>
      </c>
      <c r="AG30" s="119">
        <f ca="1">IFERROR(__xludf.DUMMYFUNCTION("""COMPUTED_VALUE"""),15.6)</f>
        <v>15.6</v>
      </c>
      <c r="AH30" s="119">
        <f ca="1">IFERROR(__xludf.DUMMYFUNCTION("""COMPUTED_VALUE"""),2.07)</f>
        <v>2.0699999999999998</v>
      </c>
      <c r="AI30" s="119">
        <f ca="1">IFERROR(__xludf.DUMMYFUNCTION("""COMPUTED_VALUE"""),3.53)</f>
        <v>3.53</v>
      </c>
      <c r="AJ30" s="119">
        <f ca="1">IFERROR(__xludf.DUMMYFUNCTION("""COMPUTED_VALUE"""),115.6)</f>
        <v>115.6</v>
      </c>
      <c r="AK30" s="119">
        <f ca="1">IFERROR(__xludf.DUMMYFUNCTION("""COMPUTED_VALUE"""),242.2)</f>
        <v>242.2</v>
      </c>
      <c r="AL30" s="119">
        <f ca="1">IFERROR(__xludf.DUMMYFUNCTION("""COMPUTED_VALUE"""),14.82)</f>
        <v>14.82</v>
      </c>
      <c r="AM30" s="119">
        <f ca="1">IFERROR(__xludf.DUMMYFUNCTION("""COMPUTED_VALUE"""),43.16)</f>
        <v>43.16</v>
      </c>
      <c r="AN30" s="119">
        <f ca="1">IFERROR(__xludf.DUMMYFUNCTION("""COMPUTED_VALUE"""),323.64)</f>
        <v>323.64</v>
      </c>
      <c r="AO30" s="119">
        <f ca="1">IFERROR(__xludf.DUMMYFUNCTION("""COMPUTED_VALUE"""),101.74)</f>
        <v>101.74</v>
      </c>
      <c r="AP30" s="119">
        <f ca="1">IFERROR(__xludf.DUMMYFUNCTION("""COMPUTED_VALUE"""),81.48)</f>
        <v>81.48</v>
      </c>
      <c r="AQ30" s="119">
        <f ca="1">IFERROR(__xludf.DUMMYFUNCTION("""COMPUTED_VALUE"""),53.95)</f>
        <v>53.95</v>
      </c>
      <c r="AR30" s="118">
        <f ca="1">IFERROR(__xludf.DUMMYFUNCTION("""COMPUTED_VALUE"""),105.270999999999)</f>
        <v>105.27099999999901</v>
      </c>
      <c r="AS30" s="119">
        <f ca="1">IFERROR(__xludf.DUMMYFUNCTION("""COMPUTED_VALUE"""),18.44)</f>
        <v>18.440000000000001</v>
      </c>
      <c r="AT30" s="119">
        <f ca="1">IFERROR(__xludf.DUMMYFUNCTION("""COMPUTED_VALUE"""),103.9)</f>
        <v>103.9</v>
      </c>
      <c r="AU30" s="119">
        <f ca="1">IFERROR(__xludf.DUMMYFUNCTION("""COMPUTED_VALUE"""),63.31)</f>
        <v>63.31</v>
      </c>
      <c r="AV30" s="119">
        <f ca="1">IFERROR(__xludf.DUMMYFUNCTION("""COMPUTED_VALUE"""),147.34)</f>
        <v>147.34</v>
      </c>
      <c r="AW30" s="119">
        <f ca="1">IFERROR(__xludf.DUMMYFUNCTION("""COMPUTED_VALUE"""),133.18)</f>
        <v>133.18</v>
      </c>
      <c r="AX30" s="119">
        <f ca="1">IFERROR(__xludf.DUMMYFUNCTION("""COMPUTED_VALUE"""),28.05)</f>
        <v>28.05</v>
      </c>
      <c r="AY30" s="119">
        <f ca="1">IFERROR(__xludf.DUMMYFUNCTION("""COMPUTED_VALUE"""),48.45)</f>
        <v>48.45</v>
      </c>
      <c r="AZ30" s="119">
        <f ca="1">IFERROR(__xludf.DUMMYFUNCTION("""COMPUTED_VALUE"""),0)</f>
        <v>0</v>
      </c>
      <c r="BA30" s="119">
        <f ca="1">IFERROR(__xludf.DUMMYFUNCTION("""COMPUTED_VALUE"""),0)</f>
        <v>0</v>
      </c>
      <c r="BB30" s="119">
        <f ca="1">IFERROR(__xludf.DUMMYFUNCTION("""COMPUTED_VALUE"""),14.22)</f>
        <v>14.22</v>
      </c>
      <c r="BC30" s="119">
        <f ca="1">IFERROR(__xludf.DUMMYFUNCTION("""COMPUTED_VALUE"""),49.99)</f>
        <v>49.99</v>
      </c>
      <c r="BD30" s="119">
        <f ca="1">IFERROR(__xludf.DUMMYFUNCTION("""COMPUTED_VALUE"""),199.7)</f>
        <v>199.7</v>
      </c>
      <c r="BE30" s="119">
        <f ca="1">IFERROR(__xludf.DUMMYFUNCTION("""COMPUTED_VALUE"""),146.1)</f>
        <v>146.1</v>
      </c>
      <c r="BF30" s="119">
        <f ca="1">IFERROR(__xludf.DUMMYFUNCTION("""COMPUTED_VALUE"""),15.36)</f>
        <v>15.36</v>
      </c>
      <c r="BG30" s="119">
        <f ca="1">IFERROR(__xludf.DUMMYFUNCTION("""COMPUTED_VALUE"""),582.06)</f>
        <v>582.05999999999995</v>
      </c>
      <c r="BH30" s="119">
        <f ca="1">IFERROR(__xludf.DUMMYFUNCTION("""COMPUTED_VALUE"""),309.28)</f>
        <v>309.27999999999997</v>
      </c>
      <c r="BI30" s="119">
        <f ca="1">IFERROR(__xludf.DUMMYFUNCTION("""COMPUTED_VALUE"""),228.59)</f>
        <v>228.59</v>
      </c>
      <c r="BJ30" s="119">
        <f ca="1">IFERROR(__xludf.DUMMYFUNCTION("""COMPUTED_VALUE"""),24.58)</f>
        <v>24.58</v>
      </c>
      <c r="BK30" s="119">
        <f ca="1">IFERROR(__xludf.DUMMYFUNCTION("""COMPUTED_VALUE"""),315.32)</f>
        <v>315.32</v>
      </c>
      <c r="BL30" s="119">
        <f ca="1">IFERROR(__xludf.DUMMYFUNCTION("""COMPUTED_VALUE"""),125.61)</f>
        <v>125.61</v>
      </c>
      <c r="BM30" s="119">
        <f ca="1">IFERROR(__xludf.DUMMYFUNCTION("""COMPUTED_VALUE"""),18.1)</f>
        <v>18.100000000000001</v>
      </c>
      <c r="BN30" s="119">
        <f ca="1">IFERROR(__xludf.DUMMYFUNCTION("""COMPUTED_VALUE"""),374.71)</f>
        <v>374.71</v>
      </c>
      <c r="BO30" s="119">
        <f ca="1">IFERROR(__xludf.DUMMYFUNCTION("""COMPUTED_VALUE"""),708.08)</f>
        <v>708.08</v>
      </c>
      <c r="BP30" s="119">
        <f ca="1">IFERROR(__xludf.DUMMYFUNCTION("""COMPUTED_VALUE"""),53.56)</f>
        <v>53.56</v>
      </c>
      <c r="BQ30" s="119">
        <f ca="1">IFERROR(__xludf.DUMMYFUNCTION("""COMPUTED_VALUE"""),11.58)</f>
        <v>11.58</v>
      </c>
      <c r="BR30" s="119">
        <f ca="1">IFERROR(__xludf.DUMMYFUNCTION("""COMPUTED_VALUE"""),40.12)</f>
        <v>40.119999999999997</v>
      </c>
      <c r="BS30" s="119">
        <f ca="1">IFERROR(__xludf.DUMMYFUNCTION("""COMPUTED_VALUE"""),0.86)</f>
        <v>0.86</v>
      </c>
      <c r="BT30" s="119">
        <f ca="1">IFERROR(__xludf.DUMMYFUNCTION("""COMPUTED_VALUE"""),50)</f>
        <v>50</v>
      </c>
      <c r="BU30" s="119">
        <f ca="1">IFERROR(__xludf.DUMMYFUNCTION("""COMPUTED_VALUE"""),36.95)</f>
        <v>36.950000000000003</v>
      </c>
      <c r="BV30" s="119">
        <f ca="1">IFERROR(__xludf.DUMMYFUNCTION("""COMPUTED_VALUE"""),52.25)</f>
        <v>52.25</v>
      </c>
      <c r="BW30" s="119">
        <f ca="1">IFERROR(__xludf.DUMMYFUNCTION("""COMPUTED_VALUE"""),7.77)</f>
        <v>7.77</v>
      </c>
      <c r="BX30" s="119">
        <f ca="1">IFERROR(__xludf.DUMMYFUNCTION("""COMPUTED_VALUE"""),6.76)</f>
        <v>6.76</v>
      </c>
      <c r="BY30" s="119">
        <f ca="1">IFERROR(__xludf.DUMMYFUNCTION("""COMPUTED_VALUE"""),0)</f>
        <v>0</v>
      </c>
      <c r="BZ30" s="119">
        <f ca="1">IFERROR(__xludf.DUMMYFUNCTION("""COMPUTED_VALUE"""),13.9)</f>
        <v>13.9</v>
      </c>
      <c r="CA30" s="119">
        <f ca="1">IFERROR(__xludf.DUMMYFUNCTION("""COMPUTED_VALUE"""),4.07)</f>
        <v>4.07</v>
      </c>
      <c r="CB30" s="119">
        <f ca="1">IFERROR(__xludf.DUMMYFUNCTION("""COMPUTED_VALUE"""),6.44)</f>
        <v>6.44</v>
      </c>
      <c r="CC30" s="119">
        <f ca="1">IFERROR(__xludf.DUMMYFUNCTION("""COMPUTED_VALUE"""),21.45)</f>
        <v>21.45</v>
      </c>
      <c r="CD30" s="119">
        <f ca="1">IFERROR(__xludf.DUMMYFUNCTION("""COMPUTED_VALUE"""),17.31)</f>
        <v>17.309999999999999</v>
      </c>
      <c r="CE30" s="119">
        <f ca="1">IFERROR(__xludf.DUMMYFUNCTION("""COMPUTED_VALUE"""),35.48)</f>
        <v>35.479999999999997</v>
      </c>
      <c r="CF30" s="119">
        <f ca="1">IFERROR(__xludf.DUMMYFUNCTION("""COMPUTED_VALUE"""),112.31)</f>
        <v>112.31</v>
      </c>
      <c r="CG30" s="119">
        <f ca="1">IFERROR(__xludf.DUMMYFUNCTION("""COMPUTED_VALUE"""),6.75)</f>
        <v>6.75</v>
      </c>
      <c r="CH30" s="119">
        <f ca="1">IFERROR(__xludf.DUMMYFUNCTION("""COMPUTED_VALUE"""),23.15)</f>
        <v>23.15</v>
      </c>
      <c r="CI30" s="119">
        <f ca="1">IFERROR(__xludf.DUMMYFUNCTION("""COMPUTED_VALUE"""),47.87)</f>
        <v>47.87</v>
      </c>
      <c r="CJ30" s="119">
        <f ca="1">IFERROR(__xludf.DUMMYFUNCTION("""COMPUTED_VALUE"""),27.91)</f>
        <v>27.91</v>
      </c>
      <c r="CK30" s="119">
        <f ca="1">IFERROR(__xludf.DUMMYFUNCTION("""COMPUTED_VALUE"""),13.15)</f>
        <v>13.15</v>
      </c>
      <c r="CL30" s="119">
        <f ca="1">IFERROR(__xludf.DUMMYFUNCTION("""COMPUTED_VALUE"""),2691.43)</f>
        <v>2691.43</v>
      </c>
      <c r="CM30" s="119">
        <f ca="1">IFERROR(__xludf.DUMMYFUNCTION("""COMPUTED_VALUE"""),1.56)</f>
        <v>1.56</v>
      </c>
      <c r="CN30" s="119">
        <f ca="1">IFERROR(__xludf.DUMMYFUNCTION("""COMPUTED_VALUE"""),238.6)</f>
        <v>238.6</v>
      </c>
      <c r="CO30" s="119">
        <f ca="1">IFERROR(__xludf.DUMMYFUNCTION("""COMPUTED_VALUE"""),158.1)</f>
        <v>158.1</v>
      </c>
      <c r="CP30" s="119">
        <f ca="1">IFERROR(__xludf.DUMMYFUNCTION("""COMPUTED_VALUE"""),67.56)</f>
        <v>67.56</v>
      </c>
      <c r="CQ30" s="119">
        <f ca="1">IFERROR(__xludf.DUMMYFUNCTION("""COMPUTED_VALUE"""),72700)</f>
        <v>72700</v>
      </c>
      <c r="CR30" s="119">
        <f ca="1">IFERROR(__xludf.DUMMYFUNCTION("""COMPUTED_VALUE"""),0.9)</f>
        <v>0.9</v>
      </c>
      <c r="CS30" s="119">
        <f ca="1">IFERROR(__xludf.DUMMYFUNCTION("""COMPUTED_VALUE"""),40.89)</f>
        <v>40.89</v>
      </c>
      <c r="CT30" s="119">
        <f ca="1">IFERROR(__xludf.DUMMYFUNCTION("""COMPUTED_VALUE"""),22.5)</f>
        <v>22.5</v>
      </c>
      <c r="CU30" s="119">
        <f ca="1">IFERROR(__xludf.DUMMYFUNCTION("""COMPUTED_VALUE"""),1932.6)</f>
        <v>1932.6</v>
      </c>
      <c r="CV30" s="117"/>
      <c r="CW30" s="117"/>
      <c r="CX30" s="117"/>
      <c r="CY30" s="117"/>
      <c r="CZ30" s="117"/>
      <c r="DA30" s="117"/>
      <c r="DB30" s="117"/>
      <c r="DC30" s="117"/>
      <c r="DD30" s="117"/>
      <c r="DE30" s="117"/>
      <c r="DF30" s="117"/>
      <c r="DG30" s="117"/>
      <c r="DH30" s="117"/>
      <c r="DI30" s="117"/>
      <c r="DJ30" s="117"/>
      <c r="DK30" s="117"/>
      <c r="DL30" s="117"/>
      <c r="DM30" s="117"/>
      <c r="DN30" s="117"/>
      <c r="DO30" s="117"/>
      <c r="DP30" s="117"/>
      <c r="DQ30" s="117"/>
      <c r="DR30" s="117"/>
      <c r="DS30" s="117"/>
      <c r="DT30" s="117"/>
      <c r="DU30" s="117"/>
      <c r="DV30" s="117"/>
      <c r="DW30" s="117"/>
      <c r="DX30" s="117"/>
      <c r="DY30" s="117"/>
      <c r="DZ30" s="117"/>
      <c r="EA30" s="117"/>
      <c r="EB30" s="117"/>
      <c r="EC30" s="117"/>
      <c r="ED30" s="117"/>
      <c r="EE30" s="117"/>
      <c r="EF30" s="117"/>
      <c r="EG30" s="117"/>
      <c r="EH30" s="117"/>
      <c r="EI30" s="117"/>
      <c r="EJ30" s="117"/>
      <c r="EK30" s="117"/>
      <c r="EL30" s="117"/>
      <c r="EM30" s="117"/>
      <c r="EN30" s="117"/>
      <c r="EO30" s="117"/>
      <c r="EP30" s="117"/>
      <c r="EQ30" s="117"/>
      <c r="ER30" s="117"/>
      <c r="ES30" s="117"/>
      <c r="ET30" s="117"/>
      <c r="EU30" s="117"/>
      <c r="EV30" s="117"/>
      <c r="EW30" s="117"/>
      <c r="EX30" s="117"/>
      <c r="EY30" s="117"/>
      <c r="EZ30" s="117"/>
      <c r="FA30" s="117"/>
      <c r="FB30" s="117"/>
      <c r="FC30" s="117"/>
      <c r="FD30" s="117"/>
      <c r="FE30" s="117"/>
      <c r="FF30" s="117"/>
      <c r="FG30" s="117"/>
      <c r="FH30" s="117"/>
      <c r="FI30" s="117"/>
      <c r="FJ30" s="117"/>
      <c r="FK30" s="117"/>
      <c r="FL30" s="117"/>
      <c r="FM30" s="117"/>
      <c r="FN30" s="117"/>
      <c r="FO30" s="117"/>
    </row>
    <row r="31" spans="1:171" ht="15.75" customHeight="1" x14ac:dyDescent="0.15">
      <c r="A31" s="115">
        <f ca="1">IFERROR(__xludf.DUMMYFUNCTION("""COMPUTED_VALUE"""),44623)</f>
        <v>44623</v>
      </c>
      <c r="B31" s="119">
        <f ca="1">IFERROR(__xludf.DUMMYFUNCTION("""COMPUTED_VALUE"""),2957.97)</f>
        <v>2957.97</v>
      </c>
      <c r="C31" s="119">
        <f ca="1">IFERROR(__xludf.DUMMYFUNCTION("""COMPUTED_VALUE"""),202.97)</f>
        <v>202.97</v>
      </c>
      <c r="D31" s="119">
        <f ca="1">IFERROR(__xludf.DUMMYFUNCTION("""COMPUTED_VALUE"""),839.29)</f>
        <v>839.29</v>
      </c>
      <c r="E31" s="119">
        <f ca="1">IFERROR(__xludf.DUMMYFUNCTION("""COMPUTED_VALUE"""),418.8)</f>
        <v>418.8</v>
      </c>
      <c r="F31" s="119">
        <f ca="1">IFERROR(__xludf.DUMMYFUNCTION("""COMPUTED_VALUE"""),10.64)</f>
        <v>10.64</v>
      </c>
      <c r="G31" s="119">
        <f ca="1">IFERROR(__xludf.DUMMYFUNCTION("""COMPUTED_VALUE"""),166.23)</f>
        <v>166.23</v>
      </c>
      <c r="H31" s="119">
        <f ca="1">IFERROR(__xludf.DUMMYFUNCTION("""COMPUTED_VALUE"""),12.43)</f>
        <v>12.43</v>
      </c>
      <c r="I31" s="119">
        <f ca="1">IFERROR(__xludf.DUMMYFUNCTION("""COMPUTED_VALUE"""),12.1)</f>
        <v>12.1</v>
      </c>
      <c r="J31" s="119">
        <f ca="1">IFERROR(__xludf.DUMMYFUNCTION("""COMPUTED_VALUE"""),0.57)</f>
        <v>0.56999999999999995</v>
      </c>
      <c r="K31" s="119">
        <f ca="1">IFERROR(__xludf.DUMMYFUNCTION("""COMPUTED_VALUE"""),42.75)</f>
        <v>42.75</v>
      </c>
      <c r="L31" s="119">
        <f ca="1">IFERROR(__xludf.DUMMYFUNCTION("""COMPUTED_VALUE"""),174.2)</f>
        <v>174.2</v>
      </c>
      <c r="M31" s="119">
        <f ca="1">IFERROR(__xludf.DUMMYFUNCTION("""COMPUTED_VALUE"""),42222.76)</f>
        <v>42222.76</v>
      </c>
      <c r="N31" s="119">
        <f ca="1">IFERROR(__xludf.DUMMYFUNCTION("""COMPUTED_VALUE"""),368.07)</f>
        <v>368.07</v>
      </c>
      <c r="O31" s="119">
        <f ca="1">IFERROR(__xludf.DUMMYFUNCTION("""COMPUTED_VALUE"""),295.92)</f>
        <v>295.92</v>
      </c>
      <c r="P31" s="119">
        <f ca="1">IFERROR(__xludf.DUMMYFUNCTION("""COMPUTED_VALUE"""),19.48)</f>
        <v>19.48</v>
      </c>
      <c r="Q31" s="119">
        <f ca="1">IFERROR(__xludf.DUMMYFUNCTION("""COMPUTED_VALUE"""),24.46)</f>
        <v>24.46</v>
      </c>
      <c r="R31" s="119">
        <f ca="1">IFERROR(__xludf.DUMMYFUNCTION("""COMPUTED_VALUE"""),67.83)</f>
        <v>67.83</v>
      </c>
      <c r="S31" s="119">
        <f ca="1">IFERROR(__xludf.DUMMYFUNCTION("""COMPUTED_VALUE"""),28.11)</f>
        <v>28.11</v>
      </c>
      <c r="T31" s="119">
        <f ca="1">IFERROR(__xludf.DUMMYFUNCTION("""COMPUTED_VALUE"""),31.26)</f>
        <v>31.26</v>
      </c>
      <c r="U31" s="119">
        <f ca="1">IFERROR(__xludf.DUMMYFUNCTION("""COMPUTED_VALUE"""),43.35)</f>
        <v>43.35</v>
      </c>
      <c r="V31" s="119">
        <f ca="1">IFERROR(__xludf.DUMMYFUNCTION("""COMPUTED_VALUE"""),17.23)</f>
        <v>17.23</v>
      </c>
      <c r="W31" s="119">
        <f ca="1">IFERROR(__xludf.DUMMYFUNCTION("""COMPUTED_VALUE"""),236.65)</f>
        <v>236.65</v>
      </c>
      <c r="X31" s="119">
        <f ca="1">IFERROR(__xludf.DUMMYFUNCTION("""COMPUTED_VALUE"""),2686.16)</f>
        <v>2686.16</v>
      </c>
      <c r="Y31" s="119">
        <f ca="1">IFERROR(__xludf.DUMMYFUNCTION("""COMPUTED_VALUE"""),59.05)</f>
        <v>59.05</v>
      </c>
      <c r="Z31" s="119">
        <f ca="1">IFERROR(__xludf.DUMMYFUNCTION("""COMPUTED_VALUE"""),63.25)</f>
        <v>63.25</v>
      </c>
      <c r="AA31" s="119">
        <f ca="1">IFERROR(__xludf.DUMMYFUNCTION("""COMPUTED_VALUE"""),104)</f>
        <v>104</v>
      </c>
      <c r="AB31" s="119">
        <f ca="1">IFERROR(__xludf.DUMMYFUNCTION("""COMPUTED_VALUE"""),4.65)</f>
        <v>4.6500000000000004</v>
      </c>
      <c r="AC31" s="119">
        <f ca="1">IFERROR(__xludf.DUMMYFUNCTION("""COMPUTED_VALUE"""),73.12)</f>
        <v>73.12</v>
      </c>
      <c r="AD31" s="119">
        <f ca="1">IFERROR(__xludf.DUMMYFUNCTION("""COMPUTED_VALUE"""),12.02)</f>
        <v>12.02</v>
      </c>
      <c r="AE31" s="119">
        <f ca="1">IFERROR(__xludf.DUMMYFUNCTION("""COMPUTED_VALUE"""),5.79)</f>
        <v>5.79</v>
      </c>
      <c r="AF31" s="119">
        <f ca="1">IFERROR(__xludf.DUMMYFUNCTION("""COMPUTED_VALUE"""),44.13)</f>
        <v>44.13</v>
      </c>
      <c r="AG31" s="119">
        <f ca="1">IFERROR(__xludf.DUMMYFUNCTION("""COMPUTED_VALUE"""),13.9)</f>
        <v>13.9</v>
      </c>
      <c r="AH31" s="119">
        <f ca="1">IFERROR(__xludf.DUMMYFUNCTION("""COMPUTED_VALUE"""),2.08)</f>
        <v>2.08</v>
      </c>
      <c r="AI31" s="119">
        <f ca="1">IFERROR(__xludf.DUMMYFUNCTION("""COMPUTED_VALUE"""),3.5)</f>
        <v>3.5</v>
      </c>
      <c r="AJ31" s="119">
        <f ca="1">IFERROR(__xludf.DUMMYFUNCTION("""COMPUTED_VALUE"""),115.9)</f>
        <v>115.9</v>
      </c>
      <c r="AK31" s="119">
        <f ca="1">IFERROR(__xludf.DUMMYFUNCTION("""COMPUTED_VALUE"""),237.14)</f>
        <v>237.14</v>
      </c>
      <c r="AL31" s="119">
        <f ca="1">IFERROR(__xludf.DUMMYFUNCTION("""COMPUTED_VALUE"""),14.72)</f>
        <v>14.72</v>
      </c>
      <c r="AM31" s="119">
        <f ca="1">IFERROR(__xludf.DUMMYFUNCTION("""COMPUTED_VALUE"""),42.49)</f>
        <v>42.49</v>
      </c>
      <c r="AN31" s="119">
        <f ca="1">IFERROR(__xludf.DUMMYFUNCTION("""COMPUTED_VALUE"""),327.74)</f>
        <v>327.74</v>
      </c>
      <c r="AO31" s="119">
        <f ca="1">IFERROR(__xludf.DUMMYFUNCTION("""COMPUTED_VALUE"""),100.23)</f>
        <v>100.23</v>
      </c>
      <c r="AP31" s="119">
        <f ca="1">IFERROR(__xludf.DUMMYFUNCTION("""COMPUTED_VALUE"""),81.5)</f>
        <v>81.5</v>
      </c>
      <c r="AQ31" s="119">
        <f ca="1">IFERROR(__xludf.DUMMYFUNCTION("""COMPUTED_VALUE"""),52.2)</f>
        <v>52.2</v>
      </c>
      <c r="AR31" s="118">
        <f ca="1">IFERROR(__xludf.DUMMYFUNCTION("""COMPUTED_VALUE"""),104.864499999999)</f>
        <v>104.864499999999</v>
      </c>
      <c r="AS31" s="119">
        <f ca="1">IFERROR(__xludf.DUMMYFUNCTION("""COMPUTED_VALUE"""),18.64)</f>
        <v>18.64</v>
      </c>
      <c r="AT31" s="119">
        <f ca="1">IFERROR(__xludf.DUMMYFUNCTION("""COMPUTED_VALUE"""),104.4)</f>
        <v>104.4</v>
      </c>
      <c r="AU31" s="119">
        <f ca="1">IFERROR(__xludf.DUMMYFUNCTION("""COMPUTED_VALUE"""),63.59)</f>
        <v>63.59</v>
      </c>
      <c r="AV31" s="119">
        <f ca="1">IFERROR(__xludf.DUMMYFUNCTION("""COMPUTED_VALUE"""),145.57)</f>
        <v>145.57</v>
      </c>
      <c r="AW31" s="119">
        <f ca="1">IFERROR(__xludf.DUMMYFUNCTION("""COMPUTED_VALUE"""),130.64)</f>
        <v>130.63999999999999</v>
      </c>
      <c r="AX31" s="119">
        <f ca="1">IFERROR(__xludf.DUMMYFUNCTION("""COMPUTED_VALUE"""),25.5)</f>
        <v>25.5</v>
      </c>
      <c r="AY31" s="119">
        <f ca="1">IFERROR(__xludf.DUMMYFUNCTION("""COMPUTED_VALUE"""),45.24)</f>
        <v>45.24</v>
      </c>
      <c r="AZ31" s="119">
        <f ca="1">IFERROR(__xludf.DUMMYFUNCTION("""COMPUTED_VALUE"""),0)</f>
        <v>0</v>
      </c>
      <c r="BA31" s="119">
        <f ca="1">IFERROR(__xludf.DUMMYFUNCTION("""COMPUTED_VALUE"""),0)</f>
        <v>0</v>
      </c>
      <c r="BB31" s="119">
        <f ca="1">IFERROR(__xludf.DUMMYFUNCTION("""COMPUTED_VALUE"""),13.4)</f>
        <v>13.4</v>
      </c>
      <c r="BC31" s="119">
        <f ca="1">IFERROR(__xludf.DUMMYFUNCTION("""COMPUTED_VALUE"""),53.58)</f>
        <v>53.58</v>
      </c>
      <c r="BD31" s="119">
        <f ca="1">IFERROR(__xludf.DUMMYFUNCTION("""COMPUTED_VALUE"""),221.2)</f>
        <v>221.2</v>
      </c>
      <c r="BE31" s="119">
        <f ca="1">IFERROR(__xludf.DUMMYFUNCTION("""COMPUTED_VALUE"""),142.4)</f>
        <v>142.4</v>
      </c>
      <c r="BF31" s="119">
        <f ca="1">IFERROR(__xludf.DUMMYFUNCTION("""COMPUTED_VALUE"""),14.24)</f>
        <v>14.24</v>
      </c>
      <c r="BG31" s="119">
        <f ca="1">IFERROR(__xludf.DUMMYFUNCTION("""COMPUTED_VALUE"""),573.41)</f>
        <v>573.41</v>
      </c>
      <c r="BH31" s="119">
        <f ca="1">IFERROR(__xludf.DUMMYFUNCTION("""COMPUTED_VALUE"""),286.88)</f>
        <v>286.88</v>
      </c>
      <c r="BI31" s="119">
        <f ca="1">IFERROR(__xludf.DUMMYFUNCTION("""COMPUTED_VALUE"""),232.64)</f>
        <v>232.64</v>
      </c>
      <c r="BJ31" s="119">
        <f ca="1">IFERROR(__xludf.DUMMYFUNCTION("""COMPUTED_VALUE"""),22.63)</f>
        <v>22.63</v>
      </c>
      <c r="BK31" s="119">
        <f ca="1">IFERROR(__xludf.DUMMYFUNCTION("""COMPUTED_VALUE"""),308.84)</f>
        <v>308.83999999999997</v>
      </c>
      <c r="BL31" s="119">
        <f ca="1">IFERROR(__xludf.DUMMYFUNCTION("""COMPUTED_VALUE"""),123.92)</f>
        <v>123.92</v>
      </c>
      <c r="BM31" s="119">
        <f ca="1">IFERROR(__xludf.DUMMYFUNCTION("""COMPUTED_VALUE"""),17.6)</f>
        <v>17.600000000000001</v>
      </c>
      <c r="BN31" s="119">
        <f ca="1">IFERROR(__xludf.DUMMYFUNCTION("""COMPUTED_VALUE"""),367.98)</f>
        <v>367.98</v>
      </c>
      <c r="BO31" s="119">
        <f ca="1">IFERROR(__xludf.DUMMYFUNCTION("""COMPUTED_VALUE"""),689.77)</f>
        <v>689.77</v>
      </c>
      <c r="BP31" s="119">
        <f ca="1">IFERROR(__xludf.DUMMYFUNCTION("""COMPUTED_VALUE"""),50.91)</f>
        <v>50.91</v>
      </c>
      <c r="BQ31" s="119">
        <f ca="1">IFERROR(__xludf.DUMMYFUNCTION("""COMPUTED_VALUE"""),10.69)</f>
        <v>10.69</v>
      </c>
      <c r="BR31" s="119">
        <f ca="1">IFERROR(__xludf.DUMMYFUNCTION("""COMPUTED_VALUE"""),37.55)</f>
        <v>37.549999999999997</v>
      </c>
      <c r="BS31" s="119">
        <f ca="1">IFERROR(__xludf.DUMMYFUNCTION("""COMPUTED_VALUE"""),0.85)</f>
        <v>0.85</v>
      </c>
      <c r="BT31" s="119">
        <f ca="1">IFERROR(__xludf.DUMMYFUNCTION("""COMPUTED_VALUE"""),49)</f>
        <v>49</v>
      </c>
      <c r="BU31" s="119">
        <f ca="1">IFERROR(__xludf.DUMMYFUNCTION("""COMPUTED_VALUE"""),38)</f>
        <v>38</v>
      </c>
      <c r="BV31" s="119">
        <f ca="1">IFERROR(__xludf.DUMMYFUNCTION("""COMPUTED_VALUE"""),52.85)</f>
        <v>52.85</v>
      </c>
      <c r="BW31" s="119">
        <f ca="1">IFERROR(__xludf.DUMMYFUNCTION("""COMPUTED_VALUE"""),7.37)</f>
        <v>7.37</v>
      </c>
      <c r="BX31" s="119">
        <f ca="1">IFERROR(__xludf.DUMMYFUNCTION("""COMPUTED_VALUE"""),6.27)</f>
        <v>6.27</v>
      </c>
      <c r="BY31" s="119">
        <f ca="1">IFERROR(__xludf.DUMMYFUNCTION("""COMPUTED_VALUE"""),0)</f>
        <v>0</v>
      </c>
      <c r="BZ31" s="119">
        <f ca="1">IFERROR(__xludf.DUMMYFUNCTION("""COMPUTED_VALUE"""),14.66)</f>
        <v>14.66</v>
      </c>
      <c r="CA31" s="119">
        <f ca="1">IFERROR(__xludf.DUMMYFUNCTION("""COMPUTED_VALUE"""),4.04)</f>
        <v>4.04</v>
      </c>
      <c r="CB31" s="119">
        <f ca="1">IFERROR(__xludf.DUMMYFUNCTION("""COMPUTED_VALUE"""),6.59)</f>
        <v>6.59</v>
      </c>
      <c r="CC31" s="119">
        <f ca="1">IFERROR(__xludf.DUMMYFUNCTION("""COMPUTED_VALUE"""),21)</f>
        <v>21</v>
      </c>
      <c r="CD31" s="119">
        <f ca="1">IFERROR(__xludf.DUMMYFUNCTION("""COMPUTED_VALUE"""),17.42)</f>
        <v>17.420000000000002</v>
      </c>
      <c r="CE31" s="119">
        <f ca="1">IFERROR(__xludf.DUMMYFUNCTION("""COMPUTED_VALUE"""),34.65)</f>
        <v>34.65</v>
      </c>
      <c r="CF31" s="119">
        <f ca="1">IFERROR(__xludf.DUMMYFUNCTION("""COMPUTED_VALUE"""),109.73)</f>
        <v>109.73</v>
      </c>
      <c r="CG31" s="119">
        <f ca="1">IFERROR(__xludf.DUMMYFUNCTION("""COMPUTED_VALUE"""),6.82)</f>
        <v>6.82</v>
      </c>
      <c r="CH31" s="119">
        <f ca="1">IFERROR(__xludf.DUMMYFUNCTION("""COMPUTED_VALUE"""),23.57)</f>
        <v>23.57</v>
      </c>
      <c r="CI31" s="119">
        <f ca="1">IFERROR(__xludf.DUMMYFUNCTION("""COMPUTED_VALUE"""),50.96)</f>
        <v>50.96</v>
      </c>
      <c r="CJ31" s="119">
        <f ca="1">IFERROR(__xludf.DUMMYFUNCTION("""COMPUTED_VALUE"""),27.91)</f>
        <v>27.91</v>
      </c>
      <c r="CK31" s="119">
        <f ca="1">IFERROR(__xludf.DUMMYFUNCTION("""COMPUTED_VALUE"""),14.47)</f>
        <v>14.47</v>
      </c>
      <c r="CL31" s="119">
        <f ca="1">IFERROR(__xludf.DUMMYFUNCTION("""COMPUTED_VALUE"""),2677.99)</f>
        <v>2677.99</v>
      </c>
      <c r="CM31" s="119">
        <f ca="1">IFERROR(__xludf.DUMMYFUNCTION("""COMPUTED_VALUE"""),2.26)</f>
        <v>2.2599999999999998</v>
      </c>
      <c r="CN31" s="119">
        <f ca="1">IFERROR(__xludf.DUMMYFUNCTION("""COMPUTED_VALUE"""),238)</f>
        <v>238</v>
      </c>
      <c r="CO31" s="119">
        <f ca="1">IFERROR(__xludf.DUMMYFUNCTION("""COMPUTED_VALUE"""),159)</f>
        <v>159</v>
      </c>
      <c r="CP31" s="119">
        <f ca="1">IFERROR(__xludf.DUMMYFUNCTION("""COMPUTED_VALUE"""),63.26)</f>
        <v>63.26</v>
      </c>
      <c r="CQ31" s="119">
        <f ca="1">IFERROR(__xludf.DUMMYFUNCTION("""COMPUTED_VALUE"""),71900)</f>
        <v>71900</v>
      </c>
      <c r="CR31" s="119">
        <f ca="1">IFERROR(__xludf.DUMMYFUNCTION("""COMPUTED_VALUE"""),0.52)</f>
        <v>0.52</v>
      </c>
      <c r="CS31" s="119">
        <f ca="1">IFERROR(__xludf.DUMMYFUNCTION("""COMPUTED_VALUE"""),39.03)</f>
        <v>39.03</v>
      </c>
      <c r="CT31" s="119">
        <f ca="1">IFERROR(__xludf.DUMMYFUNCTION("""COMPUTED_VALUE"""),22.64)</f>
        <v>22.64</v>
      </c>
      <c r="CU31" s="119">
        <f ca="1">IFERROR(__xludf.DUMMYFUNCTION("""COMPUTED_VALUE"""),1941.1)</f>
        <v>1941.1</v>
      </c>
      <c r="CV31" s="119">
        <f ca="1">IFERROR(__xludf.DUMMYFUNCTION("""COMPUTED_VALUE"""),2.97)</f>
        <v>2.97</v>
      </c>
      <c r="CW31" s="119">
        <f ca="1">IFERROR(__xludf.DUMMYFUNCTION("""COMPUTED_VALUE"""),3.25)</f>
        <v>3.25</v>
      </c>
      <c r="CX31" s="119">
        <f ca="1">IFERROR(__xludf.DUMMYFUNCTION("""COMPUTED_VALUE"""),6.54)</f>
        <v>6.54</v>
      </c>
      <c r="CY31" s="119">
        <f ca="1">IFERROR(__xludf.DUMMYFUNCTION("""COMPUTED_VALUE"""),0.09)</f>
        <v>0.09</v>
      </c>
      <c r="CZ31" s="117"/>
      <c r="DA31" s="117"/>
      <c r="DB31" s="117"/>
      <c r="DC31" s="117"/>
      <c r="DD31" s="117"/>
      <c r="DE31" s="117"/>
      <c r="DF31" s="117"/>
      <c r="DG31" s="117"/>
      <c r="DH31" s="117"/>
      <c r="DI31" s="117"/>
      <c r="DJ31" s="117"/>
      <c r="DK31" s="117"/>
      <c r="DL31" s="117"/>
      <c r="DM31" s="117"/>
      <c r="DN31" s="117"/>
      <c r="DO31" s="117"/>
      <c r="DP31" s="117"/>
      <c r="DQ31" s="117"/>
      <c r="DR31" s="117"/>
      <c r="DS31" s="117"/>
      <c r="DT31" s="117"/>
      <c r="DU31" s="117"/>
      <c r="DV31" s="117"/>
      <c r="DW31" s="117"/>
      <c r="DX31" s="117"/>
      <c r="DY31" s="117"/>
      <c r="DZ31" s="117"/>
      <c r="EA31" s="117"/>
      <c r="EB31" s="117"/>
      <c r="EC31" s="117"/>
      <c r="ED31" s="117"/>
      <c r="EE31" s="117"/>
      <c r="EF31" s="117"/>
      <c r="EG31" s="117"/>
      <c r="EH31" s="117"/>
      <c r="EI31" s="117"/>
      <c r="EJ31" s="117"/>
      <c r="EK31" s="117"/>
      <c r="EL31" s="117"/>
      <c r="EM31" s="117"/>
      <c r="EN31" s="117"/>
      <c r="EO31" s="117"/>
      <c r="EP31" s="117"/>
      <c r="EQ31" s="117"/>
      <c r="ER31" s="117"/>
      <c r="ES31" s="117"/>
      <c r="ET31" s="117"/>
      <c r="EU31" s="117"/>
      <c r="EV31" s="117"/>
      <c r="EW31" s="117"/>
      <c r="EX31" s="117"/>
      <c r="EY31" s="117"/>
      <c r="EZ31" s="117"/>
      <c r="FA31" s="117"/>
      <c r="FB31" s="117"/>
      <c r="FC31" s="117"/>
      <c r="FD31" s="117"/>
      <c r="FE31" s="117"/>
      <c r="FF31" s="117"/>
      <c r="FG31" s="117"/>
      <c r="FH31" s="117"/>
      <c r="FI31" s="117"/>
      <c r="FJ31" s="117"/>
      <c r="FK31" s="117"/>
      <c r="FL31" s="117"/>
      <c r="FM31" s="117"/>
      <c r="FN31" s="117"/>
      <c r="FO31" s="117"/>
    </row>
    <row r="32" spans="1:171" ht="15.75" customHeight="1" x14ac:dyDescent="0.15">
      <c r="A32" s="115">
        <f ca="1">IFERROR(__xludf.DUMMYFUNCTION("""COMPUTED_VALUE"""),44624)</f>
        <v>44624</v>
      </c>
      <c r="B32" s="119">
        <f ca="1">IFERROR(__xludf.DUMMYFUNCTION("""COMPUTED_VALUE"""),2912.82)</f>
        <v>2912.82</v>
      </c>
      <c r="C32" s="119">
        <f ca="1">IFERROR(__xludf.DUMMYFUNCTION("""COMPUTED_VALUE"""),200.06)</f>
        <v>200.06</v>
      </c>
      <c r="D32" s="119">
        <f ca="1">IFERROR(__xludf.DUMMYFUNCTION("""COMPUTED_VALUE"""),838.29)</f>
        <v>838.29</v>
      </c>
      <c r="E32" s="119">
        <f ca="1">IFERROR(__xludf.DUMMYFUNCTION("""COMPUTED_VALUE"""),403.2)</f>
        <v>403.2</v>
      </c>
      <c r="F32" s="119">
        <f ca="1">IFERROR(__xludf.DUMMYFUNCTION("""COMPUTED_VALUE"""),10.42)</f>
        <v>10.42</v>
      </c>
      <c r="G32" s="119">
        <f ca="1">IFERROR(__xludf.DUMMYFUNCTION("""COMPUTED_VALUE"""),163.17)</f>
        <v>163.16999999999999</v>
      </c>
      <c r="H32" s="119">
        <f ca="1">IFERROR(__xludf.DUMMYFUNCTION("""COMPUTED_VALUE"""),14.68)</f>
        <v>14.68</v>
      </c>
      <c r="I32" s="119">
        <f ca="1">IFERROR(__xludf.DUMMYFUNCTION("""COMPUTED_VALUE"""),14.5)</f>
        <v>14.5</v>
      </c>
      <c r="J32" s="119">
        <f ca="1">IFERROR(__xludf.DUMMYFUNCTION("""COMPUTED_VALUE"""),0.32)</f>
        <v>0.32</v>
      </c>
      <c r="K32" s="119">
        <f ca="1">IFERROR(__xludf.DUMMYFUNCTION("""COMPUTED_VALUE"""),40.8)</f>
        <v>40.799999999999997</v>
      </c>
      <c r="L32" s="119">
        <f ca="1">IFERROR(__xludf.DUMMYFUNCTION("""COMPUTED_VALUE"""),164.8)</f>
        <v>164.8</v>
      </c>
      <c r="M32" s="119">
        <f ca="1">IFERROR(__xludf.DUMMYFUNCTION("""COMPUTED_VALUE"""),39099.688)</f>
        <v>39099.688000000002</v>
      </c>
      <c r="N32" s="119">
        <f ca="1">IFERROR(__xludf.DUMMYFUNCTION("""COMPUTED_VALUE"""),361.73)</f>
        <v>361.73</v>
      </c>
      <c r="O32" s="119">
        <f ca="1">IFERROR(__xludf.DUMMYFUNCTION("""COMPUTED_VALUE"""),289.86)</f>
        <v>289.86</v>
      </c>
      <c r="P32" s="119">
        <f ca="1">IFERROR(__xludf.DUMMYFUNCTION("""COMPUTED_VALUE"""),18.08)</f>
        <v>18.079999999999998</v>
      </c>
      <c r="Q32" s="119">
        <f ca="1">IFERROR(__xludf.DUMMYFUNCTION("""COMPUTED_VALUE"""),24.35)</f>
        <v>24.35</v>
      </c>
      <c r="R32" s="119">
        <f ca="1">IFERROR(__xludf.DUMMYFUNCTION("""COMPUTED_VALUE"""),63.59)</f>
        <v>63.59</v>
      </c>
      <c r="S32" s="119">
        <f ca="1">IFERROR(__xludf.DUMMYFUNCTION("""COMPUTED_VALUE"""),26.13)</f>
        <v>26.13</v>
      </c>
      <c r="T32" s="119">
        <f ca="1">IFERROR(__xludf.DUMMYFUNCTION("""COMPUTED_VALUE"""),29.53)</f>
        <v>29.53</v>
      </c>
      <c r="U32" s="119">
        <f ca="1">IFERROR(__xludf.DUMMYFUNCTION("""COMPUTED_VALUE"""),41.54)</f>
        <v>41.54</v>
      </c>
      <c r="V32" s="119">
        <f ca="1">IFERROR(__xludf.DUMMYFUNCTION("""COMPUTED_VALUE"""),16.79)</f>
        <v>16.79</v>
      </c>
      <c r="W32" s="119">
        <f ca="1">IFERROR(__xludf.DUMMYFUNCTION("""COMPUTED_VALUE"""),235.81)</f>
        <v>235.81</v>
      </c>
      <c r="X32" s="119">
        <f ca="1">IFERROR(__xludf.DUMMYFUNCTION("""COMPUTED_VALUE"""),2642.44)</f>
        <v>2642.44</v>
      </c>
      <c r="Y32" s="119">
        <f ca="1">IFERROR(__xludf.DUMMYFUNCTION("""COMPUTED_VALUE"""),58.05)</f>
        <v>58.05</v>
      </c>
      <c r="Z32" s="119">
        <f ca="1">IFERROR(__xludf.DUMMYFUNCTION("""COMPUTED_VALUE"""),61.95)</f>
        <v>61.95</v>
      </c>
      <c r="AA32" s="119">
        <f ca="1">IFERROR(__xludf.DUMMYFUNCTION("""COMPUTED_VALUE"""),100.91)</f>
        <v>100.91</v>
      </c>
      <c r="AB32" s="119">
        <f ca="1">IFERROR(__xludf.DUMMYFUNCTION("""COMPUTED_VALUE"""),4.62)</f>
        <v>4.62</v>
      </c>
      <c r="AC32" s="119">
        <f ca="1">IFERROR(__xludf.DUMMYFUNCTION("""COMPUTED_VALUE"""),75.23)</f>
        <v>75.23</v>
      </c>
      <c r="AD32" s="119">
        <f ca="1">IFERROR(__xludf.DUMMYFUNCTION("""COMPUTED_VALUE"""),11.9)</f>
        <v>11.9</v>
      </c>
      <c r="AE32" s="119">
        <f ca="1">IFERROR(__xludf.DUMMYFUNCTION("""COMPUTED_VALUE"""),5.89)</f>
        <v>5.89</v>
      </c>
      <c r="AF32" s="119">
        <f ca="1">IFERROR(__xludf.DUMMYFUNCTION("""COMPUTED_VALUE"""),41.78)</f>
        <v>41.78</v>
      </c>
      <c r="AG32" s="119">
        <f ca="1">IFERROR(__xludf.DUMMYFUNCTION("""COMPUTED_VALUE"""),13.86)</f>
        <v>13.86</v>
      </c>
      <c r="AH32" s="119">
        <f ca="1">IFERROR(__xludf.DUMMYFUNCTION("""COMPUTED_VALUE"""),2.04)</f>
        <v>2.04</v>
      </c>
      <c r="AI32" s="119">
        <f ca="1">IFERROR(__xludf.DUMMYFUNCTION("""COMPUTED_VALUE"""),3.47)</f>
        <v>3.47</v>
      </c>
      <c r="AJ32" s="119">
        <f ca="1">IFERROR(__xludf.DUMMYFUNCTION("""COMPUTED_VALUE"""),114)</f>
        <v>114</v>
      </c>
      <c r="AK32" s="119">
        <f ca="1">IFERROR(__xludf.DUMMYFUNCTION("""COMPUTED_VALUE"""),229.36)</f>
        <v>229.36</v>
      </c>
      <c r="AL32" s="119">
        <f ca="1">IFERROR(__xludf.DUMMYFUNCTION("""COMPUTED_VALUE"""),13.96)</f>
        <v>13.96</v>
      </c>
      <c r="AM32" s="119">
        <f ca="1">IFERROR(__xludf.DUMMYFUNCTION("""COMPUTED_VALUE"""),40.95)</f>
        <v>40.950000000000003</v>
      </c>
      <c r="AN32" s="119">
        <f ca="1">IFERROR(__xludf.DUMMYFUNCTION("""COMPUTED_VALUE"""),325.34)</f>
        <v>325.33999999999997</v>
      </c>
      <c r="AO32" s="119">
        <f ca="1">IFERROR(__xludf.DUMMYFUNCTION("""COMPUTED_VALUE"""),98.47)</f>
        <v>98.47</v>
      </c>
      <c r="AP32" s="119">
        <f ca="1">IFERROR(__xludf.DUMMYFUNCTION("""COMPUTED_VALUE"""),81.43)</f>
        <v>81.430000000000007</v>
      </c>
      <c r="AQ32" s="119">
        <f ca="1">IFERROR(__xludf.DUMMYFUNCTION("""COMPUTED_VALUE"""),50.39)</f>
        <v>50.39</v>
      </c>
      <c r="AR32" s="118">
        <f ca="1">IFERROR(__xludf.DUMMYFUNCTION("""COMPUTED_VALUE"""),104.775)</f>
        <v>104.77500000000001</v>
      </c>
      <c r="AS32" s="119">
        <f ca="1">IFERROR(__xludf.DUMMYFUNCTION("""COMPUTED_VALUE"""),19.85)</f>
        <v>19.850000000000001</v>
      </c>
      <c r="AT32" s="119">
        <f ca="1">IFERROR(__xludf.DUMMYFUNCTION("""COMPUTED_VALUE"""),99)</f>
        <v>99</v>
      </c>
      <c r="AU32" s="119">
        <f ca="1">IFERROR(__xludf.DUMMYFUNCTION("""COMPUTED_VALUE"""),63.35)</f>
        <v>63.35</v>
      </c>
      <c r="AV32" s="119">
        <f ca="1">IFERROR(__xludf.DUMMYFUNCTION("""COMPUTED_VALUE"""),140.72)</f>
        <v>140.72</v>
      </c>
      <c r="AW32" s="119">
        <f ca="1">IFERROR(__xludf.DUMMYFUNCTION("""COMPUTED_VALUE"""),125.74)</f>
        <v>125.74</v>
      </c>
      <c r="AX32" s="119">
        <f ca="1">IFERROR(__xludf.DUMMYFUNCTION("""COMPUTED_VALUE"""),24.7)</f>
        <v>24.7</v>
      </c>
      <c r="AY32" s="119">
        <f ca="1">IFERROR(__xludf.DUMMYFUNCTION("""COMPUTED_VALUE"""),42.29)</f>
        <v>42.29</v>
      </c>
      <c r="AZ32" s="119">
        <f ca="1">IFERROR(__xludf.DUMMYFUNCTION("""COMPUTED_VALUE"""),0)</f>
        <v>0</v>
      </c>
      <c r="BA32" s="119">
        <f ca="1">IFERROR(__xludf.DUMMYFUNCTION("""COMPUTED_VALUE"""),0)</f>
        <v>0</v>
      </c>
      <c r="BB32" s="119">
        <f ca="1">IFERROR(__xludf.DUMMYFUNCTION("""COMPUTED_VALUE"""),13.12)</f>
        <v>13.12</v>
      </c>
      <c r="BC32" s="119">
        <f ca="1">IFERROR(__xludf.DUMMYFUNCTION("""COMPUTED_VALUE"""),42.48)</f>
        <v>42.48</v>
      </c>
      <c r="BD32" s="119">
        <f ca="1">IFERROR(__xludf.DUMMYFUNCTION("""COMPUTED_VALUE"""),207.4)</f>
        <v>207.4</v>
      </c>
      <c r="BE32" s="119">
        <f ca="1">IFERROR(__xludf.DUMMYFUNCTION("""COMPUTED_VALUE"""),134.3)</f>
        <v>134.30000000000001</v>
      </c>
      <c r="BF32" s="119">
        <f ca="1">IFERROR(__xludf.DUMMYFUNCTION("""COMPUTED_VALUE"""),13.38)</f>
        <v>13.38</v>
      </c>
      <c r="BG32" s="119">
        <f ca="1">IFERROR(__xludf.DUMMYFUNCTION("""COMPUTED_VALUE"""),557.51)</f>
        <v>557.51</v>
      </c>
      <c r="BH32" s="119">
        <f ca="1">IFERROR(__xludf.DUMMYFUNCTION("""COMPUTED_VALUE"""),267.61)</f>
        <v>267.61</v>
      </c>
      <c r="BI32" s="119">
        <f ca="1">IFERROR(__xludf.DUMMYFUNCTION("""COMPUTED_VALUE"""),232.91)</f>
        <v>232.91</v>
      </c>
      <c r="BJ32" s="119">
        <f ca="1">IFERROR(__xludf.DUMMYFUNCTION("""COMPUTED_VALUE"""),22.63)</f>
        <v>22.63</v>
      </c>
      <c r="BK32" s="119">
        <f ca="1">IFERROR(__xludf.DUMMYFUNCTION("""COMPUTED_VALUE"""),309.06)</f>
        <v>309.06</v>
      </c>
      <c r="BL32" s="119">
        <f ca="1">IFERROR(__xludf.DUMMYFUNCTION("""COMPUTED_VALUE"""),123.23)</f>
        <v>123.23</v>
      </c>
      <c r="BM32" s="119">
        <f ca="1">IFERROR(__xludf.DUMMYFUNCTION("""COMPUTED_VALUE"""),16.85)</f>
        <v>16.850000000000001</v>
      </c>
      <c r="BN32" s="119">
        <f ca="1">IFERROR(__xludf.DUMMYFUNCTION("""COMPUTED_VALUE"""),359.57)</f>
        <v>359.57</v>
      </c>
      <c r="BO32" s="119">
        <f ca="1">IFERROR(__xludf.DUMMYFUNCTION("""COMPUTED_VALUE"""),641.92)</f>
        <v>641.91999999999996</v>
      </c>
      <c r="BP32" s="119">
        <f ca="1">IFERROR(__xludf.DUMMYFUNCTION("""COMPUTED_VALUE"""),47.39)</f>
        <v>47.39</v>
      </c>
      <c r="BQ32" s="119">
        <f ca="1">IFERROR(__xludf.DUMMYFUNCTION("""COMPUTED_VALUE"""),10)</f>
        <v>10</v>
      </c>
      <c r="BR32" s="119">
        <f ca="1">IFERROR(__xludf.DUMMYFUNCTION("""COMPUTED_VALUE"""),34.77)</f>
        <v>34.770000000000003</v>
      </c>
      <c r="BS32" s="119">
        <f ca="1">IFERROR(__xludf.DUMMYFUNCTION("""COMPUTED_VALUE"""),0.86)</f>
        <v>0.86</v>
      </c>
      <c r="BT32" s="119">
        <f ca="1">IFERROR(__xludf.DUMMYFUNCTION("""COMPUTED_VALUE"""),49.41)</f>
        <v>49.41</v>
      </c>
      <c r="BU32" s="119">
        <f ca="1">IFERROR(__xludf.DUMMYFUNCTION("""COMPUTED_VALUE"""),38.25)</f>
        <v>38.25</v>
      </c>
      <c r="BV32" s="119">
        <f ca="1">IFERROR(__xludf.DUMMYFUNCTION("""COMPUTED_VALUE"""),52.05)</f>
        <v>52.05</v>
      </c>
      <c r="BW32" s="119">
        <f ca="1">IFERROR(__xludf.DUMMYFUNCTION("""COMPUTED_VALUE"""),7.16)</f>
        <v>7.16</v>
      </c>
      <c r="BX32" s="119">
        <f ca="1">IFERROR(__xludf.DUMMYFUNCTION("""COMPUTED_VALUE"""),5.83)</f>
        <v>5.83</v>
      </c>
      <c r="BY32" s="119">
        <f ca="1">IFERROR(__xludf.DUMMYFUNCTION("""COMPUTED_VALUE"""),0)</f>
        <v>0</v>
      </c>
      <c r="BZ32" s="119">
        <f ca="1">IFERROR(__xludf.DUMMYFUNCTION("""COMPUTED_VALUE"""),14.74)</f>
        <v>14.74</v>
      </c>
      <c r="CA32" s="119">
        <f ca="1">IFERROR(__xludf.DUMMYFUNCTION("""COMPUTED_VALUE"""),3.9)</f>
        <v>3.9</v>
      </c>
      <c r="CB32" s="119">
        <f ca="1">IFERROR(__xludf.DUMMYFUNCTION("""COMPUTED_VALUE"""),6.16)</f>
        <v>6.16</v>
      </c>
      <c r="CC32" s="119">
        <f ca="1">IFERROR(__xludf.DUMMYFUNCTION("""COMPUTED_VALUE"""),20.07)</f>
        <v>20.07</v>
      </c>
      <c r="CD32" s="119">
        <f ca="1">IFERROR(__xludf.DUMMYFUNCTION("""COMPUTED_VALUE"""),16.79)</f>
        <v>16.79</v>
      </c>
      <c r="CE32" s="119">
        <f ca="1">IFERROR(__xludf.DUMMYFUNCTION("""COMPUTED_VALUE"""),34.81)</f>
        <v>34.81</v>
      </c>
      <c r="CF32" s="119">
        <f ca="1">IFERROR(__xludf.DUMMYFUNCTION("""COMPUTED_VALUE"""),115)</f>
        <v>115</v>
      </c>
      <c r="CG32" s="119">
        <f ca="1">IFERROR(__xludf.DUMMYFUNCTION("""COMPUTED_VALUE"""),5.89)</f>
        <v>5.89</v>
      </c>
      <c r="CH32" s="119">
        <f ca="1">IFERROR(__xludf.DUMMYFUNCTION("""COMPUTED_VALUE"""),24.2)</f>
        <v>24.2</v>
      </c>
      <c r="CI32" s="119">
        <f ca="1">IFERROR(__xludf.DUMMYFUNCTION("""COMPUTED_VALUE"""),53.46)</f>
        <v>53.46</v>
      </c>
      <c r="CJ32" s="119">
        <f ca="1">IFERROR(__xludf.DUMMYFUNCTION("""COMPUTED_VALUE"""),26.75)</f>
        <v>26.75</v>
      </c>
      <c r="CK32" s="119">
        <f ca="1">IFERROR(__xludf.DUMMYFUNCTION("""COMPUTED_VALUE"""),14.17)</f>
        <v>14.17</v>
      </c>
      <c r="CL32" s="119">
        <f ca="1">IFERROR(__xludf.DUMMYFUNCTION("""COMPUTED_VALUE"""),2638.13)</f>
        <v>2638.13</v>
      </c>
      <c r="CM32" s="119">
        <f ca="1">IFERROR(__xludf.DUMMYFUNCTION("""COMPUTED_VALUE"""),3.29)</f>
        <v>3.29</v>
      </c>
      <c r="CN32" s="119">
        <f ca="1">IFERROR(__xludf.DUMMYFUNCTION("""COMPUTED_VALUE"""),207.4)</f>
        <v>207.4</v>
      </c>
      <c r="CO32" s="119">
        <f ca="1">IFERROR(__xludf.DUMMYFUNCTION("""COMPUTED_VALUE"""),149)</f>
        <v>149</v>
      </c>
      <c r="CP32" s="119">
        <f ca="1">IFERROR(__xludf.DUMMYFUNCTION("""COMPUTED_VALUE"""),60.23)</f>
        <v>60.23</v>
      </c>
      <c r="CQ32" s="119">
        <f ca="1">IFERROR(__xludf.DUMMYFUNCTION("""COMPUTED_VALUE"""),71500)</f>
        <v>71500</v>
      </c>
      <c r="CR32" s="119">
        <f ca="1">IFERROR(__xludf.DUMMYFUNCTION("""COMPUTED_VALUE"""),0.52)</f>
        <v>0.52</v>
      </c>
      <c r="CS32" s="119">
        <f ca="1">IFERROR(__xludf.DUMMYFUNCTION("""COMPUTED_VALUE"""),38.27)</f>
        <v>38.270000000000003</v>
      </c>
      <c r="CT32" s="119">
        <f ca="1">IFERROR(__xludf.DUMMYFUNCTION("""COMPUTED_VALUE"""),22.06)</f>
        <v>22.06</v>
      </c>
      <c r="CU32" s="119">
        <f ca="1">IFERROR(__xludf.DUMMYFUNCTION("""COMPUTED_VALUE"""),1974.9)</f>
        <v>1974.9</v>
      </c>
      <c r="CV32" s="119">
        <f ca="1">IFERROR(__xludf.DUMMYFUNCTION("""COMPUTED_VALUE"""),2.92)</f>
        <v>2.92</v>
      </c>
      <c r="CW32" s="119">
        <f ca="1">IFERROR(__xludf.DUMMYFUNCTION("""COMPUTED_VALUE"""),3.32)</f>
        <v>3.32</v>
      </c>
      <c r="CX32" s="119">
        <f ca="1">IFERROR(__xludf.DUMMYFUNCTION("""COMPUTED_VALUE"""),9.5)</f>
        <v>9.5</v>
      </c>
      <c r="CY32" s="119">
        <f ca="1">IFERROR(__xludf.DUMMYFUNCTION("""COMPUTED_VALUE"""),0.08)</f>
        <v>0.08</v>
      </c>
      <c r="CZ32" s="119">
        <f ca="1">IFERROR(__xludf.DUMMYFUNCTION("""COMPUTED_VALUE"""),76.65)</f>
        <v>76.650000000000006</v>
      </c>
      <c r="DA32" s="119">
        <f ca="1">IFERROR(__xludf.DUMMYFUNCTION("""COMPUTED_VALUE"""),0.36)</f>
        <v>0.36</v>
      </c>
      <c r="DB32" s="119">
        <f ca="1">IFERROR(__xludf.DUMMYFUNCTION("""COMPUTED_VALUE"""),0.24)</f>
        <v>0.24</v>
      </c>
      <c r="DC32" s="117"/>
      <c r="DD32" s="117"/>
      <c r="DE32" s="117"/>
      <c r="DF32" s="117"/>
      <c r="DG32" s="117"/>
      <c r="DH32" s="117"/>
      <c r="DI32" s="117"/>
      <c r="DJ32" s="117"/>
      <c r="DK32" s="117"/>
      <c r="DL32" s="117"/>
      <c r="DM32" s="117"/>
      <c r="DN32" s="117"/>
      <c r="DO32" s="117"/>
      <c r="DP32" s="117"/>
      <c r="DQ32" s="117"/>
      <c r="DR32" s="117"/>
      <c r="DS32" s="117"/>
      <c r="DT32" s="117"/>
      <c r="DU32" s="117"/>
      <c r="DV32" s="117"/>
      <c r="DW32" s="117"/>
      <c r="DX32" s="117"/>
      <c r="DY32" s="117"/>
      <c r="DZ32" s="117"/>
      <c r="EA32" s="117"/>
      <c r="EB32" s="117"/>
      <c r="EC32" s="117"/>
      <c r="ED32" s="117"/>
      <c r="EE32" s="117"/>
      <c r="EF32" s="117"/>
      <c r="EG32" s="117"/>
      <c r="EH32" s="117"/>
      <c r="EI32" s="117"/>
      <c r="EJ32" s="117"/>
      <c r="EK32" s="117"/>
      <c r="EL32" s="117"/>
      <c r="EM32" s="117"/>
      <c r="EN32" s="117"/>
      <c r="EO32" s="117"/>
      <c r="EP32" s="117"/>
      <c r="EQ32" s="117"/>
      <c r="ER32" s="117"/>
      <c r="ES32" s="117"/>
      <c r="ET32" s="117"/>
      <c r="EU32" s="117"/>
      <c r="EV32" s="117"/>
      <c r="EW32" s="117"/>
      <c r="EX32" s="117"/>
      <c r="EY32" s="117"/>
      <c r="EZ32" s="117"/>
      <c r="FA32" s="117"/>
      <c r="FB32" s="117"/>
      <c r="FC32" s="117"/>
      <c r="FD32" s="117"/>
      <c r="FE32" s="117"/>
      <c r="FF32" s="117"/>
      <c r="FG32" s="117"/>
      <c r="FH32" s="117"/>
      <c r="FI32" s="117"/>
      <c r="FJ32" s="117"/>
      <c r="FK32" s="117"/>
      <c r="FL32" s="117"/>
      <c r="FM32" s="117"/>
      <c r="FN32" s="117"/>
      <c r="FO32" s="117"/>
    </row>
    <row r="33" spans="1:171" ht="15.75" customHeight="1" x14ac:dyDescent="0.15">
      <c r="A33" s="115">
        <f ca="1">IFERROR(__xludf.DUMMYFUNCTION("""COMPUTED_VALUE"""),44625)</f>
        <v>44625</v>
      </c>
      <c r="B33" s="119">
        <f ca="1">IFERROR(__xludf.DUMMYFUNCTION("""COMPUTED_VALUE"""),2912.82)</f>
        <v>2912.82</v>
      </c>
      <c r="C33" s="119">
        <f ca="1">IFERROR(__xludf.DUMMYFUNCTION("""COMPUTED_VALUE"""),200.06)</f>
        <v>200.06</v>
      </c>
      <c r="D33" s="119">
        <f ca="1">IFERROR(__xludf.DUMMYFUNCTION("""COMPUTED_VALUE"""),838.29)</f>
        <v>838.29</v>
      </c>
      <c r="E33" s="119">
        <f ca="1">IFERROR(__xludf.DUMMYFUNCTION("""COMPUTED_VALUE"""),403.2)</f>
        <v>403.2</v>
      </c>
      <c r="F33" s="119">
        <f ca="1">IFERROR(__xludf.DUMMYFUNCTION("""COMPUTED_VALUE"""),10.42)</f>
        <v>10.42</v>
      </c>
      <c r="G33" s="119">
        <f ca="1">IFERROR(__xludf.DUMMYFUNCTION("""COMPUTED_VALUE"""),163.17)</f>
        <v>163.16999999999999</v>
      </c>
      <c r="H33" s="119">
        <f ca="1">IFERROR(__xludf.DUMMYFUNCTION("""COMPUTED_VALUE"""),14.68)</f>
        <v>14.68</v>
      </c>
      <c r="I33" s="119">
        <f ca="1">IFERROR(__xludf.DUMMYFUNCTION("""COMPUTED_VALUE"""),14.5)</f>
        <v>14.5</v>
      </c>
      <c r="J33" s="119">
        <f ca="1">IFERROR(__xludf.DUMMYFUNCTION("""COMPUTED_VALUE"""),0.32)</f>
        <v>0.32</v>
      </c>
      <c r="K33" s="119">
        <f ca="1">IFERROR(__xludf.DUMMYFUNCTION("""COMPUTED_VALUE"""),40.8)</f>
        <v>40.799999999999997</v>
      </c>
      <c r="L33" s="119">
        <f ca="1">IFERROR(__xludf.DUMMYFUNCTION("""COMPUTED_VALUE"""),164.8)</f>
        <v>164.8</v>
      </c>
      <c r="M33" s="119">
        <f ca="1">IFERROR(__xludf.DUMMYFUNCTION("""COMPUTED_VALUE"""),39099.688)</f>
        <v>39099.688000000002</v>
      </c>
      <c r="N33" s="119">
        <f ca="1">IFERROR(__xludf.DUMMYFUNCTION("""COMPUTED_VALUE"""),361.73)</f>
        <v>361.73</v>
      </c>
      <c r="O33" s="119">
        <f ca="1">IFERROR(__xludf.DUMMYFUNCTION("""COMPUTED_VALUE"""),289.86)</f>
        <v>289.86</v>
      </c>
      <c r="P33" s="119">
        <f ca="1">IFERROR(__xludf.DUMMYFUNCTION("""COMPUTED_VALUE"""),18.08)</f>
        <v>18.079999999999998</v>
      </c>
      <c r="Q33" s="119">
        <f ca="1">IFERROR(__xludf.DUMMYFUNCTION("""COMPUTED_VALUE"""),24.35)</f>
        <v>24.35</v>
      </c>
      <c r="R33" s="119">
        <f ca="1">IFERROR(__xludf.DUMMYFUNCTION("""COMPUTED_VALUE"""),63.59)</f>
        <v>63.59</v>
      </c>
      <c r="S33" s="119">
        <f ca="1">IFERROR(__xludf.DUMMYFUNCTION("""COMPUTED_VALUE"""),26.13)</f>
        <v>26.13</v>
      </c>
      <c r="T33" s="119">
        <f ca="1">IFERROR(__xludf.DUMMYFUNCTION("""COMPUTED_VALUE"""),29.53)</f>
        <v>29.53</v>
      </c>
      <c r="U33" s="119">
        <f ca="1">IFERROR(__xludf.DUMMYFUNCTION("""COMPUTED_VALUE"""),41.54)</f>
        <v>41.54</v>
      </c>
      <c r="V33" s="119">
        <f ca="1">IFERROR(__xludf.DUMMYFUNCTION("""COMPUTED_VALUE"""),16.79)</f>
        <v>16.79</v>
      </c>
      <c r="W33" s="119">
        <f ca="1">IFERROR(__xludf.DUMMYFUNCTION("""COMPUTED_VALUE"""),235.81)</f>
        <v>235.81</v>
      </c>
      <c r="X33" s="119">
        <f ca="1">IFERROR(__xludf.DUMMYFUNCTION("""COMPUTED_VALUE"""),2642.44)</f>
        <v>2642.44</v>
      </c>
      <c r="Y33" s="119">
        <f ca="1">IFERROR(__xludf.DUMMYFUNCTION("""COMPUTED_VALUE"""),58.05)</f>
        <v>58.05</v>
      </c>
      <c r="Z33" s="119">
        <f ca="1">IFERROR(__xludf.DUMMYFUNCTION("""COMPUTED_VALUE"""),61.95)</f>
        <v>61.95</v>
      </c>
      <c r="AA33" s="119">
        <f ca="1">IFERROR(__xludf.DUMMYFUNCTION("""COMPUTED_VALUE"""),100.91)</f>
        <v>100.91</v>
      </c>
      <c r="AB33" s="119">
        <f ca="1">IFERROR(__xludf.DUMMYFUNCTION("""COMPUTED_VALUE"""),4.62)</f>
        <v>4.62</v>
      </c>
      <c r="AC33" s="119">
        <f ca="1">IFERROR(__xludf.DUMMYFUNCTION("""COMPUTED_VALUE"""),75.23)</f>
        <v>75.23</v>
      </c>
      <c r="AD33" s="119">
        <f ca="1">IFERROR(__xludf.DUMMYFUNCTION("""COMPUTED_VALUE"""),11.9)</f>
        <v>11.9</v>
      </c>
      <c r="AE33" s="119">
        <f ca="1">IFERROR(__xludf.DUMMYFUNCTION("""COMPUTED_VALUE"""),5.89)</f>
        <v>5.89</v>
      </c>
      <c r="AF33" s="119">
        <f ca="1">IFERROR(__xludf.DUMMYFUNCTION("""COMPUTED_VALUE"""),41.78)</f>
        <v>41.78</v>
      </c>
      <c r="AG33" s="119">
        <f ca="1">IFERROR(__xludf.DUMMYFUNCTION("""COMPUTED_VALUE"""),13.86)</f>
        <v>13.86</v>
      </c>
      <c r="AH33" s="119">
        <f ca="1">IFERROR(__xludf.DUMMYFUNCTION("""COMPUTED_VALUE"""),2.04)</f>
        <v>2.04</v>
      </c>
      <c r="AI33" s="119">
        <f ca="1">IFERROR(__xludf.DUMMYFUNCTION("""COMPUTED_VALUE"""),3.47)</f>
        <v>3.47</v>
      </c>
      <c r="AJ33" s="119">
        <f ca="1">IFERROR(__xludf.DUMMYFUNCTION("""COMPUTED_VALUE"""),114)</f>
        <v>114</v>
      </c>
      <c r="AK33" s="119">
        <f ca="1">IFERROR(__xludf.DUMMYFUNCTION("""COMPUTED_VALUE"""),229.36)</f>
        <v>229.36</v>
      </c>
      <c r="AL33" s="119">
        <f ca="1">IFERROR(__xludf.DUMMYFUNCTION("""COMPUTED_VALUE"""),13.96)</f>
        <v>13.96</v>
      </c>
      <c r="AM33" s="119">
        <f ca="1">IFERROR(__xludf.DUMMYFUNCTION("""COMPUTED_VALUE"""),40.95)</f>
        <v>40.950000000000003</v>
      </c>
      <c r="AN33" s="119">
        <f ca="1">IFERROR(__xludf.DUMMYFUNCTION("""COMPUTED_VALUE"""),325.34)</f>
        <v>325.33999999999997</v>
      </c>
      <c r="AO33" s="119">
        <f ca="1">IFERROR(__xludf.DUMMYFUNCTION("""COMPUTED_VALUE"""),98.47)</f>
        <v>98.47</v>
      </c>
      <c r="AP33" s="119">
        <f ca="1">IFERROR(__xludf.DUMMYFUNCTION("""COMPUTED_VALUE"""),81.43)</f>
        <v>81.430000000000007</v>
      </c>
      <c r="AQ33" s="119">
        <f ca="1">IFERROR(__xludf.DUMMYFUNCTION("""COMPUTED_VALUE"""),50.39)</f>
        <v>50.39</v>
      </c>
      <c r="AR33" s="118">
        <f ca="1">IFERROR(__xludf.DUMMYFUNCTION("""COMPUTED_VALUE"""),104.775)</f>
        <v>104.77500000000001</v>
      </c>
      <c r="AS33" s="119">
        <f ca="1">IFERROR(__xludf.DUMMYFUNCTION("""COMPUTED_VALUE"""),19.85)</f>
        <v>19.850000000000001</v>
      </c>
      <c r="AT33" s="119">
        <f ca="1">IFERROR(__xludf.DUMMYFUNCTION("""COMPUTED_VALUE"""),99)</f>
        <v>99</v>
      </c>
      <c r="AU33" s="119">
        <f ca="1">IFERROR(__xludf.DUMMYFUNCTION("""COMPUTED_VALUE"""),63.35)</f>
        <v>63.35</v>
      </c>
      <c r="AV33" s="119">
        <f ca="1">IFERROR(__xludf.DUMMYFUNCTION("""COMPUTED_VALUE"""),140.72)</f>
        <v>140.72</v>
      </c>
      <c r="AW33" s="119">
        <f ca="1">IFERROR(__xludf.DUMMYFUNCTION("""COMPUTED_VALUE"""),125.74)</f>
        <v>125.74</v>
      </c>
      <c r="AX33" s="119">
        <f ca="1">IFERROR(__xludf.DUMMYFUNCTION("""COMPUTED_VALUE"""),24.7)</f>
        <v>24.7</v>
      </c>
      <c r="AY33" s="119">
        <f ca="1">IFERROR(__xludf.DUMMYFUNCTION("""COMPUTED_VALUE"""),42.29)</f>
        <v>42.29</v>
      </c>
      <c r="AZ33" s="119">
        <f ca="1">IFERROR(__xludf.DUMMYFUNCTION("""COMPUTED_VALUE"""),0)</f>
        <v>0</v>
      </c>
      <c r="BA33" s="119">
        <f ca="1">IFERROR(__xludf.DUMMYFUNCTION("""COMPUTED_VALUE"""),0)</f>
        <v>0</v>
      </c>
      <c r="BB33" s="119">
        <f ca="1">IFERROR(__xludf.DUMMYFUNCTION("""COMPUTED_VALUE"""),13.12)</f>
        <v>13.12</v>
      </c>
      <c r="BC33" s="119">
        <f ca="1">IFERROR(__xludf.DUMMYFUNCTION("""COMPUTED_VALUE"""),42.48)</f>
        <v>42.48</v>
      </c>
      <c r="BD33" s="119">
        <f ca="1">IFERROR(__xludf.DUMMYFUNCTION("""COMPUTED_VALUE"""),207.4)</f>
        <v>207.4</v>
      </c>
      <c r="BE33" s="119">
        <f ca="1">IFERROR(__xludf.DUMMYFUNCTION("""COMPUTED_VALUE"""),134.3)</f>
        <v>134.30000000000001</v>
      </c>
      <c r="BF33" s="119">
        <f ca="1">IFERROR(__xludf.DUMMYFUNCTION("""COMPUTED_VALUE"""),13.38)</f>
        <v>13.38</v>
      </c>
      <c r="BG33" s="119">
        <f ca="1">IFERROR(__xludf.DUMMYFUNCTION("""COMPUTED_VALUE"""),557.51)</f>
        <v>557.51</v>
      </c>
      <c r="BH33" s="119">
        <f ca="1">IFERROR(__xludf.DUMMYFUNCTION("""COMPUTED_VALUE"""),267.61)</f>
        <v>267.61</v>
      </c>
      <c r="BI33" s="119">
        <f ca="1">IFERROR(__xludf.DUMMYFUNCTION("""COMPUTED_VALUE"""),232.91)</f>
        <v>232.91</v>
      </c>
      <c r="BJ33" s="119">
        <f ca="1">IFERROR(__xludf.DUMMYFUNCTION("""COMPUTED_VALUE"""),22.63)</f>
        <v>22.63</v>
      </c>
      <c r="BK33" s="119">
        <f ca="1">IFERROR(__xludf.DUMMYFUNCTION("""COMPUTED_VALUE"""),309.06)</f>
        <v>309.06</v>
      </c>
      <c r="BL33" s="119">
        <f ca="1">IFERROR(__xludf.DUMMYFUNCTION("""COMPUTED_VALUE"""),123.23)</f>
        <v>123.23</v>
      </c>
      <c r="BM33" s="119">
        <f ca="1">IFERROR(__xludf.DUMMYFUNCTION("""COMPUTED_VALUE"""),16.85)</f>
        <v>16.850000000000001</v>
      </c>
      <c r="BN33" s="119">
        <f ca="1">IFERROR(__xludf.DUMMYFUNCTION("""COMPUTED_VALUE"""),359.57)</f>
        <v>359.57</v>
      </c>
      <c r="BO33" s="119">
        <f ca="1">IFERROR(__xludf.DUMMYFUNCTION("""COMPUTED_VALUE"""),641.92)</f>
        <v>641.91999999999996</v>
      </c>
      <c r="BP33" s="119">
        <f ca="1">IFERROR(__xludf.DUMMYFUNCTION("""COMPUTED_VALUE"""),47.39)</f>
        <v>47.39</v>
      </c>
      <c r="BQ33" s="119">
        <f ca="1">IFERROR(__xludf.DUMMYFUNCTION("""COMPUTED_VALUE"""),10)</f>
        <v>10</v>
      </c>
      <c r="BR33" s="119">
        <f ca="1">IFERROR(__xludf.DUMMYFUNCTION("""COMPUTED_VALUE"""),34.77)</f>
        <v>34.770000000000003</v>
      </c>
      <c r="BS33" s="119">
        <f ca="1">IFERROR(__xludf.DUMMYFUNCTION("""COMPUTED_VALUE"""),0.86)</f>
        <v>0.86</v>
      </c>
      <c r="BT33" s="119">
        <f ca="1">IFERROR(__xludf.DUMMYFUNCTION("""COMPUTED_VALUE"""),49.41)</f>
        <v>49.41</v>
      </c>
      <c r="BU33" s="119">
        <f ca="1">IFERROR(__xludf.DUMMYFUNCTION("""COMPUTED_VALUE"""),38.25)</f>
        <v>38.25</v>
      </c>
      <c r="BV33" s="119">
        <f ca="1">IFERROR(__xludf.DUMMYFUNCTION("""COMPUTED_VALUE"""),52.05)</f>
        <v>52.05</v>
      </c>
      <c r="BW33" s="119">
        <f ca="1">IFERROR(__xludf.DUMMYFUNCTION("""COMPUTED_VALUE"""),7.16)</f>
        <v>7.16</v>
      </c>
      <c r="BX33" s="119">
        <f ca="1">IFERROR(__xludf.DUMMYFUNCTION("""COMPUTED_VALUE"""),5.83)</f>
        <v>5.83</v>
      </c>
      <c r="BY33" s="119">
        <f ca="1">IFERROR(__xludf.DUMMYFUNCTION("""COMPUTED_VALUE"""),0)</f>
        <v>0</v>
      </c>
      <c r="BZ33" s="119">
        <f ca="1">IFERROR(__xludf.DUMMYFUNCTION("""COMPUTED_VALUE"""),14.74)</f>
        <v>14.74</v>
      </c>
      <c r="CA33" s="119">
        <f ca="1">IFERROR(__xludf.DUMMYFUNCTION("""COMPUTED_VALUE"""),3.9)</f>
        <v>3.9</v>
      </c>
      <c r="CB33" s="119">
        <f ca="1">IFERROR(__xludf.DUMMYFUNCTION("""COMPUTED_VALUE"""),6.16)</f>
        <v>6.16</v>
      </c>
      <c r="CC33" s="119">
        <f ca="1">IFERROR(__xludf.DUMMYFUNCTION("""COMPUTED_VALUE"""),20.07)</f>
        <v>20.07</v>
      </c>
      <c r="CD33" s="119">
        <f ca="1">IFERROR(__xludf.DUMMYFUNCTION("""COMPUTED_VALUE"""),16.79)</f>
        <v>16.79</v>
      </c>
      <c r="CE33" s="119">
        <f ca="1">IFERROR(__xludf.DUMMYFUNCTION("""COMPUTED_VALUE"""),34.81)</f>
        <v>34.81</v>
      </c>
      <c r="CF33" s="119">
        <f ca="1">IFERROR(__xludf.DUMMYFUNCTION("""COMPUTED_VALUE"""),115)</f>
        <v>115</v>
      </c>
      <c r="CG33" s="119">
        <f ca="1">IFERROR(__xludf.DUMMYFUNCTION("""COMPUTED_VALUE"""),5.89)</f>
        <v>5.89</v>
      </c>
      <c r="CH33" s="119">
        <f ca="1">IFERROR(__xludf.DUMMYFUNCTION("""COMPUTED_VALUE"""),24.2)</f>
        <v>24.2</v>
      </c>
      <c r="CI33" s="119">
        <f ca="1">IFERROR(__xludf.DUMMYFUNCTION("""COMPUTED_VALUE"""),53.46)</f>
        <v>53.46</v>
      </c>
      <c r="CJ33" s="119">
        <f ca="1">IFERROR(__xludf.DUMMYFUNCTION("""COMPUTED_VALUE"""),26.75)</f>
        <v>26.75</v>
      </c>
      <c r="CK33" s="119">
        <f ca="1">IFERROR(__xludf.DUMMYFUNCTION("""COMPUTED_VALUE"""),14.17)</f>
        <v>14.17</v>
      </c>
      <c r="CL33" s="119">
        <f ca="1">IFERROR(__xludf.DUMMYFUNCTION("""COMPUTED_VALUE"""),2638.13)</f>
        <v>2638.13</v>
      </c>
      <c r="CM33" s="119">
        <f ca="1">IFERROR(__xludf.DUMMYFUNCTION("""COMPUTED_VALUE"""),3.29)</f>
        <v>3.29</v>
      </c>
      <c r="CN33" s="119">
        <f ca="1">IFERROR(__xludf.DUMMYFUNCTION("""COMPUTED_VALUE"""),207.4)</f>
        <v>207.4</v>
      </c>
      <c r="CO33" s="119">
        <f ca="1">IFERROR(__xludf.DUMMYFUNCTION("""COMPUTED_VALUE"""),149)</f>
        <v>149</v>
      </c>
      <c r="CP33" s="119">
        <f ca="1">IFERROR(__xludf.DUMMYFUNCTION("""COMPUTED_VALUE"""),60.23)</f>
        <v>60.23</v>
      </c>
      <c r="CQ33" s="119">
        <f ca="1">IFERROR(__xludf.DUMMYFUNCTION("""COMPUTED_VALUE"""),71500)</f>
        <v>71500</v>
      </c>
      <c r="CR33" s="119">
        <f ca="1">IFERROR(__xludf.DUMMYFUNCTION("""COMPUTED_VALUE"""),0.52)</f>
        <v>0.52</v>
      </c>
      <c r="CS33" s="119">
        <f ca="1">IFERROR(__xludf.DUMMYFUNCTION("""COMPUTED_VALUE"""),38.27)</f>
        <v>38.270000000000003</v>
      </c>
      <c r="CT33" s="119">
        <f ca="1">IFERROR(__xludf.DUMMYFUNCTION("""COMPUTED_VALUE"""),22.06)</f>
        <v>22.06</v>
      </c>
      <c r="CU33" s="119">
        <f ca="1">IFERROR(__xludf.DUMMYFUNCTION("""COMPUTED_VALUE"""),1974.9)</f>
        <v>1974.9</v>
      </c>
      <c r="CV33" s="119">
        <f ca="1">IFERROR(__xludf.DUMMYFUNCTION("""COMPUTED_VALUE"""),2.92)</f>
        <v>2.92</v>
      </c>
      <c r="CW33" s="119">
        <f ca="1">IFERROR(__xludf.DUMMYFUNCTION("""COMPUTED_VALUE"""),3.32)</f>
        <v>3.32</v>
      </c>
      <c r="CX33" s="119">
        <f ca="1">IFERROR(__xludf.DUMMYFUNCTION("""COMPUTED_VALUE"""),9.5)</f>
        <v>9.5</v>
      </c>
      <c r="CY33" s="119">
        <f ca="1">IFERROR(__xludf.DUMMYFUNCTION("""COMPUTED_VALUE"""),0.08)</f>
        <v>0.08</v>
      </c>
      <c r="CZ33" s="119">
        <f ca="1">IFERROR(__xludf.DUMMYFUNCTION("""COMPUTED_VALUE"""),76.65)</f>
        <v>76.650000000000006</v>
      </c>
      <c r="DA33" s="119">
        <f ca="1">IFERROR(__xludf.DUMMYFUNCTION("""COMPUTED_VALUE"""),0.36)</f>
        <v>0.36</v>
      </c>
      <c r="DB33" s="119">
        <f ca="1">IFERROR(__xludf.DUMMYFUNCTION("""COMPUTED_VALUE"""),0.24)</f>
        <v>0.24</v>
      </c>
      <c r="DC33" s="117"/>
      <c r="DD33" s="117"/>
      <c r="DE33" s="117"/>
      <c r="DF33" s="117"/>
      <c r="DG33" s="117"/>
      <c r="DH33" s="117"/>
      <c r="DI33" s="117"/>
      <c r="DJ33" s="117"/>
      <c r="DK33" s="117"/>
      <c r="DL33" s="117"/>
      <c r="DM33" s="117"/>
      <c r="DN33" s="117"/>
      <c r="DO33" s="117"/>
      <c r="DP33" s="117"/>
      <c r="DQ33" s="117"/>
      <c r="DR33" s="117"/>
      <c r="DS33" s="117"/>
      <c r="DT33" s="117"/>
      <c r="DU33" s="117"/>
      <c r="DV33" s="117"/>
      <c r="DW33" s="117"/>
      <c r="DX33" s="117"/>
      <c r="DY33" s="117"/>
      <c r="DZ33" s="117"/>
      <c r="EA33" s="117"/>
      <c r="EB33" s="117"/>
      <c r="EC33" s="117"/>
      <c r="ED33" s="117"/>
      <c r="EE33" s="117"/>
      <c r="EF33" s="117"/>
      <c r="EG33" s="117"/>
      <c r="EH33" s="117"/>
      <c r="EI33" s="117"/>
      <c r="EJ33" s="117"/>
      <c r="EK33" s="117"/>
      <c r="EL33" s="117"/>
      <c r="EM33" s="117"/>
      <c r="EN33" s="117"/>
      <c r="EO33" s="117"/>
      <c r="EP33" s="117"/>
      <c r="EQ33" s="117"/>
      <c r="ER33" s="117"/>
      <c r="ES33" s="117"/>
      <c r="ET33" s="117"/>
      <c r="EU33" s="117"/>
      <c r="EV33" s="117"/>
      <c r="EW33" s="117"/>
      <c r="EX33" s="117"/>
      <c r="EY33" s="117"/>
      <c r="EZ33" s="117"/>
      <c r="FA33" s="117"/>
      <c r="FB33" s="117"/>
      <c r="FC33" s="117"/>
      <c r="FD33" s="117"/>
      <c r="FE33" s="117"/>
      <c r="FF33" s="117"/>
      <c r="FG33" s="117"/>
      <c r="FH33" s="117"/>
      <c r="FI33" s="117"/>
      <c r="FJ33" s="117"/>
      <c r="FK33" s="117"/>
      <c r="FL33" s="117"/>
      <c r="FM33" s="117"/>
      <c r="FN33" s="117"/>
      <c r="FO33" s="117"/>
    </row>
    <row r="34" spans="1:171" ht="15.75" customHeight="1" x14ac:dyDescent="0.15">
      <c r="A34" s="115">
        <f ca="1">IFERROR(__xludf.DUMMYFUNCTION("""COMPUTED_VALUE"""),44626)</f>
        <v>44626</v>
      </c>
      <c r="B34" s="119">
        <f ca="1">IFERROR(__xludf.DUMMYFUNCTION("""COMPUTED_VALUE"""),2912.82)</f>
        <v>2912.82</v>
      </c>
      <c r="C34" s="119">
        <f ca="1">IFERROR(__xludf.DUMMYFUNCTION("""COMPUTED_VALUE"""),200.06)</f>
        <v>200.06</v>
      </c>
      <c r="D34" s="119">
        <f ca="1">IFERROR(__xludf.DUMMYFUNCTION("""COMPUTED_VALUE"""),838.29)</f>
        <v>838.29</v>
      </c>
      <c r="E34" s="119">
        <f ca="1">IFERROR(__xludf.DUMMYFUNCTION("""COMPUTED_VALUE"""),403.2)</f>
        <v>403.2</v>
      </c>
      <c r="F34" s="119">
        <f ca="1">IFERROR(__xludf.DUMMYFUNCTION("""COMPUTED_VALUE"""),10.42)</f>
        <v>10.42</v>
      </c>
      <c r="G34" s="119">
        <f ca="1">IFERROR(__xludf.DUMMYFUNCTION("""COMPUTED_VALUE"""),163.17)</f>
        <v>163.16999999999999</v>
      </c>
      <c r="H34" s="119">
        <f ca="1">IFERROR(__xludf.DUMMYFUNCTION("""COMPUTED_VALUE"""),14.68)</f>
        <v>14.68</v>
      </c>
      <c r="I34" s="119">
        <f ca="1">IFERROR(__xludf.DUMMYFUNCTION("""COMPUTED_VALUE"""),14.5)</f>
        <v>14.5</v>
      </c>
      <c r="J34" s="119">
        <f ca="1">IFERROR(__xludf.DUMMYFUNCTION("""COMPUTED_VALUE"""),0.32)</f>
        <v>0.32</v>
      </c>
      <c r="K34" s="119">
        <f ca="1">IFERROR(__xludf.DUMMYFUNCTION("""COMPUTED_VALUE"""),40.8)</f>
        <v>40.799999999999997</v>
      </c>
      <c r="L34" s="119">
        <f ca="1">IFERROR(__xludf.DUMMYFUNCTION("""COMPUTED_VALUE"""),164.8)</f>
        <v>164.8</v>
      </c>
      <c r="M34" s="119">
        <f ca="1">IFERROR(__xludf.DUMMYFUNCTION("""COMPUTED_VALUE"""),39099.688)</f>
        <v>39099.688000000002</v>
      </c>
      <c r="N34" s="119">
        <f ca="1">IFERROR(__xludf.DUMMYFUNCTION("""COMPUTED_VALUE"""),361.73)</f>
        <v>361.73</v>
      </c>
      <c r="O34" s="119">
        <f ca="1">IFERROR(__xludf.DUMMYFUNCTION("""COMPUTED_VALUE"""),289.86)</f>
        <v>289.86</v>
      </c>
      <c r="P34" s="119">
        <f ca="1">IFERROR(__xludf.DUMMYFUNCTION("""COMPUTED_VALUE"""),18.08)</f>
        <v>18.079999999999998</v>
      </c>
      <c r="Q34" s="119">
        <f ca="1">IFERROR(__xludf.DUMMYFUNCTION("""COMPUTED_VALUE"""),24.35)</f>
        <v>24.35</v>
      </c>
      <c r="R34" s="119">
        <f ca="1">IFERROR(__xludf.DUMMYFUNCTION("""COMPUTED_VALUE"""),63.59)</f>
        <v>63.59</v>
      </c>
      <c r="S34" s="119">
        <f ca="1">IFERROR(__xludf.DUMMYFUNCTION("""COMPUTED_VALUE"""),26.13)</f>
        <v>26.13</v>
      </c>
      <c r="T34" s="119">
        <f ca="1">IFERROR(__xludf.DUMMYFUNCTION("""COMPUTED_VALUE"""),29.53)</f>
        <v>29.53</v>
      </c>
      <c r="U34" s="119">
        <f ca="1">IFERROR(__xludf.DUMMYFUNCTION("""COMPUTED_VALUE"""),41.54)</f>
        <v>41.54</v>
      </c>
      <c r="V34" s="119">
        <f ca="1">IFERROR(__xludf.DUMMYFUNCTION("""COMPUTED_VALUE"""),16.79)</f>
        <v>16.79</v>
      </c>
      <c r="W34" s="119">
        <f ca="1">IFERROR(__xludf.DUMMYFUNCTION("""COMPUTED_VALUE"""),235.81)</f>
        <v>235.81</v>
      </c>
      <c r="X34" s="119">
        <f ca="1">IFERROR(__xludf.DUMMYFUNCTION("""COMPUTED_VALUE"""),2642.44)</f>
        <v>2642.44</v>
      </c>
      <c r="Y34" s="119">
        <f ca="1">IFERROR(__xludf.DUMMYFUNCTION("""COMPUTED_VALUE"""),58.05)</f>
        <v>58.05</v>
      </c>
      <c r="Z34" s="119">
        <f ca="1">IFERROR(__xludf.DUMMYFUNCTION("""COMPUTED_VALUE"""),61.95)</f>
        <v>61.95</v>
      </c>
      <c r="AA34" s="119">
        <f ca="1">IFERROR(__xludf.DUMMYFUNCTION("""COMPUTED_VALUE"""),100.91)</f>
        <v>100.91</v>
      </c>
      <c r="AB34" s="119">
        <f ca="1">IFERROR(__xludf.DUMMYFUNCTION("""COMPUTED_VALUE"""),4.62)</f>
        <v>4.62</v>
      </c>
      <c r="AC34" s="119">
        <f ca="1">IFERROR(__xludf.DUMMYFUNCTION("""COMPUTED_VALUE"""),75.23)</f>
        <v>75.23</v>
      </c>
      <c r="AD34" s="119">
        <f ca="1">IFERROR(__xludf.DUMMYFUNCTION("""COMPUTED_VALUE"""),11.9)</f>
        <v>11.9</v>
      </c>
      <c r="AE34" s="119">
        <f ca="1">IFERROR(__xludf.DUMMYFUNCTION("""COMPUTED_VALUE"""),5.89)</f>
        <v>5.89</v>
      </c>
      <c r="AF34" s="119">
        <f ca="1">IFERROR(__xludf.DUMMYFUNCTION("""COMPUTED_VALUE"""),41.78)</f>
        <v>41.78</v>
      </c>
      <c r="AG34" s="119">
        <f ca="1">IFERROR(__xludf.DUMMYFUNCTION("""COMPUTED_VALUE"""),13.86)</f>
        <v>13.86</v>
      </c>
      <c r="AH34" s="119">
        <f ca="1">IFERROR(__xludf.DUMMYFUNCTION("""COMPUTED_VALUE"""),2.04)</f>
        <v>2.04</v>
      </c>
      <c r="AI34" s="119">
        <f ca="1">IFERROR(__xludf.DUMMYFUNCTION("""COMPUTED_VALUE"""),3.47)</f>
        <v>3.47</v>
      </c>
      <c r="AJ34" s="119">
        <f ca="1">IFERROR(__xludf.DUMMYFUNCTION("""COMPUTED_VALUE"""),114)</f>
        <v>114</v>
      </c>
      <c r="AK34" s="119">
        <f ca="1">IFERROR(__xludf.DUMMYFUNCTION("""COMPUTED_VALUE"""),229.36)</f>
        <v>229.36</v>
      </c>
      <c r="AL34" s="119">
        <f ca="1">IFERROR(__xludf.DUMMYFUNCTION("""COMPUTED_VALUE"""),13.96)</f>
        <v>13.96</v>
      </c>
      <c r="AM34" s="119">
        <f ca="1">IFERROR(__xludf.DUMMYFUNCTION("""COMPUTED_VALUE"""),40.95)</f>
        <v>40.950000000000003</v>
      </c>
      <c r="AN34" s="119">
        <f ca="1">IFERROR(__xludf.DUMMYFUNCTION("""COMPUTED_VALUE"""),325.34)</f>
        <v>325.33999999999997</v>
      </c>
      <c r="AO34" s="119">
        <f ca="1">IFERROR(__xludf.DUMMYFUNCTION("""COMPUTED_VALUE"""),98.47)</f>
        <v>98.47</v>
      </c>
      <c r="AP34" s="119">
        <f ca="1">IFERROR(__xludf.DUMMYFUNCTION("""COMPUTED_VALUE"""),81.43)</f>
        <v>81.430000000000007</v>
      </c>
      <c r="AQ34" s="119">
        <f ca="1">IFERROR(__xludf.DUMMYFUNCTION("""COMPUTED_VALUE"""),50.39)</f>
        <v>50.39</v>
      </c>
      <c r="AR34" s="118">
        <f ca="1">IFERROR(__xludf.DUMMYFUNCTION("""COMPUTED_VALUE"""),104.775)</f>
        <v>104.77500000000001</v>
      </c>
      <c r="AS34" s="119">
        <f ca="1">IFERROR(__xludf.DUMMYFUNCTION("""COMPUTED_VALUE"""),19.85)</f>
        <v>19.850000000000001</v>
      </c>
      <c r="AT34" s="119">
        <f ca="1">IFERROR(__xludf.DUMMYFUNCTION("""COMPUTED_VALUE"""),99)</f>
        <v>99</v>
      </c>
      <c r="AU34" s="119">
        <f ca="1">IFERROR(__xludf.DUMMYFUNCTION("""COMPUTED_VALUE"""),63.35)</f>
        <v>63.35</v>
      </c>
      <c r="AV34" s="119">
        <f ca="1">IFERROR(__xludf.DUMMYFUNCTION("""COMPUTED_VALUE"""),140.72)</f>
        <v>140.72</v>
      </c>
      <c r="AW34" s="119">
        <f ca="1">IFERROR(__xludf.DUMMYFUNCTION("""COMPUTED_VALUE"""),125.74)</f>
        <v>125.74</v>
      </c>
      <c r="AX34" s="119">
        <f ca="1">IFERROR(__xludf.DUMMYFUNCTION("""COMPUTED_VALUE"""),24.7)</f>
        <v>24.7</v>
      </c>
      <c r="AY34" s="119">
        <f ca="1">IFERROR(__xludf.DUMMYFUNCTION("""COMPUTED_VALUE"""),42.29)</f>
        <v>42.29</v>
      </c>
      <c r="AZ34" s="119">
        <f ca="1">IFERROR(__xludf.DUMMYFUNCTION("""COMPUTED_VALUE"""),0)</f>
        <v>0</v>
      </c>
      <c r="BA34" s="119">
        <f ca="1">IFERROR(__xludf.DUMMYFUNCTION("""COMPUTED_VALUE"""),0)</f>
        <v>0</v>
      </c>
      <c r="BB34" s="119">
        <f ca="1">IFERROR(__xludf.DUMMYFUNCTION("""COMPUTED_VALUE"""),13.12)</f>
        <v>13.12</v>
      </c>
      <c r="BC34" s="119">
        <f ca="1">IFERROR(__xludf.DUMMYFUNCTION("""COMPUTED_VALUE"""),42.48)</f>
        <v>42.48</v>
      </c>
      <c r="BD34" s="119">
        <f ca="1">IFERROR(__xludf.DUMMYFUNCTION("""COMPUTED_VALUE"""),207.4)</f>
        <v>207.4</v>
      </c>
      <c r="BE34" s="119">
        <f ca="1">IFERROR(__xludf.DUMMYFUNCTION("""COMPUTED_VALUE"""),134.3)</f>
        <v>134.30000000000001</v>
      </c>
      <c r="BF34" s="119">
        <f ca="1">IFERROR(__xludf.DUMMYFUNCTION("""COMPUTED_VALUE"""),13.38)</f>
        <v>13.38</v>
      </c>
      <c r="BG34" s="119">
        <f ca="1">IFERROR(__xludf.DUMMYFUNCTION("""COMPUTED_VALUE"""),557.51)</f>
        <v>557.51</v>
      </c>
      <c r="BH34" s="119">
        <f ca="1">IFERROR(__xludf.DUMMYFUNCTION("""COMPUTED_VALUE"""),267.61)</f>
        <v>267.61</v>
      </c>
      <c r="BI34" s="119">
        <f ca="1">IFERROR(__xludf.DUMMYFUNCTION("""COMPUTED_VALUE"""),232.91)</f>
        <v>232.91</v>
      </c>
      <c r="BJ34" s="119">
        <f ca="1">IFERROR(__xludf.DUMMYFUNCTION("""COMPUTED_VALUE"""),22.63)</f>
        <v>22.63</v>
      </c>
      <c r="BK34" s="119">
        <f ca="1">IFERROR(__xludf.DUMMYFUNCTION("""COMPUTED_VALUE"""),309.06)</f>
        <v>309.06</v>
      </c>
      <c r="BL34" s="119">
        <f ca="1">IFERROR(__xludf.DUMMYFUNCTION("""COMPUTED_VALUE"""),123.23)</f>
        <v>123.23</v>
      </c>
      <c r="BM34" s="119">
        <f ca="1">IFERROR(__xludf.DUMMYFUNCTION("""COMPUTED_VALUE"""),16.85)</f>
        <v>16.850000000000001</v>
      </c>
      <c r="BN34" s="119">
        <f ca="1">IFERROR(__xludf.DUMMYFUNCTION("""COMPUTED_VALUE"""),359.57)</f>
        <v>359.57</v>
      </c>
      <c r="BO34" s="119">
        <f ca="1">IFERROR(__xludf.DUMMYFUNCTION("""COMPUTED_VALUE"""),641.92)</f>
        <v>641.91999999999996</v>
      </c>
      <c r="BP34" s="119">
        <f ca="1">IFERROR(__xludf.DUMMYFUNCTION("""COMPUTED_VALUE"""),47.39)</f>
        <v>47.39</v>
      </c>
      <c r="BQ34" s="119">
        <f ca="1">IFERROR(__xludf.DUMMYFUNCTION("""COMPUTED_VALUE"""),10)</f>
        <v>10</v>
      </c>
      <c r="BR34" s="119">
        <f ca="1">IFERROR(__xludf.DUMMYFUNCTION("""COMPUTED_VALUE"""),34.77)</f>
        <v>34.770000000000003</v>
      </c>
      <c r="BS34" s="119">
        <f ca="1">IFERROR(__xludf.DUMMYFUNCTION("""COMPUTED_VALUE"""),0.86)</f>
        <v>0.86</v>
      </c>
      <c r="BT34" s="119">
        <f ca="1">IFERROR(__xludf.DUMMYFUNCTION("""COMPUTED_VALUE"""),49.41)</f>
        <v>49.41</v>
      </c>
      <c r="BU34" s="119">
        <f ca="1">IFERROR(__xludf.DUMMYFUNCTION("""COMPUTED_VALUE"""),38.25)</f>
        <v>38.25</v>
      </c>
      <c r="BV34" s="119">
        <f ca="1">IFERROR(__xludf.DUMMYFUNCTION("""COMPUTED_VALUE"""),52.05)</f>
        <v>52.05</v>
      </c>
      <c r="BW34" s="119">
        <f ca="1">IFERROR(__xludf.DUMMYFUNCTION("""COMPUTED_VALUE"""),7.16)</f>
        <v>7.16</v>
      </c>
      <c r="BX34" s="119">
        <f ca="1">IFERROR(__xludf.DUMMYFUNCTION("""COMPUTED_VALUE"""),5.83)</f>
        <v>5.83</v>
      </c>
      <c r="BY34" s="119">
        <f ca="1">IFERROR(__xludf.DUMMYFUNCTION("""COMPUTED_VALUE"""),0)</f>
        <v>0</v>
      </c>
      <c r="BZ34" s="119">
        <f ca="1">IFERROR(__xludf.DUMMYFUNCTION("""COMPUTED_VALUE"""),14.74)</f>
        <v>14.74</v>
      </c>
      <c r="CA34" s="119">
        <f ca="1">IFERROR(__xludf.DUMMYFUNCTION("""COMPUTED_VALUE"""),3.9)</f>
        <v>3.9</v>
      </c>
      <c r="CB34" s="119">
        <f ca="1">IFERROR(__xludf.DUMMYFUNCTION("""COMPUTED_VALUE"""),6.16)</f>
        <v>6.16</v>
      </c>
      <c r="CC34" s="119">
        <f ca="1">IFERROR(__xludf.DUMMYFUNCTION("""COMPUTED_VALUE"""),20.07)</f>
        <v>20.07</v>
      </c>
      <c r="CD34" s="119">
        <f ca="1">IFERROR(__xludf.DUMMYFUNCTION("""COMPUTED_VALUE"""),16.79)</f>
        <v>16.79</v>
      </c>
      <c r="CE34" s="119">
        <f ca="1">IFERROR(__xludf.DUMMYFUNCTION("""COMPUTED_VALUE"""),34.81)</f>
        <v>34.81</v>
      </c>
      <c r="CF34" s="119">
        <f ca="1">IFERROR(__xludf.DUMMYFUNCTION("""COMPUTED_VALUE"""),115)</f>
        <v>115</v>
      </c>
      <c r="CG34" s="119">
        <f ca="1">IFERROR(__xludf.DUMMYFUNCTION("""COMPUTED_VALUE"""),5.89)</f>
        <v>5.89</v>
      </c>
      <c r="CH34" s="119">
        <f ca="1">IFERROR(__xludf.DUMMYFUNCTION("""COMPUTED_VALUE"""),24.2)</f>
        <v>24.2</v>
      </c>
      <c r="CI34" s="119">
        <f ca="1">IFERROR(__xludf.DUMMYFUNCTION("""COMPUTED_VALUE"""),53.46)</f>
        <v>53.46</v>
      </c>
      <c r="CJ34" s="119">
        <f ca="1">IFERROR(__xludf.DUMMYFUNCTION("""COMPUTED_VALUE"""),26.75)</f>
        <v>26.75</v>
      </c>
      <c r="CK34" s="119">
        <f ca="1">IFERROR(__xludf.DUMMYFUNCTION("""COMPUTED_VALUE"""),14.17)</f>
        <v>14.17</v>
      </c>
      <c r="CL34" s="119">
        <f ca="1">IFERROR(__xludf.DUMMYFUNCTION("""COMPUTED_VALUE"""),2638.13)</f>
        <v>2638.13</v>
      </c>
      <c r="CM34" s="119">
        <f ca="1">IFERROR(__xludf.DUMMYFUNCTION("""COMPUTED_VALUE"""),3.29)</f>
        <v>3.29</v>
      </c>
      <c r="CN34" s="119">
        <f ca="1">IFERROR(__xludf.DUMMYFUNCTION("""COMPUTED_VALUE"""),207.4)</f>
        <v>207.4</v>
      </c>
      <c r="CO34" s="119">
        <f ca="1">IFERROR(__xludf.DUMMYFUNCTION("""COMPUTED_VALUE"""),149)</f>
        <v>149</v>
      </c>
      <c r="CP34" s="119">
        <f ca="1">IFERROR(__xludf.DUMMYFUNCTION("""COMPUTED_VALUE"""),60.23)</f>
        <v>60.23</v>
      </c>
      <c r="CQ34" s="119">
        <f ca="1">IFERROR(__xludf.DUMMYFUNCTION("""COMPUTED_VALUE"""),71500)</f>
        <v>71500</v>
      </c>
      <c r="CR34" s="119">
        <f ca="1">IFERROR(__xludf.DUMMYFUNCTION("""COMPUTED_VALUE"""),0.52)</f>
        <v>0.52</v>
      </c>
      <c r="CS34" s="119">
        <f ca="1">IFERROR(__xludf.DUMMYFUNCTION("""COMPUTED_VALUE"""),38.27)</f>
        <v>38.270000000000003</v>
      </c>
      <c r="CT34" s="119">
        <f ca="1">IFERROR(__xludf.DUMMYFUNCTION("""COMPUTED_VALUE"""),22.06)</f>
        <v>22.06</v>
      </c>
      <c r="CU34" s="119">
        <f ca="1">IFERROR(__xludf.DUMMYFUNCTION("""COMPUTED_VALUE"""),1974.9)</f>
        <v>1974.9</v>
      </c>
      <c r="CV34" s="119">
        <f ca="1">IFERROR(__xludf.DUMMYFUNCTION("""COMPUTED_VALUE"""),2.92)</f>
        <v>2.92</v>
      </c>
      <c r="CW34" s="119">
        <f ca="1">IFERROR(__xludf.DUMMYFUNCTION("""COMPUTED_VALUE"""),3.32)</f>
        <v>3.32</v>
      </c>
      <c r="CX34" s="119">
        <f ca="1">IFERROR(__xludf.DUMMYFUNCTION("""COMPUTED_VALUE"""),9.5)</f>
        <v>9.5</v>
      </c>
      <c r="CY34" s="119">
        <f ca="1">IFERROR(__xludf.DUMMYFUNCTION("""COMPUTED_VALUE"""),0.08)</f>
        <v>0.08</v>
      </c>
      <c r="CZ34" s="119">
        <f ca="1">IFERROR(__xludf.DUMMYFUNCTION("""COMPUTED_VALUE"""),76.65)</f>
        <v>76.650000000000006</v>
      </c>
      <c r="DA34" s="119">
        <f ca="1">IFERROR(__xludf.DUMMYFUNCTION("""COMPUTED_VALUE"""),0.36)</f>
        <v>0.36</v>
      </c>
      <c r="DB34" s="119">
        <f ca="1">IFERROR(__xludf.DUMMYFUNCTION("""COMPUTED_VALUE"""),0.24)</f>
        <v>0.24</v>
      </c>
      <c r="DC34" s="117"/>
      <c r="DD34" s="117"/>
      <c r="DE34" s="117"/>
      <c r="DF34" s="117"/>
      <c r="DG34" s="117"/>
      <c r="DH34" s="117"/>
      <c r="DI34" s="117"/>
      <c r="DJ34" s="117"/>
      <c r="DK34" s="117"/>
      <c r="DL34" s="117"/>
      <c r="DM34" s="117"/>
      <c r="DN34" s="117"/>
      <c r="DO34" s="117"/>
      <c r="DP34" s="117"/>
      <c r="DQ34" s="117"/>
      <c r="DR34" s="117"/>
      <c r="DS34" s="117"/>
      <c r="DT34" s="117"/>
      <c r="DU34" s="117"/>
      <c r="DV34" s="117"/>
      <c r="DW34" s="117"/>
      <c r="DX34" s="117"/>
      <c r="DY34" s="117"/>
      <c r="DZ34" s="117"/>
      <c r="EA34" s="117"/>
      <c r="EB34" s="117"/>
      <c r="EC34" s="117"/>
      <c r="ED34" s="117"/>
      <c r="EE34" s="117"/>
      <c r="EF34" s="117"/>
      <c r="EG34" s="117"/>
      <c r="EH34" s="117"/>
      <c r="EI34" s="117"/>
      <c r="EJ34" s="117"/>
      <c r="EK34" s="117"/>
      <c r="EL34" s="117"/>
      <c r="EM34" s="117"/>
      <c r="EN34" s="117"/>
      <c r="EO34" s="117"/>
      <c r="EP34" s="117"/>
      <c r="EQ34" s="117"/>
      <c r="ER34" s="117"/>
      <c r="ES34" s="117"/>
      <c r="ET34" s="117"/>
      <c r="EU34" s="117"/>
      <c r="EV34" s="117"/>
      <c r="EW34" s="117"/>
      <c r="EX34" s="117"/>
      <c r="EY34" s="117"/>
      <c r="EZ34" s="117"/>
      <c r="FA34" s="117"/>
      <c r="FB34" s="117"/>
      <c r="FC34" s="117"/>
      <c r="FD34" s="117"/>
      <c r="FE34" s="117"/>
      <c r="FF34" s="117"/>
      <c r="FG34" s="117"/>
      <c r="FH34" s="117"/>
      <c r="FI34" s="117"/>
      <c r="FJ34" s="117"/>
      <c r="FK34" s="117"/>
      <c r="FL34" s="117"/>
      <c r="FM34" s="117"/>
      <c r="FN34" s="117"/>
      <c r="FO34" s="117"/>
    </row>
    <row r="35" spans="1:171" ht="15.75" customHeight="1" x14ac:dyDescent="0.15">
      <c r="A35" s="115">
        <f ca="1">IFERROR(__xludf.DUMMYFUNCTION("""COMPUTED_VALUE"""),44627)</f>
        <v>44627</v>
      </c>
      <c r="B35" s="119">
        <f ca="1">IFERROR(__xludf.DUMMYFUNCTION("""COMPUTED_VALUE"""),2749.06)</f>
        <v>2749.06</v>
      </c>
      <c r="C35" s="119">
        <f ca="1">IFERROR(__xludf.DUMMYFUNCTION("""COMPUTED_VALUE"""),187.47)</f>
        <v>187.47</v>
      </c>
      <c r="D35" s="119">
        <f ca="1">IFERROR(__xludf.DUMMYFUNCTION("""COMPUTED_VALUE"""),804.58)</f>
        <v>804.58</v>
      </c>
      <c r="E35" s="119">
        <f ca="1">IFERROR(__xludf.DUMMYFUNCTION("""COMPUTED_VALUE"""),388)</f>
        <v>388</v>
      </c>
      <c r="F35" s="119">
        <f ca="1">IFERROR(__xludf.DUMMYFUNCTION("""COMPUTED_VALUE"""),10.66)</f>
        <v>10.66</v>
      </c>
      <c r="G35" s="119">
        <f ca="1">IFERROR(__xludf.DUMMYFUNCTION("""COMPUTED_VALUE"""),159.3)</f>
        <v>159.30000000000001</v>
      </c>
      <c r="H35" s="119">
        <f ca="1">IFERROR(__xludf.DUMMYFUNCTION("""COMPUTED_VALUE"""),15.51)</f>
        <v>15.51</v>
      </c>
      <c r="I35" s="119">
        <f ca="1">IFERROR(__xludf.DUMMYFUNCTION("""COMPUTED_VALUE"""),23.17)</f>
        <v>23.17</v>
      </c>
      <c r="J35" s="119">
        <f ca="1">IFERROR(__xludf.DUMMYFUNCTION("""COMPUTED_VALUE"""),0.09)</f>
        <v>0.09</v>
      </c>
      <c r="K35" s="119">
        <f ca="1">IFERROR(__xludf.DUMMYFUNCTION("""COMPUTED_VALUE"""),38.8)</f>
        <v>38.799999999999997</v>
      </c>
      <c r="L35" s="119">
        <f ca="1">IFERROR(__xludf.DUMMYFUNCTION("""COMPUTED_VALUE"""),146.2)</f>
        <v>146.19999999999999</v>
      </c>
      <c r="M35" s="119">
        <f ca="1">IFERROR(__xludf.DUMMYFUNCTION("""COMPUTED_VALUE"""),38251.35)</f>
        <v>38251.35</v>
      </c>
      <c r="N35" s="119">
        <f ca="1">IFERROR(__xludf.DUMMYFUNCTION("""COMPUTED_VALUE"""),350.26)</f>
        <v>350.26</v>
      </c>
      <c r="O35" s="119">
        <f ca="1">IFERROR(__xludf.DUMMYFUNCTION("""COMPUTED_VALUE"""),278.91)</f>
        <v>278.91000000000003</v>
      </c>
      <c r="P35" s="119">
        <f ca="1">IFERROR(__xludf.DUMMYFUNCTION("""COMPUTED_VALUE"""),16.23)</f>
        <v>16.23</v>
      </c>
      <c r="Q35" s="119">
        <f ca="1">IFERROR(__xludf.DUMMYFUNCTION("""COMPUTED_VALUE"""),23.99)</f>
        <v>23.99</v>
      </c>
      <c r="R35" s="119">
        <f ca="1">IFERROR(__xludf.DUMMYFUNCTION("""COMPUTED_VALUE"""),60.52)</f>
        <v>60.52</v>
      </c>
      <c r="S35" s="119">
        <f ca="1">IFERROR(__xludf.DUMMYFUNCTION("""COMPUTED_VALUE"""),24.67)</f>
        <v>24.67</v>
      </c>
      <c r="T35" s="119">
        <f ca="1">IFERROR(__xludf.DUMMYFUNCTION("""COMPUTED_VALUE"""),27.21)</f>
        <v>27.21</v>
      </c>
      <c r="U35" s="119">
        <f ca="1">IFERROR(__xludf.DUMMYFUNCTION("""COMPUTED_VALUE"""),37.48)</f>
        <v>37.479999999999997</v>
      </c>
      <c r="V35" s="119">
        <f ca="1">IFERROR(__xludf.DUMMYFUNCTION("""COMPUTED_VALUE"""),16.58)</f>
        <v>16.579999999999998</v>
      </c>
      <c r="W35" s="119">
        <f ca="1">IFERROR(__xludf.DUMMYFUNCTION("""COMPUTED_VALUE"""),224.33)</f>
        <v>224.33</v>
      </c>
      <c r="X35" s="119">
        <f ca="1">IFERROR(__xludf.DUMMYFUNCTION("""COMPUTED_VALUE"""),2529.29)</f>
        <v>2529.29</v>
      </c>
      <c r="Y35" s="119">
        <f ca="1">IFERROR(__xludf.DUMMYFUNCTION("""COMPUTED_VALUE"""),55.05)</f>
        <v>55.05</v>
      </c>
      <c r="Z35" s="119">
        <f ca="1">IFERROR(__xludf.DUMMYFUNCTION("""COMPUTED_VALUE"""),56.25)</f>
        <v>56.25</v>
      </c>
      <c r="AA35" s="119">
        <f ca="1">IFERROR(__xludf.DUMMYFUNCTION("""COMPUTED_VALUE"""),92.16)</f>
        <v>92.16</v>
      </c>
      <c r="AB35" s="119">
        <f ca="1">IFERROR(__xludf.DUMMYFUNCTION("""COMPUTED_VALUE"""),4.53)</f>
        <v>4.53</v>
      </c>
      <c r="AC35" s="119">
        <f ca="1">IFERROR(__xludf.DUMMYFUNCTION("""COMPUTED_VALUE"""),76.34)</f>
        <v>76.34</v>
      </c>
      <c r="AD35" s="119">
        <f ca="1">IFERROR(__xludf.DUMMYFUNCTION("""COMPUTED_VALUE"""),11.9)</f>
        <v>11.9</v>
      </c>
      <c r="AE35" s="119">
        <f ca="1">IFERROR(__xludf.DUMMYFUNCTION("""COMPUTED_VALUE"""),5.83)</f>
        <v>5.83</v>
      </c>
      <c r="AF35" s="119">
        <f ca="1">IFERROR(__xludf.DUMMYFUNCTION("""COMPUTED_VALUE"""),41.05)</f>
        <v>41.05</v>
      </c>
      <c r="AG35" s="119">
        <f ca="1">IFERROR(__xludf.DUMMYFUNCTION("""COMPUTED_VALUE"""),12.88)</f>
        <v>12.88</v>
      </c>
      <c r="AH35" s="119">
        <f ca="1">IFERROR(__xludf.DUMMYFUNCTION("""COMPUTED_VALUE"""),1.97)</f>
        <v>1.97</v>
      </c>
      <c r="AI35" s="119">
        <f ca="1">IFERROR(__xludf.DUMMYFUNCTION("""COMPUTED_VALUE"""),3.38)</f>
        <v>3.38</v>
      </c>
      <c r="AJ35" s="119">
        <f ca="1">IFERROR(__xludf.DUMMYFUNCTION("""COMPUTED_VALUE"""),108.8)</f>
        <v>108.8</v>
      </c>
      <c r="AK35" s="119">
        <f ca="1">IFERROR(__xludf.DUMMYFUNCTION("""COMPUTED_VALUE"""),213.52)</f>
        <v>213.52</v>
      </c>
      <c r="AL35" s="119">
        <f ca="1">IFERROR(__xludf.DUMMYFUNCTION("""COMPUTED_VALUE"""),13.68)</f>
        <v>13.68</v>
      </c>
      <c r="AM35" s="119">
        <f ca="1">IFERROR(__xludf.DUMMYFUNCTION("""COMPUTED_VALUE"""),38.34)</f>
        <v>38.340000000000003</v>
      </c>
      <c r="AN35" s="119">
        <f ca="1">IFERROR(__xludf.DUMMYFUNCTION("""COMPUTED_VALUE"""),322.72)</f>
        <v>322.72000000000003</v>
      </c>
      <c r="AO35" s="119">
        <f ca="1">IFERROR(__xludf.DUMMYFUNCTION("""COMPUTED_VALUE"""),95.82)</f>
        <v>95.82</v>
      </c>
      <c r="AP35" s="119">
        <f ca="1">IFERROR(__xludf.DUMMYFUNCTION("""COMPUTED_VALUE"""),80.55)</f>
        <v>80.55</v>
      </c>
      <c r="AQ35" s="119">
        <f ca="1">IFERROR(__xludf.DUMMYFUNCTION("""COMPUTED_VALUE"""),48.85)</f>
        <v>48.85</v>
      </c>
      <c r="AR35" s="118">
        <f ca="1">IFERROR(__xludf.DUMMYFUNCTION("""COMPUTED_VALUE"""),104.758)</f>
        <v>104.758</v>
      </c>
      <c r="AS35" s="119">
        <f ca="1">IFERROR(__xludf.DUMMYFUNCTION("""COMPUTED_VALUE"""),22.4)</f>
        <v>22.4</v>
      </c>
      <c r="AT35" s="119">
        <f ca="1">IFERROR(__xludf.DUMMYFUNCTION("""COMPUTED_VALUE"""),96)</f>
        <v>96</v>
      </c>
      <c r="AU35" s="119">
        <f ca="1">IFERROR(__xludf.DUMMYFUNCTION("""COMPUTED_VALUE"""),61.58)</f>
        <v>61.58</v>
      </c>
      <c r="AV35" s="119">
        <f ca="1">IFERROR(__xludf.DUMMYFUNCTION("""COMPUTED_VALUE"""),133.5)</f>
        <v>133.5</v>
      </c>
      <c r="AW35" s="119">
        <f ca="1">IFERROR(__xludf.DUMMYFUNCTION("""COMPUTED_VALUE"""),119.22)</f>
        <v>119.22</v>
      </c>
      <c r="AX35" s="119">
        <f ca="1">IFERROR(__xludf.DUMMYFUNCTION("""COMPUTED_VALUE"""),23.5)</f>
        <v>23.5</v>
      </c>
      <c r="AY35" s="119">
        <f ca="1">IFERROR(__xludf.DUMMYFUNCTION("""COMPUTED_VALUE"""),41.3)</f>
        <v>41.3</v>
      </c>
      <c r="AZ35" s="119">
        <f ca="1">IFERROR(__xludf.DUMMYFUNCTION("""COMPUTED_VALUE"""),0)</f>
        <v>0</v>
      </c>
      <c r="BA35" s="119">
        <f ca="1">IFERROR(__xludf.DUMMYFUNCTION("""COMPUTED_VALUE"""),0)</f>
        <v>0</v>
      </c>
      <c r="BB35" s="119">
        <f ca="1">IFERROR(__xludf.DUMMYFUNCTION("""COMPUTED_VALUE"""),12.1)</f>
        <v>12.1</v>
      </c>
      <c r="BC35" s="119">
        <f ca="1">IFERROR(__xludf.DUMMYFUNCTION("""COMPUTED_VALUE"""),26.65)</f>
        <v>26.65</v>
      </c>
      <c r="BD35" s="119">
        <f ca="1">IFERROR(__xludf.DUMMYFUNCTION("""COMPUTED_VALUE"""),187.2)</f>
        <v>187.2</v>
      </c>
      <c r="BE35" s="119">
        <f ca="1">IFERROR(__xludf.DUMMYFUNCTION("""COMPUTED_VALUE"""),132.3)</f>
        <v>132.30000000000001</v>
      </c>
      <c r="BF35" s="119">
        <f ca="1">IFERROR(__xludf.DUMMYFUNCTION("""COMPUTED_VALUE"""),12.28)</f>
        <v>12.28</v>
      </c>
      <c r="BG35" s="119">
        <f ca="1">IFERROR(__xludf.DUMMYFUNCTION("""COMPUTED_VALUE"""),533.51)</f>
        <v>533.51</v>
      </c>
      <c r="BH35" s="119">
        <f ca="1">IFERROR(__xludf.DUMMYFUNCTION("""COMPUTED_VALUE"""),244.24)</f>
        <v>244.24</v>
      </c>
      <c r="BI35" s="119">
        <f ca="1">IFERROR(__xludf.DUMMYFUNCTION("""COMPUTED_VALUE"""),234.36)</f>
        <v>234.36</v>
      </c>
      <c r="BJ35" s="119">
        <f ca="1">IFERROR(__xludf.DUMMYFUNCTION("""COMPUTED_VALUE"""),23.17)</f>
        <v>23.17</v>
      </c>
      <c r="BK35" s="119">
        <f ca="1">IFERROR(__xludf.DUMMYFUNCTION("""COMPUTED_VALUE"""),295.46)</f>
        <v>295.45999999999998</v>
      </c>
      <c r="BL35" s="119">
        <f ca="1">IFERROR(__xludf.DUMMYFUNCTION("""COMPUTED_VALUE"""),122.31)</f>
        <v>122.31</v>
      </c>
      <c r="BM35" s="119">
        <f ca="1">IFERROR(__xludf.DUMMYFUNCTION("""COMPUTED_VALUE"""),15.97)</f>
        <v>15.97</v>
      </c>
      <c r="BN35" s="119">
        <f ca="1">IFERROR(__xludf.DUMMYFUNCTION("""COMPUTED_VALUE"""),346.09)</f>
        <v>346.09</v>
      </c>
      <c r="BO35" s="119">
        <f ca="1">IFERROR(__xludf.DUMMYFUNCTION("""COMPUTED_VALUE"""),609.4)</f>
        <v>609.4</v>
      </c>
      <c r="BP35" s="119">
        <f ca="1">IFERROR(__xludf.DUMMYFUNCTION("""COMPUTED_VALUE"""),42.43)</f>
        <v>42.43</v>
      </c>
      <c r="BQ35" s="119">
        <f ca="1">IFERROR(__xludf.DUMMYFUNCTION("""COMPUTED_VALUE"""),9.62)</f>
        <v>9.6199999999999992</v>
      </c>
      <c r="BR35" s="119">
        <f ca="1">IFERROR(__xludf.DUMMYFUNCTION("""COMPUTED_VALUE"""),29.58)</f>
        <v>29.58</v>
      </c>
      <c r="BS35" s="119">
        <f ca="1">IFERROR(__xludf.DUMMYFUNCTION("""COMPUTED_VALUE"""),0.83)</f>
        <v>0.83</v>
      </c>
      <c r="BT35" s="119">
        <f ca="1">IFERROR(__xludf.DUMMYFUNCTION("""COMPUTED_VALUE"""),46.42)</f>
        <v>46.42</v>
      </c>
      <c r="BU35" s="119">
        <f ca="1">IFERROR(__xludf.DUMMYFUNCTION("""COMPUTED_VALUE"""),37.8)</f>
        <v>37.799999999999997</v>
      </c>
      <c r="BV35" s="119">
        <f ca="1">IFERROR(__xludf.DUMMYFUNCTION("""COMPUTED_VALUE"""),51.6)</f>
        <v>51.6</v>
      </c>
      <c r="BW35" s="119">
        <f ca="1">IFERROR(__xludf.DUMMYFUNCTION("""COMPUTED_VALUE"""),6.83)</f>
        <v>6.83</v>
      </c>
      <c r="BX35" s="119">
        <f ca="1">IFERROR(__xludf.DUMMYFUNCTION("""COMPUTED_VALUE"""),5.19)</f>
        <v>5.19</v>
      </c>
      <c r="BY35" s="119">
        <f ca="1">IFERROR(__xludf.DUMMYFUNCTION("""COMPUTED_VALUE"""),0)</f>
        <v>0</v>
      </c>
      <c r="BZ35" s="119">
        <f ca="1">IFERROR(__xludf.DUMMYFUNCTION("""COMPUTED_VALUE"""),15.6)</f>
        <v>15.6</v>
      </c>
      <c r="CA35" s="119">
        <f ca="1">IFERROR(__xludf.DUMMYFUNCTION("""COMPUTED_VALUE"""),3.8)</f>
        <v>3.8</v>
      </c>
      <c r="CB35" s="119">
        <f ca="1">IFERROR(__xludf.DUMMYFUNCTION("""COMPUTED_VALUE"""),6.16)</f>
        <v>6.16</v>
      </c>
      <c r="CC35" s="119">
        <f ca="1">IFERROR(__xludf.DUMMYFUNCTION("""COMPUTED_VALUE"""),21.49)</f>
        <v>21.49</v>
      </c>
      <c r="CD35" s="119">
        <f ca="1">IFERROR(__xludf.DUMMYFUNCTION("""COMPUTED_VALUE"""),16.9)</f>
        <v>16.899999999999999</v>
      </c>
      <c r="CE35" s="119">
        <f ca="1">IFERROR(__xludf.DUMMYFUNCTION("""COMPUTED_VALUE"""),35.07)</f>
        <v>35.07</v>
      </c>
      <c r="CF35" s="119">
        <f ca="1">IFERROR(__xludf.DUMMYFUNCTION("""COMPUTED_VALUE"""),120.3)</f>
        <v>120.3</v>
      </c>
      <c r="CG35" s="119">
        <f ca="1">IFERROR(__xludf.DUMMYFUNCTION("""COMPUTED_VALUE"""),5.94)</f>
        <v>5.94</v>
      </c>
      <c r="CH35" s="119">
        <f ca="1">IFERROR(__xludf.DUMMYFUNCTION("""COMPUTED_VALUE"""),24.86)</f>
        <v>24.86</v>
      </c>
      <c r="CI35" s="119">
        <f ca="1">IFERROR(__xludf.DUMMYFUNCTION("""COMPUTED_VALUE"""),55.25)</f>
        <v>55.25</v>
      </c>
      <c r="CJ35" s="119">
        <f ca="1">IFERROR(__xludf.DUMMYFUNCTION("""COMPUTED_VALUE"""),26.75)</f>
        <v>26.75</v>
      </c>
      <c r="CK35" s="119">
        <f ca="1">IFERROR(__xludf.DUMMYFUNCTION("""COMPUTED_VALUE"""),13.67)</f>
        <v>13.67</v>
      </c>
      <c r="CL35" s="119">
        <f ca="1">IFERROR(__xludf.DUMMYFUNCTION("""COMPUTED_VALUE"""),2527.57)</f>
        <v>2527.5700000000002</v>
      </c>
      <c r="CM35" s="119">
        <f ca="1">IFERROR(__xludf.DUMMYFUNCTION("""COMPUTED_VALUE"""),5.1)</f>
        <v>5.0999999999999996</v>
      </c>
      <c r="CN35" s="119">
        <f ca="1">IFERROR(__xludf.DUMMYFUNCTION("""COMPUTED_VALUE"""),187.1)</f>
        <v>187.1</v>
      </c>
      <c r="CO35" s="119">
        <f ca="1">IFERROR(__xludf.DUMMYFUNCTION("""COMPUTED_VALUE"""),140.2)</f>
        <v>140.19999999999999</v>
      </c>
      <c r="CP35" s="119">
        <f ca="1">IFERROR(__xludf.DUMMYFUNCTION("""COMPUTED_VALUE"""),58.05)</f>
        <v>58.05</v>
      </c>
      <c r="CQ35" s="119">
        <f ca="1">IFERROR(__xludf.DUMMYFUNCTION("""COMPUTED_VALUE"""),69700)</f>
        <v>69700</v>
      </c>
      <c r="CR35" s="119">
        <f ca="1">IFERROR(__xludf.DUMMYFUNCTION("""COMPUTED_VALUE"""),0.52)</f>
        <v>0.52</v>
      </c>
      <c r="CS35" s="119">
        <f ca="1">IFERROR(__xludf.DUMMYFUNCTION("""COMPUTED_VALUE"""),36.16)</f>
        <v>36.159999999999997</v>
      </c>
      <c r="CT35" s="119">
        <f ca="1">IFERROR(__xludf.DUMMYFUNCTION("""COMPUTED_VALUE"""),21.22)</f>
        <v>21.22</v>
      </c>
      <c r="CU35" s="119">
        <f ca="1">IFERROR(__xludf.DUMMYFUNCTION("""COMPUTED_VALUE"""),1996.8)</f>
        <v>1996.8</v>
      </c>
      <c r="CV35" s="119">
        <f ca="1">IFERROR(__xludf.DUMMYFUNCTION("""COMPUTED_VALUE"""),2.73)</f>
        <v>2.73</v>
      </c>
      <c r="CW35" s="119">
        <f ca="1">IFERROR(__xludf.DUMMYFUNCTION("""COMPUTED_VALUE"""),3.33)</f>
        <v>3.33</v>
      </c>
      <c r="CX35" s="119">
        <f ca="1">IFERROR(__xludf.DUMMYFUNCTION("""COMPUTED_VALUE"""),12.19)</f>
        <v>12.19</v>
      </c>
      <c r="CY35" s="119">
        <f ca="1">IFERROR(__xludf.DUMMYFUNCTION("""COMPUTED_VALUE"""),0.08)</f>
        <v>0.08</v>
      </c>
      <c r="CZ35" s="119">
        <f ca="1">IFERROR(__xludf.DUMMYFUNCTION("""COMPUTED_VALUE"""),75.45)</f>
        <v>75.45</v>
      </c>
      <c r="DA35" s="119">
        <f ca="1">IFERROR(__xludf.DUMMYFUNCTION("""COMPUTED_VALUE"""),0.74)</f>
        <v>0.74</v>
      </c>
      <c r="DB35" s="119">
        <f ca="1">IFERROR(__xludf.DUMMYFUNCTION("""COMPUTED_VALUE"""),0.2)</f>
        <v>0.2</v>
      </c>
      <c r="DC35" s="119">
        <f ca="1">IFERROR(__xludf.DUMMYFUNCTION("""COMPUTED_VALUE"""),144.27)</f>
        <v>144.27000000000001</v>
      </c>
      <c r="DD35" s="119">
        <f ca="1">IFERROR(__xludf.DUMMYFUNCTION("""COMPUTED_VALUE"""),11.09)</f>
        <v>11.09</v>
      </c>
      <c r="DE35" s="119">
        <f ca="1">IFERROR(__xludf.DUMMYFUNCTION("""COMPUTED_VALUE"""),7.95)</f>
        <v>7.95</v>
      </c>
      <c r="DF35" s="119">
        <f ca="1">IFERROR(__xludf.DUMMYFUNCTION("""COMPUTED_VALUE"""),52.5)</f>
        <v>52.5</v>
      </c>
      <c r="DG35" s="119">
        <f ca="1">IFERROR(__xludf.DUMMYFUNCTION("""COMPUTED_VALUE"""),6.15)</f>
        <v>6.15</v>
      </c>
      <c r="DH35" s="119">
        <f ca="1">IFERROR(__xludf.DUMMYFUNCTION("""COMPUTED_VALUE"""),13.18)</f>
        <v>13.18</v>
      </c>
      <c r="DI35" s="119">
        <f ca="1">IFERROR(__xludf.DUMMYFUNCTION("""COMPUTED_VALUE"""),141.67)</f>
        <v>141.66999999999999</v>
      </c>
      <c r="DJ35" s="117"/>
      <c r="DK35" s="117"/>
      <c r="DL35" s="117"/>
      <c r="DM35" s="117"/>
      <c r="DN35" s="117"/>
      <c r="DO35" s="117"/>
      <c r="DP35" s="117"/>
      <c r="DQ35" s="117"/>
      <c r="DR35" s="117"/>
      <c r="DS35" s="117"/>
      <c r="DT35" s="117"/>
      <c r="DU35" s="117"/>
      <c r="DV35" s="117"/>
      <c r="DW35" s="117"/>
      <c r="DX35" s="117"/>
      <c r="DY35" s="117"/>
      <c r="DZ35" s="117"/>
      <c r="EA35" s="117"/>
      <c r="EB35" s="117"/>
      <c r="EC35" s="117"/>
      <c r="ED35" s="117"/>
      <c r="EE35" s="117"/>
      <c r="EF35" s="117"/>
      <c r="EG35" s="117"/>
      <c r="EH35" s="117"/>
      <c r="EI35" s="117"/>
      <c r="EJ35" s="117"/>
      <c r="EK35" s="117"/>
      <c r="EL35" s="117"/>
      <c r="EM35" s="117"/>
      <c r="EN35" s="117"/>
      <c r="EO35" s="117"/>
      <c r="EP35" s="117"/>
      <c r="EQ35" s="117"/>
      <c r="ER35" s="117"/>
      <c r="ES35" s="117"/>
      <c r="ET35" s="117"/>
      <c r="EU35" s="117"/>
      <c r="EV35" s="117"/>
      <c r="EW35" s="117"/>
      <c r="EX35" s="117"/>
      <c r="EY35" s="117"/>
      <c r="EZ35" s="117"/>
      <c r="FA35" s="117"/>
      <c r="FB35" s="117"/>
      <c r="FC35" s="117"/>
      <c r="FD35" s="117"/>
      <c r="FE35" s="117"/>
      <c r="FF35" s="117"/>
      <c r="FG35" s="117"/>
      <c r="FH35" s="117"/>
      <c r="FI35" s="117"/>
      <c r="FJ35" s="117"/>
      <c r="FK35" s="117"/>
      <c r="FL35" s="117"/>
      <c r="FM35" s="117"/>
      <c r="FN35" s="117"/>
      <c r="FO35" s="117"/>
    </row>
    <row r="36" spans="1:171" ht="15.75" customHeight="1" x14ac:dyDescent="0.15">
      <c r="A36" s="115">
        <f ca="1">IFERROR(__xludf.DUMMYFUNCTION("""COMPUTED_VALUE"""),44628)</f>
        <v>44628</v>
      </c>
      <c r="B36" s="119">
        <f ca="1">IFERROR(__xludf.DUMMYFUNCTION("""COMPUTED_VALUE"""),2720.29)</f>
        <v>2720.29</v>
      </c>
      <c r="C36" s="119">
        <f ca="1">IFERROR(__xludf.DUMMYFUNCTION("""COMPUTED_VALUE"""),190.29)</f>
        <v>190.29</v>
      </c>
      <c r="D36" s="119">
        <f ca="1">IFERROR(__xludf.DUMMYFUNCTION("""COMPUTED_VALUE"""),824.4)</f>
        <v>824.4</v>
      </c>
      <c r="E36" s="119">
        <f ca="1">IFERROR(__xludf.DUMMYFUNCTION("""COMPUTED_VALUE"""),383.2)</f>
        <v>383.2</v>
      </c>
      <c r="F36" s="119">
        <f ca="1">IFERROR(__xludf.DUMMYFUNCTION("""COMPUTED_VALUE"""),10.18)</f>
        <v>10.18</v>
      </c>
      <c r="G36" s="119">
        <f ca="1">IFERROR(__xludf.DUMMYFUNCTION("""COMPUTED_VALUE"""),157.44)</f>
        <v>157.44</v>
      </c>
      <c r="H36" s="119">
        <f ca="1">IFERROR(__xludf.DUMMYFUNCTION("""COMPUTED_VALUE"""),18.15)</f>
        <v>18.149999999999999</v>
      </c>
      <c r="I36" s="119">
        <f ca="1">IFERROR(__xludf.DUMMYFUNCTION("""COMPUTED_VALUE"""),19.36)</f>
        <v>19.36</v>
      </c>
      <c r="J36" s="119">
        <f ca="1">IFERROR(__xludf.DUMMYFUNCTION("""COMPUTED_VALUE"""),0.09)</f>
        <v>0.09</v>
      </c>
      <c r="K36" s="119">
        <f ca="1">IFERROR(__xludf.DUMMYFUNCTION("""COMPUTED_VALUE"""),37.6)</f>
        <v>37.6</v>
      </c>
      <c r="L36" s="119">
        <f ca="1">IFERROR(__xludf.DUMMYFUNCTION("""COMPUTED_VALUE"""),145.5)</f>
        <v>145.5</v>
      </c>
      <c r="M36" s="119">
        <f ca="1">IFERROR(__xludf.DUMMYFUNCTION("""COMPUTED_VALUE"""),39013.5)</f>
        <v>39013.5</v>
      </c>
      <c r="N36" s="119">
        <f ca="1">IFERROR(__xludf.DUMMYFUNCTION("""COMPUTED_VALUE"""),341.76)</f>
        <v>341.76</v>
      </c>
      <c r="O36" s="119">
        <f ca="1">IFERROR(__xludf.DUMMYFUNCTION("""COMPUTED_VALUE"""),275.85)</f>
        <v>275.85000000000002</v>
      </c>
      <c r="P36" s="119">
        <f ca="1">IFERROR(__xludf.DUMMYFUNCTION("""COMPUTED_VALUE"""),16.66)</f>
        <v>16.66</v>
      </c>
      <c r="Q36" s="119">
        <f ca="1">IFERROR(__xludf.DUMMYFUNCTION("""COMPUTED_VALUE"""),23.85)</f>
        <v>23.85</v>
      </c>
      <c r="R36" s="119">
        <f ca="1">IFERROR(__xludf.DUMMYFUNCTION("""COMPUTED_VALUE"""),58.69)</f>
        <v>58.69</v>
      </c>
      <c r="S36" s="119">
        <f ca="1">IFERROR(__xludf.DUMMYFUNCTION("""COMPUTED_VALUE"""),25.5)</f>
        <v>25.5</v>
      </c>
      <c r="T36" s="119">
        <f ca="1">IFERROR(__xludf.DUMMYFUNCTION("""COMPUTED_VALUE"""),25.98)</f>
        <v>25.98</v>
      </c>
      <c r="U36" s="119">
        <f ca="1">IFERROR(__xludf.DUMMYFUNCTION("""COMPUTED_VALUE"""),37.63)</f>
        <v>37.630000000000003</v>
      </c>
      <c r="V36" s="119">
        <f ca="1">IFERROR(__xludf.DUMMYFUNCTION("""COMPUTED_VALUE"""),15.77)</f>
        <v>15.77</v>
      </c>
      <c r="W36" s="119">
        <f ca="1">IFERROR(__xludf.DUMMYFUNCTION("""COMPUTED_VALUE"""),222.79)</f>
        <v>222.79</v>
      </c>
      <c r="X36" s="119">
        <f ca="1">IFERROR(__xludf.DUMMYFUNCTION("""COMPUTED_VALUE"""),2545.57)</f>
        <v>2545.5700000000002</v>
      </c>
      <c r="Y36" s="119">
        <f ca="1">IFERROR(__xludf.DUMMYFUNCTION("""COMPUTED_VALUE"""),53.95)</f>
        <v>53.95</v>
      </c>
      <c r="Z36" s="119">
        <f ca="1">IFERROR(__xludf.DUMMYFUNCTION("""COMPUTED_VALUE"""),55.9)</f>
        <v>55.9</v>
      </c>
      <c r="AA36" s="119">
        <f ca="1">IFERROR(__xludf.DUMMYFUNCTION("""COMPUTED_VALUE"""),92.15)</f>
        <v>92.15</v>
      </c>
      <c r="AB36" s="119">
        <f ca="1">IFERROR(__xludf.DUMMYFUNCTION("""COMPUTED_VALUE"""),4.52)</f>
        <v>4.5199999999999996</v>
      </c>
      <c r="AC36" s="119">
        <f ca="1">IFERROR(__xludf.DUMMYFUNCTION("""COMPUTED_VALUE"""),77.54)</f>
        <v>77.540000000000006</v>
      </c>
      <c r="AD36" s="119">
        <f ca="1">IFERROR(__xludf.DUMMYFUNCTION("""COMPUTED_VALUE"""),11.57)</f>
        <v>11.57</v>
      </c>
      <c r="AE36" s="119">
        <f ca="1">IFERROR(__xludf.DUMMYFUNCTION("""COMPUTED_VALUE"""),5.52)</f>
        <v>5.52</v>
      </c>
      <c r="AF36" s="119">
        <f ca="1">IFERROR(__xludf.DUMMYFUNCTION("""COMPUTED_VALUE"""),39.6)</f>
        <v>39.6</v>
      </c>
      <c r="AG36" s="119">
        <f ca="1">IFERROR(__xludf.DUMMYFUNCTION("""COMPUTED_VALUE"""),12.26)</f>
        <v>12.26</v>
      </c>
      <c r="AH36" s="119">
        <f ca="1">IFERROR(__xludf.DUMMYFUNCTION("""COMPUTED_VALUE"""),1.97)</f>
        <v>1.97</v>
      </c>
      <c r="AI36" s="119">
        <f ca="1">IFERROR(__xludf.DUMMYFUNCTION("""COMPUTED_VALUE"""),3.23)</f>
        <v>3.23</v>
      </c>
      <c r="AJ36" s="119">
        <f ca="1">IFERROR(__xludf.DUMMYFUNCTION("""COMPUTED_VALUE"""),104.6)</f>
        <v>104.6</v>
      </c>
      <c r="AK36" s="119">
        <f ca="1">IFERROR(__xludf.DUMMYFUNCTION("""COMPUTED_VALUE"""),215.14)</f>
        <v>215.14</v>
      </c>
      <c r="AL36" s="119">
        <f ca="1">IFERROR(__xludf.DUMMYFUNCTION("""COMPUTED_VALUE"""),12.94)</f>
        <v>12.94</v>
      </c>
      <c r="AM36" s="119">
        <f ca="1">IFERROR(__xludf.DUMMYFUNCTION("""COMPUTED_VALUE"""),38.59)</f>
        <v>38.590000000000003</v>
      </c>
      <c r="AN36" s="119">
        <f ca="1">IFERROR(__xludf.DUMMYFUNCTION("""COMPUTED_VALUE"""),318.52)</f>
        <v>318.52</v>
      </c>
      <c r="AO36" s="119">
        <f ca="1">IFERROR(__xludf.DUMMYFUNCTION("""COMPUTED_VALUE"""),97.42)</f>
        <v>97.42</v>
      </c>
      <c r="AP36" s="119">
        <f ca="1">IFERROR(__xludf.DUMMYFUNCTION("""COMPUTED_VALUE"""),81.03)</f>
        <v>81.03</v>
      </c>
      <c r="AQ36" s="119">
        <f ca="1">IFERROR(__xludf.DUMMYFUNCTION("""COMPUTED_VALUE"""),48.7)</f>
        <v>48.7</v>
      </c>
      <c r="AR36" s="118">
        <f ca="1">IFERROR(__xludf.DUMMYFUNCTION("""COMPUTED_VALUE"""),104.449)</f>
        <v>104.449</v>
      </c>
      <c r="AS36" s="119">
        <f ca="1">IFERROR(__xludf.DUMMYFUNCTION("""COMPUTED_VALUE"""),22.01)</f>
        <v>22.01</v>
      </c>
      <c r="AT36" s="119">
        <f ca="1">IFERROR(__xludf.DUMMYFUNCTION("""COMPUTED_VALUE"""),96.9)</f>
        <v>96.9</v>
      </c>
      <c r="AU36" s="119">
        <f ca="1">IFERROR(__xludf.DUMMYFUNCTION("""COMPUTED_VALUE"""),60.72)</f>
        <v>60.72</v>
      </c>
      <c r="AV36" s="119">
        <f ca="1">IFERROR(__xludf.DUMMYFUNCTION("""COMPUTED_VALUE"""),131.75)</f>
        <v>131.75</v>
      </c>
      <c r="AW36" s="119">
        <f ca="1">IFERROR(__xludf.DUMMYFUNCTION("""COMPUTED_VALUE"""),124.15)</f>
        <v>124.15</v>
      </c>
      <c r="AX36" s="119">
        <f ca="1">IFERROR(__xludf.DUMMYFUNCTION("""COMPUTED_VALUE"""),20.7)</f>
        <v>20.7</v>
      </c>
      <c r="AY36" s="119">
        <f ca="1">IFERROR(__xludf.DUMMYFUNCTION("""COMPUTED_VALUE"""),41.91)</f>
        <v>41.91</v>
      </c>
      <c r="AZ36" s="119">
        <f ca="1">IFERROR(__xludf.DUMMYFUNCTION("""COMPUTED_VALUE"""),0)</f>
        <v>0</v>
      </c>
      <c r="BA36" s="119">
        <f ca="1">IFERROR(__xludf.DUMMYFUNCTION("""COMPUTED_VALUE"""),0)</f>
        <v>0</v>
      </c>
      <c r="BB36" s="119">
        <f ca="1">IFERROR(__xludf.DUMMYFUNCTION("""COMPUTED_VALUE"""),11.2)</f>
        <v>11.2</v>
      </c>
      <c r="BC36" s="119">
        <f ca="1">IFERROR(__xludf.DUMMYFUNCTION("""COMPUTED_VALUE"""),15.25)</f>
        <v>15.25</v>
      </c>
      <c r="BD36" s="119">
        <f ca="1">IFERROR(__xludf.DUMMYFUNCTION("""COMPUTED_VALUE"""),172.7)</f>
        <v>172.7</v>
      </c>
      <c r="BE36" s="119">
        <f ca="1">IFERROR(__xludf.DUMMYFUNCTION("""COMPUTED_VALUE"""),129.3)</f>
        <v>129.30000000000001</v>
      </c>
      <c r="BF36" s="119">
        <f ca="1">IFERROR(__xludf.DUMMYFUNCTION("""COMPUTED_VALUE"""),10.24)</f>
        <v>10.24</v>
      </c>
      <c r="BG36" s="119">
        <f ca="1">IFERROR(__xludf.DUMMYFUNCTION("""COMPUTED_VALUE"""),525.15)</f>
        <v>525.15</v>
      </c>
      <c r="BH36" s="119">
        <f ca="1">IFERROR(__xludf.DUMMYFUNCTION("""COMPUTED_VALUE"""),240.95)</f>
        <v>240.95</v>
      </c>
      <c r="BI36" s="119">
        <f ca="1">IFERROR(__xludf.DUMMYFUNCTION("""COMPUTED_VALUE"""),231.1)</f>
        <v>231.1</v>
      </c>
      <c r="BJ36" s="119">
        <f ca="1">IFERROR(__xludf.DUMMYFUNCTION("""COMPUTED_VALUE"""),24.24)</f>
        <v>24.24</v>
      </c>
      <c r="BK36" s="119">
        <f ca="1">IFERROR(__xludf.DUMMYFUNCTION("""COMPUTED_VALUE"""),296.35)</f>
        <v>296.35000000000002</v>
      </c>
      <c r="BL36" s="119">
        <f ca="1">IFERROR(__xludf.DUMMYFUNCTION("""COMPUTED_VALUE"""),119.28)</f>
        <v>119.28</v>
      </c>
      <c r="BM36" s="119">
        <f ca="1">IFERROR(__xludf.DUMMYFUNCTION("""COMPUTED_VALUE"""),16.03)</f>
        <v>16.03</v>
      </c>
      <c r="BN36" s="119">
        <f ca="1">IFERROR(__xludf.DUMMYFUNCTION("""COMPUTED_VALUE"""),338)</f>
        <v>338</v>
      </c>
      <c r="BO36" s="119">
        <f ca="1">IFERROR(__xludf.DUMMYFUNCTION("""COMPUTED_VALUE"""),618.755)</f>
        <v>618.755</v>
      </c>
      <c r="BP36" s="119">
        <f ca="1">IFERROR(__xludf.DUMMYFUNCTION("""COMPUTED_VALUE"""),42.21)</f>
        <v>42.21</v>
      </c>
      <c r="BQ36" s="119">
        <f ca="1">IFERROR(__xludf.DUMMYFUNCTION("""COMPUTED_VALUE"""),9.72)</f>
        <v>9.7200000000000006</v>
      </c>
      <c r="BR36" s="119">
        <f ca="1">IFERROR(__xludf.DUMMYFUNCTION("""COMPUTED_VALUE"""),31.16)</f>
        <v>31.16</v>
      </c>
      <c r="BS36" s="119">
        <f ca="1">IFERROR(__xludf.DUMMYFUNCTION("""COMPUTED_VALUE"""),0.86)</f>
        <v>0.86</v>
      </c>
      <c r="BT36" s="119">
        <f ca="1">IFERROR(__xludf.DUMMYFUNCTION("""COMPUTED_VALUE"""),46.5)</f>
        <v>46.5</v>
      </c>
      <c r="BU36" s="119">
        <f ca="1">IFERROR(__xludf.DUMMYFUNCTION("""COMPUTED_VALUE"""),36.9)</f>
        <v>36.9</v>
      </c>
      <c r="BV36" s="119">
        <f ca="1">IFERROR(__xludf.DUMMYFUNCTION("""COMPUTED_VALUE"""),51.15)</f>
        <v>51.15</v>
      </c>
      <c r="BW36" s="119">
        <f ca="1">IFERROR(__xludf.DUMMYFUNCTION("""COMPUTED_VALUE"""),7.58)</f>
        <v>7.58</v>
      </c>
      <c r="BX36" s="119">
        <f ca="1">IFERROR(__xludf.DUMMYFUNCTION("""COMPUTED_VALUE"""),4.97)</f>
        <v>4.97</v>
      </c>
      <c r="BY36" s="119">
        <f ca="1">IFERROR(__xludf.DUMMYFUNCTION("""COMPUTED_VALUE"""),0)</f>
        <v>0</v>
      </c>
      <c r="BZ36" s="119">
        <f ca="1">IFERROR(__xludf.DUMMYFUNCTION("""COMPUTED_VALUE"""),15.32)</f>
        <v>15.32</v>
      </c>
      <c r="CA36" s="119">
        <f ca="1">IFERROR(__xludf.DUMMYFUNCTION("""COMPUTED_VALUE"""),3.64)</f>
        <v>3.64</v>
      </c>
      <c r="CB36" s="119">
        <f ca="1">IFERROR(__xludf.DUMMYFUNCTION("""COMPUTED_VALUE"""),5.94)</f>
        <v>5.94</v>
      </c>
      <c r="CC36" s="119">
        <f ca="1">IFERROR(__xludf.DUMMYFUNCTION("""COMPUTED_VALUE"""),21.18)</f>
        <v>21.18</v>
      </c>
      <c r="CD36" s="119">
        <f ca="1">IFERROR(__xludf.DUMMYFUNCTION("""COMPUTED_VALUE"""),16.46)</f>
        <v>16.46</v>
      </c>
      <c r="CE36" s="119">
        <f ca="1">IFERROR(__xludf.DUMMYFUNCTION("""COMPUTED_VALUE"""),31.7)</f>
        <v>31.7</v>
      </c>
      <c r="CF36" s="119">
        <f ca="1">IFERROR(__xludf.DUMMYFUNCTION("""COMPUTED_VALUE"""),124.88)</f>
        <v>124.88</v>
      </c>
      <c r="CG36" s="119">
        <f ca="1">IFERROR(__xludf.DUMMYFUNCTION("""COMPUTED_VALUE"""),5.82)</f>
        <v>5.82</v>
      </c>
      <c r="CH36" s="119">
        <f ca="1">IFERROR(__xludf.DUMMYFUNCTION("""COMPUTED_VALUE"""),25.36)</f>
        <v>25.36</v>
      </c>
      <c r="CI36" s="119">
        <f ca="1">IFERROR(__xludf.DUMMYFUNCTION("""COMPUTED_VALUE"""),54.7)</f>
        <v>54.7</v>
      </c>
      <c r="CJ36" s="119">
        <f ca="1">IFERROR(__xludf.DUMMYFUNCTION("""COMPUTED_VALUE"""),17.95)</f>
        <v>17.95</v>
      </c>
      <c r="CK36" s="119">
        <f ca="1">IFERROR(__xludf.DUMMYFUNCTION("""COMPUTED_VALUE"""),12.76)</f>
        <v>12.76</v>
      </c>
      <c r="CL36" s="119">
        <f ca="1">IFERROR(__xludf.DUMMYFUNCTION("""COMPUTED_VALUE"""),2542.09)</f>
        <v>2542.09</v>
      </c>
      <c r="CM36" s="119">
        <f ca="1">IFERROR(__xludf.DUMMYFUNCTION("""COMPUTED_VALUE"""),4.65)</f>
        <v>4.6500000000000004</v>
      </c>
      <c r="CN36" s="119">
        <f ca="1">IFERROR(__xludf.DUMMYFUNCTION("""COMPUTED_VALUE"""),171.3)</f>
        <v>171.3</v>
      </c>
      <c r="CO36" s="119">
        <f ca="1">IFERROR(__xludf.DUMMYFUNCTION("""COMPUTED_VALUE"""),133.1)</f>
        <v>133.1</v>
      </c>
      <c r="CP36" s="119">
        <f ca="1">IFERROR(__xludf.DUMMYFUNCTION("""COMPUTED_VALUE"""),58.62)</f>
        <v>58.62</v>
      </c>
      <c r="CQ36" s="119">
        <f ca="1">IFERROR(__xludf.DUMMYFUNCTION("""COMPUTED_VALUE"""),69500)</f>
        <v>69500</v>
      </c>
      <c r="CR36" s="119">
        <f ca="1">IFERROR(__xludf.DUMMYFUNCTION("""COMPUTED_VALUE"""),0.52)</f>
        <v>0.52</v>
      </c>
      <c r="CS36" s="119">
        <f ca="1">IFERROR(__xludf.DUMMYFUNCTION("""COMPUTED_VALUE"""),36.94)</f>
        <v>36.94</v>
      </c>
      <c r="CT36" s="119">
        <f ca="1">IFERROR(__xludf.DUMMYFUNCTION("""COMPUTED_VALUE"""),20.88)</f>
        <v>20.88</v>
      </c>
      <c r="CU36" s="119">
        <f ca="1">IFERROR(__xludf.DUMMYFUNCTION("""COMPUTED_VALUE"""),2051.7)</f>
        <v>2051.6999999999998</v>
      </c>
      <c r="CV36" s="119">
        <f ca="1">IFERROR(__xludf.DUMMYFUNCTION("""COMPUTED_VALUE"""),2.65)</f>
        <v>2.65</v>
      </c>
      <c r="CW36" s="119">
        <f ca="1">IFERROR(__xludf.DUMMYFUNCTION("""COMPUTED_VALUE"""),3.05)</f>
        <v>3.05</v>
      </c>
      <c r="CX36" s="119">
        <f ca="1">IFERROR(__xludf.DUMMYFUNCTION("""COMPUTED_VALUE"""),14.6)</f>
        <v>14.6</v>
      </c>
      <c r="CY36" s="119">
        <f ca="1">IFERROR(__xludf.DUMMYFUNCTION("""COMPUTED_VALUE"""),0.05)</f>
        <v>0.05</v>
      </c>
      <c r="CZ36" s="119">
        <f ca="1">IFERROR(__xludf.DUMMYFUNCTION("""COMPUTED_VALUE"""),71.9)</f>
        <v>71.900000000000006</v>
      </c>
      <c r="DA36" s="119">
        <f ca="1">IFERROR(__xludf.DUMMYFUNCTION("""COMPUTED_VALUE"""),0.74)</f>
        <v>0.74</v>
      </c>
      <c r="DB36" s="119">
        <f ca="1">IFERROR(__xludf.DUMMYFUNCTION("""COMPUTED_VALUE"""),0.35)</f>
        <v>0.35</v>
      </c>
      <c r="DC36" s="119">
        <f ca="1">IFERROR(__xludf.DUMMYFUNCTION("""COMPUTED_VALUE"""),143.57)</f>
        <v>143.57</v>
      </c>
      <c r="DD36" s="119">
        <f ca="1">IFERROR(__xludf.DUMMYFUNCTION("""COMPUTED_VALUE"""),9.98)</f>
        <v>9.98</v>
      </c>
      <c r="DE36" s="119">
        <f ca="1">IFERROR(__xludf.DUMMYFUNCTION("""COMPUTED_VALUE"""),7.73)</f>
        <v>7.73</v>
      </c>
      <c r="DF36" s="119">
        <f ca="1">IFERROR(__xludf.DUMMYFUNCTION("""COMPUTED_VALUE"""),53)</f>
        <v>53</v>
      </c>
      <c r="DG36" s="119">
        <f ca="1">IFERROR(__xludf.DUMMYFUNCTION("""COMPUTED_VALUE"""),5.54)</f>
        <v>5.54</v>
      </c>
      <c r="DH36" s="119">
        <f ca="1">IFERROR(__xludf.DUMMYFUNCTION("""COMPUTED_VALUE"""),12.9)</f>
        <v>12.9</v>
      </c>
      <c r="DI36" s="119">
        <f ca="1">IFERROR(__xludf.DUMMYFUNCTION("""COMPUTED_VALUE"""),138.74)</f>
        <v>138.74</v>
      </c>
      <c r="DJ36" s="119">
        <f ca="1">IFERROR(__xludf.DUMMYFUNCTION("""COMPUTED_VALUE"""),10.89)</f>
        <v>10.89</v>
      </c>
      <c r="DK36" s="119">
        <f ca="1">IFERROR(__xludf.DUMMYFUNCTION("""COMPUTED_VALUE"""),1.85)</f>
        <v>1.85</v>
      </c>
      <c r="DL36" s="117"/>
      <c r="DM36" s="117"/>
      <c r="DN36" s="117"/>
      <c r="DO36" s="117"/>
      <c r="DP36" s="117"/>
      <c r="DQ36" s="117"/>
      <c r="DR36" s="117"/>
      <c r="DS36" s="117"/>
      <c r="DT36" s="117"/>
      <c r="DU36" s="117"/>
      <c r="DV36" s="117"/>
      <c r="DW36" s="117"/>
      <c r="DX36" s="117"/>
      <c r="DY36" s="117"/>
      <c r="DZ36" s="117"/>
      <c r="EA36" s="117"/>
      <c r="EB36" s="117"/>
      <c r="EC36" s="117"/>
      <c r="ED36" s="117"/>
      <c r="EE36" s="117"/>
      <c r="EF36" s="117"/>
      <c r="EG36" s="117"/>
      <c r="EH36" s="117"/>
      <c r="EI36" s="117"/>
      <c r="EJ36" s="117"/>
      <c r="EK36" s="117"/>
      <c r="EL36" s="117"/>
      <c r="EM36" s="117"/>
      <c r="EN36" s="117"/>
      <c r="EO36" s="117"/>
      <c r="EP36" s="117"/>
      <c r="EQ36" s="117"/>
      <c r="ER36" s="117"/>
      <c r="ES36" s="117"/>
      <c r="ET36" s="117"/>
      <c r="EU36" s="117"/>
      <c r="EV36" s="117"/>
      <c r="EW36" s="117"/>
      <c r="EX36" s="117"/>
      <c r="EY36" s="117"/>
      <c r="EZ36" s="117"/>
      <c r="FA36" s="117"/>
      <c r="FB36" s="117"/>
      <c r="FC36" s="117"/>
      <c r="FD36" s="117"/>
      <c r="FE36" s="117"/>
      <c r="FF36" s="117"/>
      <c r="FG36" s="117"/>
      <c r="FH36" s="117"/>
      <c r="FI36" s="117"/>
      <c r="FJ36" s="117"/>
      <c r="FK36" s="117"/>
      <c r="FL36" s="117"/>
      <c r="FM36" s="117"/>
      <c r="FN36" s="117"/>
      <c r="FO36" s="117"/>
    </row>
    <row r="37" spans="1:171" ht="15.75" customHeight="1" x14ac:dyDescent="0.15">
      <c r="A37" s="115">
        <f ca="1">IFERROR(__xludf.DUMMYFUNCTION("""COMPUTED_VALUE"""),44629)</f>
        <v>44629</v>
      </c>
      <c r="B37" s="119">
        <f ca="1">IFERROR(__xludf.DUMMYFUNCTION("""COMPUTED_VALUE"""),2785.58)</f>
        <v>2785.58</v>
      </c>
      <c r="C37" s="119">
        <f ca="1">IFERROR(__xludf.DUMMYFUNCTION("""COMPUTED_VALUE"""),198.5)</f>
        <v>198.5</v>
      </c>
      <c r="D37" s="119">
        <f ca="1">IFERROR(__xludf.DUMMYFUNCTION("""COMPUTED_VALUE"""),858.97)</f>
        <v>858.97</v>
      </c>
      <c r="E37" s="119">
        <f ca="1">IFERROR(__xludf.DUMMYFUNCTION("""COMPUTED_VALUE"""),384.8)</f>
        <v>384.8</v>
      </c>
      <c r="F37" s="119">
        <f ca="1">IFERROR(__xludf.DUMMYFUNCTION("""COMPUTED_VALUE"""),10.12)</f>
        <v>10.119999999999999</v>
      </c>
      <c r="G37" s="119">
        <f ca="1">IFERROR(__xludf.DUMMYFUNCTION("""COMPUTED_VALUE"""),162.95)</f>
        <v>162.94999999999999</v>
      </c>
      <c r="H37" s="119">
        <f ca="1">IFERROR(__xludf.DUMMYFUNCTION("""COMPUTED_VALUE"""),18.15)</f>
        <v>18.149999999999999</v>
      </c>
      <c r="I37" s="119">
        <f ca="1">IFERROR(__xludf.DUMMYFUNCTION("""COMPUTED_VALUE"""),16.37)</f>
        <v>16.37</v>
      </c>
      <c r="J37" s="119">
        <f ca="1">IFERROR(__xludf.DUMMYFUNCTION("""COMPUTED_VALUE"""),0.24)</f>
        <v>0.24</v>
      </c>
      <c r="K37" s="119">
        <f ca="1">IFERROR(__xludf.DUMMYFUNCTION("""COMPUTED_VALUE"""),37.4)</f>
        <v>37.4</v>
      </c>
      <c r="L37" s="119">
        <f ca="1">IFERROR(__xludf.DUMMYFUNCTION("""COMPUTED_VALUE"""),148.5)</f>
        <v>148.5</v>
      </c>
      <c r="M37" s="119">
        <f ca="1">IFERROR(__xludf.DUMMYFUNCTION("""COMPUTED_VALUE"""),41923.94)</f>
        <v>41923.94</v>
      </c>
      <c r="N37" s="119">
        <f ca="1">IFERROR(__xludf.DUMMYFUNCTION("""COMPUTED_VALUE"""),358.79)</f>
        <v>358.79</v>
      </c>
      <c r="O37" s="119">
        <f ca="1">IFERROR(__xludf.DUMMYFUNCTION("""COMPUTED_VALUE"""),288.5)</f>
        <v>288.5</v>
      </c>
      <c r="P37" s="119">
        <f ca="1">IFERROR(__xludf.DUMMYFUNCTION("""COMPUTED_VALUE"""),23.64)</f>
        <v>23.64</v>
      </c>
      <c r="Q37" s="119">
        <f ca="1">IFERROR(__xludf.DUMMYFUNCTION("""COMPUTED_VALUE"""),24.24)</f>
        <v>24.24</v>
      </c>
      <c r="R37" s="119">
        <f ca="1">IFERROR(__xludf.DUMMYFUNCTION("""COMPUTED_VALUE"""),62.4)</f>
        <v>62.4</v>
      </c>
      <c r="S37" s="119">
        <f ca="1">IFERROR(__xludf.DUMMYFUNCTION("""COMPUTED_VALUE"""),28.1)</f>
        <v>28.1</v>
      </c>
      <c r="T37" s="119">
        <f ca="1">IFERROR(__xludf.DUMMYFUNCTION("""COMPUTED_VALUE"""),28.72)</f>
        <v>28.72</v>
      </c>
      <c r="U37" s="119">
        <f ca="1">IFERROR(__xludf.DUMMYFUNCTION("""COMPUTED_VALUE"""),40.28)</f>
        <v>40.28</v>
      </c>
      <c r="V37" s="119">
        <f ca="1">IFERROR(__xludf.DUMMYFUNCTION("""COMPUTED_VALUE"""),15.13)</f>
        <v>15.13</v>
      </c>
      <c r="W37" s="119">
        <f ca="1">IFERROR(__xludf.DUMMYFUNCTION("""COMPUTED_VALUE"""),222.42)</f>
        <v>222.42</v>
      </c>
      <c r="X37" s="119">
        <f ca="1">IFERROR(__xludf.DUMMYFUNCTION("""COMPUTED_VALUE"""),2677.32)</f>
        <v>2677.32</v>
      </c>
      <c r="Y37" s="119">
        <f ca="1">IFERROR(__xludf.DUMMYFUNCTION("""COMPUTED_VALUE"""),53.35)</f>
        <v>53.35</v>
      </c>
      <c r="Z37" s="119">
        <f ca="1">IFERROR(__xludf.DUMMYFUNCTION("""COMPUTED_VALUE"""),52)</f>
        <v>52</v>
      </c>
      <c r="AA37" s="119">
        <f ca="1">IFERROR(__xludf.DUMMYFUNCTION("""COMPUTED_VALUE"""),98.46)</f>
        <v>98.46</v>
      </c>
      <c r="AB37" s="119">
        <f ca="1">IFERROR(__xludf.DUMMYFUNCTION("""COMPUTED_VALUE"""),4.51)</f>
        <v>4.51</v>
      </c>
      <c r="AC37" s="119">
        <f ca="1">IFERROR(__xludf.DUMMYFUNCTION("""COMPUTED_VALUE"""),75.15)</f>
        <v>75.150000000000006</v>
      </c>
      <c r="AD37" s="119">
        <f ca="1">IFERROR(__xludf.DUMMYFUNCTION("""COMPUTED_VALUE"""),11.81)</f>
        <v>11.81</v>
      </c>
      <c r="AE37" s="119">
        <f ca="1">IFERROR(__xludf.DUMMYFUNCTION("""COMPUTED_VALUE"""),5.68)</f>
        <v>5.68</v>
      </c>
      <c r="AF37" s="119">
        <f ca="1">IFERROR(__xludf.DUMMYFUNCTION("""COMPUTED_VALUE"""),41.99)</f>
        <v>41.99</v>
      </c>
      <c r="AG37" s="119">
        <f ca="1">IFERROR(__xludf.DUMMYFUNCTION("""COMPUTED_VALUE"""),12.36)</f>
        <v>12.36</v>
      </c>
      <c r="AH37" s="119">
        <f ca="1">IFERROR(__xludf.DUMMYFUNCTION("""COMPUTED_VALUE"""),1.98)</f>
        <v>1.98</v>
      </c>
      <c r="AI37" s="119">
        <f ca="1">IFERROR(__xludf.DUMMYFUNCTION("""COMPUTED_VALUE"""),3.29)</f>
        <v>3.29</v>
      </c>
      <c r="AJ37" s="119">
        <f ca="1">IFERROR(__xludf.DUMMYFUNCTION("""COMPUTED_VALUE"""),96.85)</f>
        <v>96.85</v>
      </c>
      <c r="AK37" s="119">
        <f ca="1">IFERROR(__xludf.DUMMYFUNCTION("""COMPUTED_VALUE"""),230.14)</f>
        <v>230.14</v>
      </c>
      <c r="AL37" s="119">
        <f ca="1">IFERROR(__xludf.DUMMYFUNCTION("""COMPUTED_VALUE"""),13.3)</f>
        <v>13.3</v>
      </c>
      <c r="AM37" s="119">
        <f ca="1">IFERROR(__xludf.DUMMYFUNCTION("""COMPUTED_VALUE"""),41.04)</f>
        <v>41.04</v>
      </c>
      <c r="AN37" s="119">
        <f ca="1">IFERROR(__xludf.DUMMYFUNCTION("""COMPUTED_VALUE"""),325.35)</f>
        <v>325.35000000000002</v>
      </c>
      <c r="AO37" s="119">
        <f ca="1">IFERROR(__xludf.DUMMYFUNCTION("""COMPUTED_VALUE"""),98.31)</f>
        <v>98.31</v>
      </c>
      <c r="AP37" s="119">
        <f ca="1">IFERROR(__xludf.DUMMYFUNCTION("""COMPUTED_VALUE"""),80.83)</f>
        <v>80.83</v>
      </c>
      <c r="AQ37" s="119">
        <f ca="1">IFERROR(__xludf.DUMMYFUNCTION("""COMPUTED_VALUE"""),50.75)</f>
        <v>50.75</v>
      </c>
      <c r="AR37" s="118">
        <f ca="1">IFERROR(__xludf.DUMMYFUNCTION("""COMPUTED_VALUE"""),104.255)</f>
        <v>104.255</v>
      </c>
      <c r="AS37" s="119">
        <f ca="1">IFERROR(__xludf.DUMMYFUNCTION("""COMPUTED_VALUE"""),20.76)</f>
        <v>20.76</v>
      </c>
      <c r="AT37" s="119">
        <f ca="1">IFERROR(__xludf.DUMMYFUNCTION("""COMPUTED_VALUE"""),96.25)</f>
        <v>96.25</v>
      </c>
      <c r="AU37" s="119">
        <f ca="1">IFERROR(__xludf.DUMMYFUNCTION("""COMPUTED_VALUE"""),63.1)</f>
        <v>63.1</v>
      </c>
      <c r="AV37" s="119">
        <f ca="1">IFERROR(__xludf.DUMMYFUNCTION("""COMPUTED_VALUE"""),133.64)</f>
        <v>133.63999999999999</v>
      </c>
      <c r="AW37" s="119">
        <f ca="1">IFERROR(__xludf.DUMMYFUNCTION("""COMPUTED_VALUE"""),128.62)</f>
        <v>128.62</v>
      </c>
      <c r="AX37" s="119">
        <f ca="1">IFERROR(__xludf.DUMMYFUNCTION("""COMPUTED_VALUE"""),21.75)</f>
        <v>21.75</v>
      </c>
      <c r="AY37" s="119">
        <f ca="1">IFERROR(__xludf.DUMMYFUNCTION("""COMPUTED_VALUE"""),44.38)</f>
        <v>44.38</v>
      </c>
      <c r="AZ37" s="119">
        <f ca="1">IFERROR(__xludf.DUMMYFUNCTION("""COMPUTED_VALUE"""),0)</f>
        <v>0</v>
      </c>
      <c r="BA37" s="119">
        <f ca="1">IFERROR(__xludf.DUMMYFUNCTION("""COMPUTED_VALUE"""),0)</f>
        <v>0</v>
      </c>
      <c r="BB37" s="119">
        <f ca="1">IFERROR(__xludf.DUMMYFUNCTION("""COMPUTED_VALUE"""),11.74)</f>
        <v>11.74</v>
      </c>
      <c r="BC37" s="119">
        <f ca="1">IFERROR(__xludf.DUMMYFUNCTION("""COMPUTED_VALUE"""),14.11)</f>
        <v>14.11</v>
      </c>
      <c r="BD37" s="119">
        <f ca="1">IFERROR(__xludf.DUMMYFUNCTION("""COMPUTED_VALUE"""),180.3)</f>
        <v>180.3</v>
      </c>
      <c r="BE37" s="119">
        <f ca="1">IFERROR(__xludf.DUMMYFUNCTION("""COMPUTED_VALUE"""),132.5)</f>
        <v>132.5</v>
      </c>
      <c r="BF37" s="119">
        <f ca="1">IFERROR(__xludf.DUMMYFUNCTION("""COMPUTED_VALUE"""),10.04)</f>
        <v>10.039999999999999</v>
      </c>
      <c r="BG37" s="119">
        <f ca="1">IFERROR(__xludf.DUMMYFUNCTION("""COMPUTED_VALUE"""),554.91)</f>
        <v>554.91</v>
      </c>
      <c r="BH37" s="119">
        <f ca="1">IFERROR(__xludf.DUMMYFUNCTION("""COMPUTED_VALUE"""),261.59)</f>
        <v>261.58999999999997</v>
      </c>
      <c r="BI37" s="119">
        <f ca="1">IFERROR(__xludf.DUMMYFUNCTION("""COMPUTED_VALUE"""),231.46)</f>
        <v>231.46</v>
      </c>
      <c r="BJ37" s="119">
        <f ca="1">IFERROR(__xludf.DUMMYFUNCTION("""COMPUTED_VALUE"""),25.26)</f>
        <v>25.26</v>
      </c>
      <c r="BK37" s="119">
        <f ca="1">IFERROR(__xludf.DUMMYFUNCTION("""COMPUTED_VALUE"""),307.79)</f>
        <v>307.79000000000002</v>
      </c>
      <c r="BL37" s="119">
        <f ca="1">IFERROR(__xludf.DUMMYFUNCTION("""COMPUTED_VALUE"""),121.96)</f>
        <v>121.96</v>
      </c>
      <c r="BM37" s="119">
        <f ca="1">IFERROR(__xludf.DUMMYFUNCTION("""COMPUTED_VALUE"""),16.365)</f>
        <v>16.364999999999998</v>
      </c>
      <c r="BN37" s="119">
        <f ca="1">IFERROR(__xludf.DUMMYFUNCTION("""COMPUTED_VALUE"""),314.05)</f>
        <v>314.05</v>
      </c>
      <c r="BO37" s="119">
        <f ca="1">IFERROR(__xludf.DUMMYFUNCTION("""COMPUTED_VALUE"""),666.3)</f>
        <v>666.3</v>
      </c>
      <c r="BP37" s="119">
        <f ca="1">IFERROR(__xludf.DUMMYFUNCTION("""COMPUTED_VALUE"""),43.95)</f>
        <v>43.95</v>
      </c>
      <c r="BQ37" s="119">
        <f ca="1">IFERROR(__xludf.DUMMYFUNCTION("""COMPUTED_VALUE"""),9.87)</f>
        <v>9.8699999999999992</v>
      </c>
      <c r="BR37" s="119">
        <f ca="1">IFERROR(__xludf.DUMMYFUNCTION("""COMPUTED_VALUE"""),34.98)</f>
        <v>34.979999999999997</v>
      </c>
      <c r="BS37" s="119">
        <f ca="1">IFERROR(__xludf.DUMMYFUNCTION("""COMPUTED_VALUE"""),0.85)</f>
        <v>0.85</v>
      </c>
      <c r="BT37" s="119">
        <f ca="1">IFERROR(__xludf.DUMMYFUNCTION("""COMPUTED_VALUE"""),46.65)</f>
        <v>46.65</v>
      </c>
      <c r="BU37" s="119">
        <f ca="1">IFERROR(__xludf.DUMMYFUNCTION("""COMPUTED_VALUE"""),35.7)</f>
        <v>35.700000000000003</v>
      </c>
      <c r="BV37" s="119">
        <f ca="1">IFERROR(__xludf.DUMMYFUNCTION("""COMPUTED_VALUE"""),51)</f>
        <v>51</v>
      </c>
      <c r="BW37" s="119">
        <f ca="1">IFERROR(__xludf.DUMMYFUNCTION("""COMPUTED_VALUE"""),7.95)</f>
        <v>7.95</v>
      </c>
      <c r="BX37" s="119">
        <f ca="1">IFERROR(__xludf.DUMMYFUNCTION("""COMPUTED_VALUE"""),5.19)</f>
        <v>5.19</v>
      </c>
      <c r="BY37" s="119">
        <f ca="1">IFERROR(__xludf.DUMMYFUNCTION("""COMPUTED_VALUE"""),0)</f>
        <v>0</v>
      </c>
      <c r="BZ37" s="119">
        <f ca="1">IFERROR(__xludf.DUMMYFUNCTION("""COMPUTED_VALUE"""),14.75)</f>
        <v>14.75</v>
      </c>
      <c r="CA37" s="119">
        <f ca="1">IFERROR(__xludf.DUMMYFUNCTION("""COMPUTED_VALUE"""),3.77)</f>
        <v>3.77</v>
      </c>
      <c r="CB37" s="119">
        <f ca="1">IFERROR(__xludf.DUMMYFUNCTION("""COMPUTED_VALUE"""),6.05)</f>
        <v>6.05</v>
      </c>
      <c r="CC37" s="119">
        <f ca="1">IFERROR(__xludf.DUMMYFUNCTION("""COMPUTED_VALUE"""),20.78)</f>
        <v>20.78</v>
      </c>
      <c r="CD37" s="119">
        <f ca="1">IFERROR(__xludf.DUMMYFUNCTION("""COMPUTED_VALUE"""),15.76)</f>
        <v>15.76</v>
      </c>
      <c r="CE37" s="119">
        <f ca="1">IFERROR(__xludf.DUMMYFUNCTION("""COMPUTED_VALUE"""),30.46)</f>
        <v>30.46</v>
      </c>
      <c r="CF37" s="119">
        <f ca="1">IFERROR(__xludf.DUMMYFUNCTION("""COMPUTED_VALUE"""),109.98)</f>
        <v>109.98</v>
      </c>
      <c r="CG37" s="119">
        <f ca="1">IFERROR(__xludf.DUMMYFUNCTION("""COMPUTED_VALUE"""),5.51)</f>
        <v>5.51</v>
      </c>
      <c r="CH37" s="119">
        <f ca="1">IFERROR(__xludf.DUMMYFUNCTION("""COMPUTED_VALUE"""),24.31)</f>
        <v>24.31</v>
      </c>
      <c r="CI37" s="119">
        <f ca="1">IFERROR(__xludf.DUMMYFUNCTION("""COMPUTED_VALUE"""),51.97)</f>
        <v>51.97</v>
      </c>
      <c r="CJ37" s="119">
        <f ca="1">IFERROR(__xludf.DUMMYFUNCTION("""COMPUTED_VALUE"""),16.35)</f>
        <v>16.350000000000001</v>
      </c>
      <c r="CK37" s="119">
        <f ca="1">IFERROR(__xludf.DUMMYFUNCTION("""COMPUTED_VALUE"""),12.42)</f>
        <v>12.42</v>
      </c>
      <c r="CL37" s="119">
        <f ca="1">IFERROR(__xludf.DUMMYFUNCTION("""COMPUTED_VALUE"""),2668.4)</f>
        <v>2668.4</v>
      </c>
      <c r="CM37" s="119">
        <f ca="1">IFERROR(__xludf.DUMMYFUNCTION("""COMPUTED_VALUE"""),3.85)</f>
        <v>3.85</v>
      </c>
      <c r="CN37" s="119">
        <f ca="1">IFERROR(__xludf.DUMMYFUNCTION("""COMPUTED_VALUE"""),175.8)</f>
        <v>175.8</v>
      </c>
      <c r="CO37" s="119">
        <f ca="1">IFERROR(__xludf.DUMMYFUNCTION("""COMPUTED_VALUE"""),133.6)</f>
        <v>133.6</v>
      </c>
      <c r="CP37" s="119">
        <f ca="1">IFERROR(__xludf.DUMMYFUNCTION("""COMPUTED_VALUE"""),61.69)</f>
        <v>61.69</v>
      </c>
      <c r="CQ37" s="119">
        <f ca="1">IFERROR(__xludf.DUMMYFUNCTION("""COMPUTED_VALUE"""),69500)</f>
        <v>69500</v>
      </c>
      <c r="CR37" s="119">
        <f ca="1">IFERROR(__xludf.DUMMYFUNCTION("""COMPUTED_VALUE"""),0.52)</f>
        <v>0.52</v>
      </c>
      <c r="CS37" s="119">
        <f ca="1">IFERROR(__xludf.DUMMYFUNCTION("""COMPUTED_VALUE"""),37.45)</f>
        <v>37.450000000000003</v>
      </c>
      <c r="CT37" s="119">
        <f ca="1">IFERROR(__xludf.DUMMYFUNCTION("""COMPUTED_VALUE"""),20.78)</f>
        <v>20.78</v>
      </c>
      <c r="CU37" s="119">
        <f ca="1">IFERROR(__xludf.DUMMYFUNCTION("""COMPUTED_VALUE"""),1985.9)</f>
        <v>1985.9</v>
      </c>
      <c r="CV37" s="119">
        <f ca="1">IFERROR(__xludf.DUMMYFUNCTION("""COMPUTED_VALUE"""),2.58)</f>
        <v>2.58</v>
      </c>
      <c r="CW37" s="119">
        <f ca="1">IFERROR(__xludf.DUMMYFUNCTION("""COMPUTED_VALUE"""),2.94)</f>
        <v>2.94</v>
      </c>
      <c r="CX37" s="119">
        <f ca="1">IFERROR(__xludf.DUMMYFUNCTION("""COMPUTED_VALUE"""),12.23)</f>
        <v>12.23</v>
      </c>
      <c r="CY37" s="119">
        <f ca="1">IFERROR(__xludf.DUMMYFUNCTION("""COMPUTED_VALUE"""),0.05)</f>
        <v>0.05</v>
      </c>
      <c r="CZ37" s="119">
        <f ca="1">IFERROR(__xludf.DUMMYFUNCTION("""COMPUTED_VALUE"""),71.95)</f>
        <v>71.95</v>
      </c>
      <c r="DA37" s="119">
        <f ca="1">IFERROR(__xludf.DUMMYFUNCTION("""COMPUTED_VALUE"""),0.33)</f>
        <v>0.33</v>
      </c>
      <c r="DB37" s="119">
        <f ca="1">IFERROR(__xludf.DUMMYFUNCTION("""COMPUTED_VALUE"""),0.34)</f>
        <v>0.34</v>
      </c>
      <c r="DC37" s="119">
        <f ca="1">IFERROR(__xludf.DUMMYFUNCTION("""COMPUTED_VALUE"""),149.24)</f>
        <v>149.24</v>
      </c>
      <c r="DD37" s="119">
        <f ca="1">IFERROR(__xludf.DUMMYFUNCTION("""COMPUTED_VALUE"""),10.98)</f>
        <v>10.98</v>
      </c>
      <c r="DE37" s="119">
        <f ca="1">IFERROR(__xludf.DUMMYFUNCTION("""COMPUTED_VALUE"""),7.39)</f>
        <v>7.39</v>
      </c>
      <c r="DF37" s="119">
        <f ca="1">IFERROR(__xludf.DUMMYFUNCTION("""COMPUTED_VALUE"""),52.95)</f>
        <v>52.95</v>
      </c>
      <c r="DG37" s="119">
        <f ca="1">IFERROR(__xludf.DUMMYFUNCTION("""COMPUTED_VALUE"""),5.38)</f>
        <v>5.38</v>
      </c>
      <c r="DH37" s="119">
        <f ca="1">IFERROR(__xludf.DUMMYFUNCTION("""COMPUTED_VALUE"""),11.78)</f>
        <v>11.78</v>
      </c>
      <c r="DI37" s="119">
        <f ca="1">IFERROR(__xludf.DUMMYFUNCTION("""COMPUTED_VALUE"""),139.44)</f>
        <v>139.44</v>
      </c>
      <c r="DJ37" s="119">
        <f ca="1">IFERROR(__xludf.DUMMYFUNCTION("""COMPUTED_VALUE"""),11.46)</f>
        <v>11.46</v>
      </c>
      <c r="DK37" s="119">
        <f ca="1">IFERROR(__xludf.DUMMYFUNCTION("""COMPUTED_VALUE"""),1.85)</f>
        <v>1.85</v>
      </c>
      <c r="DL37" s="119">
        <f ca="1">IFERROR(__xludf.DUMMYFUNCTION("""COMPUTED_VALUE"""),26.65)</f>
        <v>26.65</v>
      </c>
      <c r="DM37" s="119">
        <f ca="1">IFERROR(__xludf.DUMMYFUNCTION("""COMPUTED_VALUE"""),448.72)</f>
        <v>448.72</v>
      </c>
      <c r="DN37" s="119">
        <f ca="1">IFERROR(__xludf.DUMMYFUNCTION("""COMPUTED_VALUE"""),148.31)</f>
        <v>148.31</v>
      </c>
      <c r="DO37" s="117"/>
      <c r="DP37" s="117"/>
      <c r="DQ37" s="117"/>
      <c r="DR37" s="117"/>
      <c r="DS37" s="117"/>
      <c r="DT37" s="117"/>
      <c r="DU37" s="117"/>
      <c r="DV37" s="117"/>
      <c r="DW37" s="117"/>
      <c r="DX37" s="117"/>
      <c r="DY37" s="117"/>
      <c r="DZ37" s="117"/>
      <c r="EA37" s="117"/>
      <c r="EB37" s="117"/>
      <c r="EC37" s="117"/>
      <c r="ED37" s="117"/>
      <c r="EE37" s="117"/>
      <c r="EF37" s="117"/>
      <c r="EG37" s="117"/>
      <c r="EH37" s="117"/>
      <c r="EI37" s="117"/>
      <c r="EJ37" s="117"/>
      <c r="EK37" s="117"/>
      <c r="EL37" s="117"/>
      <c r="EM37" s="117"/>
      <c r="EN37" s="117"/>
      <c r="EO37" s="117"/>
      <c r="EP37" s="117"/>
      <c r="EQ37" s="117"/>
      <c r="ER37" s="117"/>
      <c r="ES37" s="117"/>
      <c r="ET37" s="117"/>
      <c r="EU37" s="117"/>
      <c r="EV37" s="117"/>
      <c r="EW37" s="117"/>
      <c r="EX37" s="117"/>
      <c r="EY37" s="117"/>
      <c r="EZ37" s="117"/>
      <c r="FA37" s="117"/>
      <c r="FB37" s="117"/>
      <c r="FC37" s="117"/>
      <c r="FD37" s="117"/>
      <c r="FE37" s="117"/>
      <c r="FF37" s="117"/>
      <c r="FG37" s="117"/>
      <c r="FH37" s="117"/>
      <c r="FI37" s="117"/>
      <c r="FJ37" s="117"/>
      <c r="FK37" s="117"/>
      <c r="FL37" s="117"/>
      <c r="FM37" s="117"/>
      <c r="FN37" s="117"/>
      <c r="FO37" s="117"/>
    </row>
    <row r="38" spans="1:171" ht="15.75" customHeight="1" x14ac:dyDescent="0.15">
      <c r="A38" s="115">
        <f ca="1">IFERROR(__xludf.DUMMYFUNCTION("""COMPUTED_VALUE"""),44630)</f>
        <v>44630</v>
      </c>
      <c r="B38" s="119">
        <f ca="1">IFERROR(__xludf.DUMMYFUNCTION("""COMPUTED_VALUE"""),2785.58)</f>
        <v>2785.58</v>
      </c>
      <c r="C38" s="119">
        <f ca="1">IFERROR(__xludf.DUMMYFUNCTION("""COMPUTED_VALUE"""),195.21)</f>
        <v>195.21</v>
      </c>
      <c r="D38" s="119">
        <f ca="1">IFERROR(__xludf.DUMMYFUNCTION("""COMPUTED_VALUE"""),858.97)</f>
        <v>858.97</v>
      </c>
      <c r="E38" s="119">
        <f ca="1">IFERROR(__xludf.DUMMYFUNCTION("""COMPUTED_VALUE"""),385)</f>
        <v>385</v>
      </c>
      <c r="F38" s="119">
        <f ca="1">IFERROR(__xludf.DUMMYFUNCTION("""COMPUTED_VALUE"""),10.1)</f>
        <v>10.1</v>
      </c>
      <c r="G38" s="119">
        <f ca="1">IFERROR(__xludf.DUMMYFUNCTION("""COMPUTED_VALUE"""),162.95)</f>
        <v>162.94999999999999</v>
      </c>
      <c r="H38" s="119">
        <f ca="1">IFERROR(__xludf.DUMMYFUNCTION("""COMPUTED_VALUE"""),18.65)</f>
        <v>18.649999999999999</v>
      </c>
      <c r="I38" s="119">
        <f ca="1">IFERROR(__xludf.DUMMYFUNCTION("""COMPUTED_VALUE"""),16.27)</f>
        <v>16.27</v>
      </c>
      <c r="J38" s="119">
        <f ca="1">IFERROR(__xludf.DUMMYFUNCTION("""COMPUTED_VALUE"""),0.15)</f>
        <v>0.15</v>
      </c>
      <c r="K38" s="119">
        <f ca="1">IFERROR(__xludf.DUMMYFUNCTION("""COMPUTED_VALUE"""),38.9)</f>
        <v>38.9</v>
      </c>
      <c r="L38" s="119">
        <f ca="1">IFERROR(__xludf.DUMMYFUNCTION("""COMPUTED_VALUE"""),144.2)</f>
        <v>144.19999999999999</v>
      </c>
      <c r="M38" s="119">
        <f ca="1">IFERROR(__xludf.DUMMYFUNCTION("""COMPUTED_VALUE"""),39481.88)</f>
        <v>39481.879999999997</v>
      </c>
      <c r="N38" s="119">
        <f ca="1">IFERROR(__xludf.DUMMYFUNCTION("""COMPUTED_VALUE"""),358.79)</f>
        <v>358.79</v>
      </c>
      <c r="O38" s="119">
        <f ca="1">IFERROR(__xludf.DUMMYFUNCTION("""COMPUTED_VALUE"""),288.5)</f>
        <v>288.5</v>
      </c>
      <c r="P38" s="119">
        <f ca="1">IFERROR(__xludf.DUMMYFUNCTION("""COMPUTED_VALUE"""),23.64)</f>
        <v>23.64</v>
      </c>
      <c r="Q38" s="119">
        <f ca="1">IFERROR(__xludf.DUMMYFUNCTION("""COMPUTED_VALUE"""),24.23)</f>
        <v>24.23</v>
      </c>
      <c r="R38" s="119">
        <f ca="1">IFERROR(__xludf.DUMMYFUNCTION("""COMPUTED_VALUE"""),62.4)</f>
        <v>62.4</v>
      </c>
      <c r="S38" s="119">
        <f ca="1">IFERROR(__xludf.DUMMYFUNCTION("""COMPUTED_VALUE"""),28.1)</f>
        <v>28.1</v>
      </c>
      <c r="T38" s="119">
        <f ca="1">IFERROR(__xludf.DUMMYFUNCTION("""COMPUTED_VALUE"""),28.65)</f>
        <v>28.65</v>
      </c>
      <c r="U38" s="119">
        <f ca="1">IFERROR(__xludf.DUMMYFUNCTION("""COMPUTED_VALUE"""),40.28)</f>
        <v>40.28</v>
      </c>
      <c r="V38" s="119">
        <f ca="1">IFERROR(__xludf.DUMMYFUNCTION("""COMPUTED_VALUE"""),15.26)</f>
        <v>15.26</v>
      </c>
      <c r="W38" s="119">
        <f ca="1">IFERROR(__xludf.DUMMYFUNCTION("""COMPUTED_VALUE"""),222.47)</f>
        <v>222.47</v>
      </c>
      <c r="X38" s="119">
        <f ca="1">IFERROR(__xludf.DUMMYFUNCTION("""COMPUTED_VALUE"""),2677.32)</f>
        <v>2677.32</v>
      </c>
      <c r="Y38" s="119">
        <f ca="1">IFERROR(__xludf.DUMMYFUNCTION("""COMPUTED_VALUE"""),55.05)</f>
        <v>55.05</v>
      </c>
      <c r="Z38" s="119">
        <f ca="1">IFERROR(__xludf.DUMMYFUNCTION("""COMPUTED_VALUE"""),54)</f>
        <v>54</v>
      </c>
      <c r="AA38" s="119">
        <f ca="1">IFERROR(__xludf.DUMMYFUNCTION("""COMPUTED_VALUE"""),98.4)</f>
        <v>98.4</v>
      </c>
      <c r="AB38" s="119">
        <f ca="1">IFERROR(__xludf.DUMMYFUNCTION("""COMPUTED_VALUE"""),4.57)</f>
        <v>4.57</v>
      </c>
      <c r="AC38" s="119">
        <f ca="1">IFERROR(__xludf.DUMMYFUNCTION("""COMPUTED_VALUE"""),75.17)</f>
        <v>75.17</v>
      </c>
      <c r="AD38" s="119">
        <f ca="1">IFERROR(__xludf.DUMMYFUNCTION("""COMPUTED_VALUE"""),11.81)</f>
        <v>11.81</v>
      </c>
      <c r="AE38" s="119">
        <f ca="1">IFERROR(__xludf.DUMMYFUNCTION("""COMPUTED_VALUE"""),5.72)</f>
        <v>5.72</v>
      </c>
      <c r="AF38" s="119">
        <f ca="1">IFERROR(__xludf.DUMMYFUNCTION("""COMPUTED_VALUE"""),40.71)</f>
        <v>40.71</v>
      </c>
      <c r="AG38" s="119">
        <f ca="1">IFERROR(__xludf.DUMMYFUNCTION("""COMPUTED_VALUE"""),12.64)</f>
        <v>12.64</v>
      </c>
      <c r="AH38" s="119">
        <f ca="1">IFERROR(__xludf.DUMMYFUNCTION("""COMPUTED_VALUE"""),2.01)</f>
        <v>2.0099999999999998</v>
      </c>
      <c r="AI38" s="119">
        <f ca="1">IFERROR(__xludf.DUMMYFUNCTION("""COMPUTED_VALUE"""),3.26)</f>
        <v>3.26</v>
      </c>
      <c r="AJ38" s="119">
        <f ca="1">IFERROR(__xludf.DUMMYFUNCTION("""COMPUTED_VALUE"""),100.4)</f>
        <v>100.4</v>
      </c>
      <c r="AK38" s="119">
        <f ca="1">IFERROR(__xludf.DUMMYFUNCTION("""COMPUTED_VALUE"""),230.14)</f>
        <v>230.14</v>
      </c>
      <c r="AL38" s="119">
        <f ca="1">IFERROR(__xludf.DUMMYFUNCTION("""COMPUTED_VALUE"""),13.58)</f>
        <v>13.58</v>
      </c>
      <c r="AM38" s="119">
        <f ca="1">IFERROR(__xludf.DUMMYFUNCTION("""COMPUTED_VALUE"""),0)</f>
        <v>0</v>
      </c>
      <c r="AN38" s="119">
        <f ca="1">IFERROR(__xludf.DUMMYFUNCTION("""COMPUTED_VALUE"""),325.3)</f>
        <v>325.3</v>
      </c>
      <c r="AO38" s="119">
        <f ca="1">IFERROR(__xludf.DUMMYFUNCTION("""COMPUTED_VALUE"""),98.34)</f>
        <v>98.34</v>
      </c>
      <c r="AP38" s="119">
        <f ca="1">IFERROR(__xludf.DUMMYFUNCTION("""COMPUTED_VALUE"""),80.83)</f>
        <v>80.83</v>
      </c>
      <c r="AQ38" s="119">
        <f ca="1">IFERROR(__xludf.DUMMYFUNCTION("""COMPUTED_VALUE"""),50.75)</f>
        <v>50.75</v>
      </c>
      <c r="AR38" s="118">
        <f ca="1">IFERROR(__xludf.DUMMYFUNCTION("""COMPUTED_VALUE"""),104.032)</f>
        <v>104.032</v>
      </c>
      <c r="AS38" s="119">
        <f ca="1">IFERROR(__xludf.DUMMYFUNCTION("""COMPUTED_VALUE"""),20.75)</f>
        <v>20.75</v>
      </c>
      <c r="AT38" s="119">
        <f ca="1">IFERROR(__xludf.DUMMYFUNCTION("""COMPUTED_VALUE"""),96.1)</f>
        <v>96.1</v>
      </c>
      <c r="AU38" s="119">
        <f ca="1">IFERROR(__xludf.DUMMYFUNCTION("""COMPUTED_VALUE"""),63.1)</f>
        <v>63.1</v>
      </c>
      <c r="AV38" s="119">
        <f ca="1">IFERROR(__xludf.DUMMYFUNCTION("""COMPUTED_VALUE"""),133.65)</f>
        <v>133.65</v>
      </c>
      <c r="AW38" s="119">
        <f ca="1">IFERROR(__xludf.DUMMYFUNCTION("""COMPUTED_VALUE"""),128.62)</f>
        <v>128.62</v>
      </c>
      <c r="AX38" s="119">
        <f ca="1">IFERROR(__xludf.DUMMYFUNCTION("""COMPUTED_VALUE"""),21.25)</f>
        <v>21.25</v>
      </c>
      <c r="AY38" s="119">
        <f ca="1">IFERROR(__xludf.DUMMYFUNCTION("""COMPUTED_VALUE"""),44.38)</f>
        <v>44.38</v>
      </c>
      <c r="AZ38" s="119">
        <f ca="1">IFERROR(__xludf.DUMMYFUNCTION("""COMPUTED_VALUE"""),0)</f>
        <v>0</v>
      </c>
      <c r="BA38" s="119">
        <f ca="1">IFERROR(__xludf.DUMMYFUNCTION("""COMPUTED_VALUE"""),0)</f>
        <v>0</v>
      </c>
      <c r="BB38" s="119">
        <f ca="1">IFERROR(__xludf.DUMMYFUNCTION("""COMPUTED_VALUE"""),11.9)</f>
        <v>11.9</v>
      </c>
      <c r="BC38" s="119">
        <f ca="1">IFERROR(__xludf.DUMMYFUNCTION("""COMPUTED_VALUE"""),0)</f>
        <v>0</v>
      </c>
      <c r="BD38" s="119">
        <f ca="1">IFERROR(__xludf.DUMMYFUNCTION("""COMPUTED_VALUE"""),189.2)</f>
        <v>189.2</v>
      </c>
      <c r="BE38" s="119">
        <f ca="1">IFERROR(__xludf.DUMMYFUNCTION("""COMPUTED_VALUE"""),135.4)</f>
        <v>135.4</v>
      </c>
      <c r="BF38" s="119">
        <f ca="1">IFERROR(__xludf.DUMMYFUNCTION("""COMPUTED_VALUE"""),9.97)</f>
        <v>9.9700000000000006</v>
      </c>
      <c r="BG38" s="119">
        <f ca="1">IFERROR(__xludf.DUMMYFUNCTION("""COMPUTED_VALUE"""),554.91)</f>
        <v>554.91</v>
      </c>
      <c r="BH38" s="119">
        <f ca="1">IFERROR(__xludf.DUMMYFUNCTION("""COMPUTED_VALUE"""),261.59)</f>
        <v>261.58999999999997</v>
      </c>
      <c r="BI38" s="119">
        <f ca="1">IFERROR(__xludf.DUMMYFUNCTION("""COMPUTED_VALUE"""),231.46)</f>
        <v>231.46</v>
      </c>
      <c r="BJ38" s="119">
        <f ca="1">IFERROR(__xludf.DUMMYFUNCTION("""COMPUTED_VALUE"""),25.26)</f>
        <v>25.26</v>
      </c>
      <c r="BK38" s="119">
        <f ca="1">IFERROR(__xludf.DUMMYFUNCTION("""COMPUTED_VALUE"""),307.79)</f>
        <v>307.79000000000002</v>
      </c>
      <c r="BL38" s="119">
        <f ca="1">IFERROR(__xludf.DUMMYFUNCTION("""COMPUTED_VALUE"""),121.96)</f>
        <v>121.96</v>
      </c>
      <c r="BM38" s="119">
        <f ca="1">IFERROR(__xludf.DUMMYFUNCTION("""COMPUTED_VALUE"""),16.37)</f>
        <v>16.37</v>
      </c>
      <c r="BN38" s="119">
        <f ca="1">IFERROR(__xludf.DUMMYFUNCTION("""COMPUTED_VALUE"""),313.8)</f>
        <v>313.8</v>
      </c>
      <c r="BO38" s="119">
        <f ca="1">IFERROR(__xludf.DUMMYFUNCTION("""COMPUTED_VALUE"""),654.01)</f>
        <v>654.01</v>
      </c>
      <c r="BP38" s="119">
        <f ca="1">IFERROR(__xludf.DUMMYFUNCTION("""COMPUTED_VALUE"""),43.95)</f>
        <v>43.95</v>
      </c>
      <c r="BQ38" s="119">
        <f ca="1">IFERROR(__xludf.DUMMYFUNCTION("""COMPUTED_VALUE"""),9.87)</f>
        <v>9.8699999999999992</v>
      </c>
      <c r="BR38" s="119">
        <f ca="1">IFERROR(__xludf.DUMMYFUNCTION("""COMPUTED_VALUE"""),34.93)</f>
        <v>34.93</v>
      </c>
      <c r="BS38" s="119">
        <f ca="1">IFERROR(__xludf.DUMMYFUNCTION("""COMPUTED_VALUE"""),0.85)</f>
        <v>0.85</v>
      </c>
      <c r="BT38" s="119">
        <f ca="1">IFERROR(__xludf.DUMMYFUNCTION("""COMPUTED_VALUE"""),47)</f>
        <v>47</v>
      </c>
      <c r="BU38" s="119">
        <f ca="1">IFERROR(__xludf.DUMMYFUNCTION("""COMPUTED_VALUE"""),36.85)</f>
        <v>36.85</v>
      </c>
      <c r="BV38" s="119">
        <f ca="1">IFERROR(__xludf.DUMMYFUNCTION("""COMPUTED_VALUE"""),51.75)</f>
        <v>51.75</v>
      </c>
      <c r="BW38" s="119">
        <f ca="1">IFERROR(__xludf.DUMMYFUNCTION("""COMPUTED_VALUE"""),7.05)</f>
        <v>7.05</v>
      </c>
      <c r="BX38" s="119">
        <f ca="1">IFERROR(__xludf.DUMMYFUNCTION("""COMPUTED_VALUE"""),5.2)</f>
        <v>5.2</v>
      </c>
      <c r="BY38" s="119">
        <f ca="1">IFERROR(__xludf.DUMMYFUNCTION("""COMPUTED_VALUE"""),0)</f>
        <v>0</v>
      </c>
      <c r="BZ38" s="119">
        <f ca="1">IFERROR(__xludf.DUMMYFUNCTION("""COMPUTED_VALUE"""),14.98)</f>
        <v>14.98</v>
      </c>
      <c r="CA38" s="119">
        <f ca="1">IFERROR(__xludf.DUMMYFUNCTION("""COMPUTED_VALUE"""),3.89)</f>
        <v>3.89</v>
      </c>
      <c r="CB38" s="119">
        <f ca="1">IFERROR(__xludf.DUMMYFUNCTION("""COMPUTED_VALUE"""),5.88)</f>
        <v>5.88</v>
      </c>
      <c r="CC38" s="119">
        <f ca="1">IFERROR(__xludf.DUMMYFUNCTION("""COMPUTED_VALUE"""),20.23)</f>
        <v>20.23</v>
      </c>
      <c r="CD38" s="119">
        <f ca="1">IFERROR(__xludf.DUMMYFUNCTION("""COMPUTED_VALUE"""),15.57)</f>
        <v>15.57</v>
      </c>
      <c r="CE38" s="119">
        <f ca="1">IFERROR(__xludf.DUMMYFUNCTION("""COMPUTED_VALUE"""),30.55)</f>
        <v>30.55</v>
      </c>
      <c r="CF38" s="119">
        <f ca="1">IFERROR(__xludf.DUMMYFUNCTION("""COMPUTED_VALUE"""),105.86)</f>
        <v>105.86</v>
      </c>
      <c r="CG38" s="119">
        <f ca="1">IFERROR(__xludf.DUMMYFUNCTION("""COMPUTED_VALUE"""),5.69)</f>
        <v>5.69</v>
      </c>
      <c r="CH38" s="119">
        <f ca="1">IFERROR(__xludf.DUMMYFUNCTION("""COMPUTED_VALUE"""),24.33)</f>
        <v>24.33</v>
      </c>
      <c r="CI38" s="119">
        <f ca="1">IFERROR(__xludf.DUMMYFUNCTION("""COMPUTED_VALUE"""),53.68)</f>
        <v>53.68</v>
      </c>
      <c r="CJ38" s="119">
        <f ca="1">IFERROR(__xludf.DUMMYFUNCTION("""COMPUTED_VALUE"""),20)</f>
        <v>20</v>
      </c>
      <c r="CK38" s="119">
        <f ca="1">IFERROR(__xludf.DUMMYFUNCTION("""COMPUTED_VALUE"""),12.88)</f>
        <v>12.88</v>
      </c>
      <c r="CL38" s="119">
        <f ca="1">IFERROR(__xludf.DUMMYFUNCTION("""COMPUTED_VALUE"""),2668.4)</f>
        <v>2668.4</v>
      </c>
      <c r="CM38" s="119">
        <f ca="1">IFERROR(__xludf.DUMMYFUNCTION("""COMPUTED_VALUE"""),4.75)</f>
        <v>4.75</v>
      </c>
      <c r="CN38" s="119">
        <f ca="1">IFERROR(__xludf.DUMMYFUNCTION("""COMPUTED_VALUE"""),185.2)</f>
        <v>185.2</v>
      </c>
      <c r="CO38" s="119">
        <f ca="1">IFERROR(__xludf.DUMMYFUNCTION("""COMPUTED_VALUE"""),138.2)</f>
        <v>138.19999999999999</v>
      </c>
      <c r="CP38" s="119">
        <f ca="1">IFERROR(__xludf.DUMMYFUNCTION("""COMPUTED_VALUE"""),61.71)</f>
        <v>61.71</v>
      </c>
      <c r="CQ38" s="119">
        <f ca="1">IFERROR(__xludf.DUMMYFUNCTION("""COMPUTED_VALUE"""),71200)</f>
        <v>71200</v>
      </c>
      <c r="CR38" s="119">
        <f ca="1">IFERROR(__xludf.DUMMYFUNCTION("""COMPUTED_VALUE"""),0.208)</f>
        <v>0.20799999999999999</v>
      </c>
      <c r="CS38" s="119">
        <f ca="1">IFERROR(__xludf.DUMMYFUNCTION("""COMPUTED_VALUE"""),37.16)</f>
        <v>37.159999999999997</v>
      </c>
      <c r="CT38" s="119">
        <f ca="1">IFERROR(__xludf.DUMMYFUNCTION("""COMPUTED_VALUE"""),21.1)</f>
        <v>21.1</v>
      </c>
      <c r="CU38" s="119">
        <f ca="1">IFERROR(__xludf.DUMMYFUNCTION("""COMPUTED_VALUE"""),2001)</f>
        <v>2001</v>
      </c>
      <c r="CV38" s="119">
        <f ca="1">IFERROR(__xludf.DUMMYFUNCTION("""COMPUTED_VALUE"""),2.86)</f>
        <v>2.86</v>
      </c>
      <c r="CW38" s="119">
        <f ca="1">IFERROR(__xludf.DUMMYFUNCTION("""COMPUTED_VALUE"""),2.91)</f>
        <v>2.91</v>
      </c>
      <c r="CX38" s="119">
        <f ca="1">IFERROR(__xludf.DUMMYFUNCTION("""COMPUTED_VALUE"""),12.23)</f>
        <v>12.23</v>
      </c>
      <c r="CY38" s="119">
        <f ca="1">IFERROR(__xludf.DUMMYFUNCTION("""COMPUTED_VALUE"""),0.01)</f>
        <v>0.01</v>
      </c>
      <c r="CZ38" s="119">
        <f ca="1">IFERROR(__xludf.DUMMYFUNCTION("""COMPUTED_VALUE"""),73.9)</f>
        <v>73.900000000000006</v>
      </c>
      <c r="DA38" s="119">
        <f ca="1">IFERROR(__xludf.DUMMYFUNCTION("""COMPUTED_VALUE"""),0.43)</f>
        <v>0.43</v>
      </c>
      <c r="DB38" s="119">
        <f ca="1">IFERROR(__xludf.DUMMYFUNCTION("""COMPUTED_VALUE"""),0.23)</f>
        <v>0.23</v>
      </c>
      <c r="DC38" s="119">
        <f ca="1">IFERROR(__xludf.DUMMYFUNCTION("""COMPUTED_VALUE"""),149.25)</f>
        <v>149.25</v>
      </c>
      <c r="DD38" s="119">
        <f ca="1">IFERROR(__xludf.DUMMYFUNCTION("""COMPUTED_VALUE"""),12.08)</f>
        <v>12.08</v>
      </c>
      <c r="DE38" s="119">
        <f ca="1">IFERROR(__xludf.DUMMYFUNCTION("""COMPUTED_VALUE"""),7.54)</f>
        <v>7.54</v>
      </c>
      <c r="DF38" s="119">
        <f ca="1">IFERROR(__xludf.DUMMYFUNCTION("""COMPUTED_VALUE"""),55)</f>
        <v>55</v>
      </c>
      <c r="DG38" s="119">
        <f ca="1">IFERROR(__xludf.DUMMYFUNCTION("""COMPUTED_VALUE"""),5.6)</f>
        <v>5.6</v>
      </c>
      <c r="DH38" s="119">
        <f ca="1">IFERROR(__xludf.DUMMYFUNCTION("""COMPUTED_VALUE"""),12.13)</f>
        <v>12.13</v>
      </c>
      <c r="DI38" s="119">
        <f ca="1">IFERROR(__xludf.DUMMYFUNCTION("""COMPUTED_VALUE"""),139.46)</f>
        <v>139.46</v>
      </c>
      <c r="DJ38" s="119">
        <f ca="1">IFERROR(__xludf.DUMMYFUNCTION("""COMPUTED_VALUE"""),11.46)</f>
        <v>11.46</v>
      </c>
      <c r="DK38" s="119">
        <f ca="1">IFERROR(__xludf.DUMMYFUNCTION("""COMPUTED_VALUE"""),2.15)</f>
        <v>2.15</v>
      </c>
      <c r="DL38" s="119">
        <f ca="1">IFERROR(__xludf.DUMMYFUNCTION("""COMPUTED_VALUE"""),26.95)</f>
        <v>26.95</v>
      </c>
      <c r="DM38" s="119">
        <f ca="1">IFERROR(__xludf.DUMMYFUNCTION("""COMPUTED_VALUE"""),448.72)</f>
        <v>448.72</v>
      </c>
      <c r="DN38" s="119">
        <f ca="1">IFERROR(__xludf.DUMMYFUNCTION("""COMPUTED_VALUE"""),151.8)</f>
        <v>151.80000000000001</v>
      </c>
      <c r="DO38" s="119">
        <f ca="1">IFERROR(__xludf.DUMMYFUNCTION("""COMPUTED_VALUE"""),338)</f>
        <v>338</v>
      </c>
      <c r="DP38" s="119">
        <f ca="1">IFERROR(__xludf.DUMMYFUNCTION("""COMPUTED_VALUE"""),8.33)</f>
        <v>8.33</v>
      </c>
      <c r="DQ38" s="117"/>
      <c r="DR38" s="117"/>
      <c r="DS38" s="117"/>
      <c r="DT38" s="117"/>
      <c r="DU38" s="117"/>
      <c r="DV38" s="117"/>
      <c r="DW38" s="117"/>
      <c r="DX38" s="117"/>
      <c r="DY38" s="117"/>
      <c r="DZ38" s="117"/>
      <c r="EA38" s="117"/>
      <c r="EB38" s="117"/>
      <c r="EC38" s="117"/>
      <c r="ED38" s="117"/>
      <c r="EE38" s="117"/>
      <c r="EF38" s="117"/>
      <c r="EG38" s="117"/>
      <c r="EH38" s="117"/>
      <c r="EI38" s="117"/>
      <c r="EJ38" s="117"/>
      <c r="EK38" s="117"/>
      <c r="EL38" s="117"/>
      <c r="EM38" s="117"/>
      <c r="EN38" s="117"/>
      <c r="EO38" s="117"/>
      <c r="EP38" s="117"/>
      <c r="EQ38" s="117"/>
      <c r="ER38" s="117"/>
      <c r="ES38" s="117"/>
      <c r="ET38" s="117"/>
      <c r="EU38" s="117"/>
      <c r="EV38" s="117"/>
      <c r="EW38" s="117"/>
      <c r="EX38" s="117"/>
      <c r="EY38" s="117"/>
      <c r="EZ38" s="117"/>
      <c r="FA38" s="117"/>
      <c r="FB38" s="117"/>
      <c r="FC38" s="117"/>
      <c r="FD38" s="117"/>
      <c r="FE38" s="117"/>
      <c r="FF38" s="117"/>
      <c r="FG38" s="117"/>
      <c r="FH38" s="117"/>
      <c r="FI38" s="117"/>
      <c r="FJ38" s="117"/>
      <c r="FK38" s="117"/>
      <c r="FL38" s="117"/>
      <c r="FM38" s="117"/>
      <c r="FN38" s="117"/>
      <c r="FO38" s="117"/>
    </row>
    <row r="39" spans="1:171" ht="15.75" customHeight="1" x14ac:dyDescent="0.15">
      <c r="A39" s="115">
        <f ca="1">IFERROR(__xludf.DUMMYFUNCTION("""COMPUTED_VALUE"""),44631)</f>
        <v>44631</v>
      </c>
      <c r="B39" s="119">
        <f ca="1">IFERROR(__xludf.DUMMYFUNCTION("""COMPUTED_VALUE"""),2910.49)</f>
        <v>2910.49</v>
      </c>
      <c r="C39" s="119">
        <f ca="1">IFERROR(__xludf.DUMMYFUNCTION("""COMPUTED_VALUE"""),187.61)</f>
        <v>187.61</v>
      </c>
      <c r="D39" s="119">
        <f ca="1">IFERROR(__xludf.DUMMYFUNCTION("""COMPUTED_VALUE"""),795.35)</f>
        <v>795.35</v>
      </c>
      <c r="E39" s="119">
        <f ca="1">IFERROR(__xludf.DUMMYFUNCTION("""COMPUTED_VALUE"""),367.8)</f>
        <v>367.8</v>
      </c>
      <c r="F39" s="119">
        <f ca="1">IFERROR(__xludf.DUMMYFUNCTION("""COMPUTED_VALUE"""),9.79)</f>
        <v>9.7899999999999991</v>
      </c>
      <c r="G39" s="119">
        <f ca="1">IFERROR(__xludf.DUMMYFUNCTION("""COMPUTED_VALUE"""),154.73)</f>
        <v>154.72999999999999</v>
      </c>
      <c r="H39" s="119">
        <f ca="1">IFERROR(__xludf.DUMMYFUNCTION("""COMPUTED_VALUE"""),20.2)</f>
        <v>20.2</v>
      </c>
      <c r="I39" s="119">
        <f ca="1">IFERROR(__xludf.DUMMYFUNCTION("""COMPUTED_VALUE"""),21.05)</f>
        <v>21.05</v>
      </c>
      <c r="J39" s="119">
        <f ca="1">IFERROR(__xludf.DUMMYFUNCTION("""COMPUTED_VALUE"""),0.11)</f>
        <v>0.11</v>
      </c>
      <c r="K39" s="119">
        <f ca="1">IFERROR(__xludf.DUMMYFUNCTION("""COMPUTED_VALUE"""),33.6)</f>
        <v>33.6</v>
      </c>
      <c r="L39" s="119">
        <f ca="1">IFERROR(__xludf.DUMMYFUNCTION("""COMPUTED_VALUE"""),135.4)</f>
        <v>135.4</v>
      </c>
      <c r="M39" s="119">
        <f ca="1">IFERROR(__xludf.DUMMYFUNCTION("""COMPUTED_VALUE"""),38966.79)</f>
        <v>38966.79</v>
      </c>
      <c r="N39" s="119">
        <f ca="1">IFERROR(__xludf.DUMMYFUNCTION("""COMPUTED_VALUE"""),340.32)</f>
        <v>340.32</v>
      </c>
      <c r="O39" s="119">
        <f ca="1">IFERROR(__xludf.DUMMYFUNCTION("""COMPUTED_VALUE"""),280.07)</f>
        <v>280.07</v>
      </c>
      <c r="P39" s="119">
        <f ca="1">IFERROR(__xludf.DUMMYFUNCTION("""COMPUTED_VALUE"""),21.63)</f>
        <v>21.63</v>
      </c>
      <c r="Q39" s="119">
        <f ca="1">IFERROR(__xludf.DUMMYFUNCTION("""COMPUTED_VALUE"""),23.8)</f>
        <v>23.8</v>
      </c>
      <c r="R39" s="119">
        <f ca="1">IFERROR(__xludf.DUMMYFUNCTION("""COMPUTED_VALUE"""),47.99)</f>
        <v>47.99</v>
      </c>
      <c r="S39" s="119">
        <f ca="1">IFERROR(__xludf.DUMMYFUNCTION("""COMPUTED_VALUE"""),25.51)</f>
        <v>25.51</v>
      </c>
      <c r="T39" s="119">
        <f ca="1">IFERROR(__xludf.DUMMYFUNCTION("""COMPUTED_VALUE"""),22.91)</f>
        <v>22.91</v>
      </c>
      <c r="U39" s="119">
        <f ca="1">IFERROR(__xludf.DUMMYFUNCTION("""COMPUTED_VALUE"""),40.11)</f>
        <v>40.11</v>
      </c>
      <c r="V39" s="119">
        <f ca="1">IFERROR(__xludf.DUMMYFUNCTION("""COMPUTED_VALUE"""),15.38)</f>
        <v>15.38</v>
      </c>
      <c r="W39" s="119">
        <f ca="1">IFERROR(__xludf.DUMMYFUNCTION("""COMPUTED_VALUE"""),226.87)</f>
        <v>226.87</v>
      </c>
      <c r="X39" s="119">
        <f ca="1">IFERROR(__xludf.DUMMYFUNCTION("""COMPUTED_VALUE"""),2609.51)</f>
        <v>2609.5100000000002</v>
      </c>
      <c r="Y39" s="119">
        <f ca="1">IFERROR(__xludf.DUMMYFUNCTION("""COMPUTED_VALUE"""),54.85)</f>
        <v>54.85</v>
      </c>
      <c r="Z39" s="119">
        <f ca="1">IFERROR(__xludf.DUMMYFUNCTION("""COMPUTED_VALUE"""),53.25)</f>
        <v>53.25</v>
      </c>
      <c r="AA39" s="119">
        <f ca="1">IFERROR(__xludf.DUMMYFUNCTION("""COMPUTED_VALUE"""),88.72)</f>
        <v>88.72</v>
      </c>
      <c r="AB39" s="119">
        <f ca="1">IFERROR(__xludf.DUMMYFUNCTION("""COMPUTED_VALUE"""),4.58)</f>
        <v>4.58</v>
      </c>
      <c r="AC39" s="119">
        <f ca="1">IFERROR(__xludf.DUMMYFUNCTION("""COMPUTED_VALUE"""),76.85)</f>
        <v>76.849999999999994</v>
      </c>
      <c r="AD39" s="119">
        <f ca="1">IFERROR(__xludf.DUMMYFUNCTION("""COMPUTED_VALUE"""),11.74)</f>
        <v>11.74</v>
      </c>
      <c r="AE39" s="119">
        <f ca="1">IFERROR(__xludf.DUMMYFUNCTION("""COMPUTED_VALUE"""),5.75)</f>
        <v>5.75</v>
      </c>
      <c r="AF39" s="119">
        <f ca="1">IFERROR(__xludf.DUMMYFUNCTION("""COMPUTED_VALUE"""),41.17)</f>
        <v>41.17</v>
      </c>
      <c r="AG39" s="119">
        <f ca="1">IFERROR(__xludf.DUMMYFUNCTION("""COMPUTED_VALUE"""),12.68)</f>
        <v>12.68</v>
      </c>
      <c r="AH39" s="119">
        <f ca="1">IFERROR(__xludf.DUMMYFUNCTION("""COMPUTED_VALUE"""),2.01)</f>
        <v>2.0099999999999998</v>
      </c>
      <c r="AI39" s="119">
        <f ca="1">IFERROR(__xludf.DUMMYFUNCTION("""COMPUTED_VALUE"""),3.28)</f>
        <v>3.28</v>
      </c>
      <c r="AJ39" s="119">
        <f ca="1">IFERROR(__xludf.DUMMYFUNCTION("""COMPUTED_VALUE"""),97.85)</f>
        <v>97.85</v>
      </c>
      <c r="AK39" s="119">
        <f ca="1">IFERROR(__xludf.DUMMYFUNCTION("""COMPUTED_VALUE"""),221)</f>
        <v>221</v>
      </c>
      <c r="AL39" s="119">
        <f ca="1">IFERROR(__xludf.DUMMYFUNCTION("""COMPUTED_VALUE"""),13.66)</f>
        <v>13.66</v>
      </c>
      <c r="AM39" s="119">
        <f ca="1">IFERROR(__xludf.DUMMYFUNCTION("""COMPUTED_VALUE"""),40.33)</f>
        <v>40.33</v>
      </c>
      <c r="AN39" s="119">
        <f ca="1">IFERROR(__xludf.DUMMYFUNCTION("""COMPUTED_VALUE"""),326.6)</f>
        <v>326.60000000000002</v>
      </c>
      <c r="AO39" s="119">
        <f ca="1">IFERROR(__xludf.DUMMYFUNCTION("""COMPUTED_VALUE"""),97.31)</f>
        <v>97.31</v>
      </c>
      <c r="AP39" s="119">
        <f ca="1">IFERROR(__xludf.DUMMYFUNCTION("""COMPUTED_VALUE"""),80.31)</f>
        <v>80.31</v>
      </c>
      <c r="AQ39" s="119">
        <f ca="1">IFERROR(__xludf.DUMMYFUNCTION("""COMPUTED_VALUE"""),44.76)</f>
        <v>44.76</v>
      </c>
      <c r="AR39" s="118">
        <f ca="1">IFERROR(__xludf.DUMMYFUNCTION("""COMPUTED_VALUE"""),103.7175)</f>
        <v>103.7175</v>
      </c>
      <c r="AS39" s="119">
        <f ca="1">IFERROR(__xludf.DUMMYFUNCTION("""COMPUTED_VALUE"""),19.92)</f>
        <v>19.920000000000002</v>
      </c>
      <c r="AT39" s="119">
        <f ca="1">IFERROR(__xludf.DUMMYFUNCTION("""COMPUTED_VALUE"""),90.8)</f>
        <v>90.8</v>
      </c>
      <c r="AU39" s="119">
        <f ca="1">IFERROR(__xludf.DUMMYFUNCTION("""COMPUTED_VALUE"""),62.48)</f>
        <v>62.48</v>
      </c>
      <c r="AV39" s="119">
        <f ca="1">IFERROR(__xludf.DUMMYFUNCTION("""COMPUTED_VALUE"""),131.75)</f>
        <v>131.75</v>
      </c>
      <c r="AW39" s="119">
        <f ca="1">IFERROR(__xludf.DUMMYFUNCTION("""COMPUTED_VALUE"""),123.64)</f>
        <v>123.64</v>
      </c>
      <c r="AX39" s="119">
        <f ca="1">IFERROR(__xludf.DUMMYFUNCTION("""COMPUTED_VALUE"""),20.7)</f>
        <v>20.7</v>
      </c>
      <c r="AY39" s="119">
        <f ca="1">IFERROR(__xludf.DUMMYFUNCTION("""COMPUTED_VALUE"""),39.24)</f>
        <v>39.24</v>
      </c>
      <c r="AZ39" s="119">
        <f ca="1">IFERROR(__xludf.DUMMYFUNCTION("""COMPUTED_VALUE"""),0)</f>
        <v>0</v>
      </c>
      <c r="BA39" s="119">
        <f ca="1">IFERROR(__xludf.DUMMYFUNCTION("""COMPUTED_VALUE"""),0)</f>
        <v>0</v>
      </c>
      <c r="BB39" s="119">
        <f ca="1">IFERROR(__xludf.DUMMYFUNCTION("""COMPUTED_VALUE"""),11.44)</f>
        <v>11.44</v>
      </c>
      <c r="BC39" s="119">
        <f ca="1">IFERROR(__xludf.DUMMYFUNCTION("""COMPUTED_VALUE"""),10.71)</f>
        <v>10.71</v>
      </c>
      <c r="BD39" s="119">
        <f ca="1">IFERROR(__xludf.DUMMYFUNCTION("""COMPUTED_VALUE"""),172)</f>
        <v>172</v>
      </c>
      <c r="BE39" s="119">
        <f ca="1">IFERROR(__xludf.DUMMYFUNCTION("""COMPUTED_VALUE"""),129)</f>
        <v>129</v>
      </c>
      <c r="BF39" s="119">
        <f ca="1">IFERROR(__xludf.DUMMYFUNCTION("""COMPUTED_VALUE"""),9.75)</f>
        <v>9.75</v>
      </c>
      <c r="BG39" s="119">
        <f ca="1">IFERROR(__xludf.DUMMYFUNCTION("""COMPUTED_VALUE"""),546.03)</f>
        <v>546.03</v>
      </c>
      <c r="BH39" s="119">
        <f ca="1">IFERROR(__xludf.DUMMYFUNCTION("""COMPUTED_VALUE"""),246.39)</f>
        <v>246.39</v>
      </c>
      <c r="BI39" s="119">
        <f ca="1">IFERROR(__xludf.DUMMYFUNCTION("""COMPUTED_VALUE"""),228.85)</f>
        <v>228.85</v>
      </c>
      <c r="BJ39" s="119">
        <f ca="1">IFERROR(__xludf.DUMMYFUNCTION("""COMPUTED_VALUE"""),22.92)</f>
        <v>22.92</v>
      </c>
      <c r="BK39" s="119">
        <f ca="1">IFERROR(__xludf.DUMMYFUNCTION("""COMPUTED_VALUE"""),293.69)</f>
        <v>293.69</v>
      </c>
      <c r="BL39" s="119">
        <f ca="1">IFERROR(__xludf.DUMMYFUNCTION("""COMPUTED_VALUE"""),124.57)</f>
        <v>124.57</v>
      </c>
      <c r="BM39" s="119">
        <f ca="1">IFERROR(__xludf.DUMMYFUNCTION("""COMPUTED_VALUE"""),16.04)</f>
        <v>16.04</v>
      </c>
      <c r="BN39" s="119">
        <f ca="1">IFERROR(__xludf.DUMMYFUNCTION("""COMPUTED_VALUE"""),301.52)</f>
        <v>301.52</v>
      </c>
      <c r="BO39" s="119">
        <f ca="1">IFERROR(__xludf.DUMMYFUNCTION("""COMPUTED_VALUE"""),651)</f>
        <v>651</v>
      </c>
      <c r="BP39" s="119">
        <f ca="1">IFERROR(__xludf.DUMMYFUNCTION("""COMPUTED_VALUE"""),38.05)</f>
        <v>38.049999999999997</v>
      </c>
      <c r="BQ39" s="119">
        <f ca="1">IFERROR(__xludf.DUMMYFUNCTION("""COMPUTED_VALUE"""),8.55)</f>
        <v>8.5500000000000007</v>
      </c>
      <c r="BR39" s="119">
        <f ca="1">IFERROR(__xludf.DUMMYFUNCTION("""COMPUTED_VALUE"""),30.69)</f>
        <v>30.69</v>
      </c>
      <c r="BS39" s="119">
        <f ca="1">IFERROR(__xludf.DUMMYFUNCTION("""COMPUTED_VALUE"""),0.87)</f>
        <v>0.87</v>
      </c>
      <c r="BT39" s="119">
        <f ca="1">IFERROR(__xludf.DUMMYFUNCTION("""COMPUTED_VALUE"""),46.54)</f>
        <v>46.54</v>
      </c>
      <c r="BU39" s="119">
        <f ca="1">IFERROR(__xludf.DUMMYFUNCTION("""COMPUTED_VALUE"""),35.65)</f>
        <v>35.65</v>
      </c>
      <c r="BV39" s="119">
        <f ca="1">IFERROR(__xludf.DUMMYFUNCTION("""COMPUTED_VALUE"""),51.55)</f>
        <v>51.55</v>
      </c>
      <c r="BW39" s="119">
        <f ca="1">IFERROR(__xludf.DUMMYFUNCTION("""COMPUTED_VALUE"""),6.54)</f>
        <v>6.54</v>
      </c>
      <c r="BX39" s="119">
        <f ca="1">IFERROR(__xludf.DUMMYFUNCTION("""COMPUTED_VALUE"""),3.93)</f>
        <v>3.93</v>
      </c>
      <c r="BY39" s="119">
        <f ca="1">IFERROR(__xludf.DUMMYFUNCTION("""COMPUTED_VALUE"""),0)</f>
        <v>0</v>
      </c>
      <c r="BZ39" s="119">
        <f ca="1">IFERROR(__xludf.DUMMYFUNCTION("""COMPUTED_VALUE"""),15.05)</f>
        <v>15.05</v>
      </c>
      <c r="CA39" s="119">
        <f ca="1">IFERROR(__xludf.DUMMYFUNCTION("""COMPUTED_VALUE"""),3.82)</f>
        <v>3.82</v>
      </c>
      <c r="CB39" s="119">
        <f ca="1">IFERROR(__xludf.DUMMYFUNCTION("""COMPUTED_VALUE"""),5.67)</f>
        <v>5.67</v>
      </c>
      <c r="CC39" s="119">
        <f ca="1">IFERROR(__xludf.DUMMYFUNCTION("""COMPUTED_VALUE"""),18.85)</f>
        <v>18.850000000000001</v>
      </c>
      <c r="CD39" s="119">
        <f ca="1">IFERROR(__xludf.DUMMYFUNCTION("""COMPUTED_VALUE"""),14.98)</f>
        <v>14.98</v>
      </c>
      <c r="CE39" s="119">
        <f ca="1">IFERROR(__xludf.DUMMYFUNCTION("""COMPUTED_VALUE"""),30.61)</f>
        <v>30.61</v>
      </c>
      <c r="CF39" s="119">
        <f ca="1">IFERROR(__xludf.DUMMYFUNCTION("""COMPUTED_VALUE"""),109.09)</f>
        <v>109.09</v>
      </c>
      <c r="CG39" s="119">
        <f ca="1">IFERROR(__xludf.DUMMYFUNCTION("""COMPUTED_VALUE"""),5.47)</f>
        <v>5.47</v>
      </c>
      <c r="CH39" s="119">
        <f ca="1">IFERROR(__xludf.DUMMYFUNCTION("""COMPUTED_VALUE"""),24.35)</f>
        <v>24.35</v>
      </c>
      <c r="CI39" s="119">
        <f ca="1">IFERROR(__xludf.DUMMYFUNCTION("""COMPUTED_VALUE"""),57.25)</f>
        <v>57.25</v>
      </c>
      <c r="CJ39" s="119">
        <f ca="1">IFERROR(__xludf.DUMMYFUNCTION("""COMPUTED_VALUE"""),20)</f>
        <v>20</v>
      </c>
      <c r="CK39" s="119">
        <f ca="1">IFERROR(__xludf.DUMMYFUNCTION("""COMPUTED_VALUE"""),13.09)</f>
        <v>13.09</v>
      </c>
      <c r="CL39" s="119">
        <f ca="1">IFERROR(__xludf.DUMMYFUNCTION("""COMPUTED_VALUE"""),2597.41)</f>
        <v>2597.41</v>
      </c>
      <c r="CM39" s="119">
        <f ca="1">IFERROR(__xludf.DUMMYFUNCTION("""COMPUTED_VALUE"""),6)</f>
        <v>6</v>
      </c>
      <c r="CN39" s="119">
        <f ca="1">IFERROR(__xludf.DUMMYFUNCTION("""COMPUTED_VALUE"""),166.2)</f>
        <v>166.2</v>
      </c>
      <c r="CO39" s="119">
        <f ca="1">IFERROR(__xludf.DUMMYFUNCTION("""COMPUTED_VALUE"""),131.5)</f>
        <v>131.5</v>
      </c>
      <c r="CP39" s="119">
        <f ca="1">IFERROR(__xludf.DUMMYFUNCTION("""COMPUTED_VALUE"""),55.58)</f>
        <v>55.58</v>
      </c>
      <c r="CQ39" s="119">
        <f ca="1">IFERROR(__xludf.DUMMYFUNCTION("""COMPUTED_VALUE"""),70000)</f>
        <v>70000</v>
      </c>
      <c r="CR39" s="119">
        <f ca="1">IFERROR(__xludf.DUMMYFUNCTION("""COMPUTED_VALUE"""),0.52)</f>
        <v>0.52</v>
      </c>
      <c r="CS39" s="119">
        <f ca="1">IFERROR(__xludf.DUMMYFUNCTION("""COMPUTED_VALUE"""),35.8)</f>
        <v>35.799999999999997</v>
      </c>
      <c r="CT39" s="119">
        <f ca="1">IFERROR(__xludf.DUMMYFUNCTION("""COMPUTED_VALUE"""),20.8)</f>
        <v>20.8</v>
      </c>
      <c r="CU39" s="119">
        <f ca="1">IFERROR(__xludf.DUMMYFUNCTION("""COMPUTED_VALUE"""),1992.3)</f>
        <v>1992.3</v>
      </c>
      <c r="CV39" s="119">
        <f ca="1">IFERROR(__xludf.DUMMYFUNCTION("""COMPUTED_VALUE"""),2.74)</f>
        <v>2.74</v>
      </c>
      <c r="CW39" s="119">
        <f ca="1">IFERROR(__xludf.DUMMYFUNCTION("""COMPUTED_VALUE"""),2.75)</f>
        <v>2.75</v>
      </c>
      <c r="CX39" s="119">
        <f ca="1">IFERROR(__xludf.DUMMYFUNCTION("""COMPUTED_VALUE"""),13.69)</f>
        <v>13.69</v>
      </c>
      <c r="CY39" s="119">
        <f ca="1">IFERROR(__xludf.DUMMYFUNCTION("""COMPUTED_VALUE"""),0.04)</f>
        <v>0.04</v>
      </c>
      <c r="CZ39" s="119">
        <f ca="1">IFERROR(__xludf.DUMMYFUNCTION("""COMPUTED_VALUE"""),69.15)</f>
        <v>69.150000000000006</v>
      </c>
      <c r="DA39" s="119">
        <f ca="1">IFERROR(__xludf.DUMMYFUNCTION("""COMPUTED_VALUE"""),0.53)</f>
        <v>0.53</v>
      </c>
      <c r="DB39" s="119">
        <f ca="1">IFERROR(__xludf.DUMMYFUNCTION("""COMPUTED_VALUE"""),0.15)</f>
        <v>0.15</v>
      </c>
      <c r="DC39" s="119">
        <f ca="1">IFERROR(__xludf.DUMMYFUNCTION("""COMPUTED_VALUE"""),144.06)</f>
        <v>144.06</v>
      </c>
      <c r="DD39" s="119">
        <f ca="1">IFERROR(__xludf.DUMMYFUNCTION("""COMPUTED_VALUE"""),11.6)</f>
        <v>11.6</v>
      </c>
      <c r="DE39" s="119">
        <f ca="1">IFERROR(__xludf.DUMMYFUNCTION("""COMPUTED_VALUE"""),7.63)</f>
        <v>7.63</v>
      </c>
      <c r="DF39" s="119">
        <f ca="1">IFERROR(__xludf.DUMMYFUNCTION("""COMPUTED_VALUE"""),54.55)</f>
        <v>54.55</v>
      </c>
      <c r="DG39" s="119">
        <f ca="1">IFERROR(__xludf.DUMMYFUNCTION("""COMPUTED_VALUE"""),5.48)</f>
        <v>5.48</v>
      </c>
      <c r="DH39" s="119">
        <f ca="1">IFERROR(__xludf.DUMMYFUNCTION("""COMPUTED_VALUE"""),11.32)</f>
        <v>11.32</v>
      </c>
      <c r="DI39" s="119">
        <f ca="1">IFERROR(__xludf.DUMMYFUNCTION("""COMPUTED_VALUE"""),142.07)</f>
        <v>142.07</v>
      </c>
      <c r="DJ39" s="119">
        <f ca="1">IFERROR(__xludf.DUMMYFUNCTION("""COMPUTED_VALUE"""),11.03)</f>
        <v>11.03</v>
      </c>
      <c r="DK39" s="119">
        <f ca="1">IFERROR(__xludf.DUMMYFUNCTION("""COMPUTED_VALUE"""),2.15)</f>
        <v>2.15</v>
      </c>
      <c r="DL39" s="119">
        <f ca="1">IFERROR(__xludf.DUMMYFUNCTION("""COMPUTED_VALUE"""),27.05)</f>
        <v>27.05</v>
      </c>
      <c r="DM39" s="119">
        <f ca="1">IFERROR(__xludf.DUMMYFUNCTION("""COMPUTED_VALUE"""),439.04)</f>
        <v>439.04</v>
      </c>
      <c r="DN39" s="119">
        <f ca="1">IFERROR(__xludf.DUMMYFUNCTION("""COMPUTED_VALUE"""),145.14)</f>
        <v>145.13999999999999</v>
      </c>
      <c r="DO39" s="119">
        <f ca="1">IFERROR(__xludf.DUMMYFUNCTION("""COMPUTED_VALUE"""),346.6)</f>
        <v>346.6</v>
      </c>
      <c r="DP39" s="119">
        <f ca="1">IFERROR(__xludf.DUMMYFUNCTION("""COMPUTED_VALUE"""),8.33)</f>
        <v>8.33</v>
      </c>
      <c r="DQ39" s="119">
        <f ca="1">IFERROR(__xludf.DUMMYFUNCTION("""COMPUTED_VALUE"""),86.71)</f>
        <v>86.71</v>
      </c>
      <c r="DR39" s="119">
        <f ca="1">IFERROR(__xludf.DUMMYFUNCTION("""COMPUTED_VALUE"""),2.82)</f>
        <v>2.82</v>
      </c>
      <c r="DS39" s="117" t="str">
        <f ca="1">IFERROR(__xludf.DUMMYFUNCTION("""COMPUTED_VALUE"""),"")</f>
        <v/>
      </c>
      <c r="DT39" s="117" t="str">
        <f ca="1">IFERROR(__xludf.DUMMYFUNCTION("""COMPUTED_VALUE"""),"")</f>
        <v/>
      </c>
      <c r="DU39" s="117" t="str">
        <f ca="1">IFERROR(__xludf.DUMMYFUNCTION("""COMPUTED_VALUE"""),"")</f>
        <v/>
      </c>
      <c r="DV39" s="117" t="str">
        <f ca="1">IFERROR(__xludf.DUMMYFUNCTION("""COMPUTED_VALUE"""),"")</f>
        <v/>
      </c>
      <c r="DW39" s="117" t="str">
        <f ca="1">IFERROR(__xludf.DUMMYFUNCTION("""COMPUTED_VALUE"""),"")</f>
        <v/>
      </c>
      <c r="DX39" s="117" t="str">
        <f ca="1">IFERROR(__xludf.DUMMYFUNCTION("""COMPUTED_VALUE"""),"")</f>
        <v/>
      </c>
      <c r="DY39" s="117" t="str">
        <f ca="1">IFERROR(__xludf.DUMMYFUNCTION("""COMPUTED_VALUE"""),"")</f>
        <v/>
      </c>
      <c r="DZ39" s="117" t="str">
        <f ca="1">IFERROR(__xludf.DUMMYFUNCTION("""COMPUTED_VALUE"""),"")</f>
        <v/>
      </c>
      <c r="EA39" s="117" t="str">
        <f ca="1">IFERROR(__xludf.DUMMYFUNCTION("""COMPUTED_VALUE"""),"")</f>
        <v/>
      </c>
      <c r="EB39" s="117" t="str">
        <f ca="1">IFERROR(__xludf.DUMMYFUNCTION("""COMPUTED_VALUE"""),"")</f>
        <v/>
      </c>
      <c r="EC39" s="117" t="str">
        <f ca="1">IFERROR(__xludf.DUMMYFUNCTION("""COMPUTED_VALUE"""),"")</f>
        <v/>
      </c>
      <c r="ED39" s="117" t="str">
        <f ca="1">IFERROR(__xludf.DUMMYFUNCTION("""COMPUTED_VALUE"""),"")</f>
        <v/>
      </c>
      <c r="EE39" s="117" t="str">
        <f ca="1">IFERROR(__xludf.DUMMYFUNCTION("""COMPUTED_VALUE"""),"")</f>
        <v/>
      </c>
      <c r="EF39" s="117" t="str">
        <f ca="1">IFERROR(__xludf.DUMMYFUNCTION("""COMPUTED_VALUE"""),"")</f>
        <v/>
      </c>
      <c r="EG39" s="117" t="str">
        <f ca="1">IFERROR(__xludf.DUMMYFUNCTION("""COMPUTED_VALUE"""),"")</f>
        <v/>
      </c>
      <c r="EH39" s="117" t="str">
        <f ca="1">IFERROR(__xludf.DUMMYFUNCTION("""COMPUTED_VALUE"""),"")</f>
        <v/>
      </c>
      <c r="EI39" s="117" t="str">
        <f ca="1">IFERROR(__xludf.DUMMYFUNCTION("""COMPUTED_VALUE"""),"")</f>
        <v/>
      </c>
      <c r="EJ39" s="117" t="str">
        <f ca="1">IFERROR(__xludf.DUMMYFUNCTION("""COMPUTED_VALUE"""),"")</f>
        <v/>
      </c>
      <c r="EK39" s="117"/>
      <c r="EL39" s="117"/>
      <c r="EM39" s="117"/>
      <c r="EN39" s="117"/>
      <c r="EO39" s="117"/>
      <c r="EP39" s="117"/>
      <c r="EQ39" s="117"/>
      <c r="ER39" s="117"/>
      <c r="ES39" s="117"/>
      <c r="ET39" s="117"/>
      <c r="EU39" s="117"/>
      <c r="EV39" s="117"/>
      <c r="EW39" s="117"/>
      <c r="EX39" s="117"/>
      <c r="EY39" s="117"/>
      <c r="EZ39" s="117"/>
      <c r="FA39" s="117"/>
      <c r="FB39" s="117"/>
      <c r="FC39" s="117"/>
      <c r="FD39" s="117"/>
      <c r="FE39" s="117"/>
      <c r="FF39" s="117"/>
      <c r="FG39" s="117"/>
      <c r="FH39" s="117"/>
      <c r="FI39" s="117"/>
      <c r="FJ39" s="117"/>
      <c r="FK39" s="117"/>
      <c r="FL39" s="117"/>
      <c r="FM39" s="117"/>
      <c r="FN39" s="117"/>
      <c r="FO39" s="117"/>
    </row>
    <row r="40" spans="1:171" ht="15.75" customHeight="1" x14ac:dyDescent="0.15">
      <c r="A40" s="115">
        <f ca="1">IFERROR(__xludf.DUMMYFUNCTION("""COMPUTED_VALUE"""),44632)</f>
        <v>44632</v>
      </c>
      <c r="B40" s="119">
        <f ca="1">IFERROR(__xludf.DUMMYFUNCTION("""COMPUTED_VALUE"""),2910.49)</f>
        <v>2910.49</v>
      </c>
      <c r="C40" s="119">
        <f ca="1">IFERROR(__xludf.DUMMYFUNCTION("""COMPUTED_VALUE"""),187.61)</f>
        <v>187.61</v>
      </c>
      <c r="D40" s="119">
        <f ca="1">IFERROR(__xludf.DUMMYFUNCTION("""COMPUTED_VALUE"""),795.35)</f>
        <v>795.35</v>
      </c>
      <c r="E40" s="119">
        <f ca="1">IFERROR(__xludf.DUMMYFUNCTION("""COMPUTED_VALUE"""),367.8)</f>
        <v>367.8</v>
      </c>
      <c r="F40" s="119">
        <f ca="1">IFERROR(__xludf.DUMMYFUNCTION("""COMPUTED_VALUE"""),9.79)</f>
        <v>9.7899999999999991</v>
      </c>
      <c r="G40" s="119">
        <f ca="1">IFERROR(__xludf.DUMMYFUNCTION("""COMPUTED_VALUE"""),154.73)</f>
        <v>154.72999999999999</v>
      </c>
      <c r="H40" s="119">
        <f ca="1">IFERROR(__xludf.DUMMYFUNCTION("""COMPUTED_VALUE"""),20.2)</f>
        <v>20.2</v>
      </c>
      <c r="I40" s="119">
        <f ca="1">IFERROR(__xludf.DUMMYFUNCTION("""COMPUTED_VALUE"""),21.05)</f>
        <v>21.05</v>
      </c>
      <c r="J40" s="119">
        <f ca="1">IFERROR(__xludf.DUMMYFUNCTION("""COMPUTED_VALUE"""),0.11)</f>
        <v>0.11</v>
      </c>
      <c r="K40" s="119">
        <f ca="1">IFERROR(__xludf.DUMMYFUNCTION("""COMPUTED_VALUE"""),33.6)</f>
        <v>33.6</v>
      </c>
      <c r="L40" s="119">
        <f ca="1">IFERROR(__xludf.DUMMYFUNCTION("""COMPUTED_VALUE"""),135.4)</f>
        <v>135.4</v>
      </c>
      <c r="M40" s="119">
        <f ca="1">IFERROR(__xludf.DUMMYFUNCTION("""COMPUTED_VALUE"""),38966.79)</f>
        <v>38966.79</v>
      </c>
      <c r="N40" s="119">
        <f ca="1">IFERROR(__xludf.DUMMYFUNCTION("""COMPUTED_VALUE"""),340.32)</f>
        <v>340.32</v>
      </c>
      <c r="O40" s="119">
        <f ca="1">IFERROR(__xludf.DUMMYFUNCTION("""COMPUTED_VALUE"""),280.07)</f>
        <v>280.07</v>
      </c>
      <c r="P40" s="119">
        <f ca="1">IFERROR(__xludf.DUMMYFUNCTION("""COMPUTED_VALUE"""),21.63)</f>
        <v>21.63</v>
      </c>
      <c r="Q40" s="119">
        <f ca="1">IFERROR(__xludf.DUMMYFUNCTION("""COMPUTED_VALUE"""),23.8)</f>
        <v>23.8</v>
      </c>
      <c r="R40" s="119">
        <f ca="1">IFERROR(__xludf.DUMMYFUNCTION("""COMPUTED_VALUE"""),47.99)</f>
        <v>47.99</v>
      </c>
      <c r="S40" s="119">
        <f ca="1">IFERROR(__xludf.DUMMYFUNCTION("""COMPUTED_VALUE"""),25.51)</f>
        <v>25.51</v>
      </c>
      <c r="T40" s="119">
        <f ca="1">IFERROR(__xludf.DUMMYFUNCTION("""COMPUTED_VALUE"""),22.91)</f>
        <v>22.91</v>
      </c>
      <c r="U40" s="119">
        <f ca="1">IFERROR(__xludf.DUMMYFUNCTION("""COMPUTED_VALUE"""),40.11)</f>
        <v>40.11</v>
      </c>
      <c r="V40" s="119">
        <f ca="1">IFERROR(__xludf.DUMMYFUNCTION("""COMPUTED_VALUE"""),15.38)</f>
        <v>15.38</v>
      </c>
      <c r="W40" s="119">
        <f ca="1">IFERROR(__xludf.DUMMYFUNCTION("""COMPUTED_VALUE"""),226.87)</f>
        <v>226.87</v>
      </c>
      <c r="X40" s="119">
        <f ca="1">IFERROR(__xludf.DUMMYFUNCTION("""COMPUTED_VALUE"""),2609.51)</f>
        <v>2609.5100000000002</v>
      </c>
      <c r="Y40" s="119">
        <f ca="1">IFERROR(__xludf.DUMMYFUNCTION("""COMPUTED_VALUE"""),54.85)</f>
        <v>54.85</v>
      </c>
      <c r="Z40" s="119">
        <f ca="1">IFERROR(__xludf.DUMMYFUNCTION("""COMPUTED_VALUE"""),53.25)</f>
        <v>53.25</v>
      </c>
      <c r="AA40" s="119">
        <f ca="1">IFERROR(__xludf.DUMMYFUNCTION("""COMPUTED_VALUE"""),88.72)</f>
        <v>88.72</v>
      </c>
      <c r="AB40" s="119">
        <f ca="1">IFERROR(__xludf.DUMMYFUNCTION("""COMPUTED_VALUE"""),4.58)</f>
        <v>4.58</v>
      </c>
      <c r="AC40" s="119">
        <f ca="1">IFERROR(__xludf.DUMMYFUNCTION("""COMPUTED_VALUE"""),76.85)</f>
        <v>76.849999999999994</v>
      </c>
      <c r="AD40" s="119">
        <f ca="1">IFERROR(__xludf.DUMMYFUNCTION("""COMPUTED_VALUE"""),11.74)</f>
        <v>11.74</v>
      </c>
      <c r="AE40" s="119">
        <f ca="1">IFERROR(__xludf.DUMMYFUNCTION("""COMPUTED_VALUE"""),5.75)</f>
        <v>5.75</v>
      </c>
      <c r="AF40" s="119">
        <f ca="1">IFERROR(__xludf.DUMMYFUNCTION("""COMPUTED_VALUE"""),41.17)</f>
        <v>41.17</v>
      </c>
      <c r="AG40" s="119">
        <f ca="1">IFERROR(__xludf.DUMMYFUNCTION("""COMPUTED_VALUE"""),12.68)</f>
        <v>12.68</v>
      </c>
      <c r="AH40" s="119">
        <f ca="1">IFERROR(__xludf.DUMMYFUNCTION("""COMPUTED_VALUE"""),2.01)</f>
        <v>2.0099999999999998</v>
      </c>
      <c r="AI40" s="119">
        <f ca="1">IFERROR(__xludf.DUMMYFUNCTION("""COMPUTED_VALUE"""),3.28)</f>
        <v>3.28</v>
      </c>
      <c r="AJ40" s="119">
        <f ca="1">IFERROR(__xludf.DUMMYFUNCTION("""COMPUTED_VALUE"""),97.85)</f>
        <v>97.85</v>
      </c>
      <c r="AK40" s="119">
        <f ca="1">IFERROR(__xludf.DUMMYFUNCTION("""COMPUTED_VALUE"""),221)</f>
        <v>221</v>
      </c>
      <c r="AL40" s="119">
        <f ca="1">IFERROR(__xludf.DUMMYFUNCTION("""COMPUTED_VALUE"""),13.66)</f>
        <v>13.66</v>
      </c>
      <c r="AM40" s="119">
        <f ca="1">IFERROR(__xludf.DUMMYFUNCTION("""COMPUTED_VALUE"""),40.33)</f>
        <v>40.33</v>
      </c>
      <c r="AN40" s="119">
        <f ca="1">IFERROR(__xludf.DUMMYFUNCTION("""COMPUTED_VALUE"""),326.6)</f>
        <v>326.60000000000002</v>
      </c>
      <c r="AO40" s="119">
        <f ca="1">IFERROR(__xludf.DUMMYFUNCTION("""COMPUTED_VALUE"""),97.31)</f>
        <v>97.31</v>
      </c>
      <c r="AP40" s="119">
        <f ca="1">IFERROR(__xludf.DUMMYFUNCTION("""COMPUTED_VALUE"""),80.31)</f>
        <v>80.31</v>
      </c>
      <c r="AQ40" s="119">
        <f ca="1">IFERROR(__xludf.DUMMYFUNCTION("""COMPUTED_VALUE"""),44.76)</f>
        <v>44.76</v>
      </c>
      <c r="AR40" s="118">
        <f ca="1">IFERROR(__xludf.DUMMYFUNCTION("""COMPUTED_VALUE"""),104.255)</f>
        <v>104.255</v>
      </c>
      <c r="AS40" s="119">
        <f ca="1">IFERROR(__xludf.DUMMYFUNCTION("""COMPUTED_VALUE"""),19.92)</f>
        <v>19.920000000000002</v>
      </c>
      <c r="AT40" s="119">
        <f ca="1">IFERROR(__xludf.DUMMYFUNCTION("""COMPUTED_VALUE"""),90.8)</f>
        <v>90.8</v>
      </c>
      <c r="AU40" s="119">
        <f ca="1">IFERROR(__xludf.DUMMYFUNCTION("""COMPUTED_VALUE"""),62.48)</f>
        <v>62.48</v>
      </c>
      <c r="AV40" s="119">
        <f ca="1">IFERROR(__xludf.DUMMYFUNCTION("""COMPUTED_VALUE"""),131.75)</f>
        <v>131.75</v>
      </c>
      <c r="AW40" s="119">
        <f ca="1">IFERROR(__xludf.DUMMYFUNCTION("""COMPUTED_VALUE"""),123.64)</f>
        <v>123.64</v>
      </c>
      <c r="AX40" s="119">
        <f ca="1">IFERROR(__xludf.DUMMYFUNCTION("""COMPUTED_VALUE"""),20.7)</f>
        <v>20.7</v>
      </c>
      <c r="AY40" s="119">
        <f ca="1">IFERROR(__xludf.DUMMYFUNCTION("""COMPUTED_VALUE"""),39.24)</f>
        <v>39.24</v>
      </c>
      <c r="AZ40" s="119">
        <f ca="1">IFERROR(__xludf.DUMMYFUNCTION("""COMPUTED_VALUE"""),0)</f>
        <v>0</v>
      </c>
      <c r="BA40" s="119">
        <f ca="1">IFERROR(__xludf.DUMMYFUNCTION("""COMPUTED_VALUE"""),0)</f>
        <v>0</v>
      </c>
      <c r="BB40" s="119">
        <f ca="1">IFERROR(__xludf.DUMMYFUNCTION("""COMPUTED_VALUE"""),11.44)</f>
        <v>11.44</v>
      </c>
      <c r="BC40" s="119">
        <f ca="1">IFERROR(__xludf.DUMMYFUNCTION("""COMPUTED_VALUE"""),10.71)</f>
        <v>10.71</v>
      </c>
      <c r="BD40" s="119">
        <f ca="1">IFERROR(__xludf.DUMMYFUNCTION("""COMPUTED_VALUE"""),172)</f>
        <v>172</v>
      </c>
      <c r="BE40" s="119">
        <f ca="1">IFERROR(__xludf.DUMMYFUNCTION("""COMPUTED_VALUE"""),129)</f>
        <v>129</v>
      </c>
      <c r="BF40" s="119">
        <f ca="1">IFERROR(__xludf.DUMMYFUNCTION("""COMPUTED_VALUE"""),9.75)</f>
        <v>9.75</v>
      </c>
      <c r="BG40" s="119">
        <f ca="1">IFERROR(__xludf.DUMMYFUNCTION("""COMPUTED_VALUE"""),546.03)</f>
        <v>546.03</v>
      </c>
      <c r="BH40" s="119">
        <f ca="1">IFERROR(__xludf.DUMMYFUNCTION("""COMPUTED_VALUE"""),246.39)</f>
        <v>246.39</v>
      </c>
      <c r="BI40" s="119">
        <f ca="1">IFERROR(__xludf.DUMMYFUNCTION("""COMPUTED_VALUE"""),228.85)</f>
        <v>228.85</v>
      </c>
      <c r="BJ40" s="119">
        <f ca="1">IFERROR(__xludf.DUMMYFUNCTION("""COMPUTED_VALUE"""),22.92)</f>
        <v>22.92</v>
      </c>
      <c r="BK40" s="119">
        <f ca="1">IFERROR(__xludf.DUMMYFUNCTION("""COMPUTED_VALUE"""),293.69)</f>
        <v>293.69</v>
      </c>
      <c r="BL40" s="119">
        <f ca="1">IFERROR(__xludf.DUMMYFUNCTION("""COMPUTED_VALUE"""),124.57)</f>
        <v>124.57</v>
      </c>
      <c r="BM40" s="119">
        <f ca="1">IFERROR(__xludf.DUMMYFUNCTION("""COMPUTED_VALUE"""),16.04)</f>
        <v>16.04</v>
      </c>
      <c r="BN40" s="119">
        <f ca="1">IFERROR(__xludf.DUMMYFUNCTION("""COMPUTED_VALUE"""),301.52)</f>
        <v>301.52</v>
      </c>
      <c r="BO40" s="119">
        <f ca="1">IFERROR(__xludf.DUMMYFUNCTION("""COMPUTED_VALUE"""),651)</f>
        <v>651</v>
      </c>
      <c r="BP40" s="119">
        <f ca="1">IFERROR(__xludf.DUMMYFUNCTION("""COMPUTED_VALUE"""),38.05)</f>
        <v>38.049999999999997</v>
      </c>
      <c r="BQ40" s="119">
        <f ca="1">IFERROR(__xludf.DUMMYFUNCTION("""COMPUTED_VALUE"""),8.55)</f>
        <v>8.5500000000000007</v>
      </c>
      <c r="BR40" s="119">
        <f ca="1">IFERROR(__xludf.DUMMYFUNCTION("""COMPUTED_VALUE"""),30.69)</f>
        <v>30.69</v>
      </c>
      <c r="BS40" s="119">
        <f ca="1">IFERROR(__xludf.DUMMYFUNCTION("""COMPUTED_VALUE"""),0.87)</f>
        <v>0.87</v>
      </c>
      <c r="BT40" s="119">
        <f ca="1">IFERROR(__xludf.DUMMYFUNCTION("""COMPUTED_VALUE"""),46.54)</f>
        <v>46.54</v>
      </c>
      <c r="BU40" s="119">
        <f ca="1">IFERROR(__xludf.DUMMYFUNCTION("""COMPUTED_VALUE"""),35.65)</f>
        <v>35.65</v>
      </c>
      <c r="BV40" s="119">
        <f ca="1">IFERROR(__xludf.DUMMYFUNCTION("""COMPUTED_VALUE"""),51.55)</f>
        <v>51.55</v>
      </c>
      <c r="BW40" s="119">
        <f ca="1">IFERROR(__xludf.DUMMYFUNCTION("""COMPUTED_VALUE"""),6.54)</f>
        <v>6.54</v>
      </c>
      <c r="BX40" s="119">
        <f ca="1">IFERROR(__xludf.DUMMYFUNCTION("""COMPUTED_VALUE"""),3.93)</f>
        <v>3.93</v>
      </c>
      <c r="BY40" s="119">
        <f ca="1">IFERROR(__xludf.DUMMYFUNCTION("""COMPUTED_VALUE"""),0)</f>
        <v>0</v>
      </c>
      <c r="BZ40" s="119">
        <f ca="1">IFERROR(__xludf.DUMMYFUNCTION("""COMPUTED_VALUE"""),15.05)</f>
        <v>15.05</v>
      </c>
      <c r="CA40" s="119">
        <f ca="1">IFERROR(__xludf.DUMMYFUNCTION("""COMPUTED_VALUE"""),3.82)</f>
        <v>3.82</v>
      </c>
      <c r="CB40" s="119">
        <f ca="1">IFERROR(__xludf.DUMMYFUNCTION("""COMPUTED_VALUE"""),5.67)</f>
        <v>5.67</v>
      </c>
      <c r="CC40" s="119">
        <f ca="1">IFERROR(__xludf.DUMMYFUNCTION("""COMPUTED_VALUE"""),18.85)</f>
        <v>18.850000000000001</v>
      </c>
      <c r="CD40" s="119">
        <f ca="1">IFERROR(__xludf.DUMMYFUNCTION("""COMPUTED_VALUE"""),14.98)</f>
        <v>14.98</v>
      </c>
      <c r="CE40" s="119">
        <f ca="1">IFERROR(__xludf.DUMMYFUNCTION("""COMPUTED_VALUE"""),30.61)</f>
        <v>30.61</v>
      </c>
      <c r="CF40" s="119">
        <f ca="1">IFERROR(__xludf.DUMMYFUNCTION("""COMPUTED_VALUE"""),109.09)</f>
        <v>109.09</v>
      </c>
      <c r="CG40" s="119">
        <f ca="1">IFERROR(__xludf.DUMMYFUNCTION("""COMPUTED_VALUE"""),5.47)</f>
        <v>5.47</v>
      </c>
      <c r="CH40" s="119">
        <f ca="1">IFERROR(__xludf.DUMMYFUNCTION("""COMPUTED_VALUE"""),24.35)</f>
        <v>24.35</v>
      </c>
      <c r="CI40" s="119">
        <f ca="1">IFERROR(__xludf.DUMMYFUNCTION("""COMPUTED_VALUE"""),57.25)</f>
        <v>57.25</v>
      </c>
      <c r="CJ40" s="119">
        <f ca="1">IFERROR(__xludf.DUMMYFUNCTION("""COMPUTED_VALUE"""),20)</f>
        <v>20</v>
      </c>
      <c r="CK40" s="119">
        <f ca="1">IFERROR(__xludf.DUMMYFUNCTION("""COMPUTED_VALUE"""),13.09)</f>
        <v>13.09</v>
      </c>
      <c r="CL40" s="119">
        <f ca="1">IFERROR(__xludf.DUMMYFUNCTION("""COMPUTED_VALUE"""),2597.41)</f>
        <v>2597.41</v>
      </c>
      <c r="CM40" s="119">
        <f ca="1">IFERROR(__xludf.DUMMYFUNCTION("""COMPUTED_VALUE"""),6)</f>
        <v>6</v>
      </c>
      <c r="CN40" s="119">
        <f ca="1">IFERROR(__xludf.DUMMYFUNCTION("""COMPUTED_VALUE"""),166.2)</f>
        <v>166.2</v>
      </c>
      <c r="CO40" s="119">
        <f ca="1">IFERROR(__xludf.DUMMYFUNCTION("""COMPUTED_VALUE"""),131.5)</f>
        <v>131.5</v>
      </c>
      <c r="CP40" s="119">
        <f ca="1">IFERROR(__xludf.DUMMYFUNCTION("""COMPUTED_VALUE"""),55.58)</f>
        <v>55.58</v>
      </c>
      <c r="CQ40" s="119">
        <f ca="1">IFERROR(__xludf.DUMMYFUNCTION("""COMPUTED_VALUE"""),70000)</f>
        <v>70000</v>
      </c>
      <c r="CR40" s="119">
        <f ca="1">IFERROR(__xludf.DUMMYFUNCTION("""COMPUTED_VALUE"""),0.52)</f>
        <v>0.52</v>
      </c>
      <c r="CS40" s="119">
        <f ca="1">IFERROR(__xludf.DUMMYFUNCTION("""COMPUTED_VALUE"""),35.8)</f>
        <v>35.799999999999997</v>
      </c>
      <c r="CT40" s="119">
        <f ca="1">IFERROR(__xludf.DUMMYFUNCTION("""COMPUTED_VALUE"""),20.8)</f>
        <v>20.8</v>
      </c>
      <c r="CU40" s="119">
        <f ca="1">IFERROR(__xludf.DUMMYFUNCTION("""COMPUTED_VALUE"""),1992.3)</f>
        <v>1992.3</v>
      </c>
      <c r="CV40" s="119">
        <f ca="1">IFERROR(__xludf.DUMMYFUNCTION("""COMPUTED_VALUE"""),2.74)</f>
        <v>2.74</v>
      </c>
      <c r="CW40" s="119">
        <f ca="1">IFERROR(__xludf.DUMMYFUNCTION("""COMPUTED_VALUE"""),2.75)</f>
        <v>2.75</v>
      </c>
      <c r="CX40" s="119">
        <f ca="1">IFERROR(__xludf.DUMMYFUNCTION("""COMPUTED_VALUE"""),13.69)</f>
        <v>13.69</v>
      </c>
      <c r="CY40" s="119">
        <f ca="1">IFERROR(__xludf.DUMMYFUNCTION("""COMPUTED_VALUE"""),0.04)</f>
        <v>0.04</v>
      </c>
      <c r="CZ40" s="119">
        <f ca="1">IFERROR(__xludf.DUMMYFUNCTION("""COMPUTED_VALUE"""),69.15)</f>
        <v>69.150000000000006</v>
      </c>
      <c r="DA40" s="119">
        <f ca="1">IFERROR(__xludf.DUMMYFUNCTION("""COMPUTED_VALUE"""),0.53)</f>
        <v>0.53</v>
      </c>
      <c r="DB40" s="119">
        <f ca="1">IFERROR(__xludf.DUMMYFUNCTION("""COMPUTED_VALUE"""),0.15)</f>
        <v>0.15</v>
      </c>
      <c r="DC40" s="119">
        <f ca="1">IFERROR(__xludf.DUMMYFUNCTION("""COMPUTED_VALUE"""),144.06)</f>
        <v>144.06</v>
      </c>
      <c r="DD40" s="119">
        <f ca="1">IFERROR(__xludf.DUMMYFUNCTION("""COMPUTED_VALUE"""),11.6)</f>
        <v>11.6</v>
      </c>
      <c r="DE40" s="119">
        <f ca="1">IFERROR(__xludf.DUMMYFUNCTION("""COMPUTED_VALUE"""),7.63)</f>
        <v>7.63</v>
      </c>
      <c r="DF40" s="119">
        <f ca="1">IFERROR(__xludf.DUMMYFUNCTION("""COMPUTED_VALUE"""),54.55)</f>
        <v>54.55</v>
      </c>
      <c r="DG40" s="119">
        <f ca="1">IFERROR(__xludf.DUMMYFUNCTION("""COMPUTED_VALUE"""),5.48)</f>
        <v>5.48</v>
      </c>
      <c r="DH40" s="119">
        <f ca="1">IFERROR(__xludf.DUMMYFUNCTION("""COMPUTED_VALUE"""),11.32)</f>
        <v>11.32</v>
      </c>
      <c r="DI40" s="119">
        <f ca="1">IFERROR(__xludf.DUMMYFUNCTION("""COMPUTED_VALUE"""),142.07)</f>
        <v>142.07</v>
      </c>
      <c r="DJ40" s="119">
        <f ca="1">IFERROR(__xludf.DUMMYFUNCTION("""COMPUTED_VALUE"""),11.03)</f>
        <v>11.03</v>
      </c>
      <c r="DK40" s="119">
        <f ca="1">IFERROR(__xludf.DUMMYFUNCTION("""COMPUTED_VALUE"""),2.15)</f>
        <v>2.15</v>
      </c>
      <c r="DL40" s="119">
        <f ca="1">IFERROR(__xludf.DUMMYFUNCTION("""COMPUTED_VALUE"""),27.05)</f>
        <v>27.05</v>
      </c>
      <c r="DM40" s="119">
        <f ca="1">IFERROR(__xludf.DUMMYFUNCTION("""COMPUTED_VALUE"""),439.04)</f>
        <v>439.04</v>
      </c>
      <c r="DN40" s="119">
        <f ca="1">IFERROR(__xludf.DUMMYFUNCTION("""COMPUTED_VALUE"""),145.14)</f>
        <v>145.13999999999999</v>
      </c>
      <c r="DO40" s="119">
        <f ca="1">IFERROR(__xludf.DUMMYFUNCTION("""COMPUTED_VALUE"""),346.6)</f>
        <v>346.6</v>
      </c>
      <c r="DP40" s="119">
        <f ca="1">IFERROR(__xludf.DUMMYFUNCTION("""COMPUTED_VALUE"""),8.33)</f>
        <v>8.33</v>
      </c>
      <c r="DQ40" s="119">
        <f ca="1">IFERROR(__xludf.DUMMYFUNCTION("""COMPUTED_VALUE"""),86.71)</f>
        <v>86.71</v>
      </c>
      <c r="DR40" s="119">
        <f ca="1">IFERROR(__xludf.DUMMYFUNCTION("""COMPUTED_VALUE"""),2.82)</f>
        <v>2.82</v>
      </c>
      <c r="DS40" s="117" t="str">
        <f ca="1">IFERROR(__xludf.DUMMYFUNCTION("""COMPUTED_VALUE"""),"")</f>
        <v/>
      </c>
      <c r="DT40" s="117" t="str">
        <f ca="1">IFERROR(__xludf.DUMMYFUNCTION("""COMPUTED_VALUE"""),"")</f>
        <v/>
      </c>
      <c r="DU40" s="117" t="str">
        <f ca="1">IFERROR(__xludf.DUMMYFUNCTION("""COMPUTED_VALUE"""),"")</f>
        <v/>
      </c>
      <c r="DV40" s="117" t="str">
        <f ca="1">IFERROR(__xludf.DUMMYFUNCTION("""COMPUTED_VALUE"""),"")</f>
        <v/>
      </c>
      <c r="DW40" s="117" t="str">
        <f ca="1">IFERROR(__xludf.DUMMYFUNCTION("""COMPUTED_VALUE"""),"")</f>
        <v/>
      </c>
      <c r="DX40" s="117" t="str">
        <f ca="1">IFERROR(__xludf.DUMMYFUNCTION("""COMPUTED_VALUE"""),"")</f>
        <v/>
      </c>
      <c r="DY40" s="117" t="str">
        <f ca="1">IFERROR(__xludf.DUMMYFUNCTION("""COMPUTED_VALUE"""),"")</f>
        <v/>
      </c>
      <c r="DZ40" s="117" t="str">
        <f ca="1">IFERROR(__xludf.DUMMYFUNCTION("""COMPUTED_VALUE"""),"")</f>
        <v/>
      </c>
      <c r="EA40" s="117" t="str">
        <f ca="1">IFERROR(__xludf.DUMMYFUNCTION("""COMPUTED_VALUE"""),"")</f>
        <v/>
      </c>
      <c r="EB40" s="117" t="str">
        <f ca="1">IFERROR(__xludf.DUMMYFUNCTION("""COMPUTED_VALUE"""),"")</f>
        <v/>
      </c>
      <c r="EC40" s="117" t="str">
        <f ca="1">IFERROR(__xludf.DUMMYFUNCTION("""COMPUTED_VALUE"""),"")</f>
        <v/>
      </c>
      <c r="ED40" s="117" t="str">
        <f ca="1">IFERROR(__xludf.DUMMYFUNCTION("""COMPUTED_VALUE"""),"")</f>
        <v/>
      </c>
      <c r="EE40" s="117" t="str">
        <f ca="1">IFERROR(__xludf.DUMMYFUNCTION("""COMPUTED_VALUE"""),"")</f>
        <v/>
      </c>
      <c r="EF40" s="117" t="str">
        <f ca="1">IFERROR(__xludf.DUMMYFUNCTION("""COMPUTED_VALUE"""),"")</f>
        <v/>
      </c>
      <c r="EG40" s="117" t="str">
        <f ca="1">IFERROR(__xludf.DUMMYFUNCTION("""COMPUTED_VALUE"""),"")</f>
        <v/>
      </c>
      <c r="EH40" s="117" t="str">
        <f ca="1">IFERROR(__xludf.DUMMYFUNCTION("""COMPUTED_VALUE"""),"")</f>
        <v/>
      </c>
      <c r="EI40" s="117" t="str">
        <f ca="1">IFERROR(__xludf.DUMMYFUNCTION("""COMPUTED_VALUE"""),"")</f>
        <v/>
      </c>
      <c r="EJ40" s="117" t="str">
        <f ca="1">IFERROR(__xludf.DUMMYFUNCTION("""COMPUTED_VALUE"""),"")</f>
        <v/>
      </c>
      <c r="EK40" s="117" t="str">
        <f ca="1">IFERROR(__xludf.DUMMYFUNCTION("""COMPUTED_VALUE"""),"")</f>
        <v/>
      </c>
      <c r="EL40" s="117" t="str">
        <f ca="1">IFERROR(__xludf.DUMMYFUNCTION("""COMPUTED_VALUE"""),"")</f>
        <v/>
      </c>
      <c r="EM40" s="117" t="str">
        <f ca="1">IFERROR(__xludf.DUMMYFUNCTION("""COMPUTED_VALUE"""),"")</f>
        <v/>
      </c>
      <c r="EN40" s="117" t="str">
        <f ca="1">IFERROR(__xludf.DUMMYFUNCTION("""COMPUTED_VALUE"""),"")</f>
        <v/>
      </c>
      <c r="EO40" s="117" t="str">
        <f ca="1">IFERROR(__xludf.DUMMYFUNCTION("""COMPUTED_VALUE"""),"")</f>
        <v/>
      </c>
      <c r="EP40" s="117" t="str">
        <f ca="1">IFERROR(__xludf.DUMMYFUNCTION("""COMPUTED_VALUE"""),"")</f>
        <v/>
      </c>
      <c r="EQ40" s="117" t="str">
        <f ca="1">IFERROR(__xludf.DUMMYFUNCTION("""COMPUTED_VALUE"""),"")</f>
        <v/>
      </c>
      <c r="ER40" s="117" t="str">
        <f ca="1">IFERROR(__xludf.DUMMYFUNCTION("""COMPUTED_VALUE"""),"")</f>
        <v/>
      </c>
      <c r="ES40" s="117" t="str">
        <f ca="1">IFERROR(__xludf.DUMMYFUNCTION("""COMPUTED_VALUE"""),"")</f>
        <v/>
      </c>
      <c r="ET40" s="117" t="str">
        <f ca="1">IFERROR(__xludf.DUMMYFUNCTION("""COMPUTED_VALUE"""),"")</f>
        <v/>
      </c>
      <c r="EU40" s="117" t="str">
        <f ca="1">IFERROR(__xludf.DUMMYFUNCTION("""COMPUTED_VALUE"""),"")</f>
        <v/>
      </c>
      <c r="EV40" s="117" t="str">
        <f ca="1">IFERROR(__xludf.DUMMYFUNCTION("""COMPUTED_VALUE"""),"")</f>
        <v/>
      </c>
      <c r="EW40" s="117" t="str">
        <f ca="1">IFERROR(__xludf.DUMMYFUNCTION("""COMPUTED_VALUE"""),"")</f>
        <v/>
      </c>
      <c r="EX40" s="117" t="str">
        <f ca="1">IFERROR(__xludf.DUMMYFUNCTION("""COMPUTED_VALUE"""),"")</f>
        <v/>
      </c>
      <c r="EY40" s="117" t="str">
        <f ca="1">IFERROR(__xludf.DUMMYFUNCTION("""COMPUTED_VALUE"""),"")</f>
        <v/>
      </c>
      <c r="EZ40" s="117" t="str">
        <f ca="1">IFERROR(__xludf.DUMMYFUNCTION("""COMPUTED_VALUE"""),"")</f>
        <v/>
      </c>
      <c r="FA40" s="117" t="str">
        <f ca="1">IFERROR(__xludf.DUMMYFUNCTION("""COMPUTED_VALUE"""),"")</f>
        <v/>
      </c>
      <c r="FB40" s="117" t="str">
        <f ca="1">IFERROR(__xludf.DUMMYFUNCTION("""COMPUTED_VALUE"""),"")</f>
        <v/>
      </c>
      <c r="FC40" s="117" t="str">
        <f ca="1">IFERROR(__xludf.DUMMYFUNCTION("""COMPUTED_VALUE"""),"")</f>
        <v/>
      </c>
      <c r="FD40" s="117" t="str">
        <f ca="1">IFERROR(__xludf.DUMMYFUNCTION("""COMPUTED_VALUE"""),"")</f>
        <v/>
      </c>
      <c r="FE40" s="117" t="str">
        <f ca="1">IFERROR(__xludf.DUMMYFUNCTION("""COMPUTED_VALUE"""),"")</f>
        <v/>
      </c>
      <c r="FF40" s="117" t="str">
        <f ca="1">IFERROR(__xludf.DUMMYFUNCTION("""COMPUTED_VALUE"""),"")</f>
        <v/>
      </c>
      <c r="FG40" s="117" t="str">
        <f ca="1">IFERROR(__xludf.DUMMYFUNCTION("""COMPUTED_VALUE"""),"")</f>
        <v/>
      </c>
      <c r="FH40" s="117" t="str">
        <f ca="1">IFERROR(__xludf.DUMMYFUNCTION("""COMPUTED_VALUE"""),"")</f>
        <v/>
      </c>
      <c r="FI40" s="117" t="str">
        <f ca="1">IFERROR(__xludf.DUMMYFUNCTION("""COMPUTED_VALUE"""),"")</f>
        <v/>
      </c>
      <c r="FJ40" s="117" t="str">
        <f ca="1">IFERROR(__xludf.DUMMYFUNCTION("""COMPUTED_VALUE"""),"")</f>
        <v/>
      </c>
      <c r="FK40" s="117" t="str">
        <f ca="1">IFERROR(__xludf.DUMMYFUNCTION("""COMPUTED_VALUE"""),"")</f>
        <v/>
      </c>
      <c r="FL40" s="117" t="str">
        <f ca="1">IFERROR(__xludf.DUMMYFUNCTION("""COMPUTED_VALUE"""),"")</f>
        <v/>
      </c>
      <c r="FM40" s="117" t="str">
        <f ca="1">IFERROR(__xludf.DUMMYFUNCTION("""COMPUTED_VALUE"""),"")</f>
        <v/>
      </c>
      <c r="FN40" s="117" t="str">
        <f ca="1">IFERROR(__xludf.DUMMYFUNCTION("""COMPUTED_VALUE"""),"")</f>
        <v/>
      </c>
      <c r="FO40" s="117" t="str">
        <f ca="1">IFERROR(__xludf.DUMMYFUNCTION("""COMPUTED_VALUE"""),"")</f>
        <v/>
      </c>
    </row>
    <row r="41" spans="1:171" ht="15.75" customHeight="1" x14ac:dyDescent="0.15">
      <c r="A41" s="115">
        <f ca="1">IFERROR(__xludf.DUMMYFUNCTION("""COMPUTED_VALUE"""),44633)</f>
        <v>44633</v>
      </c>
      <c r="B41" s="119">
        <f ca="1">IFERROR(__xludf.DUMMYFUNCTION("""COMPUTED_VALUE"""),2910.49)</f>
        <v>2910.49</v>
      </c>
      <c r="C41" s="119">
        <f ca="1">IFERROR(__xludf.DUMMYFUNCTION("""COMPUTED_VALUE"""),187.61)</f>
        <v>187.61</v>
      </c>
      <c r="D41" s="119">
        <f ca="1">IFERROR(__xludf.DUMMYFUNCTION("""COMPUTED_VALUE"""),795.35)</f>
        <v>795.35</v>
      </c>
      <c r="E41" s="119">
        <f ca="1">IFERROR(__xludf.DUMMYFUNCTION("""COMPUTED_VALUE"""),367.8)</f>
        <v>367.8</v>
      </c>
      <c r="F41" s="119">
        <f ca="1">IFERROR(__xludf.DUMMYFUNCTION("""COMPUTED_VALUE"""),9.79)</f>
        <v>9.7899999999999991</v>
      </c>
      <c r="G41" s="119">
        <f ca="1">IFERROR(__xludf.DUMMYFUNCTION("""COMPUTED_VALUE"""),154.73)</f>
        <v>154.72999999999999</v>
      </c>
      <c r="H41" s="119">
        <f ca="1">IFERROR(__xludf.DUMMYFUNCTION("""COMPUTED_VALUE"""),20.2)</f>
        <v>20.2</v>
      </c>
      <c r="I41" s="119">
        <f ca="1">IFERROR(__xludf.DUMMYFUNCTION("""COMPUTED_VALUE"""),21.05)</f>
        <v>21.05</v>
      </c>
      <c r="J41" s="119">
        <f ca="1">IFERROR(__xludf.DUMMYFUNCTION("""COMPUTED_VALUE"""),0.11)</f>
        <v>0.11</v>
      </c>
      <c r="K41" s="119">
        <f ca="1">IFERROR(__xludf.DUMMYFUNCTION("""COMPUTED_VALUE"""),33.6)</f>
        <v>33.6</v>
      </c>
      <c r="L41" s="119">
        <f ca="1">IFERROR(__xludf.DUMMYFUNCTION("""COMPUTED_VALUE"""),135.4)</f>
        <v>135.4</v>
      </c>
      <c r="M41" s="119">
        <f ca="1">IFERROR(__xludf.DUMMYFUNCTION("""COMPUTED_VALUE"""),38966.79)</f>
        <v>38966.79</v>
      </c>
      <c r="N41" s="119">
        <f ca="1">IFERROR(__xludf.DUMMYFUNCTION("""COMPUTED_VALUE"""),340.32)</f>
        <v>340.32</v>
      </c>
      <c r="O41" s="119">
        <f ca="1">IFERROR(__xludf.DUMMYFUNCTION("""COMPUTED_VALUE"""),280.07)</f>
        <v>280.07</v>
      </c>
      <c r="P41" s="119">
        <f ca="1">IFERROR(__xludf.DUMMYFUNCTION("""COMPUTED_VALUE"""),21.63)</f>
        <v>21.63</v>
      </c>
      <c r="Q41" s="119">
        <f ca="1">IFERROR(__xludf.DUMMYFUNCTION("""COMPUTED_VALUE"""),23.8)</f>
        <v>23.8</v>
      </c>
      <c r="R41" s="119">
        <f ca="1">IFERROR(__xludf.DUMMYFUNCTION("""COMPUTED_VALUE"""),47.99)</f>
        <v>47.99</v>
      </c>
      <c r="S41" s="119">
        <f ca="1">IFERROR(__xludf.DUMMYFUNCTION("""COMPUTED_VALUE"""),25.51)</f>
        <v>25.51</v>
      </c>
      <c r="T41" s="119">
        <f ca="1">IFERROR(__xludf.DUMMYFUNCTION("""COMPUTED_VALUE"""),22.91)</f>
        <v>22.91</v>
      </c>
      <c r="U41" s="119">
        <f ca="1">IFERROR(__xludf.DUMMYFUNCTION("""COMPUTED_VALUE"""),40.11)</f>
        <v>40.11</v>
      </c>
      <c r="V41" s="119">
        <f ca="1">IFERROR(__xludf.DUMMYFUNCTION("""COMPUTED_VALUE"""),15.38)</f>
        <v>15.38</v>
      </c>
      <c r="W41" s="119">
        <f ca="1">IFERROR(__xludf.DUMMYFUNCTION("""COMPUTED_VALUE"""),226.87)</f>
        <v>226.87</v>
      </c>
      <c r="X41" s="119">
        <f ca="1">IFERROR(__xludf.DUMMYFUNCTION("""COMPUTED_VALUE"""),2609.51)</f>
        <v>2609.5100000000002</v>
      </c>
      <c r="Y41" s="119">
        <f ca="1">IFERROR(__xludf.DUMMYFUNCTION("""COMPUTED_VALUE"""),54.85)</f>
        <v>54.85</v>
      </c>
      <c r="Z41" s="119">
        <f ca="1">IFERROR(__xludf.DUMMYFUNCTION("""COMPUTED_VALUE"""),53.25)</f>
        <v>53.25</v>
      </c>
      <c r="AA41" s="119">
        <f ca="1">IFERROR(__xludf.DUMMYFUNCTION("""COMPUTED_VALUE"""),88.72)</f>
        <v>88.72</v>
      </c>
      <c r="AB41" s="119">
        <f ca="1">IFERROR(__xludf.DUMMYFUNCTION("""COMPUTED_VALUE"""),4.58)</f>
        <v>4.58</v>
      </c>
      <c r="AC41" s="119">
        <f ca="1">IFERROR(__xludf.DUMMYFUNCTION("""COMPUTED_VALUE"""),76.85)</f>
        <v>76.849999999999994</v>
      </c>
      <c r="AD41" s="119">
        <f ca="1">IFERROR(__xludf.DUMMYFUNCTION("""COMPUTED_VALUE"""),11.74)</f>
        <v>11.74</v>
      </c>
      <c r="AE41" s="119">
        <f ca="1">IFERROR(__xludf.DUMMYFUNCTION("""COMPUTED_VALUE"""),5.75)</f>
        <v>5.75</v>
      </c>
      <c r="AF41" s="119">
        <f ca="1">IFERROR(__xludf.DUMMYFUNCTION("""COMPUTED_VALUE"""),41.17)</f>
        <v>41.17</v>
      </c>
      <c r="AG41" s="119">
        <f ca="1">IFERROR(__xludf.DUMMYFUNCTION("""COMPUTED_VALUE"""),12.68)</f>
        <v>12.68</v>
      </c>
      <c r="AH41" s="119">
        <f ca="1">IFERROR(__xludf.DUMMYFUNCTION("""COMPUTED_VALUE"""),2.01)</f>
        <v>2.0099999999999998</v>
      </c>
      <c r="AI41" s="119">
        <f ca="1">IFERROR(__xludf.DUMMYFUNCTION("""COMPUTED_VALUE"""),3.28)</f>
        <v>3.28</v>
      </c>
      <c r="AJ41" s="119">
        <f ca="1">IFERROR(__xludf.DUMMYFUNCTION("""COMPUTED_VALUE"""),97.85)</f>
        <v>97.85</v>
      </c>
      <c r="AK41" s="119">
        <f ca="1">IFERROR(__xludf.DUMMYFUNCTION("""COMPUTED_VALUE"""),221)</f>
        <v>221</v>
      </c>
      <c r="AL41" s="119">
        <f ca="1">IFERROR(__xludf.DUMMYFUNCTION("""COMPUTED_VALUE"""),13.66)</f>
        <v>13.66</v>
      </c>
      <c r="AM41" s="119">
        <f ca="1">IFERROR(__xludf.DUMMYFUNCTION("""COMPUTED_VALUE"""),40.33)</f>
        <v>40.33</v>
      </c>
      <c r="AN41" s="119">
        <f ca="1">IFERROR(__xludf.DUMMYFUNCTION("""COMPUTED_VALUE"""),326.6)</f>
        <v>326.60000000000002</v>
      </c>
      <c r="AO41" s="119">
        <f ca="1">IFERROR(__xludf.DUMMYFUNCTION("""COMPUTED_VALUE"""),97.31)</f>
        <v>97.31</v>
      </c>
      <c r="AP41" s="119">
        <f ca="1">IFERROR(__xludf.DUMMYFUNCTION("""COMPUTED_VALUE"""),80.31)</f>
        <v>80.31</v>
      </c>
      <c r="AQ41" s="119">
        <f ca="1">IFERROR(__xludf.DUMMYFUNCTION("""COMPUTED_VALUE"""),44.76)</f>
        <v>44.76</v>
      </c>
      <c r="AR41" s="118">
        <f ca="1">IFERROR(__xludf.DUMMYFUNCTION("""COMPUTED_VALUE"""),104.255)</f>
        <v>104.255</v>
      </c>
      <c r="AS41" s="119">
        <f ca="1">IFERROR(__xludf.DUMMYFUNCTION("""COMPUTED_VALUE"""),19.92)</f>
        <v>19.920000000000002</v>
      </c>
      <c r="AT41" s="119">
        <f ca="1">IFERROR(__xludf.DUMMYFUNCTION("""COMPUTED_VALUE"""),90.8)</f>
        <v>90.8</v>
      </c>
      <c r="AU41" s="119">
        <f ca="1">IFERROR(__xludf.DUMMYFUNCTION("""COMPUTED_VALUE"""),62.48)</f>
        <v>62.48</v>
      </c>
      <c r="AV41" s="119">
        <f ca="1">IFERROR(__xludf.DUMMYFUNCTION("""COMPUTED_VALUE"""),131.75)</f>
        <v>131.75</v>
      </c>
      <c r="AW41" s="119">
        <f ca="1">IFERROR(__xludf.DUMMYFUNCTION("""COMPUTED_VALUE"""),123.64)</f>
        <v>123.64</v>
      </c>
      <c r="AX41" s="119">
        <f ca="1">IFERROR(__xludf.DUMMYFUNCTION("""COMPUTED_VALUE"""),20.7)</f>
        <v>20.7</v>
      </c>
      <c r="AY41" s="119">
        <f ca="1">IFERROR(__xludf.DUMMYFUNCTION("""COMPUTED_VALUE"""),39.24)</f>
        <v>39.24</v>
      </c>
      <c r="AZ41" s="119">
        <f ca="1">IFERROR(__xludf.DUMMYFUNCTION("""COMPUTED_VALUE"""),0)</f>
        <v>0</v>
      </c>
      <c r="BA41" s="119">
        <f ca="1">IFERROR(__xludf.DUMMYFUNCTION("""COMPUTED_VALUE"""),0)</f>
        <v>0</v>
      </c>
      <c r="BB41" s="119">
        <f ca="1">IFERROR(__xludf.DUMMYFUNCTION("""COMPUTED_VALUE"""),11.44)</f>
        <v>11.44</v>
      </c>
      <c r="BC41" s="119">
        <f ca="1">IFERROR(__xludf.DUMMYFUNCTION("""COMPUTED_VALUE"""),10.71)</f>
        <v>10.71</v>
      </c>
      <c r="BD41" s="119">
        <f ca="1">IFERROR(__xludf.DUMMYFUNCTION("""COMPUTED_VALUE"""),172)</f>
        <v>172</v>
      </c>
      <c r="BE41" s="119">
        <f ca="1">IFERROR(__xludf.DUMMYFUNCTION("""COMPUTED_VALUE"""),129)</f>
        <v>129</v>
      </c>
      <c r="BF41" s="119">
        <f ca="1">IFERROR(__xludf.DUMMYFUNCTION("""COMPUTED_VALUE"""),9.75)</f>
        <v>9.75</v>
      </c>
      <c r="BG41" s="119">
        <f ca="1">IFERROR(__xludf.DUMMYFUNCTION("""COMPUTED_VALUE"""),546.03)</f>
        <v>546.03</v>
      </c>
      <c r="BH41" s="119">
        <f ca="1">IFERROR(__xludf.DUMMYFUNCTION("""COMPUTED_VALUE"""),246.39)</f>
        <v>246.39</v>
      </c>
      <c r="BI41" s="119">
        <f ca="1">IFERROR(__xludf.DUMMYFUNCTION("""COMPUTED_VALUE"""),228.85)</f>
        <v>228.85</v>
      </c>
      <c r="BJ41" s="119">
        <f ca="1">IFERROR(__xludf.DUMMYFUNCTION("""COMPUTED_VALUE"""),22.92)</f>
        <v>22.92</v>
      </c>
      <c r="BK41" s="119">
        <f ca="1">IFERROR(__xludf.DUMMYFUNCTION("""COMPUTED_VALUE"""),293.69)</f>
        <v>293.69</v>
      </c>
      <c r="BL41" s="119">
        <f ca="1">IFERROR(__xludf.DUMMYFUNCTION("""COMPUTED_VALUE"""),124.57)</f>
        <v>124.57</v>
      </c>
      <c r="BM41" s="119">
        <f ca="1">IFERROR(__xludf.DUMMYFUNCTION("""COMPUTED_VALUE"""),16.04)</f>
        <v>16.04</v>
      </c>
      <c r="BN41" s="119">
        <f ca="1">IFERROR(__xludf.DUMMYFUNCTION("""COMPUTED_VALUE"""),301.52)</f>
        <v>301.52</v>
      </c>
      <c r="BO41" s="119">
        <f ca="1">IFERROR(__xludf.DUMMYFUNCTION("""COMPUTED_VALUE"""),651)</f>
        <v>651</v>
      </c>
      <c r="BP41" s="119">
        <f ca="1">IFERROR(__xludf.DUMMYFUNCTION("""COMPUTED_VALUE"""),38.05)</f>
        <v>38.049999999999997</v>
      </c>
      <c r="BQ41" s="119">
        <f ca="1">IFERROR(__xludf.DUMMYFUNCTION("""COMPUTED_VALUE"""),8.55)</f>
        <v>8.5500000000000007</v>
      </c>
      <c r="BR41" s="119">
        <f ca="1">IFERROR(__xludf.DUMMYFUNCTION("""COMPUTED_VALUE"""),30.69)</f>
        <v>30.69</v>
      </c>
      <c r="BS41" s="119">
        <f ca="1">IFERROR(__xludf.DUMMYFUNCTION("""COMPUTED_VALUE"""),0.87)</f>
        <v>0.87</v>
      </c>
      <c r="BT41" s="119">
        <f ca="1">IFERROR(__xludf.DUMMYFUNCTION("""COMPUTED_VALUE"""),46.54)</f>
        <v>46.54</v>
      </c>
      <c r="BU41" s="119">
        <f ca="1">IFERROR(__xludf.DUMMYFUNCTION("""COMPUTED_VALUE"""),35.65)</f>
        <v>35.65</v>
      </c>
      <c r="BV41" s="119">
        <f ca="1">IFERROR(__xludf.DUMMYFUNCTION("""COMPUTED_VALUE"""),51.55)</f>
        <v>51.55</v>
      </c>
      <c r="BW41" s="119">
        <f ca="1">IFERROR(__xludf.DUMMYFUNCTION("""COMPUTED_VALUE"""),6.54)</f>
        <v>6.54</v>
      </c>
      <c r="BX41" s="119">
        <f ca="1">IFERROR(__xludf.DUMMYFUNCTION("""COMPUTED_VALUE"""),3.93)</f>
        <v>3.93</v>
      </c>
      <c r="BY41" s="119">
        <f ca="1">IFERROR(__xludf.DUMMYFUNCTION("""COMPUTED_VALUE"""),0)</f>
        <v>0</v>
      </c>
      <c r="BZ41" s="119">
        <f ca="1">IFERROR(__xludf.DUMMYFUNCTION("""COMPUTED_VALUE"""),15.05)</f>
        <v>15.05</v>
      </c>
      <c r="CA41" s="119">
        <f ca="1">IFERROR(__xludf.DUMMYFUNCTION("""COMPUTED_VALUE"""),3.82)</f>
        <v>3.82</v>
      </c>
      <c r="CB41" s="119">
        <f ca="1">IFERROR(__xludf.DUMMYFUNCTION("""COMPUTED_VALUE"""),5.67)</f>
        <v>5.67</v>
      </c>
      <c r="CC41" s="119">
        <f ca="1">IFERROR(__xludf.DUMMYFUNCTION("""COMPUTED_VALUE"""),18.85)</f>
        <v>18.850000000000001</v>
      </c>
      <c r="CD41" s="119">
        <f ca="1">IFERROR(__xludf.DUMMYFUNCTION("""COMPUTED_VALUE"""),14.98)</f>
        <v>14.98</v>
      </c>
      <c r="CE41" s="119">
        <f ca="1">IFERROR(__xludf.DUMMYFUNCTION("""COMPUTED_VALUE"""),30.61)</f>
        <v>30.61</v>
      </c>
      <c r="CF41" s="119">
        <f ca="1">IFERROR(__xludf.DUMMYFUNCTION("""COMPUTED_VALUE"""),109.09)</f>
        <v>109.09</v>
      </c>
      <c r="CG41" s="119">
        <f ca="1">IFERROR(__xludf.DUMMYFUNCTION("""COMPUTED_VALUE"""),5.47)</f>
        <v>5.47</v>
      </c>
      <c r="CH41" s="119">
        <f ca="1">IFERROR(__xludf.DUMMYFUNCTION("""COMPUTED_VALUE"""),24.35)</f>
        <v>24.35</v>
      </c>
      <c r="CI41" s="119">
        <f ca="1">IFERROR(__xludf.DUMMYFUNCTION("""COMPUTED_VALUE"""),57.25)</f>
        <v>57.25</v>
      </c>
      <c r="CJ41" s="119">
        <f ca="1">IFERROR(__xludf.DUMMYFUNCTION("""COMPUTED_VALUE"""),20)</f>
        <v>20</v>
      </c>
      <c r="CK41" s="119">
        <f ca="1">IFERROR(__xludf.DUMMYFUNCTION("""COMPUTED_VALUE"""),13.09)</f>
        <v>13.09</v>
      </c>
      <c r="CL41" s="119">
        <f ca="1">IFERROR(__xludf.DUMMYFUNCTION("""COMPUTED_VALUE"""),2597.41)</f>
        <v>2597.41</v>
      </c>
      <c r="CM41" s="119">
        <f ca="1">IFERROR(__xludf.DUMMYFUNCTION("""COMPUTED_VALUE"""),6)</f>
        <v>6</v>
      </c>
      <c r="CN41" s="119">
        <f ca="1">IFERROR(__xludf.DUMMYFUNCTION("""COMPUTED_VALUE"""),166.2)</f>
        <v>166.2</v>
      </c>
      <c r="CO41" s="119">
        <f ca="1">IFERROR(__xludf.DUMMYFUNCTION("""COMPUTED_VALUE"""),131.5)</f>
        <v>131.5</v>
      </c>
      <c r="CP41" s="119">
        <f ca="1">IFERROR(__xludf.DUMMYFUNCTION("""COMPUTED_VALUE"""),55.58)</f>
        <v>55.58</v>
      </c>
      <c r="CQ41" s="119">
        <f ca="1">IFERROR(__xludf.DUMMYFUNCTION("""COMPUTED_VALUE"""),70000)</f>
        <v>70000</v>
      </c>
      <c r="CR41" s="119">
        <f ca="1">IFERROR(__xludf.DUMMYFUNCTION("""COMPUTED_VALUE"""),0.52)</f>
        <v>0.52</v>
      </c>
      <c r="CS41" s="119">
        <f ca="1">IFERROR(__xludf.DUMMYFUNCTION("""COMPUTED_VALUE"""),35.8)</f>
        <v>35.799999999999997</v>
      </c>
      <c r="CT41" s="119">
        <f ca="1">IFERROR(__xludf.DUMMYFUNCTION("""COMPUTED_VALUE"""),20.8)</f>
        <v>20.8</v>
      </c>
      <c r="CU41" s="119">
        <f ca="1">IFERROR(__xludf.DUMMYFUNCTION("""COMPUTED_VALUE"""),1992.3)</f>
        <v>1992.3</v>
      </c>
      <c r="CV41" s="119">
        <f ca="1">IFERROR(__xludf.DUMMYFUNCTION("""COMPUTED_VALUE"""),2.74)</f>
        <v>2.74</v>
      </c>
      <c r="CW41" s="119">
        <f ca="1">IFERROR(__xludf.DUMMYFUNCTION("""COMPUTED_VALUE"""),2.75)</f>
        <v>2.75</v>
      </c>
      <c r="CX41" s="119">
        <f ca="1">IFERROR(__xludf.DUMMYFUNCTION("""COMPUTED_VALUE"""),13.69)</f>
        <v>13.69</v>
      </c>
      <c r="CY41" s="119">
        <f ca="1">IFERROR(__xludf.DUMMYFUNCTION("""COMPUTED_VALUE"""),0.04)</f>
        <v>0.04</v>
      </c>
      <c r="CZ41" s="119">
        <f ca="1">IFERROR(__xludf.DUMMYFUNCTION("""COMPUTED_VALUE"""),69.15)</f>
        <v>69.150000000000006</v>
      </c>
      <c r="DA41" s="119">
        <f ca="1">IFERROR(__xludf.DUMMYFUNCTION("""COMPUTED_VALUE"""),0.53)</f>
        <v>0.53</v>
      </c>
      <c r="DB41" s="119">
        <f ca="1">IFERROR(__xludf.DUMMYFUNCTION("""COMPUTED_VALUE"""),0.15)</f>
        <v>0.15</v>
      </c>
      <c r="DC41" s="119">
        <f ca="1">IFERROR(__xludf.DUMMYFUNCTION("""COMPUTED_VALUE"""),144.06)</f>
        <v>144.06</v>
      </c>
      <c r="DD41" s="119">
        <f ca="1">IFERROR(__xludf.DUMMYFUNCTION("""COMPUTED_VALUE"""),11.6)</f>
        <v>11.6</v>
      </c>
      <c r="DE41" s="119">
        <f ca="1">IFERROR(__xludf.DUMMYFUNCTION("""COMPUTED_VALUE"""),7.63)</f>
        <v>7.63</v>
      </c>
      <c r="DF41" s="119">
        <f ca="1">IFERROR(__xludf.DUMMYFUNCTION("""COMPUTED_VALUE"""),54.55)</f>
        <v>54.55</v>
      </c>
      <c r="DG41" s="119">
        <f ca="1">IFERROR(__xludf.DUMMYFUNCTION("""COMPUTED_VALUE"""),5.48)</f>
        <v>5.48</v>
      </c>
      <c r="DH41" s="119">
        <f ca="1">IFERROR(__xludf.DUMMYFUNCTION("""COMPUTED_VALUE"""),11.32)</f>
        <v>11.32</v>
      </c>
      <c r="DI41" s="119">
        <f ca="1">IFERROR(__xludf.DUMMYFUNCTION("""COMPUTED_VALUE"""),142.07)</f>
        <v>142.07</v>
      </c>
      <c r="DJ41" s="119">
        <f ca="1">IFERROR(__xludf.DUMMYFUNCTION("""COMPUTED_VALUE"""),11.03)</f>
        <v>11.03</v>
      </c>
      <c r="DK41" s="119">
        <f ca="1">IFERROR(__xludf.DUMMYFUNCTION("""COMPUTED_VALUE"""),2.15)</f>
        <v>2.15</v>
      </c>
      <c r="DL41" s="119">
        <f ca="1">IFERROR(__xludf.DUMMYFUNCTION("""COMPUTED_VALUE"""),27.05)</f>
        <v>27.05</v>
      </c>
      <c r="DM41" s="119">
        <f ca="1">IFERROR(__xludf.DUMMYFUNCTION("""COMPUTED_VALUE"""),439.04)</f>
        <v>439.04</v>
      </c>
      <c r="DN41" s="119">
        <f ca="1">IFERROR(__xludf.DUMMYFUNCTION("""COMPUTED_VALUE"""),145.14)</f>
        <v>145.13999999999999</v>
      </c>
      <c r="DO41" s="119">
        <f ca="1">IFERROR(__xludf.DUMMYFUNCTION("""COMPUTED_VALUE"""),346.6)</f>
        <v>346.6</v>
      </c>
      <c r="DP41" s="119">
        <f ca="1">IFERROR(__xludf.DUMMYFUNCTION("""COMPUTED_VALUE"""),8.33)</f>
        <v>8.33</v>
      </c>
      <c r="DQ41" s="119">
        <f ca="1">IFERROR(__xludf.DUMMYFUNCTION("""COMPUTED_VALUE"""),86.71)</f>
        <v>86.71</v>
      </c>
      <c r="DR41" s="119">
        <f ca="1">IFERROR(__xludf.DUMMYFUNCTION("""COMPUTED_VALUE"""),2.82)</f>
        <v>2.82</v>
      </c>
      <c r="DS41" s="117"/>
      <c r="DT41" s="117" t="str">
        <f ca="1">IFERROR(__xludf.DUMMYFUNCTION("""COMPUTED_VALUE"""),"")</f>
        <v/>
      </c>
      <c r="DU41" s="117" t="str">
        <f ca="1">IFERROR(__xludf.DUMMYFUNCTION("""COMPUTED_VALUE"""),"")</f>
        <v/>
      </c>
      <c r="DV41" s="117" t="str">
        <f ca="1">IFERROR(__xludf.DUMMYFUNCTION("""COMPUTED_VALUE"""),"")</f>
        <v/>
      </c>
      <c r="DW41" s="117" t="str">
        <f ca="1">IFERROR(__xludf.DUMMYFUNCTION("""COMPUTED_VALUE"""),"")</f>
        <v/>
      </c>
      <c r="DX41" s="117" t="str">
        <f ca="1">IFERROR(__xludf.DUMMYFUNCTION("""COMPUTED_VALUE"""),"")</f>
        <v/>
      </c>
      <c r="DY41" s="117" t="str">
        <f ca="1">IFERROR(__xludf.DUMMYFUNCTION("""COMPUTED_VALUE"""),"")</f>
        <v/>
      </c>
      <c r="DZ41" s="117" t="str">
        <f ca="1">IFERROR(__xludf.DUMMYFUNCTION("""COMPUTED_VALUE"""),"")</f>
        <v/>
      </c>
      <c r="EA41" s="117" t="str">
        <f ca="1">IFERROR(__xludf.DUMMYFUNCTION("""COMPUTED_VALUE"""),"")</f>
        <v/>
      </c>
      <c r="EB41" s="117" t="str">
        <f ca="1">IFERROR(__xludf.DUMMYFUNCTION("""COMPUTED_VALUE"""),"")</f>
        <v/>
      </c>
      <c r="EC41" s="117" t="str">
        <f ca="1">IFERROR(__xludf.DUMMYFUNCTION("""COMPUTED_VALUE"""),"")</f>
        <v/>
      </c>
      <c r="ED41" s="117" t="str">
        <f ca="1">IFERROR(__xludf.DUMMYFUNCTION("""COMPUTED_VALUE"""),"")</f>
        <v/>
      </c>
      <c r="EE41" s="117" t="str">
        <f ca="1">IFERROR(__xludf.DUMMYFUNCTION("""COMPUTED_VALUE"""),"")</f>
        <v/>
      </c>
      <c r="EF41" s="117" t="str">
        <f ca="1">IFERROR(__xludf.DUMMYFUNCTION("""COMPUTED_VALUE"""),"")</f>
        <v/>
      </c>
      <c r="EG41" s="117" t="str">
        <f ca="1">IFERROR(__xludf.DUMMYFUNCTION("""COMPUTED_VALUE"""),"")</f>
        <v/>
      </c>
      <c r="EH41" s="117" t="str">
        <f ca="1">IFERROR(__xludf.DUMMYFUNCTION("""COMPUTED_VALUE"""),"")</f>
        <v/>
      </c>
      <c r="EI41" s="117" t="str">
        <f ca="1">IFERROR(__xludf.DUMMYFUNCTION("""COMPUTED_VALUE"""),"")</f>
        <v/>
      </c>
      <c r="EJ41" s="117" t="str">
        <f ca="1">IFERROR(__xludf.DUMMYFUNCTION("""COMPUTED_VALUE"""),"")</f>
        <v/>
      </c>
      <c r="EK41" s="117" t="str">
        <f ca="1">IFERROR(__xludf.DUMMYFUNCTION("""COMPUTED_VALUE"""),"")</f>
        <v/>
      </c>
      <c r="EL41" s="117" t="str">
        <f ca="1">IFERROR(__xludf.DUMMYFUNCTION("""COMPUTED_VALUE"""),"")</f>
        <v/>
      </c>
      <c r="EM41" s="117" t="str">
        <f ca="1">IFERROR(__xludf.DUMMYFUNCTION("""COMPUTED_VALUE"""),"")</f>
        <v/>
      </c>
      <c r="EN41" s="117" t="str">
        <f ca="1">IFERROR(__xludf.DUMMYFUNCTION("""COMPUTED_VALUE"""),"")</f>
        <v/>
      </c>
      <c r="EO41" s="117" t="str">
        <f ca="1">IFERROR(__xludf.DUMMYFUNCTION("""COMPUTED_VALUE"""),"")</f>
        <v/>
      </c>
      <c r="EP41" s="117" t="str">
        <f ca="1">IFERROR(__xludf.DUMMYFUNCTION("""COMPUTED_VALUE"""),"")</f>
        <v/>
      </c>
      <c r="EQ41" s="117" t="str">
        <f ca="1">IFERROR(__xludf.DUMMYFUNCTION("""COMPUTED_VALUE"""),"")</f>
        <v/>
      </c>
      <c r="ER41" s="117" t="str">
        <f ca="1">IFERROR(__xludf.DUMMYFUNCTION("""COMPUTED_VALUE"""),"")</f>
        <v/>
      </c>
      <c r="ES41" s="117" t="str">
        <f ca="1">IFERROR(__xludf.DUMMYFUNCTION("""COMPUTED_VALUE"""),"")</f>
        <v/>
      </c>
      <c r="ET41" s="117" t="str">
        <f ca="1">IFERROR(__xludf.DUMMYFUNCTION("""COMPUTED_VALUE"""),"")</f>
        <v/>
      </c>
      <c r="EU41" s="117" t="str">
        <f ca="1">IFERROR(__xludf.DUMMYFUNCTION("""COMPUTED_VALUE"""),"")</f>
        <v/>
      </c>
      <c r="EV41" s="117" t="str">
        <f ca="1">IFERROR(__xludf.DUMMYFUNCTION("""COMPUTED_VALUE"""),"")</f>
        <v/>
      </c>
      <c r="EW41" s="117" t="str">
        <f ca="1">IFERROR(__xludf.DUMMYFUNCTION("""COMPUTED_VALUE"""),"")</f>
        <v/>
      </c>
      <c r="EX41" s="117" t="str">
        <f ca="1">IFERROR(__xludf.DUMMYFUNCTION("""COMPUTED_VALUE"""),"")</f>
        <v/>
      </c>
      <c r="EY41" s="117" t="str">
        <f ca="1">IFERROR(__xludf.DUMMYFUNCTION("""COMPUTED_VALUE"""),"")</f>
        <v/>
      </c>
      <c r="EZ41" s="117" t="str">
        <f ca="1">IFERROR(__xludf.DUMMYFUNCTION("""COMPUTED_VALUE"""),"")</f>
        <v/>
      </c>
      <c r="FA41" s="117" t="str">
        <f ca="1">IFERROR(__xludf.DUMMYFUNCTION("""COMPUTED_VALUE"""),"")</f>
        <v/>
      </c>
      <c r="FB41" s="117" t="str">
        <f ca="1">IFERROR(__xludf.DUMMYFUNCTION("""COMPUTED_VALUE"""),"")</f>
        <v/>
      </c>
      <c r="FC41" s="117" t="str">
        <f ca="1">IFERROR(__xludf.DUMMYFUNCTION("""COMPUTED_VALUE"""),"")</f>
        <v/>
      </c>
      <c r="FD41" s="117" t="str">
        <f ca="1">IFERROR(__xludf.DUMMYFUNCTION("""COMPUTED_VALUE"""),"")</f>
        <v/>
      </c>
      <c r="FE41" s="117" t="str">
        <f ca="1">IFERROR(__xludf.DUMMYFUNCTION("""COMPUTED_VALUE"""),"")</f>
        <v/>
      </c>
      <c r="FF41" s="117" t="str">
        <f ca="1">IFERROR(__xludf.DUMMYFUNCTION("""COMPUTED_VALUE"""),"")</f>
        <v/>
      </c>
      <c r="FG41" s="117" t="str">
        <f ca="1">IFERROR(__xludf.DUMMYFUNCTION("""COMPUTED_VALUE"""),"")</f>
        <v/>
      </c>
      <c r="FH41" s="117" t="str">
        <f ca="1">IFERROR(__xludf.DUMMYFUNCTION("""COMPUTED_VALUE"""),"")</f>
        <v/>
      </c>
      <c r="FI41" s="117" t="str">
        <f ca="1">IFERROR(__xludf.DUMMYFUNCTION("""COMPUTED_VALUE"""),"")</f>
        <v/>
      </c>
      <c r="FJ41" s="117" t="str">
        <f ca="1">IFERROR(__xludf.DUMMYFUNCTION("""COMPUTED_VALUE"""),"")</f>
        <v/>
      </c>
      <c r="FK41" s="117" t="str">
        <f ca="1">IFERROR(__xludf.DUMMYFUNCTION("""COMPUTED_VALUE"""),"")</f>
        <v/>
      </c>
      <c r="FL41" s="117" t="str">
        <f ca="1">IFERROR(__xludf.DUMMYFUNCTION("""COMPUTED_VALUE"""),"")</f>
        <v/>
      </c>
      <c r="FM41" s="117" t="str">
        <f ca="1">IFERROR(__xludf.DUMMYFUNCTION("""COMPUTED_VALUE"""),"")</f>
        <v/>
      </c>
      <c r="FN41" s="117" t="str">
        <f ca="1">IFERROR(__xludf.DUMMYFUNCTION("""COMPUTED_VALUE"""),"")</f>
        <v/>
      </c>
      <c r="FO41" s="117" t="str">
        <f ca="1">IFERROR(__xludf.DUMMYFUNCTION("""COMPUTED_VALUE"""),"")</f>
        <v/>
      </c>
    </row>
    <row r="42" spans="1:171" ht="15.75" customHeight="1" x14ac:dyDescent="0.15">
      <c r="A42" s="115">
        <f ca="1">IFERROR(__xludf.DUMMYFUNCTION("""COMPUTED_VALUE"""),44634)</f>
        <v>44634</v>
      </c>
      <c r="B42" s="119">
        <f ca="1">IFERROR(__xludf.DUMMYFUNCTION("""COMPUTED_VALUE"""),2837.06)</f>
        <v>2837.06</v>
      </c>
      <c r="C42" s="119">
        <f ca="1">IFERROR(__xludf.DUMMYFUNCTION("""COMPUTED_VALUE"""),186.63)</f>
        <v>186.63</v>
      </c>
      <c r="D42" s="119">
        <f ca="1">IFERROR(__xludf.DUMMYFUNCTION("""COMPUTED_VALUE"""),766.37)</f>
        <v>766.37</v>
      </c>
      <c r="E42" s="119">
        <f ca="1">IFERROR(__xludf.DUMMYFUNCTION("""COMPUTED_VALUE"""),331.8)</f>
        <v>331.8</v>
      </c>
      <c r="F42" s="119">
        <f ca="1">IFERROR(__xludf.DUMMYFUNCTION("""COMPUTED_VALUE"""),9.47)</f>
        <v>9.4700000000000006</v>
      </c>
      <c r="G42" s="119">
        <f ca="1">IFERROR(__xludf.DUMMYFUNCTION("""COMPUTED_VALUE"""),150.62)</f>
        <v>150.62</v>
      </c>
      <c r="H42" s="119">
        <f ca="1">IFERROR(__xludf.DUMMYFUNCTION("""COMPUTED_VALUE"""),22.25)</f>
        <v>22.25</v>
      </c>
      <c r="I42" s="119">
        <f ca="1">IFERROR(__xludf.DUMMYFUNCTION("""COMPUTED_VALUE"""),23.7)</f>
        <v>23.7</v>
      </c>
      <c r="J42" s="119">
        <f ca="1">IFERROR(__xludf.DUMMYFUNCTION("""COMPUTED_VALUE"""),0.16)</f>
        <v>0.16</v>
      </c>
      <c r="K42" s="119">
        <f ca="1">IFERROR(__xludf.DUMMYFUNCTION("""COMPUTED_VALUE"""),23.95)</f>
        <v>23.95</v>
      </c>
      <c r="L42" s="119">
        <f ca="1">IFERROR(__xludf.DUMMYFUNCTION("""COMPUTED_VALUE"""),112.6)</f>
        <v>112.6</v>
      </c>
      <c r="M42" s="119">
        <f ca="1">IFERROR(__xludf.DUMMYFUNCTION("""COMPUTED_VALUE"""),39519.93)</f>
        <v>39519.93</v>
      </c>
      <c r="N42" s="119">
        <f ca="1">IFERROR(__xludf.DUMMYFUNCTION("""COMPUTED_VALUE"""),331.01)</f>
        <v>331.01</v>
      </c>
      <c r="O42" s="119">
        <f ca="1">IFERROR(__xludf.DUMMYFUNCTION("""COMPUTED_VALUE"""),276.44)</f>
        <v>276.44</v>
      </c>
      <c r="P42" s="119">
        <f ca="1">IFERROR(__xludf.DUMMYFUNCTION("""COMPUTED_VALUE"""),21.03)</f>
        <v>21.03</v>
      </c>
      <c r="Q42" s="119">
        <f ca="1">IFERROR(__xludf.DUMMYFUNCTION("""COMPUTED_VALUE"""),23.58)</f>
        <v>23.58</v>
      </c>
      <c r="R42" s="119">
        <f ca="1">IFERROR(__xludf.DUMMYFUNCTION("""COMPUTED_VALUE"""),42.94)</f>
        <v>42.94</v>
      </c>
      <c r="S42" s="119">
        <f ca="1">IFERROR(__xludf.DUMMYFUNCTION("""COMPUTED_VALUE"""),25.4)</f>
        <v>25.4</v>
      </c>
      <c r="T42" s="119">
        <f ca="1">IFERROR(__xludf.DUMMYFUNCTION("""COMPUTED_VALUE"""),19.75)</f>
        <v>19.75</v>
      </c>
      <c r="U42" s="119">
        <f ca="1">IFERROR(__xludf.DUMMYFUNCTION("""COMPUTED_VALUE"""),38.8)</f>
        <v>38.799999999999997</v>
      </c>
      <c r="V42" s="119">
        <f ca="1">IFERROR(__xludf.DUMMYFUNCTION("""COMPUTED_VALUE"""),14.74)</f>
        <v>14.74</v>
      </c>
      <c r="W42" s="119">
        <f ca="1">IFERROR(__xludf.DUMMYFUNCTION("""COMPUTED_VALUE"""),226.18)</f>
        <v>226.18</v>
      </c>
      <c r="X42" s="119">
        <f ca="1">IFERROR(__xludf.DUMMYFUNCTION("""COMPUTED_VALUE"""),2534.82)</f>
        <v>2534.8200000000002</v>
      </c>
      <c r="Y42" s="119">
        <f ca="1">IFERROR(__xludf.DUMMYFUNCTION("""COMPUTED_VALUE"""),53.05)</f>
        <v>53.05</v>
      </c>
      <c r="Z42" s="119">
        <f ca="1">IFERROR(__xludf.DUMMYFUNCTION("""COMPUTED_VALUE"""),44.9)</f>
        <v>44.9</v>
      </c>
      <c r="AA42" s="119">
        <f ca="1">IFERROR(__xludf.DUMMYFUNCTION("""COMPUTED_VALUE"""),84.16)</f>
        <v>84.16</v>
      </c>
      <c r="AB42" s="119">
        <f ca="1">IFERROR(__xludf.DUMMYFUNCTION("""COMPUTED_VALUE"""),4.6)</f>
        <v>4.5999999999999996</v>
      </c>
      <c r="AC42" s="119">
        <f ca="1">IFERROR(__xludf.DUMMYFUNCTION("""COMPUTED_VALUE"""),74.55)</f>
        <v>74.55</v>
      </c>
      <c r="AD42" s="119">
        <f ca="1">IFERROR(__xludf.DUMMYFUNCTION("""COMPUTED_VALUE"""),11.53)</f>
        <v>11.53</v>
      </c>
      <c r="AE42" s="119">
        <f ca="1">IFERROR(__xludf.DUMMYFUNCTION("""COMPUTED_VALUE"""),5.71)</f>
        <v>5.71</v>
      </c>
      <c r="AF42" s="119">
        <f ca="1">IFERROR(__xludf.DUMMYFUNCTION("""COMPUTED_VALUE"""),40.42)</f>
        <v>40.42</v>
      </c>
      <c r="AG42" s="119">
        <f ca="1">IFERROR(__xludf.DUMMYFUNCTION("""COMPUTED_VALUE"""),11.24)</f>
        <v>11.24</v>
      </c>
      <c r="AH42" s="119">
        <f ca="1">IFERROR(__xludf.DUMMYFUNCTION("""COMPUTED_VALUE"""),2.08)</f>
        <v>2.08</v>
      </c>
      <c r="AI42" s="119">
        <f ca="1">IFERROR(__xludf.DUMMYFUNCTION("""COMPUTED_VALUE"""),2.84)</f>
        <v>2.84</v>
      </c>
      <c r="AJ42" s="119">
        <f ca="1">IFERROR(__xludf.DUMMYFUNCTION("""COMPUTED_VALUE"""),86.6)</f>
        <v>86.6</v>
      </c>
      <c r="AK42" s="119">
        <f ca="1">IFERROR(__xludf.DUMMYFUNCTION("""COMPUTED_VALUE"""),213.3)</f>
        <v>213.3</v>
      </c>
      <c r="AL42" s="119">
        <f ca="1">IFERROR(__xludf.DUMMYFUNCTION("""COMPUTED_VALUE"""),12.48)</f>
        <v>12.48</v>
      </c>
      <c r="AM42" s="119">
        <f ca="1">IFERROR(__xludf.DUMMYFUNCTION("""COMPUTED_VALUE"""),41.2)</f>
        <v>41.2</v>
      </c>
      <c r="AN42" s="119">
        <f ca="1">IFERROR(__xludf.DUMMYFUNCTION("""COMPUTED_VALUE"""),329.98)</f>
        <v>329.98</v>
      </c>
      <c r="AO42" s="119">
        <f ca="1">IFERROR(__xludf.DUMMYFUNCTION("""COMPUTED_VALUE"""),94.79)</f>
        <v>94.79</v>
      </c>
      <c r="AP42" s="119">
        <f ca="1">IFERROR(__xludf.DUMMYFUNCTION("""COMPUTED_VALUE"""),79.55)</f>
        <v>79.55</v>
      </c>
      <c r="AQ42" s="119">
        <f ca="1">IFERROR(__xludf.DUMMYFUNCTION("""COMPUTED_VALUE"""),40.76)</f>
        <v>40.76</v>
      </c>
      <c r="AR42" s="118">
        <f ca="1">IFERROR(__xludf.DUMMYFUNCTION("""COMPUTED_VALUE"""),103.7345)</f>
        <v>103.7345</v>
      </c>
      <c r="AS42" s="119">
        <f ca="1">IFERROR(__xludf.DUMMYFUNCTION("""COMPUTED_VALUE"""),20.88)</f>
        <v>20.88</v>
      </c>
      <c r="AT42" s="119">
        <f ca="1">IFERROR(__xludf.DUMMYFUNCTION("""COMPUTED_VALUE"""),80.9)</f>
        <v>80.900000000000006</v>
      </c>
      <c r="AU42" s="119">
        <f ca="1">IFERROR(__xludf.DUMMYFUNCTION("""COMPUTED_VALUE"""),61.27)</f>
        <v>61.27</v>
      </c>
      <c r="AV42" s="119">
        <f ca="1">IFERROR(__xludf.DUMMYFUNCTION("""COMPUTED_VALUE"""),129.03)</f>
        <v>129.03</v>
      </c>
      <c r="AW42" s="119">
        <f ca="1">IFERROR(__xludf.DUMMYFUNCTION("""COMPUTED_VALUE"""),120.13)</f>
        <v>120.13</v>
      </c>
      <c r="AX42" s="119">
        <f ca="1">IFERROR(__xludf.DUMMYFUNCTION("""COMPUTED_VALUE"""),15.72)</f>
        <v>15.72</v>
      </c>
      <c r="AY42" s="119">
        <f ca="1">IFERROR(__xludf.DUMMYFUNCTION("""COMPUTED_VALUE"""),36.68)</f>
        <v>36.68</v>
      </c>
      <c r="AZ42" s="119">
        <f ca="1">IFERROR(__xludf.DUMMYFUNCTION("""COMPUTED_VALUE"""),0)</f>
        <v>0</v>
      </c>
      <c r="BA42" s="119">
        <f ca="1">IFERROR(__xludf.DUMMYFUNCTION("""COMPUTED_VALUE"""),0)</f>
        <v>0</v>
      </c>
      <c r="BB42" s="119">
        <f ca="1">IFERROR(__xludf.DUMMYFUNCTION("""COMPUTED_VALUE"""),10.56)</f>
        <v>10.56</v>
      </c>
      <c r="BC42" s="119">
        <f ca="1">IFERROR(__xludf.DUMMYFUNCTION("""COMPUTED_VALUE"""),10.7)</f>
        <v>10.7</v>
      </c>
      <c r="BD42" s="119">
        <f ca="1">IFERROR(__xludf.DUMMYFUNCTION("""COMPUTED_VALUE"""),142.6)</f>
        <v>142.6</v>
      </c>
      <c r="BE42" s="119">
        <f ca="1">IFERROR(__xludf.DUMMYFUNCTION("""COMPUTED_VALUE"""),118.5)</f>
        <v>118.5</v>
      </c>
      <c r="BF42" s="119">
        <f ca="1">IFERROR(__xludf.DUMMYFUNCTION("""COMPUTED_VALUE"""),7.65)</f>
        <v>7.65</v>
      </c>
      <c r="BG42" s="119">
        <f ca="1">IFERROR(__xludf.DUMMYFUNCTION("""COMPUTED_VALUE"""),525.31)</f>
        <v>525.30999999999995</v>
      </c>
      <c r="BH42" s="119">
        <f ca="1">IFERROR(__xludf.DUMMYFUNCTION("""COMPUTED_VALUE"""),238.66)</f>
        <v>238.66</v>
      </c>
      <c r="BI42" s="119">
        <f ca="1">IFERROR(__xludf.DUMMYFUNCTION("""COMPUTED_VALUE"""),229.21)</f>
        <v>229.21</v>
      </c>
      <c r="BJ42" s="119">
        <f ca="1">IFERROR(__xludf.DUMMYFUNCTION("""COMPUTED_VALUE"""),21.55)</f>
        <v>21.55</v>
      </c>
      <c r="BK42" s="119">
        <f ca="1">IFERROR(__xludf.DUMMYFUNCTION("""COMPUTED_VALUE"""),278.98)</f>
        <v>278.98</v>
      </c>
      <c r="BL42" s="119">
        <f ca="1">IFERROR(__xludf.DUMMYFUNCTION("""COMPUTED_VALUE"""),124.07)</f>
        <v>124.07</v>
      </c>
      <c r="BM42" s="119">
        <f ca="1">IFERROR(__xludf.DUMMYFUNCTION("""COMPUTED_VALUE"""),15.74)</f>
        <v>15.74</v>
      </c>
      <c r="BN42" s="119">
        <f ca="1">IFERROR(__xludf.DUMMYFUNCTION("""COMPUTED_VALUE"""),262.88)</f>
        <v>262.88</v>
      </c>
      <c r="BO42" s="119">
        <f ca="1">IFERROR(__xludf.DUMMYFUNCTION("""COMPUTED_VALUE"""),637.58)</f>
        <v>637.58000000000004</v>
      </c>
      <c r="BP42" s="119">
        <f ca="1">IFERROR(__xludf.DUMMYFUNCTION("""COMPUTED_VALUE"""),35.83)</f>
        <v>35.83</v>
      </c>
      <c r="BQ42" s="119">
        <f ca="1">IFERROR(__xludf.DUMMYFUNCTION("""COMPUTED_VALUE"""),7.93)</f>
        <v>7.93</v>
      </c>
      <c r="BR42" s="119">
        <f ca="1">IFERROR(__xludf.DUMMYFUNCTION("""COMPUTED_VALUE"""),27.91)</f>
        <v>27.91</v>
      </c>
      <c r="BS42" s="119">
        <f ca="1">IFERROR(__xludf.DUMMYFUNCTION("""COMPUTED_VALUE"""),0.86)</f>
        <v>0.86</v>
      </c>
      <c r="BT42" s="119">
        <f ca="1">IFERROR(__xludf.DUMMYFUNCTION("""COMPUTED_VALUE"""),45.67)</f>
        <v>45.67</v>
      </c>
      <c r="BU42" s="119">
        <f ca="1">IFERROR(__xludf.DUMMYFUNCTION("""COMPUTED_VALUE"""),33.55)</f>
        <v>33.549999999999997</v>
      </c>
      <c r="BV42" s="119">
        <f ca="1">IFERROR(__xludf.DUMMYFUNCTION("""COMPUTED_VALUE"""),50.55)</f>
        <v>50.55</v>
      </c>
      <c r="BW42" s="119">
        <f ca="1">IFERROR(__xludf.DUMMYFUNCTION("""COMPUTED_VALUE"""),5.93)</f>
        <v>5.93</v>
      </c>
      <c r="BX42" s="119">
        <f ca="1">IFERROR(__xludf.DUMMYFUNCTION("""COMPUTED_VALUE"""),3.14)</f>
        <v>3.14</v>
      </c>
      <c r="BY42" s="119">
        <f ca="1">IFERROR(__xludf.DUMMYFUNCTION("""COMPUTED_VALUE"""),0)</f>
        <v>0</v>
      </c>
      <c r="BZ42" s="119">
        <f ca="1">IFERROR(__xludf.DUMMYFUNCTION("""COMPUTED_VALUE"""),13.98)</f>
        <v>13.98</v>
      </c>
      <c r="CA42" s="119">
        <f ca="1">IFERROR(__xludf.DUMMYFUNCTION("""COMPUTED_VALUE"""),3.64)</f>
        <v>3.64</v>
      </c>
      <c r="CB42" s="119">
        <f ca="1">IFERROR(__xludf.DUMMYFUNCTION("""COMPUTED_VALUE"""),5.33)</f>
        <v>5.33</v>
      </c>
      <c r="CC42" s="119">
        <f ca="1">IFERROR(__xludf.DUMMYFUNCTION("""COMPUTED_VALUE"""),18.21)</f>
        <v>18.21</v>
      </c>
      <c r="CD42" s="119">
        <f ca="1">IFERROR(__xludf.DUMMYFUNCTION("""COMPUTED_VALUE"""),14.02)</f>
        <v>14.02</v>
      </c>
      <c r="CE42" s="119">
        <f ca="1">IFERROR(__xludf.DUMMYFUNCTION("""COMPUTED_VALUE"""),30.23)</f>
        <v>30.23</v>
      </c>
      <c r="CF42" s="119">
        <f ca="1">IFERROR(__xludf.DUMMYFUNCTION("""COMPUTED_VALUE"""),100.72)</f>
        <v>100.72</v>
      </c>
      <c r="CG42" s="119">
        <f ca="1">IFERROR(__xludf.DUMMYFUNCTION("""COMPUTED_VALUE"""),5.16)</f>
        <v>5.16</v>
      </c>
      <c r="CH42" s="119">
        <f ca="1">IFERROR(__xludf.DUMMYFUNCTION("""COMPUTED_VALUE"""),23.64)</f>
        <v>23.64</v>
      </c>
      <c r="CI42" s="119">
        <f ca="1">IFERROR(__xludf.DUMMYFUNCTION("""COMPUTED_VALUE"""),60.61)</f>
        <v>60.61</v>
      </c>
      <c r="CJ42" s="119">
        <f ca="1">IFERROR(__xludf.DUMMYFUNCTION("""COMPUTED_VALUE"""),14.54)</f>
        <v>14.54</v>
      </c>
      <c r="CK42" s="119">
        <f ca="1">IFERROR(__xludf.DUMMYFUNCTION("""COMPUTED_VALUE"""),12.6)</f>
        <v>12.6</v>
      </c>
      <c r="CL42" s="119">
        <f ca="1">IFERROR(__xludf.DUMMYFUNCTION("""COMPUTED_VALUE"""),2519.02)</f>
        <v>2519.02</v>
      </c>
      <c r="CM42" s="119">
        <f ca="1">IFERROR(__xludf.DUMMYFUNCTION("""COMPUTED_VALUE"""),6.39)</f>
        <v>6.39</v>
      </c>
      <c r="CN42" s="119">
        <f ca="1">IFERROR(__xludf.DUMMYFUNCTION("""COMPUTED_VALUE"""),133.9)</f>
        <v>133.9</v>
      </c>
      <c r="CO42" s="119">
        <f ca="1">IFERROR(__xludf.DUMMYFUNCTION("""COMPUTED_VALUE"""),108.1)</f>
        <v>108.1</v>
      </c>
      <c r="CP42" s="119">
        <f ca="1">IFERROR(__xludf.DUMMYFUNCTION("""COMPUTED_VALUE"""),52.29)</f>
        <v>52.29</v>
      </c>
      <c r="CQ42" s="119">
        <f ca="1">IFERROR(__xludf.DUMMYFUNCTION("""COMPUTED_VALUE"""),70000)</f>
        <v>70000</v>
      </c>
      <c r="CR42" s="119">
        <f ca="1">IFERROR(__xludf.DUMMYFUNCTION("""COMPUTED_VALUE"""),0.52)</f>
        <v>0.52</v>
      </c>
      <c r="CS42" s="119">
        <f ca="1">IFERROR(__xludf.DUMMYFUNCTION("""COMPUTED_VALUE"""),34.3)</f>
        <v>34.299999999999997</v>
      </c>
      <c r="CT42" s="119">
        <f ca="1">IFERROR(__xludf.DUMMYFUNCTION("""COMPUTED_VALUE"""),19.8)</f>
        <v>19.8</v>
      </c>
      <c r="CU42" s="119">
        <f ca="1">IFERROR(__xludf.DUMMYFUNCTION("""COMPUTED_VALUE"""),1952.2)</f>
        <v>1952.2</v>
      </c>
      <c r="CV42" s="119">
        <f ca="1">IFERROR(__xludf.DUMMYFUNCTION("""COMPUTED_VALUE"""),2.51)</f>
        <v>2.5099999999999998</v>
      </c>
      <c r="CW42" s="119">
        <f ca="1">IFERROR(__xludf.DUMMYFUNCTION("""COMPUTED_VALUE"""),2.44)</f>
        <v>2.44</v>
      </c>
      <c r="CX42" s="119">
        <f ca="1">IFERROR(__xludf.DUMMYFUNCTION("""COMPUTED_VALUE"""),13.69)</f>
        <v>13.69</v>
      </c>
      <c r="CY42" s="119">
        <f ca="1">IFERROR(__xludf.DUMMYFUNCTION("""COMPUTED_VALUE"""),0.05)</f>
        <v>0.05</v>
      </c>
      <c r="CZ42" s="119">
        <f ca="1">IFERROR(__xludf.DUMMYFUNCTION("""COMPUTED_VALUE"""),60.2)</f>
        <v>60.2</v>
      </c>
      <c r="DA42" s="119">
        <f ca="1">IFERROR(__xludf.DUMMYFUNCTION("""COMPUTED_VALUE"""),0.69)</f>
        <v>0.69</v>
      </c>
      <c r="DB42" s="119">
        <f ca="1">IFERROR(__xludf.DUMMYFUNCTION("""COMPUTED_VALUE"""),0.08)</f>
        <v>0.08</v>
      </c>
      <c r="DC42" s="119">
        <f ca="1">IFERROR(__xludf.DUMMYFUNCTION("""COMPUTED_VALUE"""),141.39)</f>
        <v>141.38999999999999</v>
      </c>
      <c r="DD42" s="119">
        <f ca="1">IFERROR(__xludf.DUMMYFUNCTION("""COMPUTED_VALUE"""),10.44)</f>
        <v>10.44</v>
      </c>
      <c r="DE42" s="119">
        <f ca="1">IFERROR(__xludf.DUMMYFUNCTION("""COMPUTED_VALUE"""),7.78)</f>
        <v>7.78</v>
      </c>
      <c r="DF42" s="119">
        <f ca="1">IFERROR(__xludf.DUMMYFUNCTION("""COMPUTED_VALUE"""),54.3)</f>
        <v>54.3</v>
      </c>
      <c r="DG42" s="119">
        <f ca="1">IFERROR(__xludf.DUMMYFUNCTION("""COMPUTED_VALUE"""),5.3)</f>
        <v>5.3</v>
      </c>
      <c r="DH42" s="119">
        <f ca="1">IFERROR(__xludf.DUMMYFUNCTION("""COMPUTED_VALUE"""),11.6)</f>
        <v>11.6</v>
      </c>
      <c r="DI42" s="119">
        <f ca="1">IFERROR(__xludf.DUMMYFUNCTION("""COMPUTED_VALUE"""),144.05)</f>
        <v>144.05000000000001</v>
      </c>
      <c r="DJ42" s="119">
        <f ca="1">IFERROR(__xludf.DUMMYFUNCTION("""COMPUTED_VALUE"""),10.3)</f>
        <v>10.3</v>
      </c>
      <c r="DK42" s="119">
        <f ca="1">IFERROR(__xludf.DUMMYFUNCTION("""COMPUTED_VALUE"""),1.03)</f>
        <v>1.03</v>
      </c>
      <c r="DL42" s="119">
        <f ca="1">IFERROR(__xludf.DUMMYFUNCTION("""COMPUTED_VALUE"""),25.2)</f>
        <v>25.2</v>
      </c>
      <c r="DM42" s="119">
        <f ca="1">IFERROR(__xludf.DUMMYFUNCTION("""COMPUTED_VALUE"""),444.45)</f>
        <v>444.45</v>
      </c>
      <c r="DN42" s="119">
        <f ca="1">IFERROR(__xludf.DUMMYFUNCTION("""COMPUTED_VALUE"""),138.5)</f>
        <v>138.5</v>
      </c>
      <c r="DO42" s="119">
        <f ca="1">IFERROR(__xludf.DUMMYFUNCTION("""COMPUTED_VALUE"""),333.4)</f>
        <v>333.4</v>
      </c>
      <c r="DP42" s="119">
        <f ca="1">IFERROR(__xludf.DUMMYFUNCTION("""COMPUTED_VALUE"""),15.95)</f>
        <v>15.95</v>
      </c>
      <c r="DQ42" s="119">
        <f ca="1">IFERROR(__xludf.DUMMYFUNCTION("""COMPUTED_VALUE"""),77.76)</f>
        <v>77.760000000000005</v>
      </c>
      <c r="DR42" s="119">
        <f ca="1">IFERROR(__xludf.DUMMYFUNCTION("""COMPUTED_VALUE"""),4.2)</f>
        <v>4.2</v>
      </c>
      <c r="DS42" s="119">
        <f ca="1">IFERROR(__xludf.DUMMYFUNCTION("""COMPUTED_VALUE"""),2.99)</f>
        <v>2.99</v>
      </c>
      <c r="DT42" s="119">
        <f ca="1">IFERROR(__xludf.DUMMYFUNCTION("""COMPUTED_VALUE"""),4.59)</f>
        <v>4.59</v>
      </c>
      <c r="DU42" s="119">
        <f ca="1">IFERROR(__xludf.DUMMYFUNCTION("""COMPUTED_VALUE"""),52.25)</f>
        <v>52.25</v>
      </c>
      <c r="DV42" s="119">
        <f ca="1">IFERROR(__xludf.DUMMYFUNCTION("""COMPUTED_VALUE"""),11.22)</f>
        <v>11.22</v>
      </c>
      <c r="DW42" s="119">
        <f ca="1">IFERROR(__xludf.DUMMYFUNCTION("""COMPUTED_VALUE"""),0.068)</f>
        <v>6.8000000000000005E-2</v>
      </c>
      <c r="DX42" s="119">
        <f ca="1">IFERROR(__xludf.DUMMYFUNCTION("""COMPUTED_VALUE"""),24.32)</f>
        <v>24.32</v>
      </c>
      <c r="DY42" s="119">
        <f ca="1">IFERROR(__xludf.DUMMYFUNCTION("""COMPUTED_VALUE"""),753.41)</f>
        <v>753.41</v>
      </c>
      <c r="DZ42" s="119">
        <f ca="1">IFERROR(__xludf.DUMMYFUNCTION("""COMPUTED_VALUE"""),71.93)</f>
        <v>71.930000000000007</v>
      </c>
      <c r="EA42" s="119">
        <f ca="1">IFERROR(__xludf.DUMMYFUNCTION("""COMPUTED_VALUE"""),45.59)</f>
        <v>45.59</v>
      </c>
      <c r="EB42" s="119">
        <f ca="1">IFERROR(__xludf.DUMMYFUNCTION("""COMPUTED_VALUE"""),70.35)</f>
        <v>70.349999999999994</v>
      </c>
      <c r="EC42" s="119">
        <f ca="1">IFERROR(__xludf.DUMMYFUNCTION("""COMPUTED_VALUE"""),71.82)</f>
        <v>71.819999999999993</v>
      </c>
      <c r="ED42" s="119">
        <f ca="1">IFERROR(__xludf.DUMMYFUNCTION("""COMPUTED_VALUE"""),36.86)</f>
        <v>36.86</v>
      </c>
      <c r="EE42" s="119">
        <f ca="1">IFERROR(__xludf.DUMMYFUNCTION("""COMPUTED_VALUE"""),81.73)</f>
        <v>81.73</v>
      </c>
      <c r="EF42" s="119">
        <f ca="1">IFERROR(__xludf.DUMMYFUNCTION("""COMPUTED_VALUE"""),163.94)</f>
        <v>163.94</v>
      </c>
      <c r="EG42" s="119">
        <f ca="1">IFERROR(__xludf.DUMMYFUNCTION("""COMPUTED_VALUE"""),63.62)</f>
        <v>63.62</v>
      </c>
      <c r="EH42" s="119">
        <f ca="1">IFERROR(__xludf.DUMMYFUNCTION("""COMPUTED_VALUE"""),98.27)</f>
        <v>98.27</v>
      </c>
      <c r="EI42" s="119">
        <f ca="1">IFERROR(__xludf.DUMMYFUNCTION("""COMPUTED_VALUE"""),129.85)</f>
        <v>129.85</v>
      </c>
      <c r="EJ42" s="117" t="str">
        <f ca="1">IFERROR(__xludf.DUMMYFUNCTION("""COMPUTED_VALUE"""),"")</f>
        <v/>
      </c>
      <c r="EK42" s="117" t="str">
        <f ca="1">IFERROR(__xludf.DUMMYFUNCTION("""COMPUTED_VALUE"""),"")</f>
        <v/>
      </c>
      <c r="EL42" s="117" t="str">
        <f ca="1">IFERROR(__xludf.DUMMYFUNCTION("""COMPUTED_VALUE"""),"")</f>
        <v/>
      </c>
      <c r="EM42" s="117" t="str">
        <f ca="1">IFERROR(__xludf.DUMMYFUNCTION("""COMPUTED_VALUE"""),"")</f>
        <v/>
      </c>
      <c r="EN42" s="117" t="str">
        <f ca="1">IFERROR(__xludf.DUMMYFUNCTION("""COMPUTED_VALUE"""),"")</f>
        <v/>
      </c>
      <c r="EO42" s="117" t="str">
        <f ca="1">IFERROR(__xludf.DUMMYFUNCTION("""COMPUTED_VALUE"""),"")</f>
        <v/>
      </c>
      <c r="EP42" s="117" t="str">
        <f ca="1">IFERROR(__xludf.DUMMYFUNCTION("""COMPUTED_VALUE"""),"")</f>
        <v/>
      </c>
      <c r="EQ42" s="117" t="str">
        <f ca="1">IFERROR(__xludf.DUMMYFUNCTION("""COMPUTED_VALUE"""),"")</f>
        <v/>
      </c>
      <c r="ER42" s="117" t="str">
        <f ca="1">IFERROR(__xludf.DUMMYFUNCTION("""COMPUTED_VALUE"""),"")</f>
        <v/>
      </c>
      <c r="ES42" s="117" t="str">
        <f ca="1">IFERROR(__xludf.DUMMYFUNCTION("""COMPUTED_VALUE"""),"")</f>
        <v/>
      </c>
      <c r="ET42" s="117" t="str">
        <f ca="1">IFERROR(__xludf.DUMMYFUNCTION("""COMPUTED_VALUE"""),"")</f>
        <v/>
      </c>
      <c r="EU42" s="117" t="str">
        <f ca="1">IFERROR(__xludf.DUMMYFUNCTION("""COMPUTED_VALUE"""),"")</f>
        <v/>
      </c>
      <c r="EV42" s="117" t="str">
        <f ca="1">IFERROR(__xludf.DUMMYFUNCTION("""COMPUTED_VALUE"""),"")</f>
        <v/>
      </c>
      <c r="EW42" s="117" t="str">
        <f ca="1">IFERROR(__xludf.DUMMYFUNCTION("""COMPUTED_VALUE"""),"")</f>
        <v/>
      </c>
      <c r="EX42" s="117" t="str">
        <f ca="1">IFERROR(__xludf.DUMMYFUNCTION("""COMPUTED_VALUE"""),"")</f>
        <v/>
      </c>
      <c r="EY42" s="117" t="str">
        <f ca="1">IFERROR(__xludf.DUMMYFUNCTION("""COMPUTED_VALUE"""),"")</f>
        <v/>
      </c>
      <c r="EZ42" s="117" t="str">
        <f ca="1">IFERROR(__xludf.DUMMYFUNCTION("""COMPUTED_VALUE"""),"")</f>
        <v/>
      </c>
      <c r="FA42" s="117" t="str">
        <f ca="1">IFERROR(__xludf.DUMMYFUNCTION("""COMPUTED_VALUE"""),"")</f>
        <v/>
      </c>
      <c r="FB42" s="117" t="str">
        <f ca="1">IFERROR(__xludf.DUMMYFUNCTION("""COMPUTED_VALUE"""),"")</f>
        <v/>
      </c>
      <c r="FC42" s="117" t="str">
        <f ca="1">IFERROR(__xludf.DUMMYFUNCTION("""COMPUTED_VALUE"""),"")</f>
        <v/>
      </c>
      <c r="FD42" s="117" t="str">
        <f ca="1">IFERROR(__xludf.DUMMYFUNCTION("""COMPUTED_VALUE"""),"")</f>
        <v/>
      </c>
      <c r="FE42" s="117" t="str">
        <f ca="1">IFERROR(__xludf.DUMMYFUNCTION("""COMPUTED_VALUE"""),"")</f>
        <v/>
      </c>
      <c r="FF42" s="117" t="str">
        <f ca="1">IFERROR(__xludf.DUMMYFUNCTION("""COMPUTED_VALUE"""),"")</f>
        <v/>
      </c>
      <c r="FG42" s="117" t="str">
        <f ca="1">IFERROR(__xludf.DUMMYFUNCTION("""COMPUTED_VALUE"""),"")</f>
        <v/>
      </c>
      <c r="FH42" s="117" t="str">
        <f ca="1">IFERROR(__xludf.DUMMYFUNCTION("""COMPUTED_VALUE"""),"")</f>
        <v/>
      </c>
      <c r="FI42" s="117" t="str">
        <f ca="1">IFERROR(__xludf.DUMMYFUNCTION("""COMPUTED_VALUE"""),"")</f>
        <v/>
      </c>
      <c r="FJ42" s="117" t="str">
        <f ca="1">IFERROR(__xludf.DUMMYFUNCTION("""COMPUTED_VALUE"""),"")</f>
        <v/>
      </c>
      <c r="FK42" s="117" t="str">
        <f ca="1">IFERROR(__xludf.DUMMYFUNCTION("""COMPUTED_VALUE"""),"")</f>
        <v/>
      </c>
      <c r="FL42" s="117" t="str">
        <f ca="1">IFERROR(__xludf.DUMMYFUNCTION("""COMPUTED_VALUE"""),"")</f>
        <v/>
      </c>
      <c r="FM42" s="117" t="str">
        <f ca="1">IFERROR(__xludf.DUMMYFUNCTION("""COMPUTED_VALUE"""),"")</f>
        <v/>
      </c>
      <c r="FN42" s="117" t="str">
        <f ca="1">IFERROR(__xludf.DUMMYFUNCTION("""COMPUTED_VALUE"""),"")</f>
        <v/>
      </c>
      <c r="FO42" s="117" t="str">
        <f ca="1">IFERROR(__xludf.DUMMYFUNCTION("""COMPUTED_VALUE"""),"")</f>
        <v/>
      </c>
    </row>
    <row r="43" spans="1:171" ht="15.75" customHeight="1" x14ac:dyDescent="0.15">
      <c r="A43" s="115">
        <f ca="1">IFERROR(__xludf.DUMMYFUNCTION("""COMPUTED_VALUE"""),44635)</f>
        <v>44635</v>
      </c>
      <c r="B43" s="119">
        <f ca="1">IFERROR(__xludf.DUMMYFUNCTION("""COMPUTED_VALUE"""),2947.33)</f>
        <v>2947.33</v>
      </c>
      <c r="C43" s="119">
        <f ca="1">IFERROR(__xludf.DUMMYFUNCTION("""COMPUTED_VALUE"""),192.03)</f>
        <v>192.03</v>
      </c>
      <c r="D43" s="119">
        <f ca="1">IFERROR(__xludf.DUMMYFUNCTION("""COMPUTED_VALUE"""),801.89)</f>
        <v>801.89</v>
      </c>
      <c r="E43" s="119">
        <f ca="1">IFERROR(__xludf.DUMMYFUNCTION("""COMPUTED_VALUE"""),298)</f>
        <v>298</v>
      </c>
      <c r="F43" s="119">
        <f ca="1">IFERROR(__xludf.DUMMYFUNCTION("""COMPUTED_VALUE"""),8.92)</f>
        <v>8.92</v>
      </c>
      <c r="G43" s="119">
        <f ca="1">IFERROR(__xludf.DUMMYFUNCTION("""COMPUTED_VALUE"""),155.09)</f>
        <v>155.09</v>
      </c>
      <c r="H43" s="119">
        <f ca="1">IFERROR(__xludf.DUMMYFUNCTION("""COMPUTED_VALUE"""),21.2)</f>
        <v>21.2</v>
      </c>
      <c r="I43" s="119">
        <f ca="1">IFERROR(__xludf.DUMMYFUNCTION("""COMPUTED_VALUE"""),18.87)</f>
        <v>18.87</v>
      </c>
      <c r="J43" s="119">
        <f ca="1">IFERROR(__xludf.DUMMYFUNCTION("""COMPUTED_VALUE"""),0.13)</f>
        <v>0.13</v>
      </c>
      <c r="K43" s="119">
        <f ca="1">IFERROR(__xludf.DUMMYFUNCTION("""COMPUTED_VALUE"""),19.08)</f>
        <v>19.079999999999998</v>
      </c>
      <c r="L43" s="119">
        <f ca="1">IFERROR(__xludf.DUMMYFUNCTION("""COMPUTED_VALUE"""),106)</f>
        <v>106</v>
      </c>
      <c r="M43" s="119">
        <f ca="1">IFERROR(__xludf.DUMMYFUNCTION("""COMPUTED_VALUE"""),39237.39)</f>
        <v>39237.39</v>
      </c>
      <c r="N43" s="119">
        <f ca="1">IFERROR(__xludf.DUMMYFUNCTION("""COMPUTED_VALUE"""),343.75)</f>
        <v>343.75</v>
      </c>
      <c r="O43" s="119">
        <f ca="1">IFERROR(__xludf.DUMMYFUNCTION("""COMPUTED_VALUE"""),287.15)</f>
        <v>287.14999999999998</v>
      </c>
      <c r="P43" s="119">
        <f ca="1">IFERROR(__xludf.DUMMYFUNCTION("""COMPUTED_VALUE"""),22.73)</f>
        <v>22.73</v>
      </c>
      <c r="Q43" s="119">
        <f ca="1">IFERROR(__xludf.DUMMYFUNCTION("""COMPUTED_VALUE"""),23.75)</f>
        <v>23.75</v>
      </c>
      <c r="R43" s="119">
        <f ca="1">IFERROR(__xludf.DUMMYFUNCTION("""COMPUTED_VALUE"""),45.98)</f>
        <v>45.98</v>
      </c>
      <c r="S43" s="119">
        <f ca="1">IFERROR(__xludf.DUMMYFUNCTION("""COMPUTED_VALUE"""),26.34)</f>
        <v>26.34</v>
      </c>
      <c r="T43" s="119">
        <f ca="1">IFERROR(__xludf.DUMMYFUNCTION("""COMPUTED_VALUE"""),21.25)</f>
        <v>21.25</v>
      </c>
      <c r="U43" s="119">
        <f ca="1">IFERROR(__xludf.DUMMYFUNCTION("""COMPUTED_VALUE"""),40.09)</f>
        <v>40.090000000000003</v>
      </c>
      <c r="V43" s="119">
        <f ca="1">IFERROR(__xludf.DUMMYFUNCTION("""COMPUTED_VALUE"""),13.8)</f>
        <v>13.8</v>
      </c>
      <c r="W43" s="119">
        <f ca="1">IFERROR(__xludf.DUMMYFUNCTION("""COMPUTED_VALUE"""),232.57)</f>
        <v>232.57</v>
      </c>
      <c r="X43" s="119">
        <f ca="1">IFERROR(__xludf.DUMMYFUNCTION("""COMPUTED_VALUE"""),2593.21)</f>
        <v>2593.21</v>
      </c>
      <c r="Y43" s="119">
        <f ca="1">IFERROR(__xludf.DUMMYFUNCTION("""COMPUTED_VALUE"""),46.35)</f>
        <v>46.35</v>
      </c>
      <c r="Z43" s="119">
        <f ca="1">IFERROR(__xludf.DUMMYFUNCTION("""COMPUTED_VALUE"""),40.95)</f>
        <v>40.950000000000003</v>
      </c>
      <c r="AA43" s="119">
        <f ca="1">IFERROR(__xludf.DUMMYFUNCTION("""COMPUTED_VALUE"""),85.94)</f>
        <v>85.94</v>
      </c>
      <c r="AB43" s="119">
        <f ca="1">IFERROR(__xludf.DUMMYFUNCTION("""COMPUTED_VALUE"""),4.43)</f>
        <v>4.43</v>
      </c>
      <c r="AC43" s="119">
        <f ca="1">IFERROR(__xludf.DUMMYFUNCTION("""COMPUTED_VALUE"""),71.82)</f>
        <v>71.819999999999993</v>
      </c>
      <c r="AD43" s="119">
        <f ca="1">IFERROR(__xludf.DUMMYFUNCTION("""COMPUTED_VALUE"""),11.64)</f>
        <v>11.64</v>
      </c>
      <c r="AE43" s="119">
        <f ca="1">IFERROR(__xludf.DUMMYFUNCTION("""COMPUTED_VALUE"""),5.37)</f>
        <v>5.37</v>
      </c>
      <c r="AF43" s="119">
        <f ca="1">IFERROR(__xludf.DUMMYFUNCTION("""COMPUTED_VALUE"""),37.8)</f>
        <v>37.799999999999997</v>
      </c>
      <c r="AG43" s="119">
        <f ca="1">IFERROR(__xludf.DUMMYFUNCTION("""COMPUTED_VALUE"""),11.32)</f>
        <v>11.32</v>
      </c>
      <c r="AH43" s="119">
        <f ca="1">IFERROR(__xludf.DUMMYFUNCTION("""COMPUTED_VALUE"""),1.98)</f>
        <v>1.98</v>
      </c>
      <c r="AI43" s="119">
        <f ca="1">IFERROR(__xludf.DUMMYFUNCTION("""COMPUTED_VALUE"""),2.63)</f>
        <v>2.63</v>
      </c>
      <c r="AJ43" s="119">
        <f ca="1">IFERROR(__xludf.DUMMYFUNCTION("""COMPUTED_VALUE"""),87.55)</f>
        <v>87.55</v>
      </c>
      <c r="AK43" s="119">
        <f ca="1">IFERROR(__xludf.DUMMYFUNCTION("""COMPUTED_VALUE"""),229.73)</f>
        <v>229.73</v>
      </c>
      <c r="AL43" s="119">
        <f ca="1">IFERROR(__xludf.DUMMYFUNCTION("""COMPUTED_VALUE"""),11.5)</f>
        <v>11.5</v>
      </c>
      <c r="AM43" s="119">
        <f ca="1">IFERROR(__xludf.DUMMYFUNCTION("""COMPUTED_VALUE"""),41.5)</f>
        <v>41.5</v>
      </c>
      <c r="AN43" s="119">
        <f ca="1">IFERROR(__xludf.DUMMYFUNCTION("""COMPUTED_VALUE"""),332.55)</f>
        <v>332.55</v>
      </c>
      <c r="AO43" s="119">
        <f ca="1">IFERROR(__xludf.DUMMYFUNCTION("""COMPUTED_VALUE"""),98.1)</f>
        <v>98.1</v>
      </c>
      <c r="AP43" s="119">
        <f ca="1">IFERROR(__xludf.DUMMYFUNCTION("""COMPUTED_VALUE"""),79.51)</f>
        <v>79.510000000000005</v>
      </c>
      <c r="AQ43" s="119">
        <f ca="1">IFERROR(__xludf.DUMMYFUNCTION("""COMPUTED_VALUE"""),39.42)</f>
        <v>39.42</v>
      </c>
      <c r="AR43" s="118">
        <f ca="1">IFERROR(__xludf.DUMMYFUNCTION("""COMPUTED_VALUE"""),103.7345)</f>
        <v>103.7345</v>
      </c>
      <c r="AS43" s="119">
        <f ca="1">IFERROR(__xludf.DUMMYFUNCTION("""COMPUTED_VALUE"""),19.97)</f>
        <v>19.97</v>
      </c>
      <c r="AT43" s="119">
        <f ca="1">IFERROR(__xludf.DUMMYFUNCTION("""COMPUTED_VALUE"""),71.25)</f>
        <v>71.25</v>
      </c>
      <c r="AU43" s="119">
        <f ca="1">IFERROR(__xludf.DUMMYFUNCTION("""COMPUTED_VALUE"""),61.2)</f>
        <v>61.2</v>
      </c>
      <c r="AV43" s="119">
        <f ca="1">IFERROR(__xludf.DUMMYFUNCTION("""COMPUTED_VALUE"""),134.2)</f>
        <v>134.19999999999999</v>
      </c>
      <c r="AW43" s="119">
        <f ca="1">IFERROR(__xludf.DUMMYFUNCTION("""COMPUTED_VALUE"""),124.41)</f>
        <v>124.41</v>
      </c>
      <c r="AX43" s="119">
        <f ca="1">IFERROR(__xludf.DUMMYFUNCTION("""COMPUTED_VALUE"""),15.1)</f>
        <v>15.1</v>
      </c>
      <c r="AY43" s="119">
        <f ca="1">IFERROR(__xludf.DUMMYFUNCTION("""COMPUTED_VALUE"""),37.87)</f>
        <v>37.869999999999997</v>
      </c>
      <c r="AZ43" s="119">
        <f ca="1">IFERROR(__xludf.DUMMYFUNCTION("""COMPUTED_VALUE"""),0)</f>
        <v>0</v>
      </c>
      <c r="BA43" s="119">
        <f ca="1">IFERROR(__xludf.DUMMYFUNCTION("""COMPUTED_VALUE"""),0)</f>
        <v>0</v>
      </c>
      <c r="BB43" s="119">
        <f ca="1">IFERROR(__xludf.DUMMYFUNCTION("""COMPUTED_VALUE"""),10.3)</f>
        <v>10.3</v>
      </c>
      <c r="BC43" s="119">
        <f ca="1">IFERROR(__xludf.DUMMYFUNCTION("""COMPUTED_VALUE"""),10.05)</f>
        <v>10.050000000000001</v>
      </c>
      <c r="BD43" s="119">
        <f ca="1">IFERROR(__xludf.DUMMYFUNCTION("""COMPUTED_VALUE"""),126.2)</f>
        <v>126.2</v>
      </c>
      <c r="BE43" s="119">
        <f ca="1">IFERROR(__xludf.DUMMYFUNCTION("""COMPUTED_VALUE"""),109.4)</f>
        <v>109.4</v>
      </c>
      <c r="BF43" s="119">
        <f ca="1">IFERROR(__xludf.DUMMYFUNCTION("""COMPUTED_VALUE"""),7.01)</f>
        <v>7.01</v>
      </c>
      <c r="BG43" s="119">
        <f ca="1">IFERROR(__xludf.DUMMYFUNCTION("""COMPUTED_VALUE"""),540.06)</f>
        <v>540.05999999999995</v>
      </c>
      <c r="BH43" s="119">
        <f ca="1">IFERROR(__xludf.DUMMYFUNCTION("""COMPUTED_VALUE"""),245.17)</f>
        <v>245.17</v>
      </c>
      <c r="BI43" s="119">
        <f ca="1">IFERROR(__xludf.DUMMYFUNCTION("""COMPUTED_VALUE"""),231.56)</f>
        <v>231.56</v>
      </c>
      <c r="BJ43" s="119">
        <f ca="1">IFERROR(__xludf.DUMMYFUNCTION("""COMPUTED_VALUE"""),21.98)</f>
        <v>21.98</v>
      </c>
      <c r="BK43" s="119">
        <f ca="1">IFERROR(__xludf.DUMMYFUNCTION("""COMPUTED_VALUE"""),285.5)</f>
        <v>285.5</v>
      </c>
      <c r="BL43" s="119">
        <f ca="1">IFERROR(__xludf.DUMMYFUNCTION("""COMPUTED_VALUE"""),126.28)</f>
        <v>126.28</v>
      </c>
      <c r="BM43" s="119">
        <f ca="1">IFERROR(__xludf.DUMMYFUNCTION("""COMPUTED_VALUE"""),16.06)</f>
        <v>16.059999999999999</v>
      </c>
      <c r="BN43" s="119">
        <f ca="1">IFERROR(__xludf.DUMMYFUNCTION("""COMPUTED_VALUE"""),289.56)</f>
        <v>289.56</v>
      </c>
      <c r="BO43" s="119">
        <f ca="1">IFERROR(__xludf.DUMMYFUNCTION("""COMPUTED_VALUE"""),645.56)</f>
        <v>645.55999999999995</v>
      </c>
      <c r="BP43" s="119">
        <f ca="1">IFERROR(__xludf.DUMMYFUNCTION("""COMPUTED_VALUE"""),37)</f>
        <v>37</v>
      </c>
      <c r="BQ43" s="119">
        <f ca="1">IFERROR(__xludf.DUMMYFUNCTION("""COMPUTED_VALUE"""),8.2)</f>
        <v>8.1999999999999993</v>
      </c>
      <c r="BR43" s="119">
        <f ca="1">IFERROR(__xludf.DUMMYFUNCTION("""COMPUTED_VALUE"""),31.51)</f>
        <v>31.51</v>
      </c>
      <c r="BS43" s="119">
        <f ca="1">IFERROR(__xludf.DUMMYFUNCTION("""COMPUTED_VALUE"""),0.83)</f>
        <v>0.83</v>
      </c>
      <c r="BT43" s="119">
        <f ca="1">IFERROR(__xludf.DUMMYFUNCTION("""COMPUTED_VALUE"""),45.4)</f>
        <v>45.4</v>
      </c>
      <c r="BU43" s="119">
        <f ca="1">IFERROR(__xludf.DUMMYFUNCTION("""COMPUTED_VALUE"""),31)</f>
        <v>31</v>
      </c>
      <c r="BV43" s="119">
        <f ca="1">IFERROR(__xludf.DUMMYFUNCTION("""COMPUTED_VALUE"""),48.3)</f>
        <v>48.3</v>
      </c>
      <c r="BW43" s="119">
        <f ca="1">IFERROR(__xludf.DUMMYFUNCTION("""COMPUTED_VALUE"""),5.98)</f>
        <v>5.98</v>
      </c>
      <c r="BX43" s="119">
        <f ca="1">IFERROR(__xludf.DUMMYFUNCTION("""COMPUTED_VALUE"""),3.11)</f>
        <v>3.11</v>
      </c>
      <c r="BY43" s="119">
        <f ca="1">IFERROR(__xludf.DUMMYFUNCTION("""COMPUTED_VALUE"""),0)</f>
        <v>0</v>
      </c>
      <c r="BZ43" s="119">
        <f ca="1">IFERROR(__xludf.DUMMYFUNCTION("""COMPUTED_VALUE"""),13.9)</f>
        <v>13.9</v>
      </c>
      <c r="CA43" s="119">
        <f ca="1">IFERROR(__xludf.DUMMYFUNCTION("""COMPUTED_VALUE"""),3.5)</f>
        <v>3.5</v>
      </c>
      <c r="CB43" s="119">
        <f ca="1">IFERROR(__xludf.DUMMYFUNCTION("""COMPUTED_VALUE"""),4.86)</f>
        <v>4.8600000000000003</v>
      </c>
      <c r="CC43" s="119">
        <f ca="1">IFERROR(__xludf.DUMMYFUNCTION("""COMPUTED_VALUE"""),17.21)</f>
        <v>17.21</v>
      </c>
      <c r="CD43" s="119">
        <f ca="1">IFERROR(__xludf.DUMMYFUNCTION("""COMPUTED_VALUE"""),12.76)</f>
        <v>12.76</v>
      </c>
      <c r="CE43" s="119">
        <f ca="1">IFERROR(__xludf.DUMMYFUNCTION("""COMPUTED_VALUE"""),28.57)</f>
        <v>28.57</v>
      </c>
      <c r="CF43" s="119">
        <f ca="1">IFERROR(__xludf.DUMMYFUNCTION("""COMPUTED_VALUE"""),96.17)</f>
        <v>96.17</v>
      </c>
      <c r="CG43" s="119">
        <f ca="1">IFERROR(__xludf.DUMMYFUNCTION("""COMPUTED_VALUE"""),4.75)</f>
        <v>4.75</v>
      </c>
      <c r="CH43" s="119">
        <f ca="1">IFERROR(__xludf.DUMMYFUNCTION("""COMPUTED_VALUE"""),23.77)</f>
        <v>23.77</v>
      </c>
      <c r="CI43" s="119">
        <f ca="1">IFERROR(__xludf.DUMMYFUNCTION("""COMPUTED_VALUE"""),58.17)</f>
        <v>58.17</v>
      </c>
      <c r="CJ43" s="119">
        <f ca="1">IFERROR(__xludf.DUMMYFUNCTION("""COMPUTED_VALUE"""),14.54)</f>
        <v>14.54</v>
      </c>
      <c r="CK43" s="119">
        <f ca="1">IFERROR(__xludf.DUMMYFUNCTION("""COMPUTED_VALUE"""),11.53)</f>
        <v>11.53</v>
      </c>
      <c r="CL43" s="119">
        <f ca="1">IFERROR(__xludf.DUMMYFUNCTION("""COMPUTED_VALUE"""),2583.96)</f>
        <v>2583.96</v>
      </c>
      <c r="CM43" s="119">
        <f ca="1">IFERROR(__xludf.DUMMYFUNCTION("""COMPUTED_VALUE"""),6.7)</f>
        <v>6.7</v>
      </c>
      <c r="CN43" s="119">
        <f ca="1">IFERROR(__xludf.DUMMYFUNCTION("""COMPUTED_VALUE"""),127.6)</f>
        <v>127.6</v>
      </c>
      <c r="CO43" s="119">
        <f ca="1">IFERROR(__xludf.DUMMYFUNCTION("""COMPUTED_VALUE"""),100)</f>
        <v>100</v>
      </c>
      <c r="CP43" s="119">
        <f ca="1">IFERROR(__xludf.DUMMYFUNCTION("""COMPUTED_VALUE"""),54.39)</f>
        <v>54.39</v>
      </c>
      <c r="CQ43" s="119">
        <f ca="1">IFERROR(__xludf.DUMMYFUNCTION("""COMPUTED_VALUE"""),70100)</f>
        <v>70100</v>
      </c>
      <c r="CR43" s="119">
        <f ca="1">IFERROR(__xludf.DUMMYFUNCTION("""COMPUTED_VALUE"""),0.52)</f>
        <v>0.52</v>
      </c>
      <c r="CS43" s="119">
        <f ca="1">IFERROR(__xludf.DUMMYFUNCTION("""COMPUTED_VALUE"""),33.7)</f>
        <v>33.700000000000003</v>
      </c>
      <c r="CT43" s="119">
        <f ca="1">IFERROR(__xludf.DUMMYFUNCTION("""COMPUTED_VALUE"""),18.65)</f>
        <v>18.649999999999999</v>
      </c>
      <c r="CU43" s="119">
        <f ca="1">IFERROR(__xludf.DUMMYFUNCTION("""COMPUTED_VALUE"""),1924.6)</f>
        <v>1924.6</v>
      </c>
      <c r="CV43" s="119">
        <f ca="1">IFERROR(__xludf.DUMMYFUNCTION("""COMPUTED_VALUE"""),2.28)</f>
        <v>2.2799999999999998</v>
      </c>
      <c r="CW43" s="119">
        <f ca="1">IFERROR(__xludf.DUMMYFUNCTION("""COMPUTED_VALUE"""),2.17)</f>
        <v>2.17</v>
      </c>
      <c r="CX43" s="119">
        <f ca="1">IFERROR(__xludf.DUMMYFUNCTION("""COMPUTED_VALUE"""),13.69)</f>
        <v>13.69</v>
      </c>
      <c r="CY43" s="119">
        <f ca="1">IFERROR(__xludf.DUMMYFUNCTION("""COMPUTED_VALUE"""),0.05)</f>
        <v>0.05</v>
      </c>
      <c r="CZ43" s="119">
        <f ca="1">IFERROR(__xludf.DUMMYFUNCTION("""COMPUTED_VALUE"""),56.15)</f>
        <v>56.15</v>
      </c>
      <c r="DA43" s="119">
        <f ca="1">IFERROR(__xludf.DUMMYFUNCTION("""COMPUTED_VALUE"""),0.52)</f>
        <v>0.52</v>
      </c>
      <c r="DB43" s="119">
        <f ca="1">IFERROR(__xludf.DUMMYFUNCTION("""COMPUTED_VALUE"""),0.08)</f>
        <v>0.08</v>
      </c>
      <c r="DC43" s="119">
        <f ca="1">IFERROR(__xludf.DUMMYFUNCTION("""COMPUTED_VALUE"""),146.14)</f>
        <v>146.13999999999999</v>
      </c>
      <c r="DD43" s="119">
        <f ca="1">IFERROR(__xludf.DUMMYFUNCTION("""COMPUTED_VALUE"""),9.71)</f>
        <v>9.7100000000000009</v>
      </c>
      <c r="DE43" s="119">
        <f ca="1">IFERROR(__xludf.DUMMYFUNCTION("""COMPUTED_VALUE"""),7.69)</f>
        <v>7.69</v>
      </c>
      <c r="DF43" s="119">
        <f ca="1">IFERROR(__xludf.DUMMYFUNCTION("""COMPUTED_VALUE"""),52.45)</f>
        <v>52.45</v>
      </c>
      <c r="DG43" s="119">
        <f ca="1">IFERROR(__xludf.DUMMYFUNCTION("""COMPUTED_VALUE"""),4.99)</f>
        <v>4.99</v>
      </c>
      <c r="DH43" s="119">
        <f ca="1">IFERROR(__xludf.DUMMYFUNCTION("""COMPUTED_VALUE"""),11.17)</f>
        <v>11.17</v>
      </c>
      <c r="DI43" s="119">
        <f ca="1">IFERROR(__xludf.DUMMYFUNCTION("""COMPUTED_VALUE"""),145.78)</f>
        <v>145.78</v>
      </c>
      <c r="DJ43" s="119">
        <f ca="1">IFERROR(__xludf.DUMMYFUNCTION("""COMPUTED_VALUE"""),10.65)</f>
        <v>10.65</v>
      </c>
      <c r="DK43" s="119">
        <f ca="1">IFERROR(__xludf.DUMMYFUNCTION("""COMPUTED_VALUE"""),1)</f>
        <v>1</v>
      </c>
      <c r="DL43" s="119">
        <f ca="1">IFERROR(__xludf.DUMMYFUNCTION("""COMPUTED_VALUE"""),23.75)</f>
        <v>23.75</v>
      </c>
      <c r="DM43" s="119">
        <f ca="1">IFERROR(__xludf.DUMMYFUNCTION("""COMPUTED_VALUE"""),448.67)</f>
        <v>448.67</v>
      </c>
      <c r="DN43" s="119">
        <f ca="1">IFERROR(__xludf.DUMMYFUNCTION("""COMPUTED_VALUE"""),143.95)</f>
        <v>143.94999999999999</v>
      </c>
      <c r="DO43" s="119">
        <f ca="1">IFERROR(__xludf.DUMMYFUNCTION("""COMPUTED_VALUE"""),322.4)</f>
        <v>322.39999999999998</v>
      </c>
      <c r="DP43" s="119">
        <f ca="1">IFERROR(__xludf.DUMMYFUNCTION("""COMPUTED_VALUE"""),13.51)</f>
        <v>13.51</v>
      </c>
      <c r="DQ43" s="119">
        <f ca="1">IFERROR(__xludf.DUMMYFUNCTION("""COMPUTED_VALUE"""),76.76)</f>
        <v>76.760000000000005</v>
      </c>
      <c r="DR43" s="119">
        <f ca="1">IFERROR(__xludf.DUMMYFUNCTION("""COMPUTED_VALUE"""),2.83)</f>
        <v>2.83</v>
      </c>
      <c r="DS43" s="119">
        <f ca="1">IFERROR(__xludf.DUMMYFUNCTION("""COMPUTED_VALUE"""),2.82)</f>
        <v>2.82</v>
      </c>
      <c r="DT43" s="119">
        <f ca="1">IFERROR(__xludf.DUMMYFUNCTION("""COMPUTED_VALUE"""),4.18)</f>
        <v>4.18</v>
      </c>
      <c r="DU43" s="119">
        <f ca="1">IFERROR(__xludf.DUMMYFUNCTION("""COMPUTED_VALUE"""),52.21)</f>
        <v>52.21</v>
      </c>
      <c r="DV43" s="119">
        <f ca="1">IFERROR(__xludf.DUMMYFUNCTION("""COMPUTED_VALUE"""),10.08)</f>
        <v>10.08</v>
      </c>
      <c r="DW43" s="119">
        <f ca="1">IFERROR(__xludf.DUMMYFUNCTION("""COMPUTED_VALUE"""),0.058)</f>
        <v>5.8000000000000003E-2</v>
      </c>
      <c r="DX43" s="119">
        <f ca="1">IFERROR(__xludf.DUMMYFUNCTION("""COMPUTED_VALUE"""),24.95)</f>
        <v>24.95</v>
      </c>
      <c r="DY43" s="119">
        <f ca="1">IFERROR(__xludf.DUMMYFUNCTION("""COMPUTED_VALUE"""),753.41)</f>
        <v>753.41</v>
      </c>
      <c r="DZ43" s="119">
        <f ca="1">IFERROR(__xludf.DUMMYFUNCTION("""COMPUTED_VALUE"""),73.8)</f>
        <v>73.8</v>
      </c>
      <c r="EA43" s="119">
        <f ca="1">IFERROR(__xludf.DUMMYFUNCTION("""COMPUTED_VALUE"""),45.95)</f>
        <v>45.95</v>
      </c>
      <c r="EB43" s="119">
        <f ca="1">IFERROR(__xludf.DUMMYFUNCTION("""COMPUTED_VALUE"""),71.25)</f>
        <v>71.25</v>
      </c>
      <c r="EC43" s="119">
        <f ca="1">IFERROR(__xludf.DUMMYFUNCTION("""COMPUTED_VALUE"""),73.43)</f>
        <v>73.430000000000007</v>
      </c>
      <c r="ED43" s="119">
        <f ca="1">IFERROR(__xludf.DUMMYFUNCTION("""COMPUTED_VALUE"""),37.38)</f>
        <v>37.380000000000003</v>
      </c>
      <c r="EE43" s="119">
        <f ca="1">IFERROR(__xludf.DUMMYFUNCTION("""COMPUTED_VALUE"""),82.67)</f>
        <v>82.67</v>
      </c>
      <c r="EF43" s="119">
        <f ca="1">IFERROR(__xludf.DUMMYFUNCTION("""COMPUTED_VALUE"""),169.43)</f>
        <v>169.43</v>
      </c>
      <c r="EG43" s="119">
        <f ca="1">IFERROR(__xludf.DUMMYFUNCTION("""COMPUTED_VALUE"""),64.84)</f>
        <v>64.84</v>
      </c>
      <c r="EH43" s="119">
        <f ca="1">IFERROR(__xludf.DUMMYFUNCTION("""COMPUTED_VALUE"""),99.83)</f>
        <v>99.83</v>
      </c>
      <c r="EI43" s="119">
        <f ca="1">IFERROR(__xludf.DUMMYFUNCTION("""COMPUTED_VALUE"""),132.44)</f>
        <v>132.44</v>
      </c>
      <c r="EJ43" s="119">
        <f ca="1">IFERROR(__xludf.DUMMYFUNCTION("""COMPUTED_VALUE"""),42.46)</f>
        <v>42.46</v>
      </c>
      <c r="EK43" s="119">
        <f ca="1">IFERROR(__xludf.DUMMYFUNCTION("""COMPUTED_VALUE"""),246)</f>
        <v>246</v>
      </c>
      <c r="EL43" s="119">
        <f ca="1">IFERROR(__xludf.DUMMYFUNCTION("""COMPUTED_VALUE"""),55)</f>
        <v>55</v>
      </c>
      <c r="EM43" s="119">
        <f ca="1">IFERROR(__xludf.DUMMYFUNCTION("""COMPUTED_VALUE"""),43.15)</f>
        <v>43.15</v>
      </c>
      <c r="EN43" s="119">
        <f ca="1">IFERROR(__xludf.DUMMYFUNCTION("""COMPUTED_VALUE"""),1603)</f>
        <v>1603</v>
      </c>
      <c r="EO43" s="119">
        <f ca="1">IFERROR(__xludf.DUMMYFUNCTION("""COMPUTED_VALUE"""),35.5)</f>
        <v>35.5</v>
      </c>
      <c r="EP43" s="119">
        <f ca="1">IFERROR(__xludf.DUMMYFUNCTION("""COMPUTED_VALUE"""),7.65)</f>
        <v>7.65</v>
      </c>
      <c r="EQ43" s="119">
        <f ca="1">IFERROR(__xludf.DUMMYFUNCTION("""COMPUTED_VALUE"""),0.58)</f>
        <v>0.57999999999999996</v>
      </c>
      <c r="ER43" s="117" t="str">
        <f ca="1">IFERROR(__xludf.DUMMYFUNCTION("""COMPUTED_VALUE"""),"")</f>
        <v/>
      </c>
      <c r="ES43" s="117" t="str">
        <f ca="1">IFERROR(__xludf.DUMMYFUNCTION("""COMPUTED_VALUE"""),"")</f>
        <v/>
      </c>
      <c r="ET43" s="117" t="str">
        <f ca="1">IFERROR(__xludf.DUMMYFUNCTION("""COMPUTED_VALUE"""),"")</f>
        <v/>
      </c>
      <c r="EU43" s="117" t="str">
        <f ca="1">IFERROR(__xludf.DUMMYFUNCTION("""COMPUTED_VALUE"""),"")</f>
        <v/>
      </c>
      <c r="EV43" s="117" t="str">
        <f ca="1">IFERROR(__xludf.DUMMYFUNCTION("""COMPUTED_VALUE"""),"")</f>
        <v/>
      </c>
      <c r="EW43" s="117" t="str">
        <f ca="1">IFERROR(__xludf.DUMMYFUNCTION("""COMPUTED_VALUE"""),"")</f>
        <v/>
      </c>
      <c r="EX43" s="117" t="str">
        <f ca="1">IFERROR(__xludf.DUMMYFUNCTION("""COMPUTED_VALUE"""),"")</f>
        <v/>
      </c>
      <c r="EY43" s="117" t="str">
        <f ca="1">IFERROR(__xludf.DUMMYFUNCTION("""COMPUTED_VALUE"""),"")</f>
        <v/>
      </c>
      <c r="EZ43" s="117" t="str">
        <f ca="1">IFERROR(__xludf.DUMMYFUNCTION("""COMPUTED_VALUE"""),"")</f>
        <v/>
      </c>
      <c r="FA43" s="117" t="str">
        <f ca="1">IFERROR(__xludf.DUMMYFUNCTION("""COMPUTED_VALUE"""),"")</f>
        <v/>
      </c>
      <c r="FB43" s="117" t="str">
        <f ca="1">IFERROR(__xludf.DUMMYFUNCTION("""COMPUTED_VALUE"""),"")</f>
        <v/>
      </c>
      <c r="FC43" s="117" t="str">
        <f ca="1">IFERROR(__xludf.DUMMYFUNCTION("""COMPUTED_VALUE"""),"")</f>
        <v/>
      </c>
      <c r="FD43" s="117" t="str">
        <f ca="1">IFERROR(__xludf.DUMMYFUNCTION("""COMPUTED_VALUE"""),"")</f>
        <v/>
      </c>
      <c r="FE43" s="117" t="str">
        <f ca="1">IFERROR(__xludf.DUMMYFUNCTION("""COMPUTED_VALUE"""),"")</f>
        <v/>
      </c>
      <c r="FF43" s="117" t="str">
        <f ca="1">IFERROR(__xludf.DUMMYFUNCTION("""COMPUTED_VALUE"""),"")</f>
        <v/>
      </c>
      <c r="FG43" s="117" t="str">
        <f ca="1">IFERROR(__xludf.DUMMYFUNCTION("""COMPUTED_VALUE"""),"")</f>
        <v/>
      </c>
      <c r="FH43" s="117" t="str">
        <f ca="1">IFERROR(__xludf.DUMMYFUNCTION("""COMPUTED_VALUE"""),"")</f>
        <v/>
      </c>
      <c r="FI43" s="117" t="str">
        <f ca="1">IFERROR(__xludf.DUMMYFUNCTION("""COMPUTED_VALUE"""),"")</f>
        <v/>
      </c>
      <c r="FJ43" s="117" t="str">
        <f ca="1">IFERROR(__xludf.DUMMYFUNCTION("""COMPUTED_VALUE"""),"")</f>
        <v/>
      </c>
      <c r="FK43" s="117" t="str">
        <f ca="1">IFERROR(__xludf.DUMMYFUNCTION("""COMPUTED_VALUE"""),"")</f>
        <v/>
      </c>
      <c r="FL43" s="117" t="str">
        <f ca="1">IFERROR(__xludf.DUMMYFUNCTION("""COMPUTED_VALUE"""),"")</f>
        <v/>
      </c>
      <c r="FM43" s="117" t="str">
        <f ca="1">IFERROR(__xludf.DUMMYFUNCTION("""COMPUTED_VALUE"""),"")</f>
        <v/>
      </c>
      <c r="FN43" s="117" t="str">
        <f ca="1">IFERROR(__xludf.DUMMYFUNCTION("""COMPUTED_VALUE"""),"")</f>
        <v/>
      </c>
      <c r="FO43" s="117" t="str">
        <f ca="1">IFERROR(__xludf.DUMMYFUNCTION("""COMPUTED_VALUE"""),"")</f>
        <v/>
      </c>
    </row>
    <row r="44" spans="1:171" ht="15.75" customHeight="1" x14ac:dyDescent="0.15">
      <c r="A44" s="115">
        <f ca="1">IFERROR(__xludf.DUMMYFUNCTION("""COMPUTED_VALUE"""),44636)</f>
        <v>44636</v>
      </c>
      <c r="B44" s="119">
        <f ca="1">IFERROR(__xludf.DUMMYFUNCTION("""COMPUTED_VALUE"""),3062.08)</f>
        <v>3062.08</v>
      </c>
      <c r="C44" s="119">
        <f ca="1">IFERROR(__xludf.DUMMYFUNCTION("""COMPUTED_VALUE"""),203.63)</f>
        <v>203.63</v>
      </c>
      <c r="D44" s="119">
        <f ca="1">IFERROR(__xludf.DUMMYFUNCTION("""COMPUTED_VALUE"""),840.23)</f>
        <v>840.23</v>
      </c>
      <c r="E44" s="119">
        <f ca="1">IFERROR(__xludf.DUMMYFUNCTION("""COMPUTED_VALUE"""),367)</f>
        <v>367</v>
      </c>
      <c r="F44" s="119">
        <f ca="1">IFERROR(__xludf.DUMMYFUNCTION("""COMPUTED_VALUE"""),9.19)</f>
        <v>9.19</v>
      </c>
      <c r="G44" s="119">
        <f ca="1">IFERROR(__xludf.DUMMYFUNCTION("""COMPUTED_VALUE"""),159.59)</f>
        <v>159.59</v>
      </c>
      <c r="H44" s="119">
        <f ca="1">IFERROR(__xludf.DUMMYFUNCTION("""COMPUTED_VALUE"""),21.2)</f>
        <v>21.2</v>
      </c>
      <c r="I44" s="119">
        <f ca="1">IFERROR(__xludf.DUMMYFUNCTION("""COMPUTED_VALUE"""),9.25)</f>
        <v>9.25</v>
      </c>
      <c r="J44" s="119">
        <f ca="1">IFERROR(__xludf.DUMMYFUNCTION("""COMPUTED_VALUE"""),0.23)</f>
        <v>0.23</v>
      </c>
      <c r="K44" s="119">
        <f ca="1">IFERROR(__xludf.DUMMYFUNCTION("""COMPUTED_VALUE"""),28.3)</f>
        <v>28.3</v>
      </c>
      <c r="L44" s="119">
        <f ca="1">IFERROR(__xludf.DUMMYFUNCTION("""COMPUTED_VALUE"""),140)</f>
        <v>140</v>
      </c>
      <c r="M44" s="119">
        <f ca="1">IFERROR(__xludf.DUMMYFUNCTION("""COMPUTED_VALUE"""),41014.15)</f>
        <v>41014.15</v>
      </c>
      <c r="N44" s="119">
        <f ca="1">IFERROR(__xludf.DUMMYFUNCTION("""COMPUTED_VALUE"""),357.53)</f>
        <v>357.53</v>
      </c>
      <c r="O44" s="119">
        <f ca="1">IFERROR(__xludf.DUMMYFUNCTION("""COMPUTED_VALUE"""),294.39)</f>
        <v>294.39</v>
      </c>
      <c r="P44" s="119">
        <f ca="1">IFERROR(__xludf.DUMMYFUNCTION("""COMPUTED_VALUE"""),25.56)</f>
        <v>25.56</v>
      </c>
      <c r="Q44" s="119">
        <f ca="1">IFERROR(__xludf.DUMMYFUNCTION("""COMPUTED_VALUE"""),24.25)</f>
        <v>24.25</v>
      </c>
      <c r="R44" s="119">
        <f ca="1">IFERROR(__xludf.DUMMYFUNCTION("""COMPUTED_VALUE"""),64.08)</f>
        <v>64.08</v>
      </c>
      <c r="S44" s="119">
        <f ca="1">IFERROR(__xludf.DUMMYFUNCTION("""COMPUTED_VALUE"""),27.5)</f>
        <v>27.5</v>
      </c>
      <c r="T44" s="119">
        <f ca="1">IFERROR(__xludf.DUMMYFUNCTION("""COMPUTED_VALUE"""),27.53)</f>
        <v>27.53</v>
      </c>
      <c r="U44" s="119">
        <f ca="1">IFERROR(__xludf.DUMMYFUNCTION("""COMPUTED_VALUE"""),42.17)</f>
        <v>42.17</v>
      </c>
      <c r="V44" s="119">
        <f ca="1">IFERROR(__xludf.DUMMYFUNCTION("""COMPUTED_VALUE"""),14.37)</f>
        <v>14.37</v>
      </c>
      <c r="W44" s="119">
        <f ca="1">IFERROR(__xludf.DUMMYFUNCTION("""COMPUTED_VALUE"""),238.14)</f>
        <v>238.14</v>
      </c>
      <c r="X44" s="119">
        <f ca="1">IFERROR(__xludf.DUMMYFUNCTION("""COMPUTED_VALUE"""),2673.81)</f>
        <v>2673.81</v>
      </c>
      <c r="Y44" s="119">
        <f ca="1">IFERROR(__xludf.DUMMYFUNCTION("""COMPUTED_VALUE"""),50.05)</f>
        <v>50.05</v>
      </c>
      <c r="Z44" s="119">
        <f ca="1">IFERROR(__xludf.DUMMYFUNCTION("""COMPUTED_VALUE"""),47.25)</f>
        <v>47.25</v>
      </c>
      <c r="AA44" s="119">
        <f ca="1">IFERROR(__xludf.DUMMYFUNCTION("""COMPUTED_VALUE"""),95.16)</f>
        <v>95.16</v>
      </c>
      <c r="AB44" s="119">
        <f ca="1">IFERROR(__xludf.DUMMYFUNCTION("""COMPUTED_VALUE"""),4.4)</f>
        <v>4.4000000000000004</v>
      </c>
      <c r="AC44" s="119">
        <f ca="1">IFERROR(__xludf.DUMMYFUNCTION("""COMPUTED_VALUE"""),71.49)</f>
        <v>71.489999999999995</v>
      </c>
      <c r="AD44" s="119">
        <f ca="1">IFERROR(__xludf.DUMMYFUNCTION("""COMPUTED_VALUE"""),11.94)</f>
        <v>11.94</v>
      </c>
      <c r="AE44" s="119">
        <f ca="1">IFERROR(__xludf.DUMMYFUNCTION("""COMPUTED_VALUE"""),5.69)</f>
        <v>5.69</v>
      </c>
      <c r="AF44" s="119">
        <f ca="1">IFERROR(__xludf.DUMMYFUNCTION("""COMPUTED_VALUE"""),39.84)</f>
        <v>39.840000000000003</v>
      </c>
      <c r="AG44" s="119">
        <f ca="1">IFERROR(__xludf.DUMMYFUNCTION("""COMPUTED_VALUE"""),13.06)</f>
        <v>13.06</v>
      </c>
      <c r="AH44" s="119">
        <f ca="1">IFERROR(__xludf.DUMMYFUNCTION("""COMPUTED_VALUE"""),2.02)</f>
        <v>2.02</v>
      </c>
      <c r="AI44" s="119">
        <f ca="1">IFERROR(__xludf.DUMMYFUNCTION("""COMPUTED_VALUE"""),2.84)</f>
        <v>2.84</v>
      </c>
      <c r="AJ44" s="119">
        <f ca="1">IFERROR(__xludf.DUMMYFUNCTION("""COMPUTED_VALUE"""),99.95)</f>
        <v>99.95</v>
      </c>
      <c r="AK44" s="119">
        <f ca="1">IFERROR(__xludf.DUMMYFUNCTION("""COMPUTED_VALUE"""),244.96)</f>
        <v>244.96</v>
      </c>
      <c r="AL44" s="119">
        <f ca="1">IFERROR(__xludf.DUMMYFUNCTION("""COMPUTED_VALUE"""),13.4)</f>
        <v>13.4</v>
      </c>
      <c r="AM44" s="119">
        <f ca="1">IFERROR(__xludf.DUMMYFUNCTION("""COMPUTED_VALUE"""),42.8)</f>
        <v>42.8</v>
      </c>
      <c r="AN44" s="119">
        <f ca="1">IFERROR(__xludf.DUMMYFUNCTION("""COMPUTED_VALUE"""),336.11)</f>
        <v>336.11</v>
      </c>
      <c r="AO44" s="119">
        <f ca="1">IFERROR(__xludf.DUMMYFUNCTION("""COMPUTED_VALUE"""),102.75)</f>
        <v>102.75</v>
      </c>
      <c r="AP44" s="119">
        <f ca="1">IFERROR(__xludf.DUMMYFUNCTION("""COMPUTED_VALUE"""),79.12)</f>
        <v>79.12</v>
      </c>
      <c r="AQ44" s="119">
        <f ca="1">IFERROR(__xludf.DUMMYFUNCTION("""COMPUTED_VALUE"""),52.6)</f>
        <v>52.6</v>
      </c>
      <c r="AR44" s="118">
        <f ca="1">IFERROR(__xludf.DUMMYFUNCTION("""COMPUTED_VALUE"""),104.032)</f>
        <v>104.032</v>
      </c>
      <c r="AS44" s="119">
        <f ca="1">IFERROR(__xludf.DUMMYFUNCTION("""COMPUTED_VALUE"""),17.05)</f>
        <v>17.05</v>
      </c>
      <c r="AT44" s="119">
        <f ca="1">IFERROR(__xludf.DUMMYFUNCTION("""COMPUTED_VALUE"""),90.7)</f>
        <v>90.7</v>
      </c>
      <c r="AU44" s="119">
        <f ca="1">IFERROR(__xludf.DUMMYFUNCTION("""COMPUTED_VALUE"""),63.78)</f>
        <v>63.78</v>
      </c>
      <c r="AV44" s="119">
        <f ca="1">IFERROR(__xludf.DUMMYFUNCTION("""COMPUTED_VALUE"""),138.14)</f>
        <v>138.13999999999999</v>
      </c>
      <c r="AW44" s="119">
        <f ca="1">IFERROR(__xludf.DUMMYFUNCTION("""COMPUTED_VALUE"""),130.48)</f>
        <v>130.47999999999999</v>
      </c>
      <c r="AX44" s="119">
        <f ca="1">IFERROR(__xludf.DUMMYFUNCTION("""COMPUTED_VALUE"""),17.32)</f>
        <v>17.32</v>
      </c>
      <c r="AY44" s="119">
        <f ca="1">IFERROR(__xludf.DUMMYFUNCTION("""COMPUTED_VALUE"""),41.51)</f>
        <v>41.51</v>
      </c>
      <c r="AZ44" s="119">
        <f ca="1">IFERROR(__xludf.DUMMYFUNCTION("""COMPUTED_VALUE"""),0)</f>
        <v>0</v>
      </c>
      <c r="BA44" s="119">
        <f ca="1">IFERROR(__xludf.DUMMYFUNCTION("""COMPUTED_VALUE"""),0)</f>
        <v>0</v>
      </c>
      <c r="BB44" s="119">
        <f ca="1">IFERROR(__xludf.DUMMYFUNCTION("""COMPUTED_VALUE"""),11.64)</f>
        <v>11.64</v>
      </c>
      <c r="BC44" s="119">
        <f ca="1">IFERROR(__xludf.DUMMYFUNCTION("""COMPUTED_VALUE"""),9.4)</f>
        <v>9.4</v>
      </c>
      <c r="BD44" s="119">
        <f ca="1">IFERROR(__xludf.DUMMYFUNCTION("""COMPUTED_VALUE"""),171)</f>
        <v>171</v>
      </c>
      <c r="BE44" s="119">
        <f ca="1">IFERROR(__xludf.DUMMYFUNCTION("""COMPUTED_VALUE"""),135)</f>
        <v>135</v>
      </c>
      <c r="BF44" s="119">
        <f ca="1">IFERROR(__xludf.DUMMYFUNCTION("""COMPUTED_VALUE"""),8.64)</f>
        <v>8.64</v>
      </c>
      <c r="BG44" s="119">
        <f ca="1">IFERROR(__xludf.DUMMYFUNCTION("""COMPUTED_VALUE"""),553.92)</f>
        <v>553.91999999999996</v>
      </c>
      <c r="BH44" s="119">
        <f ca="1">IFERROR(__xludf.DUMMYFUNCTION("""COMPUTED_VALUE"""),280.96)</f>
        <v>280.95999999999998</v>
      </c>
      <c r="BI44" s="119">
        <f ca="1">IFERROR(__xludf.DUMMYFUNCTION("""COMPUTED_VALUE"""),231.67)</f>
        <v>231.67</v>
      </c>
      <c r="BJ44" s="119">
        <f ca="1">IFERROR(__xludf.DUMMYFUNCTION("""COMPUTED_VALUE"""),23.62)</f>
        <v>23.62</v>
      </c>
      <c r="BK44" s="119">
        <f ca="1">IFERROR(__xludf.DUMMYFUNCTION("""COMPUTED_VALUE"""),300.08)</f>
        <v>300.08</v>
      </c>
      <c r="BL44" s="119">
        <f ca="1">IFERROR(__xludf.DUMMYFUNCTION("""COMPUTED_VALUE"""),127.76)</f>
        <v>127.76</v>
      </c>
      <c r="BM44" s="119">
        <f ca="1">IFERROR(__xludf.DUMMYFUNCTION("""COMPUTED_VALUE"""),16.58)</f>
        <v>16.579999999999998</v>
      </c>
      <c r="BN44" s="119">
        <f ca="1">IFERROR(__xludf.DUMMYFUNCTION("""COMPUTED_VALUE"""),345.34)</f>
        <v>345.34</v>
      </c>
      <c r="BO44" s="119">
        <f ca="1">IFERROR(__xludf.DUMMYFUNCTION("""COMPUTED_VALUE"""),701.53)</f>
        <v>701.53</v>
      </c>
      <c r="BP44" s="119">
        <f ca="1">IFERROR(__xludf.DUMMYFUNCTION("""COMPUTED_VALUE"""),41.58)</f>
        <v>41.58</v>
      </c>
      <c r="BQ44" s="119">
        <f ca="1">IFERROR(__xludf.DUMMYFUNCTION("""COMPUTED_VALUE"""),8.57)</f>
        <v>8.57</v>
      </c>
      <c r="BR44" s="119">
        <f ca="1">IFERROR(__xludf.DUMMYFUNCTION("""COMPUTED_VALUE"""),36.3)</f>
        <v>36.299999999999997</v>
      </c>
      <c r="BS44" s="119">
        <f ca="1">IFERROR(__xludf.DUMMYFUNCTION("""COMPUTED_VALUE"""),0.84)</f>
        <v>0.84</v>
      </c>
      <c r="BT44" s="119">
        <f ca="1">IFERROR(__xludf.DUMMYFUNCTION("""COMPUTED_VALUE"""),46.59)</f>
        <v>46.59</v>
      </c>
      <c r="BU44" s="119">
        <f ca="1">IFERROR(__xludf.DUMMYFUNCTION("""COMPUTED_VALUE"""),34.7)</f>
        <v>34.700000000000003</v>
      </c>
      <c r="BV44" s="119">
        <f ca="1">IFERROR(__xludf.DUMMYFUNCTION("""COMPUTED_VALUE"""),50.2)</f>
        <v>50.2</v>
      </c>
      <c r="BW44" s="119">
        <f ca="1">IFERROR(__xludf.DUMMYFUNCTION("""COMPUTED_VALUE"""),6.88)</f>
        <v>6.88</v>
      </c>
      <c r="BX44" s="119">
        <f ca="1">IFERROR(__xludf.DUMMYFUNCTION("""COMPUTED_VALUE"""),5.12)</f>
        <v>5.12</v>
      </c>
      <c r="BY44" s="119">
        <f ca="1">IFERROR(__xludf.DUMMYFUNCTION("""COMPUTED_VALUE"""),0)</f>
        <v>0</v>
      </c>
      <c r="BZ44" s="119">
        <f ca="1">IFERROR(__xludf.DUMMYFUNCTION("""COMPUTED_VALUE"""),14.71)</f>
        <v>14.71</v>
      </c>
      <c r="CA44" s="119">
        <f ca="1">IFERROR(__xludf.DUMMYFUNCTION("""COMPUTED_VALUE"""),3.53)</f>
        <v>3.53</v>
      </c>
      <c r="CB44" s="119">
        <f ca="1">IFERROR(__xludf.DUMMYFUNCTION("""COMPUTED_VALUE"""),5.24)</f>
        <v>5.24</v>
      </c>
      <c r="CC44" s="119">
        <f ca="1">IFERROR(__xludf.DUMMYFUNCTION("""COMPUTED_VALUE"""),17.81)</f>
        <v>17.809999999999999</v>
      </c>
      <c r="CD44" s="119">
        <f ca="1">IFERROR(__xludf.DUMMYFUNCTION("""COMPUTED_VALUE"""),12.95)</f>
        <v>12.95</v>
      </c>
      <c r="CE44" s="119">
        <f ca="1">IFERROR(__xludf.DUMMYFUNCTION("""COMPUTED_VALUE"""),29.26)</f>
        <v>29.26</v>
      </c>
      <c r="CF44" s="119">
        <f ca="1">IFERROR(__xludf.DUMMYFUNCTION("""COMPUTED_VALUE"""),95.71)</f>
        <v>95.71</v>
      </c>
      <c r="CG44" s="119">
        <f ca="1">IFERROR(__xludf.DUMMYFUNCTION("""COMPUTED_VALUE"""),5.01)</f>
        <v>5.01</v>
      </c>
      <c r="CH44" s="119">
        <f ca="1">IFERROR(__xludf.DUMMYFUNCTION("""COMPUTED_VALUE"""),23.61)</f>
        <v>23.61</v>
      </c>
      <c r="CI44" s="119">
        <f ca="1">IFERROR(__xludf.DUMMYFUNCTION("""COMPUTED_VALUE"""),52.27)</f>
        <v>52.27</v>
      </c>
      <c r="CJ44" s="119">
        <f ca="1">IFERROR(__xludf.DUMMYFUNCTION("""COMPUTED_VALUE"""),24.24)</f>
        <v>24.24</v>
      </c>
      <c r="CK44" s="119">
        <f ca="1">IFERROR(__xludf.DUMMYFUNCTION("""COMPUTED_VALUE"""),11.81)</f>
        <v>11.81</v>
      </c>
      <c r="CL44" s="119">
        <f ca="1">IFERROR(__xludf.DUMMYFUNCTION("""COMPUTED_VALUE"""),2665.61)</f>
        <v>2665.61</v>
      </c>
      <c r="CM44" s="119">
        <f ca="1">IFERROR(__xludf.DUMMYFUNCTION("""COMPUTED_VALUE"""),4.25)</f>
        <v>4.25</v>
      </c>
      <c r="CN44" s="119">
        <f ca="1">IFERROR(__xludf.DUMMYFUNCTION("""COMPUTED_VALUE"""),179.7)</f>
        <v>179.7</v>
      </c>
      <c r="CO44" s="119">
        <f ca="1">IFERROR(__xludf.DUMMYFUNCTION("""COMPUTED_VALUE"""),120.4)</f>
        <v>120.4</v>
      </c>
      <c r="CP44" s="119">
        <f ca="1">IFERROR(__xludf.DUMMYFUNCTION("""COMPUTED_VALUE"""),60.04)</f>
        <v>60.04</v>
      </c>
      <c r="CQ44" s="119">
        <f ca="1">IFERROR(__xludf.DUMMYFUNCTION("""COMPUTED_VALUE"""),71800)</f>
        <v>71800</v>
      </c>
      <c r="CR44" s="119">
        <f ca="1">IFERROR(__xludf.DUMMYFUNCTION("""COMPUTED_VALUE"""),0.52)</f>
        <v>0.52</v>
      </c>
      <c r="CS44" s="119">
        <f ca="1">IFERROR(__xludf.DUMMYFUNCTION("""COMPUTED_VALUE"""),34.12)</f>
        <v>34.119999999999997</v>
      </c>
      <c r="CT44" s="119">
        <f ca="1">IFERROR(__xludf.DUMMYFUNCTION("""COMPUTED_VALUE"""),20.24)</f>
        <v>20.239999999999998</v>
      </c>
      <c r="CU44" s="119">
        <f ca="1">IFERROR(__xludf.DUMMYFUNCTION("""COMPUTED_VALUE"""),1928.6)</f>
        <v>1928.6</v>
      </c>
      <c r="CV44" s="119">
        <f ca="1">IFERROR(__xludf.DUMMYFUNCTION("""COMPUTED_VALUE"""),2.6)</f>
        <v>2.6</v>
      </c>
      <c r="CW44" s="119">
        <f ca="1">IFERROR(__xludf.DUMMYFUNCTION("""COMPUTED_VALUE"""),2.52)</f>
        <v>2.52</v>
      </c>
      <c r="CX44" s="119">
        <f ca="1">IFERROR(__xludf.DUMMYFUNCTION("""COMPUTED_VALUE"""),0)</f>
        <v>0</v>
      </c>
      <c r="CY44" s="119">
        <f ca="1">IFERROR(__xludf.DUMMYFUNCTION("""COMPUTED_VALUE"""),0.05)</f>
        <v>0.05</v>
      </c>
      <c r="CZ44" s="119">
        <f ca="1">IFERROR(__xludf.DUMMYFUNCTION("""COMPUTED_VALUE"""),75.6)</f>
        <v>75.599999999999994</v>
      </c>
      <c r="DA44" s="119">
        <f ca="1">IFERROR(__xludf.DUMMYFUNCTION("""COMPUTED_VALUE"""),0.26)</f>
        <v>0.26</v>
      </c>
      <c r="DB44" s="119">
        <f ca="1">IFERROR(__xludf.DUMMYFUNCTION("""COMPUTED_VALUE"""),0.1)</f>
        <v>0.1</v>
      </c>
      <c r="DC44" s="119">
        <f ca="1">IFERROR(__xludf.DUMMYFUNCTION("""COMPUTED_VALUE"""),150.89)</f>
        <v>150.88999999999999</v>
      </c>
      <c r="DD44" s="119">
        <f ca="1">IFERROR(__xludf.DUMMYFUNCTION("""COMPUTED_VALUE"""),10.03)</f>
        <v>10.029999999999999</v>
      </c>
      <c r="DE44" s="119">
        <f ca="1">IFERROR(__xludf.DUMMYFUNCTION("""COMPUTED_VALUE"""),8.11)</f>
        <v>8.11</v>
      </c>
      <c r="DF44" s="119">
        <f ca="1">IFERROR(__xludf.DUMMYFUNCTION("""COMPUTED_VALUE"""),52.75)</f>
        <v>52.75</v>
      </c>
      <c r="DG44" s="119">
        <f ca="1">IFERROR(__xludf.DUMMYFUNCTION("""COMPUTED_VALUE"""),5.49)</f>
        <v>5.49</v>
      </c>
      <c r="DH44" s="119">
        <f ca="1">IFERROR(__xludf.DUMMYFUNCTION("""COMPUTED_VALUE"""),10.93)</f>
        <v>10.93</v>
      </c>
      <c r="DI44" s="119">
        <f ca="1">IFERROR(__xludf.DUMMYFUNCTION("""COMPUTED_VALUE"""),145.35)</f>
        <v>145.35</v>
      </c>
      <c r="DJ44" s="119">
        <f ca="1">IFERROR(__xludf.DUMMYFUNCTION("""COMPUTED_VALUE"""),11.53)</f>
        <v>11.53</v>
      </c>
      <c r="DK44" s="119">
        <f ca="1">IFERROR(__xludf.DUMMYFUNCTION("""COMPUTED_VALUE"""),1.8)</f>
        <v>1.8</v>
      </c>
      <c r="DL44" s="119">
        <f ca="1">IFERROR(__xludf.DUMMYFUNCTION("""COMPUTED_VALUE"""),24.75)</f>
        <v>24.75</v>
      </c>
      <c r="DM44" s="119">
        <f ca="1">IFERROR(__xludf.DUMMYFUNCTION("""COMPUTED_VALUE"""),421.34)</f>
        <v>421.34</v>
      </c>
      <c r="DN44" s="119">
        <f ca="1">IFERROR(__xludf.DUMMYFUNCTION("""COMPUTED_VALUE"""),155.75)</f>
        <v>155.75</v>
      </c>
      <c r="DO44" s="119">
        <f ca="1">IFERROR(__xludf.DUMMYFUNCTION("""COMPUTED_VALUE"""),360.4)</f>
        <v>360.4</v>
      </c>
      <c r="DP44" s="119">
        <f ca="1">IFERROR(__xludf.DUMMYFUNCTION("""COMPUTED_VALUE"""),11)</f>
        <v>11</v>
      </c>
      <c r="DQ44" s="119">
        <f ca="1">IFERROR(__xludf.DUMMYFUNCTION("""COMPUTED_VALUE"""),104.98)</f>
        <v>104.98</v>
      </c>
      <c r="DR44" s="119">
        <f ca="1">IFERROR(__xludf.DUMMYFUNCTION("""COMPUTED_VALUE"""),0.63)</f>
        <v>0.63</v>
      </c>
      <c r="DS44" s="119">
        <f ca="1">IFERROR(__xludf.DUMMYFUNCTION("""COMPUTED_VALUE"""),3.06)</f>
        <v>3.06</v>
      </c>
      <c r="DT44" s="119">
        <f ca="1">IFERROR(__xludf.DUMMYFUNCTION("""COMPUTED_VALUE"""),4.39)</f>
        <v>4.3899999999999997</v>
      </c>
      <c r="DU44" s="119">
        <f ca="1">IFERROR(__xludf.DUMMYFUNCTION("""COMPUTED_VALUE"""),52.92)</f>
        <v>52.92</v>
      </c>
      <c r="DV44" s="119">
        <f ca="1">IFERROR(__xludf.DUMMYFUNCTION("""COMPUTED_VALUE"""),12.22)</f>
        <v>12.22</v>
      </c>
      <c r="DW44" s="119">
        <f ca="1">IFERROR(__xludf.DUMMYFUNCTION("""COMPUTED_VALUE"""),0.06)</f>
        <v>0.06</v>
      </c>
      <c r="DX44" s="119">
        <f ca="1">IFERROR(__xludf.DUMMYFUNCTION("""COMPUTED_VALUE"""),25.66)</f>
        <v>25.66</v>
      </c>
      <c r="DY44" s="119">
        <f ca="1">IFERROR(__xludf.DUMMYFUNCTION("""COMPUTED_VALUE"""),821.61)</f>
        <v>821.61</v>
      </c>
      <c r="DZ44" s="119">
        <f ca="1">IFERROR(__xludf.DUMMYFUNCTION("""COMPUTED_VALUE"""),77.49)</f>
        <v>77.489999999999995</v>
      </c>
      <c r="EA44" s="119">
        <f ca="1">IFERROR(__xludf.DUMMYFUNCTION("""COMPUTED_VALUE"""),46.46)</f>
        <v>46.46</v>
      </c>
      <c r="EB44" s="119">
        <f ca="1">IFERROR(__xludf.DUMMYFUNCTION("""COMPUTED_VALUE"""),71.12)</f>
        <v>71.12</v>
      </c>
      <c r="EC44" s="119">
        <f ca="1">IFERROR(__xludf.DUMMYFUNCTION("""COMPUTED_VALUE"""),73.51)</f>
        <v>73.510000000000005</v>
      </c>
      <c r="ED44" s="119">
        <f ca="1">IFERROR(__xludf.DUMMYFUNCTION("""COMPUTED_VALUE"""),38.43)</f>
        <v>38.43</v>
      </c>
      <c r="EE44" s="119">
        <f ca="1">IFERROR(__xludf.DUMMYFUNCTION("""COMPUTED_VALUE"""),83.97)</f>
        <v>83.97</v>
      </c>
      <c r="EF44" s="119">
        <f ca="1">IFERROR(__xludf.DUMMYFUNCTION("""COMPUTED_VALUE"""),175.21)</f>
        <v>175.21</v>
      </c>
      <c r="EG44" s="119">
        <f ca="1">IFERROR(__xludf.DUMMYFUNCTION("""COMPUTED_VALUE"""),66.63)</f>
        <v>66.63</v>
      </c>
      <c r="EH44" s="119">
        <f ca="1">IFERROR(__xludf.DUMMYFUNCTION("""COMPUTED_VALUE"""),101.15)</f>
        <v>101.15</v>
      </c>
      <c r="EI44" s="119">
        <f ca="1">IFERROR(__xludf.DUMMYFUNCTION("""COMPUTED_VALUE"""),134.03)</f>
        <v>134.03</v>
      </c>
      <c r="EJ44" s="119">
        <f ca="1">IFERROR(__xludf.DUMMYFUNCTION("""COMPUTED_VALUE"""),42.4)</f>
        <v>42.4</v>
      </c>
      <c r="EK44" s="119">
        <f ca="1">IFERROR(__xludf.DUMMYFUNCTION("""COMPUTED_VALUE"""),249.58)</f>
        <v>249.58</v>
      </c>
      <c r="EL44" s="119">
        <f ca="1">IFERROR(__xludf.DUMMYFUNCTION("""COMPUTED_VALUE"""),59.83)</f>
        <v>59.83</v>
      </c>
      <c r="EM44" s="119">
        <f ca="1">IFERROR(__xludf.DUMMYFUNCTION("""COMPUTED_VALUE"""),40.51)</f>
        <v>40.51</v>
      </c>
      <c r="EN44" s="119">
        <f ca="1">IFERROR(__xludf.DUMMYFUNCTION("""COMPUTED_VALUE"""),1674.95)</f>
        <v>1674.95</v>
      </c>
      <c r="EO44" s="119">
        <f ca="1">IFERROR(__xludf.DUMMYFUNCTION("""COMPUTED_VALUE"""),13.8)</f>
        <v>13.8</v>
      </c>
      <c r="EP44" s="119">
        <f ca="1">IFERROR(__xludf.DUMMYFUNCTION("""COMPUTED_VALUE"""),7.65)</f>
        <v>7.65</v>
      </c>
      <c r="EQ44" s="119">
        <f ca="1">IFERROR(__xludf.DUMMYFUNCTION("""COMPUTED_VALUE"""),1.1)</f>
        <v>1.1000000000000001</v>
      </c>
      <c r="ER44" s="119">
        <f ca="1">IFERROR(__xludf.DUMMYFUNCTION("""COMPUTED_VALUE"""),4364.25)</f>
        <v>4364.25</v>
      </c>
      <c r="ES44" s="119">
        <f ca="1">IFERROR(__xludf.DUMMYFUNCTION("""COMPUTED_VALUE"""),95.07)</f>
        <v>95.07</v>
      </c>
      <c r="ET44" s="119">
        <f ca="1">IFERROR(__xludf.DUMMYFUNCTION("""COMPUTED_VALUE"""),98.45)</f>
        <v>98.45</v>
      </c>
      <c r="EU44" s="119">
        <f ca="1">IFERROR(__xludf.DUMMYFUNCTION("""COMPUTED_VALUE"""),29.95)</f>
        <v>29.95</v>
      </c>
      <c r="EV44" s="119">
        <f ca="1">IFERROR(__xludf.DUMMYFUNCTION("""COMPUTED_VALUE"""),1.39)</f>
        <v>1.39</v>
      </c>
      <c r="EW44" s="119">
        <f ca="1">IFERROR(__xludf.DUMMYFUNCTION("""COMPUTED_VALUE"""),14.04)</f>
        <v>14.04</v>
      </c>
      <c r="EX44" s="117" t="str">
        <f ca="1">IFERROR(__xludf.DUMMYFUNCTION("""COMPUTED_VALUE"""),"")</f>
        <v/>
      </c>
      <c r="EY44" s="117" t="str">
        <f ca="1">IFERROR(__xludf.DUMMYFUNCTION("""COMPUTED_VALUE"""),"")</f>
        <v/>
      </c>
      <c r="EZ44" s="117" t="str">
        <f ca="1">IFERROR(__xludf.DUMMYFUNCTION("""COMPUTED_VALUE"""),"")</f>
        <v/>
      </c>
      <c r="FA44" s="117" t="str">
        <f ca="1">IFERROR(__xludf.DUMMYFUNCTION("""COMPUTED_VALUE"""),"")</f>
        <v/>
      </c>
      <c r="FB44" s="117" t="str">
        <f ca="1">IFERROR(__xludf.DUMMYFUNCTION("""COMPUTED_VALUE"""),"")</f>
        <v/>
      </c>
      <c r="FC44" s="117" t="str">
        <f ca="1">IFERROR(__xludf.DUMMYFUNCTION("""COMPUTED_VALUE"""),"")</f>
        <v/>
      </c>
      <c r="FD44" s="117" t="str">
        <f ca="1">IFERROR(__xludf.DUMMYFUNCTION("""COMPUTED_VALUE"""),"")</f>
        <v/>
      </c>
      <c r="FE44" s="117" t="str">
        <f ca="1">IFERROR(__xludf.DUMMYFUNCTION("""COMPUTED_VALUE"""),"")</f>
        <v/>
      </c>
      <c r="FF44" s="117" t="str">
        <f ca="1">IFERROR(__xludf.DUMMYFUNCTION("""COMPUTED_VALUE"""),"")</f>
        <v/>
      </c>
      <c r="FG44" s="117" t="str">
        <f ca="1">IFERROR(__xludf.DUMMYFUNCTION("""COMPUTED_VALUE"""),"")</f>
        <v/>
      </c>
      <c r="FH44" s="117" t="str">
        <f ca="1">IFERROR(__xludf.DUMMYFUNCTION("""COMPUTED_VALUE"""),"")</f>
        <v/>
      </c>
      <c r="FI44" s="117" t="str">
        <f ca="1">IFERROR(__xludf.DUMMYFUNCTION("""COMPUTED_VALUE"""),"")</f>
        <v/>
      </c>
      <c r="FJ44" s="117" t="str">
        <f ca="1">IFERROR(__xludf.DUMMYFUNCTION("""COMPUTED_VALUE"""),"")</f>
        <v/>
      </c>
      <c r="FK44" s="117" t="str">
        <f ca="1">IFERROR(__xludf.DUMMYFUNCTION("""COMPUTED_VALUE"""),"")</f>
        <v/>
      </c>
      <c r="FL44" s="117" t="str">
        <f ca="1">IFERROR(__xludf.DUMMYFUNCTION("""COMPUTED_VALUE"""),"")</f>
        <v/>
      </c>
      <c r="FM44" s="117" t="str">
        <f ca="1">IFERROR(__xludf.DUMMYFUNCTION("""COMPUTED_VALUE"""),"")</f>
        <v/>
      </c>
      <c r="FN44" s="117" t="str">
        <f ca="1">IFERROR(__xludf.DUMMYFUNCTION("""COMPUTED_VALUE"""),"")</f>
        <v/>
      </c>
      <c r="FO44" s="117" t="str">
        <f ca="1">IFERROR(__xludf.DUMMYFUNCTION("""COMPUTED_VALUE"""),"")</f>
        <v/>
      </c>
    </row>
    <row r="45" spans="1:171" ht="15.75" customHeight="1" x14ac:dyDescent="0.15">
      <c r="A45" s="115">
        <f ca="1">IFERROR(__xludf.DUMMYFUNCTION("""COMPUTED_VALUE"""),44637)</f>
        <v>44637</v>
      </c>
      <c r="B45" s="119">
        <f ca="1">IFERROR(__xludf.DUMMYFUNCTION("""COMPUTED_VALUE"""),3144.78)</f>
        <v>3144.78</v>
      </c>
      <c r="C45" s="119">
        <f ca="1">IFERROR(__xludf.DUMMYFUNCTION("""COMPUTED_VALUE"""),207.84)</f>
        <v>207.84</v>
      </c>
      <c r="D45" s="119">
        <f ca="1">IFERROR(__xludf.DUMMYFUNCTION("""COMPUTED_VALUE"""),871.6)</f>
        <v>871.6</v>
      </c>
      <c r="E45" s="119">
        <f ca="1">IFERROR(__xludf.DUMMYFUNCTION("""COMPUTED_VALUE"""),390)</f>
        <v>390</v>
      </c>
      <c r="F45" s="119">
        <f ca="1">IFERROR(__xludf.DUMMYFUNCTION("""COMPUTED_VALUE"""),9.52)</f>
        <v>9.52</v>
      </c>
      <c r="G45" s="119">
        <f ca="1">IFERROR(__xludf.DUMMYFUNCTION("""COMPUTED_VALUE"""),160.62)</f>
        <v>160.62</v>
      </c>
      <c r="H45" s="119">
        <f ca="1">IFERROR(__xludf.DUMMYFUNCTION("""COMPUTED_VALUE"""),15.4)</f>
        <v>15.4</v>
      </c>
      <c r="I45" s="119">
        <f ca="1">IFERROR(__xludf.DUMMYFUNCTION("""COMPUTED_VALUE"""),6.07)</f>
        <v>6.07</v>
      </c>
      <c r="J45" s="119">
        <f ca="1">IFERROR(__xludf.DUMMYFUNCTION("""COMPUTED_VALUE"""),0.18)</f>
        <v>0.18</v>
      </c>
      <c r="K45" s="119">
        <f ca="1">IFERROR(__xludf.DUMMYFUNCTION("""COMPUTED_VALUE"""),37.4)</f>
        <v>37.4</v>
      </c>
      <c r="L45" s="119">
        <f ca="1">IFERROR(__xludf.DUMMYFUNCTION("""COMPUTED_VALUE"""),157.2)</f>
        <v>157.19999999999999</v>
      </c>
      <c r="M45" s="119">
        <f ca="1">IFERROR(__xludf.DUMMYFUNCTION("""COMPUTED_VALUE"""),40748.19)</f>
        <v>40748.19</v>
      </c>
      <c r="N45" s="119">
        <f ca="1">IFERROR(__xludf.DUMMYFUNCTION("""COMPUTED_VALUE"""),371.4)</f>
        <v>371.4</v>
      </c>
      <c r="O45" s="119">
        <f ca="1">IFERROR(__xludf.DUMMYFUNCTION("""COMPUTED_VALUE"""),295.22)</f>
        <v>295.22000000000003</v>
      </c>
      <c r="P45" s="119">
        <f ca="1">IFERROR(__xludf.DUMMYFUNCTION("""COMPUTED_VALUE"""),29)</f>
        <v>29</v>
      </c>
      <c r="Q45" s="119">
        <f ca="1">IFERROR(__xludf.DUMMYFUNCTION("""COMPUTED_VALUE"""),24.54)</f>
        <v>24.54</v>
      </c>
      <c r="R45" s="119">
        <f ca="1">IFERROR(__xludf.DUMMYFUNCTION("""COMPUTED_VALUE"""),61.94)</f>
        <v>61.94</v>
      </c>
      <c r="S45" s="119">
        <f ca="1">IFERROR(__xludf.DUMMYFUNCTION("""COMPUTED_VALUE"""),27.65)</f>
        <v>27.65</v>
      </c>
      <c r="T45" s="119">
        <f ca="1">IFERROR(__xludf.DUMMYFUNCTION("""COMPUTED_VALUE"""),24.97)</f>
        <v>24.97</v>
      </c>
      <c r="U45" s="119">
        <f ca="1">IFERROR(__xludf.DUMMYFUNCTION("""COMPUTED_VALUE"""),41.94)</f>
        <v>41.94</v>
      </c>
      <c r="V45" s="119">
        <f ca="1">IFERROR(__xludf.DUMMYFUNCTION("""COMPUTED_VALUE"""),14.35)</f>
        <v>14.35</v>
      </c>
      <c r="W45" s="119">
        <f ca="1">IFERROR(__xludf.DUMMYFUNCTION("""COMPUTED_VALUE"""),237.47)</f>
        <v>237.47</v>
      </c>
      <c r="X45" s="119">
        <f ca="1">IFERROR(__xludf.DUMMYFUNCTION("""COMPUTED_VALUE"""),2692.01)</f>
        <v>2692.01</v>
      </c>
      <c r="Y45" s="119">
        <f ca="1">IFERROR(__xludf.DUMMYFUNCTION("""COMPUTED_VALUE"""),55.3)</f>
        <v>55.3</v>
      </c>
      <c r="Z45" s="119">
        <f ca="1">IFERROR(__xludf.DUMMYFUNCTION("""COMPUTED_VALUE"""),56.6)</f>
        <v>56.6</v>
      </c>
      <c r="AA45" s="119">
        <f ca="1">IFERROR(__xludf.DUMMYFUNCTION("""COMPUTED_VALUE"""),106.31)</f>
        <v>106.31</v>
      </c>
      <c r="AB45" s="119">
        <f ca="1">IFERROR(__xludf.DUMMYFUNCTION("""COMPUTED_VALUE"""),4.58)</f>
        <v>4.58</v>
      </c>
      <c r="AC45" s="119">
        <f ca="1">IFERROR(__xludf.DUMMYFUNCTION("""COMPUTED_VALUE"""),73.95)</f>
        <v>73.95</v>
      </c>
      <c r="AD45" s="119">
        <f ca="1">IFERROR(__xludf.DUMMYFUNCTION("""COMPUTED_VALUE"""),11.94)</f>
        <v>11.94</v>
      </c>
      <c r="AE45" s="119">
        <f ca="1">IFERROR(__xludf.DUMMYFUNCTION("""COMPUTED_VALUE"""),5.99)</f>
        <v>5.99</v>
      </c>
      <c r="AF45" s="119">
        <f ca="1">IFERROR(__xludf.DUMMYFUNCTION("""COMPUTED_VALUE"""),38.8)</f>
        <v>38.799999999999997</v>
      </c>
      <c r="AG45" s="119">
        <f ca="1">IFERROR(__xludf.DUMMYFUNCTION("""COMPUTED_VALUE"""),12.32)</f>
        <v>12.32</v>
      </c>
      <c r="AH45" s="119">
        <f ca="1">IFERROR(__xludf.DUMMYFUNCTION("""COMPUTED_VALUE"""),2.18)</f>
        <v>2.1800000000000002</v>
      </c>
      <c r="AI45" s="119">
        <f ca="1">IFERROR(__xludf.DUMMYFUNCTION("""COMPUTED_VALUE"""),3.03)</f>
        <v>3.03</v>
      </c>
      <c r="AJ45" s="119">
        <f ca="1">IFERROR(__xludf.DUMMYFUNCTION("""COMPUTED_VALUE"""),104.5)</f>
        <v>104.5</v>
      </c>
      <c r="AK45" s="119">
        <f ca="1">IFERROR(__xludf.DUMMYFUNCTION("""COMPUTED_VALUE"""),247.66)</f>
        <v>247.66</v>
      </c>
      <c r="AL45" s="119">
        <f ca="1">IFERROR(__xludf.DUMMYFUNCTION("""COMPUTED_VALUE"""),13.94)</f>
        <v>13.94</v>
      </c>
      <c r="AM45" s="119">
        <f ca="1">IFERROR(__xludf.DUMMYFUNCTION("""COMPUTED_VALUE"""),43.03)</f>
        <v>43.03</v>
      </c>
      <c r="AN45" s="119">
        <f ca="1">IFERROR(__xludf.DUMMYFUNCTION("""COMPUTED_VALUE"""),344.97)</f>
        <v>344.97</v>
      </c>
      <c r="AO45" s="119">
        <f ca="1">IFERROR(__xludf.DUMMYFUNCTION("""COMPUTED_VALUE"""),104.62)</f>
        <v>104.62</v>
      </c>
      <c r="AP45" s="119">
        <f ca="1">IFERROR(__xludf.DUMMYFUNCTION("""COMPUTED_VALUE"""),78.89)</f>
        <v>78.89</v>
      </c>
      <c r="AQ45" s="119">
        <f ca="1">IFERROR(__xludf.DUMMYFUNCTION("""COMPUTED_VALUE"""),48.58)</f>
        <v>48.58</v>
      </c>
      <c r="AR45" s="118">
        <f ca="1">IFERROR(__xludf.DUMMYFUNCTION("""COMPUTED_VALUE"""),103.5855)</f>
        <v>103.5855</v>
      </c>
      <c r="AS45" s="119">
        <f ca="1">IFERROR(__xludf.DUMMYFUNCTION("""COMPUTED_VALUE"""),16.37)</f>
        <v>16.37</v>
      </c>
      <c r="AT45" s="119">
        <f ca="1">IFERROR(__xludf.DUMMYFUNCTION("""COMPUTED_VALUE"""),102)</f>
        <v>102</v>
      </c>
      <c r="AU45" s="119">
        <f ca="1">IFERROR(__xludf.DUMMYFUNCTION("""COMPUTED_VALUE"""),64.29)</f>
        <v>64.290000000000006</v>
      </c>
      <c r="AV45" s="119">
        <f ca="1">IFERROR(__xludf.DUMMYFUNCTION("""COMPUTED_VALUE"""),139.47)</f>
        <v>139.47</v>
      </c>
      <c r="AW45" s="119">
        <f ca="1">IFERROR(__xludf.DUMMYFUNCTION("""COMPUTED_VALUE"""),131.99)</f>
        <v>131.99</v>
      </c>
      <c r="AX45" s="119">
        <f ca="1">IFERROR(__xludf.DUMMYFUNCTION("""COMPUTED_VALUE"""),19.54)</f>
        <v>19.54</v>
      </c>
      <c r="AY45" s="119">
        <f ca="1">IFERROR(__xludf.DUMMYFUNCTION("""COMPUTED_VALUE"""),46.35)</f>
        <v>46.35</v>
      </c>
      <c r="AZ45" s="119">
        <f ca="1">IFERROR(__xludf.DUMMYFUNCTION("""COMPUTED_VALUE"""),0)</f>
        <v>0</v>
      </c>
      <c r="BA45" s="119">
        <f ca="1">IFERROR(__xludf.DUMMYFUNCTION("""COMPUTED_VALUE"""),0)</f>
        <v>0</v>
      </c>
      <c r="BB45" s="119">
        <f ca="1">IFERROR(__xludf.DUMMYFUNCTION("""COMPUTED_VALUE"""),11.6)</f>
        <v>11.6</v>
      </c>
      <c r="BC45" s="119">
        <f ca="1">IFERROR(__xludf.DUMMYFUNCTION("""COMPUTED_VALUE"""),9.5)</f>
        <v>9.5</v>
      </c>
      <c r="BD45" s="119">
        <f ca="1">IFERROR(__xludf.DUMMYFUNCTION("""COMPUTED_VALUE"""),179)</f>
        <v>179</v>
      </c>
      <c r="BE45" s="119">
        <f ca="1">IFERROR(__xludf.DUMMYFUNCTION("""COMPUTED_VALUE"""),142.3)</f>
        <v>142.30000000000001</v>
      </c>
      <c r="BF45" s="119">
        <f ca="1">IFERROR(__xludf.DUMMYFUNCTION("""COMPUTED_VALUE"""),12.34)</f>
        <v>12.34</v>
      </c>
      <c r="BG45" s="119">
        <f ca="1">IFERROR(__xludf.DUMMYFUNCTION("""COMPUTED_VALUE"""),564.16)</f>
        <v>564.16</v>
      </c>
      <c r="BH45" s="119">
        <f ca="1">IFERROR(__xludf.DUMMYFUNCTION("""COMPUTED_VALUE"""),280.13)</f>
        <v>280.13</v>
      </c>
      <c r="BI45" s="119">
        <f ca="1">IFERROR(__xludf.DUMMYFUNCTION("""COMPUTED_VALUE"""),235.86)</f>
        <v>235.86</v>
      </c>
      <c r="BJ45" s="119">
        <f ca="1">IFERROR(__xludf.DUMMYFUNCTION("""COMPUTED_VALUE"""),24.65)</f>
        <v>24.65</v>
      </c>
      <c r="BK45" s="119">
        <f ca="1">IFERROR(__xludf.DUMMYFUNCTION("""COMPUTED_VALUE"""),304.05)</f>
        <v>304.05</v>
      </c>
      <c r="BL45" s="119">
        <f ca="1">IFERROR(__xludf.DUMMYFUNCTION("""COMPUTED_VALUE"""),128.95)</f>
        <v>128.94999999999999</v>
      </c>
      <c r="BM45" s="119">
        <f ca="1">IFERROR(__xludf.DUMMYFUNCTION("""COMPUTED_VALUE"""),16.58)</f>
        <v>16.579999999999998</v>
      </c>
      <c r="BN45" s="119">
        <f ca="1">IFERROR(__xludf.DUMMYFUNCTION("""COMPUTED_VALUE"""),336.46)</f>
        <v>336.46</v>
      </c>
      <c r="BO45" s="119">
        <f ca="1">IFERROR(__xludf.DUMMYFUNCTION("""COMPUTED_VALUE"""),703.14)</f>
        <v>703.14</v>
      </c>
      <c r="BP45" s="119">
        <f ca="1">IFERROR(__xludf.DUMMYFUNCTION("""COMPUTED_VALUE"""),42.13)</f>
        <v>42.13</v>
      </c>
      <c r="BQ45" s="119">
        <f ca="1">IFERROR(__xludf.DUMMYFUNCTION("""COMPUTED_VALUE"""),8.91)</f>
        <v>8.91</v>
      </c>
      <c r="BR45" s="119">
        <f ca="1">IFERROR(__xludf.DUMMYFUNCTION("""COMPUTED_VALUE"""),36.96)</f>
        <v>36.96</v>
      </c>
      <c r="BS45" s="119">
        <f ca="1">IFERROR(__xludf.DUMMYFUNCTION("""COMPUTED_VALUE"""),0.85)</f>
        <v>0.85</v>
      </c>
      <c r="BT45" s="119">
        <f ca="1">IFERROR(__xludf.DUMMYFUNCTION("""COMPUTED_VALUE"""),47.65)</f>
        <v>47.65</v>
      </c>
      <c r="BU45" s="119">
        <f ca="1">IFERROR(__xludf.DUMMYFUNCTION("""COMPUTED_VALUE"""),37.6)</f>
        <v>37.6</v>
      </c>
      <c r="BV45" s="119">
        <f ca="1">IFERROR(__xludf.DUMMYFUNCTION("""COMPUTED_VALUE"""),51.5)</f>
        <v>51.5</v>
      </c>
      <c r="BW45" s="119">
        <f ca="1">IFERROR(__xludf.DUMMYFUNCTION("""COMPUTED_VALUE"""),7.44)</f>
        <v>7.44</v>
      </c>
      <c r="BX45" s="119">
        <f ca="1">IFERROR(__xludf.DUMMYFUNCTION("""COMPUTED_VALUE"""),4.55)</f>
        <v>4.55</v>
      </c>
      <c r="BY45" s="119">
        <f ca="1">IFERROR(__xludf.DUMMYFUNCTION("""COMPUTED_VALUE"""),0)</f>
        <v>0</v>
      </c>
      <c r="BZ45" s="119">
        <f ca="1">IFERROR(__xludf.DUMMYFUNCTION("""COMPUTED_VALUE"""),14.78)</f>
        <v>14.78</v>
      </c>
      <c r="CA45" s="119">
        <f ca="1">IFERROR(__xludf.DUMMYFUNCTION("""COMPUTED_VALUE"""),3.53)</f>
        <v>3.53</v>
      </c>
      <c r="CB45" s="119">
        <f ca="1">IFERROR(__xludf.DUMMYFUNCTION("""COMPUTED_VALUE"""),5.37)</f>
        <v>5.37</v>
      </c>
      <c r="CC45" s="119">
        <f ca="1">IFERROR(__xludf.DUMMYFUNCTION("""COMPUTED_VALUE"""),18.59)</f>
        <v>18.59</v>
      </c>
      <c r="CD45" s="119">
        <f ca="1">IFERROR(__xludf.DUMMYFUNCTION("""COMPUTED_VALUE"""),13.3)</f>
        <v>13.3</v>
      </c>
      <c r="CE45" s="119">
        <f ca="1">IFERROR(__xludf.DUMMYFUNCTION("""COMPUTED_VALUE"""),29.98)</f>
        <v>29.98</v>
      </c>
      <c r="CF45" s="119">
        <f ca="1">IFERROR(__xludf.DUMMYFUNCTION("""COMPUTED_VALUE"""),103.26)</f>
        <v>103.26</v>
      </c>
      <c r="CG45" s="119">
        <f ca="1">IFERROR(__xludf.DUMMYFUNCTION("""COMPUTED_VALUE"""),5.19)</f>
        <v>5.19</v>
      </c>
      <c r="CH45" s="119">
        <f ca="1">IFERROR(__xludf.DUMMYFUNCTION("""COMPUTED_VALUE"""),24.08)</f>
        <v>24.08</v>
      </c>
      <c r="CI45" s="119">
        <f ca="1">IFERROR(__xludf.DUMMYFUNCTION("""COMPUTED_VALUE"""),49.66)</f>
        <v>49.66</v>
      </c>
      <c r="CJ45" s="119">
        <f ca="1">IFERROR(__xludf.DUMMYFUNCTION("""COMPUTED_VALUE"""),28.2)</f>
        <v>28.2</v>
      </c>
      <c r="CK45" s="119">
        <f ca="1">IFERROR(__xludf.DUMMYFUNCTION("""COMPUTED_VALUE"""),12.2)</f>
        <v>12.2</v>
      </c>
      <c r="CL45" s="119">
        <f ca="1">IFERROR(__xludf.DUMMYFUNCTION("""COMPUTED_VALUE"""),2676.78)</f>
        <v>2676.78</v>
      </c>
      <c r="CM45" s="119">
        <f ca="1">IFERROR(__xludf.DUMMYFUNCTION("""COMPUTED_VALUE"""),4.01)</f>
        <v>4.01</v>
      </c>
      <c r="CN45" s="119">
        <f ca="1">IFERROR(__xludf.DUMMYFUNCTION("""COMPUTED_VALUE"""),208.4)</f>
        <v>208.4</v>
      </c>
      <c r="CO45" s="119">
        <f ca="1">IFERROR(__xludf.DUMMYFUNCTION("""COMPUTED_VALUE"""),139.9)</f>
        <v>139.9</v>
      </c>
      <c r="CP45" s="119">
        <f ca="1">IFERROR(__xludf.DUMMYFUNCTION("""COMPUTED_VALUE"""),62.93)</f>
        <v>62.93</v>
      </c>
      <c r="CQ45" s="119">
        <f ca="1">IFERROR(__xludf.DUMMYFUNCTION("""COMPUTED_VALUE"""),71200)</f>
        <v>71200</v>
      </c>
      <c r="CR45" s="119">
        <f ca="1">IFERROR(__xludf.DUMMYFUNCTION("""COMPUTED_VALUE"""),0.52)</f>
        <v>0.52</v>
      </c>
      <c r="CS45" s="119">
        <f ca="1">IFERROR(__xludf.DUMMYFUNCTION("""COMPUTED_VALUE"""),34.7)</f>
        <v>34.700000000000003</v>
      </c>
      <c r="CT45" s="119">
        <f ca="1">IFERROR(__xludf.DUMMYFUNCTION("""COMPUTED_VALUE"""),21.68)</f>
        <v>21.68</v>
      </c>
      <c r="CU45" s="119">
        <f ca="1">IFERROR(__xludf.DUMMYFUNCTION("""COMPUTED_VALUE"""),1938.1)</f>
        <v>1938.1</v>
      </c>
      <c r="CV45" s="119">
        <f ca="1">IFERROR(__xludf.DUMMYFUNCTION("""COMPUTED_VALUE"""),2.54)</f>
        <v>2.54</v>
      </c>
      <c r="CW45" s="119">
        <f ca="1">IFERROR(__xludf.DUMMYFUNCTION("""COMPUTED_VALUE"""),2.73)</f>
        <v>2.73</v>
      </c>
      <c r="CX45" s="119">
        <f ca="1">IFERROR(__xludf.DUMMYFUNCTION("""COMPUTED_VALUE"""),0)</f>
        <v>0</v>
      </c>
      <c r="CY45" s="119">
        <f ca="1">IFERROR(__xludf.DUMMYFUNCTION("""COMPUTED_VALUE"""),0.05)</f>
        <v>0.05</v>
      </c>
      <c r="CZ45" s="119">
        <f ca="1">IFERROR(__xludf.DUMMYFUNCTION("""COMPUTED_VALUE"""),74.95)</f>
        <v>74.95</v>
      </c>
      <c r="DA45" s="119">
        <f ca="1">IFERROR(__xludf.DUMMYFUNCTION("""COMPUTED_VALUE"""),0.26)</f>
        <v>0.26</v>
      </c>
      <c r="DB45" s="119">
        <f ca="1">IFERROR(__xludf.DUMMYFUNCTION("""COMPUTED_VALUE"""),0.16)</f>
        <v>0.16</v>
      </c>
      <c r="DC45" s="119">
        <f ca="1">IFERROR(__xludf.DUMMYFUNCTION("""COMPUTED_VALUE"""),151.97)</f>
        <v>151.97</v>
      </c>
      <c r="DD45" s="119">
        <f ca="1">IFERROR(__xludf.DUMMYFUNCTION("""COMPUTED_VALUE"""),10.4)</f>
        <v>10.4</v>
      </c>
      <c r="DE45" s="119">
        <f ca="1">IFERROR(__xludf.DUMMYFUNCTION("""COMPUTED_VALUE"""),7.71)</f>
        <v>7.71</v>
      </c>
      <c r="DF45" s="119">
        <f ca="1">IFERROR(__xludf.DUMMYFUNCTION("""COMPUTED_VALUE"""),55)</f>
        <v>55</v>
      </c>
      <c r="DG45" s="119">
        <f ca="1">IFERROR(__xludf.DUMMYFUNCTION("""COMPUTED_VALUE"""),5.58)</f>
        <v>5.58</v>
      </c>
      <c r="DH45" s="119">
        <f ca="1">IFERROR(__xludf.DUMMYFUNCTION("""COMPUTED_VALUE"""),10.9)</f>
        <v>10.9</v>
      </c>
      <c r="DI45" s="119">
        <f ca="1">IFERROR(__xludf.DUMMYFUNCTION("""COMPUTED_VALUE"""),145.01)</f>
        <v>145.01</v>
      </c>
      <c r="DJ45" s="119">
        <f ca="1">IFERROR(__xludf.DUMMYFUNCTION("""COMPUTED_VALUE"""),12.06)</f>
        <v>12.06</v>
      </c>
      <c r="DK45" s="119">
        <f ca="1">IFERROR(__xludf.DUMMYFUNCTION("""COMPUTED_VALUE"""),1.8)</f>
        <v>1.8</v>
      </c>
      <c r="DL45" s="119">
        <f ca="1">IFERROR(__xludf.DUMMYFUNCTION("""COMPUTED_VALUE"""),25.25)</f>
        <v>25.25</v>
      </c>
      <c r="DM45" s="119">
        <f ca="1">IFERROR(__xludf.DUMMYFUNCTION("""COMPUTED_VALUE"""),428.59)</f>
        <v>428.59</v>
      </c>
      <c r="DN45" s="119">
        <f ca="1">IFERROR(__xludf.DUMMYFUNCTION("""COMPUTED_VALUE"""),157.55)</f>
        <v>157.55000000000001</v>
      </c>
      <c r="DO45" s="119">
        <f ca="1">IFERROR(__xludf.DUMMYFUNCTION("""COMPUTED_VALUE"""),382.6)</f>
        <v>382.6</v>
      </c>
      <c r="DP45" s="119">
        <f ca="1">IFERROR(__xludf.DUMMYFUNCTION("""COMPUTED_VALUE"""),11)</f>
        <v>11</v>
      </c>
      <c r="DQ45" s="119">
        <f ca="1">IFERROR(__xludf.DUMMYFUNCTION("""COMPUTED_VALUE"""),100.37)</f>
        <v>100.37</v>
      </c>
      <c r="DR45" s="119">
        <f ca="1">IFERROR(__xludf.DUMMYFUNCTION("""COMPUTED_VALUE"""),1)</f>
        <v>1</v>
      </c>
      <c r="DS45" s="119">
        <f ca="1">IFERROR(__xludf.DUMMYFUNCTION("""COMPUTED_VALUE"""),3.12)</f>
        <v>3.12</v>
      </c>
      <c r="DT45" s="119">
        <f ca="1">IFERROR(__xludf.DUMMYFUNCTION("""COMPUTED_VALUE"""),4.76)</f>
        <v>4.76</v>
      </c>
      <c r="DU45" s="119">
        <f ca="1">IFERROR(__xludf.DUMMYFUNCTION("""COMPUTED_VALUE"""),54.24)</f>
        <v>54.24</v>
      </c>
      <c r="DV45" s="119">
        <f ca="1">IFERROR(__xludf.DUMMYFUNCTION("""COMPUTED_VALUE"""),13.64)</f>
        <v>13.64</v>
      </c>
      <c r="DW45" s="119">
        <f ca="1">IFERROR(__xludf.DUMMYFUNCTION("""COMPUTED_VALUE"""),0.062)</f>
        <v>6.2E-2</v>
      </c>
      <c r="DX45" s="119">
        <f ca="1">IFERROR(__xludf.DUMMYFUNCTION("""COMPUTED_VALUE"""),25.65)</f>
        <v>25.65</v>
      </c>
      <c r="DY45" s="119">
        <f ca="1">IFERROR(__xludf.DUMMYFUNCTION("""COMPUTED_VALUE"""),843.57)</f>
        <v>843.57</v>
      </c>
      <c r="DZ45" s="119">
        <f ca="1">IFERROR(__xludf.DUMMYFUNCTION("""COMPUTED_VALUE"""),79.23)</f>
        <v>79.23</v>
      </c>
      <c r="EA45" s="119">
        <f ca="1">IFERROR(__xludf.DUMMYFUNCTION("""COMPUTED_VALUE"""),47.12)</f>
        <v>47.12</v>
      </c>
      <c r="EB45" s="119">
        <f ca="1">IFERROR(__xludf.DUMMYFUNCTION("""COMPUTED_VALUE"""),71.42)</f>
        <v>71.42</v>
      </c>
      <c r="EC45" s="119">
        <f ca="1">IFERROR(__xludf.DUMMYFUNCTION("""COMPUTED_VALUE"""),74.02)</f>
        <v>74.02</v>
      </c>
      <c r="ED45" s="119">
        <f ca="1">IFERROR(__xludf.DUMMYFUNCTION("""COMPUTED_VALUE"""),38.91)</f>
        <v>38.909999999999997</v>
      </c>
      <c r="EE45" s="119">
        <f ca="1">IFERROR(__xludf.DUMMYFUNCTION("""COMPUTED_VALUE"""),85.58)</f>
        <v>85.58</v>
      </c>
      <c r="EF45" s="119">
        <f ca="1">IFERROR(__xludf.DUMMYFUNCTION("""COMPUTED_VALUE"""),178.13)</f>
        <v>178.13</v>
      </c>
      <c r="EG45" s="119">
        <f ca="1">IFERROR(__xludf.DUMMYFUNCTION("""COMPUTED_VALUE"""),67.35)</f>
        <v>67.349999999999994</v>
      </c>
      <c r="EH45" s="119">
        <f ca="1">IFERROR(__xludf.DUMMYFUNCTION("""COMPUTED_VALUE"""),102.45)</f>
        <v>102.45</v>
      </c>
      <c r="EI45" s="119">
        <f ca="1">IFERROR(__xludf.DUMMYFUNCTION("""COMPUTED_VALUE"""),136.12)</f>
        <v>136.12</v>
      </c>
      <c r="EJ45" s="119">
        <f ca="1">IFERROR(__xludf.DUMMYFUNCTION("""COMPUTED_VALUE"""),42.56)</f>
        <v>42.56</v>
      </c>
      <c r="EK45" s="119">
        <f ca="1">IFERROR(__xludf.DUMMYFUNCTION("""COMPUTED_VALUE"""),258.5)</f>
        <v>258.5</v>
      </c>
      <c r="EL45" s="119">
        <f ca="1">IFERROR(__xludf.DUMMYFUNCTION("""COMPUTED_VALUE"""),60.8)</f>
        <v>60.8</v>
      </c>
      <c r="EM45" s="119">
        <f ca="1">IFERROR(__xludf.DUMMYFUNCTION("""COMPUTED_VALUE"""),48.61)</f>
        <v>48.61</v>
      </c>
      <c r="EN45" s="119">
        <f ca="1">IFERROR(__xludf.DUMMYFUNCTION("""COMPUTED_VALUE"""),1720.15)</f>
        <v>1720.15</v>
      </c>
      <c r="EO45" s="119">
        <f ca="1">IFERROR(__xludf.DUMMYFUNCTION("""COMPUTED_VALUE"""),11.98)</f>
        <v>11.98</v>
      </c>
      <c r="EP45" s="119">
        <f ca="1">IFERROR(__xludf.DUMMYFUNCTION("""COMPUTED_VALUE"""),7.65)</f>
        <v>7.65</v>
      </c>
      <c r="EQ45" s="119">
        <f ca="1">IFERROR(__xludf.DUMMYFUNCTION("""COMPUTED_VALUE"""),1.55)</f>
        <v>1.55</v>
      </c>
      <c r="ER45" s="119">
        <f ca="1">IFERROR(__xludf.DUMMYFUNCTION("""COMPUTED_VALUE"""),4404.5)</f>
        <v>4404.5</v>
      </c>
      <c r="ES45" s="119">
        <f ca="1">IFERROR(__xludf.DUMMYFUNCTION("""COMPUTED_VALUE"""),94.94)</f>
        <v>94.94</v>
      </c>
      <c r="ET45" s="119">
        <f ca="1">IFERROR(__xludf.DUMMYFUNCTION("""COMPUTED_VALUE"""),106.64)</f>
        <v>106.64</v>
      </c>
      <c r="EU45" s="119">
        <f ca="1">IFERROR(__xludf.DUMMYFUNCTION("""COMPUTED_VALUE"""),32.15)</f>
        <v>32.15</v>
      </c>
      <c r="EV45" s="119">
        <f ca="1">IFERROR(__xludf.DUMMYFUNCTION("""COMPUTED_VALUE"""),1.42)</f>
        <v>1.42</v>
      </c>
      <c r="EW45" s="119">
        <f ca="1">IFERROR(__xludf.DUMMYFUNCTION("""COMPUTED_VALUE"""),14)</f>
        <v>14</v>
      </c>
      <c r="EX45" s="117">
        <f ca="1">IFERROR(__xludf.DUMMYFUNCTION("""COMPUTED_VALUE"""),4.19)</f>
        <v>4.1900000000000004</v>
      </c>
      <c r="EY45" s="117">
        <f ca="1">IFERROR(__xludf.DUMMYFUNCTION("""COMPUTED_VALUE"""),165)</f>
        <v>165</v>
      </c>
      <c r="EZ45" s="117">
        <f ca="1">IFERROR(__xludf.DUMMYFUNCTION("""COMPUTED_VALUE"""),25.48)</f>
        <v>25.48</v>
      </c>
      <c r="FA45" s="117">
        <f ca="1">IFERROR(__xludf.DUMMYFUNCTION("""COMPUTED_VALUE"""),2.98)</f>
        <v>2.98</v>
      </c>
      <c r="FB45" s="117">
        <f ca="1">IFERROR(__xludf.DUMMYFUNCTION("""COMPUTED_VALUE"""),140.15)</f>
        <v>140.15</v>
      </c>
      <c r="FC45" s="117">
        <f ca="1">IFERROR(__xludf.DUMMYFUNCTION("""COMPUTED_VALUE"""),10.54)</f>
        <v>10.54</v>
      </c>
      <c r="FD45" s="117" t="str">
        <f ca="1">IFERROR(__xludf.DUMMYFUNCTION("""COMPUTED_VALUE"""),"")</f>
        <v/>
      </c>
      <c r="FE45" s="117" t="str">
        <f ca="1">IFERROR(__xludf.DUMMYFUNCTION("""COMPUTED_VALUE"""),"")</f>
        <v/>
      </c>
      <c r="FF45" s="117" t="str">
        <f ca="1">IFERROR(__xludf.DUMMYFUNCTION("""COMPUTED_VALUE"""),"")</f>
        <v/>
      </c>
      <c r="FG45" s="117" t="str">
        <f ca="1">IFERROR(__xludf.DUMMYFUNCTION("""COMPUTED_VALUE"""),"")</f>
        <v/>
      </c>
      <c r="FH45" s="117" t="str">
        <f ca="1">IFERROR(__xludf.DUMMYFUNCTION("""COMPUTED_VALUE"""),"")</f>
        <v/>
      </c>
      <c r="FI45" s="117" t="str">
        <f ca="1">IFERROR(__xludf.DUMMYFUNCTION("""COMPUTED_VALUE"""),"")</f>
        <v/>
      </c>
      <c r="FJ45" s="117" t="str">
        <f ca="1">IFERROR(__xludf.DUMMYFUNCTION("""COMPUTED_VALUE"""),"")</f>
        <v/>
      </c>
      <c r="FK45" s="117" t="str">
        <f ca="1">IFERROR(__xludf.DUMMYFUNCTION("""COMPUTED_VALUE"""),"")</f>
        <v/>
      </c>
      <c r="FL45" s="117" t="str">
        <f ca="1">IFERROR(__xludf.DUMMYFUNCTION("""COMPUTED_VALUE"""),"")</f>
        <v/>
      </c>
      <c r="FM45" s="117" t="str">
        <f ca="1">IFERROR(__xludf.DUMMYFUNCTION("""COMPUTED_VALUE"""),"")</f>
        <v/>
      </c>
      <c r="FN45" s="117" t="str">
        <f ca="1">IFERROR(__xludf.DUMMYFUNCTION("""COMPUTED_VALUE"""),"")</f>
        <v/>
      </c>
      <c r="FO45" s="117" t="str">
        <f ca="1">IFERROR(__xludf.DUMMYFUNCTION("""COMPUTED_VALUE"""),"")</f>
        <v/>
      </c>
    </row>
    <row r="46" spans="1:171" ht="15.75" customHeight="1" x14ac:dyDescent="0.15">
      <c r="A46" s="115">
        <f ca="1">IFERROR(__xludf.DUMMYFUNCTION("""COMPUTED_VALUE"""),44638)</f>
        <v>44638</v>
      </c>
      <c r="B46" s="119">
        <f ca="1">IFERROR(__xludf.DUMMYFUNCTION("""COMPUTED_VALUE"""),3225.01)</f>
        <v>3225.01</v>
      </c>
      <c r="C46" s="119">
        <f ca="1">IFERROR(__xludf.DUMMYFUNCTION("""COMPUTED_VALUE"""),216.49)</f>
        <v>216.49</v>
      </c>
      <c r="D46" s="119">
        <f ca="1">IFERROR(__xludf.DUMMYFUNCTION("""COMPUTED_VALUE"""),905.39)</f>
        <v>905.39</v>
      </c>
      <c r="E46" s="119">
        <f ca="1">IFERROR(__xludf.DUMMYFUNCTION("""COMPUTED_VALUE"""),381)</f>
        <v>381</v>
      </c>
      <c r="F46" s="119">
        <f ca="1">IFERROR(__xludf.DUMMYFUNCTION("""COMPUTED_VALUE"""),9.84)</f>
        <v>9.84</v>
      </c>
      <c r="G46" s="119">
        <f ca="1">IFERROR(__xludf.DUMMYFUNCTION("""COMPUTED_VALUE"""),163.98)</f>
        <v>163.98</v>
      </c>
      <c r="H46" s="119">
        <f ca="1">IFERROR(__xludf.DUMMYFUNCTION("""COMPUTED_VALUE"""),10.1)</f>
        <v>10.1</v>
      </c>
      <c r="I46" s="119">
        <f ca="1">IFERROR(__xludf.DUMMYFUNCTION("""COMPUTED_VALUE"""),1.96)</f>
        <v>1.96</v>
      </c>
      <c r="J46" s="119">
        <f ca="1">IFERROR(__xludf.DUMMYFUNCTION("""COMPUTED_VALUE"""),0.12)</f>
        <v>0.12</v>
      </c>
      <c r="K46" s="119">
        <f ca="1">IFERROR(__xludf.DUMMYFUNCTION("""COMPUTED_VALUE"""),37.35)</f>
        <v>37.35</v>
      </c>
      <c r="L46" s="119">
        <f ca="1">IFERROR(__xludf.DUMMYFUNCTION("""COMPUTED_VALUE"""),153.3)</f>
        <v>153.30000000000001</v>
      </c>
      <c r="M46" s="119">
        <f ca="1">IFERROR(__xludf.DUMMYFUNCTION("""COMPUTED_VALUE"""),41885.73)</f>
        <v>41885.730000000003</v>
      </c>
      <c r="N46" s="119">
        <f ca="1">IFERROR(__xludf.DUMMYFUNCTION("""COMPUTED_VALUE"""),380.6)</f>
        <v>380.6</v>
      </c>
      <c r="O46" s="119">
        <f ca="1">IFERROR(__xludf.DUMMYFUNCTION("""COMPUTED_VALUE"""),300.43)</f>
        <v>300.43</v>
      </c>
      <c r="P46" s="119">
        <f ca="1">IFERROR(__xludf.DUMMYFUNCTION("""COMPUTED_VALUE"""),28.95)</f>
        <v>28.95</v>
      </c>
      <c r="Q46" s="119">
        <f ca="1">IFERROR(__xludf.DUMMYFUNCTION("""COMPUTED_VALUE"""),24.71)</f>
        <v>24.71</v>
      </c>
      <c r="R46" s="119">
        <f ca="1">IFERROR(__xludf.DUMMYFUNCTION("""COMPUTED_VALUE"""),65.13)</f>
        <v>65.13</v>
      </c>
      <c r="S46" s="119">
        <f ca="1">IFERROR(__xludf.DUMMYFUNCTION("""COMPUTED_VALUE"""),28.7)</f>
        <v>28.7</v>
      </c>
      <c r="T46" s="119">
        <f ca="1">IFERROR(__xludf.DUMMYFUNCTION("""COMPUTED_VALUE"""),28.77)</f>
        <v>28.77</v>
      </c>
      <c r="U46" s="119">
        <f ca="1">IFERROR(__xludf.DUMMYFUNCTION("""COMPUTED_VALUE"""),42.17)</f>
        <v>42.17</v>
      </c>
      <c r="V46" s="119">
        <f ca="1">IFERROR(__xludf.DUMMYFUNCTION("""COMPUTED_VALUE"""),14.98)</f>
        <v>14.98</v>
      </c>
      <c r="W46" s="119">
        <f ca="1">IFERROR(__xludf.DUMMYFUNCTION("""COMPUTED_VALUE"""),238.92)</f>
        <v>238.92</v>
      </c>
      <c r="X46" s="119">
        <f ca="1">IFERROR(__xludf.DUMMYFUNCTION("""COMPUTED_VALUE"""),2736.03)</f>
        <v>2736.03</v>
      </c>
      <c r="Y46" s="119">
        <f ca="1">IFERROR(__xludf.DUMMYFUNCTION("""COMPUTED_VALUE"""),57.95)</f>
        <v>57.95</v>
      </c>
      <c r="Z46" s="119">
        <f ca="1">IFERROR(__xludf.DUMMYFUNCTION("""COMPUTED_VALUE"""),53.55)</f>
        <v>53.55</v>
      </c>
      <c r="AA46" s="119">
        <f ca="1">IFERROR(__xludf.DUMMYFUNCTION("""COMPUTED_VALUE"""),109.84)</f>
        <v>109.84</v>
      </c>
      <c r="AB46" s="119">
        <f ca="1">IFERROR(__xludf.DUMMYFUNCTION("""COMPUTED_VALUE"""),4.63)</f>
        <v>4.63</v>
      </c>
      <c r="AC46" s="119">
        <f ca="1">IFERROR(__xludf.DUMMYFUNCTION("""COMPUTED_VALUE"""),73.88)</f>
        <v>73.88</v>
      </c>
      <c r="AD46" s="119">
        <f ca="1">IFERROR(__xludf.DUMMYFUNCTION("""COMPUTED_VALUE"""),12.16)</f>
        <v>12.16</v>
      </c>
      <c r="AE46" s="119">
        <f ca="1">IFERROR(__xludf.DUMMYFUNCTION("""COMPUTED_VALUE"""),5.94)</f>
        <v>5.94</v>
      </c>
      <c r="AF46" s="119">
        <f ca="1">IFERROR(__xludf.DUMMYFUNCTION("""COMPUTED_VALUE"""),39.74)</f>
        <v>39.74</v>
      </c>
      <c r="AG46" s="119">
        <f ca="1">IFERROR(__xludf.DUMMYFUNCTION("""COMPUTED_VALUE"""),12.58)</f>
        <v>12.58</v>
      </c>
      <c r="AH46" s="119">
        <f ca="1">IFERROR(__xludf.DUMMYFUNCTION("""COMPUTED_VALUE"""),2.1)</f>
        <v>2.1</v>
      </c>
      <c r="AI46" s="119">
        <f ca="1">IFERROR(__xludf.DUMMYFUNCTION("""COMPUTED_VALUE"""),3.34)</f>
        <v>3.34</v>
      </c>
      <c r="AJ46" s="119">
        <f ca="1">IFERROR(__xludf.DUMMYFUNCTION("""COMPUTED_VALUE"""),100.8)</f>
        <v>100.8</v>
      </c>
      <c r="AK46" s="119">
        <f ca="1">IFERROR(__xludf.DUMMYFUNCTION("""COMPUTED_VALUE"""),264.53)</f>
        <v>264.52999999999997</v>
      </c>
      <c r="AL46" s="119">
        <f ca="1">IFERROR(__xludf.DUMMYFUNCTION("""COMPUTED_VALUE"""),13.52)</f>
        <v>13.52</v>
      </c>
      <c r="AM46" s="119">
        <f ca="1">IFERROR(__xludf.DUMMYFUNCTION("""COMPUTED_VALUE"""),42.9)</f>
        <v>42.9</v>
      </c>
      <c r="AN46" s="119">
        <f ca="1">IFERROR(__xludf.DUMMYFUNCTION("""COMPUTED_VALUE"""),342.41)</f>
        <v>342.41</v>
      </c>
      <c r="AO46" s="119">
        <f ca="1">IFERROR(__xludf.DUMMYFUNCTION("""COMPUTED_VALUE"""),106.12)</f>
        <v>106.12</v>
      </c>
      <c r="AP46" s="119">
        <f ca="1">IFERROR(__xludf.DUMMYFUNCTION("""COMPUTED_VALUE"""),78.76)</f>
        <v>78.760000000000005</v>
      </c>
      <c r="AQ46" s="119">
        <f ca="1">IFERROR(__xludf.DUMMYFUNCTION("""COMPUTED_VALUE"""),51.7)</f>
        <v>51.7</v>
      </c>
      <c r="AR46" s="118">
        <f ca="1">IFERROR(__xludf.DUMMYFUNCTION("""COMPUTED_VALUE"""),103.7175)</f>
        <v>103.7175</v>
      </c>
      <c r="AS46" s="119">
        <f ca="1">IFERROR(__xludf.DUMMYFUNCTION("""COMPUTED_VALUE"""),15.33)</f>
        <v>15.33</v>
      </c>
      <c r="AT46" s="119">
        <f ca="1">IFERROR(__xludf.DUMMYFUNCTION("""COMPUTED_VALUE"""),98.35)</f>
        <v>98.35</v>
      </c>
      <c r="AU46" s="119">
        <f ca="1">IFERROR(__xludf.DUMMYFUNCTION("""COMPUTED_VALUE"""),64.56)</f>
        <v>64.56</v>
      </c>
      <c r="AV46" s="119">
        <f ca="1">IFERROR(__xludf.DUMMYFUNCTION("""COMPUTED_VALUE"""),140.3)</f>
        <v>140.30000000000001</v>
      </c>
      <c r="AW46" s="119">
        <f ca="1">IFERROR(__xludf.DUMMYFUNCTION("""COMPUTED_VALUE"""),135.14)</f>
        <v>135.13999999999999</v>
      </c>
      <c r="AX46" s="119">
        <f ca="1">IFERROR(__xludf.DUMMYFUNCTION("""COMPUTED_VALUE"""),18.8)</f>
        <v>18.8</v>
      </c>
      <c r="AY46" s="119">
        <f ca="1">IFERROR(__xludf.DUMMYFUNCTION("""COMPUTED_VALUE"""),49.62)</f>
        <v>49.62</v>
      </c>
      <c r="AZ46" s="119">
        <f ca="1">IFERROR(__xludf.DUMMYFUNCTION("""COMPUTED_VALUE"""),0)</f>
        <v>0</v>
      </c>
      <c r="BA46" s="119">
        <f ca="1">IFERROR(__xludf.DUMMYFUNCTION("""COMPUTED_VALUE"""),0)</f>
        <v>0</v>
      </c>
      <c r="BB46" s="119">
        <f ca="1">IFERROR(__xludf.DUMMYFUNCTION("""COMPUTED_VALUE"""),11.94)</f>
        <v>11.94</v>
      </c>
      <c r="BC46" s="119">
        <f ca="1">IFERROR(__xludf.DUMMYFUNCTION("""COMPUTED_VALUE"""),9.15)</f>
        <v>9.15</v>
      </c>
      <c r="BD46" s="119">
        <f ca="1">IFERROR(__xludf.DUMMYFUNCTION("""COMPUTED_VALUE"""),178.6)</f>
        <v>178.6</v>
      </c>
      <c r="BE46" s="119">
        <f ca="1">IFERROR(__xludf.DUMMYFUNCTION("""COMPUTED_VALUE"""),138.6)</f>
        <v>138.6</v>
      </c>
      <c r="BF46" s="119">
        <f ca="1">IFERROR(__xludf.DUMMYFUNCTION("""COMPUTED_VALUE"""),11.34)</f>
        <v>11.34</v>
      </c>
      <c r="BG46" s="119">
        <f ca="1">IFERROR(__xludf.DUMMYFUNCTION("""COMPUTED_VALUE"""),577.02)</f>
        <v>577.02</v>
      </c>
      <c r="BH46" s="119">
        <f ca="1">IFERROR(__xludf.DUMMYFUNCTION("""COMPUTED_VALUE"""),294.73)</f>
        <v>294.73</v>
      </c>
      <c r="BI46" s="119">
        <f ca="1">IFERROR(__xludf.DUMMYFUNCTION("""COMPUTED_VALUE"""),236.25)</f>
        <v>236.25</v>
      </c>
      <c r="BJ46" s="119">
        <f ca="1">IFERROR(__xludf.DUMMYFUNCTION("""COMPUTED_VALUE"""),25.67)</f>
        <v>25.67</v>
      </c>
      <c r="BK46" s="119">
        <f ca="1">IFERROR(__xludf.DUMMYFUNCTION("""COMPUTED_VALUE"""),318.21)</f>
        <v>318.20999999999998</v>
      </c>
      <c r="BL46" s="119">
        <f ca="1">IFERROR(__xludf.DUMMYFUNCTION("""COMPUTED_VALUE"""),127.18)</f>
        <v>127.18</v>
      </c>
      <c r="BM46" s="119">
        <f ca="1">IFERROR(__xludf.DUMMYFUNCTION("""COMPUTED_VALUE"""),16.86)</f>
        <v>16.86</v>
      </c>
      <c r="BN46" s="119">
        <f ca="1">IFERROR(__xludf.DUMMYFUNCTION("""COMPUTED_VALUE"""),334.07)</f>
        <v>334.07</v>
      </c>
      <c r="BO46" s="119">
        <f ca="1">IFERROR(__xludf.DUMMYFUNCTION("""COMPUTED_VALUE"""),713.92)</f>
        <v>713.92</v>
      </c>
      <c r="BP46" s="119">
        <f ca="1">IFERROR(__xludf.DUMMYFUNCTION("""COMPUTED_VALUE"""),45.6)</f>
        <v>45.6</v>
      </c>
      <c r="BQ46" s="119">
        <f ca="1">IFERROR(__xludf.DUMMYFUNCTION("""COMPUTED_VALUE"""),9.87)</f>
        <v>9.8699999999999992</v>
      </c>
      <c r="BR46" s="119">
        <f ca="1">IFERROR(__xludf.DUMMYFUNCTION("""COMPUTED_VALUE"""),39.17)</f>
        <v>39.17</v>
      </c>
      <c r="BS46" s="119">
        <f ca="1">IFERROR(__xludf.DUMMYFUNCTION("""COMPUTED_VALUE"""),0.96)</f>
        <v>0.96</v>
      </c>
      <c r="BT46" s="119">
        <f ca="1">IFERROR(__xludf.DUMMYFUNCTION("""COMPUTED_VALUE"""),47.38)</f>
        <v>47.38</v>
      </c>
      <c r="BU46" s="119">
        <f ca="1">IFERROR(__xludf.DUMMYFUNCTION("""COMPUTED_VALUE"""),37.2)</f>
        <v>37.200000000000003</v>
      </c>
      <c r="BV46" s="119">
        <f ca="1">IFERROR(__xludf.DUMMYFUNCTION("""COMPUTED_VALUE"""),52.9)</f>
        <v>52.9</v>
      </c>
      <c r="BW46" s="119">
        <f ca="1">IFERROR(__xludf.DUMMYFUNCTION("""COMPUTED_VALUE"""),7.86)</f>
        <v>7.86</v>
      </c>
      <c r="BX46" s="119">
        <f ca="1">IFERROR(__xludf.DUMMYFUNCTION("""COMPUTED_VALUE"""),5.24)</f>
        <v>5.24</v>
      </c>
      <c r="BY46" s="119">
        <f ca="1">IFERROR(__xludf.DUMMYFUNCTION("""COMPUTED_VALUE"""),0)</f>
        <v>0</v>
      </c>
      <c r="BZ46" s="119">
        <f ca="1">IFERROR(__xludf.DUMMYFUNCTION("""COMPUTED_VALUE"""),15.04)</f>
        <v>15.04</v>
      </c>
      <c r="CA46" s="119">
        <f ca="1">IFERROR(__xludf.DUMMYFUNCTION("""COMPUTED_VALUE"""),3.66)</f>
        <v>3.66</v>
      </c>
      <c r="CB46" s="119">
        <f ca="1">IFERROR(__xludf.DUMMYFUNCTION("""COMPUTED_VALUE"""),5.49)</f>
        <v>5.49</v>
      </c>
      <c r="CC46" s="119">
        <f ca="1">IFERROR(__xludf.DUMMYFUNCTION("""COMPUTED_VALUE"""),18.63)</f>
        <v>18.63</v>
      </c>
      <c r="CD46" s="119">
        <f ca="1">IFERROR(__xludf.DUMMYFUNCTION("""COMPUTED_VALUE"""),13.55)</f>
        <v>13.55</v>
      </c>
      <c r="CE46" s="119">
        <f ca="1">IFERROR(__xludf.DUMMYFUNCTION("""COMPUTED_VALUE"""),29.87)</f>
        <v>29.87</v>
      </c>
      <c r="CF46" s="119">
        <f ca="1">IFERROR(__xludf.DUMMYFUNCTION("""COMPUTED_VALUE"""),105.1)</f>
        <v>105.1</v>
      </c>
      <c r="CG46" s="119">
        <f ca="1">IFERROR(__xludf.DUMMYFUNCTION("""COMPUTED_VALUE"""),5.07)</f>
        <v>5.07</v>
      </c>
      <c r="CH46" s="119">
        <f ca="1">IFERROR(__xludf.DUMMYFUNCTION("""COMPUTED_VALUE"""),23.87)</f>
        <v>23.87</v>
      </c>
      <c r="CI46" s="119">
        <f ca="1">IFERROR(__xludf.DUMMYFUNCTION("""COMPUTED_VALUE"""),47.37)</f>
        <v>47.37</v>
      </c>
      <c r="CJ46" s="119">
        <f ca="1">IFERROR(__xludf.DUMMYFUNCTION("""COMPUTED_VALUE"""),33)</f>
        <v>33</v>
      </c>
      <c r="CK46" s="119">
        <f ca="1">IFERROR(__xludf.DUMMYFUNCTION("""COMPUTED_VALUE"""),12.35)</f>
        <v>12.35</v>
      </c>
      <c r="CL46" s="119">
        <f ca="1">IFERROR(__xludf.DUMMYFUNCTION("""COMPUTED_VALUE"""),2722.51)</f>
        <v>2722.51</v>
      </c>
      <c r="CM46" s="119">
        <f ca="1">IFERROR(__xludf.DUMMYFUNCTION("""COMPUTED_VALUE"""),3.25)</f>
        <v>3.25</v>
      </c>
      <c r="CN46" s="119">
        <f ca="1">IFERROR(__xludf.DUMMYFUNCTION("""COMPUTED_VALUE"""),190.1)</f>
        <v>190.1</v>
      </c>
      <c r="CO46" s="119">
        <f ca="1">IFERROR(__xludf.DUMMYFUNCTION("""COMPUTED_VALUE"""),149.4)</f>
        <v>149.4</v>
      </c>
      <c r="CP46" s="119">
        <f ca="1">IFERROR(__xludf.DUMMYFUNCTION("""COMPUTED_VALUE"""),65.77)</f>
        <v>65.77</v>
      </c>
      <c r="CQ46" s="119">
        <f ca="1">IFERROR(__xludf.DUMMYFUNCTION("""COMPUTED_VALUE"""),70700)</f>
        <v>70700</v>
      </c>
      <c r="CR46" s="119">
        <f ca="1">IFERROR(__xludf.DUMMYFUNCTION("""COMPUTED_VALUE"""),0.52)</f>
        <v>0.52</v>
      </c>
      <c r="CS46" s="119">
        <f ca="1">IFERROR(__xludf.DUMMYFUNCTION("""COMPUTED_VALUE"""),34.9)</f>
        <v>34.9</v>
      </c>
      <c r="CT46" s="119">
        <f ca="1">IFERROR(__xludf.DUMMYFUNCTION("""COMPUTED_VALUE"""),21.66)</f>
        <v>21.66</v>
      </c>
      <c r="CU46" s="119">
        <f ca="1">IFERROR(__xludf.DUMMYFUNCTION("""COMPUTED_VALUE"""),1921.5)</f>
        <v>1921.5</v>
      </c>
      <c r="CV46" s="119">
        <f ca="1">IFERROR(__xludf.DUMMYFUNCTION("""COMPUTED_VALUE"""),2.63)</f>
        <v>2.63</v>
      </c>
      <c r="CW46" s="119">
        <f ca="1">IFERROR(__xludf.DUMMYFUNCTION("""COMPUTED_VALUE"""),2.88)</f>
        <v>2.88</v>
      </c>
      <c r="CX46" s="119">
        <f ca="1">IFERROR(__xludf.DUMMYFUNCTION("""COMPUTED_VALUE"""),0)</f>
        <v>0</v>
      </c>
      <c r="CY46" s="119">
        <f ca="1">IFERROR(__xludf.DUMMYFUNCTION("""COMPUTED_VALUE"""),0.1)</f>
        <v>0.1</v>
      </c>
      <c r="CZ46" s="119">
        <f ca="1">IFERROR(__xludf.DUMMYFUNCTION("""COMPUTED_VALUE"""),76.4)</f>
        <v>76.400000000000006</v>
      </c>
      <c r="DA46" s="119">
        <f ca="1">IFERROR(__xludf.DUMMYFUNCTION("""COMPUTED_VALUE"""),0.07)</f>
        <v>7.0000000000000007E-2</v>
      </c>
      <c r="DB46" s="119">
        <f ca="1">IFERROR(__xludf.DUMMYFUNCTION("""COMPUTED_VALUE"""),0.29)</f>
        <v>0.28999999999999998</v>
      </c>
      <c r="DC46" s="119">
        <f ca="1">IFERROR(__xludf.DUMMYFUNCTION("""COMPUTED_VALUE"""),155.07)</f>
        <v>155.07</v>
      </c>
      <c r="DD46" s="119">
        <f ca="1">IFERROR(__xludf.DUMMYFUNCTION("""COMPUTED_VALUE"""),11.01)</f>
        <v>11.01</v>
      </c>
      <c r="DE46" s="119">
        <f ca="1">IFERROR(__xludf.DUMMYFUNCTION("""COMPUTED_VALUE"""),7.77)</f>
        <v>7.77</v>
      </c>
      <c r="DF46" s="119">
        <f ca="1">IFERROR(__xludf.DUMMYFUNCTION("""COMPUTED_VALUE"""),57.1)</f>
        <v>57.1</v>
      </c>
      <c r="DG46" s="119">
        <f ca="1">IFERROR(__xludf.DUMMYFUNCTION("""COMPUTED_VALUE"""),5.67)</f>
        <v>5.67</v>
      </c>
      <c r="DH46" s="119">
        <f ca="1">IFERROR(__xludf.DUMMYFUNCTION("""COMPUTED_VALUE"""),10.95)</f>
        <v>10.95</v>
      </c>
      <c r="DI46" s="119">
        <f ca="1">IFERROR(__xludf.DUMMYFUNCTION("""COMPUTED_VALUE"""),145.44)</f>
        <v>145.44</v>
      </c>
      <c r="DJ46" s="119">
        <f ca="1">IFERROR(__xludf.DUMMYFUNCTION("""COMPUTED_VALUE"""),12.49)</f>
        <v>12.49</v>
      </c>
      <c r="DK46" s="119">
        <f ca="1">IFERROR(__xludf.DUMMYFUNCTION("""COMPUTED_VALUE"""),2.85)</f>
        <v>2.85</v>
      </c>
      <c r="DL46" s="119">
        <f ca="1">IFERROR(__xludf.DUMMYFUNCTION("""COMPUTED_VALUE"""),25.3)</f>
        <v>25.3</v>
      </c>
      <c r="DM46" s="119">
        <f ca="1">IFERROR(__xludf.DUMMYFUNCTION("""COMPUTED_VALUE"""),426.18)</f>
        <v>426.18</v>
      </c>
      <c r="DN46" s="119">
        <f ca="1">IFERROR(__xludf.DUMMYFUNCTION("""COMPUTED_VALUE"""),167)</f>
        <v>167</v>
      </c>
      <c r="DO46" s="119">
        <f ca="1">IFERROR(__xludf.DUMMYFUNCTION("""COMPUTED_VALUE"""),378.6)</f>
        <v>378.6</v>
      </c>
      <c r="DP46" s="119">
        <f ca="1">IFERROR(__xludf.DUMMYFUNCTION("""COMPUTED_VALUE"""),6.33)</f>
        <v>6.33</v>
      </c>
      <c r="DQ46" s="119">
        <f ca="1">IFERROR(__xludf.DUMMYFUNCTION("""COMPUTED_VALUE"""),108.3)</f>
        <v>108.3</v>
      </c>
      <c r="DR46" s="119">
        <f ca="1">IFERROR(__xludf.DUMMYFUNCTION("""COMPUTED_VALUE"""),0.4)</f>
        <v>0.4</v>
      </c>
      <c r="DS46" s="119">
        <f ca="1">IFERROR(__xludf.DUMMYFUNCTION("""COMPUTED_VALUE"""),3.52)</f>
        <v>3.52</v>
      </c>
      <c r="DT46" s="119">
        <f ca="1">IFERROR(__xludf.DUMMYFUNCTION("""COMPUTED_VALUE"""),4.91)</f>
        <v>4.91</v>
      </c>
      <c r="DU46" s="119">
        <f ca="1">IFERROR(__xludf.DUMMYFUNCTION("""COMPUTED_VALUE"""),54.51)</f>
        <v>54.51</v>
      </c>
      <c r="DV46" s="119">
        <f ca="1">IFERROR(__xludf.DUMMYFUNCTION("""COMPUTED_VALUE"""),13.86)</f>
        <v>13.86</v>
      </c>
      <c r="DW46" s="119">
        <f ca="1">IFERROR(__xludf.DUMMYFUNCTION("""COMPUTED_VALUE"""),0.062)</f>
        <v>6.2E-2</v>
      </c>
      <c r="DX46" s="119">
        <f ca="1">IFERROR(__xludf.DUMMYFUNCTION("""COMPUTED_VALUE"""),26.43)</f>
        <v>26.43</v>
      </c>
      <c r="DY46" s="119">
        <f ca="1">IFERROR(__xludf.DUMMYFUNCTION("""COMPUTED_VALUE"""),872.25)</f>
        <v>872.25</v>
      </c>
      <c r="DZ46" s="119">
        <f ca="1">IFERROR(__xludf.DUMMYFUNCTION("""COMPUTED_VALUE"""),82.3)</f>
        <v>82.3</v>
      </c>
      <c r="EA46" s="119">
        <f ca="1">IFERROR(__xludf.DUMMYFUNCTION("""COMPUTED_VALUE"""),47.23)</f>
        <v>47.23</v>
      </c>
      <c r="EB46" s="119">
        <f ca="1">IFERROR(__xludf.DUMMYFUNCTION("""COMPUTED_VALUE"""),70.81)</f>
        <v>70.81</v>
      </c>
      <c r="EC46" s="119">
        <f ca="1">IFERROR(__xludf.DUMMYFUNCTION("""COMPUTED_VALUE"""),74.19)</f>
        <v>74.19</v>
      </c>
      <c r="ED46" s="119">
        <f ca="1">IFERROR(__xludf.DUMMYFUNCTION("""COMPUTED_VALUE"""),39)</f>
        <v>39</v>
      </c>
      <c r="EE46" s="119">
        <f ca="1">IFERROR(__xludf.DUMMYFUNCTION("""COMPUTED_VALUE"""),86.1)</f>
        <v>86.1</v>
      </c>
      <c r="EF46" s="119">
        <f ca="1">IFERROR(__xludf.DUMMYFUNCTION("""COMPUTED_VALUE"""),181.88)</f>
        <v>181.88</v>
      </c>
      <c r="EG46" s="119">
        <f ca="1">IFERROR(__xludf.DUMMYFUNCTION("""COMPUTED_VALUE"""),68.23)</f>
        <v>68.23</v>
      </c>
      <c r="EH46" s="119">
        <f ca="1">IFERROR(__xludf.DUMMYFUNCTION("""COMPUTED_VALUE"""),102.84)</f>
        <v>102.84</v>
      </c>
      <c r="EI46" s="119">
        <f ca="1">IFERROR(__xludf.DUMMYFUNCTION("""COMPUTED_VALUE"""),136.99)</f>
        <v>136.99</v>
      </c>
      <c r="EJ46" s="119">
        <f ca="1">IFERROR(__xludf.DUMMYFUNCTION("""COMPUTED_VALUE"""),42.3)</f>
        <v>42.3</v>
      </c>
      <c r="EK46" s="119">
        <f ca="1">IFERROR(__xludf.DUMMYFUNCTION("""COMPUTED_VALUE"""),275.99)</f>
        <v>275.99</v>
      </c>
      <c r="EL46" s="119">
        <f ca="1">IFERROR(__xludf.DUMMYFUNCTION("""COMPUTED_VALUE"""),58.4)</f>
        <v>58.4</v>
      </c>
      <c r="EM46" s="119">
        <f ca="1">IFERROR(__xludf.DUMMYFUNCTION("""COMPUTED_VALUE"""),50.2)</f>
        <v>50.2</v>
      </c>
      <c r="EN46" s="119">
        <f ca="1">IFERROR(__xludf.DUMMYFUNCTION("""COMPUTED_VALUE"""),1707.79)</f>
        <v>1707.79</v>
      </c>
      <c r="EO46" s="119">
        <f ca="1">IFERROR(__xludf.DUMMYFUNCTION("""COMPUTED_VALUE"""),12.3)</f>
        <v>12.3</v>
      </c>
      <c r="EP46" s="119">
        <f ca="1">IFERROR(__xludf.DUMMYFUNCTION("""COMPUTED_VALUE"""),7.65)</f>
        <v>7.65</v>
      </c>
      <c r="EQ46" s="119">
        <f ca="1">IFERROR(__xludf.DUMMYFUNCTION("""COMPUTED_VALUE"""),2)</f>
        <v>2</v>
      </c>
      <c r="ER46" s="119">
        <f ca="1">IFERROR(__xludf.DUMMYFUNCTION("""COMPUTED_VALUE"""),4400.5)</f>
        <v>4400.5</v>
      </c>
      <c r="ES46" s="119">
        <f ca="1">IFERROR(__xludf.DUMMYFUNCTION("""COMPUTED_VALUE"""),94.07)</f>
        <v>94.07</v>
      </c>
      <c r="ET46" s="119">
        <f ca="1">IFERROR(__xludf.DUMMYFUNCTION("""COMPUTED_VALUE"""),107.75)</f>
        <v>107.75</v>
      </c>
      <c r="EU46" s="119">
        <f ca="1">IFERROR(__xludf.DUMMYFUNCTION("""COMPUTED_VALUE"""),31.7)</f>
        <v>31.7</v>
      </c>
      <c r="EV46" s="119">
        <f ca="1">IFERROR(__xludf.DUMMYFUNCTION("""COMPUTED_VALUE"""),1.38)</f>
        <v>1.38</v>
      </c>
      <c r="EW46" s="119">
        <f ca="1">IFERROR(__xludf.DUMMYFUNCTION("""COMPUTED_VALUE"""),14.1)</f>
        <v>14.1</v>
      </c>
      <c r="EX46" s="117">
        <f ca="1">IFERROR(__xludf.DUMMYFUNCTION("""COMPUTED_VALUE"""),5.06)</f>
        <v>5.0599999999999996</v>
      </c>
      <c r="EY46" s="117">
        <f ca="1">IFERROR(__xludf.DUMMYFUNCTION("""COMPUTED_VALUE"""),174.46)</f>
        <v>174.46</v>
      </c>
      <c r="EZ46" s="117">
        <f ca="1">IFERROR(__xludf.DUMMYFUNCTION("""COMPUTED_VALUE"""),25.135)</f>
        <v>25.135000000000002</v>
      </c>
      <c r="FA46" s="117">
        <f ca="1">IFERROR(__xludf.DUMMYFUNCTION("""COMPUTED_VALUE"""),2.97)</f>
        <v>2.97</v>
      </c>
      <c r="FB46" s="117">
        <f ca="1">IFERROR(__xludf.DUMMYFUNCTION("""COMPUTED_VALUE"""),140.1)</f>
        <v>140.1</v>
      </c>
      <c r="FC46" s="117">
        <f ca="1">IFERROR(__xludf.DUMMYFUNCTION("""COMPUTED_VALUE"""),9.9)</f>
        <v>9.9</v>
      </c>
      <c r="FD46" s="117">
        <f ca="1">IFERROR(__xludf.DUMMYFUNCTION("""COMPUTED_VALUE"""),58.27)</f>
        <v>58.27</v>
      </c>
      <c r="FE46" s="117">
        <f ca="1">IFERROR(__xludf.DUMMYFUNCTION("""COMPUTED_VALUE"""),56.24)</f>
        <v>56.24</v>
      </c>
      <c r="FF46" s="117">
        <f ca="1">IFERROR(__xludf.DUMMYFUNCTION("""COMPUTED_VALUE"""),6.16)</f>
        <v>6.16</v>
      </c>
      <c r="FG46" s="117">
        <f ca="1">IFERROR(__xludf.DUMMYFUNCTION("""COMPUTED_VALUE"""),679.86)</f>
        <v>679.86</v>
      </c>
      <c r="FH46" s="117">
        <f ca="1">IFERROR(__xludf.DUMMYFUNCTION("""COMPUTED_VALUE"""),159.2)</f>
        <v>159.19999999999999</v>
      </c>
      <c r="FI46" s="117">
        <f ca="1">IFERROR(__xludf.DUMMYFUNCTION("""COMPUTED_VALUE"""),0.065)</f>
        <v>6.5000000000000002E-2</v>
      </c>
      <c r="FJ46" s="117">
        <f ca="1">IFERROR(__xludf.DUMMYFUNCTION("""COMPUTED_VALUE"""),16.2)</f>
        <v>16.2</v>
      </c>
      <c r="FK46" s="117">
        <f ca="1">IFERROR(__xludf.DUMMYFUNCTION("""COMPUTED_VALUE"""),203.88)</f>
        <v>203.88</v>
      </c>
      <c r="FL46" s="117" t="str">
        <f ca="1">IFERROR(__xludf.DUMMYFUNCTION("""COMPUTED_VALUE"""),"")</f>
        <v/>
      </c>
      <c r="FM46" s="117" t="str">
        <f ca="1">IFERROR(__xludf.DUMMYFUNCTION("""COMPUTED_VALUE"""),"")</f>
        <v/>
      </c>
      <c r="FN46" s="117" t="str">
        <f ca="1">IFERROR(__xludf.DUMMYFUNCTION("""COMPUTED_VALUE"""),"")</f>
        <v/>
      </c>
      <c r="FO46" s="117" t="str">
        <f ca="1">IFERROR(__xludf.DUMMYFUNCTION("""COMPUTED_VALUE"""),"")</f>
        <v/>
      </c>
    </row>
    <row r="47" spans="1:171" ht="15.75" customHeight="1" x14ac:dyDescent="0.15">
      <c r="A47" s="115">
        <f ca="1">IFERROR(__xludf.DUMMYFUNCTION("""COMPUTED_VALUE"""),44639)</f>
        <v>44639</v>
      </c>
      <c r="B47" s="119">
        <f ca="1">IFERROR(__xludf.DUMMYFUNCTION("""COMPUTED_VALUE"""),3225.01)</f>
        <v>3225.01</v>
      </c>
      <c r="C47" s="119">
        <f ca="1">IFERROR(__xludf.DUMMYFUNCTION("""COMPUTED_VALUE"""),216.49)</f>
        <v>216.49</v>
      </c>
      <c r="D47" s="119">
        <f ca="1">IFERROR(__xludf.DUMMYFUNCTION("""COMPUTED_VALUE"""),905.39)</f>
        <v>905.39</v>
      </c>
      <c r="E47" s="119">
        <f ca="1">IFERROR(__xludf.DUMMYFUNCTION("""COMPUTED_VALUE"""),381)</f>
        <v>381</v>
      </c>
      <c r="F47" s="119">
        <f ca="1">IFERROR(__xludf.DUMMYFUNCTION("""COMPUTED_VALUE"""),9.84)</f>
        <v>9.84</v>
      </c>
      <c r="G47" s="119">
        <f ca="1">IFERROR(__xludf.DUMMYFUNCTION("""COMPUTED_VALUE"""),163.98)</f>
        <v>163.98</v>
      </c>
      <c r="H47" s="119">
        <f ca="1">IFERROR(__xludf.DUMMYFUNCTION("""COMPUTED_VALUE"""),10.1)</f>
        <v>10.1</v>
      </c>
      <c r="I47" s="119">
        <f ca="1">IFERROR(__xludf.DUMMYFUNCTION("""COMPUTED_VALUE"""),1.96)</f>
        <v>1.96</v>
      </c>
      <c r="J47" s="119">
        <f ca="1">IFERROR(__xludf.DUMMYFUNCTION("""COMPUTED_VALUE"""),0.12)</f>
        <v>0.12</v>
      </c>
      <c r="K47" s="119">
        <f ca="1">IFERROR(__xludf.DUMMYFUNCTION("""COMPUTED_VALUE"""),37.35)</f>
        <v>37.35</v>
      </c>
      <c r="L47" s="119">
        <f ca="1">IFERROR(__xludf.DUMMYFUNCTION("""COMPUTED_VALUE"""),153.3)</f>
        <v>153.30000000000001</v>
      </c>
      <c r="M47" s="119">
        <f ca="1">IFERROR(__xludf.DUMMYFUNCTION("""COMPUTED_VALUE"""),41885.73)</f>
        <v>41885.730000000003</v>
      </c>
      <c r="N47" s="119">
        <f ca="1">IFERROR(__xludf.DUMMYFUNCTION("""COMPUTED_VALUE"""),380.6)</f>
        <v>380.6</v>
      </c>
      <c r="O47" s="119">
        <f ca="1">IFERROR(__xludf.DUMMYFUNCTION("""COMPUTED_VALUE"""),300.43)</f>
        <v>300.43</v>
      </c>
      <c r="P47" s="119">
        <f ca="1">IFERROR(__xludf.DUMMYFUNCTION("""COMPUTED_VALUE"""),28.95)</f>
        <v>28.95</v>
      </c>
      <c r="Q47" s="119">
        <f ca="1">IFERROR(__xludf.DUMMYFUNCTION("""COMPUTED_VALUE"""),24.71)</f>
        <v>24.71</v>
      </c>
      <c r="R47" s="119">
        <f ca="1">IFERROR(__xludf.DUMMYFUNCTION("""COMPUTED_VALUE"""),65.13)</f>
        <v>65.13</v>
      </c>
      <c r="S47" s="119">
        <f ca="1">IFERROR(__xludf.DUMMYFUNCTION("""COMPUTED_VALUE"""),28.7)</f>
        <v>28.7</v>
      </c>
      <c r="T47" s="119">
        <f ca="1">IFERROR(__xludf.DUMMYFUNCTION("""COMPUTED_VALUE"""),28.77)</f>
        <v>28.77</v>
      </c>
      <c r="U47" s="119">
        <f ca="1">IFERROR(__xludf.DUMMYFUNCTION("""COMPUTED_VALUE"""),42.17)</f>
        <v>42.17</v>
      </c>
      <c r="V47" s="119">
        <f ca="1">IFERROR(__xludf.DUMMYFUNCTION("""COMPUTED_VALUE"""),14.98)</f>
        <v>14.98</v>
      </c>
      <c r="W47" s="119">
        <f ca="1">IFERROR(__xludf.DUMMYFUNCTION("""COMPUTED_VALUE"""),238.92)</f>
        <v>238.92</v>
      </c>
      <c r="X47" s="119">
        <f ca="1">IFERROR(__xludf.DUMMYFUNCTION("""COMPUTED_VALUE"""),2736.03)</f>
        <v>2736.03</v>
      </c>
      <c r="Y47" s="119">
        <f ca="1">IFERROR(__xludf.DUMMYFUNCTION("""COMPUTED_VALUE"""),57.95)</f>
        <v>57.95</v>
      </c>
      <c r="Z47" s="119">
        <f ca="1">IFERROR(__xludf.DUMMYFUNCTION("""COMPUTED_VALUE"""),53.55)</f>
        <v>53.55</v>
      </c>
      <c r="AA47" s="119">
        <f ca="1">IFERROR(__xludf.DUMMYFUNCTION("""COMPUTED_VALUE"""),109.84)</f>
        <v>109.84</v>
      </c>
      <c r="AB47" s="119">
        <f ca="1">IFERROR(__xludf.DUMMYFUNCTION("""COMPUTED_VALUE"""),4.63)</f>
        <v>4.63</v>
      </c>
      <c r="AC47" s="119">
        <f ca="1">IFERROR(__xludf.DUMMYFUNCTION("""COMPUTED_VALUE"""),73.88)</f>
        <v>73.88</v>
      </c>
      <c r="AD47" s="119">
        <f ca="1">IFERROR(__xludf.DUMMYFUNCTION("""COMPUTED_VALUE"""),12.16)</f>
        <v>12.16</v>
      </c>
      <c r="AE47" s="119">
        <f ca="1">IFERROR(__xludf.DUMMYFUNCTION("""COMPUTED_VALUE"""),5.94)</f>
        <v>5.94</v>
      </c>
      <c r="AF47" s="119">
        <f ca="1">IFERROR(__xludf.DUMMYFUNCTION("""COMPUTED_VALUE"""),39.74)</f>
        <v>39.74</v>
      </c>
      <c r="AG47" s="119">
        <f ca="1">IFERROR(__xludf.DUMMYFUNCTION("""COMPUTED_VALUE"""),12.58)</f>
        <v>12.58</v>
      </c>
      <c r="AH47" s="119">
        <f ca="1">IFERROR(__xludf.DUMMYFUNCTION("""COMPUTED_VALUE"""),2.1)</f>
        <v>2.1</v>
      </c>
      <c r="AI47" s="119">
        <f ca="1">IFERROR(__xludf.DUMMYFUNCTION("""COMPUTED_VALUE"""),3.34)</f>
        <v>3.34</v>
      </c>
      <c r="AJ47" s="119">
        <f ca="1">IFERROR(__xludf.DUMMYFUNCTION("""COMPUTED_VALUE"""),100.8)</f>
        <v>100.8</v>
      </c>
      <c r="AK47" s="119">
        <f ca="1">IFERROR(__xludf.DUMMYFUNCTION("""COMPUTED_VALUE"""),264.53)</f>
        <v>264.52999999999997</v>
      </c>
      <c r="AL47" s="119">
        <f ca="1">IFERROR(__xludf.DUMMYFUNCTION("""COMPUTED_VALUE"""),13.52)</f>
        <v>13.52</v>
      </c>
      <c r="AM47" s="119">
        <f ca="1">IFERROR(__xludf.DUMMYFUNCTION("""COMPUTED_VALUE"""),42.9)</f>
        <v>42.9</v>
      </c>
      <c r="AN47" s="119">
        <f ca="1">IFERROR(__xludf.DUMMYFUNCTION("""COMPUTED_VALUE"""),342.41)</f>
        <v>342.41</v>
      </c>
      <c r="AO47" s="119">
        <f ca="1">IFERROR(__xludf.DUMMYFUNCTION("""COMPUTED_VALUE"""),106.12)</f>
        <v>106.12</v>
      </c>
      <c r="AP47" s="119">
        <f ca="1">IFERROR(__xludf.DUMMYFUNCTION("""COMPUTED_VALUE"""),78.76)</f>
        <v>78.760000000000005</v>
      </c>
      <c r="AQ47" s="119">
        <f ca="1">IFERROR(__xludf.DUMMYFUNCTION("""COMPUTED_VALUE"""),51.7)</f>
        <v>51.7</v>
      </c>
      <c r="AR47" s="118">
        <f ca="1">IFERROR(__xludf.DUMMYFUNCTION("""COMPUTED_VALUE"""),103.7175)</f>
        <v>103.7175</v>
      </c>
      <c r="AS47" s="119">
        <f ca="1">IFERROR(__xludf.DUMMYFUNCTION("""COMPUTED_VALUE"""),15.33)</f>
        <v>15.33</v>
      </c>
      <c r="AT47" s="119">
        <f ca="1">IFERROR(__xludf.DUMMYFUNCTION("""COMPUTED_VALUE"""),98.35)</f>
        <v>98.35</v>
      </c>
      <c r="AU47" s="119">
        <f ca="1">IFERROR(__xludf.DUMMYFUNCTION("""COMPUTED_VALUE"""),64.56)</f>
        <v>64.56</v>
      </c>
      <c r="AV47" s="119">
        <f ca="1">IFERROR(__xludf.DUMMYFUNCTION("""COMPUTED_VALUE"""),140.3)</f>
        <v>140.30000000000001</v>
      </c>
      <c r="AW47" s="119">
        <f ca="1">IFERROR(__xludf.DUMMYFUNCTION("""COMPUTED_VALUE"""),135.14)</f>
        <v>135.13999999999999</v>
      </c>
      <c r="AX47" s="119">
        <f ca="1">IFERROR(__xludf.DUMMYFUNCTION("""COMPUTED_VALUE"""),18.8)</f>
        <v>18.8</v>
      </c>
      <c r="AY47" s="119">
        <f ca="1">IFERROR(__xludf.DUMMYFUNCTION("""COMPUTED_VALUE"""),49.62)</f>
        <v>49.62</v>
      </c>
      <c r="AZ47" s="119">
        <f ca="1">IFERROR(__xludf.DUMMYFUNCTION("""COMPUTED_VALUE"""),0)</f>
        <v>0</v>
      </c>
      <c r="BA47" s="119">
        <f ca="1">IFERROR(__xludf.DUMMYFUNCTION("""COMPUTED_VALUE"""),0)</f>
        <v>0</v>
      </c>
      <c r="BB47" s="119">
        <f ca="1">IFERROR(__xludf.DUMMYFUNCTION("""COMPUTED_VALUE"""),11.94)</f>
        <v>11.94</v>
      </c>
      <c r="BC47" s="119">
        <f ca="1">IFERROR(__xludf.DUMMYFUNCTION("""COMPUTED_VALUE"""),9.15)</f>
        <v>9.15</v>
      </c>
      <c r="BD47" s="119">
        <f ca="1">IFERROR(__xludf.DUMMYFUNCTION("""COMPUTED_VALUE"""),178.6)</f>
        <v>178.6</v>
      </c>
      <c r="BE47" s="119">
        <f ca="1">IFERROR(__xludf.DUMMYFUNCTION("""COMPUTED_VALUE"""),138.6)</f>
        <v>138.6</v>
      </c>
      <c r="BF47" s="119">
        <f ca="1">IFERROR(__xludf.DUMMYFUNCTION("""COMPUTED_VALUE"""),11.34)</f>
        <v>11.34</v>
      </c>
      <c r="BG47" s="119">
        <f ca="1">IFERROR(__xludf.DUMMYFUNCTION("""COMPUTED_VALUE"""),577.02)</f>
        <v>577.02</v>
      </c>
      <c r="BH47" s="119">
        <f ca="1">IFERROR(__xludf.DUMMYFUNCTION("""COMPUTED_VALUE"""),294.73)</f>
        <v>294.73</v>
      </c>
      <c r="BI47" s="119">
        <f ca="1">IFERROR(__xludf.DUMMYFUNCTION("""COMPUTED_VALUE"""),236.25)</f>
        <v>236.25</v>
      </c>
      <c r="BJ47" s="119">
        <f ca="1">IFERROR(__xludf.DUMMYFUNCTION("""COMPUTED_VALUE"""),25.67)</f>
        <v>25.67</v>
      </c>
      <c r="BK47" s="119">
        <f ca="1">IFERROR(__xludf.DUMMYFUNCTION("""COMPUTED_VALUE"""),318.21)</f>
        <v>318.20999999999998</v>
      </c>
      <c r="BL47" s="119">
        <f ca="1">IFERROR(__xludf.DUMMYFUNCTION("""COMPUTED_VALUE"""),127.18)</f>
        <v>127.18</v>
      </c>
      <c r="BM47" s="119">
        <f ca="1">IFERROR(__xludf.DUMMYFUNCTION("""COMPUTED_VALUE"""),16.86)</f>
        <v>16.86</v>
      </c>
      <c r="BN47" s="119">
        <f ca="1">IFERROR(__xludf.DUMMYFUNCTION("""COMPUTED_VALUE"""),334.07)</f>
        <v>334.07</v>
      </c>
      <c r="BO47" s="119">
        <f ca="1">IFERROR(__xludf.DUMMYFUNCTION("""COMPUTED_VALUE"""),713.92)</f>
        <v>713.92</v>
      </c>
      <c r="BP47" s="119">
        <f ca="1">IFERROR(__xludf.DUMMYFUNCTION("""COMPUTED_VALUE"""),45.6)</f>
        <v>45.6</v>
      </c>
      <c r="BQ47" s="119">
        <f ca="1">IFERROR(__xludf.DUMMYFUNCTION("""COMPUTED_VALUE"""),9.87)</f>
        <v>9.8699999999999992</v>
      </c>
      <c r="BR47" s="119">
        <f ca="1">IFERROR(__xludf.DUMMYFUNCTION("""COMPUTED_VALUE"""),39.17)</f>
        <v>39.17</v>
      </c>
      <c r="BS47" s="119">
        <f ca="1">IFERROR(__xludf.DUMMYFUNCTION("""COMPUTED_VALUE"""),0.96)</f>
        <v>0.96</v>
      </c>
      <c r="BT47" s="119">
        <f ca="1">IFERROR(__xludf.DUMMYFUNCTION("""COMPUTED_VALUE"""),47.38)</f>
        <v>47.38</v>
      </c>
      <c r="BU47" s="119">
        <f ca="1">IFERROR(__xludf.DUMMYFUNCTION("""COMPUTED_VALUE"""),37.2)</f>
        <v>37.200000000000003</v>
      </c>
      <c r="BV47" s="119">
        <f ca="1">IFERROR(__xludf.DUMMYFUNCTION("""COMPUTED_VALUE"""),52.9)</f>
        <v>52.9</v>
      </c>
      <c r="BW47" s="119">
        <f ca="1">IFERROR(__xludf.DUMMYFUNCTION("""COMPUTED_VALUE"""),7.86)</f>
        <v>7.86</v>
      </c>
      <c r="BX47" s="119">
        <f ca="1">IFERROR(__xludf.DUMMYFUNCTION("""COMPUTED_VALUE"""),5.24)</f>
        <v>5.24</v>
      </c>
      <c r="BY47" s="119">
        <f ca="1">IFERROR(__xludf.DUMMYFUNCTION("""COMPUTED_VALUE"""),0)</f>
        <v>0</v>
      </c>
      <c r="BZ47" s="119">
        <f ca="1">IFERROR(__xludf.DUMMYFUNCTION("""COMPUTED_VALUE"""),15.04)</f>
        <v>15.04</v>
      </c>
      <c r="CA47" s="119">
        <f ca="1">IFERROR(__xludf.DUMMYFUNCTION("""COMPUTED_VALUE"""),3.66)</f>
        <v>3.66</v>
      </c>
      <c r="CB47" s="119">
        <f ca="1">IFERROR(__xludf.DUMMYFUNCTION("""COMPUTED_VALUE"""),5.49)</f>
        <v>5.49</v>
      </c>
      <c r="CC47" s="119">
        <f ca="1">IFERROR(__xludf.DUMMYFUNCTION("""COMPUTED_VALUE"""),18.63)</f>
        <v>18.63</v>
      </c>
      <c r="CD47" s="119">
        <f ca="1">IFERROR(__xludf.DUMMYFUNCTION("""COMPUTED_VALUE"""),13.55)</f>
        <v>13.55</v>
      </c>
      <c r="CE47" s="119">
        <f ca="1">IFERROR(__xludf.DUMMYFUNCTION("""COMPUTED_VALUE"""),29.87)</f>
        <v>29.87</v>
      </c>
      <c r="CF47" s="119">
        <f ca="1">IFERROR(__xludf.DUMMYFUNCTION("""COMPUTED_VALUE"""),105.1)</f>
        <v>105.1</v>
      </c>
      <c r="CG47" s="119">
        <f ca="1">IFERROR(__xludf.DUMMYFUNCTION("""COMPUTED_VALUE"""),5.07)</f>
        <v>5.07</v>
      </c>
      <c r="CH47" s="119">
        <f ca="1">IFERROR(__xludf.DUMMYFUNCTION("""COMPUTED_VALUE"""),23.87)</f>
        <v>23.87</v>
      </c>
      <c r="CI47" s="119">
        <f ca="1">IFERROR(__xludf.DUMMYFUNCTION("""COMPUTED_VALUE"""),47.37)</f>
        <v>47.37</v>
      </c>
      <c r="CJ47" s="119">
        <f ca="1">IFERROR(__xludf.DUMMYFUNCTION("""COMPUTED_VALUE"""),33)</f>
        <v>33</v>
      </c>
      <c r="CK47" s="119">
        <f ca="1">IFERROR(__xludf.DUMMYFUNCTION("""COMPUTED_VALUE"""),12.35)</f>
        <v>12.35</v>
      </c>
      <c r="CL47" s="119">
        <f ca="1">IFERROR(__xludf.DUMMYFUNCTION("""COMPUTED_VALUE"""),2722.51)</f>
        <v>2722.51</v>
      </c>
      <c r="CM47" s="119">
        <f ca="1">IFERROR(__xludf.DUMMYFUNCTION("""COMPUTED_VALUE"""),3.25)</f>
        <v>3.25</v>
      </c>
      <c r="CN47" s="119">
        <f ca="1">IFERROR(__xludf.DUMMYFUNCTION("""COMPUTED_VALUE"""),190.1)</f>
        <v>190.1</v>
      </c>
      <c r="CO47" s="119">
        <f ca="1">IFERROR(__xludf.DUMMYFUNCTION("""COMPUTED_VALUE"""),149.4)</f>
        <v>149.4</v>
      </c>
      <c r="CP47" s="119">
        <f ca="1">IFERROR(__xludf.DUMMYFUNCTION("""COMPUTED_VALUE"""),65.77)</f>
        <v>65.77</v>
      </c>
      <c r="CQ47" s="119">
        <f ca="1">IFERROR(__xludf.DUMMYFUNCTION("""COMPUTED_VALUE"""),70700)</f>
        <v>70700</v>
      </c>
      <c r="CR47" s="119">
        <f ca="1">IFERROR(__xludf.DUMMYFUNCTION("""COMPUTED_VALUE"""),0.52)</f>
        <v>0.52</v>
      </c>
      <c r="CS47" s="119">
        <f ca="1">IFERROR(__xludf.DUMMYFUNCTION("""COMPUTED_VALUE"""),34.9)</f>
        <v>34.9</v>
      </c>
      <c r="CT47" s="119">
        <f ca="1">IFERROR(__xludf.DUMMYFUNCTION("""COMPUTED_VALUE"""),21.66)</f>
        <v>21.66</v>
      </c>
      <c r="CU47" s="119">
        <f ca="1">IFERROR(__xludf.DUMMYFUNCTION("""COMPUTED_VALUE"""),1921.5)</f>
        <v>1921.5</v>
      </c>
      <c r="CV47" s="119">
        <f ca="1">IFERROR(__xludf.DUMMYFUNCTION("""COMPUTED_VALUE"""),2.63)</f>
        <v>2.63</v>
      </c>
      <c r="CW47" s="119">
        <f ca="1">IFERROR(__xludf.DUMMYFUNCTION("""COMPUTED_VALUE"""),2.88)</f>
        <v>2.88</v>
      </c>
      <c r="CX47" s="119">
        <f ca="1">IFERROR(__xludf.DUMMYFUNCTION("""COMPUTED_VALUE"""),0)</f>
        <v>0</v>
      </c>
      <c r="CY47" s="119">
        <f ca="1">IFERROR(__xludf.DUMMYFUNCTION("""COMPUTED_VALUE"""),0.1)</f>
        <v>0.1</v>
      </c>
      <c r="CZ47" s="119">
        <f ca="1">IFERROR(__xludf.DUMMYFUNCTION("""COMPUTED_VALUE"""),76.4)</f>
        <v>76.400000000000006</v>
      </c>
      <c r="DA47" s="119">
        <f ca="1">IFERROR(__xludf.DUMMYFUNCTION("""COMPUTED_VALUE"""),0.07)</f>
        <v>7.0000000000000007E-2</v>
      </c>
      <c r="DB47" s="119">
        <f ca="1">IFERROR(__xludf.DUMMYFUNCTION("""COMPUTED_VALUE"""),0.29)</f>
        <v>0.28999999999999998</v>
      </c>
      <c r="DC47" s="119">
        <f ca="1">IFERROR(__xludf.DUMMYFUNCTION("""COMPUTED_VALUE"""),155.07)</f>
        <v>155.07</v>
      </c>
      <c r="DD47" s="119">
        <f ca="1">IFERROR(__xludf.DUMMYFUNCTION("""COMPUTED_VALUE"""),11.01)</f>
        <v>11.01</v>
      </c>
      <c r="DE47" s="119">
        <f ca="1">IFERROR(__xludf.DUMMYFUNCTION("""COMPUTED_VALUE"""),7.77)</f>
        <v>7.77</v>
      </c>
      <c r="DF47" s="119">
        <f ca="1">IFERROR(__xludf.DUMMYFUNCTION("""COMPUTED_VALUE"""),57.1)</f>
        <v>57.1</v>
      </c>
      <c r="DG47" s="119">
        <f ca="1">IFERROR(__xludf.DUMMYFUNCTION("""COMPUTED_VALUE"""),5.67)</f>
        <v>5.67</v>
      </c>
      <c r="DH47" s="119">
        <f ca="1">IFERROR(__xludf.DUMMYFUNCTION("""COMPUTED_VALUE"""),10.95)</f>
        <v>10.95</v>
      </c>
      <c r="DI47" s="119">
        <f ca="1">IFERROR(__xludf.DUMMYFUNCTION("""COMPUTED_VALUE"""),145.44)</f>
        <v>145.44</v>
      </c>
      <c r="DJ47" s="119">
        <f ca="1">IFERROR(__xludf.DUMMYFUNCTION("""COMPUTED_VALUE"""),12.49)</f>
        <v>12.49</v>
      </c>
      <c r="DK47" s="119">
        <f ca="1">IFERROR(__xludf.DUMMYFUNCTION("""COMPUTED_VALUE"""),2.85)</f>
        <v>2.85</v>
      </c>
      <c r="DL47" s="119">
        <f ca="1">IFERROR(__xludf.DUMMYFUNCTION("""COMPUTED_VALUE"""),25.3)</f>
        <v>25.3</v>
      </c>
      <c r="DM47" s="119">
        <f ca="1">IFERROR(__xludf.DUMMYFUNCTION("""COMPUTED_VALUE"""),426.18)</f>
        <v>426.18</v>
      </c>
      <c r="DN47" s="119">
        <f ca="1">IFERROR(__xludf.DUMMYFUNCTION("""COMPUTED_VALUE"""),167)</f>
        <v>167</v>
      </c>
      <c r="DO47" s="119">
        <f ca="1">IFERROR(__xludf.DUMMYFUNCTION("""COMPUTED_VALUE"""),378.6)</f>
        <v>378.6</v>
      </c>
      <c r="DP47" s="119">
        <f ca="1">IFERROR(__xludf.DUMMYFUNCTION("""COMPUTED_VALUE"""),6.33)</f>
        <v>6.33</v>
      </c>
      <c r="DQ47" s="119">
        <f ca="1">IFERROR(__xludf.DUMMYFUNCTION("""COMPUTED_VALUE"""),108.3)</f>
        <v>108.3</v>
      </c>
      <c r="DR47" s="119">
        <f ca="1">IFERROR(__xludf.DUMMYFUNCTION("""COMPUTED_VALUE"""),0.4)</f>
        <v>0.4</v>
      </c>
      <c r="DS47" s="119">
        <f ca="1">IFERROR(__xludf.DUMMYFUNCTION("""COMPUTED_VALUE"""),3.52)</f>
        <v>3.52</v>
      </c>
      <c r="DT47" s="119">
        <f ca="1">IFERROR(__xludf.DUMMYFUNCTION("""COMPUTED_VALUE"""),4.91)</f>
        <v>4.91</v>
      </c>
      <c r="DU47" s="119">
        <f ca="1">IFERROR(__xludf.DUMMYFUNCTION("""COMPUTED_VALUE"""),54.51)</f>
        <v>54.51</v>
      </c>
      <c r="DV47" s="119">
        <f ca="1">IFERROR(__xludf.DUMMYFUNCTION("""COMPUTED_VALUE"""),13.86)</f>
        <v>13.86</v>
      </c>
      <c r="DW47" s="119">
        <f ca="1">IFERROR(__xludf.DUMMYFUNCTION("""COMPUTED_VALUE"""),0.062)</f>
        <v>6.2E-2</v>
      </c>
      <c r="DX47" s="119">
        <f ca="1">IFERROR(__xludf.DUMMYFUNCTION("""COMPUTED_VALUE"""),26.43)</f>
        <v>26.43</v>
      </c>
      <c r="DY47" s="119">
        <f ca="1">IFERROR(__xludf.DUMMYFUNCTION("""COMPUTED_VALUE"""),872.25)</f>
        <v>872.25</v>
      </c>
      <c r="DZ47" s="119">
        <f ca="1">IFERROR(__xludf.DUMMYFUNCTION("""COMPUTED_VALUE"""),82.3)</f>
        <v>82.3</v>
      </c>
      <c r="EA47" s="119">
        <f ca="1">IFERROR(__xludf.DUMMYFUNCTION("""COMPUTED_VALUE"""),47.23)</f>
        <v>47.23</v>
      </c>
      <c r="EB47" s="119">
        <f ca="1">IFERROR(__xludf.DUMMYFUNCTION("""COMPUTED_VALUE"""),70.81)</f>
        <v>70.81</v>
      </c>
      <c r="EC47" s="119">
        <f ca="1">IFERROR(__xludf.DUMMYFUNCTION("""COMPUTED_VALUE"""),74.19)</f>
        <v>74.19</v>
      </c>
      <c r="ED47" s="119">
        <f ca="1">IFERROR(__xludf.DUMMYFUNCTION("""COMPUTED_VALUE"""),39)</f>
        <v>39</v>
      </c>
      <c r="EE47" s="119">
        <f ca="1">IFERROR(__xludf.DUMMYFUNCTION("""COMPUTED_VALUE"""),86.1)</f>
        <v>86.1</v>
      </c>
      <c r="EF47" s="119">
        <f ca="1">IFERROR(__xludf.DUMMYFUNCTION("""COMPUTED_VALUE"""),181.88)</f>
        <v>181.88</v>
      </c>
      <c r="EG47" s="119">
        <f ca="1">IFERROR(__xludf.DUMMYFUNCTION("""COMPUTED_VALUE"""),68.23)</f>
        <v>68.23</v>
      </c>
      <c r="EH47" s="119">
        <f ca="1">IFERROR(__xludf.DUMMYFUNCTION("""COMPUTED_VALUE"""),102.84)</f>
        <v>102.84</v>
      </c>
      <c r="EI47" s="119">
        <f ca="1">IFERROR(__xludf.DUMMYFUNCTION("""COMPUTED_VALUE"""),136.99)</f>
        <v>136.99</v>
      </c>
      <c r="EJ47" s="119">
        <f ca="1">IFERROR(__xludf.DUMMYFUNCTION("""COMPUTED_VALUE"""),42.3)</f>
        <v>42.3</v>
      </c>
      <c r="EK47" s="119">
        <f ca="1">IFERROR(__xludf.DUMMYFUNCTION("""COMPUTED_VALUE"""),275.99)</f>
        <v>275.99</v>
      </c>
      <c r="EL47" s="119">
        <f ca="1">IFERROR(__xludf.DUMMYFUNCTION("""COMPUTED_VALUE"""),58.4)</f>
        <v>58.4</v>
      </c>
      <c r="EM47" s="119">
        <f ca="1">IFERROR(__xludf.DUMMYFUNCTION("""COMPUTED_VALUE"""),50.2)</f>
        <v>50.2</v>
      </c>
      <c r="EN47" s="119">
        <f ca="1">IFERROR(__xludf.DUMMYFUNCTION("""COMPUTED_VALUE"""),1707.79)</f>
        <v>1707.79</v>
      </c>
      <c r="EO47" s="119">
        <f ca="1">IFERROR(__xludf.DUMMYFUNCTION("""COMPUTED_VALUE"""),12.3)</f>
        <v>12.3</v>
      </c>
      <c r="EP47" s="119">
        <f ca="1">IFERROR(__xludf.DUMMYFUNCTION("""COMPUTED_VALUE"""),7.65)</f>
        <v>7.65</v>
      </c>
      <c r="EQ47" s="119">
        <f ca="1">IFERROR(__xludf.DUMMYFUNCTION("""COMPUTED_VALUE"""),2)</f>
        <v>2</v>
      </c>
      <c r="ER47" s="119">
        <f ca="1">IFERROR(__xludf.DUMMYFUNCTION("""COMPUTED_VALUE"""),4400.5)</f>
        <v>4400.5</v>
      </c>
      <c r="ES47" s="119">
        <f ca="1">IFERROR(__xludf.DUMMYFUNCTION("""COMPUTED_VALUE"""),94.07)</f>
        <v>94.07</v>
      </c>
      <c r="ET47" s="119">
        <f ca="1">IFERROR(__xludf.DUMMYFUNCTION("""COMPUTED_VALUE"""),107.75)</f>
        <v>107.75</v>
      </c>
      <c r="EU47" s="119">
        <f ca="1">IFERROR(__xludf.DUMMYFUNCTION("""COMPUTED_VALUE"""),31.7)</f>
        <v>31.7</v>
      </c>
      <c r="EV47" s="119">
        <f ca="1">IFERROR(__xludf.DUMMYFUNCTION("""COMPUTED_VALUE"""),1.38)</f>
        <v>1.38</v>
      </c>
      <c r="EW47" s="119">
        <f ca="1">IFERROR(__xludf.DUMMYFUNCTION("""COMPUTED_VALUE"""),14.1)</f>
        <v>14.1</v>
      </c>
      <c r="EX47" s="117">
        <f ca="1">IFERROR(__xludf.DUMMYFUNCTION("""COMPUTED_VALUE"""),5.06)</f>
        <v>5.0599999999999996</v>
      </c>
      <c r="EY47" s="117">
        <f ca="1">IFERROR(__xludf.DUMMYFUNCTION("""COMPUTED_VALUE"""),174.46)</f>
        <v>174.46</v>
      </c>
      <c r="EZ47" s="117">
        <f ca="1">IFERROR(__xludf.DUMMYFUNCTION("""COMPUTED_VALUE"""),25.135)</f>
        <v>25.135000000000002</v>
      </c>
      <c r="FA47" s="117">
        <f ca="1">IFERROR(__xludf.DUMMYFUNCTION("""COMPUTED_VALUE"""),2.97)</f>
        <v>2.97</v>
      </c>
      <c r="FB47" s="117">
        <f ca="1">IFERROR(__xludf.DUMMYFUNCTION("""COMPUTED_VALUE"""),140.1)</f>
        <v>140.1</v>
      </c>
      <c r="FC47" s="117">
        <f ca="1">IFERROR(__xludf.DUMMYFUNCTION("""COMPUTED_VALUE"""),9.9)</f>
        <v>9.9</v>
      </c>
      <c r="FD47" s="117">
        <f ca="1">IFERROR(__xludf.DUMMYFUNCTION("""COMPUTED_VALUE"""),58.27)</f>
        <v>58.27</v>
      </c>
      <c r="FE47" s="117">
        <f ca="1">IFERROR(__xludf.DUMMYFUNCTION("""COMPUTED_VALUE"""),56.24)</f>
        <v>56.24</v>
      </c>
      <c r="FF47" s="117">
        <f ca="1">IFERROR(__xludf.DUMMYFUNCTION("""COMPUTED_VALUE"""),6.16)</f>
        <v>6.16</v>
      </c>
      <c r="FG47" s="117">
        <f ca="1">IFERROR(__xludf.DUMMYFUNCTION("""COMPUTED_VALUE"""),679.86)</f>
        <v>679.86</v>
      </c>
      <c r="FH47" s="117">
        <f ca="1">IFERROR(__xludf.DUMMYFUNCTION("""COMPUTED_VALUE"""),159.2)</f>
        <v>159.19999999999999</v>
      </c>
      <c r="FI47" s="117">
        <f ca="1">IFERROR(__xludf.DUMMYFUNCTION("""COMPUTED_VALUE"""),0.065)</f>
        <v>6.5000000000000002E-2</v>
      </c>
      <c r="FJ47" s="117">
        <f ca="1">IFERROR(__xludf.DUMMYFUNCTION("""COMPUTED_VALUE"""),16.2)</f>
        <v>16.2</v>
      </c>
      <c r="FK47" s="117">
        <f ca="1">IFERROR(__xludf.DUMMYFUNCTION("""COMPUTED_VALUE"""),203.88)</f>
        <v>203.88</v>
      </c>
      <c r="FL47" s="117" t="str">
        <f ca="1">IFERROR(__xludf.DUMMYFUNCTION("""COMPUTED_VALUE"""),"")</f>
        <v/>
      </c>
      <c r="FM47" s="117" t="str">
        <f ca="1">IFERROR(__xludf.DUMMYFUNCTION("""COMPUTED_VALUE"""),"")</f>
        <v/>
      </c>
      <c r="FN47" s="117" t="str">
        <f ca="1">IFERROR(__xludf.DUMMYFUNCTION("""COMPUTED_VALUE"""),"")</f>
        <v/>
      </c>
      <c r="FO47" s="117" t="str">
        <f ca="1">IFERROR(__xludf.DUMMYFUNCTION("""COMPUTED_VALUE"""),"")</f>
        <v/>
      </c>
    </row>
    <row r="48" spans="1:171" ht="15.75" customHeight="1" x14ac:dyDescent="0.15">
      <c r="A48" s="115">
        <f ca="1">IFERROR(__xludf.DUMMYFUNCTION("""COMPUTED_VALUE"""),44640)</f>
        <v>44640</v>
      </c>
      <c r="B48" s="119">
        <f ca="1">IFERROR(__xludf.DUMMYFUNCTION("""COMPUTED_VALUE"""),3225.01)</f>
        <v>3225.01</v>
      </c>
      <c r="C48" s="119">
        <f ca="1">IFERROR(__xludf.DUMMYFUNCTION("""COMPUTED_VALUE"""),216.49)</f>
        <v>216.49</v>
      </c>
      <c r="D48" s="119">
        <f ca="1">IFERROR(__xludf.DUMMYFUNCTION("""COMPUTED_VALUE"""),905.39)</f>
        <v>905.39</v>
      </c>
      <c r="E48" s="119">
        <f ca="1">IFERROR(__xludf.DUMMYFUNCTION("""COMPUTED_VALUE"""),381)</f>
        <v>381</v>
      </c>
      <c r="F48" s="119">
        <f ca="1">IFERROR(__xludf.DUMMYFUNCTION("""COMPUTED_VALUE"""),9.84)</f>
        <v>9.84</v>
      </c>
      <c r="G48" s="119">
        <f ca="1">IFERROR(__xludf.DUMMYFUNCTION("""COMPUTED_VALUE"""),163.98)</f>
        <v>163.98</v>
      </c>
      <c r="H48" s="119">
        <f ca="1">IFERROR(__xludf.DUMMYFUNCTION("""COMPUTED_VALUE"""),10.1)</f>
        <v>10.1</v>
      </c>
      <c r="I48" s="119">
        <f ca="1">IFERROR(__xludf.DUMMYFUNCTION("""COMPUTED_VALUE"""),1.96)</f>
        <v>1.96</v>
      </c>
      <c r="J48" s="119">
        <f ca="1">IFERROR(__xludf.DUMMYFUNCTION("""COMPUTED_VALUE"""),0.12)</f>
        <v>0.12</v>
      </c>
      <c r="K48" s="119">
        <f ca="1">IFERROR(__xludf.DUMMYFUNCTION("""COMPUTED_VALUE"""),37.35)</f>
        <v>37.35</v>
      </c>
      <c r="L48" s="119">
        <f ca="1">IFERROR(__xludf.DUMMYFUNCTION("""COMPUTED_VALUE"""),153.3)</f>
        <v>153.30000000000001</v>
      </c>
      <c r="M48" s="119">
        <f ca="1">IFERROR(__xludf.DUMMYFUNCTION("""COMPUTED_VALUE"""),41885.73)</f>
        <v>41885.730000000003</v>
      </c>
      <c r="N48" s="119">
        <f ca="1">IFERROR(__xludf.DUMMYFUNCTION("""COMPUTED_VALUE"""),380.6)</f>
        <v>380.6</v>
      </c>
      <c r="O48" s="119">
        <f ca="1">IFERROR(__xludf.DUMMYFUNCTION("""COMPUTED_VALUE"""),300.43)</f>
        <v>300.43</v>
      </c>
      <c r="P48" s="119">
        <f ca="1">IFERROR(__xludf.DUMMYFUNCTION("""COMPUTED_VALUE"""),28.95)</f>
        <v>28.95</v>
      </c>
      <c r="Q48" s="119">
        <f ca="1">IFERROR(__xludf.DUMMYFUNCTION("""COMPUTED_VALUE"""),24.71)</f>
        <v>24.71</v>
      </c>
      <c r="R48" s="119">
        <f ca="1">IFERROR(__xludf.DUMMYFUNCTION("""COMPUTED_VALUE"""),65.13)</f>
        <v>65.13</v>
      </c>
      <c r="S48" s="119">
        <f ca="1">IFERROR(__xludf.DUMMYFUNCTION("""COMPUTED_VALUE"""),28.7)</f>
        <v>28.7</v>
      </c>
      <c r="T48" s="119">
        <f ca="1">IFERROR(__xludf.DUMMYFUNCTION("""COMPUTED_VALUE"""),28.77)</f>
        <v>28.77</v>
      </c>
      <c r="U48" s="119">
        <f ca="1">IFERROR(__xludf.DUMMYFUNCTION("""COMPUTED_VALUE"""),42.17)</f>
        <v>42.17</v>
      </c>
      <c r="V48" s="119">
        <f ca="1">IFERROR(__xludf.DUMMYFUNCTION("""COMPUTED_VALUE"""),14.98)</f>
        <v>14.98</v>
      </c>
      <c r="W48" s="119">
        <f ca="1">IFERROR(__xludf.DUMMYFUNCTION("""COMPUTED_VALUE"""),238.92)</f>
        <v>238.92</v>
      </c>
      <c r="X48" s="119">
        <f ca="1">IFERROR(__xludf.DUMMYFUNCTION("""COMPUTED_VALUE"""),2736.03)</f>
        <v>2736.03</v>
      </c>
      <c r="Y48" s="119">
        <f ca="1">IFERROR(__xludf.DUMMYFUNCTION("""COMPUTED_VALUE"""),57.95)</f>
        <v>57.95</v>
      </c>
      <c r="Z48" s="119">
        <f ca="1">IFERROR(__xludf.DUMMYFUNCTION("""COMPUTED_VALUE"""),53.55)</f>
        <v>53.55</v>
      </c>
      <c r="AA48" s="119">
        <f ca="1">IFERROR(__xludf.DUMMYFUNCTION("""COMPUTED_VALUE"""),109.84)</f>
        <v>109.84</v>
      </c>
      <c r="AB48" s="119">
        <f ca="1">IFERROR(__xludf.DUMMYFUNCTION("""COMPUTED_VALUE"""),4.63)</f>
        <v>4.63</v>
      </c>
      <c r="AC48" s="119">
        <f ca="1">IFERROR(__xludf.DUMMYFUNCTION("""COMPUTED_VALUE"""),73.88)</f>
        <v>73.88</v>
      </c>
      <c r="AD48" s="119">
        <f ca="1">IFERROR(__xludf.DUMMYFUNCTION("""COMPUTED_VALUE"""),12.16)</f>
        <v>12.16</v>
      </c>
      <c r="AE48" s="119">
        <f ca="1">IFERROR(__xludf.DUMMYFUNCTION("""COMPUTED_VALUE"""),5.94)</f>
        <v>5.94</v>
      </c>
      <c r="AF48" s="119">
        <f ca="1">IFERROR(__xludf.DUMMYFUNCTION("""COMPUTED_VALUE"""),39.74)</f>
        <v>39.74</v>
      </c>
      <c r="AG48" s="119">
        <f ca="1">IFERROR(__xludf.DUMMYFUNCTION("""COMPUTED_VALUE"""),12.58)</f>
        <v>12.58</v>
      </c>
      <c r="AH48" s="119">
        <f ca="1">IFERROR(__xludf.DUMMYFUNCTION("""COMPUTED_VALUE"""),2.1)</f>
        <v>2.1</v>
      </c>
      <c r="AI48" s="119">
        <f ca="1">IFERROR(__xludf.DUMMYFUNCTION("""COMPUTED_VALUE"""),3.34)</f>
        <v>3.34</v>
      </c>
      <c r="AJ48" s="119">
        <f ca="1">IFERROR(__xludf.DUMMYFUNCTION("""COMPUTED_VALUE"""),100.8)</f>
        <v>100.8</v>
      </c>
      <c r="AK48" s="119">
        <f ca="1">IFERROR(__xludf.DUMMYFUNCTION("""COMPUTED_VALUE"""),264.53)</f>
        <v>264.52999999999997</v>
      </c>
      <c r="AL48" s="119">
        <f ca="1">IFERROR(__xludf.DUMMYFUNCTION("""COMPUTED_VALUE"""),13.52)</f>
        <v>13.52</v>
      </c>
      <c r="AM48" s="119">
        <f ca="1">IFERROR(__xludf.DUMMYFUNCTION("""COMPUTED_VALUE"""),42.9)</f>
        <v>42.9</v>
      </c>
      <c r="AN48" s="119">
        <f ca="1">IFERROR(__xludf.DUMMYFUNCTION("""COMPUTED_VALUE"""),342.41)</f>
        <v>342.41</v>
      </c>
      <c r="AO48" s="119">
        <f ca="1">IFERROR(__xludf.DUMMYFUNCTION("""COMPUTED_VALUE"""),106.12)</f>
        <v>106.12</v>
      </c>
      <c r="AP48" s="119">
        <f ca="1">IFERROR(__xludf.DUMMYFUNCTION("""COMPUTED_VALUE"""),78.76)</f>
        <v>78.760000000000005</v>
      </c>
      <c r="AQ48" s="119">
        <f ca="1">IFERROR(__xludf.DUMMYFUNCTION("""COMPUTED_VALUE"""),51.7)</f>
        <v>51.7</v>
      </c>
      <c r="AR48" s="118">
        <f ca="1">IFERROR(__xludf.DUMMYFUNCTION("""COMPUTED_VALUE"""),103.7175)</f>
        <v>103.7175</v>
      </c>
      <c r="AS48" s="119">
        <f ca="1">IFERROR(__xludf.DUMMYFUNCTION("""COMPUTED_VALUE"""),15.33)</f>
        <v>15.33</v>
      </c>
      <c r="AT48" s="119">
        <f ca="1">IFERROR(__xludf.DUMMYFUNCTION("""COMPUTED_VALUE"""),98.35)</f>
        <v>98.35</v>
      </c>
      <c r="AU48" s="119">
        <f ca="1">IFERROR(__xludf.DUMMYFUNCTION("""COMPUTED_VALUE"""),64.56)</f>
        <v>64.56</v>
      </c>
      <c r="AV48" s="119">
        <f ca="1">IFERROR(__xludf.DUMMYFUNCTION("""COMPUTED_VALUE"""),140.3)</f>
        <v>140.30000000000001</v>
      </c>
      <c r="AW48" s="119">
        <f ca="1">IFERROR(__xludf.DUMMYFUNCTION("""COMPUTED_VALUE"""),135.14)</f>
        <v>135.13999999999999</v>
      </c>
      <c r="AX48" s="119">
        <f ca="1">IFERROR(__xludf.DUMMYFUNCTION("""COMPUTED_VALUE"""),18.8)</f>
        <v>18.8</v>
      </c>
      <c r="AY48" s="119">
        <f ca="1">IFERROR(__xludf.DUMMYFUNCTION("""COMPUTED_VALUE"""),49.62)</f>
        <v>49.62</v>
      </c>
      <c r="AZ48" s="119">
        <f ca="1">IFERROR(__xludf.DUMMYFUNCTION("""COMPUTED_VALUE"""),0)</f>
        <v>0</v>
      </c>
      <c r="BA48" s="119">
        <f ca="1">IFERROR(__xludf.DUMMYFUNCTION("""COMPUTED_VALUE"""),0)</f>
        <v>0</v>
      </c>
      <c r="BB48" s="119">
        <f ca="1">IFERROR(__xludf.DUMMYFUNCTION("""COMPUTED_VALUE"""),11.94)</f>
        <v>11.94</v>
      </c>
      <c r="BC48" s="119">
        <f ca="1">IFERROR(__xludf.DUMMYFUNCTION("""COMPUTED_VALUE"""),9.15)</f>
        <v>9.15</v>
      </c>
      <c r="BD48" s="119">
        <f ca="1">IFERROR(__xludf.DUMMYFUNCTION("""COMPUTED_VALUE"""),178.6)</f>
        <v>178.6</v>
      </c>
      <c r="BE48" s="119">
        <f ca="1">IFERROR(__xludf.DUMMYFUNCTION("""COMPUTED_VALUE"""),138.6)</f>
        <v>138.6</v>
      </c>
      <c r="BF48" s="119">
        <f ca="1">IFERROR(__xludf.DUMMYFUNCTION("""COMPUTED_VALUE"""),11.34)</f>
        <v>11.34</v>
      </c>
      <c r="BG48" s="119">
        <f ca="1">IFERROR(__xludf.DUMMYFUNCTION("""COMPUTED_VALUE"""),577.02)</f>
        <v>577.02</v>
      </c>
      <c r="BH48" s="119">
        <f ca="1">IFERROR(__xludf.DUMMYFUNCTION("""COMPUTED_VALUE"""),294.73)</f>
        <v>294.73</v>
      </c>
      <c r="BI48" s="119">
        <f ca="1">IFERROR(__xludf.DUMMYFUNCTION("""COMPUTED_VALUE"""),236.25)</f>
        <v>236.25</v>
      </c>
      <c r="BJ48" s="119">
        <f ca="1">IFERROR(__xludf.DUMMYFUNCTION("""COMPUTED_VALUE"""),25.67)</f>
        <v>25.67</v>
      </c>
      <c r="BK48" s="119">
        <f ca="1">IFERROR(__xludf.DUMMYFUNCTION("""COMPUTED_VALUE"""),318.21)</f>
        <v>318.20999999999998</v>
      </c>
      <c r="BL48" s="119">
        <f ca="1">IFERROR(__xludf.DUMMYFUNCTION("""COMPUTED_VALUE"""),127.18)</f>
        <v>127.18</v>
      </c>
      <c r="BM48" s="119">
        <f ca="1">IFERROR(__xludf.DUMMYFUNCTION("""COMPUTED_VALUE"""),16.86)</f>
        <v>16.86</v>
      </c>
      <c r="BN48" s="119">
        <f ca="1">IFERROR(__xludf.DUMMYFUNCTION("""COMPUTED_VALUE"""),334.07)</f>
        <v>334.07</v>
      </c>
      <c r="BO48" s="119">
        <f ca="1">IFERROR(__xludf.DUMMYFUNCTION("""COMPUTED_VALUE"""),713.92)</f>
        <v>713.92</v>
      </c>
      <c r="BP48" s="119">
        <f ca="1">IFERROR(__xludf.DUMMYFUNCTION("""COMPUTED_VALUE"""),45.6)</f>
        <v>45.6</v>
      </c>
      <c r="BQ48" s="119">
        <f ca="1">IFERROR(__xludf.DUMMYFUNCTION("""COMPUTED_VALUE"""),9.87)</f>
        <v>9.8699999999999992</v>
      </c>
      <c r="BR48" s="119">
        <f ca="1">IFERROR(__xludf.DUMMYFUNCTION("""COMPUTED_VALUE"""),39.17)</f>
        <v>39.17</v>
      </c>
      <c r="BS48" s="119">
        <f ca="1">IFERROR(__xludf.DUMMYFUNCTION("""COMPUTED_VALUE"""),0.96)</f>
        <v>0.96</v>
      </c>
      <c r="BT48" s="119">
        <f ca="1">IFERROR(__xludf.DUMMYFUNCTION("""COMPUTED_VALUE"""),47.38)</f>
        <v>47.38</v>
      </c>
      <c r="BU48" s="119">
        <f ca="1">IFERROR(__xludf.DUMMYFUNCTION("""COMPUTED_VALUE"""),37.2)</f>
        <v>37.200000000000003</v>
      </c>
      <c r="BV48" s="119">
        <f ca="1">IFERROR(__xludf.DUMMYFUNCTION("""COMPUTED_VALUE"""),52.9)</f>
        <v>52.9</v>
      </c>
      <c r="BW48" s="119">
        <f ca="1">IFERROR(__xludf.DUMMYFUNCTION("""COMPUTED_VALUE"""),7.86)</f>
        <v>7.86</v>
      </c>
      <c r="BX48" s="119">
        <f ca="1">IFERROR(__xludf.DUMMYFUNCTION("""COMPUTED_VALUE"""),5.24)</f>
        <v>5.24</v>
      </c>
      <c r="BY48" s="119">
        <f ca="1">IFERROR(__xludf.DUMMYFUNCTION("""COMPUTED_VALUE"""),0)</f>
        <v>0</v>
      </c>
      <c r="BZ48" s="119">
        <f ca="1">IFERROR(__xludf.DUMMYFUNCTION("""COMPUTED_VALUE"""),15.04)</f>
        <v>15.04</v>
      </c>
      <c r="CA48" s="119">
        <f ca="1">IFERROR(__xludf.DUMMYFUNCTION("""COMPUTED_VALUE"""),3.66)</f>
        <v>3.66</v>
      </c>
      <c r="CB48" s="119">
        <f ca="1">IFERROR(__xludf.DUMMYFUNCTION("""COMPUTED_VALUE"""),5.49)</f>
        <v>5.49</v>
      </c>
      <c r="CC48" s="119">
        <f ca="1">IFERROR(__xludf.DUMMYFUNCTION("""COMPUTED_VALUE"""),18.63)</f>
        <v>18.63</v>
      </c>
      <c r="CD48" s="119">
        <f ca="1">IFERROR(__xludf.DUMMYFUNCTION("""COMPUTED_VALUE"""),13.55)</f>
        <v>13.55</v>
      </c>
      <c r="CE48" s="119">
        <f ca="1">IFERROR(__xludf.DUMMYFUNCTION("""COMPUTED_VALUE"""),29.87)</f>
        <v>29.87</v>
      </c>
      <c r="CF48" s="119">
        <f ca="1">IFERROR(__xludf.DUMMYFUNCTION("""COMPUTED_VALUE"""),105.1)</f>
        <v>105.1</v>
      </c>
      <c r="CG48" s="119">
        <f ca="1">IFERROR(__xludf.DUMMYFUNCTION("""COMPUTED_VALUE"""),5.07)</f>
        <v>5.07</v>
      </c>
      <c r="CH48" s="119">
        <f ca="1">IFERROR(__xludf.DUMMYFUNCTION("""COMPUTED_VALUE"""),23.87)</f>
        <v>23.87</v>
      </c>
      <c r="CI48" s="119">
        <f ca="1">IFERROR(__xludf.DUMMYFUNCTION("""COMPUTED_VALUE"""),47.37)</f>
        <v>47.37</v>
      </c>
      <c r="CJ48" s="119">
        <f ca="1">IFERROR(__xludf.DUMMYFUNCTION("""COMPUTED_VALUE"""),33)</f>
        <v>33</v>
      </c>
      <c r="CK48" s="119">
        <f ca="1">IFERROR(__xludf.DUMMYFUNCTION("""COMPUTED_VALUE"""),12.35)</f>
        <v>12.35</v>
      </c>
      <c r="CL48" s="119">
        <f ca="1">IFERROR(__xludf.DUMMYFUNCTION("""COMPUTED_VALUE"""),2722.51)</f>
        <v>2722.51</v>
      </c>
      <c r="CM48" s="119">
        <f ca="1">IFERROR(__xludf.DUMMYFUNCTION("""COMPUTED_VALUE"""),3.25)</f>
        <v>3.25</v>
      </c>
      <c r="CN48" s="119">
        <f ca="1">IFERROR(__xludf.DUMMYFUNCTION("""COMPUTED_VALUE"""),190.1)</f>
        <v>190.1</v>
      </c>
      <c r="CO48" s="119">
        <f ca="1">IFERROR(__xludf.DUMMYFUNCTION("""COMPUTED_VALUE"""),149.4)</f>
        <v>149.4</v>
      </c>
      <c r="CP48" s="119">
        <f ca="1">IFERROR(__xludf.DUMMYFUNCTION("""COMPUTED_VALUE"""),65.77)</f>
        <v>65.77</v>
      </c>
      <c r="CQ48" s="119">
        <f ca="1">IFERROR(__xludf.DUMMYFUNCTION("""COMPUTED_VALUE"""),70700)</f>
        <v>70700</v>
      </c>
      <c r="CR48" s="119">
        <f ca="1">IFERROR(__xludf.DUMMYFUNCTION("""COMPUTED_VALUE"""),0.52)</f>
        <v>0.52</v>
      </c>
      <c r="CS48" s="119">
        <f ca="1">IFERROR(__xludf.DUMMYFUNCTION("""COMPUTED_VALUE"""),34.9)</f>
        <v>34.9</v>
      </c>
      <c r="CT48" s="119">
        <f ca="1">IFERROR(__xludf.DUMMYFUNCTION("""COMPUTED_VALUE"""),21.66)</f>
        <v>21.66</v>
      </c>
      <c r="CU48" s="119">
        <f ca="1">IFERROR(__xludf.DUMMYFUNCTION("""COMPUTED_VALUE"""),1921.5)</f>
        <v>1921.5</v>
      </c>
      <c r="CV48" s="119">
        <f ca="1">IFERROR(__xludf.DUMMYFUNCTION("""COMPUTED_VALUE"""),2.63)</f>
        <v>2.63</v>
      </c>
      <c r="CW48" s="119">
        <f ca="1">IFERROR(__xludf.DUMMYFUNCTION("""COMPUTED_VALUE"""),2.88)</f>
        <v>2.88</v>
      </c>
      <c r="CX48" s="119">
        <f ca="1">IFERROR(__xludf.DUMMYFUNCTION("""COMPUTED_VALUE"""),0)</f>
        <v>0</v>
      </c>
      <c r="CY48" s="119">
        <f ca="1">IFERROR(__xludf.DUMMYFUNCTION("""COMPUTED_VALUE"""),0.1)</f>
        <v>0.1</v>
      </c>
      <c r="CZ48" s="119">
        <f ca="1">IFERROR(__xludf.DUMMYFUNCTION("""COMPUTED_VALUE"""),76.4)</f>
        <v>76.400000000000006</v>
      </c>
      <c r="DA48" s="119">
        <f ca="1">IFERROR(__xludf.DUMMYFUNCTION("""COMPUTED_VALUE"""),0.07)</f>
        <v>7.0000000000000007E-2</v>
      </c>
      <c r="DB48" s="119">
        <f ca="1">IFERROR(__xludf.DUMMYFUNCTION("""COMPUTED_VALUE"""),0.29)</f>
        <v>0.28999999999999998</v>
      </c>
      <c r="DC48" s="119">
        <f ca="1">IFERROR(__xludf.DUMMYFUNCTION("""COMPUTED_VALUE"""),155.07)</f>
        <v>155.07</v>
      </c>
      <c r="DD48" s="119">
        <f ca="1">IFERROR(__xludf.DUMMYFUNCTION("""COMPUTED_VALUE"""),11.01)</f>
        <v>11.01</v>
      </c>
      <c r="DE48" s="119">
        <f ca="1">IFERROR(__xludf.DUMMYFUNCTION("""COMPUTED_VALUE"""),7.77)</f>
        <v>7.77</v>
      </c>
      <c r="DF48" s="119">
        <f ca="1">IFERROR(__xludf.DUMMYFUNCTION("""COMPUTED_VALUE"""),57.1)</f>
        <v>57.1</v>
      </c>
      <c r="DG48" s="119">
        <f ca="1">IFERROR(__xludf.DUMMYFUNCTION("""COMPUTED_VALUE"""),5.67)</f>
        <v>5.67</v>
      </c>
      <c r="DH48" s="119">
        <f ca="1">IFERROR(__xludf.DUMMYFUNCTION("""COMPUTED_VALUE"""),10.95)</f>
        <v>10.95</v>
      </c>
      <c r="DI48" s="119">
        <f ca="1">IFERROR(__xludf.DUMMYFUNCTION("""COMPUTED_VALUE"""),145.44)</f>
        <v>145.44</v>
      </c>
      <c r="DJ48" s="119">
        <f ca="1">IFERROR(__xludf.DUMMYFUNCTION("""COMPUTED_VALUE"""),12.49)</f>
        <v>12.49</v>
      </c>
      <c r="DK48" s="119">
        <f ca="1">IFERROR(__xludf.DUMMYFUNCTION("""COMPUTED_VALUE"""),2.85)</f>
        <v>2.85</v>
      </c>
      <c r="DL48" s="119">
        <f ca="1">IFERROR(__xludf.DUMMYFUNCTION("""COMPUTED_VALUE"""),25.3)</f>
        <v>25.3</v>
      </c>
      <c r="DM48" s="119">
        <f ca="1">IFERROR(__xludf.DUMMYFUNCTION("""COMPUTED_VALUE"""),426.18)</f>
        <v>426.18</v>
      </c>
      <c r="DN48" s="119">
        <f ca="1">IFERROR(__xludf.DUMMYFUNCTION("""COMPUTED_VALUE"""),167)</f>
        <v>167</v>
      </c>
      <c r="DO48" s="119">
        <f ca="1">IFERROR(__xludf.DUMMYFUNCTION("""COMPUTED_VALUE"""),378.6)</f>
        <v>378.6</v>
      </c>
      <c r="DP48" s="119">
        <f ca="1">IFERROR(__xludf.DUMMYFUNCTION("""COMPUTED_VALUE"""),6.33)</f>
        <v>6.33</v>
      </c>
      <c r="DQ48" s="119">
        <f ca="1">IFERROR(__xludf.DUMMYFUNCTION("""COMPUTED_VALUE"""),108.3)</f>
        <v>108.3</v>
      </c>
      <c r="DR48" s="119">
        <f ca="1">IFERROR(__xludf.DUMMYFUNCTION("""COMPUTED_VALUE"""),0.4)</f>
        <v>0.4</v>
      </c>
      <c r="DS48" s="119">
        <f ca="1">IFERROR(__xludf.DUMMYFUNCTION("""COMPUTED_VALUE"""),3.52)</f>
        <v>3.52</v>
      </c>
      <c r="DT48" s="119">
        <f ca="1">IFERROR(__xludf.DUMMYFUNCTION("""COMPUTED_VALUE"""),4.91)</f>
        <v>4.91</v>
      </c>
      <c r="DU48" s="119">
        <f ca="1">IFERROR(__xludf.DUMMYFUNCTION("""COMPUTED_VALUE"""),54.51)</f>
        <v>54.51</v>
      </c>
      <c r="DV48" s="119">
        <f ca="1">IFERROR(__xludf.DUMMYFUNCTION("""COMPUTED_VALUE"""),13.86)</f>
        <v>13.86</v>
      </c>
      <c r="DW48" s="119">
        <f ca="1">IFERROR(__xludf.DUMMYFUNCTION("""COMPUTED_VALUE"""),0.062)</f>
        <v>6.2E-2</v>
      </c>
      <c r="DX48" s="119">
        <f ca="1">IFERROR(__xludf.DUMMYFUNCTION("""COMPUTED_VALUE"""),26.43)</f>
        <v>26.43</v>
      </c>
      <c r="DY48" s="119">
        <f ca="1">IFERROR(__xludf.DUMMYFUNCTION("""COMPUTED_VALUE"""),872.25)</f>
        <v>872.25</v>
      </c>
      <c r="DZ48" s="119">
        <f ca="1">IFERROR(__xludf.DUMMYFUNCTION("""COMPUTED_VALUE"""),82.3)</f>
        <v>82.3</v>
      </c>
      <c r="EA48" s="119">
        <f ca="1">IFERROR(__xludf.DUMMYFUNCTION("""COMPUTED_VALUE"""),47.23)</f>
        <v>47.23</v>
      </c>
      <c r="EB48" s="119">
        <f ca="1">IFERROR(__xludf.DUMMYFUNCTION("""COMPUTED_VALUE"""),70.81)</f>
        <v>70.81</v>
      </c>
      <c r="EC48" s="119">
        <f ca="1">IFERROR(__xludf.DUMMYFUNCTION("""COMPUTED_VALUE"""),74.19)</f>
        <v>74.19</v>
      </c>
      <c r="ED48" s="119">
        <f ca="1">IFERROR(__xludf.DUMMYFUNCTION("""COMPUTED_VALUE"""),39)</f>
        <v>39</v>
      </c>
      <c r="EE48" s="119">
        <f ca="1">IFERROR(__xludf.DUMMYFUNCTION("""COMPUTED_VALUE"""),86.1)</f>
        <v>86.1</v>
      </c>
      <c r="EF48" s="119">
        <f ca="1">IFERROR(__xludf.DUMMYFUNCTION("""COMPUTED_VALUE"""),181.88)</f>
        <v>181.88</v>
      </c>
      <c r="EG48" s="119">
        <f ca="1">IFERROR(__xludf.DUMMYFUNCTION("""COMPUTED_VALUE"""),68.23)</f>
        <v>68.23</v>
      </c>
      <c r="EH48" s="119">
        <f ca="1">IFERROR(__xludf.DUMMYFUNCTION("""COMPUTED_VALUE"""),102.84)</f>
        <v>102.84</v>
      </c>
      <c r="EI48" s="119">
        <f ca="1">IFERROR(__xludf.DUMMYFUNCTION("""COMPUTED_VALUE"""),136.99)</f>
        <v>136.99</v>
      </c>
      <c r="EJ48" s="119">
        <f ca="1">IFERROR(__xludf.DUMMYFUNCTION("""COMPUTED_VALUE"""),42.3)</f>
        <v>42.3</v>
      </c>
      <c r="EK48" s="119">
        <f ca="1">IFERROR(__xludf.DUMMYFUNCTION("""COMPUTED_VALUE"""),275.99)</f>
        <v>275.99</v>
      </c>
      <c r="EL48" s="119">
        <f ca="1">IFERROR(__xludf.DUMMYFUNCTION("""COMPUTED_VALUE"""),58.4)</f>
        <v>58.4</v>
      </c>
      <c r="EM48" s="119">
        <f ca="1">IFERROR(__xludf.DUMMYFUNCTION("""COMPUTED_VALUE"""),50.2)</f>
        <v>50.2</v>
      </c>
      <c r="EN48" s="119">
        <f ca="1">IFERROR(__xludf.DUMMYFUNCTION("""COMPUTED_VALUE"""),1707.79)</f>
        <v>1707.79</v>
      </c>
      <c r="EO48" s="119">
        <f ca="1">IFERROR(__xludf.DUMMYFUNCTION("""COMPUTED_VALUE"""),12.3)</f>
        <v>12.3</v>
      </c>
      <c r="EP48" s="119">
        <f ca="1">IFERROR(__xludf.DUMMYFUNCTION("""COMPUTED_VALUE"""),7.65)</f>
        <v>7.65</v>
      </c>
      <c r="EQ48" s="119">
        <f ca="1">IFERROR(__xludf.DUMMYFUNCTION("""COMPUTED_VALUE"""),2)</f>
        <v>2</v>
      </c>
      <c r="ER48" s="119">
        <f ca="1">IFERROR(__xludf.DUMMYFUNCTION("""COMPUTED_VALUE"""),4400.5)</f>
        <v>4400.5</v>
      </c>
      <c r="ES48" s="119">
        <f ca="1">IFERROR(__xludf.DUMMYFUNCTION("""COMPUTED_VALUE"""),94.07)</f>
        <v>94.07</v>
      </c>
      <c r="ET48" s="119">
        <f ca="1">IFERROR(__xludf.DUMMYFUNCTION("""COMPUTED_VALUE"""),107.75)</f>
        <v>107.75</v>
      </c>
      <c r="EU48" s="119">
        <f ca="1">IFERROR(__xludf.DUMMYFUNCTION("""COMPUTED_VALUE"""),31.7)</f>
        <v>31.7</v>
      </c>
      <c r="EV48" s="119">
        <f ca="1">IFERROR(__xludf.DUMMYFUNCTION("""COMPUTED_VALUE"""),1.38)</f>
        <v>1.38</v>
      </c>
      <c r="EW48" s="119">
        <f ca="1">IFERROR(__xludf.DUMMYFUNCTION("""COMPUTED_VALUE"""),14.1)</f>
        <v>14.1</v>
      </c>
      <c r="EX48" s="117">
        <f ca="1">IFERROR(__xludf.DUMMYFUNCTION("""COMPUTED_VALUE"""),5.06)</f>
        <v>5.0599999999999996</v>
      </c>
      <c r="EY48" s="117">
        <f ca="1">IFERROR(__xludf.DUMMYFUNCTION("""COMPUTED_VALUE"""),174.46)</f>
        <v>174.46</v>
      </c>
      <c r="EZ48" s="117">
        <f ca="1">IFERROR(__xludf.DUMMYFUNCTION("""COMPUTED_VALUE"""),25.135)</f>
        <v>25.135000000000002</v>
      </c>
      <c r="FA48" s="117">
        <f ca="1">IFERROR(__xludf.DUMMYFUNCTION("""COMPUTED_VALUE"""),2.97)</f>
        <v>2.97</v>
      </c>
      <c r="FB48" s="117">
        <f ca="1">IFERROR(__xludf.DUMMYFUNCTION("""COMPUTED_VALUE"""),140.1)</f>
        <v>140.1</v>
      </c>
      <c r="FC48" s="117">
        <f ca="1">IFERROR(__xludf.DUMMYFUNCTION("""COMPUTED_VALUE"""),9.9)</f>
        <v>9.9</v>
      </c>
      <c r="FD48" s="117">
        <f ca="1">IFERROR(__xludf.DUMMYFUNCTION("""COMPUTED_VALUE"""),58.27)</f>
        <v>58.27</v>
      </c>
      <c r="FE48" s="117">
        <f ca="1">IFERROR(__xludf.DUMMYFUNCTION("""COMPUTED_VALUE"""),56.24)</f>
        <v>56.24</v>
      </c>
      <c r="FF48" s="117">
        <f ca="1">IFERROR(__xludf.DUMMYFUNCTION("""COMPUTED_VALUE"""),6.16)</f>
        <v>6.16</v>
      </c>
      <c r="FG48" s="117">
        <f ca="1">IFERROR(__xludf.DUMMYFUNCTION("""COMPUTED_VALUE"""),679.86)</f>
        <v>679.86</v>
      </c>
      <c r="FH48" s="117">
        <f ca="1">IFERROR(__xludf.DUMMYFUNCTION("""COMPUTED_VALUE"""),159.2)</f>
        <v>159.19999999999999</v>
      </c>
      <c r="FI48" s="117">
        <f ca="1">IFERROR(__xludf.DUMMYFUNCTION("""COMPUTED_VALUE"""),0.065)</f>
        <v>6.5000000000000002E-2</v>
      </c>
      <c r="FJ48" s="117">
        <f ca="1">IFERROR(__xludf.DUMMYFUNCTION("""COMPUTED_VALUE"""),16.2)</f>
        <v>16.2</v>
      </c>
      <c r="FK48" s="117">
        <f ca="1">IFERROR(__xludf.DUMMYFUNCTION("""COMPUTED_VALUE"""),203.88)</f>
        <v>203.88</v>
      </c>
      <c r="FL48" s="117" t="str">
        <f ca="1">IFERROR(__xludf.DUMMYFUNCTION("""COMPUTED_VALUE"""),"")</f>
        <v/>
      </c>
      <c r="FM48" s="117" t="str">
        <f ca="1">IFERROR(__xludf.DUMMYFUNCTION("""COMPUTED_VALUE"""),"")</f>
        <v/>
      </c>
      <c r="FN48" s="117" t="str">
        <f ca="1">IFERROR(__xludf.DUMMYFUNCTION("""COMPUTED_VALUE"""),"")</f>
        <v/>
      </c>
      <c r="FO48" s="117" t="str">
        <f ca="1">IFERROR(__xludf.DUMMYFUNCTION("""COMPUTED_VALUE"""),"")</f>
        <v/>
      </c>
    </row>
    <row r="49" spans="1:171" ht="15.75" customHeight="1" x14ac:dyDescent="0.15">
      <c r="A49" s="115">
        <f ca="1">IFERROR(__xludf.DUMMYFUNCTION("""COMPUTED_VALUE"""),44641)</f>
        <v>44641</v>
      </c>
      <c r="B49" s="119">
        <f ca="1">IFERROR(__xludf.DUMMYFUNCTION("""COMPUTED_VALUE"""),3229.83)</f>
        <v>3229.83</v>
      </c>
      <c r="C49" s="119">
        <f ca="1">IFERROR(__xludf.DUMMYFUNCTION("""COMPUTED_VALUE"""),211.49)</f>
        <v>211.49</v>
      </c>
      <c r="D49" s="119">
        <f ca="1">IFERROR(__xludf.DUMMYFUNCTION("""COMPUTED_VALUE"""),921.16)</f>
        <v>921.16</v>
      </c>
      <c r="E49" s="119">
        <f ca="1">IFERROR(__xludf.DUMMYFUNCTION("""COMPUTED_VALUE"""),372.4)</f>
        <v>372.4</v>
      </c>
      <c r="F49" s="119">
        <f ca="1">IFERROR(__xludf.DUMMYFUNCTION("""COMPUTED_VALUE"""),9.92)</f>
        <v>9.92</v>
      </c>
      <c r="G49" s="119">
        <f ca="1">IFERROR(__xludf.DUMMYFUNCTION("""COMPUTED_VALUE"""),165.38)</f>
        <v>165.38</v>
      </c>
      <c r="H49" s="119">
        <f ca="1">IFERROR(__xludf.DUMMYFUNCTION("""COMPUTED_VALUE"""),10.1)</f>
        <v>10.1</v>
      </c>
      <c r="I49" s="119">
        <f ca="1">IFERROR(__xludf.DUMMYFUNCTION("""COMPUTED_VALUE"""),3.25)</f>
        <v>3.25</v>
      </c>
      <c r="J49" s="119">
        <f ca="1">IFERROR(__xludf.DUMMYFUNCTION("""COMPUTED_VALUE"""),0.05)</f>
        <v>0.05</v>
      </c>
      <c r="K49" s="119">
        <f ca="1">IFERROR(__xludf.DUMMYFUNCTION("""COMPUTED_VALUE"""),35)</f>
        <v>35</v>
      </c>
      <c r="L49" s="119">
        <f ca="1">IFERROR(__xludf.DUMMYFUNCTION("""COMPUTED_VALUE"""),143.9)</f>
        <v>143.9</v>
      </c>
      <c r="M49" s="119">
        <f ca="1">IFERROR(__xludf.DUMMYFUNCTION("""COMPUTED_VALUE"""),41142.95)</f>
        <v>41142.949999999997</v>
      </c>
      <c r="N49" s="119">
        <f ca="1">IFERROR(__xludf.DUMMYFUNCTION("""COMPUTED_VALUE"""),374.59)</f>
        <v>374.59</v>
      </c>
      <c r="O49" s="119">
        <f ca="1">IFERROR(__xludf.DUMMYFUNCTION("""COMPUTED_VALUE"""),299.16)</f>
        <v>299.16000000000003</v>
      </c>
      <c r="P49" s="119">
        <f ca="1">IFERROR(__xludf.DUMMYFUNCTION("""COMPUTED_VALUE"""),28.94)</f>
        <v>28.94</v>
      </c>
      <c r="Q49" s="119">
        <f ca="1">IFERROR(__xludf.DUMMYFUNCTION("""COMPUTED_VALUE"""),24.7)</f>
        <v>24.7</v>
      </c>
      <c r="R49" s="119">
        <f ca="1">IFERROR(__xludf.DUMMYFUNCTION("""COMPUTED_VALUE"""),61.44)</f>
        <v>61.44</v>
      </c>
      <c r="S49" s="119">
        <f ca="1">IFERROR(__xludf.DUMMYFUNCTION("""COMPUTED_VALUE"""),27.69)</f>
        <v>27.69</v>
      </c>
      <c r="T49" s="119">
        <f ca="1">IFERROR(__xludf.DUMMYFUNCTION("""COMPUTED_VALUE"""),27.32)</f>
        <v>27.32</v>
      </c>
      <c r="U49" s="119">
        <f ca="1">IFERROR(__xludf.DUMMYFUNCTION("""COMPUTED_VALUE"""),41.83)</f>
        <v>41.83</v>
      </c>
      <c r="V49" s="119">
        <f ca="1">IFERROR(__xludf.DUMMYFUNCTION("""COMPUTED_VALUE"""),14.73)</f>
        <v>14.73</v>
      </c>
      <c r="W49" s="119">
        <f ca="1">IFERROR(__xludf.DUMMYFUNCTION("""COMPUTED_VALUE"""),235.32)</f>
        <v>235.32</v>
      </c>
      <c r="X49" s="119">
        <f ca="1">IFERROR(__xludf.DUMMYFUNCTION("""COMPUTED_VALUE"""),2729.57)</f>
        <v>2729.57</v>
      </c>
      <c r="Y49" s="119">
        <f ca="1">IFERROR(__xludf.DUMMYFUNCTION("""COMPUTED_VALUE"""),54.7)</f>
        <v>54.7</v>
      </c>
      <c r="Z49" s="119">
        <f ca="1">IFERROR(__xludf.DUMMYFUNCTION("""COMPUTED_VALUE"""),55.6)</f>
        <v>55.6</v>
      </c>
      <c r="AA49" s="119">
        <f ca="1">IFERROR(__xludf.DUMMYFUNCTION("""COMPUTED_VALUE"""),104.45)</f>
        <v>104.45</v>
      </c>
      <c r="AB49" s="119">
        <f ca="1">IFERROR(__xludf.DUMMYFUNCTION("""COMPUTED_VALUE"""),4.59)</f>
        <v>4.59</v>
      </c>
      <c r="AC49" s="119">
        <f ca="1">IFERROR(__xludf.DUMMYFUNCTION("""COMPUTED_VALUE"""),76.13)</f>
        <v>76.13</v>
      </c>
      <c r="AD49" s="119">
        <f ca="1">IFERROR(__xludf.DUMMYFUNCTION("""COMPUTED_VALUE"""),12.08)</f>
        <v>12.08</v>
      </c>
      <c r="AE49" s="119">
        <f ca="1">IFERROR(__xludf.DUMMYFUNCTION("""COMPUTED_VALUE"""),6.07)</f>
        <v>6.07</v>
      </c>
      <c r="AF49" s="119">
        <f ca="1">IFERROR(__xludf.DUMMYFUNCTION("""COMPUTED_VALUE"""),39.71)</f>
        <v>39.71</v>
      </c>
      <c r="AG49" s="119">
        <f ca="1">IFERROR(__xludf.DUMMYFUNCTION("""COMPUTED_VALUE"""),12.24)</f>
        <v>12.24</v>
      </c>
      <c r="AH49" s="119">
        <f ca="1">IFERROR(__xludf.DUMMYFUNCTION("""COMPUTED_VALUE"""),2.11)</f>
        <v>2.11</v>
      </c>
      <c r="AI49" s="119">
        <f ca="1">IFERROR(__xludf.DUMMYFUNCTION("""COMPUTED_VALUE"""),3.27)</f>
        <v>3.27</v>
      </c>
      <c r="AJ49" s="119">
        <f ca="1">IFERROR(__xludf.DUMMYFUNCTION("""COMPUTED_VALUE"""),100.5)</f>
        <v>100.5</v>
      </c>
      <c r="AK49" s="119">
        <f ca="1">IFERROR(__xludf.DUMMYFUNCTION("""COMPUTED_VALUE"""),267.34)</f>
        <v>267.33999999999997</v>
      </c>
      <c r="AL49" s="119">
        <f ca="1">IFERROR(__xludf.DUMMYFUNCTION("""COMPUTED_VALUE"""),13.38)</f>
        <v>13.38</v>
      </c>
      <c r="AM49" s="119">
        <f ca="1">IFERROR(__xludf.DUMMYFUNCTION("""COMPUTED_VALUE"""),42.84)</f>
        <v>42.84</v>
      </c>
      <c r="AN49" s="119">
        <f ca="1">IFERROR(__xludf.DUMMYFUNCTION("""COMPUTED_VALUE"""),349.66)</f>
        <v>349.66</v>
      </c>
      <c r="AO49" s="119">
        <f ca="1">IFERROR(__xludf.DUMMYFUNCTION("""COMPUTED_VALUE"""),104.45)</f>
        <v>104.45</v>
      </c>
      <c r="AP49" s="119">
        <f ca="1">IFERROR(__xludf.DUMMYFUNCTION("""COMPUTED_VALUE"""),78.84)</f>
        <v>78.84</v>
      </c>
      <c r="AQ49" s="119">
        <f ca="1">IFERROR(__xludf.DUMMYFUNCTION("""COMPUTED_VALUE"""),48.01)</f>
        <v>48.01</v>
      </c>
      <c r="AR49" s="118">
        <f ca="1">IFERROR(__xludf.DUMMYFUNCTION("""COMPUTED_VALUE"""),103.8095)</f>
        <v>103.8095</v>
      </c>
      <c r="AS49" s="119">
        <f ca="1">IFERROR(__xludf.DUMMYFUNCTION("""COMPUTED_VALUE"""),15.09)</f>
        <v>15.09</v>
      </c>
      <c r="AT49" s="119">
        <f ca="1">IFERROR(__xludf.DUMMYFUNCTION("""COMPUTED_VALUE"""),99.1)</f>
        <v>99.1</v>
      </c>
      <c r="AU49" s="119">
        <f ca="1">IFERROR(__xludf.DUMMYFUNCTION("""COMPUTED_VALUE"""),64.28)</f>
        <v>64.28</v>
      </c>
      <c r="AV49" s="119">
        <f ca="1">IFERROR(__xludf.DUMMYFUNCTION("""COMPUTED_VALUE"""),138.62)</f>
        <v>138.62</v>
      </c>
      <c r="AW49" s="119">
        <f ca="1">IFERROR(__xludf.DUMMYFUNCTION("""COMPUTED_VALUE"""),134.2)</f>
        <v>134.19999999999999</v>
      </c>
      <c r="AX49" s="119">
        <f ca="1">IFERROR(__xludf.DUMMYFUNCTION("""COMPUTED_VALUE"""),19.74)</f>
        <v>19.739999999999998</v>
      </c>
      <c r="AY49" s="119">
        <f ca="1">IFERROR(__xludf.DUMMYFUNCTION("""COMPUTED_VALUE"""),46.62)</f>
        <v>46.62</v>
      </c>
      <c r="AZ49" s="119">
        <f ca="1">IFERROR(__xludf.DUMMYFUNCTION("""COMPUTED_VALUE"""),0)</f>
        <v>0</v>
      </c>
      <c r="BA49" s="119">
        <f ca="1">IFERROR(__xludf.DUMMYFUNCTION("""COMPUTED_VALUE"""),0)</f>
        <v>0</v>
      </c>
      <c r="BB49" s="119">
        <f ca="1">IFERROR(__xludf.DUMMYFUNCTION("""COMPUTED_VALUE"""),11.42)</f>
        <v>11.42</v>
      </c>
      <c r="BC49" s="119">
        <f ca="1">IFERROR(__xludf.DUMMYFUNCTION("""COMPUTED_VALUE"""),9.33)</f>
        <v>9.33</v>
      </c>
      <c r="BD49" s="119">
        <f ca="1">IFERROR(__xludf.DUMMYFUNCTION("""COMPUTED_VALUE"""),172.5)</f>
        <v>172.5</v>
      </c>
      <c r="BE49" s="119">
        <f ca="1">IFERROR(__xludf.DUMMYFUNCTION("""COMPUTED_VALUE"""),134.2)</f>
        <v>134.19999999999999</v>
      </c>
      <c r="BF49" s="119">
        <f ca="1">IFERROR(__xludf.DUMMYFUNCTION("""COMPUTED_VALUE"""),11.08)</f>
        <v>11.08</v>
      </c>
      <c r="BG49" s="119">
        <f ca="1">IFERROR(__xludf.DUMMYFUNCTION("""COMPUTED_VALUE"""),577.2)</f>
        <v>577.20000000000005</v>
      </c>
      <c r="BH49" s="119">
        <f ca="1">IFERROR(__xludf.DUMMYFUNCTION("""COMPUTED_VALUE"""),288.31)</f>
        <v>288.31</v>
      </c>
      <c r="BI49" s="119">
        <f ca="1">IFERROR(__xludf.DUMMYFUNCTION("""COMPUTED_VALUE"""),236.32)</f>
        <v>236.32</v>
      </c>
      <c r="BJ49" s="119">
        <f ca="1">IFERROR(__xludf.DUMMYFUNCTION("""COMPUTED_VALUE"""),25.39)</f>
        <v>25.39</v>
      </c>
      <c r="BK49" s="119">
        <f ca="1">IFERROR(__xludf.DUMMYFUNCTION("""COMPUTED_VALUE"""),314.31)</f>
        <v>314.31</v>
      </c>
      <c r="BL49" s="119">
        <f ca="1">IFERROR(__xludf.DUMMYFUNCTION("""COMPUTED_VALUE"""),125.97)</f>
        <v>125.97</v>
      </c>
      <c r="BM49" s="119">
        <f ca="1">IFERROR(__xludf.DUMMYFUNCTION("""COMPUTED_VALUE"""),16.48)</f>
        <v>16.48</v>
      </c>
      <c r="BN49" s="119">
        <f ca="1">IFERROR(__xludf.DUMMYFUNCTION("""COMPUTED_VALUE"""),322.32)</f>
        <v>322.32</v>
      </c>
      <c r="BO49" s="119">
        <f ca="1">IFERROR(__xludf.DUMMYFUNCTION("""COMPUTED_VALUE"""),689.22)</f>
        <v>689.22</v>
      </c>
      <c r="BP49" s="119">
        <f ca="1">IFERROR(__xludf.DUMMYFUNCTION("""COMPUTED_VALUE"""),43.56)</f>
        <v>43.56</v>
      </c>
      <c r="BQ49" s="119">
        <f ca="1">IFERROR(__xludf.DUMMYFUNCTION("""COMPUTED_VALUE"""),9.57)</f>
        <v>9.57</v>
      </c>
      <c r="BR49" s="119">
        <f ca="1">IFERROR(__xludf.DUMMYFUNCTION("""COMPUTED_VALUE"""),39)</f>
        <v>39</v>
      </c>
      <c r="BS49" s="119">
        <f ca="1">IFERROR(__xludf.DUMMYFUNCTION("""COMPUTED_VALUE"""),0.95)</f>
        <v>0.95</v>
      </c>
      <c r="BT49" s="119">
        <f ca="1">IFERROR(__xludf.DUMMYFUNCTION("""COMPUTED_VALUE"""),48.4)</f>
        <v>48.4</v>
      </c>
      <c r="BU49" s="119">
        <f ca="1">IFERROR(__xludf.DUMMYFUNCTION("""COMPUTED_VALUE"""),35.9)</f>
        <v>35.9</v>
      </c>
      <c r="BV49" s="119">
        <f ca="1">IFERROR(__xludf.DUMMYFUNCTION("""COMPUTED_VALUE"""),53.05)</f>
        <v>53.05</v>
      </c>
      <c r="BW49" s="119">
        <f ca="1">IFERROR(__xludf.DUMMYFUNCTION("""COMPUTED_VALUE"""),7.56)</f>
        <v>7.56</v>
      </c>
      <c r="BX49" s="119">
        <f ca="1">IFERROR(__xludf.DUMMYFUNCTION("""COMPUTED_VALUE"""),4.59)</f>
        <v>4.59</v>
      </c>
      <c r="BY49" s="119">
        <f ca="1">IFERROR(__xludf.DUMMYFUNCTION("""COMPUTED_VALUE"""),0)</f>
        <v>0</v>
      </c>
      <c r="BZ49" s="119">
        <f ca="1">IFERROR(__xludf.DUMMYFUNCTION("""COMPUTED_VALUE"""),15.13)</f>
        <v>15.13</v>
      </c>
      <c r="CA49" s="119">
        <f ca="1">IFERROR(__xludf.DUMMYFUNCTION("""COMPUTED_VALUE"""),3.6)</f>
        <v>3.6</v>
      </c>
      <c r="CB49" s="119">
        <f ca="1">IFERROR(__xludf.DUMMYFUNCTION("""COMPUTED_VALUE"""),5.42)</f>
        <v>5.42</v>
      </c>
      <c r="CC49" s="119">
        <f ca="1">IFERROR(__xludf.DUMMYFUNCTION("""COMPUTED_VALUE"""),18.9)</f>
        <v>18.899999999999999</v>
      </c>
      <c r="CD49" s="119">
        <f ca="1">IFERROR(__xludf.DUMMYFUNCTION("""COMPUTED_VALUE"""),13.65)</f>
        <v>13.65</v>
      </c>
      <c r="CE49" s="119">
        <f ca="1">IFERROR(__xludf.DUMMYFUNCTION("""COMPUTED_VALUE"""),30.34)</f>
        <v>30.34</v>
      </c>
      <c r="CF49" s="119">
        <f ca="1">IFERROR(__xludf.DUMMYFUNCTION("""COMPUTED_VALUE"""),113.61)</f>
        <v>113.61</v>
      </c>
      <c r="CG49" s="119">
        <f ca="1">IFERROR(__xludf.DUMMYFUNCTION("""COMPUTED_VALUE"""),5.08)</f>
        <v>5.08</v>
      </c>
      <c r="CH49" s="119">
        <f ca="1">IFERROR(__xludf.DUMMYFUNCTION("""COMPUTED_VALUE"""),24.3)</f>
        <v>24.3</v>
      </c>
      <c r="CI49" s="119">
        <f ca="1">IFERROR(__xludf.DUMMYFUNCTION("""COMPUTED_VALUE"""),48.62)</f>
        <v>48.62</v>
      </c>
      <c r="CJ49" s="119">
        <f ca="1">IFERROR(__xludf.DUMMYFUNCTION("""COMPUTED_VALUE"""),33)</f>
        <v>33</v>
      </c>
      <c r="CK49" s="119">
        <f ca="1">IFERROR(__xludf.DUMMYFUNCTION("""COMPUTED_VALUE"""),12.32)</f>
        <v>12.32</v>
      </c>
      <c r="CL49" s="119">
        <f ca="1">IFERROR(__xludf.DUMMYFUNCTION("""COMPUTED_VALUE"""),2722.03)</f>
        <v>2722.03</v>
      </c>
      <c r="CM49" s="119">
        <f ca="1">IFERROR(__xludf.DUMMYFUNCTION("""COMPUTED_VALUE"""),3.25)</f>
        <v>3.25</v>
      </c>
      <c r="CN49" s="119">
        <f ca="1">IFERROR(__xludf.DUMMYFUNCTION("""COMPUTED_VALUE"""),194.7)</f>
        <v>194.7</v>
      </c>
      <c r="CO49" s="119">
        <f ca="1">IFERROR(__xludf.DUMMYFUNCTION("""COMPUTED_VALUE"""),140.6)</f>
        <v>140.6</v>
      </c>
      <c r="CP49" s="119">
        <f ca="1">IFERROR(__xludf.DUMMYFUNCTION("""COMPUTED_VALUE"""),63.98)</f>
        <v>63.98</v>
      </c>
      <c r="CQ49" s="119">
        <f ca="1">IFERROR(__xludf.DUMMYFUNCTION("""COMPUTED_VALUE"""),70100)</f>
        <v>70100</v>
      </c>
      <c r="CR49" s="119">
        <f ca="1">IFERROR(__xludf.DUMMYFUNCTION("""COMPUTED_VALUE"""),0.52)</f>
        <v>0.52</v>
      </c>
      <c r="CS49" s="119">
        <f ca="1">IFERROR(__xludf.DUMMYFUNCTION("""COMPUTED_VALUE"""),35.09)</f>
        <v>35.090000000000003</v>
      </c>
      <c r="CT49" s="119">
        <f ca="1">IFERROR(__xludf.DUMMYFUNCTION("""COMPUTED_VALUE"""),21.4)</f>
        <v>21.4</v>
      </c>
      <c r="CU49" s="119">
        <f ca="1">IFERROR(__xludf.DUMMYFUNCTION("""COMPUTED_VALUE"""),1931.2)</f>
        <v>1931.2</v>
      </c>
      <c r="CV49" s="119">
        <f ca="1">IFERROR(__xludf.DUMMYFUNCTION("""COMPUTED_VALUE"""),2.53)</f>
        <v>2.5299999999999998</v>
      </c>
      <c r="CW49" s="119">
        <f ca="1">IFERROR(__xludf.DUMMYFUNCTION("""COMPUTED_VALUE"""),2.79)</f>
        <v>2.79</v>
      </c>
      <c r="CX49" s="119">
        <f ca="1">IFERROR(__xludf.DUMMYFUNCTION("""COMPUTED_VALUE"""),0)</f>
        <v>0</v>
      </c>
      <c r="CY49" s="119">
        <f ca="1">IFERROR(__xludf.DUMMYFUNCTION("""COMPUTED_VALUE"""),0.05)</f>
        <v>0.05</v>
      </c>
      <c r="CZ49" s="119">
        <f ca="1">IFERROR(__xludf.DUMMYFUNCTION("""COMPUTED_VALUE"""),71.8)</f>
        <v>71.8</v>
      </c>
      <c r="DA49" s="119">
        <f ca="1">IFERROR(__xludf.DUMMYFUNCTION("""COMPUTED_VALUE"""),0.05)</f>
        <v>0.05</v>
      </c>
      <c r="DB49" s="119">
        <f ca="1">IFERROR(__xludf.DUMMYFUNCTION("""COMPUTED_VALUE"""),0.12)</f>
        <v>0.12</v>
      </c>
      <c r="DC49" s="119">
        <f ca="1">IFERROR(__xludf.DUMMYFUNCTION("""COMPUTED_VALUE"""),154.49)</f>
        <v>154.49</v>
      </c>
      <c r="DD49" s="119">
        <f ca="1">IFERROR(__xludf.DUMMYFUNCTION("""COMPUTED_VALUE"""),12.11)</f>
        <v>12.11</v>
      </c>
      <c r="DE49" s="119">
        <f ca="1">IFERROR(__xludf.DUMMYFUNCTION("""COMPUTED_VALUE"""),7.53)</f>
        <v>7.53</v>
      </c>
      <c r="DF49" s="119">
        <f ca="1">IFERROR(__xludf.DUMMYFUNCTION("""COMPUTED_VALUE"""),57.35)</f>
        <v>57.35</v>
      </c>
      <c r="DG49" s="119">
        <f ca="1">IFERROR(__xludf.DUMMYFUNCTION("""COMPUTED_VALUE"""),5.8)</f>
        <v>5.8</v>
      </c>
      <c r="DH49" s="119">
        <f ca="1">IFERROR(__xludf.DUMMYFUNCTION("""COMPUTED_VALUE"""),10.71)</f>
        <v>10.71</v>
      </c>
      <c r="DI49" s="119">
        <f ca="1">IFERROR(__xludf.DUMMYFUNCTION("""COMPUTED_VALUE"""),144.23)</f>
        <v>144.22999999999999</v>
      </c>
      <c r="DJ49" s="119">
        <f ca="1">IFERROR(__xludf.DUMMYFUNCTION("""COMPUTED_VALUE"""),12.17)</f>
        <v>12.17</v>
      </c>
      <c r="DK49" s="119">
        <f ca="1">IFERROR(__xludf.DUMMYFUNCTION("""COMPUTED_VALUE"""),2.85)</f>
        <v>2.85</v>
      </c>
      <c r="DL49" s="119">
        <f ca="1">IFERROR(__xludf.DUMMYFUNCTION("""COMPUTED_VALUE"""),24.65)</f>
        <v>24.65</v>
      </c>
      <c r="DM49" s="119">
        <f ca="1">IFERROR(__xludf.DUMMYFUNCTION("""COMPUTED_VALUE"""),440)</f>
        <v>440</v>
      </c>
      <c r="DN49" s="119">
        <f ca="1">IFERROR(__xludf.DUMMYFUNCTION("""COMPUTED_VALUE"""),161.8)</f>
        <v>161.80000000000001</v>
      </c>
      <c r="DO49" s="119">
        <f ca="1">IFERROR(__xludf.DUMMYFUNCTION("""COMPUTED_VALUE"""),374.2)</f>
        <v>374.2</v>
      </c>
      <c r="DP49" s="119">
        <f ca="1">IFERROR(__xludf.DUMMYFUNCTION("""COMPUTED_VALUE"""),5.85)</f>
        <v>5.85</v>
      </c>
      <c r="DQ49" s="119">
        <f ca="1">IFERROR(__xludf.DUMMYFUNCTION("""COMPUTED_VALUE"""),103.59)</f>
        <v>103.59</v>
      </c>
      <c r="DR49" s="119">
        <f ca="1">IFERROR(__xludf.DUMMYFUNCTION("""COMPUTED_VALUE"""),0.65)</f>
        <v>0.65</v>
      </c>
      <c r="DS49" s="119">
        <f ca="1">IFERROR(__xludf.DUMMYFUNCTION("""COMPUTED_VALUE"""),3.52)</f>
        <v>3.52</v>
      </c>
      <c r="DT49" s="119">
        <f ca="1">IFERROR(__xludf.DUMMYFUNCTION("""COMPUTED_VALUE"""),5.05)</f>
        <v>5.05</v>
      </c>
      <c r="DU49" s="119">
        <f ca="1">IFERROR(__xludf.DUMMYFUNCTION("""COMPUTED_VALUE"""),54.19)</f>
        <v>54.19</v>
      </c>
      <c r="DV49" s="119">
        <f ca="1">IFERROR(__xludf.DUMMYFUNCTION("""COMPUTED_VALUE"""),12.74)</f>
        <v>12.74</v>
      </c>
      <c r="DW49" s="119">
        <f ca="1">IFERROR(__xludf.DUMMYFUNCTION("""COMPUTED_VALUE"""),0.066)</f>
        <v>6.6000000000000003E-2</v>
      </c>
      <c r="DX49" s="119">
        <f ca="1">IFERROR(__xludf.DUMMYFUNCTION("""COMPUTED_VALUE"""),25.85)</f>
        <v>25.85</v>
      </c>
      <c r="DY49" s="119">
        <f ca="1">IFERROR(__xludf.DUMMYFUNCTION("""COMPUTED_VALUE"""),872.25)</f>
        <v>872.25</v>
      </c>
      <c r="DZ49" s="119">
        <f ca="1">IFERROR(__xludf.DUMMYFUNCTION("""COMPUTED_VALUE"""),78.56)</f>
        <v>78.56</v>
      </c>
      <c r="EA49" s="119">
        <f ca="1">IFERROR(__xludf.DUMMYFUNCTION("""COMPUTED_VALUE"""),46.72)</f>
        <v>46.72</v>
      </c>
      <c r="EB49" s="119">
        <f ca="1">IFERROR(__xludf.DUMMYFUNCTION("""COMPUTED_VALUE"""),70.81)</f>
        <v>70.81</v>
      </c>
      <c r="EC49" s="119">
        <f ca="1">IFERROR(__xludf.DUMMYFUNCTION("""COMPUTED_VALUE"""),73.95)</f>
        <v>73.95</v>
      </c>
      <c r="ED49" s="119">
        <f ca="1">IFERROR(__xludf.DUMMYFUNCTION("""COMPUTED_VALUE"""),38.81)</f>
        <v>38.81</v>
      </c>
      <c r="EE49" s="119">
        <f ca="1">IFERROR(__xludf.DUMMYFUNCTION("""COMPUTED_VALUE"""),86.49)</f>
        <v>86.49</v>
      </c>
      <c r="EF49" s="119">
        <f ca="1">IFERROR(__xludf.DUMMYFUNCTION("""COMPUTED_VALUE"""),180.08)</f>
        <v>180.08</v>
      </c>
      <c r="EG49" s="119">
        <f ca="1">IFERROR(__xludf.DUMMYFUNCTION("""COMPUTED_VALUE"""),67.42)</f>
        <v>67.42</v>
      </c>
      <c r="EH49" s="119">
        <f ca="1">IFERROR(__xludf.DUMMYFUNCTION("""COMPUTED_VALUE"""),102.73)</f>
        <v>102.73</v>
      </c>
      <c r="EI49" s="119">
        <f ca="1">IFERROR(__xludf.DUMMYFUNCTION("""COMPUTED_VALUE"""),136.46)</f>
        <v>136.46</v>
      </c>
      <c r="EJ49" s="119">
        <f ca="1">IFERROR(__xludf.DUMMYFUNCTION("""COMPUTED_VALUE"""),42.74)</f>
        <v>42.74</v>
      </c>
      <c r="EK49" s="119">
        <f ca="1">IFERROR(__xludf.DUMMYFUNCTION("""COMPUTED_VALUE"""),276.4)</f>
        <v>276.39999999999998</v>
      </c>
      <c r="EL49" s="119">
        <f ca="1">IFERROR(__xludf.DUMMYFUNCTION("""COMPUTED_VALUE"""),61.88)</f>
        <v>61.88</v>
      </c>
      <c r="EM49" s="119">
        <f ca="1">IFERROR(__xludf.DUMMYFUNCTION("""COMPUTED_VALUE"""),49.92)</f>
        <v>49.92</v>
      </c>
      <c r="EN49" s="119">
        <f ca="1">IFERROR(__xludf.DUMMYFUNCTION("""COMPUTED_VALUE"""),1704.3)</f>
        <v>1704.3</v>
      </c>
      <c r="EO49" s="119">
        <f ca="1">IFERROR(__xludf.DUMMYFUNCTION("""COMPUTED_VALUE"""),11.78)</f>
        <v>11.78</v>
      </c>
      <c r="EP49" s="119">
        <f ca="1">IFERROR(__xludf.DUMMYFUNCTION("""COMPUTED_VALUE"""),7.65)</f>
        <v>7.65</v>
      </c>
      <c r="EQ49" s="119">
        <f ca="1">IFERROR(__xludf.DUMMYFUNCTION("""COMPUTED_VALUE"""),1.55)</f>
        <v>1.55</v>
      </c>
      <c r="ER49" s="119">
        <f ca="1">IFERROR(__xludf.DUMMYFUNCTION("""COMPUTED_VALUE"""),4438.25)</f>
        <v>4438.25</v>
      </c>
      <c r="ES49" s="119">
        <f ca="1">IFERROR(__xludf.DUMMYFUNCTION("""COMPUTED_VALUE"""),94.69)</f>
        <v>94.69</v>
      </c>
      <c r="ET49" s="119">
        <f ca="1">IFERROR(__xludf.DUMMYFUNCTION("""COMPUTED_VALUE"""),118.02)</f>
        <v>118.02</v>
      </c>
      <c r="EU49" s="119">
        <f ca="1">IFERROR(__xludf.DUMMYFUNCTION("""COMPUTED_VALUE"""),29.95)</f>
        <v>29.95</v>
      </c>
      <c r="EV49" s="119">
        <f ca="1">IFERROR(__xludf.DUMMYFUNCTION("""COMPUTED_VALUE"""),1.35)</f>
        <v>1.35</v>
      </c>
      <c r="EW49" s="119">
        <f ca="1">IFERROR(__xludf.DUMMYFUNCTION("""COMPUTED_VALUE"""),13.94)</f>
        <v>13.94</v>
      </c>
      <c r="EX49" s="117">
        <f ca="1">IFERROR(__xludf.DUMMYFUNCTION("""COMPUTED_VALUE"""),4.65)</f>
        <v>4.6500000000000004</v>
      </c>
      <c r="EY49" s="117">
        <f ca="1">IFERROR(__xludf.DUMMYFUNCTION("""COMPUTED_VALUE"""),170.12)</f>
        <v>170.12</v>
      </c>
      <c r="EZ49" s="117">
        <f ca="1">IFERROR(__xludf.DUMMYFUNCTION("""COMPUTED_VALUE"""),25.36)</f>
        <v>25.36</v>
      </c>
      <c r="FA49" s="117">
        <f ca="1">IFERROR(__xludf.DUMMYFUNCTION("""COMPUTED_VALUE"""),2.96)</f>
        <v>2.96</v>
      </c>
      <c r="FB49" s="117">
        <f ca="1">IFERROR(__xludf.DUMMYFUNCTION("""COMPUTED_VALUE"""),139.65)</f>
        <v>139.65</v>
      </c>
      <c r="FC49" s="117">
        <f ca="1">IFERROR(__xludf.DUMMYFUNCTION("""COMPUTED_VALUE"""),9.47)</f>
        <v>9.4700000000000006</v>
      </c>
      <c r="FD49" s="117">
        <f ca="1">IFERROR(__xludf.DUMMYFUNCTION("""COMPUTED_VALUE"""),61.44)</f>
        <v>61.44</v>
      </c>
      <c r="FE49" s="117">
        <f ca="1">IFERROR(__xludf.DUMMYFUNCTION("""COMPUTED_VALUE"""),60.96)</f>
        <v>60.96</v>
      </c>
      <c r="FF49" s="117">
        <f ca="1">IFERROR(__xludf.DUMMYFUNCTION("""COMPUTED_VALUE"""),6.44)</f>
        <v>6.44</v>
      </c>
      <c r="FG49" s="117">
        <f ca="1">IFERROR(__xludf.DUMMYFUNCTION("""COMPUTED_VALUE"""),682.91)</f>
        <v>682.91</v>
      </c>
      <c r="FH49" s="117">
        <f ca="1">IFERROR(__xludf.DUMMYFUNCTION("""COMPUTED_VALUE"""),160.05)</f>
        <v>160.05000000000001</v>
      </c>
      <c r="FI49" s="117">
        <f ca="1">IFERROR(__xludf.DUMMYFUNCTION("""COMPUTED_VALUE"""),0.064)</f>
        <v>6.4000000000000001E-2</v>
      </c>
      <c r="FJ49" s="117">
        <f ca="1">IFERROR(__xludf.DUMMYFUNCTION("""COMPUTED_VALUE"""),16.58)</f>
        <v>16.579999999999998</v>
      </c>
      <c r="FK49" s="117">
        <f ca="1">IFERROR(__xludf.DUMMYFUNCTION("""COMPUTED_VALUE"""),205.4)</f>
        <v>205.4</v>
      </c>
      <c r="FL49" s="117">
        <f ca="1">IFERROR(__xludf.DUMMYFUNCTION("""COMPUTED_VALUE"""),476)</f>
        <v>476</v>
      </c>
      <c r="FM49" s="117">
        <f ca="1">IFERROR(__xludf.DUMMYFUNCTION("""COMPUTED_VALUE"""),130.19)</f>
        <v>130.19</v>
      </c>
      <c r="FN49" s="117">
        <f ca="1">IFERROR(__xludf.DUMMYFUNCTION("""COMPUTED_VALUE"""),943.98)</f>
        <v>943.98</v>
      </c>
      <c r="FO49" s="117">
        <f ca="1">IFERROR(__xludf.DUMMYFUNCTION("""COMPUTED_VALUE"""),683.45)</f>
        <v>683.45</v>
      </c>
    </row>
    <row r="50" spans="1:171" ht="15.75" customHeight="1" x14ac:dyDescent="0.15">
      <c r="A50" s="115">
        <f ca="1">IFERROR(__xludf.DUMMYFUNCTION("""COMPUTED_VALUE"""),44642)</f>
        <v>44642</v>
      </c>
      <c r="B50" s="119">
        <f ca="1">IFERROR(__xludf.DUMMYFUNCTION("""COMPUTED_VALUE"""),3297.78)</f>
        <v>3297.78</v>
      </c>
      <c r="C50" s="119">
        <f ca="1">IFERROR(__xludf.DUMMYFUNCTION("""COMPUTED_VALUE"""),216.65)</f>
        <v>216.65</v>
      </c>
      <c r="D50" s="119">
        <f ca="1">IFERROR(__xludf.DUMMYFUNCTION("""COMPUTED_VALUE"""),993.98)</f>
        <v>993.98</v>
      </c>
      <c r="E50" s="119">
        <f ca="1">IFERROR(__xludf.DUMMYFUNCTION("""COMPUTED_VALUE"""),388)</f>
        <v>388</v>
      </c>
      <c r="F50" s="119">
        <f ca="1">IFERROR(__xludf.DUMMYFUNCTION("""COMPUTED_VALUE"""),10.36)</f>
        <v>10.36</v>
      </c>
      <c r="G50" s="119">
        <f ca="1">IFERROR(__xludf.DUMMYFUNCTION("""COMPUTED_VALUE"""),168.82)</f>
        <v>168.82</v>
      </c>
      <c r="H50" s="119">
        <f ca="1">IFERROR(__xludf.DUMMYFUNCTION("""COMPUTED_VALUE"""),10.1)</f>
        <v>10.1</v>
      </c>
      <c r="I50" s="119">
        <f ca="1">IFERROR(__xludf.DUMMYFUNCTION("""COMPUTED_VALUE"""),1.07)</f>
        <v>1.07</v>
      </c>
      <c r="J50" s="119">
        <f ca="1">IFERROR(__xludf.DUMMYFUNCTION("""COMPUTED_VALUE"""),0.19)</f>
        <v>0.19</v>
      </c>
      <c r="K50" s="119">
        <f ca="1">IFERROR(__xludf.DUMMYFUNCTION("""COMPUTED_VALUE"""),39.55)</f>
        <v>39.549999999999997</v>
      </c>
      <c r="L50" s="119">
        <f ca="1">IFERROR(__xludf.DUMMYFUNCTION("""COMPUTED_VALUE"""),153)</f>
        <v>153</v>
      </c>
      <c r="M50" s="119">
        <f ca="1">IFERROR(__xludf.DUMMYFUNCTION("""COMPUTED_VALUE"""),42068.76)</f>
        <v>42068.76</v>
      </c>
      <c r="N50" s="119">
        <f ca="1">IFERROR(__xludf.DUMMYFUNCTION("""COMPUTED_VALUE"""),382.92)</f>
        <v>382.92</v>
      </c>
      <c r="O50" s="119">
        <f ca="1">IFERROR(__xludf.DUMMYFUNCTION("""COMPUTED_VALUE"""),304.06)</f>
        <v>304.06</v>
      </c>
      <c r="P50" s="119">
        <f ca="1">IFERROR(__xludf.DUMMYFUNCTION("""COMPUTED_VALUE"""),28.58)</f>
        <v>28.58</v>
      </c>
      <c r="Q50" s="119">
        <f ca="1">IFERROR(__xludf.DUMMYFUNCTION("""COMPUTED_VALUE"""),24.76)</f>
        <v>24.76</v>
      </c>
      <c r="R50" s="119">
        <f ca="1">IFERROR(__xludf.DUMMYFUNCTION("""COMPUTED_VALUE"""),64.73)</f>
        <v>64.73</v>
      </c>
      <c r="S50" s="119">
        <f ca="1">IFERROR(__xludf.DUMMYFUNCTION("""COMPUTED_VALUE"""),28.75)</f>
        <v>28.75</v>
      </c>
      <c r="T50" s="119">
        <f ca="1">IFERROR(__xludf.DUMMYFUNCTION("""COMPUTED_VALUE"""),29.01)</f>
        <v>29.01</v>
      </c>
      <c r="U50" s="119">
        <f ca="1">IFERROR(__xludf.DUMMYFUNCTION("""COMPUTED_VALUE"""),41.97)</f>
        <v>41.97</v>
      </c>
      <c r="V50" s="119">
        <f ca="1">IFERROR(__xludf.DUMMYFUNCTION("""COMPUTED_VALUE"""),14.82)</f>
        <v>14.82</v>
      </c>
      <c r="W50" s="119">
        <f ca="1">IFERROR(__xludf.DUMMYFUNCTION("""COMPUTED_VALUE"""),238.12)</f>
        <v>238.12</v>
      </c>
      <c r="X50" s="119">
        <f ca="1">IFERROR(__xludf.DUMMYFUNCTION("""COMPUTED_VALUE"""),2805.55)</f>
        <v>2805.55</v>
      </c>
      <c r="Y50" s="119">
        <f ca="1">IFERROR(__xludf.DUMMYFUNCTION("""COMPUTED_VALUE"""),55.9)</f>
        <v>55.9</v>
      </c>
      <c r="Z50" s="119">
        <f ca="1">IFERROR(__xludf.DUMMYFUNCTION("""COMPUTED_VALUE"""),58.35)</f>
        <v>58.35</v>
      </c>
      <c r="AA50" s="119">
        <f ca="1">IFERROR(__xludf.DUMMYFUNCTION("""COMPUTED_VALUE"""),114.86)</f>
        <v>114.86</v>
      </c>
      <c r="AB50" s="119">
        <f ca="1">IFERROR(__xludf.DUMMYFUNCTION("""COMPUTED_VALUE"""),4.63)</f>
        <v>4.63</v>
      </c>
      <c r="AC50" s="119">
        <f ca="1">IFERROR(__xludf.DUMMYFUNCTION("""COMPUTED_VALUE"""),75.57)</f>
        <v>75.569999999999993</v>
      </c>
      <c r="AD50" s="119">
        <f ca="1">IFERROR(__xludf.DUMMYFUNCTION("""COMPUTED_VALUE"""),12.18)</f>
        <v>12.18</v>
      </c>
      <c r="AE50" s="119">
        <f ca="1">IFERROR(__xludf.DUMMYFUNCTION("""COMPUTED_VALUE"""),6.38)</f>
        <v>6.38</v>
      </c>
      <c r="AF50" s="119">
        <f ca="1">IFERROR(__xludf.DUMMYFUNCTION("""COMPUTED_VALUE"""),41.9)</f>
        <v>41.9</v>
      </c>
      <c r="AG50" s="119">
        <f ca="1">IFERROR(__xludf.DUMMYFUNCTION("""COMPUTED_VALUE"""),12.86)</f>
        <v>12.86</v>
      </c>
      <c r="AH50" s="119">
        <f ca="1">IFERROR(__xludf.DUMMYFUNCTION("""COMPUTED_VALUE"""),2.11)</f>
        <v>2.11</v>
      </c>
      <c r="AI50" s="119">
        <f ca="1">IFERROR(__xludf.DUMMYFUNCTION("""COMPUTED_VALUE"""),3.38)</f>
        <v>3.38</v>
      </c>
      <c r="AJ50" s="119">
        <f ca="1">IFERROR(__xludf.DUMMYFUNCTION("""COMPUTED_VALUE"""),105.4)</f>
        <v>105.4</v>
      </c>
      <c r="AK50" s="119">
        <f ca="1">IFERROR(__xludf.DUMMYFUNCTION("""COMPUTED_VALUE"""),265.24)</f>
        <v>265.24</v>
      </c>
      <c r="AL50" s="119">
        <f ca="1">IFERROR(__xludf.DUMMYFUNCTION("""COMPUTED_VALUE"""),14.2)</f>
        <v>14.2</v>
      </c>
      <c r="AM50" s="119">
        <f ca="1">IFERROR(__xludf.DUMMYFUNCTION("""COMPUTED_VALUE"""),44.18)</f>
        <v>44.18</v>
      </c>
      <c r="AN50" s="119">
        <f ca="1">IFERROR(__xludf.DUMMYFUNCTION("""COMPUTED_VALUE"""),349.93)</f>
        <v>349.93</v>
      </c>
      <c r="AO50" s="119">
        <f ca="1">IFERROR(__xludf.DUMMYFUNCTION("""COMPUTED_VALUE"""),105.73)</f>
        <v>105.73</v>
      </c>
      <c r="AP50" s="119">
        <f ca="1">IFERROR(__xludf.DUMMYFUNCTION("""COMPUTED_VALUE"""),79.3)</f>
        <v>79.3</v>
      </c>
      <c r="AQ50" s="119">
        <f ca="1">IFERROR(__xludf.DUMMYFUNCTION("""COMPUTED_VALUE"""),50.61)</f>
        <v>50.61</v>
      </c>
      <c r="AR50" s="118">
        <f ca="1">IFERROR(__xludf.DUMMYFUNCTION("""COMPUTED_VALUE"""),103.8095)</f>
        <v>103.8095</v>
      </c>
      <c r="AS50" s="119">
        <f ca="1">IFERROR(__xludf.DUMMYFUNCTION("""COMPUTED_VALUE"""),14.72)</f>
        <v>14.72</v>
      </c>
      <c r="AT50" s="119">
        <f ca="1">IFERROR(__xludf.DUMMYFUNCTION("""COMPUTED_VALUE"""),110.2)</f>
        <v>110.2</v>
      </c>
      <c r="AU50" s="119">
        <f ca="1">IFERROR(__xludf.DUMMYFUNCTION("""COMPUTED_VALUE"""),64.6)</f>
        <v>64.599999999999994</v>
      </c>
      <c r="AV50" s="119">
        <f ca="1">IFERROR(__xludf.DUMMYFUNCTION("""COMPUTED_VALUE"""),140.11)</f>
        <v>140.11000000000001</v>
      </c>
      <c r="AW50" s="119">
        <f ca="1">IFERROR(__xludf.DUMMYFUNCTION("""COMPUTED_VALUE"""),135.48)</f>
        <v>135.47999999999999</v>
      </c>
      <c r="AX50" s="119">
        <f ca="1">IFERROR(__xludf.DUMMYFUNCTION("""COMPUTED_VALUE"""),20.75)</f>
        <v>20.75</v>
      </c>
      <c r="AY50" s="119">
        <f ca="1">IFERROR(__xludf.DUMMYFUNCTION("""COMPUTED_VALUE"""),50.51)</f>
        <v>50.51</v>
      </c>
      <c r="AZ50" s="119">
        <f ca="1">IFERROR(__xludf.DUMMYFUNCTION("""COMPUTED_VALUE"""),0)</f>
        <v>0</v>
      </c>
      <c r="BA50" s="119">
        <f ca="1">IFERROR(__xludf.DUMMYFUNCTION("""COMPUTED_VALUE"""),0)</f>
        <v>0</v>
      </c>
      <c r="BB50" s="119">
        <f ca="1">IFERROR(__xludf.DUMMYFUNCTION("""COMPUTED_VALUE"""),11.78)</f>
        <v>11.78</v>
      </c>
      <c r="BC50" s="119">
        <f ca="1">IFERROR(__xludf.DUMMYFUNCTION("""COMPUTED_VALUE"""),8.76)</f>
        <v>8.76</v>
      </c>
      <c r="BD50" s="119">
        <f ca="1">IFERROR(__xludf.DUMMYFUNCTION("""COMPUTED_VALUE"""),187.4)</f>
        <v>187.4</v>
      </c>
      <c r="BE50" s="119">
        <f ca="1">IFERROR(__xludf.DUMMYFUNCTION("""COMPUTED_VALUE"""),145.6)</f>
        <v>145.6</v>
      </c>
      <c r="BF50" s="119">
        <f ca="1">IFERROR(__xludf.DUMMYFUNCTION("""COMPUTED_VALUE"""),11.08)</f>
        <v>11.08</v>
      </c>
      <c r="BG50" s="119">
        <f ca="1">IFERROR(__xludf.DUMMYFUNCTION("""COMPUTED_VALUE"""),597.42)</f>
        <v>597.41999999999996</v>
      </c>
      <c r="BH50" s="119">
        <f ca="1">IFERROR(__xludf.DUMMYFUNCTION("""COMPUTED_VALUE"""),298.51)</f>
        <v>298.51</v>
      </c>
      <c r="BI50" s="119">
        <f ca="1">IFERROR(__xludf.DUMMYFUNCTION("""COMPUTED_VALUE"""),236.47)</f>
        <v>236.47</v>
      </c>
      <c r="BJ50" s="119">
        <f ca="1">IFERROR(__xludf.DUMMYFUNCTION("""COMPUTED_VALUE"""),26.65)</f>
        <v>26.65</v>
      </c>
      <c r="BK50" s="119">
        <f ca="1">IFERROR(__xludf.DUMMYFUNCTION("""COMPUTED_VALUE"""),325.22)</f>
        <v>325.22000000000003</v>
      </c>
      <c r="BL50" s="119">
        <f ca="1">IFERROR(__xludf.DUMMYFUNCTION("""COMPUTED_VALUE"""),125.69)</f>
        <v>125.69</v>
      </c>
      <c r="BM50" s="119">
        <f ca="1">IFERROR(__xludf.DUMMYFUNCTION("""COMPUTED_VALUE"""),17.09)</f>
        <v>17.09</v>
      </c>
      <c r="BN50" s="119">
        <f ca="1">IFERROR(__xludf.DUMMYFUNCTION("""COMPUTED_VALUE"""),339.95)</f>
        <v>339.95</v>
      </c>
      <c r="BO50" s="119">
        <f ca="1">IFERROR(__xludf.DUMMYFUNCTION("""COMPUTED_VALUE"""),709.92)</f>
        <v>709.92</v>
      </c>
      <c r="BP50" s="119">
        <f ca="1">IFERROR(__xludf.DUMMYFUNCTION("""COMPUTED_VALUE"""),46.93)</f>
        <v>46.93</v>
      </c>
      <c r="BQ50" s="119">
        <f ca="1">IFERROR(__xludf.DUMMYFUNCTION("""COMPUTED_VALUE"""),9.72)</f>
        <v>9.7200000000000006</v>
      </c>
      <c r="BR50" s="119">
        <f ca="1">IFERROR(__xludf.DUMMYFUNCTION("""COMPUTED_VALUE"""),39.59)</f>
        <v>39.590000000000003</v>
      </c>
      <c r="BS50" s="119">
        <f ca="1">IFERROR(__xludf.DUMMYFUNCTION("""COMPUTED_VALUE"""),0.99)</f>
        <v>0.99</v>
      </c>
      <c r="BT50" s="119">
        <f ca="1">IFERROR(__xludf.DUMMYFUNCTION("""COMPUTED_VALUE"""),48.21)</f>
        <v>48.21</v>
      </c>
      <c r="BU50" s="119">
        <f ca="1">IFERROR(__xludf.DUMMYFUNCTION("""COMPUTED_VALUE"""),37.3)</f>
        <v>37.299999999999997</v>
      </c>
      <c r="BV50" s="119">
        <f ca="1">IFERROR(__xludf.DUMMYFUNCTION("""COMPUTED_VALUE"""),54.1)</f>
        <v>54.1</v>
      </c>
      <c r="BW50" s="119">
        <f ca="1">IFERROR(__xludf.DUMMYFUNCTION("""COMPUTED_VALUE"""),8.02)</f>
        <v>8.02</v>
      </c>
      <c r="BX50" s="119">
        <f ca="1">IFERROR(__xludf.DUMMYFUNCTION("""COMPUTED_VALUE"""),5.15)</f>
        <v>5.15</v>
      </c>
      <c r="BY50" s="119">
        <f ca="1">IFERROR(__xludf.DUMMYFUNCTION("""COMPUTED_VALUE"""),0)</f>
        <v>0</v>
      </c>
      <c r="BZ50" s="119">
        <f ca="1">IFERROR(__xludf.DUMMYFUNCTION("""COMPUTED_VALUE"""),14.71)</f>
        <v>14.71</v>
      </c>
      <c r="CA50" s="119">
        <f ca="1">IFERROR(__xludf.DUMMYFUNCTION("""COMPUTED_VALUE"""),3.64)</f>
        <v>3.64</v>
      </c>
      <c r="CB50" s="119">
        <f ca="1">IFERROR(__xludf.DUMMYFUNCTION("""COMPUTED_VALUE"""),5.49)</f>
        <v>5.49</v>
      </c>
      <c r="CC50" s="119">
        <f ca="1">IFERROR(__xludf.DUMMYFUNCTION("""COMPUTED_VALUE"""),18.79)</f>
        <v>18.79</v>
      </c>
      <c r="CD50" s="119">
        <f ca="1">IFERROR(__xludf.DUMMYFUNCTION("""COMPUTED_VALUE"""),14.04)</f>
        <v>14.04</v>
      </c>
      <c r="CE50" s="119">
        <f ca="1">IFERROR(__xludf.DUMMYFUNCTION("""COMPUTED_VALUE"""),30.06)</f>
        <v>30.06</v>
      </c>
      <c r="CF50" s="119">
        <f ca="1">IFERROR(__xludf.DUMMYFUNCTION("""COMPUTED_VALUE"""),111.3)</f>
        <v>111.3</v>
      </c>
      <c r="CG50" s="119">
        <f ca="1">IFERROR(__xludf.DUMMYFUNCTION("""COMPUTED_VALUE"""),5.27)</f>
        <v>5.27</v>
      </c>
      <c r="CH50" s="119">
        <f ca="1">IFERROR(__xludf.DUMMYFUNCTION("""COMPUTED_VALUE"""),24.23)</f>
        <v>24.23</v>
      </c>
      <c r="CI50" s="119">
        <f ca="1">IFERROR(__xludf.DUMMYFUNCTION("""COMPUTED_VALUE"""),46.34)</f>
        <v>46.34</v>
      </c>
      <c r="CJ50" s="119">
        <f ca="1">IFERROR(__xludf.DUMMYFUNCTION("""COMPUTED_VALUE"""),33)</f>
        <v>33</v>
      </c>
      <c r="CK50" s="119">
        <f ca="1">IFERROR(__xludf.DUMMYFUNCTION("""COMPUTED_VALUE"""),12.16)</f>
        <v>12.16</v>
      </c>
      <c r="CL50" s="119">
        <f ca="1">IFERROR(__xludf.DUMMYFUNCTION("""COMPUTED_VALUE"""),2797.36)</f>
        <v>2797.36</v>
      </c>
      <c r="CM50" s="119">
        <f ca="1">IFERROR(__xludf.DUMMYFUNCTION("""COMPUTED_VALUE"""),3.25)</f>
        <v>3.25</v>
      </c>
      <c r="CN50" s="119">
        <f ca="1">IFERROR(__xludf.DUMMYFUNCTION("""COMPUTED_VALUE"""),208)</f>
        <v>208</v>
      </c>
      <c r="CO50" s="119">
        <f ca="1">IFERROR(__xludf.DUMMYFUNCTION("""COMPUTED_VALUE"""),148.7)</f>
        <v>148.69999999999999</v>
      </c>
      <c r="CP50" s="119">
        <f ca="1">IFERROR(__xludf.DUMMYFUNCTION("""COMPUTED_VALUE"""),66.97)</f>
        <v>66.97</v>
      </c>
      <c r="CQ50" s="119">
        <f ca="1">IFERROR(__xludf.DUMMYFUNCTION("""COMPUTED_VALUE"""),70800)</f>
        <v>70800</v>
      </c>
      <c r="CR50" s="119">
        <f ca="1">IFERROR(__xludf.DUMMYFUNCTION("""COMPUTED_VALUE"""),0.52)</f>
        <v>0.52</v>
      </c>
      <c r="CS50" s="119">
        <f ca="1">IFERROR(__xludf.DUMMYFUNCTION("""COMPUTED_VALUE"""),34.92)</f>
        <v>34.92</v>
      </c>
      <c r="CT50" s="119">
        <f ca="1">IFERROR(__xludf.DUMMYFUNCTION("""COMPUTED_VALUE"""),22.08)</f>
        <v>22.08</v>
      </c>
      <c r="CU50" s="119">
        <f ca="1">IFERROR(__xludf.DUMMYFUNCTION("""COMPUTED_VALUE"""),1917.9)</f>
        <v>1917.9</v>
      </c>
      <c r="CV50" s="119">
        <f ca="1">IFERROR(__xludf.DUMMYFUNCTION("""COMPUTED_VALUE"""),2.54)</f>
        <v>2.54</v>
      </c>
      <c r="CW50" s="119">
        <f ca="1">IFERROR(__xludf.DUMMYFUNCTION("""COMPUTED_VALUE"""),2.91)</f>
        <v>2.91</v>
      </c>
      <c r="CX50" s="119">
        <f ca="1">IFERROR(__xludf.DUMMYFUNCTION("""COMPUTED_VALUE"""),0)</f>
        <v>0</v>
      </c>
      <c r="CY50" s="119">
        <f ca="1">IFERROR(__xludf.DUMMYFUNCTION("""COMPUTED_VALUE"""),0.05)</f>
        <v>0.05</v>
      </c>
      <c r="CZ50" s="119">
        <f ca="1">IFERROR(__xludf.DUMMYFUNCTION("""COMPUTED_VALUE"""),75.45)</f>
        <v>75.45</v>
      </c>
      <c r="DA50" s="119">
        <f ca="1">IFERROR(__xludf.DUMMYFUNCTION("""COMPUTED_VALUE"""),0.02)</f>
        <v>0.02</v>
      </c>
      <c r="DB50" s="119">
        <f ca="1">IFERROR(__xludf.DUMMYFUNCTION("""COMPUTED_VALUE"""),0.23)</f>
        <v>0.23</v>
      </c>
      <c r="DC50" s="119">
        <f ca="1">IFERROR(__xludf.DUMMYFUNCTION("""COMPUTED_VALUE"""),156.71)</f>
        <v>156.71</v>
      </c>
      <c r="DD50" s="119">
        <f ca="1">IFERROR(__xludf.DUMMYFUNCTION("""COMPUTED_VALUE"""),11.79)</f>
        <v>11.79</v>
      </c>
      <c r="DE50" s="119">
        <f ca="1">IFERROR(__xludf.DUMMYFUNCTION("""COMPUTED_VALUE"""),7.33)</f>
        <v>7.33</v>
      </c>
      <c r="DF50" s="119">
        <f ca="1">IFERROR(__xludf.DUMMYFUNCTION("""COMPUTED_VALUE"""),57.55)</f>
        <v>57.55</v>
      </c>
      <c r="DG50" s="119">
        <f ca="1">IFERROR(__xludf.DUMMYFUNCTION("""COMPUTED_VALUE"""),6.38)</f>
        <v>6.38</v>
      </c>
      <c r="DH50" s="119">
        <f ca="1">IFERROR(__xludf.DUMMYFUNCTION("""COMPUTED_VALUE"""),10.44)</f>
        <v>10.44</v>
      </c>
      <c r="DI50" s="119">
        <f ca="1">IFERROR(__xludf.DUMMYFUNCTION("""COMPUTED_VALUE"""),143.8)</f>
        <v>143.80000000000001</v>
      </c>
      <c r="DJ50" s="119">
        <f ca="1">IFERROR(__xludf.DUMMYFUNCTION("""COMPUTED_VALUE"""),12.52)</f>
        <v>12.52</v>
      </c>
      <c r="DK50" s="119">
        <f ca="1">IFERROR(__xludf.DUMMYFUNCTION("""COMPUTED_VALUE"""),2.85)</f>
        <v>2.85</v>
      </c>
      <c r="DL50" s="119">
        <f ca="1">IFERROR(__xludf.DUMMYFUNCTION("""COMPUTED_VALUE"""),25.15)</f>
        <v>25.15</v>
      </c>
      <c r="DM50" s="119">
        <f ca="1">IFERROR(__xludf.DUMMYFUNCTION("""COMPUTED_VALUE"""),440.59)</f>
        <v>440.59</v>
      </c>
      <c r="DN50" s="119">
        <f ca="1">IFERROR(__xludf.DUMMYFUNCTION("""COMPUTED_VALUE"""),166.44)</f>
        <v>166.44</v>
      </c>
      <c r="DO50" s="119">
        <f ca="1">IFERROR(__xludf.DUMMYFUNCTION("""COMPUTED_VALUE"""),380)</f>
        <v>380</v>
      </c>
      <c r="DP50" s="119">
        <f ca="1">IFERROR(__xludf.DUMMYFUNCTION("""COMPUTED_VALUE"""),3.55)</f>
        <v>3.55</v>
      </c>
      <c r="DQ50" s="119">
        <f ca="1">IFERROR(__xludf.DUMMYFUNCTION("""COMPUTED_VALUE"""),114.99)</f>
        <v>114.99</v>
      </c>
      <c r="DR50" s="119">
        <f ca="1">IFERROR(__xludf.DUMMYFUNCTION("""COMPUTED_VALUE"""),0.19)</f>
        <v>0.19</v>
      </c>
      <c r="DS50" s="119">
        <f ca="1">IFERROR(__xludf.DUMMYFUNCTION("""COMPUTED_VALUE"""),3.52)</f>
        <v>3.52</v>
      </c>
      <c r="DT50" s="119">
        <f ca="1">IFERROR(__xludf.DUMMYFUNCTION("""COMPUTED_VALUE"""),5.46)</f>
        <v>5.46</v>
      </c>
      <c r="DU50" s="119">
        <f ca="1">IFERROR(__xludf.DUMMYFUNCTION("""COMPUTED_VALUE"""),53.04)</f>
        <v>53.04</v>
      </c>
      <c r="DV50" s="119">
        <f ca="1">IFERROR(__xludf.DUMMYFUNCTION("""COMPUTED_VALUE"""),12.78)</f>
        <v>12.78</v>
      </c>
      <c r="DW50" s="119">
        <f ca="1">IFERROR(__xludf.DUMMYFUNCTION("""COMPUTED_VALUE"""),0.067)</f>
        <v>6.7000000000000004E-2</v>
      </c>
      <c r="DX50" s="119">
        <f ca="1">IFERROR(__xludf.DUMMYFUNCTION("""COMPUTED_VALUE"""),26.58)</f>
        <v>26.58</v>
      </c>
      <c r="DY50" s="119">
        <f ca="1">IFERROR(__xludf.DUMMYFUNCTION("""COMPUTED_VALUE"""),872.25)</f>
        <v>872.25</v>
      </c>
      <c r="DZ50" s="119">
        <f ca="1">IFERROR(__xludf.DUMMYFUNCTION("""COMPUTED_VALUE"""),83.8)</f>
        <v>83.8</v>
      </c>
      <c r="EA50" s="119">
        <f ca="1">IFERROR(__xludf.DUMMYFUNCTION("""COMPUTED_VALUE"""),46.75)</f>
        <v>46.75</v>
      </c>
      <c r="EB50" s="119">
        <f ca="1">IFERROR(__xludf.DUMMYFUNCTION("""COMPUTED_VALUE"""),70.91)</f>
        <v>70.91</v>
      </c>
      <c r="EC50" s="119">
        <f ca="1">IFERROR(__xludf.DUMMYFUNCTION("""COMPUTED_VALUE"""),74.5)</f>
        <v>74.5</v>
      </c>
      <c r="ED50" s="119">
        <f ca="1">IFERROR(__xludf.DUMMYFUNCTION("""COMPUTED_VALUE"""),39.44)</f>
        <v>39.44</v>
      </c>
      <c r="EE50" s="119">
        <f ca="1">IFERROR(__xludf.DUMMYFUNCTION("""COMPUTED_VALUE"""),86.96)</f>
        <v>86.96</v>
      </c>
      <c r="EF50" s="119">
        <f ca="1">IFERROR(__xludf.DUMMYFUNCTION("""COMPUTED_VALUE"""),184.55)</f>
        <v>184.55</v>
      </c>
      <c r="EG50" s="119">
        <f ca="1">IFERROR(__xludf.DUMMYFUNCTION("""COMPUTED_VALUE"""),68.68)</f>
        <v>68.680000000000007</v>
      </c>
      <c r="EH50" s="119">
        <f ca="1">IFERROR(__xludf.DUMMYFUNCTION("""COMPUTED_VALUE"""),103.29)</f>
        <v>103.29</v>
      </c>
      <c r="EI50" s="119">
        <f ca="1">IFERROR(__xludf.DUMMYFUNCTION("""COMPUTED_VALUE"""),136.49)</f>
        <v>136.49</v>
      </c>
      <c r="EJ50" s="119">
        <f ca="1">IFERROR(__xludf.DUMMYFUNCTION("""COMPUTED_VALUE"""),41.45)</f>
        <v>41.45</v>
      </c>
      <c r="EK50" s="119">
        <f ca="1">IFERROR(__xludf.DUMMYFUNCTION("""COMPUTED_VALUE"""),271.43)</f>
        <v>271.43</v>
      </c>
      <c r="EL50" s="119">
        <f ca="1">IFERROR(__xludf.DUMMYFUNCTION("""COMPUTED_VALUE"""),56.76)</f>
        <v>56.76</v>
      </c>
      <c r="EM50" s="119">
        <f ca="1">IFERROR(__xludf.DUMMYFUNCTION("""COMPUTED_VALUE"""),43.69)</f>
        <v>43.69</v>
      </c>
      <c r="EN50" s="119">
        <f ca="1">IFERROR(__xludf.DUMMYFUNCTION("""COMPUTED_VALUE"""),1695)</f>
        <v>1695</v>
      </c>
      <c r="EO50" s="119">
        <f ca="1">IFERROR(__xludf.DUMMYFUNCTION("""COMPUTED_VALUE"""),11.78)</f>
        <v>11.78</v>
      </c>
      <c r="EP50" s="119">
        <f ca="1">IFERROR(__xludf.DUMMYFUNCTION("""COMPUTED_VALUE"""),7.65)</f>
        <v>7.65</v>
      </c>
      <c r="EQ50" s="119">
        <f ca="1">IFERROR(__xludf.DUMMYFUNCTION("""COMPUTED_VALUE"""),2.05)</f>
        <v>2.0499999999999998</v>
      </c>
      <c r="ER50" s="119">
        <f ca="1">IFERROR(__xludf.DUMMYFUNCTION("""COMPUTED_VALUE"""),4503.25)</f>
        <v>4503.25</v>
      </c>
      <c r="ES50" s="119">
        <f ca="1">IFERROR(__xludf.DUMMYFUNCTION("""COMPUTED_VALUE"""),95.25)</f>
        <v>95.25</v>
      </c>
      <c r="ET50" s="119">
        <f ca="1">IFERROR(__xludf.DUMMYFUNCTION("""COMPUTED_VALUE"""),114.93)</f>
        <v>114.93</v>
      </c>
      <c r="EU50" s="119">
        <f ca="1">IFERROR(__xludf.DUMMYFUNCTION("""COMPUTED_VALUE"""),29.9)</f>
        <v>29.9</v>
      </c>
      <c r="EV50" s="119">
        <f ca="1">IFERROR(__xludf.DUMMYFUNCTION("""COMPUTED_VALUE"""),1.45)</f>
        <v>1.45</v>
      </c>
      <c r="EW50" s="119">
        <f ca="1">IFERROR(__xludf.DUMMYFUNCTION("""COMPUTED_VALUE"""),13.78)</f>
        <v>13.78</v>
      </c>
      <c r="EX50" s="117">
        <f ca="1">IFERROR(__xludf.DUMMYFUNCTION("""COMPUTED_VALUE"""),5.1)</f>
        <v>5.0999999999999996</v>
      </c>
      <c r="EY50" s="117">
        <f ca="1">IFERROR(__xludf.DUMMYFUNCTION("""COMPUTED_VALUE"""),174.63)</f>
        <v>174.63</v>
      </c>
      <c r="EZ50" s="117">
        <f ca="1">IFERROR(__xludf.DUMMYFUNCTION("""COMPUTED_VALUE"""),24.82)</f>
        <v>24.82</v>
      </c>
      <c r="FA50" s="117">
        <f ca="1">IFERROR(__xludf.DUMMYFUNCTION("""COMPUTED_VALUE"""),2.99)</f>
        <v>2.99</v>
      </c>
      <c r="FB50" s="117">
        <f ca="1">IFERROR(__xludf.DUMMYFUNCTION("""COMPUTED_VALUE"""),142.62)</f>
        <v>142.62</v>
      </c>
      <c r="FC50" s="117">
        <f ca="1">IFERROR(__xludf.DUMMYFUNCTION("""COMPUTED_VALUE"""),9.37)</f>
        <v>9.3699999999999992</v>
      </c>
      <c r="FD50" s="117">
        <f ca="1">IFERROR(__xludf.DUMMYFUNCTION("""COMPUTED_VALUE"""),60.63)</f>
        <v>60.63</v>
      </c>
      <c r="FE50" s="117">
        <f ca="1">IFERROR(__xludf.DUMMYFUNCTION("""COMPUTED_VALUE"""),59.64)</f>
        <v>59.64</v>
      </c>
      <c r="FF50" s="117">
        <f ca="1">IFERROR(__xludf.DUMMYFUNCTION("""COMPUTED_VALUE"""),6.28)</f>
        <v>6.28</v>
      </c>
      <c r="FG50" s="117">
        <f ca="1">IFERROR(__xludf.DUMMYFUNCTION("""COMPUTED_VALUE"""),688.74)</f>
        <v>688.74</v>
      </c>
      <c r="FH50" s="117">
        <f ca="1">IFERROR(__xludf.DUMMYFUNCTION("""COMPUTED_VALUE"""),160.01)</f>
        <v>160.01</v>
      </c>
      <c r="FI50" s="117">
        <f ca="1">IFERROR(__xludf.DUMMYFUNCTION("""COMPUTED_VALUE"""),0.065)</f>
        <v>6.5000000000000002E-2</v>
      </c>
      <c r="FJ50" s="117">
        <f ca="1">IFERROR(__xludf.DUMMYFUNCTION("""COMPUTED_VALUE"""),15.52)</f>
        <v>15.52</v>
      </c>
      <c r="FK50" s="117">
        <f ca="1">IFERROR(__xludf.DUMMYFUNCTION("""COMPUTED_VALUE"""),202.36)</f>
        <v>202.36</v>
      </c>
      <c r="FL50" s="117">
        <f ca="1">IFERROR(__xludf.DUMMYFUNCTION("""COMPUTED_VALUE"""),471.54)</f>
        <v>471.54</v>
      </c>
      <c r="FM50" s="117">
        <f ca="1">IFERROR(__xludf.DUMMYFUNCTION("""COMPUTED_VALUE"""),133.09)</f>
        <v>133.09</v>
      </c>
      <c r="FN50" s="117">
        <f ca="1">IFERROR(__xludf.DUMMYFUNCTION("""COMPUTED_VALUE"""),964.34)</f>
        <v>964.34</v>
      </c>
      <c r="FO50" s="117">
        <f ca="1">IFERROR(__xludf.DUMMYFUNCTION("""COMPUTED_VALUE"""),727.01)</f>
        <v>727.01</v>
      </c>
    </row>
    <row r="51" spans="1:171" ht="15.75" customHeight="1" x14ac:dyDescent="0.15">
      <c r="A51" s="115">
        <f ca="1">IFERROR(__xludf.DUMMYFUNCTION("""COMPUTED_VALUE"""),44643)</f>
        <v>44643</v>
      </c>
      <c r="B51" s="119">
        <f ca="1">IFERROR(__xludf.DUMMYFUNCTION("""COMPUTED_VALUE"""),3268.16)</f>
        <v>3268.16</v>
      </c>
      <c r="C51" s="119">
        <f ca="1">IFERROR(__xludf.DUMMYFUNCTION("""COMPUTED_VALUE"""),213.46)</f>
        <v>213.46</v>
      </c>
      <c r="D51" s="119">
        <f ca="1">IFERROR(__xludf.DUMMYFUNCTION("""COMPUTED_VALUE"""),999.11)</f>
        <v>999.11</v>
      </c>
      <c r="E51" s="119">
        <f ca="1">IFERROR(__xludf.DUMMYFUNCTION("""COMPUTED_VALUE"""),389)</f>
        <v>389</v>
      </c>
      <c r="F51" s="119">
        <f ca="1">IFERROR(__xludf.DUMMYFUNCTION("""COMPUTED_VALUE"""),10.2)</f>
        <v>10.199999999999999</v>
      </c>
      <c r="G51" s="119">
        <f ca="1">IFERROR(__xludf.DUMMYFUNCTION("""COMPUTED_VALUE"""),170.21)</f>
        <v>170.21</v>
      </c>
      <c r="H51" s="119">
        <f ca="1">IFERROR(__xludf.DUMMYFUNCTION("""COMPUTED_VALUE"""),0)</f>
        <v>0</v>
      </c>
      <c r="I51" s="119">
        <f ca="1">IFERROR(__xludf.DUMMYFUNCTION("""COMPUTED_VALUE"""),1.43)</f>
        <v>1.43</v>
      </c>
      <c r="J51" s="119">
        <f ca="1">IFERROR(__xludf.DUMMYFUNCTION("""COMPUTED_VALUE"""),0.04)</f>
        <v>0.04</v>
      </c>
      <c r="K51" s="119">
        <f ca="1">IFERROR(__xludf.DUMMYFUNCTION("""COMPUTED_VALUE"""),40.2)</f>
        <v>40.200000000000003</v>
      </c>
      <c r="L51" s="119">
        <f ca="1">IFERROR(__xludf.DUMMYFUNCTION("""COMPUTED_VALUE"""),156.2)</f>
        <v>156.19999999999999</v>
      </c>
      <c r="M51" s="119">
        <f ca="1">IFERROR(__xludf.DUMMYFUNCTION("""COMPUTED_VALUE"""),42977.3)</f>
        <v>42977.3</v>
      </c>
      <c r="N51" s="119">
        <f ca="1">IFERROR(__xludf.DUMMYFUNCTION("""COMPUTED_VALUE"""),374.49)</f>
        <v>374.49</v>
      </c>
      <c r="O51" s="119">
        <f ca="1">IFERROR(__xludf.DUMMYFUNCTION("""COMPUTED_VALUE"""),299.49)</f>
        <v>299.49</v>
      </c>
      <c r="P51" s="119">
        <f ca="1">IFERROR(__xludf.DUMMYFUNCTION("""COMPUTED_VALUE"""),28.31)</f>
        <v>28.31</v>
      </c>
      <c r="Q51" s="119">
        <f ca="1">IFERROR(__xludf.DUMMYFUNCTION("""COMPUTED_VALUE"""),24.54)</f>
        <v>24.54</v>
      </c>
      <c r="R51" s="119">
        <f ca="1">IFERROR(__xludf.DUMMYFUNCTION("""COMPUTED_VALUE"""),64.29)</f>
        <v>64.290000000000006</v>
      </c>
      <c r="S51" s="119">
        <f ca="1">IFERROR(__xludf.DUMMYFUNCTION("""COMPUTED_VALUE"""),28.61)</f>
        <v>28.61</v>
      </c>
      <c r="T51" s="119">
        <f ca="1">IFERROR(__xludf.DUMMYFUNCTION("""COMPUTED_VALUE"""),29.08)</f>
        <v>29.08</v>
      </c>
      <c r="U51" s="119">
        <f ca="1">IFERROR(__xludf.DUMMYFUNCTION("""COMPUTED_VALUE"""),41.41)</f>
        <v>41.41</v>
      </c>
      <c r="V51" s="119">
        <f ca="1">IFERROR(__xludf.DUMMYFUNCTION("""COMPUTED_VALUE"""),14.8)</f>
        <v>14.8</v>
      </c>
      <c r="W51" s="119">
        <f ca="1">IFERROR(__xludf.DUMMYFUNCTION("""COMPUTED_VALUE"""),236.12)</f>
        <v>236.12</v>
      </c>
      <c r="X51" s="119">
        <f ca="1">IFERROR(__xludf.DUMMYFUNCTION("""COMPUTED_VALUE"""),2770.07)</f>
        <v>2770.07</v>
      </c>
      <c r="Y51" s="119">
        <f ca="1">IFERROR(__xludf.DUMMYFUNCTION("""COMPUTED_VALUE"""),56.7)</f>
        <v>56.7</v>
      </c>
      <c r="Z51" s="119">
        <f ca="1">IFERROR(__xludf.DUMMYFUNCTION("""COMPUTED_VALUE"""),65.3)</f>
        <v>65.3</v>
      </c>
      <c r="AA51" s="119">
        <f ca="1">IFERROR(__xludf.DUMMYFUNCTION("""COMPUTED_VALUE"""),117.59)</f>
        <v>117.59</v>
      </c>
      <c r="AB51" s="119">
        <f ca="1">IFERROR(__xludf.DUMMYFUNCTION("""COMPUTED_VALUE"""),4.63)</f>
        <v>4.63</v>
      </c>
      <c r="AC51" s="119">
        <f ca="1">IFERROR(__xludf.DUMMYFUNCTION("""COMPUTED_VALUE"""),76.87)</f>
        <v>76.87</v>
      </c>
      <c r="AD51" s="119">
        <f ca="1">IFERROR(__xludf.DUMMYFUNCTION("""COMPUTED_VALUE"""),12.09)</f>
        <v>12.09</v>
      </c>
      <c r="AE51" s="119">
        <f ca="1">IFERROR(__xludf.DUMMYFUNCTION("""COMPUTED_VALUE"""),6.24)</f>
        <v>6.24</v>
      </c>
      <c r="AF51" s="119">
        <f ca="1">IFERROR(__xludf.DUMMYFUNCTION("""COMPUTED_VALUE"""),41.58)</f>
        <v>41.58</v>
      </c>
      <c r="AG51" s="119">
        <f ca="1">IFERROR(__xludf.DUMMYFUNCTION("""COMPUTED_VALUE"""),13.08)</f>
        <v>13.08</v>
      </c>
      <c r="AH51" s="119">
        <f ca="1">IFERROR(__xludf.DUMMYFUNCTION("""COMPUTED_VALUE"""),2.15)</f>
        <v>2.15</v>
      </c>
      <c r="AI51" s="119">
        <f ca="1">IFERROR(__xludf.DUMMYFUNCTION("""COMPUTED_VALUE"""),3.36)</f>
        <v>3.36</v>
      </c>
      <c r="AJ51" s="119">
        <f ca="1">IFERROR(__xludf.DUMMYFUNCTION("""COMPUTED_VALUE"""),97.9)</f>
        <v>97.9</v>
      </c>
      <c r="AK51" s="119">
        <f ca="1">IFERROR(__xludf.DUMMYFUNCTION("""COMPUTED_VALUE"""),256.34)</f>
        <v>256.33999999999997</v>
      </c>
      <c r="AL51" s="119">
        <f ca="1">IFERROR(__xludf.DUMMYFUNCTION("""COMPUTED_VALUE"""),14.78)</f>
        <v>14.78</v>
      </c>
      <c r="AM51" s="119">
        <f ca="1">IFERROR(__xludf.DUMMYFUNCTION("""COMPUTED_VALUE"""),43.09)</f>
        <v>43.09</v>
      </c>
      <c r="AN51" s="119">
        <f ca="1">IFERROR(__xludf.DUMMYFUNCTION("""COMPUTED_VALUE"""),348.16)</f>
        <v>348.16</v>
      </c>
      <c r="AO51" s="119">
        <f ca="1">IFERROR(__xludf.DUMMYFUNCTION("""COMPUTED_VALUE"""),104.15)</f>
        <v>104.15</v>
      </c>
      <c r="AP51" s="119">
        <f ca="1">IFERROR(__xludf.DUMMYFUNCTION("""COMPUTED_VALUE"""),79.07)</f>
        <v>79.069999999999993</v>
      </c>
      <c r="AQ51" s="119">
        <f ca="1">IFERROR(__xludf.DUMMYFUNCTION("""COMPUTED_VALUE"""),47.86)</f>
        <v>47.86</v>
      </c>
      <c r="AR51" s="118">
        <f ca="1">IFERROR(__xludf.DUMMYFUNCTION("""COMPUTED_VALUE"""),103.4525)</f>
        <v>103.4525</v>
      </c>
      <c r="AS51" s="119">
        <f ca="1">IFERROR(__xludf.DUMMYFUNCTION("""COMPUTED_VALUE"""),14.65)</f>
        <v>14.65</v>
      </c>
      <c r="AT51" s="119">
        <f ca="1">IFERROR(__xludf.DUMMYFUNCTION("""COMPUTED_VALUE"""),117.6)</f>
        <v>117.6</v>
      </c>
      <c r="AU51" s="119">
        <f ca="1">IFERROR(__xludf.DUMMYFUNCTION("""COMPUTED_VALUE"""),65.72)</f>
        <v>65.72</v>
      </c>
      <c r="AV51" s="119">
        <f ca="1">IFERROR(__xludf.DUMMYFUNCTION("""COMPUTED_VALUE"""),137.64)</f>
        <v>137.63999999999999</v>
      </c>
      <c r="AW51" s="119">
        <f ca="1">IFERROR(__xludf.DUMMYFUNCTION("""COMPUTED_VALUE"""),131.42)</f>
        <v>131.41999999999999</v>
      </c>
      <c r="AX51" s="119">
        <f ca="1">IFERROR(__xludf.DUMMYFUNCTION("""COMPUTED_VALUE"""),20.9)</f>
        <v>20.9</v>
      </c>
      <c r="AY51" s="119">
        <f ca="1">IFERROR(__xludf.DUMMYFUNCTION("""COMPUTED_VALUE"""),50.71)</f>
        <v>50.71</v>
      </c>
      <c r="AZ51" s="119">
        <f ca="1">IFERROR(__xludf.DUMMYFUNCTION("""COMPUTED_VALUE"""),0)</f>
        <v>0</v>
      </c>
      <c r="BA51" s="119">
        <f ca="1">IFERROR(__xludf.DUMMYFUNCTION("""COMPUTED_VALUE"""),0)</f>
        <v>0</v>
      </c>
      <c r="BB51" s="119">
        <f ca="1">IFERROR(__xludf.DUMMYFUNCTION("""COMPUTED_VALUE"""),11.96)</f>
        <v>11.96</v>
      </c>
      <c r="BC51" s="119">
        <f ca="1">IFERROR(__xludf.DUMMYFUNCTION("""COMPUTED_VALUE"""),8.65)</f>
        <v>8.65</v>
      </c>
      <c r="BD51" s="119">
        <f ca="1">IFERROR(__xludf.DUMMYFUNCTION("""COMPUTED_VALUE"""),191.1)</f>
        <v>191.1</v>
      </c>
      <c r="BE51" s="119">
        <f ca="1">IFERROR(__xludf.DUMMYFUNCTION("""COMPUTED_VALUE"""),151.3)</f>
        <v>151.30000000000001</v>
      </c>
      <c r="BF51" s="119">
        <f ca="1">IFERROR(__xludf.DUMMYFUNCTION("""COMPUTED_VALUE"""),11.52)</f>
        <v>11.52</v>
      </c>
      <c r="BG51" s="119">
        <f ca="1">IFERROR(__xludf.DUMMYFUNCTION("""COMPUTED_VALUE"""),604.04)</f>
        <v>604.04</v>
      </c>
      <c r="BH51" s="119">
        <f ca="1">IFERROR(__xludf.DUMMYFUNCTION("""COMPUTED_VALUE"""),289.41)</f>
        <v>289.41000000000003</v>
      </c>
      <c r="BI51" s="119">
        <f ca="1">IFERROR(__xludf.DUMMYFUNCTION("""COMPUTED_VALUE"""),234.18)</f>
        <v>234.18</v>
      </c>
      <c r="BJ51" s="119">
        <f ca="1">IFERROR(__xludf.DUMMYFUNCTION("""COMPUTED_VALUE"""),25.9)</f>
        <v>25.9</v>
      </c>
      <c r="BK51" s="119">
        <f ca="1">IFERROR(__xludf.DUMMYFUNCTION("""COMPUTED_VALUE"""),316.44)</f>
        <v>316.44</v>
      </c>
      <c r="BL51" s="119">
        <f ca="1">IFERROR(__xludf.DUMMYFUNCTION("""COMPUTED_VALUE"""),124.83)</f>
        <v>124.83</v>
      </c>
      <c r="BM51" s="119">
        <f ca="1">IFERROR(__xludf.DUMMYFUNCTION("""COMPUTED_VALUE"""),16.68)</f>
        <v>16.68</v>
      </c>
      <c r="BN51" s="119">
        <f ca="1">IFERROR(__xludf.DUMMYFUNCTION("""COMPUTED_VALUE"""),308.83)</f>
        <v>308.83</v>
      </c>
      <c r="BO51" s="119">
        <f ca="1">IFERROR(__xludf.DUMMYFUNCTION("""COMPUTED_VALUE"""),685.55)</f>
        <v>685.55</v>
      </c>
      <c r="BP51" s="119">
        <f ca="1">IFERROR(__xludf.DUMMYFUNCTION("""COMPUTED_VALUE"""),45.87)</f>
        <v>45.87</v>
      </c>
      <c r="BQ51" s="119">
        <f ca="1">IFERROR(__xludf.DUMMYFUNCTION("""COMPUTED_VALUE"""),9.37)</f>
        <v>9.3699999999999992</v>
      </c>
      <c r="BR51" s="119">
        <f ca="1">IFERROR(__xludf.DUMMYFUNCTION("""COMPUTED_VALUE"""),36.69)</f>
        <v>36.69</v>
      </c>
      <c r="BS51" s="119">
        <f ca="1">IFERROR(__xludf.DUMMYFUNCTION("""COMPUTED_VALUE"""),1)</f>
        <v>1</v>
      </c>
      <c r="BT51" s="119">
        <f ca="1">IFERROR(__xludf.DUMMYFUNCTION("""COMPUTED_VALUE"""),47.89)</f>
        <v>47.89</v>
      </c>
      <c r="BU51" s="119">
        <f ca="1">IFERROR(__xludf.DUMMYFUNCTION("""COMPUTED_VALUE"""),36.75)</f>
        <v>36.75</v>
      </c>
      <c r="BV51" s="119">
        <f ca="1">IFERROR(__xludf.DUMMYFUNCTION("""COMPUTED_VALUE"""),54.35)</f>
        <v>54.35</v>
      </c>
      <c r="BW51" s="119">
        <f ca="1">IFERROR(__xludf.DUMMYFUNCTION("""COMPUTED_VALUE"""),7.91)</f>
        <v>7.91</v>
      </c>
      <c r="BX51" s="119">
        <f ca="1">IFERROR(__xludf.DUMMYFUNCTION("""COMPUTED_VALUE"""),5.09)</f>
        <v>5.09</v>
      </c>
      <c r="BY51" s="119">
        <f ca="1">IFERROR(__xludf.DUMMYFUNCTION("""COMPUTED_VALUE"""),0)</f>
        <v>0</v>
      </c>
      <c r="BZ51" s="119">
        <f ca="1">IFERROR(__xludf.DUMMYFUNCTION("""COMPUTED_VALUE"""),14.9)</f>
        <v>14.9</v>
      </c>
      <c r="CA51" s="119">
        <f ca="1">IFERROR(__xludf.DUMMYFUNCTION("""COMPUTED_VALUE"""),4)</f>
        <v>4</v>
      </c>
      <c r="CB51" s="119">
        <f ca="1">IFERROR(__xludf.DUMMYFUNCTION("""COMPUTED_VALUE"""),5.53)</f>
        <v>5.53</v>
      </c>
      <c r="CC51" s="119">
        <f ca="1">IFERROR(__xludf.DUMMYFUNCTION("""COMPUTED_VALUE"""),18.26)</f>
        <v>18.260000000000002</v>
      </c>
      <c r="CD51" s="119">
        <f ca="1">IFERROR(__xludf.DUMMYFUNCTION("""COMPUTED_VALUE"""),13.85)</f>
        <v>13.85</v>
      </c>
      <c r="CE51" s="119">
        <f ca="1">IFERROR(__xludf.DUMMYFUNCTION("""COMPUTED_VALUE"""),30.4)</f>
        <v>30.4</v>
      </c>
      <c r="CF51" s="119">
        <f ca="1">IFERROR(__xludf.DUMMYFUNCTION("""COMPUTED_VALUE"""),115.83)</f>
        <v>115.83</v>
      </c>
      <c r="CG51" s="119">
        <f ca="1">IFERROR(__xludf.DUMMYFUNCTION("""COMPUTED_VALUE"""),5.15)</f>
        <v>5.15</v>
      </c>
      <c r="CH51" s="119">
        <f ca="1">IFERROR(__xludf.DUMMYFUNCTION("""COMPUTED_VALUE"""),24.57)</f>
        <v>24.57</v>
      </c>
      <c r="CI51" s="119">
        <f ca="1">IFERROR(__xludf.DUMMYFUNCTION("""COMPUTED_VALUE"""),47.17)</f>
        <v>47.17</v>
      </c>
      <c r="CJ51" s="119">
        <f ca="1">IFERROR(__xludf.DUMMYFUNCTION("""COMPUTED_VALUE"""),0)</f>
        <v>0</v>
      </c>
      <c r="CK51" s="119">
        <f ca="1">IFERROR(__xludf.DUMMYFUNCTION("""COMPUTED_VALUE"""),12.23)</f>
        <v>12.23</v>
      </c>
      <c r="CL51" s="119">
        <f ca="1">IFERROR(__xludf.DUMMYFUNCTION("""COMPUTED_VALUE"""),2765.51)</f>
        <v>2765.51</v>
      </c>
      <c r="CM51" s="119">
        <f ca="1">IFERROR(__xludf.DUMMYFUNCTION("""COMPUTED_VALUE"""),0)</f>
        <v>0</v>
      </c>
      <c r="CN51" s="119">
        <f ca="1">IFERROR(__xludf.DUMMYFUNCTION("""COMPUTED_VALUE"""),229)</f>
        <v>229</v>
      </c>
      <c r="CO51" s="119">
        <f ca="1">IFERROR(__xludf.DUMMYFUNCTION("""COMPUTED_VALUE"""),153.8)</f>
        <v>153.80000000000001</v>
      </c>
      <c r="CP51" s="119">
        <f ca="1">IFERROR(__xludf.DUMMYFUNCTION("""COMPUTED_VALUE"""),65.67)</f>
        <v>65.67</v>
      </c>
      <c r="CQ51" s="119">
        <f ca="1">IFERROR(__xludf.DUMMYFUNCTION("""COMPUTED_VALUE"""),69900)</f>
        <v>69900</v>
      </c>
      <c r="CR51" s="119">
        <f ca="1">IFERROR(__xludf.DUMMYFUNCTION("""COMPUTED_VALUE"""),0.52)</f>
        <v>0.52</v>
      </c>
      <c r="CS51" s="119">
        <f ca="1">IFERROR(__xludf.DUMMYFUNCTION("""COMPUTED_VALUE"""),35.19)</f>
        <v>35.19</v>
      </c>
      <c r="CT51" s="119">
        <f ca="1">IFERROR(__xludf.DUMMYFUNCTION("""COMPUTED_VALUE"""),22.32)</f>
        <v>22.32</v>
      </c>
      <c r="CU51" s="119">
        <f ca="1">IFERROR(__xludf.DUMMYFUNCTION("""COMPUTED_VALUE"""),1947.3)</f>
        <v>1947.3</v>
      </c>
      <c r="CV51" s="119">
        <f ca="1">IFERROR(__xludf.DUMMYFUNCTION("""COMPUTED_VALUE"""),2.56)</f>
        <v>2.56</v>
      </c>
      <c r="CW51" s="119">
        <f ca="1">IFERROR(__xludf.DUMMYFUNCTION("""COMPUTED_VALUE"""),2.95)</f>
        <v>2.95</v>
      </c>
      <c r="CX51" s="119">
        <f ca="1">IFERROR(__xludf.DUMMYFUNCTION("""COMPUTED_VALUE"""),0)</f>
        <v>0</v>
      </c>
      <c r="CY51" s="119">
        <f ca="1">IFERROR(__xludf.DUMMYFUNCTION("""COMPUTED_VALUE"""),0.05)</f>
        <v>0.05</v>
      </c>
      <c r="CZ51" s="119">
        <f ca="1">IFERROR(__xludf.DUMMYFUNCTION("""COMPUTED_VALUE"""),80.2)</f>
        <v>80.2</v>
      </c>
      <c r="DA51" s="119">
        <f ca="1">IFERROR(__xludf.DUMMYFUNCTION("""COMPUTED_VALUE"""),0.02)</f>
        <v>0.02</v>
      </c>
      <c r="DB51" s="119">
        <f ca="1">IFERROR(__xludf.DUMMYFUNCTION("""COMPUTED_VALUE"""),0.2)</f>
        <v>0.2</v>
      </c>
      <c r="DC51" s="119">
        <f ca="1">IFERROR(__xludf.DUMMYFUNCTION("""COMPUTED_VALUE"""),154.3)</f>
        <v>154.30000000000001</v>
      </c>
      <c r="DD51" s="119">
        <f ca="1">IFERROR(__xludf.DUMMYFUNCTION("""COMPUTED_VALUE"""),11.36)</f>
        <v>11.36</v>
      </c>
      <c r="DE51" s="119">
        <f ca="1">IFERROR(__xludf.DUMMYFUNCTION("""COMPUTED_VALUE"""),7.14)</f>
        <v>7.14</v>
      </c>
      <c r="DF51" s="119">
        <f ca="1">IFERROR(__xludf.DUMMYFUNCTION("""COMPUTED_VALUE"""),57.75)</f>
        <v>57.75</v>
      </c>
      <c r="DG51" s="119">
        <f ca="1">IFERROR(__xludf.DUMMYFUNCTION("""COMPUTED_VALUE"""),5.8)</f>
        <v>5.8</v>
      </c>
      <c r="DH51" s="119">
        <f ca="1">IFERROR(__xludf.DUMMYFUNCTION("""COMPUTED_VALUE"""),10.33)</f>
        <v>10.33</v>
      </c>
      <c r="DI51" s="119">
        <f ca="1">IFERROR(__xludf.DUMMYFUNCTION("""COMPUTED_VALUE"""),141.95)</f>
        <v>141.94999999999999</v>
      </c>
      <c r="DJ51" s="119">
        <f ca="1">IFERROR(__xludf.DUMMYFUNCTION("""COMPUTED_VALUE"""),12.19)</f>
        <v>12.19</v>
      </c>
      <c r="DK51" s="119">
        <f ca="1">IFERROR(__xludf.DUMMYFUNCTION("""COMPUTED_VALUE"""),0)</f>
        <v>0</v>
      </c>
      <c r="DL51" s="119">
        <f ca="1">IFERROR(__xludf.DUMMYFUNCTION("""COMPUTED_VALUE"""),25.55)</f>
        <v>25.55</v>
      </c>
      <c r="DM51" s="119">
        <f ca="1">IFERROR(__xludf.DUMMYFUNCTION("""COMPUTED_VALUE"""),445.25)</f>
        <v>445.25</v>
      </c>
      <c r="DN51" s="119">
        <f ca="1">IFERROR(__xludf.DUMMYFUNCTION("""COMPUTED_VALUE"""),164.16)</f>
        <v>164.16</v>
      </c>
      <c r="DO51" s="119">
        <f ca="1">IFERROR(__xludf.DUMMYFUNCTION("""COMPUTED_VALUE"""),382.8)</f>
        <v>382.8</v>
      </c>
      <c r="DP51" s="119">
        <f ca="1">IFERROR(__xludf.DUMMYFUNCTION("""COMPUTED_VALUE"""),4.45)</f>
        <v>4.45</v>
      </c>
      <c r="DQ51" s="119">
        <f ca="1">IFERROR(__xludf.DUMMYFUNCTION("""COMPUTED_VALUE"""),117.24)</f>
        <v>117.24</v>
      </c>
      <c r="DR51" s="119">
        <f ca="1">IFERROR(__xludf.DUMMYFUNCTION("""COMPUTED_VALUE"""),0.1)</f>
        <v>0.1</v>
      </c>
      <c r="DS51" s="119">
        <f ca="1">IFERROR(__xludf.DUMMYFUNCTION("""COMPUTED_VALUE"""),3.52)</f>
        <v>3.52</v>
      </c>
      <c r="DT51" s="119">
        <f ca="1">IFERROR(__xludf.DUMMYFUNCTION("""COMPUTED_VALUE"""),5.47)</f>
        <v>5.47</v>
      </c>
      <c r="DU51" s="119">
        <f ca="1">IFERROR(__xludf.DUMMYFUNCTION("""COMPUTED_VALUE"""),52.19)</f>
        <v>52.19</v>
      </c>
      <c r="DV51" s="119">
        <f ca="1">IFERROR(__xludf.DUMMYFUNCTION("""COMPUTED_VALUE"""),13.24)</f>
        <v>13.24</v>
      </c>
      <c r="DW51" s="119">
        <f ca="1">IFERROR(__xludf.DUMMYFUNCTION("""COMPUTED_VALUE"""),0.067)</f>
        <v>6.7000000000000004E-2</v>
      </c>
      <c r="DX51" s="119">
        <f ca="1">IFERROR(__xludf.DUMMYFUNCTION("""COMPUTED_VALUE"""),26.5)</f>
        <v>26.5</v>
      </c>
      <c r="DY51" s="119">
        <f ca="1">IFERROR(__xludf.DUMMYFUNCTION("""COMPUTED_VALUE"""),0)</f>
        <v>0</v>
      </c>
      <c r="DZ51" s="119">
        <f ca="1">IFERROR(__xludf.DUMMYFUNCTION("""COMPUTED_VALUE"""),80.18)</f>
        <v>80.180000000000007</v>
      </c>
      <c r="EA51" s="119">
        <f ca="1">IFERROR(__xludf.DUMMYFUNCTION("""COMPUTED_VALUE"""),46.22)</f>
        <v>46.22</v>
      </c>
      <c r="EB51" s="119">
        <f ca="1">IFERROR(__xludf.DUMMYFUNCTION("""COMPUTED_VALUE"""),71.01)</f>
        <v>71.010000000000005</v>
      </c>
      <c r="EC51" s="119">
        <f ca="1">IFERROR(__xludf.DUMMYFUNCTION("""COMPUTED_VALUE"""),73.9)</f>
        <v>73.900000000000006</v>
      </c>
      <c r="ED51" s="119">
        <f ca="1">IFERROR(__xludf.DUMMYFUNCTION("""COMPUTED_VALUE"""),38.71)</f>
        <v>38.71</v>
      </c>
      <c r="EE51" s="119">
        <f ca="1">IFERROR(__xludf.DUMMYFUNCTION("""COMPUTED_VALUE"""),86.56)</f>
        <v>86.56</v>
      </c>
      <c r="EF51" s="119">
        <f ca="1">IFERROR(__xludf.DUMMYFUNCTION("""COMPUTED_VALUE"""),182.26)</f>
        <v>182.26</v>
      </c>
      <c r="EG51" s="119">
        <f ca="1">IFERROR(__xludf.DUMMYFUNCTION("""COMPUTED_VALUE"""),67.74)</f>
        <v>67.739999999999995</v>
      </c>
      <c r="EH51" s="119">
        <f ca="1">IFERROR(__xludf.DUMMYFUNCTION("""COMPUTED_VALUE"""),102.3)</f>
        <v>102.3</v>
      </c>
      <c r="EI51" s="119">
        <f ca="1">IFERROR(__xludf.DUMMYFUNCTION("""COMPUTED_VALUE"""),134.04)</f>
        <v>134.04</v>
      </c>
      <c r="EJ51" s="119">
        <f ca="1">IFERROR(__xludf.DUMMYFUNCTION("""COMPUTED_VALUE"""),41.45)</f>
        <v>41.45</v>
      </c>
      <c r="EK51" s="119">
        <f ca="1">IFERROR(__xludf.DUMMYFUNCTION("""COMPUTED_VALUE"""),271.97)</f>
        <v>271.97000000000003</v>
      </c>
      <c r="EL51" s="119">
        <f ca="1">IFERROR(__xludf.DUMMYFUNCTION("""COMPUTED_VALUE"""),59.4)</f>
        <v>59.4</v>
      </c>
      <c r="EM51" s="119">
        <f ca="1">IFERROR(__xludf.DUMMYFUNCTION("""COMPUTED_VALUE"""),43.32)</f>
        <v>43.32</v>
      </c>
      <c r="EN51" s="119">
        <f ca="1">IFERROR(__xludf.DUMMYFUNCTION("""COMPUTED_VALUE"""),1752.19)</f>
        <v>1752.19</v>
      </c>
      <c r="EO51" s="119">
        <f ca="1">IFERROR(__xludf.DUMMYFUNCTION("""COMPUTED_VALUE"""),11.78)</f>
        <v>11.78</v>
      </c>
      <c r="EP51" s="119">
        <f ca="1">IFERROR(__xludf.DUMMYFUNCTION("""COMPUTED_VALUE"""),0)</f>
        <v>0</v>
      </c>
      <c r="EQ51" s="119">
        <f ca="1">IFERROR(__xludf.DUMMYFUNCTION("""COMPUTED_VALUE"""),2.1)</f>
        <v>2.1</v>
      </c>
      <c r="ER51" s="119">
        <f ca="1">IFERROR(__xludf.DUMMYFUNCTION("""COMPUTED_VALUE"""),4451)</f>
        <v>4451</v>
      </c>
      <c r="ES51" s="119">
        <f ca="1">IFERROR(__xludf.DUMMYFUNCTION("""COMPUTED_VALUE"""),96.01)</f>
        <v>96.01</v>
      </c>
      <c r="ET51" s="119">
        <f ca="1">IFERROR(__xludf.DUMMYFUNCTION("""COMPUTED_VALUE"""),122.65)</f>
        <v>122.65</v>
      </c>
      <c r="EU51" s="119">
        <f ca="1">IFERROR(__xludf.DUMMYFUNCTION("""COMPUTED_VALUE"""),31.65)</f>
        <v>31.65</v>
      </c>
      <c r="EV51" s="119">
        <f ca="1">IFERROR(__xludf.DUMMYFUNCTION("""COMPUTED_VALUE"""),1.48)</f>
        <v>1.48</v>
      </c>
      <c r="EW51" s="119">
        <f ca="1">IFERROR(__xludf.DUMMYFUNCTION("""COMPUTED_VALUE"""),14.06)</f>
        <v>14.06</v>
      </c>
      <c r="EX51" s="117">
        <f ca="1">IFERROR(__xludf.DUMMYFUNCTION("""COMPUTED_VALUE"""),5.37)</f>
        <v>5.37</v>
      </c>
      <c r="EY51" s="117">
        <f ca="1">IFERROR(__xludf.DUMMYFUNCTION("""COMPUTED_VALUE"""),166.33)</f>
        <v>166.33</v>
      </c>
      <c r="EZ51" s="117">
        <f ca="1">IFERROR(__xludf.DUMMYFUNCTION("""COMPUTED_VALUE"""),25.355)</f>
        <v>25.355</v>
      </c>
      <c r="FA51" s="117">
        <f ca="1">IFERROR(__xludf.DUMMYFUNCTION("""COMPUTED_VALUE"""),3)</f>
        <v>3</v>
      </c>
      <c r="FB51" s="117">
        <f ca="1">IFERROR(__xludf.DUMMYFUNCTION("""COMPUTED_VALUE"""),139.78)</f>
        <v>139.78</v>
      </c>
      <c r="FC51" s="117">
        <f ca="1">IFERROR(__xludf.DUMMYFUNCTION("""COMPUTED_VALUE"""),9.2)</f>
        <v>9.1999999999999993</v>
      </c>
      <c r="FD51" s="117">
        <f ca="1">IFERROR(__xludf.DUMMYFUNCTION("""COMPUTED_VALUE"""),61.67)</f>
        <v>61.67</v>
      </c>
      <c r="FE51" s="117">
        <f ca="1">IFERROR(__xludf.DUMMYFUNCTION("""COMPUTED_VALUE"""),59.84)</f>
        <v>59.84</v>
      </c>
      <c r="FF51" s="117">
        <f ca="1">IFERROR(__xludf.DUMMYFUNCTION("""COMPUTED_VALUE"""),6.25)</f>
        <v>6.25</v>
      </c>
      <c r="FG51" s="117">
        <f ca="1">IFERROR(__xludf.DUMMYFUNCTION("""COMPUTED_VALUE"""),665.36)</f>
        <v>665.36</v>
      </c>
      <c r="FH51" s="117">
        <f ca="1">IFERROR(__xludf.DUMMYFUNCTION("""COMPUTED_VALUE"""),158.42)</f>
        <v>158.41999999999999</v>
      </c>
      <c r="FI51" s="117">
        <f ca="1">IFERROR(__xludf.DUMMYFUNCTION("""COMPUTED_VALUE"""),0.065)</f>
        <v>6.5000000000000002E-2</v>
      </c>
      <c r="FJ51" s="117">
        <f ca="1">IFERROR(__xludf.DUMMYFUNCTION("""COMPUTED_VALUE"""),15.38)</f>
        <v>15.38</v>
      </c>
      <c r="FK51" s="117">
        <f ca="1">IFERROR(__xludf.DUMMYFUNCTION("""COMPUTED_VALUE"""),204.8)</f>
        <v>204.8</v>
      </c>
      <c r="FL51" s="117">
        <f ca="1">IFERROR(__xludf.DUMMYFUNCTION("""COMPUTED_VALUE"""),462.17)</f>
        <v>462.17</v>
      </c>
      <c r="FM51" s="117">
        <f ca="1">IFERROR(__xludf.DUMMYFUNCTION("""COMPUTED_VALUE"""),133)</f>
        <v>133</v>
      </c>
      <c r="FN51" s="117">
        <f ca="1">IFERROR(__xludf.DUMMYFUNCTION("""COMPUTED_VALUE"""),990.82)</f>
        <v>990.82</v>
      </c>
      <c r="FO51" s="117">
        <f ca="1">IFERROR(__xludf.DUMMYFUNCTION("""COMPUTED_VALUE"""),703.59)</f>
        <v>703.59</v>
      </c>
    </row>
    <row r="52" spans="1:171" ht="15.75" customHeight="1" x14ac:dyDescent="0.15">
      <c r="A52" s="115" t="str">
        <f ca="1">IFERROR(__xludf.DUMMYFUNCTION("""COMPUTED_VALUE"""),"")</f>
        <v/>
      </c>
      <c r="B52" s="119" t="str">
        <f ca="1">IFERROR(__xludf.DUMMYFUNCTION("""COMPUTED_VALUE"""),"")</f>
        <v/>
      </c>
      <c r="C52" s="119" t="str">
        <f ca="1">IFERROR(__xludf.DUMMYFUNCTION("""COMPUTED_VALUE"""),"")</f>
        <v/>
      </c>
      <c r="D52" s="119" t="str">
        <f ca="1">IFERROR(__xludf.DUMMYFUNCTION("""COMPUTED_VALUE"""),"")</f>
        <v/>
      </c>
      <c r="E52" s="119" t="str">
        <f ca="1">IFERROR(__xludf.DUMMYFUNCTION("""COMPUTED_VALUE"""),"")</f>
        <v/>
      </c>
      <c r="F52" s="119" t="str">
        <f ca="1">IFERROR(__xludf.DUMMYFUNCTION("""COMPUTED_VALUE"""),"")</f>
        <v/>
      </c>
      <c r="G52" s="119" t="str">
        <f ca="1">IFERROR(__xludf.DUMMYFUNCTION("""COMPUTED_VALUE"""),"")</f>
        <v/>
      </c>
      <c r="H52" s="119" t="str">
        <f ca="1">IFERROR(__xludf.DUMMYFUNCTION("""COMPUTED_VALUE"""),"")</f>
        <v/>
      </c>
      <c r="I52" s="119" t="str">
        <f ca="1">IFERROR(__xludf.DUMMYFUNCTION("""COMPUTED_VALUE"""),"")</f>
        <v/>
      </c>
      <c r="J52" s="119" t="str">
        <f ca="1">IFERROR(__xludf.DUMMYFUNCTION("""COMPUTED_VALUE"""),"")</f>
        <v/>
      </c>
      <c r="K52" s="119" t="str">
        <f ca="1">IFERROR(__xludf.DUMMYFUNCTION("""COMPUTED_VALUE"""),"")</f>
        <v/>
      </c>
      <c r="L52" s="119" t="str">
        <f ca="1">IFERROR(__xludf.DUMMYFUNCTION("""COMPUTED_VALUE"""),"")</f>
        <v/>
      </c>
      <c r="M52" s="119" t="str">
        <f ca="1">IFERROR(__xludf.DUMMYFUNCTION("""COMPUTED_VALUE"""),"")</f>
        <v/>
      </c>
      <c r="N52" s="119" t="str">
        <f ca="1">IFERROR(__xludf.DUMMYFUNCTION("""COMPUTED_VALUE"""),"")</f>
        <v/>
      </c>
      <c r="O52" s="119" t="str">
        <f ca="1">IFERROR(__xludf.DUMMYFUNCTION("""COMPUTED_VALUE"""),"")</f>
        <v/>
      </c>
      <c r="P52" s="119" t="str">
        <f ca="1">IFERROR(__xludf.DUMMYFUNCTION("""COMPUTED_VALUE"""),"")</f>
        <v/>
      </c>
      <c r="Q52" s="119" t="str">
        <f ca="1">IFERROR(__xludf.DUMMYFUNCTION("""COMPUTED_VALUE"""),"")</f>
        <v/>
      </c>
      <c r="R52" s="119" t="str">
        <f ca="1">IFERROR(__xludf.DUMMYFUNCTION("""COMPUTED_VALUE"""),"")</f>
        <v/>
      </c>
      <c r="S52" s="119" t="str">
        <f ca="1">IFERROR(__xludf.DUMMYFUNCTION("""COMPUTED_VALUE"""),"")</f>
        <v/>
      </c>
      <c r="T52" s="119" t="str">
        <f ca="1">IFERROR(__xludf.DUMMYFUNCTION("""COMPUTED_VALUE"""),"")</f>
        <v/>
      </c>
      <c r="U52" s="119" t="str">
        <f ca="1">IFERROR(__xludf.DUMMYFUNCTION("""COMPUTED_VALUE"""),"")</f>
        <v/>
      </c>
      <c r="V52" s="119" t="str">
        <f ca="1">IFERROR(__xludf.DUMMYFUNCTION("""COMPUTED_VALUE"""),"")</f>
        <v/>
      </c>
      <c r="W52" s="119" t="str">
        <f ca="1">IFERROR(__xludf.DUMMYFUNCTION("""COMPUTED_VALUE"""),"")</f>
        <v/>
      </c>
      <c r="X52" s="119" t="str">
        <f ca="1">IFERROR(__xludf.DUMMYFUNCTION("""COMPUTED_VALUE"""),"")</f>
        <v/>
      </c>
      <c r="Y52" s="119" t="str">
        <f ca="1">IFERROR(__xludf.DUMMYFUNCTION("""COMPUTED_VALUE"""),"")</f>
        <v/>
      </c>
      <c r="Z52" s="119" t="str">
        <f ca="1">IFERROR(__xludf.DUMMYFUNCTION("""COMPUTED_VALUE"""),"")</f>
        <v/>
      </c>
      <c r="AA52" s="119" t="str">
        <f ca="1">IFERROR(__xludf.DUMMYFUNCTION("""COMPUTED_VALUE"""),"")</f>
        <v/>
      </c>
      <c r="AB52" s="119" t="str">
        <f ca="1">IFERROR(__xludf.DUMMYFUNCTION("""COMPUTED_VALUE"""),"")</f>
        <v/>
      </c>
      <c r="AC52" s="119" t="str">
        <f ca="1">IFERROR(__xludf.DUMMYFUNCTION("""COMPUTED_VALUE"""),"")</f>
        <v/>
      </c>
      <c r="AD52" s="119" t="str">
        <f ca="1">IFERROR(__xludf.DUMMYFUNCTION("""COMPUTED_VALUE"""),"")</f>
        <v/>
      </c>
      <c r="AE52" s="119" t="str">
        <f ca="1">IFERROR(__xludf.DUMMYFUNCTION("""COMPUTED_VALUE"""),"")</f>
        <v/>
      </c>
      <c r="AF52" s="119" t="str">
        <f ca="1">IFERROR(__xludf.DUMMYFUNCTION("""COMPUTED_VALUE"""),"")</f>
        <v/>
      </c>
      <c r="AG52" s="119" t="str">
        <f ca="1">IFERROR(__xludf.DUMMYFUNCTION("""COMPUTED_VALUE"""),"")</f>
        <v/>
      </c>
      <c r="AH52" s="119" t="str">
        <f ca="1">IFERROR(__xludf.DUMMYFUNCTION("""COMPUTED_VALUE"""),"")</f>
        <v/>
      </c>
      <c r="AI52" s="119" t="str">
        <f ca="1">IFERROR(__xludf.DUMMYFUNCTION("""COMPUTED_VALUE"""),"")</f>
        <v/>
      </c>
      <c r="AJ52" s="119" t="str">
        <f ca="1">IFERROR(__xludf.DUMMYFUNCTION("""COMPUTED_VALUE"""),"")</f>
        <v/>
      </c>
      <c r="AK52" s="119" t="str">
        <f ca="1">IFERROR(__xludf.DUMMYFUNCTION("""COMPUTED_VALUE"""),"")</f>
        <v/>
      </c>
      <c r="AL52" s="119" t="str">
        <f ca="1">IFERROR(__xludf.DUMMYFUNCTION("""COMPUTED_VALUE"""),"")</f>
        <v/>
      </c>
      <c r="AM52" s="119" t="str">
        <f ca="1">IFERROR(__xludf.DUMMYFUNCTION("""COMPUTED_VALUE"""),"")</f>
        <v/>
      </c>
      <c r="AN52" s="119" t="str">
        <f ca="1">IFERROR(__xludf.DUMMYFUNCTION("""COMPUTED_VALUE"""),"")</f>
        <v/>
      </c>
      <c r="AO52" s="119" t="str">
        <f ca="1">IFERROR(__xludf.DUMMYFUNCTION("""COMPUTED_VALUE"""),"")</f>
        <v/>
      </c>
      <c r="AP52" s="119" t="str">
        <f ca="1">IFERROR(__xludf.DUMMYFUNCTION("""COMPUTED_VALUE"""),"")</f>
        <v/>
      </c>
      <c r="AQ52" s="119" t="str">
        <f ca="1">IFERROR(__xludf.DUMMYFUNCTION("""COMPUTED_VALUE"""),"")</f>
        <v/>
      </c>
      <c r="AR52" s="118" t="str">
        <f ca="1">IFERROR(__xludf.DUMMYFUNCTION("""COMPUTED_VALUE"""),"")</f>
        <v/>
      </c>
      <c r="AS52" s="119" t="str">
        <f ca="1">IFERROR(__xludf.DUMMYFUNCTION("""COMPUTED_VALUE"""),"")</f>
        <v/>
      </c>
      <c r="AT52" s="119" t="str">
        <f ca="1">IFERROR(__xludf.DUMMYFUNCTION("""COMPUTED_VALUE"""),"")</f>
        <v/>
      </c>
      <c r="AU52" s="119" t="str">
        <f ca="1">IFERROR(__xludf.DUMMYFUNCTION("""COMPUTED_VALUE"""),"")</f>
        <v/>
      </c>
      <c r="AV52" s="119" t="str">
        <f ca="1">IFERROR(__xludf.DUMMYFUNCTION("""COMPUTED_VALUE"""),"")</f>
        <v/>
      </c>
      <c r="AW52" s="119" t="str">
        <f ca="1">IFERROR(__xludf.DUMMYFUNCTION("""COMPUTED_VALUE"""),"")</f>
        <v/>
      </c>
      <c r="AX52" s="119" t="str">
        <f ca="1">IFERROR(__xludf.DUMMYFUNCTION("""COMPUTED_VALUE"""),"")</f>
        <v/>
      </c>
      <c r="AY52" s="119" t="str">
        <f ca="1">IFERROR(__xludf.DUMMYFUNCTION("""COMPUTED_VALUE"""),"")</f>
        <v/>
      </c>
      <c r="AZ52" s="119" t="str">
        <f ca="1">IFERROR(__xludf.DUMMYFUNCTION("""COMPUTED_VALUE"""),"")</f>
        <v/>
      </c>
      <c r="BA52" s="119" t="str">
        <f ca="1">IFERROR(__xludf.DUMMYFUNCTION("""COMPUTED_VALUE"""),"")</f>
        <v/>
      </c>
      <c r="BB52" s="119" t="str">
        <f ca="1">IFERROR(__xludf.DUMMYFUNCTION("""COMPUTED_VALUE"""),"")</f>
        <v/>
      </c>
      <c r="BC52" s="119" t="str">
        <f ca="1">IFERROR(__xludf.DUMMYFUNCTION("""COMPUTED_VALUE"""),"")</f>
        <v/>
      </c>
      <c r="BD52" s="119" t="str">
        <f ca="1">IFERROR(__xludf.DUMMYFUNCTION("""COMPUTED_VALUE"""),"")</f>
        <v/>
      </c>
      <c r="BE52" s="119" t="str">
        <f ca="1">IFERROR(__xludf.DUMMYFUNCTION("""COMPUTED_VALUE"""),"")</f>
        <v/>
      </c>
      <c r="BF52" s="119" t="str">
        <f ca="1">IFERROR(__xludf.DUMMYFUNCTION("""COMPUTED_VALUE"""),"")</f>
        <v/>
      </c>
      <c r="BG52" s="119" t="str">
        <f ca="1">IFERROR(__xludf.DUMMYFUNCTION("""COMPUTED_VALUE"""),"")</f>
        <v/>
      </c>
      <c r="BH52" s="119" t="str">
        <f ca="1">IFERROR(__xludf.DUMMYFUNCTION("""COMPUTED_VALUE"""),"")</f>
        <v/>
      </c>
      <c r="BI52" s="119" t="str">
        <f ca="1">IFERROR(__xludf.DUMMYFUNCTION("""COMPUTED_VALUE"""),"")</f>
        <v/>
      </c>
      <c r="BJ52" s="119" t="str">
        <f ca="1">IFERROR(__xludf.DUMMYFUNCTION("""COMPUTED_VALUE"""),"")</f>
        <v/>
      </c>
      <c r="BK52" s="119" t="str">
        <f ca="1">IFERROR(__xludf.DUMMYFUNCTION("""COMPUTED_VALUE"""),"")</f>
        <v/>
      </c>
      <c r="BL52" s="119" t="str">
        <f ca="1">IFERROR(__xludf.DUMMYFUNCTION("""COMPUTED_VALUE"""),"")</f>
        <v/>
      </c>
      <c r="BM52" s="119" t="str">
        <f ca="1">IFERROR(__xludf.DUMMYFUNCTION("""COMPUTED_VALUE"""),"")</f>
        <v/>
      </c>
      <c r="BN52" s="119" t="str">
        <f ca="1">IFERROR(__xludf.DUMMYFUNCTION("""COMPUTED_VALUE"""),"")</f>
        <v/>
      </c>
      <c r="BO52" s="119" t="str">
        <f ca="1">IFERROR(__xludf.DUMMYFUNCTION("""COMPUTED_VALUE"""),"")</f>
        <v/>
      </c>
      <c r="BP52" s="119" t="str">
        <f ca="1">IFERROR(__xludf.DUMMYFUNCTION("""COMPUTED_VALUE"""),"")</f>
        <v/>
      </c>
      <c r="BQ52" s="119" t="str">
        <f ca="1">IFERROR(__xludf.DUMMYFUNCTION("""COMPUTED_VALUE"""),"")</f>
        <v/>
      </c>
      <c r="BR52" s="119" t="str">
        <f ca="1">IFERROR(__xludf.DUMMYFUNCTION("""COMPUTED_VALUE"""),"")</f>
        <v/>
      </c>
      <c r="BS52" s="119" t="str">
        <f ca="1">IFERROR(__xludf.DUMMYFUNCTION("""COMPUTED_VALUE"""),"")</f>
        <v/>
      </c>
      <c r="BT52" s="119" t="str">
        <f ca="1">IFERROR(__xludf.DUMMYFUNCTION("""COMPUTED_VALUE"""),"")</f>
        <v/>
      </c>
      <c r="BU52" s="119" t="str">
        <f ca="1">IFERROR(__xludf.DUMMYFUNCTION("""COMPUTED_VALUE"""),"")</f>
        <v/>
      </c>
      <c r="BV52" s="119" t="str">
        <f ca="1">IFERROR(__xludf.DUMMYFUNCTION("""COMPUTED_VALUE"""),"")</f>
        <v/>
      </c>
      <c r="BW52" s="119" t="str">
        <f ca="1">IFERROR(__xludf.DUMMYFUNCTION("""COMPUTED_VALUE"""),"")</f>
        <v/>
      </c>
      <c r="BX52" s="119" t="str">
        <f ca="1">IFERROR(__xludf.DUMMYFUNCTION("""COMPUTED_VALUE"""),"")</f>
        <v/>
      </c>
      <c r="BY52" s="119" t="str">
        <f ca="1">IFERROR(__xludf.DUMMYFUNCTION("""COMPUTED_VALUE"""),"")</f>
        <v/>
      </c>
      <c r="BZ52" s="119" t="str">
        <f ca="1">IFERROR(__xludf.DUMMYFUNCTION("""COMPUTED_VALUE"""),"")</f>
        <v/>
      </c>
      <c r="CA52" s="119" t="str">
        <f ca="1">IFERROR(__xludf.DUMMYFUNCTION("""COMPUTED_VALUE"""),"")</f>
        <v/>
      </c>
      <c r="CB52" s="119" t="str">
        <f ca="1">IFERROR(__xludf.DUMMYFUNCTION("""COMPUTED_VALUE"""),"")</f>
        <v/>
      </c>
      <c r="CC52" s="119" t="str">
        <f ca="1">IFERROR(__xludf.DUMMYFUNCTION("""COMPUTED_VALUE"""),"")</f>
        <v/>
      </c>
      <c r="CD52" s="119" t="str">
        <f ca="1">IFERROR(__xludf.DUMMYFUNCTION("""COMPUTED_VALUE"""),"")</f>
        <v/>
      </c>
      <c r="CE52" s="119" t="str">
        <f ca="1">IFERROR(__xludf.DUMMYFUNCTION("""COMPUTED_VALUE"""),"")</f>
        <v/>
      </c>
      <c r="CF52" s="119" t="str">
        <f ca="1">IFERROR(__xludf.DUMMYFUNCTION("""COMPUTED_VALUE"""),"")</f>
        <v/>
      </c>
      <c r="CG52" s="119" t="str">
        <f ca="1">IFERROR(__xludf.DUMMYFUNCTION("""COMPUTED_VALUE"""),"")</f>
        <v/>
      </c>
      <c r="CH52" s="119" t="str">
        <f ca="1">IFERROR(__xludf.DUMMYFUNCTION("""COMPUTED_VALUE"""),"")</f>
        <v/>
      </c>
      <c r="CI52" s="119" t="str">
        <f ca="1">IFERROR(__xludf.DUMMYFUNCTION("""COMPUTED_VALUE"""),"")</f>
        <v/>
      </c>
      <c r="CJ52" s="119" t="str">
        <f ca="1">IFERROR(__xludf.DUMMYFUNCTION("""COMPUTED_VALUE"""),"")</f>
        <v/>
      </c>
      <c r="CK52" s="119" t="str">
        <f ca="1">IFERROR(__xludf.DUMMYFUNCTION("""COMPUTED_VALUE"""),"")</f>
        <v/>
      </c>
      <c r="CL52" s="119" t="str">
        <f ca="1">IFERROR(__xludf.DUMMYFUNCTION("""COMPUTED_VALUE"""),"")</f>
        <v/>
      </c>
      <c r="CM52" s="119" t="str">
        <f ca="1">IFERROR(__xludf.DUMMYFUNCTION("""COMPUTED_VALUE"""),"")</f>
        <v/>
      </c>
      <c r="CN52" s="119" t="str">
        <f ca="1">IFERROR(__xludf.DUMMYFUNCTION("""COMPUTED_VALUE"""),"")</f>
        <v/>
      </c>
      <c r="CO52" s="119" t="str">
        <f ca="1">IFERROR(__xludf.DUMMYFUNCTION("""COMPUTED_VALUE"""),"")</f>
        <v/>
      </c>
      <c r="CP52" s="119" t="str">
        <f ca="1">IFERROR(__xludf.DUMMYFUNCTION("""COMPUTED_VALUE"""),"")</f>
        <v/>
      </c>
      <c r="CQ52" s="119" t="str">
        <f ca="1">IFERROR(__xludf.DUMMYFUNCTION("""COMPUTED_VALUE"""),"")</f>
        <v/>
      </c>
      <c r="CR52" s="119" t="str">
        <f ca="1">IFERROR(__xludf.DUMMYFUNCTION("""COMPUTED_VALUE"""),"")</f>
        <v/>
      </c>
      <c r="CS52" s="119" t="str">
        <f ca="1">IFERROR(__xludf.DUMMYFUNCTION("""COMPUTED_VALUE"""),"")</f>
        <v/>
      </c>
      <c r="CT52" s="119" t="str">
        <f ca="1">IFERROR(__xludf.DUMMYFUNCTION("""COMPUTED_VALUE"""),"")</f>
        <v/>
      </c>
      <c r="CU52" s="119" t="str">
        <f ca="1">IFERROR(__xludf.DUMMYFUNCTION("""COMPUTED_VALUE"""),"")</f>
        <v/>
      </c>
      <c r="CV52" s="119" t="str">
        <f ca="1">IFERROR(__xludf.DUMMYFUNCTION("""COMPUTED_VALUE"""),"")</f>
        <v/>
      </c>
      <c r="CW52" s="119" t="str">
        <f ca="1">IFERROR(__xludf.DUMMYFUNCTION("""COMPUTED_VALUE"""),"")</f>
        <v/>
      </c>
      <c r="CX52" s="119" t="str">
        <f ca="1">IFERROR(__xludf.DUMMYFUNCTION("""COMPUTED_VALUE"""),"")</f>
        <v/>
      </c>
      <c r="CY52" s="119" t="str">
        <f ca="1">IFERROR(__xludf.DUMMYFUNCTION("""COMPUTED_VALUE"""),"")</f>
        <v/>
      </c>
      <c r="CZ52" s="119" t="str">
        <f ca="1">IFERROR(__xludf.DUMMYFUNCTION("""COMPUTED_VALUE"""),"")</f>
        <v/>
      </c>
      <c r="DA52" s="119" t="str">
        <f ca="1">IFERROR(__xludf.DUMMYFUNCTION("""COMPUTED_VALUE"""),"")</f>
        <v/>
      </c>
      <c r="DB52" s="119" t="str">
        <f ca="1">IFERROR(__xludf.DUMMYFUNCTION("""COMPUTED_VALUE"""),"")</f>
        <v/>
      </c>
      <c r="DC52" s="119" t="str">
        <f ca="1">IFERROR(__xludf.DUMMYFUNCTION("""COMPUTED_VALUE"""),"")</f>
        <v/>
      </c>
      <c r="DD52" s="119" t="str">
        <f ca="1">IFERROR(__xludf.DUMMYFUNCTION("""COMPUTED_VALUE"""),"")</f>
        <v/>
      </c>
      <c r="DE52" s="119" t="str">
        <f ca="1">IFERROR(__xludf.DUMMYFUNCTION("""COMPUTED_VALUE"""),"")</f>
        <v/>
      </c>
      <c r="DF52" s="119" t="str">
        <f ca="1">IFERROR(__xludf.DUMMYFUNCTION("""COMPUTED_VALUE"""),"")</f>
        <v/>
      </c>
      <c r="DG52" s="119" t="str">
        <f ca="1">IFERROR(__xludf.DUMMYFUNCTION("""COMPUTED_VALUE"""),"")</f>
        <v/>
      </c>
      <c r="DH52" s="119" t="str">
        <f ca="1">IFERROR(__xludf.DUMMYFUNCTION("""COMPUTED_VALUE"""),"")</f>
        <v/>
      </c>
      <c r="DI52" s="119" t="str">
        <f ca="1">IFERROR(__xludf.DUMMYFUNCTION("""COMPUTED_VALUE"""),"")</f>
        <v/>
      </c>
      <c r="DJ52" s="119" t="str">
        <f ca="1">IFERROR(__xludf.DUMMYFUNCTION("""COMPUTED_VALUE"""),"")</f>
        <v/>
      </c>
      <c r="DK52" s="119" t="str">
        <f ca="1">IFERROR(__xludf.DUMMYFUNCTION("""COMPUTED_VALUE"""),"")</f>
        <v/>
      </c>
      <c r="DL52" s="119" t="str">
        <f ca="1">IFERROR(__xludf.DUMMYFUNCTION("""COMPUTED_VALUE"""),"")</f>
        <v/>
      </c>
      <c r="DM52" s="119" t="str">
        <f ca="1">IFERROR(__xludf.DUMMYFUNCTION("""COMPUTED_VALUE"""),"")</f>
        <v/>
      </c>
      <c r="DN52" s="119" t="str">
        <f ca="1">IFERROR(__xludf.DUMMYFUNCTION("""COMPUTED_VALUE"""),"")</f>
        <v/>
      </c>
      <c r="DO52" s="119" t="str">
        <f ca="1">IFERROR(__xludf.DUMMYFUNCTION("""COMPUTED_VALUE"""),"")</f>
        <v/>
      </c>
      <c r="DP52" s="119" t="str">
        <f ca="1">IFERROR(__xludf.DUMMYFUNCTION("""COMPUTED_VALUE"""),"")</f>
        <v/>
      </c>
      <c r="DQ52" s="119" t="str">
        <f ca="1">IFERROR(__xludf.DUMMYFUNCTION("""COMPUTED_VALUE"""),"")</f>
        <v/>
      </c>
      <c r="DR52" s="119" t="str">
        <f ca="1">IFERROR(__xludf.DUMMYFUNCTION("""COMPUTED_VALUE"""),"")</f>
        <v/>
      </c>
      <c r="DS52" s="119" t="str">
        <f ca="1">IFERROR(__xludf.DUMMYFUNCTION("""COMPUTED_VALUE"""),"")</f>
        <v/>
      </c>
      <c r="DT52" s="119" t="str">
        <f ca="1">IFERROR(__xludf.DUMMYFUNCTION("""COMPUTED_VALUE"""),"")</f>
        <v/>
      </c>
      <c r="DU52" s="119" t="str">
        <f ca="1">IFERROR(__xludf.DUMMYFUNCTION("""COMPUTED_VALUE"""),"")</f>
        <v/>
      </c>
      <c r="DV52" s="119" t="str">
        <f ca="1">IFERROR(__xludf.DUMMYFUNCTION("""COMPUTED_VALUE"""),"")</f>
        <v/>
      </c>
      <c r="DW52" s="119" t="str">
        <f ca="1">IFERROR(__xludf.DUMMYFUNCTION("""COMPUTED_VALUE"""),"")</f>
        <v/>
      </c>
      <c r="DX52" s="119" t="str">
        <f ca="1">IFERROR(__xludf.DUMMYFUNCTION("""COMPUTED_VALUE"""),"")</f>
        <v/>
      </c>
      <c r="DY52" s="119" t="str">
        <f ca="1">IFERROR(__xludf.DUMMYFUNCTION("""COMPUTED_VALUE"""),"")</f>
        <v/>
      </c>
      <c r="DZ52" s="119" t="str">
        <f ca="1">IFERROR(__xludf.DUMMYFUNCTION("""COMPUTED_VALUE"""),"")</f>
        <v/>
      </c>
      <c r="EA52" s="119" t="str">
        <f ca="1">IFERROR(__xludf.DUMMYFUNCTION("""COMPUTED_VALUE"""),"")</f>
        <v/>
      </c>
      <c r="EB52" s="119" t="str">
        <f ca="1">IFERROR(__xludf.DUMMYFUNCTION("""COMPUTED_VALUE"""),"")</f>
        <v/>
      </c>
      <c r="EC52" s="119" t="str">
        <f ca="1">IFERROR(__xludf.DUMMYFUNCTION("""COMPUTED_VALUE"""),"")</f>
        <v/>
      </c>
      <c r="ED52" s="119" t="str">
        <f ca="1">IFERROR(__xludf.DUMMYFUNCTION("""COMPUTED_VALUE"""),"")</f>
        <v/>
      </c>
      <c r="EE52" s="119" t="str">
        <f ca="1">IFERROR(__xludf.DUMMYFUNCTION("""COMPUTED_VALUE"""),"")</f>
        <v/>
      </c>
      <c r="EF52" s="119" t="str">
        <f ca="1">IFERROR(__xludf.DUMMYFUNCTION("""COMPUTED_VALUE"""),"")</f>
        <v/>
      </c>
      <c r="EG52" s="119" t="str">
        <f ca="1">IFERROR(__xludf.DUMMYFUNCTION("""COMPUTED_VALUE"""),"")</f>
        <v/>
      </c>
      <c r="EH52" s="119" t="str">
        <f ca="1">IFERROR(__xludf.DUMMYFUNCTION("""COMPUTED_VALUE"""),"")</f>
        <v/>
      </c>
      <c r="EI52" s="119" t="str">
        <f ca="1">IFERROR(__xludf.DUMMYFUNCTION("""COMPUTED_VALUE"""),"")</f>
        <v/>
      </c>
      <c r="EJ52" s="119" t="str">
        <f ca="1">IFERROR(__xludf.DUMMYFUNCTION("""COMPUTED_VALUE"""),"")</f>
        <v/>
      </c>
      <c r="EK52" s="119" t="str">
        <f ca="1">IFERROR(__xludf.DUMMYFUNCTION("""COMPUTED_VALUE"""),"")</f>
        <v/>
      </c>
      <c r="EL52" s="119" t="str">
        <f ca="1">IFERROR(__xludf.DUMMYFUNCTION("""COMPUTED_VALUE"""),"")</f>
        <v/>
      </c>
      <c r="EM52" s="119" t="str">
        <f ca="1">IFERROR(__xludf.DUMMYFUNCTION("""COMPUTED_VALUE"""),"")</f>
        <v/>
      </c>
      <c r="EN52" s="119" t="str">
        <f ca="1">IFERROR(__xludf.DUMMYFUNCTION("""COMPUTED_VALUE"""),"")</f>
        <v/>
      </c>
      <c r="EO52" s="119" t="str">
        <f ca="1">IFERROR(__xludf.DUMMYFUNCTION("""COMPUTED_VALUE"""),"")</f>
        <v/>
      </c>
      <c r="EP52" s="119" t="str">
        <f ca="1">IFERROR(__xludf.DUMMYFUNCTION("""COMPUTED_VALUE"""),"")</f>
        <v/>
      </c>
      <c r="EQ52" s="119" t="str">
        <f ca="1">IFERROR(__xludf.DUMMYFUNCTION("""COMPUTED_VALUE"""),"")</f>
        <v/>
      </c>
      <c r="ER52" s="119" t="str">
        <f ca="1">IFERROR(__xludf.DUMMYFUNCTION("""COMPUTED_VALUE"""),"")</f>
        <v/>
      </c>
      <c r="ES52" s="119" t="str">
        <f ca="1">IFERROR(__xludf.DUMMYFUNCTION("""COMPUTED_VALUE"""),"")</f>
        <v/>
      </c>
      <c r="ET52" s="119" t="str">
        <f ca="1">IFERROR(__xludf.DUMMYFUNCTION("""COMPUTED_VALUE"""),"")</f>
        <v/>
      </c>
      <c r="EU52" s="119" t="str">
        <f ca="1">IFERROR(__xludf.DUMMYFUNCTION("""COMPUTED_VALUE"""),"")</f>
        <v/>
      </c>
      <c r="EV52" s="119" t="str">
        <f ca="1">IFERROR(__xludf.DUMMYFUNCTION("""COMPUTED_VALUE"""),"")</f>
        <v/>
      </c>
      <c r="EW52" s="119" t="str">
        <f ca="1">IFERROR(__xludf.DUMMYFUNCTION("""COMPUTED_VALUE"""),"")</f>
        <v/>
      </c>
      <c r="EX52" s="117" t="str">
        <f ca="1">IFERROR(__xludf.DUMMYFUNCTION("""COMPUTED_VALUE"""),"")</f>
        <v/>
      </c>
      <c r="EY52" s="117" t="str">
        <f ca="1">IFERROR(__xludf.DUMMYFUNCTION("""COMPUTED_VALUE"""),"")</f>
        <v/>
      </c>
      <c r="EZ52" s="117" t="str">
        <f ca="1">IFERROR(__xludf.DUMMYFUNCTION("""COMPUTED_VALUE"""),"")</f>
        <v/>
      </c>
      <c r="FA52" s="117" t="str">
        <f ca="1">IFERROR(__xludf.DUMMYFUNCTION("""COMPUTED_VALUE"""),"")</f>
        <v/>
      </c>
      <c r="FB52" s="117" t="str">
        <f ca="1">IFERROR(__xludf.DUMMYFUNCTION("""COMPUTED_VALUE"""),"")</f>
        <v/>
      </c>
      <c r="FC52" s="117" t="str">
        <f ca="1">IFERROR(__xludf.DUMMYFUNCTION("""COMPUTED_VALUE"""),"")</f>
        <v/>
      </c>
      <c r="FD52" s="117" t="str">
        <f ca="1">IFERROR(__xludf.DUMMYFUNCTION("""COMPUTED_VALUE"""),"")</f>
        <v/>
      </c>
      <c r="FE52" s="117" t="str">
        <f ca="1">IFERROR(__xludf.DUMMYFUNCTION("""COMPUTED_VALUE"""),"")</f>
        <v/>
      </c>
      <c r="FF52" s="117" t="str">
        <f ca="1">IFERROR(__xludf.DUMMYFUNCTION("""COMPUTED_VALUE"""),"")</f>
        <v/>
      </c>
      <c r="FG52" s="117" t="str">
        <f ca="1">IFERROR(__xludf.DUMMYFUNCTION("""COMPUTED_VALUE"""),"")</f>
        <v/>
      </c>
      <c r="FH52" s="117" t="str">
        <f ca="1">IFERROR(__xludf.DUMMYFUNCTION("""COMPUTED_VALUE"""),"")</f>
        <v/>
      </c>
      <c r="FI52" s="117" t="str">
        <f ca="1">IFERROR(__xludf.DUMMYFUNCTION("""COMPUTED_VALUE"""),"")</f>
        <v/>
      </c>
      <c r="FJ52" s="117" t="str">
        <f ca="1">IFERROR(__xludf.DUMMYFUNCTION("""COMPUTED_VALUE"""),"")</f>
        <v/>
      </c>
      <c r="FK52" s="117" t="str">
        <f ca="1">IFERROR(__xludf.DUMMYFUNCTION("""COMPUTED_VALUE"""),"")</f>
        <v/>
      </c>
      <c r="FL52" s="117" t="str">
        <f ca="1">IFERROR(__xludf.DUMMYFUNCTION("""COMPUTED_VALUE"""),"")</f>
        <v/>
      </c>
      <c r="FM52" s="117" t="str">
        <f ca="1">IFERROR(__xludf.DUMMYFUNCTION("""COMPUTED_VALUE"""),"")</f>
        <v/>
      </c>
      <c r="FN52" s="117" t="str">
        <f ca="1">IFERROR(__xludf.DUMMYFUNCTION("""COMPUTED_VALUE"""),"")</f>
        <v/>
      </c>
      <c r="FO52" s="117" t="str">
        <f ca="1">IFERROR(__xludf.DUMMYFUNCTION("""COMPUTED_VALUE"""),"")</f>
        <v/>
      </c>
    </row>
    <row r="53" spans="1:171" ht="15.75" customHeight="1" x14ac:dyDescent="0.15">
      <c r="A53" s="115" t="str">
        <f ca="1">IFERROR(__xludf.DUMMYFUNCTION("""COMPUTED_VALUE"""),"")</f>
        <v/>
      </c>
      <c r="B53" s="119" t="str">
        <f ca="1">IFERROR(__xludf.DUMMYFUNCTION("""COMPUTED_VALUE"""),"")</f>
        <v/>
      </c>
      <c r="C53" s="119" t="str">
        <f ca="1">IFERROR(__xludf.DUMMYFUNCTION("""COMPUTED_VALUE"""),"")</f>
        <v/>
      </c>
      <c r="D53" s="119" t="str">
        <f ca="1">IFERROR(__xludf.DUMMYFUNCTION("""COMPUTED_VALUE"""),"")</f>
        <v/>
      </c>
      <c r="E53" s="119" t="str">
        <f ca="1">IFERROR(__xludf.DUMMYFUNCTION("""COMPUTED_VALUE"""),"")</f>
        <v/>
      </c>
      <c r="F53" s="119" t="str">
        <f ca="1">IFERROR(__xludf.DUMMYFUNCTION("""COMPUTED_VALUE"""),"")</f>
        <v/>
      </c>
      <c r="G53" s="119" t="str">
        <f ca="1">IFERROR(__xludf.DUMMYFUNCTION("""COMPUTED_VALUE"""),"")</f>
        <v/>
      </c>
      <c r="H53" s="119" t="str">
        <f ca="1">IFERROR(__xludf.DUMMYFUNCTION("""COMPUTED_VALUE"""),"")</f>
        <v/>
      </c>
      <c r="I53" s="119" t="str">
        <f ca="1">IFERROR(__xludf.DUMMYFUNCTION("""COMPUTED_VALUE"""),"")</f>
        <v/>
      </c>
      <c r="J53" s="119" t="str">
        <f ca="1">IFERROR(__xludf.DUMMYFUNCTION("""COMPUTED_VALUE"""),"")</f>
        <v/>
      </c>
      <c r="K53" s="119" t="str">
        <f ca="1">IFERROR(__xludf.DUMMYFUNCTION("""COMPUTED_VALUE"""),"")</f>
        <v/>
      </c>
      <c r="L53" s="119" t="str">
        <f ca="1">IFERROR(__xludf.DUMMYFUNCTION("""COMPUTED_VALUE"""),"")</f>
        <v/>
      </c>
      <c r="M53" s="119" t="str">
        <f ca="1">IFERROR(__xludf.DUMMYFUNCTION("""COMPUTED_VALUE"""),"")</f>
        <v/>
      </c>
      <c r="N53" s="119" t="str">
        <f ca="1">IFERROR(__xludf.DUMMYFUNCTION("""COMPUTED_VALUE"""),"")</f>
        <v/>
      </c>
      <c r="O53" s="119" t="str">
        <f ca="1">IFERROR(__xludf.DUMMYFUNCTION("""COMPUTED_VALUE"""),"")</f>
        <v/>
      </c>
      <c r="P53" s="119" t="str">
        <f ca="1">IFERROR(__xludf.DUMMYFUNCTION("""COMPUTED_VALUE"""),"")</f>
        <v/>
      </c>
      <c r="Q53" s="119" t="str">
        <f ca="1">IFERROR(__xludf.DUMMYFUNCTION("""COMPUTED_VALUE"""),"")</f>
        <v/>
      </c>
      <c r="R53" s="119" t="str">
        <f ca="1">IFERROR(__xludf.DUMMYFUNCTION("""COMPUTED_VALUE"""),"")</f>
        <v/>
      </c>
      <c r="S53" s="119" t="str">
        <f ca="1">IFERROR(__xludf.DUMMYFUNCTION("""COMPUTED_VALUE"""),"")</f>
        <v/>
      </c>
      <c r="T53" s="119" t="str">
        <f ca="1">IFERROR(__xludf.DUMMYFUNCTION("""COMPUTED_VALUE"""),"")</f>
        <v/>
      </c>
      <c r="U53" s="119" t="str">
        <f ca="1">IFERROR(__xludf.DUMMYFUNCTION("""COMPUTED_VALUE"""),"")</f>
        <v/>
      </c>
      <c r="V53" s="119" t="str">
        <f ca="1">IFERROR(__xludf.DUMMYFUNCTION("""COMPUTED_VALUE"""),"")</f>
        <v/>
      </c>
      <c r="W53" s="119" t="str">
        <f ca="1">IFERROR(__xludf.DUMMYFUNCTION("""COMPUTED_VALUE"""),"")</f>
        <v/>
      </c>
      <c r="X53" s="119" t="str">
        <f ca="1">IFERROR(__xludf.DUMMYFUNCTION("""COMPUTED_VALUE"""),"")</f>
        <v/>
      </c>
      <c r="Y53" s="119" t="str">
        <f ca="1">IFERROR(__xludf.DUMMYFUNCTION("""COMPUTED_VALUE"""),"")</f>
        <v/>
      </c>
      <c r="Z53" s="119" t="str">
        <f ca="1">IFERROR(__xludf.DUMMYFUNCTION("""COMPUTED_VALUE"""),"")</f>
        <v/>
      </c>
      <c r="AA53" s="119" t="str">
        <f ca="1">IFERROR(__xludf.DUMMYFUNCTION("""COMPUTED_VALUE"""),"")</f>
        <v/>
      </c>
      <c r="AB53" s="119" t="str">
        <f ca="1">IFERROR(__xludf.DUMMYFUNCTION("""COMPUTED_VALUE"""),"")</f>
        <v/>
      </c>
      <c r="AC53" s="119" t="str">
        <f ca="1">IFERROR(__xludf.DUMMYFUNCTION("""COMPUTED_VALUE"""),"")</f>
        <v/>
      </c>
      <c r="AD53" s="119" t="str">
        <f ca="1">IFERROR(__xludf.DUMMYFUNCTION("""COMPUTED_VALUE"""),"")</f>
        <v/>
      </c>
      <c r="AE53" s="119" t="str">
        <f ca="1">IFERROR(__xludf.DUMMYFUNCTION("""COMPUTED_VALUE"""),"")</f>
        <v/>
      </c>
      <c r="AF53" s="119" t="str">
        <f ca="1">IFERROR(__xludf.DUMMYFUNCTION("""COMPUTED_VALUE"""),"")</f>
        <v/>
      </c>
      <c r="AG53" s="119" t="str">
        <f ca="1">IFERROR(__xludf.DUMMYFUNCTION("""COMPUTED_VALUE"""),"")</f>
        <v/>
      </c>
      <c r="AH53" s="119" t="str">
        <f ca="1">IFERROR(__xludf.DUMMYFUNCTION("""COMPUTED_VALUE"""),"")</f>
        <v/>
      </c>
      <c r="AI53" s="119" t="str">
        <f ca="1">IFERROR(__xludf.DUMMYFUNCTION("""COMPUTED_VALUE"""),"")</f>
        <v/>
      </c>
      <c r="AJ53" s="119" t="str">
        <f ca="1">IFERROR(__xludf.DUMMYFUNCTION("""COMPUTED_VALUE"""),"")</f>
        <v/>
      </c>
      <c r="AK53" s="119" t="str">
        <f ca="1">IFERROR(__xludf.DUMMYFUNCTION("""COMPUTED_VALUE"""),"")</f>
        <v/>
      </c>
      <c r="AL53" s="119" t="str">
        <f ca="1">IFERROR(__xludf.DUMMYFUNCTION("""COMPUTED_VALUE"""),"")</f>
        <v/>
      </c>
      <c r="AM53" s="119" t="str">
        <f ca="1">IFERROR(__xludf.DUMMYFUNCTION("""COMPUTED_VALUE"""),"")</f>
        <v/>
      </c>
      <c r="AN53" s="119" t="str">
        <f ca="1">IFERROR(__xludf.DUMMYFUNCTION("""COMPUTED_VALUE"""),"")</f>
        <v/>
      </c>
      <c r="AO53" s="119" t="str">
        <f ca="1">IFERROR(__xludf.DUMMYFUNCTION("""COMPUTED_VALUE"""),"")</f>
        <v/>
      </c>
      <c r="AP53" s="119" t="str">
        <f ca="1">IFERROR(__xludf.DUMMYFUNCTION("""COMPUTED_VALUE"""),"")</f>
        <v/>
      </c>
      <c r="AQ53" s="119" t="str">
        <f ca="1">IFERROR(__xludf.DUMMYFUNCTION("""COMPUTED_VALUE"""),"")</f>
        <v/>
      </c>
      <c r="AR53" s="118" t="str">
        <f ca="1">IFERROR(__xludf.DUMMYFUNCTION("""COMPUTED_VALUE"""),"")</f>
        <v/>
      </c>
      <c r="AS53" s="119" t="str">
        <f ca="1">IFERROR(__xludf.DUMMYFUNCTION("""COMPUTED_VALUE"""),"")</f>
        <v/>
      </c>
      <c r="AT53" s="119" t="str">
        <f ca="1">IFERROR(__xludf.DUMMYFUNCTION("""COMPUTED_VALUE"""),"")</f>
        <v/>
      </c>
      <c r="AU53" s="119" t="str">
        <f ca="1">IFERROR(__xludf.DUMMYFUNCTION("""COMPUTED_VALUE"""),"")</f>
        <v/>
      </c>
      <c r="AV53" s="119" t="str">
        <f ca="1">IFERROR(__xludf.DUMMYFUNCTION("""COMPUTED_VALUE"""),"")</f>
        <v/>
      </c>
      <c r="AW53" s="119" t="str">
        <f ca="1">IFERROR(__xludf.DUMMYFUNCTION("""COMPUTED_VALUE"""),"")</f>
        <v/>
      </c>
      <c r="AX53" s="119" t="str">
        <f ca="1">IFERROR(__xludf.DUMMYFUNCTION("""COMPUTED_VALUE"""),"")</f>
        <v/>
      </c>
      <c r="AY53" s="119" t="str">
        <f ca="1">IFERROR(__xludf.DUMMYFUNCTION("""COMPUTED_VALUE"""),"")</f>
        <v/>
      </c>
      <c r="AZ53" s="119" t="str">
        <f ca="1">IFERROR(__xludf.DUMMYFUNCTION("""COMPUTED_VALUE"""),"")</f>
        <v/>
      </c>
      <c r="BA53" s="119" t="str">
        <f ca="1">IFERROR(__xludf.DUMMYFUNCTION("""COMPUTED_VALUE"""),"")</f>
        <v/>
      </c>
      <c r="BB53" s="119" t="str">
        <f ca="1">IFERROR(__xludf.DUMMYFUNCTION("""COMPUTED_VALUE"""),"")</f>
        <v/>
      </c>
      <c r="BC53" s="119" t="str">
        <f ca="1">IFERROR(__xludf.DUMMYFUNCTION("""COMPUTED_VALUE"""),"")</f>
        <v/>
      </c>
      <c r="BD53" s="119" t="str">
        <f ca="1">IFERROR(__xludf.DUMMYFUNCTION("""COMPUTED_VALUE"""),"")</f>
        <v/>
      </c>
      <c r="BE53" s="119" t="str">
        <f ca="1">IFERROR(__xludf.DUMMYFUNCTION("""COMPUTED_VALUE"""),"")</f>
        <v/>
      </c>
      <c r="BF53" s="119" t="str">
        <f ca="1">IFERROR(__xludf.DUMMYFUNCTION("""COMPUTED_VALUE"""),"")</f>
        <v/>
      </c>
      <c r="BG53" s="119" t="str">
        <f ca="1">IFERROR(__xludf.DUMMYFUNCTION("""COMPUTED_VALUE"""),"")</f>
        <v/>
      </c>
      <c r="BH53" s="119" t="str">
        <f ca="1">IFERROR(__xludf.DUMMYFUNCTION("""COMPUTED_VALUE"""),"")</f>
        <v/>
      </c>
      <c r="BI53" s="119" t="str">
        <f ca="1">IFERROR(__xludf.DUMMYFUNCTION("""COMPUTED_VALUE"""),"")</f>
        <v/>
      </c>
      <c r="BJ53" s="119" t="str">
        <f ca="1">IFERROR(__xludf.DUMMYFUNCTION("""COMPUTED_VALUE"""),"")</f>
        <v/>
      </c>
      <c r="BK53" s="119" t="str">
        <f ca="1">IFERROR(__xludf.DUMMYFUNCTION("""COMPUTED_VALUE"""),"")</f>
        <v/>
      </c>
      <c r="BL53" s="119" t="str">
        <f ca="1">IFERROR(__xludf.DUMMYFUNCTION("""COMPUTED_VALUE"""),"")</f>
        <v/>
      </c>
      <c r="BM53" s="119" t="str">
        <f ca="1">IFERROR(__xludf.DUMMYFUNCTION("""COMPUTED_VALUE"""),"")</f>
        <v/>
      </c>
      <c r="BN53" s="119" t="str">
        <f ca="1">IFERROR(__xludf.DUMMYFUNCTION("""COMPUTED_VALUE"""),"")</f>
        <v/>
      </c>
      <c r="BO53" s="119" t="str">
        <f ca="1">IFERROR(__xludf.DUMMYFUNCTION("""COMPUTED_VALUE"""),"")</f>
        <v/>
      </c>
      <c r="BP53" s="119" t="str">
        <f ca="1">IFERROR(__xludf.DUMMYFUNCTION("""COMPUTED_VALUE"""),"")</f>
        <v/>
      </c>
      <c r="BQ53" s="119" t="str">
        <f ca="1">IFERROR(__xludf.DUMMYFUNCTION("""COMPUTED_VALUE"""),"")</f>
        <v/>
      </c>
      <c r="BR53" s="119" t="str">
        <f ca="1">IFERROR(__xludf.DUMMYFUNCTION("""COMPUTED_VALUE"""),"")</f>
        <v/>
      </c>
      <c r="BS53" s="119" t="str">
        <f ca="1">IFERROR(__xludf.DUMMYFUNCTION("""COMPUTED_VALUE"""),"")</f>
        <v/>
      </c>
      <c r="BT53" s="119" t="str">
        <f ca="1">IFERROR(__xludf.DUMMYFUNCTION("""COMPUTED_VALUE"""),"")</f>
        <v/>
      </c>
      <c r="BU53" s="119" t="str">
        <f ca="1">IFERROR(__xludf.DUMMYFUNCTION("""COMPUTED_VALUE"""),"")</f>
        <v/>
      </c>
      <c r="BV53" s="119" t="str">
        <f ca="1">IFERROR(__xludf.DUMMYFUNCTION("""COMPUTED_VALUE"""),"")</f>
        <v/>
      </c>
      <c r="BW53" s="119" t="str">
        <f ca="1">IFERROR(__xludf.DUMMYFUNCTION("""COMPUTED_VALUE"""),"")</f>
        <v/>
      </c>
      <c r="BX53" s="119" t="str">
        <f ca="1">IFERROR(__xludf.DUMMYFUNCTION("""COMPUTED_VALUE"""),"")</f>
        <v/>
      </c>
      <c r="BY53" s="119" t="str">
        <f ca="1">IFERROR(__xludf.DUMMYFUNCTION("""COMPUTED_VALUE"""),"")</f>
        <v/>
      </c>
      <c r="BZ53" s="119" t="str">
        <f ca="1">IFERROR(__xludf.DUMMYFUNCTION("""COMPUTED_VALUE"""),"")</f>
        <v/>
      </c>
      <c r="CA53" s="119" t="str">
        <f ca="1">IFERROR(__xludf.DUMMYFUNCTION("""COMPUTED_VALUE"""),"")</f>
        <v/>
      </c>
      <c r="CB53" s="119" t="str">
        <f ca="1">IFERROR(__xludf.DUMMYFUNCTION("""COMPUTED_VALUE"""),"")</f>
        <v/>
      </c>
      <c r="CC53" s="119" t="str">
        <f ca="1">IFERROR(__xludf.DUMMYFUNCTION("""COMPUTED_VALUE"""),"")</f>
        <v/>
      </c>
      <c r="CD53" s="119" t="str">
        <f ca="1">IFERROR(__xludf.DUMMYFUNCTION("""COMPUTED_VALUE"""),"")</f>
        <v/>
      </c>
      <c r="CE53" s="119" t="str">
        <f ca="1">IFERROR(__xludf.DUMMYFUNCTION("""COMPUTED_VALUE"""),"")</f>
        <v/>
      </c>
      <c r="CF53" s="119" t="str">
        <f ca="1">IFERROR(__xludf.DUMMYFUNCTION("""COMPUTED_VALUE"""),"")</f>
        <v/>
      </c>
      <c r="CG53" s="119" t="str">
        <f ca="1">IFERROR(__xludf.DUMMYFUNCTION("""COMPUTED_VALUE"""),"")</f>
        <v/>
      </c>
      <c r="CH53" s="119" t="str">
        <f ca="1">IFERROR(__xludf.DUMMYFUNCTION("""COMPUTED_VALUE"""),"")</f>
        <v/>
      </c>
      <c r="CI53" s="119" t="str">
        <f ca="1">IFERROR(__xludf.DUMMYFUNCTION("""COMPUTED_VALUE"""),"")</f>
        <v/>
      </c>
      <c r="CJ53" s="119" t="str">
        <f ca="1">IFERROR(__xludf.DUMMYFUNCTION("""COMPUTED_VALUE"""),"")</f>
        <v/>
      </c>
      <c r="CK53" s="119" t="str">
        <f ca="1">IFERROR(__xludf.DUMMYFUNCTION("""COMPUTED_VALUE"""),"")</f>
        <v/>
      </c>
      <c r="CL53" s="119" t="str">
        <f ca="1">IFERROR(__xludf.DUMMYFUNCTION("""COMPUTED_VALUE"""),"")</f>
        <v/>
      </c>
      <c r="CM53" s="119" t="str">
        <f ca="1">IFERROR(__xludf.DUMMYFUNCTION("""COMPUTED_VALUE"""),"")</f>
        <v/>
      </c>
      <c r="CN53" s="119" t="str">
        <f ca="1">IFERROR(__xludf.DUMMYFUNCTION("""COMPUTED_VALUE"""),"")</f>
        <v/>
      </c>
      <c r="CO53" s="119" t="str">
        <f ca="1">IFERROR(__xludf.DUMMYFUNCTION("""COMPUTED_VALUE"""),"")</f>
        <v/>
      </c>
      <c r="CP53" s="119" t="str">
        <f ca="1">IFERROR(__xludf.DUMMYFUNCTION("""COMPUTED_VALUE"""),"")</f>
        <v/>
      </c>
      <c r="CQ53" s="119" t="str">
        <f ca="1">IFERROR(__xludf.DUMMYFUNCTION("""COMPUTED_VALUE"""),"")</f>
        <v/>
      </c>
      <c r="CR53" s="119" t="str">
        <f ca="1">IFERROR(__xludf.DUMMYFUNCTION("""COMPUTED_VALUE"""),"")</f>
        <v/>
      </c>
      <c r="CS53" s="119" t="str">
        <f ca="1">IFERROR(__xludf.DUMMYFUNCTION("""COMPUTED_VALUE"""),"")</f>
        <v/>
      </c>
      <c r="CT53" s="119" t="str">
        <f ca="1">IFERROR(__xludf.DUMMYFUNCTION("""COMPUTED_VALUE"""),"")</f>
        <v/>
      </c>
      <c r="CU53" s="119" t="str">
        <f ca="1">IFERROR(__xludf.DUMMYFUNCTION("""COMPUTED_VALUE"""),"")</f>
        <v/>
      </c>
      <c r="CV53" s="119" t="str">
        <f ca="1">IFERROR(__xludf.DUMMYFUNCTION("""COMPUTED_VALUE"""),"")</f>
        <v/>
      </c>
      <c r="CW53" s="119" t="str">
        <f ca="1">IFERROR(__xludf.DUMMYFUNCTION("""COMPUTED_VALUE"""),"")</f>
        <v/>
      </c>
      <c r="CX53" s="119" t="str">
        <f ca="1">IFERROR(__xludf.DUMMYFUNCTION("""COMPUTED_VALUE"""),"")</f>
        <v/>
      </c>
      <c r="CY53" s="119" t="str">
        <f ca="1">IFERROR(__xludf.DUMMYFUNCTION("""COMPUTED_VALUE"""),"")</f>
        <v/>
      </c>
      <c r="CZ53" s="119" t="str">
        <f ca="1">IFERROR(__xludf.DUMMYFUNCTION("""COMPUTED_VALUE"""),"")</f>
        <v/>
      </c>
      <c r="DA53" s="119" t="str">
        <f ca="1">IFERROR(__xludf.DUMMYFUNCTION("""COMPUTED_VALUE"""),"")</f>
        <v/>
      </c>
      <c r="DB53" s="119" t="str">
        <f ca="1">IFERROR(__xludf.DUMMYFUNCTION("""COMPUTED_VALUE"""),"")</f>
        <v/>
      </c>
      <c r="DC53" s="119" t="str">
        <f ca="1">IFERROR(__xludf.DUMMYFUNCTION("""COMPUTED_VALUE"""),"")</f>
        <v/>
      </c>
      <c r="DD53" s="119" t="str">
        <f ca="1">IFERROR(__xludf.DUMMYFUNCTION("""COMPUTED_VALUE"""),"")</f>
        <v/>
      </c>
      <c r="DE53" s="119" t="str">
        <f ca="1">IFERROR(__xludf.DUMMYFUNCTION("""COMPUTED_VALUE"""),"")</f>
        <v/>
      </c>
      <c r="DF53" s="119" t="str">
        <f ca="1">IFERROR(__xludf.DUMMYFUNCTION("""COMPUTED_VALUE"""),"")</f>
        <v/>
      </c>
      <c r="DG53" s="119" t="str">
        <f ca="1">IFERROR(__xludf.DUMMYFUNCTION("""COMPUTED_VALUE"""),"")</f>
        <v/>
      </c>
      <c r="DH53" s="119" t="str">
        <f ca="1">IFERROR(__xludf.DUMMYFUNCTION("""COMPUTED_VALUE"""),"")</f>
        <v/>
      </c>
      <c r="DI53" s="119" t="str">
        <f ca="1">IFERROR(__xludf.DUMMYFUNCTION("""COMPUTED_VALUE"""),"")</f>
        <v/>
      </c>
      <c r="DJ53" s="119" t="str">
        <f ca="1">IFERROR(__xludf.DUMMYFUNCTION("""COMPUTED_VALUE"""),"")</f>
        <v/>
      </c>
      <c r="DK53" s="119" t="str">
        <f ca="1">IFERROR(__xludf.DUMMYFUNCTION("""COMPUTED_VALUE"""),"")</f>
        <v/>
      </c>
      <c r="DL53" s="119" t="str">
        <f ca="1">IFERROR(__xludf.DUMMYFUNCTION("""COMPUTED_VALUE"""),"")</f>
        <v/>
      </c>
      <c r="DM53" s="119" t="str">
        <f ca="1">IFERROR(__xludf.DUMMYFUNCTION("""COMPUTED_VALUE"""),"")</f>
        <v/>
      </c>
      <c r="DN53" s="119" t="str">
        <f ca="1">IFERROR(__xludf.DUMMYFUNCTION("""COMPUTED_VALUE"""),"")</f>
        <v/>
      </c>
      <c r="DO53" s="119" t="str">
        <f ca="1">IFERROR(__xludf.DUMMYFUNCTION("""COMPUTED_VALUE"""),"")</f>
        <v/>
      </c>
      <c r="DP53" s="119" t="str">
        <f ca="1">IFERROR(__xludf.DUMMYFUNCTION("""COMPUTED_VALUE"""),"")</f>
        <v/>
      </c>
      <c r="DQ53" s="119" t="str">
        <f ca="1">IFERROR(__xludf.DUMMYFUNCTION("""COMPUTED_VALUE"""),"")</f>
        <v/>
      </c>
      <c r="DR53" s="119" t="str">
        <f ca="1">IFERROR(__xludf.DUMMYFUNCTION("""COMPUTED_VALUE"""),"")</f>
        <v/>
      </c>
      <c r="DS53" s="119" t="str">
        <f ca="1">IFERROR(__xludf.DUMMYFUNCTION("""COMPUTED_VALUE"""),"")</f>
        <v/>
      </c>
      <c r="DT53" s="119" t="str">
        <f ca="1">IFERROR(__xludf.DUMMYFUNCTION("""COMPUTED_VALUE"""),"")</f>
        <v/>
      </c>
      <c r="DU53" s="119" t="str">
        <f ca="1">IFERROR(__xludf.DUMMYFUNCTION("""COMPUTED_VALUE"""),"")</f>
        <v/>
      </c>
      <c r="DV53" s="119" t="str">
        <f ca="1">IFERROR(__xludf.DUMMYFUNCTION("""COMPUTED_VALUE"""),"")</f>
        <v/>
      </c>
      <c r="DW53" s="119" t="str">
        <f ca="1">IFERROR(__xludf.DUMMYFUNCTION("""COMPUTED_VALUE"""),"")</f>
        <v/>
      </c>
      <c r="DX53" s="119" t="str">
        <f ca="1">IFERROR(__xludf.DUMMYFUNCTION("""COMPUTED_VALUE"""),"")</f>
        <v/>
      </c>
      <c r="DY53" s="119" t="str">
        <f ca="1">IFERROR(__xludf.DUMMYFUNCTION("""COMPUTED_VALUE"""),"")</f>
        <v/>
      </c>
      <c r="DZ53" s="119" t="str">
        <f ca="1">IFERROR(__xludf.DUMMYFUNCTION("""COMPUTED_VALUE"""),"")</f>
        <v/>
      </c>
      <c r="EA53" s="119" t="str">
        <f ca="1">IFERROR(__xludf.DUMMYFUNCTION("""COMPUTED_VALUE"""),"")</f>
        <v/>
      </c>
      <c r="EB53" s="119" t="str">
        <f ca="1">IFERROR(__xludf.DUMMYFUNCTION("""COMPUTED_VALUE"""),"")</f>
        <v/>
      </c>
      <c r="EC53" s="119" t="str">
        <f ca="1">IFERROR(__xludf.DUMMYFUNCTION("""COMPUTED_VALUE"""),"")</f>
        <v/>
      </c>
      <c r="ED53" s="119" t="str">
        <f ca="1">IFERROR(__xludf.DUMMYFUNCTION("""COMPUTED_VALUE"""),"")</f>
        <v/>
      </c>
      <c r="EE53" s="119" t="str">
        <f ca="1">IFERROR(__xludf.DUMMYFUNCTION("""COMPUTED_VALUE"""),"")</f>
        <v/>
      </c>
      <c r="EF53" s="119" t="str">
        <f ca="1">IFERROR(__xludf.DUMMYFUNCTION("""COMPUTED_VALUE"""),"")</f>
        <v/>
      </c>
      <c r="EG53" s="119" t="str">
        <f ca="1">IFERROR(__xludf.DUMMYFUNCTION("""COMPUTED_VALUE"""),"")</f>
        <v/>
      </c>
      <c r="EH53" s="119" t="str">
        <f ca="1">IFERROR(__xludf.DUMMYFUNCTION("""COMPUTED_VALUE"""),"")</f>
        <v/>
      </c>
      <c r="EI53" s="119" t="str">
        <f ca="1">IFERROR(__xludf.DUMMYFUNCTION("""COMPUTED_VALUE"""),"")</f>
        <v/>
      </c>
      <c r="EJ53" s="119" t="str">
        <f ca="1">IFERROR(__xludf.DUMMYFUNCTION("""COMPUTED_VALUE"""),"")</f>
        <v/>
      </c>
      <c r="EK53" s="119" t="str">
        <f ca="1">IFERROR(__xludf.DUMMYFUNCTION("""COMPUTED_VALUE"""),"")</f>
        <v/>
      </c>
      <c r="EL53" s="119" t="str">
        <f ca="1">IFERROR(__xludf.DUMMYFUNCTION("""COMPUTED_VALUE"""),"")</f>
        <v/>
      </c>
      <c r="EM53" s="119" t="str">
        <f ca="1">IFERROR(__xludf.DUMMYFUNCTION("""COMPUTED_VALUE"""),"")</f>
        <v/>
      </c>
      <c r="EN53" s="119" t="str">
        <f ca="1">IFERROR(__xludf.DUMMYFUNCTION("""COMPUTED_VALUE"""),"")</f>
        <v/>
      </c>
      <c r="EO53" s="119" t="str">
        <f ca="1">IFERROR(__xludf.DUMMYFUNCTION("""COMPUTED_VALUE"""),"")</f>
        <v/>
      </c>
      <c r="EP53" s="119" t="str">
        <f ca="1">IFERROR(__xludf.DUMMYFUNCTION("""COMPUTED_VALUE"""),"")</f>
        <v/>
      </c>
      <c r="EQ53" s="119" t="str">
        <f ca="1">IFERROR(__xludf.DUMMYFUNCTION("""COMPUTED_VALUE"""),"")</f>
        <v/>
      </c>
      <c r="ER53" s="119" t="str">
        <f ca="1">IFERROR(__xludf.DUMMYFUNCTION("""COMPUTED_VALUE"""),"")</f>
        <v/>
      </c>
      <c r="ES53" s="119" t="str">
        <f ca="1">IFERROR(__xludf.DUMMYFUNCTION("""COMPUTED_VALUE"""),"")</f>
        <v/>
      </c>
      <c r="ET53" s="119" t="str">
        <f ca="1">IFERROR(__xludf.DUMMYFUNCTION("""COMPUTED_VALUE"""),"")</f>
        <v/>
      </c>
      <c r="EU53" s="119" t="str">
        <f ca="1">IFERROR(__xludf.DUMMYFUNCTION("""COMPUTED_VALUE"""),"")</f>
        <v/>
      </c>
      <c r="EV53" s="119" t="str">
        <f ca="1">IFERROR(__xludf.DUMMYFUNCTION("""COMPUTED_VALUE"""),"")</f>
        <v/>
      </c>
      <c r="EW53" s="119" t="str">
        <f ca="1">IFERROR(__xludf.DUMMYFUNCTION("""COMPUTED_VALUE"""),"")</f>
        <v/>
      </c>
      <c r="EX53" s="117" t="str">
        <f ca="1">IFERROR(__xludf.DUMMYFUNCTION("""COMPUTED_VALUE"""),"")</f>
        <v/>
      </c>
      <c r="EY53" s="117" t="str">
        <f ca="1">IFERROR(__xludf.DUMMYFUNCTION("""COMPUTED_VALUE"""),"")</f>
        <v/>
      </c>
      <c r="EZ53" s="117" t="str">
        <f ca="1">IFERROR(__xludf.DUMMYFUNCTION("""COMPUTED_VALUE"""),"")</f>
        <v/>
      </c>
      <c r="FA53" s="117" t="str">
        <f ca="1">IFERROR(__xludf.DUMMYFUNCTION("""COMPUTED_VALUE"""),"")</f>
        <v/>
      </c>
      <c r="FB53" s="117" t="str">
        <f ca="1">IFERROR(__xludf.DUMMYFUNCTION("""COMPUTED_VALUE"""),"")</f>
        <v/>
      </c>
      <c r="FC53" s="117" t="str">
        <f ca="1">IFERROR(__xludf.DUMMYFUNCTION("""COMPUTED_VALUE"""),"")</f>
        <v/>
      </c>
      <c r="FD53" s="117" t="str">
        <f ca="1">IFERROR(__xludf.DUMMYFUNCTION("""COMPUTED_VALUE"""),"")</f>
        <v/>
      </c>
      <c r="FE53" s="117" t="str">
        <f ca="1">IFERROR(__xludf.DUMMYFUNCTION("""COMPUTED_VALUE"""),"")</f>
        <v/>
      </c>
      <c r="FF53" s="117" t="str">
        <f ca="1">IFERROR(__xludf.DUMMYFUNCTION("""COMPUTED_VALUE"""),"")</f>
        <v/>
      </c>
      <c r="FG53" s="117" t="str">
        <f ca="1">IFERROR(__xludf.DUMMYFUNCTION("""COMPUTED_VALUE"""),"")</f>
        <v/>
      </c>
      <c r="FH53" s="117" t="str">
        <f ca="1">IFERROR(__xludf.DUMMYFUNCTION("""COMPUTED_VALUE"""),"")</f>
        <v/>
      </c>
      <c r="FI53" s="117" t="str">
        <f ca="1">IFERROR(__xludf.DUMMYFUNCTION("""COMPUTED_VALUE"""),"")</f>
        <v/>
      </c>
      <c r="FJ53" s="117" t="str">
        <f ca="1">IFERROR(__xludf.DUMMYFUNCTION("""COMPUTED_VALUE"""),"")</f>
        <v/>
      </c>
      <c r="FK53" s="117" t="str">
        <f ca="1">IFERROR(__xludf.DUMMYFUNCTION("""COMPUTED_VALUE"""),"")</f>
        <v/>
      </c>
      <c r="FL53" s="117" t="str">
        <f ca="1">IFERROR(__xludf.DUMMYFUNCTION("""COMPUTED_VALUE"""),"")</f>
        <v/>
      </c>
      <c r="FM53" s="117" t="str">
        <f ca="1">IFERROR(__xludf.DUMMYFUNCTION("""COMPUTED_VALUE"""),"")</f>
        <v/>
      </c>
      <c r="FN53" s="117" t="str">
        <f ca="1">IFERROR(__xludf.DUMMYFUNCTION("""COMPUTED_VALUE"""),"")</f>
        <v/>
      </c>
      <c r="FO53" s="117" t="str">
        <f ca="1">IFERROR(__xludf.DUMMYFUNCTION("""COMPUTED_VALUE"""),"")</f>
        <v/>
      </c>
    </row>
    <row r="54" spans="1:171" ht="15.75" customHeight="1" x14ac:dyDescent="0.15">
      <c r="A54" s="115" t="str">
        <f ca="1">IFERROR(__xludf.DUMMYFUNCTION("""COMPUTED_VALUE"""),"")</f>
        <v/>
      </c>
      <c r="B54" s="119" t="str">
        <f ca="1">IFERROR(__xludf.DUMMYFUNCTION("""COMPUTED_VALUE"""),"")</f>
        <v/>
      </c>
      <c r="C54" s="119" t="str">
        <f ca="1">IFERROR(__xludf.DUMMYFUNCTION("""COMPUTED_VALUE"""),"")</f>
        <v/>
      </c>
      <c r="D54" s="119" t="str">
        <f ca="1">IFERROR(__xludf.DUMMYFUNCTION("""COMPUTED_VALUE"""),"")</f>
        <v/>
      </c>
      <c r="E54" s="119" t="str">
        <f ca="1">IFERROR(__xludf.DUMMYFUNCTION("""COMPUTED_VALUE"""),"")</f>
        <v/>
      </c>
      <c r="F54" s="119" t="str">
        <f ca="1">IFERROR(__xludf.DUMMYFUNCTION("""COMPUTED_VALUE"""),"")</f>
        <v/>
      </c>
      <c r="G54" s="119" t="str">
        <f ca="1">IFERROR(__xludf.DUMMYFUNCTION("""COMPUTED_VALUE"""),"")</f>
        <v/>
      </c>
      <c r="H54" s="119" t="str">
        <f ca="1">IFERROR(__xludf.DUMMYFUNCTION("""COMPUTED_VALUE"""),"")</f>
        <v/>
      </c>
      <c r="I54" s="119" t="str">
        <f ca="1">IFERROR(__xludf.DUMMYFUNCTION("""COMPUTED_VALUE"""),"")</f>
        <v/>
      </c>
      <c r="J54" s="119" t="str">
        <f ca="1">IFERROR(__xludf.DUMMYFUNCTION("""COMPUTED_VALUE"""),"")</f>
        <v/>
      </c>
      <c r="K54" s="119" t="str">
        <f ca="1">IFERROR(__xludf.DUMMYFUNCTION("""COMPUTED_VALUE"""),"")</f>
        <v/>
      </c>
      <c r="L54" s="119" t="str">
        <f ca="1">IFERROR(__xludf.DUMMYFUNCTION("""COMPUTED_VALUE"""),"")</f>
        <v/>
      </c>
      <c r="M54" s="119" t="str">
        <f ca="1">IFERROR(__xludf.DUMMYFUNCTION("""COMPUTED_VALUE"""),"")</f>
        <v/>
      </c>
      <c r="N54" s="119" t="str">
        <f ca="1">IFERROR(__xludf.DUMMYFUNCTION("""COMPUTED_VALUE"""),"")</f>
        <v/>
      </c>
      <c r="O54" s="119" t="str">
        <f ca="1">IFERROR(__xludf.DUMMYFUNCTION("""COMPUTED_VALUE"""),"")</f>
        <v/>
      </c>
      <c r="P54" s="119" t="str">
        <f ca="1">IFERROR(__xludf.DUMMYFUNCTION("""COMPUTED_VALUE"""),"")</f>
        <v/>
      </c>
      <c r="Q54" s="119" t="str">
        <f ca="1">IFERROR(__xludf.DUMMYFUNCTION("""COMPUTED_VALUE"""),"")</f>
        <v/>
      </c>
      <c r="R54" s="119" t="str">
        <f ca="1">IFERROR(__xludf.DUMMYFUNCTION("""COMPUTED_VALUE"""),"")</f>
        <v/>
      </c>
      <c r="S54" s="119" t="str">
        <f ca="1">IFERROR(__xludf.DUMMYFUNCTION("""COMPUTED_VALUE"""),"")</f>
        <v/>
      </c>
      <c r="T54" s="119" t="str">
        <f ca="1">IFERROR(__xludf.DUMMYFUNCTION("""COMPUTED_VALUE"""),"")</f>
        <v/>
      </c>
      <c r="U54" s="119" t="str">
        <f ca="1">IFERROR(__xludf.DUMMYFUNCTION("""COMPUTED_VALUE"""),"")</f>
        <v/>
      </c>
      <c r="V54" s="119" t="str">
        <f ca="1">IFERROR(__xludf.DUMMYFUNCTION("""COMPUTED_VALUE"""),"")</f>
        <v/>
      </c>
      <c r="W54" s="119" t="str">
        <f ca="1">IFERROR(__xludf.DUMMYFUNCTION("""COMPUTED_VALUE"""),"")</f>
        <v/>
      </c>
      <c r="X54" s="119" t="str">
        <f ca="1">IFERROR(__xludf.DUMMYFUNCTION("""COMPUTED_VALUE"""),"")</f>
        <v/>
      </c>
      <c r="Y54" s="119" t="str">
        <f ca="1">IFERROR(__xludf.DUMMYFUNCTION("""COMPUTED_VALUE"""),"")</f>
        <v/>
      </c>
      <c r="Z54" s="119" t="str">
        <f ca="1">IFERROR(__xludf.DUMMYFUNCTION("""COMPUTED_VALUE"""),"")</f>
        <v/>
      </c>
      <c r="AA54" s="119" t="str">
        <f ca="1">IFERROR(__xludf.DUMMYFUNCTION("""COMPUTED_VALUE"""),"")</f>
        <v/>
      </c>
      <c r="AB54" s="119" t="str">
        <f ca="1">IFERROR(__xludf.DUMMYFUNCTION("""COMPUTED_VALUE"""),"")</f>
        <v/>
      </c>
      <c r="AC54" s="119" t="str">
        <f ca="1">IFERROR(__xludf.DUMMYFUNCTION("""COMPUTED_VALUE"""),"")</f>
        <v/>
      </c>
      <c r="AD54" s="119" t="str">
        <f ca="1">IFERROR(__xludf.DUMMYFUNCTION("""COMPUTED_VALUE"""),"")</f>
        <v/>
      </c>
      <c r="AE54" s="119" t="str">
        <f ca="1">IFERROR(__xludf.DUMMYFUNCTION("""COMPUTED_VALUE"""),"")</f>
        <v/>
      </c>
      <c r="AF54" s="119" t="str">
        <f ca="1">IFERROR(__xludf.DUMMYFUNCTION("""COMPUTED_VALUE"""),"")</f>
        <v/>
      </c>
      <c r="AG54" s="119" t="str">
        <f ca="1">IFERROR(__xludf.DUMMYFUNCTION("""COMPUTED_VALUE"""),"")</f>
        <v/>
      </c>
      <c r="AH54" s="119" t="str">
        <f ca="1">IFERROR(__xludf.DUMMYFUNCTION("""COMPUTED_VALUE"""),"")</f>
        <v/>
      </c>
      <c r="AI54" s="119" t="str">
        <f ca="1">IFERROR(__xludf.DUMMYFUNCTION("""COMPUTED_VALUE"""),"")</f>
        <v/>
      </c>
      <c r="AJ54" s="119" t="str">
        <f ca="1">IFERROR(__xludf.DUMMYFUNCTION("""COMPUTED_VALUE"""),"")</f>
        <v/>
      </c>
      <c r="AK54" s="119" t="str">
        <f ca="1">IFERROR(__xludf.DUMMYFUNCTION("""COMPUTED_VALUE"""),"")</f>
        <v/>
      </c>
      <c r="AL54" s="119" t="str">
        <f ca="1">IFERROR(__xludf.DUMMYFUNCTION("""COMPUTED_VALUE"""),"")</f>
        <v/>
      </c>
      <c r="AM54" s="119" t="str">
        <f ca="1">IFERROR(__xludf.DUMMYFUNCTION("""COMPUTED_VALUE"""),"")</f>
        <v/>
      </c>
      <c r="AN54" s="119" t="str">
        <f ca="1">IFERROR(__xludf.DUMMYFUNCTION("""COMPUTED_VALUE"""),"")</f>
        <v/>
      </c>
      <c r="AO54" s="119" t="str">
        <f ca="1">IFERROR(__xludf.DUMMYFUNCTION("""COMPUTED_VALUE"""),"")</f>
        <v/>
      </c>
      <c r="AP54" s="119" t="str">
        <f ca="1">IFERROR(__xludf.DUMMYFUNCTION("""COMPUTED_VALUE"""),"")</f>
        <v/>
      </c>
      <c r="AQ54" s="119" t="str">
        <f ca="1">IFERROR(__xludf.DUMMYFUNCTION("""COMPUTED_VALUE"""),"")</f>
        <v/>
      </c>
      <c r="AR54" s="118" t="str">
        <f ca="1">IFERROR(__xludf.DUMMYFUNCTION("""COMPUTED_VALUE"""),"")</f>
        <v/>
      </c>
      <c r="AS54" s="119" t="str">
        <f ca="1">IFERROR(__xludf.DUMMYFUNCTION("""COMPUTED_VALUE"""),"")</f>
        <v/>
      </c>
      <c r="AT54" s="119" t="str">
        <f ca="1">IFERROR(__xludf.DUMMYFUNCTION("""COMPUTED_VALUE"""),"")</f>
        <v/>
      </c>
      <c r="AU54" s="119" t="str">
        <f ca="1">IFERROR(__xludf.DUMMYFUNCTION("""COMPUTED_VALUE"""),"")</f>
        <v/>
      </c>
      <c r="AV54" s="119" t="str">
        <f ca="1">IFERROR(__xludf.DUMMYFUNCTION("""COMPUTED_VALUE"""),"")</f>
        <v/>
      </c>
      <c r="AW54" s="119" t="str">
        <f ca="1">IFERROR(__xludf.DUMMYFUNCTION("""COMPUTED_VALUE"""),"")</f>
        <v/>
      </c>
      <c r="AX54" s="119" t="str">
        <f ca="1">IFERROR(__xludf.DUMMYFUNCTION("""COMPUTED_VALUE"""),"")</f>
        <v/>
      </c>
      <c r="AY54" s="119" t="str">
        <f ca="1">IFERROR(__xludf.DUMMYFUNCTION("""COMPUTED_VALUE"""),"")</f>
        <v/>
      </c>
      <c r="AZ54" s="119" t="str">
        <f ca="1">IFERROR(__xludf.DUMMYFUNCTION("""COMPUTED_VALUE"""),"")</f>
        <v/>
      </c>
      <c r="BA54" s="119" t="str">
        <f ca="1">IFERROR(__xludf.DUMMYFUNCTION("""COMPUTED_VALUE"""),"")</f>
        <v/>
      </c>
      <c r="BB54" s="119" t="str">
        <f ca="1">IFERROR(__xludf.DUMMYFUNCTION("""COMPUTED_VALUE"""),"")</f>
        <v/>
      </c>
      <c r="BC54" s="119" t="str">
        <f ca="1">IFERROR(__xludf.DUMMYFUNCTION("""COMPUTED_VALUE"""),"")</f>
        <v/>
      </c>
      <c r="BD54" s="119" t="str">
        <f ca="1">IFERROR(__xludf.DUMMYFUNCTION("""COMPUTED_VALUE"""),"")</f>
        <v/>
      </c>
      <c r="BE54" s="119" t="str">
        <f ca="1">IFERROR(__xludf.DUMMYFUNCTION("""COMPUTED_VALUE"""),"")</f>
        <v/>
      </c>
      <c r="BF54" s="119" t="str">
        <f ca="1">IFERROR(__xludf.DUMMYFUNCTION("""COMPUTED_VALUE"""),"")</f>
        <v/>
      </c>
      <c r="BG54" s="119" t="str">
        <f ca="1">IFERROR(__xludf.DUMMYFUNCTION("""COMPUTED_VALUE"""),"")</f>
        <v/>
      </c>
      <c r="BH54" s="119" t="str">
        <f ca="1">IFERROR(__xludf.DUMMYFUNCTION("""COMPUTED_VALUE"""),"")</f>
        <v/>
      </c>
      <c r="BI54" s="119" t="str">
        <f ca="1">IFERROR(__xludf.DUMMYFUNCTION("""COMPUTED_VALUE"""),"")</f>
        <v/>
      </c>
      <c r="BJ54" s="119" t="str">
        <f ca="1">IFERROR(__xludf.DUMMYFUNCTION("""COMPUTED_VALUE"""),"")</f>
        <v/>
      </c>
      <c r="BK54" s="119" t="str">
        <f ca="1">IFERROR(__xludf.DUMMYFUNCTION("""COMPUTED_VALUE"""),"")</f>
        <v/>
      </c>
      <c r="BL54" s="119" t="str">
        <f ca="1">IFERROR(__xludf.DUMMYFUNCTION("""COMPUTED_VALUE"""),"")</f>
        <v/>
      </c>
      <c r="BM54" s="119" t="str">
        <f ca="1">IFERROR(__xludf.DUMMYFUNCTION("""COMPUTED_VALUE"""),"")</f>
        <v/>
      </c>
      <c r="BN54" s="119" t="str">
        <f ca="1">IFERROR(__xludf.DUMMYFUNCTION("""COMPUTED_VALUE"""),"")</f>
        <v/>
      </c>
      <c r="BO54" s="119" t="str">
        <f ca="1">IFERROR(__xludf.DUMMYFUNCTION("""COMPUTED_VALUE"""),"")</f>
        <v/>
      </c>
      <c r="BP54" s="119" t="str">
        <f ca="1">IFERROR(__xludf.DUMMYFUNCTION("""COMPUTED_VALUE"""),"")</f>
        <v/>
      </c>
      <c r="BQ54" s="119" t="str">
        <f ca="1">IFERROR(__xludf.DUMMYFUNCTION("""COMPUTED_VALUE"""),"")</f>
        <v/>
      </c>
      <c r="BR54" s="119" t="str">
        <f ca="1">IFERROR(__xludf.DUMMYFUNCTION("""COMPUTED_VALUE"""),"")</f>
        <v/>
      </c>
      <c r="BS54" s="119" t="str">
        <f ca="1">IFERROR(__xludf.DUMMYFUNCTION("""COMPUTED_VALUE"""),"")</f>
        <v/>
      </c>
      <c r="BT54" s="119" t="str">
        <f ca="1">IFERROR(__xludf.DUMMYFUNCTION("""COMPUTED_VALUE"""),"")</f>
        <v/>
      </c>
      <c r="BU54" s="119" t="str">
        <f ca="1">IFERROR(__xludf.DUMMYFUNCTION("""COMPUTED_VALUE"""),"")</f>
        <v/>
      </c>
      <c r="BV54" s="119" t="str">
        <f ca="1">IFERROR(__xludf.DUMMYFUNCTION("""COMPUTED_VALUE"""),"")</f>
        <v/>
      </c>
      <c r="BW54" s="119" t="str">
        <f ca="1">IFERROR(__xludf.DUMMYFUNCTION("""COMPUTED_VALUE"""),"")</f>
        <v/>
      </c>
      <c r="BX54" s="119" t="str">
        <f ca="1">IFERROR(__xludf.DUMMYFUNCTION("""COMPUTED_VALUE"""),"")</f>
        <v/>
      </c>
      <c r="BY54" s="119" t="str">
        <f ca="1">IFERROR(__xludf.DUMMYFUNCTION("""COMPUTED_VALUE"""),"")</f>
        <v/>
      </c>
      <c r="BZ54" s="119" t="str">
        <f ca="1">IFERROR(__xludf.DUMMYFUNCTION("""COMPUTED_VALUE"""),"")</f>
        <v/>
      </c>
      <c r="CA54" s="119" t="str">
        <f ca="1">IFERROR(__xludf.DUMMYFUNCTION("""COMPUTED_VALUE"""),"")</f>
        <v/>
      </c>
      <c r="CB54" s="119" t="str">
        <f ca="1">IFERROR(__xludf.DUMMYFUNCTION("""COMPUTED_VALUE"""),"")</f>
        <v/>
      </c>
      <c r="CC54" s="119" t="str">
        <f ca="1">IFERROR(__xludf.DUMMYFUNCTION("""COMPUTED_VALUE"""),"")</f>
        <v/>
      </c>
      <c r="CD54" s="119" t="str">
        <f ca="1">IFERROR(__xludf.DUMMYFUNCTION("""COMPUTED_VALUE"""),"")</f>
        <v/>
      </c>
      <c r="CE54" s="119" t="str">
        <f ca="1">IFERROR(__xludf.DUMMYFUNCTION("""COMPUTED_VALUE"""),"")</f>
        <v/>
      </c>
      <c r="CF54" s="119" t="str">
        <f ca="1">IFERROR(__xludf.DUMMYFUNCTION("""COMPUTED_VALUE"""),"")</f>
        <v/>
      </c>
      <c r="CG54" s="119" t="str">
        <f ca="1">IFERROR(__xludf.DUMMYFUNCTION("""COMPUTED_VALUE"""),"")</f>
        <v/>
      </c>
      <c r="CH54" s="119" t="str">
        <f ca="1">IFERROR(__xludf.DUMMYFUNCTION("""COMPUTED_VALUE"""),"")</f>
        <v/>
      </c>
      <c r="CI54" s="119" t="str">
        <f ca="1">IFERROR(__xludf.DUMMYFUNCTION("""COMPUTED_VALUE"""),"")</f>
        <v/>
      </c>
      <c r="CJ54" s="119" t="str">
        <f ca="1">IFERROR(__xludf.DUMMYFUNCTION("""COMPUTED_VALUE"""),"")</f>
        <v/>
      </c>
      <c r="CK54" s="119" t="str">
        <f ca="1">IFERROR(__xludf.DUMMYFUNCTION("""COMPUTED_VALUE"""),"")</f>
        <v/>
      </c>
      <c r="CL54" s="119" t="str">
        <f ca="1">IFERROR(__xludf.DUMMYFUNCTION("""COMPUTED_VALUE"""),"")</f>
        <v/>
      </c>
      <c r="CM54" s="119" t="str">
        <f ca="1">IFERROR(__xludf.DUMMYFUNCTION("""COMPUTED_VALUE"""),"")</f>
        <v/>
      </c>
      <c r="CN54" s="119" t="str">
        <f ca="1">IFERROR(__xludf.DUMMYFUNCTION("""COMPUTED_VALUE"""),"")</f>
        <v/>
      </c>
      <c r="CO54" s="119" t="str">
        <f ca="1">IFERROR(__xludf.DUMMYFUNCTION("""COMPUTED_VALUE"""),"")</f>
        <v/>
      </c>
      <c r="CP54" s="119" t="str">
        <f ca="1">IFERROR(__xludf.DUMMYFUNCTION("""COMPUTED_VALUE"""),"")</f>
        <v/>
      </c>
      <c r="CQ54" s="119" t="str">
        <f ca="1">IFERROR(__xludf.DUMMYFUNCTION("""COMPUTED_VALUE"""),"")</f>
        <v/>
      </c>
      <c r="CR54" s="119" t="str">
        <f ca="1">IFERROR(__xludf.DUMMYFUNCTION("""COMPUTED_VALUE"""),"")</f>
        <v/>
      </c>
      <c r="CS54" s="119" t="str">
        <f ca="1">IFERROR(__xludf.DUMMYFUNCTION("""COMPUTED_VALUE"""),"")</f>
        <v/>
      </c>
      <c r="CT54" s="119" t="str">
        <f ca="1">IFERROR(__xludf.DUMMYFUNCTION("""COMPUTED_VALUE"""),"")</f>
        <v/>
      </c>
      <c r="CU54" s="119" t="str">
        <f ca="1">IFERROR(__xludf.DUMMYFUNCTION("""COMPUTED_VALUE"""),"")</f>
        <v/>
      </c>
      <c r="CV54" s="119" t="str">
        <f ca="1">IFERROR(__xludf.DUMMYFUNCTION("""COMPUTED_VALUE"""),"")</f>
        <v/>
      </c>
      <c r="CW54" s="119" t="str">
        <f ca="1">IFERROR(__xludf.DUMMYFUNCTION("""COMPUTED_VALUE"""),"")</f>
        <v/>
      </c>
      <c r="CX54" s="119" t="str">
        <f ca="1">IFERROR(__xludf.DUMMYFUNCTION("""COMPUTED_VALUE"""),"")</f>
        <v/>
      </c>
      <c r="CY54" s="119" t="str">
        <f ca="1">IFERROR(__xludf.DUMMYFUNCTION("""COMPUTED_VALUE"""),"")</f>
        <v/>
      </c>
      <c r="CZ54" s="119" t="str">
        <f ca="1">IFERROR(__xludf.DUMMYFUNCTION("""COMPUTED_VALUE"""),"")</f>
        <v/>
      </c>
      <c r="DA54" s="119" t="str">
        <f ca="1">IFERROR(__xludf.DUMMYFUNCTION("""COMPUTED_VALUE"""),"")</f>
        <v/>
      </c>
      <c r="DB54" s="119" t="str">
        <f ca="1">IFERROR(__xludf.DUMMYFUNCTION("""COMPUTED_VALUE"""),"")</f>
        <v/>
      </c>
      <c r="DC54" s="119" t="str">
        <f ca="1">IFERROR(__xludf.DUMMYFUNCTION("""COMPUTED_VALUE"""),"")</f>
        <v/>
      </c>
      <c r="DD54" s="119" t="str">
        <f ca="1">IFERROR(__xludf.DUMMYFUNCTION("""COMPUTED_VALUE"""),"")</f>
        <v/>
      </c>
      <c r="DE54" s="119" t="str">
        <f ca="1">IFERROR(__xludf.DUMMYFUNCTION("""COMPUTED_VALUE"""),"")</f>
        <v/>
      </c>
      <c r="DF54" s="119" t="str">
        <f ca="1">IFERROR(__xludf.DUMMYFUNCTION("""COMPUTED_VALUE"""),"")</f>
        <v/>
      </c>
      <c r="DG54" s="119" t="str">
        <f ca="1">IFERROR(__xludf.DUMMYFUNCTION("""COMPUTED_VALUE"""),"")</f>
        <v/>
      </c>
      <c r="DH54" s="119" t="str">
        <f ca="1">IFERROR(__xludf.DUMMYFUNCTION("""COMPUTED_VALUE"""),"")</f>
        <v/>
      </c>
      <c r="DI54" s="119" t="str">
        <f ca="1">IFERROR(__xludf.DUMMYFUNCTION("""COMPUTED_VALUE"""),"")</f>
        <v/>
      </c>
      <c r="DJ54" s="119" t="str">
        <f ca="1">IFERROR(__xludf.DUMMYFUNCTION("""COMPUTED_VALUE"""),"")</f>
        <v/>
      </c>
      <c r="DK54" s="119" t="str">
        <f ca="1">IFERROR(__xludf.DUMMYFUNCTION("""COMPUTED_VALUE"""),"")</f>
        <v/>
      </c>
      <c r="DL54" s="119" t="str">
        <f ca="1">IFERROR(__xludf.DUMMYFUNCTION("""COMPUTED_VALUE"""),"")</f>
        <v/>
      </c>
      <c r="DM54" s="119" t="str">
        <f ca="1">IFERROR(__xludf.DUMMYFUNCTION("""COMPUTED_VALUE"""),"")</f>
        <v/>
      </c>
      <c r="DN54" s="119" t="str">
        <f ca="1">IFERROR(__xludf.DUMMYFUNCTION("""COMPUTED_VALUE"""),"")</f>
        <v/>
      </c>
      <c r="DO54" s="119" t="str">
        <f ca="1">IFERROR(__xludf.DUMMYFUNCTION("""COMPUTED_VALUE"""),"")</f>
        <v/>
      </c>
      <c r="DP54" s="119" t="str">
        <f ca="1">IFERROR(__xludf.DUMMYFUNCTION("""COMPUTED_VALUE"""),"")</f>
        <v/>
      </c>
      <c r="DQ54" s="119" t="str">
        <f ca="1">IFERROR(__xludf.DUMMYFUNCTION("""COMPUTED_VALUE"""),"")</f>
        <v/>
      </c>
      <c r="DR54" s="119" t="str">
        <f ca="1">IFERROR(__xludf.DUMMYFUNCTION("""COMPUTED_VALUE"""),"")</f>
        <v/>
      </c>
      <c r="DS54" s="119" t="str">
        <f ca="1">IFERROR(__xludf.DUMMYFUNCTION("""COMPUTED_VALUE"""),"")</f>
        <v/>
      </c>
      <c r="DT54" s="119" t="str">
        <f ca="1">IFERROR(__xludf.DUMMYFUNCTION("""COMPUTED_VALUE"""),"")</f>
        <v/>
      </c>
      <c r="DU54" s="119" t="str">
        <f ca="1">IFERROR(__xludf.DUMMYFUNCTION("""COMPUTED_VALUE"""),"")</f>
        <v/>
      </c>
      <c r="DV54" s="119" t="str">
        <f ca="1">IFERROR(__xludf.DUMMYFUNCTION("""COMPUTED_VALUE"""),"")</f>
        <v/>
      </c>
      <c r="DW54" s="119" t="str">
        <f ca="1">IFERROR(__xludf.DUMMYFUNCTION("""COMPUTED_VALUE"""),"")</f>
        <v/>
      </c>
      <c r="DX54" s="119" t="str">
        <f ca="1">IFERROR(__xludf.DUMMYFUNCTION("""COMPUTED_VALUE"""),"")</f>
        <v/>
      </c>
      <c r="DY54" s="119" t="str">
        <f ca="1">IFERROR(__xludf.DUMMYFUNCTION("""COMPUTED_VALUE"""),"")</f>
        <v/>
      </c>
      <c r="DZ54" s="119" t="str">
        <f ca="1">IFERROR(__xludf.DUMMYFUNCTION("""COMPUTED_VALUE"""),"")</f>
        <v/>
      </c>
      <c r="EA54" s="119" t="str">
        <f ca="1">IFERROR(__xludf.DUMMYFUNCTION("""COMPUTED_VALUE"""),"")</f>
        <v/>
      </c>
      <c r="EB54" s="119" t="str">
        <f ca="1">IFERROR(__xludf.DUMMYFUNCTION("""COMPUTED_VALUE"""),"")</f>
        <v/>
      </c>
      <c r="EC54" s="119" t="str">
        <f ca="1">IFERROR(__xludf.DUMMYFUNCTION("""COMPUTED_VALUE"""),"")</f>
        <v/>
      </c>
      <c r="ED54" s="119" t="str">
        <f ca="1">IFERROR(__xludf.DUMMYFUNCTION("""COMPUTED_VALUE"""),"")</f>
        <v/>
      </c>
      <c r="EE54" s="119" t="str">
        <f ca="1">IFERROR(__xludf.DUMMYFUNCTION("""COMPUTED_VALUE"""),"")</f>
        <v/>
      </c>
      <c r="EF54" s="119" t="str">
        <f ca="1">IFERROR(__xludf.DUMMYFUNCTION("""COMPUTED_VALUE"""),"")</f>
        <v/>
      </c>
      <c r="EG54" s="119" t="str">
        <f ca="1">IFERROR(__xludf.DUMMYFUNCTION("""COMPUTED_VALUE"""),"")</f>
        <v/>
      </c>
      <c r="EH54" s="119" t="str">
        <f ca="1">IFERROR(__xludf.DUMMYFUNCTION("""COMPUTED_VALUE"""),"")</f>
        <v/>
      </c>
      <c r="EI54" s="119" t="str">
        <f ca="1">IFERROR(__xludf.DUMMYFUNCTION("""COMPUTED_VALUE"""),"")</f>
        <v/>
      </c>
      <c r="EJ54" s="119" t="str">
        <f ca="1">IFERROR(__xludf.DUMMYFUNCTION("""COMPUTED_VALUE"""),"")</f>
        <v/>
      </c>
      <c r="EK54" s="119" t="str">
        <f ca="1">IFERROR(__xludf.DUMMYFUNCTION("""COMPUTED_VALUE"""),"")</f>
        <v/>
      </c>
      <c r="EL54" s="119" t="str">
        <f ca="1">IFERROR(__xludf.DUMMYFUNCTION("""COMPUTED_VALUE"""),"")</f>
        <v/>
      </c>
      <c r="EM54" s="119" t="str">
        <f ca="1">IFERROR(__xludf.DUMMYFUNCTION("""COMPUTED_VALUE"""),"")</f>
        <v/>
      </c>
      <c r="EN54" s="119" t="str">
        <f ca="1">IFERROR(__xludf.DUMMYFUNCTION("""COMPUTED_VALUE"""),"")</f>
        <v/>
      </c>
      <c r="EO54" s="119" t="str">
        <f ca="1">IFERROR(__xludf.DUMMYFUNCTION("""COMPUTED_VALUE"""),"")</f>
        <v/>
      </c>
      <c r="EP54" s="119" t="str">
        <f ca="1">IFERROR(__xludf.DUMMYFUNCTION("""COMPUTED_VALUE"""),"")</f>
        <v/>
      </c>
      <c r="EQ54" s="119" t="str">
        <f ca="1">IFERROR(__xludf.DUMMYFUNCTION("""COMPUTED_VALUE"""),"")</f>
        <v/>
      </c>
      <c r="ER54" s="119" t="str">
        <f ca="1">IFERROR(__xludf.DUMMYFUNCTION("""COMPUTED_VALUE"""),"")</f>
        <v/>
      </c>
      <c r="ES54" s="119" t="str">
        <f ca="1">IFERROR(__xludf.DUMMYFUNCTION("""COMPUTED_VALUE"""),"")</f>
        <v/>
      </c>
      <c r="ET54" s="119" t="str">
        <f ca="1">IFERROR(__xludf.DUMMYFUNCTION("""COMPUTED_VALUE"""),"")</f>
        <v/>
      </c>
      <c r="EU54" s="119" t="str">
        <f ca="1">IFERROR(__xludf.DUMMYFUNCTION("""COMPUTED_VALUE"""),"")</f>
        <v/>
      </c>
      <c r="EV54" s="119" t="str">
        <f ca="1">IFERROR(__xludf.DUMMYFUNCTION("""COMPUTED_VALUE"""),"")</f>
        <v/>
      </c>
      <c r="EW54" s="119" t="str">
        <f ca="1">IFERROR(__xludf.DUMMYFUNCTION("""COMPUTED_VALUE"""),"")</f>
        <v/>
      </c>
      <c r="EX54" s="117" t="str">
        <f ca="1">IFERROR(__xludf.DUMMYFUNCTION("""COMPUTED_VALUE"""),"")</f>
        <v/>
      </c>
      <c r="EY54" s="117" t="str">
        <f ca="1">IFERROR(__xludf.DUMMYFUNCTION("""COMPUTED_VALUE"""),"")</f>
        <v/>
      </c>
      <c r="EZ54" s="117" t="str">
        <f ca="1">IFERROR(__xludf.DUMMYFUNCTION("""COMPUTED_VALUE"""),"")</f>
        <v/>
      </c>
      <c r="FA54" s="117" t="str">
        <f ca="1">IFERROR(__xludf.DUMMYFUNCTION("""COMPUTED_VALUE"""),"")</f>
        <v/>
      </c>
      <c r="FB54" s="117" t="str">
        <f ca="1">IFERROR(__xludf.DUMMYFUNCTION("""COMPUTED_VALUE"""),"")</f>
        <v/>
      </c>
      <c r="FC54" s="117" t="str">
        <f ca="1">IFERROR(__xludf.DUMMYFUNCTION("""COMPUTED_VALUE"""),"")</f>
        <v/>
      </c>
      <c r="FD54" s="117" t="str">
        <f ca="1">IFERROR(__xludf.DUMMYFUNCTION("""COMPUTED_VALUE"""),"")</f>
        <v/>
      </c>
      <c r="FE54" s="117" t="str">
        <f ca="1">IFERROR(__xludf.DUMMYFUNCTION("""COMPUTED_VALUE"""),"")</f>
        <v/>
      </c>
      <c r="FF54" s="117" t="str">
        <f ca="1">IFERROR(__xludf.DUMMYFUNCTION("""COMPUTED_VALUE"""),"")</f>
        <v/>
      </c>
      <c r="FG54" s="117" t="str">
        <f ca="1">IFERROR(__xludf.DUMMYFUNCTION("""COMPUTED_VALUE"""),"")</f>
        <v/>
      </c>
      <c r="FH54" s="117" t="str">
        <f ca="1">IFERROR(__xludf.DUMMYFUNCTION("""COMPUTED_VALUE"""),"")</f>
        <v/>
      </c>
      <c r="FI54" s="117" t="str">
        <f ca="1">IFERROR(__xludf.DUMMYFUNCTION("""COMPUTED_VALUE"""),"")</f>
        <v/>
      </c>
      <c r="FJ54" s="117" t="str">
        <f ca="1">IFERROR(__xludf.DUMMYFUNCTION("""COMPUTED_VALUE"""),"")</f>
        <v/>
      </c>
      <c r="FK54" s="117" t="str">
        <f ca="1">IFERROR(__xludf.DUMMYFUNCTION("""COMPUTED_VALUE"""),"")</f>
        <v/>
      </c>
      <c r="FL54" s="117" t="str">
        <f ca="1">IFERROR(__xludf.DUMMYFUNCTION("""COMPUTED_VALUE"""),"")</f>
        <v/>
      </c>
      <c r="FM54" s="117" t="str">
        <f ca="1">IFERROR(__xludf.DUMMYFUNCTION("""COMPUTED_VALUE"""),"")</f>
        <v/>
      </c>
      <c r="FN54" s="117" t="str">
        <f ca="1">IFERROR(__xludf.DUMMYFUNCTION("""COMPUTED_VALUE"""),"")</f>
        <v/>
      </c>
      <c r="FO54" s="117" t="str">
        <f ca="1">IFERROR(__xludf.DUMMYFUNCTION("""COMPUTED_VALUE"""),"")</f>
        <v/>
      </c>
    </row>
    <row r="55" spans="1:171" ht="15.75" customHeight="1" x14ac:dyDescent="0.15">
      <c r="A55" s="115" t="str">
        <f ca="1">IFERROR(__xludf.DUMMYFUNCTION("""COMPUTED_VALUE"""),"")</f>
        <v/>
      </c>
      <c r="B55" s="119" t="str">
        <f ca="1">IFERROR(__xludf.DUMMYFUNCTION("""COMPUTED_VALUE"""),"")</f>
        <v/>
      </c>
      <c r="C55" s="119" t="str">
        <f ca="1">IFERROR(__xludf.DUMMYFUNCTION("""COMPUTED_VALUE"""),"")</f>
        <v/>
      </c>
      <c r="D55" s="119" t="str">
        <f ca="1">IFERROR(__xludf.DUMMYFUNCTION("""COMPUTED_VALUE"""),"")</f>
        <v/>
      </c>
      <c r="E55" s="119" t="str">
        <f ca="1">IFERROR(__xludf.DUMMYFUNCTION("""COMPUTED_VALUE"""),"")</f>
        <v/>
      </c>
      <c r="F55" s="119" t="str">
        <f ca="1">IFERROR(__xludf.DUMMYFUNCTION("""COMPUTED_VALUE"""),"")</f>
        <v/>
      </c>
      <c r="G55" s="119" t="str">
        <f ca="1">IFERROR(__xludf.DUMMYFUNCTION("""COMPUTED_VALUE"""),"")</f>
        <v/>
      </c>
      <c r="H55" s="119" t="str">
        <f ca="1">IFERROR(__xludf.DUMMYFUNCTION("""COMPUTED_VALUE"""),"")</f>
        <v/>
      </c>
      <c r="I55" s="119" t="str">
        <f ca="1">IFERROR(__xludf.DUMMYFUNCTION("""COMPUTED_VALUE"""),"")</f>
        <v/>
      </c>
      <c r="J55" s="119" t="str">
        <f ca="1">IFERROR(__xludf.DUMMYFUNCTION("""COMPUTED_VALUE"""),"")</f>
        <v/>
      </c>
      <c r="K55" s="119" t="str">
        <f ca="1">IFERROR(__xludf.DUMMYFUNCTION("""COMPUTED_VALUE"""),"")</f>
        <v/>
      </c>
      <c r="L55" s="119" t="str">
        <f ca="1">IFERROR(__xludf.DUMMYFUNCTION("""COMPUTED_VALUE"""),"")</f>
        <v/>
      </c>
      <c r="M55" s="119" t="str">
        <f ca="1">IFERROR(__xludf.DUMMYFUNCTION("""COMPUTED_VALUE"""),"")</f>
        <v/>
      </c>
      <c r="N55" s="119" t="str">
        <f ca="1">IFERROR(__xludf.DUMMYFUNCTION("""COMPUTED_VALUE"""),"")</f>
        <v/>
      </c>
      <c r="O55" s="119" t="str">
        <f ca="1">IFERROR(__xludf.DUMMYFUNCTION("""COMPUTED_VALUE"""),"")</f>
        <v/>
      </c>
      <c r="P55" s="119" t="str">
        <f ca="1">IFERROR(__xludf.DUMMYFUNCTION("""COMPUTED_VALUE"""),"")</f>
        <v/>
      </c>
      <c r="Q55" s="119" t="str">
        <f ca="1">IFERROR(__xludf.DUMMYFUNCTION("""COMPUTED_VALUE"""),"")</f>
        <v/>
      </c>
      <c r="R55" s="119" t="str">
        <f ca="1">IFERROR(__xludf.DUMMYFUNCTION("""COMPUTED_VALUE"""),"")</f>
        <v/>
      </c>
      <c r="S55" s="119" t="str">
        <f ca="1">IFERROR(__xludf.DUMMYFUNCTION("""COMPUTED_VALUE"""),"")</f>
        <v/>
      </c>
      <c r="T55" s="119" t="str">
        <f ca="1">IFERROR(__xludf.DUMMYFUNCTION("""COMPUTED_VALUE"""),"")</f>
        <v/>
      </c>
      <c r="U55" s="119" t="str">
        <f ca="1">IFERROR(__xludf.DUMMYFUNCTION("""COMPUTED_VALUE"""),"")</f>
        <v/>
      </c>
      <c r="V55" s="119" t="str">
        <f ca="1">IFERROR(__xludf.DUMMYFUNCTION("""COMPUTED_VALUE"""),"")</f>
        <v/>
      </c>
      <c r="W55" s="119" t="str">
        <f ca="1">IFERROR(__xludf.DUMMYFUNCTION("""COMPUTED_VALUE"""),"")</f>
        <v/>
      </c>
      <c r="X55" s="119" t="str">
        <f ca="1">IFERROR(__xludf.DUMMYFUNCTION("""COMPUTED_VALUE"""),"")</f>
        <v/>
      </c>
      <c r="Y55" s="119" t="str">
        <f ca="1">IFERROR(__xludf.DUMMYFUNCTION("""COMPUTED_VALUE"""),"")</f>
        <v/>
      </c>
      <c r="Z55" s="119" t="str">
        <f ca="1">IFERROR(__xludf.DUMMYFUNCTION("""COMPUTED_VALUE"""),"")</f>
        <v/>
      </c>
      <c r="AA55" s="119" t="str">
        <f ca="1">IFERROR(__xludf.DUMMYFUNCTION("""COMPUTED_VALUE"""),"")</f>
        <v/>
      </c>
      <c r="AB55" s="119" t="str">
        <f ca="1">IFERROR(__xludf.DUMMYFUNCTION("""COMPUTED_VALUE"""),"")</f>
        <v/>
      </c>
      <c r="AC55" s="119" t="str">
        <f ca="1">IFERROR(__xludf.DUMMYFUNCTION("""COMPUTED_VALUE"""),"")</f>
        <v/>
      </c>
      <c r="AD55" s="119" t="str">
        <f ca="1">IFERROR(__xludf.DUMMYFUNCTION("""COMPUTED_VALUE"""),"")</f>
        <v/>
      </c>
      <c r="AE55" s="119" t="str">
        <f ca="1">IFERROR(__xludf.DUMMYFUNCTION("""COMPUTED_VALUE"""),"")</f>
        <v/>
      </c>
      <c r="AF55" s="119" t="str">
        <f ca="1">IFERROR(__xludf.DUMMYFUNCTION("""COMPUTED_VALUE"""),"")</f>
        <v/>
      </c>
      <c r="AG55" s="119" t="str">
        <f ca="1">IFERROR(__xludf.DUMMYFUNCTION("""COMPUTED_VALUE"""),"")</f>
        <v/>
      </c>
      <c r="AH55" s="119" t="str">
        <f ca="1">IFERROR(__xludf.DUMMYFUNCTION("""COMPUTED_VALUE"""),"")</f>
        <v/>
      </c>
      <c r="AI55" s="119" t="str">
        <f ca="1">IFERROR(__xludf.DUMMYFUNCTION("""COMPUTED_VALUE"""),"")</f>
        <v/>
      </c>
      <c r="AJ55" s="119" t="str">
        <f ca="1">IFERROR(__xludf.DUMMYFUNCTION("""COMPUTED_VALUE"""),"")</f>
        <v/>
      </c>
      <c r="AK55" s="119" t="str">
        <f ca="1">IFERROR(__xludf.DUMMYFUNCTION("""COMPUTED_VALUE"""),"")</f>
        <v/>
      </c>
      <c r="AL55" s="119" t="str">
        <f ca="1">IFERROR(__xludf.DUMMYFUNCTION("""COMPUTED_VALUE"""),"")</f>
        <v/>
      </c>
      <c r="AM55" s="119" t="str">
        <f ca="1">IFERROR(__xludf.DUMMYFUNCTION("""COMPUTED_VALUE"""),"")</f>
        <v/>
      </c>
      <c r="AN55" s="119" t="str">
        <f ca="1">IFERROR(__xludf.DUMMYFUNCTION("""COMPUTED_VALUE"""),"")</f>
        <v/>
      </c>
      <c r="AO55" s="119" t="str">
        <f ca="1">IFERROR(__xludf.DUMMYFUNCTION("""COMPUTED_VALUE"""),"")</f>
        <v/>
      </c>
      <c r="AP55" s="119" t="str">
        <f ca="1">IFERROR(__xludf.DUMMYFUNCTION("""COMPUTED_VALUE"""),"")</f>
        <v/>
      </c>
      <c r="AQ55" s="119" t="str">
        <f ca="1">IFERROR(__xludf.DUMMYFUNCTION("""COMPUTED_VALUE"""),"")</f>
        <v/>
      </c>
      <c r="AR55" s="118" t="str">
        <f ca="1">IFERROR(__xludf.DUMMYFUNCTION("""COMPUTED_VALUE"""),"")</f>
        <v/>
      </c>
      <c r="AS55" s="119" t="str">
        <f ca="1">IFERROR(__xludf.DUMMYFUNCTION("""COMPUTED_VALUE"""),"")</f>
        <v/>
      </c>
      <c r="AT55" s="119" t="str">
        <f ca="1">IFERROR(__xludf.DUMMYFUNCTION("""COMPUTED_VALUE"""),"")</f>
        <v/>
      </c>
      <c r="AU55" s="119" t="str">
        <f ca="1">IFERROR(__xludf.DUMMYFUNCTION("""COMPUTED_VALUE"""),"")</f>
        <v/>
      </c>
      <c r="AV55" s="119" t="str">
        <f ca="1">IFERROR(__xludf.DUMMYFUNCTION("""COMPUTED_VALUE"""),"")</f>
        <v/>
      </c>
      <c r="AW55" s="119" t="str">
        <f ca="1">IFERROR(__xludf.DUMMYFUNCTION("""COMPUTED_VALUE"""),"")</f>
        <v/>
      </c>
      <c r="AX55" s="119" t="str">
        <f ca="1">IFERROR(__xludf.DUMMYFUNCTION("""COMPUTED_VALUE"""),"")</f>
        <v/>
      </c>
      <c r="AY55" s="119" t="str">
        <f ca="1">IFERROR(__xludf.DUMMYFUNCTION("""COMPUTED_VALUE"""),"")</f>
        <v/>
      </c>
      <c r="AZ55" s="119" t="str">
        <f ca="1">IFERROR(__xludf.DUMMYFUNCTION("""COMPUTED_VALUE"""),"")</f>
        <v/>
      </c>
      <c r="BA55" s="119" t="str">
        <f ca="1">IFERROR(__xludf.DUMMYFUNCTION("""COMPUTED_VALUE"""),"")</f>
        <v/>
      </c>
      <c r="BB55" s="119" t="str">
        <f ca="1">IFERROR(__xludf.DUMMYFUNCTION("""COMPUTED_VALUE"""),"")</f>
        <v/>
      </c>
      <c r="BC55" s="119" t="str">
        <f ca="1">IFERROR(__xludf.DUMMYFUNCTION("""COMPUTED_VALUE"""),"")</f>
        <v/>
      </c>
      <c r="BD55" s="119" t="str">
        <f ca="1">IFERROR(__xludf.DUMMYFUNCTION("""COMPUTED_VALUE"""),"")</f>
        <v/>
      </c>
      <c r="BE55" s="119" t="str">
        <f ca="1">IFERROR(__xludf.DUMMYFUNCTION("""COMPUTED_VALUE"""),"")</f>
        <v/>
      </c>
      <c r="BF55" s="119" t="str">
        <f ca="1">IFERROR(__xludf.DUMMYFUNCTION("""COMPUTED_VALUE"""),"")</f>
        <v/>
      </c>
      <c r="BG55" s="119" t="str">
        <f ca="1">IFERROR(__xludf.DUMMYFUNCTION("""COMPUTED_VALUE"""),"")</f>
        <v/>
      </c>
      <c r="BH55" s="119" t="str">
        <f ca="1">IFERROR(__xludf.DUMMYFUNCTION("""COMPUTED_VALUE"""),"")</f>
        <v/>
      </c>
      <c r="BI55" s="119" t="str">
        <f ca="1">IFERROR(__xludf.DUMMYFUNCTION("""COMPUTED_VALUE"""),"")</f>
        <v/>
      </c>
      <c r="BJ55" s="119" t="str">
        <f ca="1">IFERROR(__xludf.DUMMYFUNCTION("""COMPUTED_VALUE"""),"")</f>
        <v/>
      </c>
      <c r="BK55" s="119" t="str">
        <f ca="1">IFERROR(__xludf.DUMMYFUNCTION("""COMPUTED_VALUE"""),"")</f>
        <v/>
      </c>
      <c r="BL55" s="119" t="str">
        <f ca="1">IFERROR(__xludf.DUMMYFUNCTION("""COMPUTED_VALUE"""),"")</f>
        <v/>
      </c>
      <c r="BM55" s="119" t="str">
        <f ca="1">IFERROR(__xludf.DUMMYFUNCTION("""COMPUTED_VALUE"""),"")</f>
        <v/>
      </c>
      <c r="BN55" s="119" t="str">
        <f ca="1">IFERROR(__xludf.DUMMYFUNCTION("""COMPUTED_VALUE"""),"")</f>
        <v/>
      </c>
      <c r="BO55" s="119" t="str">
        <f ca="1">IFERROR(__xludf.DUMMYFUNCTION("""COMPUTED_VALUE"""),"")</f>
        <v/>
      </c>
      <c r="BP55" s="119" t="str">
        <f ca="1">IFERROR(__xludf.DUMMYFUNCTION("""COMPUTED_VALUE"""),"")</f>
        <v/>
      </c>
      <c r="BQ55" s="119" t="str">
        <f ca="1">IFERROR(__xludf.DUMMYFUNCTION("""COMPUTED_VALUE"""),"")</f>
        <v/>
      </c>
      <c r="BR55" s="119" t="str">
        <f ca="1">IFERROR(__xludf.DUMMYFUNCTION("""COMPUTED_VALUE"""),"")</f>
        <v/>
      </c>
      <c r="BS55" s="119" t="str">
        <f ca="1">IFERROR(__xludf.DUMMYFUNCTION("""COMPUTED_VALUE"""),"")</f>
        <v/>
      </c>
      <c r="BT55" s="119" t="str">
        <f ca="1">IFERROR(__xludf.DUMMYFUNCTION("""COMPUTED_VALUE"""),"")</f>
        <v/>
      </c>
      <c r="BU55" s="119" t="str">
        <f ca="1">IFERROR(__xludf.DUMMYFUNCTION("""COMPUTED_VALUE"""),"")</f>
        <v/>
      </c>
      <c r="BV55" s="119" t="str">
        <f ca="1">IFERROR(__xludf.DUMMYFUNCTION("""COMPUTED_VALUE"""),"")</f>
        <v/>
      </c>
      <c r="BW55" s="119" t="str">
        <f ca="1">IFERROR(__xludf.DUMMYFUNCTION("""COMPUTED_VALUE"""),"")</f>
        <v/>
      </c>
      <c r="BX55" s="119" t="str">
        <f ca="1">IFERROR(__xludf.DUMMYFUNCTION("""COMPUTED_VALUE"""),"")</f>
        <v/>
      </c>
      <c r="BY55" s="119" t="str">
        <f ca="1">IFERROR(__xludf.DUMMYFUNCTION("""COMPUTED_VALUE"""),"")</f>
        <v/>
      </c>
      <c r="BZ55" s="119" t="str">
        <f ca="1">IFERROR(__xludf.DUMMYFUNCTION("""COMPUTED_VALUE"""),"")</f>
        <v/>
      </c>
      <c r="CA55" s="119" t="str">
        <f ca="1">IFERROR(__xludf.DUMMYFUNCTION("""COMPUTED_VALUE"""),"")</f>
        <v/>
      </c>
      <c r="CB55" s="119" t="str">
        <f ca="1">IFERROR(__xludf.DUMMYFUNCTION("""COMPUTED_VALUE"""),"")</f>
        <v/>
      </c>
      <c r="CC55" s="119" t="str">
        <f ca="1">IFERROR(__xludf.DUMMYFUNCTION("""COMPUTED_VALUE"""),"")</f>
        <v/>
      </c>
      <c r="CD55" s="119" t="str">
        <f ca="1">IFERROR(__xludf.DUMMYFUNCTION("""COMPUTED_VALUE"""),"")</f>
        <v/>
      </c>
      <c r="CE55" s="119" t="str">
        <f ca="1">IFERROR(__xludf.DUMMYFUNCTION("""COMPUTED_VALUE"""),"")</f>
        <v/>
      </c>
      <c r="CF55" s="119" t="str">
        <f ca="1">IFERROR(__xludf.DUMMYFUNCTION("""COMPUTED_VALUE"""),"")</f>
        <v/>
      </c>
      <c r="CG55" s="119" t="str">
        <f ca="1">IFERROR(__xludf.DUMMYFUNCTION("""COMPUTED_VALUE"""),"")</f>
        <v/>
      </c>
      <c r="CH55" s="119" t="str">
        <f ca="1">IFERROR(__xludf.DUMMYFUNCTION("""COMPUTED_VALUE"""),"")</f>
        <v/>
      </c>
      <c r="CI55" s="119" t="str">
        <f ca="1">IFERROR(__xludf.DUMMYFUNCTION("""COMPUTED_VALUE"""),"")</f>
        <v/>
      </c>
      <c r="CJ55" s="119" t="str">
        <f ca="1">IFERROR(__xludf.DUMMYFUNCTION("""COMPUTED_VALUE"""),"")</f>
        <v/>
      </c>
      <c r="CK55" s="119" t="str">
        <f ca="1">IFERROR(__xludf.DUMMYFUNCTION("""COMPUTED_VALUE"""),"")</f>
        <v/>
      </c>
      <c r="CL55" s="119" t="str">
        <f ca="1">IFERROR(__xludf.DUMMYFUNCTION("""COMPUTED_VALUE"""),"")</f>
        <v/>
      </c>
      <c r="CM55" s="119" t="str">
        <f ca="1">IFERROR(__xludf.DUMMYFUNCTION("""COMPUTED_VALUE"""),"")</f>
        <v/>
      </c>
      <c r="CN55" s="119" t="str">
        <f ca="1">IFERROR(__xludf.DUMMYFUNCTION("""COMPUTED_VALUE"""),"")</f>
        <v/>
      </c>
      <c r="CO55" s="119" t="str">
        <f ca="1">IFERROR(__xludf.DUMMYFUNCTION("""COMPUTED_VALUE"""),"")</f>
        <v/>
      </c>
      <c r="CP55" s="119" t="str">
        <f ca="1">IFERROR(__xludf.DUMMYFUNCTION("""COMPUTED_VALUE"""),"")</f>
        <v/>
      </c>
      <c r="CQ55" s="119" t="str">
        <f ca="1">IFERROR(__xludf.DUMMYFUNCTION("""COMPUTED_VALUE"""),"")</f>
        <v/>
      </c>
      <c r="CR55" s="119" t="str">
        <f ca="1">IFERROR(__xludf.DUMMYFUNCTION("""COMPUTED_VALUE"""),"")</f>
        <v/>
      </c>
      <c r="CS55" s="119" t="str">
        <f ca="1">IFERROR(__xludf.DUMMYFUNCTION("""COMPUTED_VALUE"""),"")</f>
        <v/>
      </c>
      <c r="CT55" s="119" t="str">
        <f ca="1">IFERROR(__xludf.DUMMYFUNCTION("""COMPUTED_VALUE"""),"")</f>
        <v/>
      </c>
      <c r="CU55" s="119" t="str">
        <f ca="1">IFERROR(__xludf.DUMMYFUNCTION("""COMPUTED_VALUE"""),"")</f>
        <v/>
      </c>
      <c r="CV55" s="119" t="str">
        <f ca="1">IFERROR(__xludf.DUMMYFUNCTION("""COMPUTED_VALUE"""),"")</f>
        <v/>
      </c>
      <c r="CW55" s="119" t="str">
        <f ca="1">IFERROR(__xludf.DUMMYFUNCTION("""COMPUTED_VALUE"""),"")</f>
        <v/>
      </c>
      <c r="CX55" s="119" t="str">
        <f ca="1">IFERROR(__xludf.DUMMYFUNCTION("""COMPUTED_VALUE"""),"")</f>
        <v/>
      </c>
      <c r="CY55" s="119" t="str">
        <f ca="1">IFERROR(__xludf.DUMMYFUNCTION("""COMPUTED_VALUE"""),"")</f>
        <v/>
      </c>
      <c r="CZ55" s="119" t="str">
        <f ca="1">IFERROR(__xludf.DUMMYFUNCTION("""COMPUTED_VALUE"""),"")</f>
        <v/>
      </c>
      <c r="DA55" s="119" t="str">
        <f ca="1">IFERROR(__xludf.DUMMYFUNCTION("""COMPUTED_VALUE"""),"")</f>
        <v/>
      </c>
      <c r="DB55" s="119" t="str">
        <f ca="1">IFERROR(__xludf.DUMMYFUNCTION("""COMPUTED_VALUE"""),"")</f>
        <v/>
      </c>
      <c r="DC55" s="119" t="str">
        <f ca="1">IFERROR(__xludf.DUMMYFUNCTION("""COMPUTED_VALUE"""),"")</f>
        <v/>
      </c>
      <c r="DD55" s="119" t="str">
        <f ca="1">IFERROR(__xludf.DUMMYFUNCTION("""COMPUTED_VALUE"""),"")</f>
        <v/>
      </c>
      <c r="DE55" s="119" t="str">
        <f ca="1">IFERROR(__xludf.DUMMYFUNCTION("""COMPUTED_VALUE"""),"")</f>
        <v/>
      </c>
      <c r="DF55" s="119" t="str">
        <f ca="1">IFERROR(__xludf.DUMMYFUNCTION("""COMPUTED_VALUE"""),"")</f>
        <v/>
      </c>
      <c r="DG55" s="119" t="str">
        <f ca="1">IFERROR(__xludf.DUMMYFUNCTION("""COMPUTED_VALUE"""),"")</f>
        <v/>
      </c>
      <c r="DH55" s="119" t="str">
        <f ca="1">IFERROR(__xludf.DUMMYFUNCTION("""COMPUTED_VALUE"""),"")</f>
        <v/>
      </c>
      <c r="DI55" s="119" t="str">
        <f ca="1">IFERROR(__xludf.DUMMYFUNCTION("""COMPUTED_VALUE"""),"")</f>
        <v/>
      </c>
      <c r="DJ55" s="119" t="str">
        <f ca="1">IFERROR(__xludf.DUMMYFUNCTION("""COMPUTED_VALUE"""),"")</f>
        <v/>
      </c>
      <c r="DK55" s="119" t="str">
        <f ca="1">IFERROR(__xludf.DUMMYFUNCTION("""COMPUTED_VALUE"""),"")</f>
        <v/>
      </c>
      <c r="DL55" s="119" t="str">
        <f ca="1">IFERROR(__xludf.DUMMYFUNCTION("""COMPUTED_VALUE"""),"")</f>
        <v/>
      </c>
      <c r="DM55" s="119" t="str">
        <f ca="1">IFERROR(__xludf.DUMMYFUNCTION("""COMPUTED_VALUE"""),"")</f>
        <v/>
      </c>
      <c r="DN55" s="119" t="str">
        <f ca="1">IFERROR(__xludf.DUMMYFUNCTION("""COMPUTED_VALUE"""),"")</f>
        <v/>
      </c>
      <c r="DO55" s="119" t="str">
        <f ca="1">IFERROR(__xludf.DUMMYFUNCTION("""COMPUTED_VALUE"""),"")</f>
        <v/>
      </c>
      <c r="DP55" s="119" t="str">
        <f ca="1">IFERROR(__xludf.DUMMYFUNCTION("""COMPUTED_VALUE"""),"")</f>
        <v/>
      </c>
      <c r="DQ55" s="119" t="str">
        <f ca="1">IFERROR(__xludf.DUMMYFUNCTION("""COMPUTED_VALUE"""),"")</f>
        <v/>
      </c>
      <c r="DR55" s="119" t="str">
        <f ca="1">IFERROR(__xludf.DUMMYFUNCTION("""COMPUTED_VALUE"""),"")</f>
        <v/>
      </c>
      <c r="DS55" s="119" t="str">
        <f ca="1">IFERROR(__xludf.DUMMYFUNCTION("""COMPUTED_VALUE"""),"")</f>
        <v/>
      </c>
      <c r="DT55" s="119" t="str">
        <f ca="1">IFERROR(__xludf.DUMMYFUNCTION("""COMPUTED_VALUE"""),"")</f>
        <v/>
      </c>
      <c r="DU55" s="119" t="str">
        <f ca="1">IFERROR(__xludf.DUMMYFUNCTION("""COMPUTED_VALUE"""),"")</f>
        <v/>
      </c>
      <c r="DV55" s="119" t="str">
        <f ca="1">IFERROR(__xludf.DUMMYFUNCTION("""COMPUTED_VALUE"""),"")</f>
        <v/>
      </c>
      <c r="DW55" s="119" t="str">
        <f ca="1">IFERROR(__xludf.DUMMYFUNCTION("""COMPUTED_VALUE"""),"")</f>
        <v/>
      </c>
      <c r="DX55" s="119" t="str">
        <f ca="1">IFERROR(__xludf.DUMMYFUNCTION("""COMPUTED_VALUE"""),"")</f>
        <v/>
      </c>
      <c r="DY55" s="119" t="str">
        <f ca="1">IFERROR(__xludf.DUMMYFUNCTION("""COMPUTED_VALUE"""),"")</f>
        <v/>
      </c>
      <c r="DZ55" s="119" t="str">
        <f ca="1">IFERROR(__xludf.DUMMYFUNCTION("""COMPUTED_VALUE"""),"")</f>
        <v/>
      </c>
      <c r="EA55" s="119" t="str">
        <f ca="1">IFERROR(__xludf.DUMMYFUNCTION("""COMPUTED_VALUE"""),"")</f>
        <v/>
      </c>
      <c r="EB55" s="119" t="str">
        <f ca="1">IFERROR(__xludf.DUMMYFUNCTION("""COMPUTED_VALUE"""),"")</f>
        <v/>
      </c>
      <c r="EC55" s="119" t="str">
        <f ca="1">IFERROR(__xludf.DUMMYFUNCTION("""COMPUTED_VALUE"""),"")</f>
        <v/>
      </c>
      <c r="ED55" s="119" t="str">
        <f ca="1">IFERROR(__xludf.DUMMYFUNCTION("""COMPUTED_VALUE"""),"")</f>
        <v/>
      </c>
      <c r="EE55" s="119" t="str">
        <f ca="1">IFERROR(__xludf.DUMMYFUNCTION("""COMPUTED_VALUE"""),"")</f>
        <v/>
      </c>
      <c r="EF55" s="119" t="str">
        <f ca="1">IFERROR(__xludf.DUMMYFUNCTION("""COMPUTED_VALUE"""),"")</f>
        <v/>
      </c>
      <c r="EG55" s="119" t="str">
        <f ca="1">IFERROR(__xludf.DUMMYFUNCTION("""COMPUTED_VALUE"""),"")</f>
        <v/>
      </c>
      <c r="EH55" s="119" t="str">
        <f ca="1">IFERROR(__xludf.DUMMYFUNCTION("""COMPUTED_VALUE"""),"")</f>
        <v/>
      </c>
      <c r="EI55" s="119" t="str">
        <f ca="1">IFERROR(__xludf.DUMMYFUNCTION("""COMPUTED_VALUE"""),"")</f>
        <v/>
      </c>
      <c r="EJ55" s="119" t="str">
        <f ca="1">IFERROR(__xludf.DUMMYFUNCTION("""COMPUTED_VALUE"""),"")</f>
        <v/>
      </c>
      <c r="EK55" s="119" t="str">
        <f ca="1">IFERROR(__xludf.DUMMYFUNCTION("""COMPUTED_VALUE"""),"")</f>
        <v/>
      </c>
      <c r="EL55" s="119" t="str">
        <f ca="1">IFERROR(__xludf.DUMMYFUNCTION("""COMPUTED_VALUE"""),"")</f>
        <v/>
      </c>
      <c r="EM55" s="119" t="str">
        <f ca="1">IFERROR(__xludf.DUMMYFUNCTION("""COMPUTED_VALUE"""),"")</f>
        <v/>
      </c>
      <c r="EN55" s="119" t="str">
        <f ca="1">IFERROR(__xludf.DUMMYFUNCTION("""COMPUTED_VALUE"""),"")</f>
        <v/>
      </c>
      <c r="EO55" s="119" t="str">
        <f ca="1">IFERROR(__xludf.DUMMYFUNCTION("""COMPUTED_VALUE"""),"")</f>
        <v/>
      </c>
      <c r="EP55" s="119" t="str">
        <f ca="1">IFERROR(__xludf.DUMMYFUNCTION("""COMPUTED_VALUE"""),"")</f>
        <v/>
      </c>
      <c r="EQ55" s="119" t="str">
        <f ca="1">IFERROR(__xludf.DUMMYFUNCTION("""COMPUTED_VALUE"""),"")</f>
        <v/>
      </c>
      <c r="ER55" s="119" t="str">
        <f ca="1">IFERROR(__xludf.DUMMYFUNCTION("""COMPUTED_VALUE"""),"")</f>
        <v/>
      </c>
      <c r="ES55" s="119" t="str">
        <f ca="1">IFERROR(__xludf.DUMMYFUNCTION("""COMPUTED_VALUE"""),"")</f>
        <v/>
      </c>
      <c r="ET55" s="119" t="str">
        <f ca="1">IFERROR(__xludf.DUMMYFUNCTION("""COMPUTED_VALUE"""),"")</f>
        <v/>
      </c>
      <c r="EU55" s="119" t="str">
        <f ca="1">IFERROR(__xludf.DUMMYFUNCTION("""COMPUTED_VALUE"""),"")</f>
        <v/>
      </c>
      <c r="EV55" s="119" t="str">
        <f ca="1">IFERROR(__xludf.DUMMYFUNCTION("""COMPUTED_VALUE"""),"")</f>
        <v/>
      </c>
      <c r="EW55" s="119" t="str">
        <f ca="1">IFERROR(__xludf.DUMMYFUNCTION("""COMPUTED_VALUE"""),"")</f>
        <v/>
      </c>
      <c r="EX55" s="117" t="str">
        <f ca="1">IFERROR(__xludf.DUMMYFUNCTION("""COMPUTED_VALUE"""),"")</f>
        <v/>
      </c>
      <c r="EY55" s="117" t="str">
        <f ca="1">IFERROR(__xludf.DUMMYFUNCTION("""COMPUTED_VALUE"""),"")</f>
        <v/>
      </c>
      <c r="EZ55" s="117" t="str">
        <f ca="1">IFERROR(__xludf.DUMMYFUNCTION("""COMPUTED_VALUE"""),"")</f>
        <v/>
      </c>
      <c r="FA55" s="117" t="str">
        <f ca="1">IFERROR(__xludf.DUMMYFUNCTION("""COMPUTED_VALUE"""),"")</f>
        <v/>
      </c>
      <c r="FB55" s="117" t="str">
        <f ca="1">IFERROR(__xludf.DUMMYFUNCTION("""COMPUTED_VALUE"""),"")</f>
        <v/>
      </c>
      <c r="FC55" s="117" t="str">
        <f ca="1">IFERROR(__xludf.DUMMYFUNCTION("""COMPUTED_VALUE"""),"")</f>
        <v/>
      </c>
      <c r="FD55" s="117" t="str">
        <f ca="1">IFERROR(__xludf.DUMMYFUNCTION("""COMPUTED_VALUE"""),"")</f>
        <v/>
      </c>
      <c r="FE55" s="117" t="str">
        <f ca="1">IFERROR(__xludf.DUMMYFUNCTION("""COMPUTED_VALUE"""),"")</f>
        <v/>
      </c>
      <c r="FF55" s="117" t="str">
        <f ca="1">IFERROR(__xludf.DUMMYFUNCTION("""COMPUTED_VALUE"""),"")</f>
        <v/>
      </c>
      <c r="FG55" s="117" t="str">
        <f ca="1">IFERROR(__xludf.DUMMYFUNCTION("""COMPUTED_VALUE"""),"")</f>
        <v/>
      </c>
      <c r="FH55" s="117" t="str">
        <f ca="1">IFERROR(__xludf.DUMMYFUNCTION("""COMPUTED_VALUE"""),"")</f>
        <v/>
      </c>
      <c r="FI55" s="117" t="str">
        <f ca="1">IFERROR(__xludf.DUMMYFUNCTION("""COMPUTED_VALUE"""),"")</f>
        <v/>
      </c>
      <c r="FJ55" s="117" t="str">
        <f ca="1">IFERROR(__xludf.DUMMYFUNCTION("""COMPUTED_VALUE"""),"")</f>
        <v/>
      </c>
      <c r="FK55" s="117" t="str">
        <f ca="1">IFERROR(__xludf.DUMMYFUNCTION("""COMPUTED_VALUE"""),"")</f>
        <v/>
      </c>
      <c r="FL55" s="117" t="str">
        <f ca="1">IFERROR(__xludf.DUMMYFUNCTION("""COMPUTED_VALUE"""),"")</f>
        <v/>
      </c>
      <c r="FM55" s="117" t="str">
        <f ca="1">IFERROR(__xludf.DUMMYFUNCTION("""COMPUTED_VALUE"""),"")</f>
        <v/>
      </c>
      <c r="FN55" s="117" t="str">
        <f ca="1">IFERROR(__xludf.DUMMYFUNCTION("""COMPUTED_VALUE"""),"")</f>
        <v/>
      </c>
      <c r="FO55" s="117" t="str">
        <f ca="1">IFERROR(__xludf.DUMMYFUNCTION("""COMPUTED_VALUE"""),"")</f>
        <v/>
      </c>
    </row>
    <row r="56" spans="1:171" ht="15.75" customHeight="1" x14ac:dyDescent="0.15">
      <c r="A56" s="115" t="str">
        <f ca="1">IFERROR(__xludf.DUMMYFUNCTION("""COMPUTED_VALUE"""),"")</f>
        <v/>
      </c>
      <c r="B56" s="119" t="str">
        <f ca="1">IFERROR(__xludf.DUMMYFUNCTION("""COMPUTED_VALUE"""),"")</f>
        <v/>
      </c>
      <c r="C56" s="119" t="str">
        <f ca="1">IFERROR(__xludf.DUMMYFUNCTION("""COMPUTED_VALUE"""),"")</f>
        <v/>
      </c>
      <c r="D56" s="119" t="str">
        <f ca="1">IFERROR(__xludf.DUMMYFUNCTION("""COMPUTED_VALUE"""),"")</f>
        <v/>
      </c>
      <c r="E56" s="119" t="str">
        <f ca="1">IFERROR(__xludf.DUMMYFUNCTION("""COMPUTED_VALUE"""),"")</f>
        <v/>
      </c>
      <c r="F56" s="119" t="str">
        <f ca="1">IFERROR(__xludf.DUMMYFUNCTION("""COMPUTED_VALUE"""),"")</f>
        <v/>
      </c>
      <c r="G56" s="119" t="str">
        <f ca="1">IFERROR(__xludf.DUMMYFUNCTION("""COMPUTED_VALUE"""),"")</f>
        <v/>
      </c>
      <c r="H56" s="119" t="str">
        <f ca="1">IFERROR(__xludf.DUMMYFUNCTION("""COMPUTED_VALUE"""),"")</f>
        <v/>
      </c>
      <c r="I56" s="119" t="str">
        <f ca="1">IFERROR(__xludf.DUMMYFUNCTION("""COMPUTED_VALUE"""),"")</f>
        <v/>
      </c>
      <c r="J56" s="119" t="str">
        <f ca="1">IFERROR(__xludf.DUMMYFUNCTION("""COMPUTED_VALUE"""),"")</f>
        <v/>
      </c>
      <c r="K56" s="119" t="str">
        <f ca="1">IFERROR(__xludf.DUMMYFUNCTION("""COMPUTED_VALUE"""),"")</f>
        <v/>
      </c>
      <c r="L56" s="119" t="str">
        <f ca="1">IFERROR(__xludf.DUMMYFUNCTION("""COMPUTED_VALUE"""),"")</f>
        <v/>
      </c>
      <c r="M56" s="119" t="str">
        <f ca="1">IFERROR(__xludf.DUMMYFUNCTION("""COMPUTED_VALUE"""),"")</f>
        <v/>
      </c>
      <c r="N56" s="119" t="str">
        <f ca="1">IFERROR(__xludf.DUMMYFUNCTION("""COMPUTED_VALUE"""),"")</f>
        <v/>
      </c>
      <c r="O56" s="119" t="str">
        <f ca="1">IFERROR(__xludf.DUMMYFUNCTION("""COMPUTED_VALUE"""),"")</f>
        <v/>
      </c>
      <c r="P56" s="119" t="str">
        <f ca="1">IFERROR(__xludf.DUMMYFUNCTION("""COMPUTED_VALUE"""),"")</f>
        <v/>
      </c>
      <c r="Q56" s="119" t="str">
        <f ca="1">IFERROR(__xludf.DUMMYFUNCTION("""COMPUTED_VALUE"""),"")</f>
        <v/>
      </c>
      <c r="R56" s="119" t="str">
        <f ca="1">IFERROR(__xludf.DUMMYFUNCTION("""COMPUTED_VALUE"""),"")</f>
        <v/>
      </c>
      <c r="S56" s="119" t="str">
        <f ca="1">IFERROR(__xludf.DUMMYFUNCTION("""COMPUTED_VALUE"""),"")</f>
        <v/>
      </c>
      <c r="T56" s="119" t="str">
        <f ca="1">IFERROR(__xludf.DUMMYFUNCTION("""COMPUTED_VALUE"""),"")</f>
        <v/>
      </c>
      <c r="U56" s="119" t="str">
        <f ca="1">IFERROR(__xludf.DUMMYFUNCTION("""COMPUTED_VALUE"""),"")</f>
        <v/>
      </c>
      <c r="V56" s="119" t="str">
        <f ca="1">IFERROR(__xludf.DUMMYFUNCTION("""COMPUTED_VALUE"""),"")</f>
        <v/>
      </c>
      <c r="W56" s="119" t="str">
        <f ca="1">IFERROR(__xludf.DUMMYFUNCTION("""COMPUTED_VALUE"""),"")</f>
        <v/>
      </c>
      <c r="X56" s="119" t="str">
        <f ca="1">IFERROR(__xludf.DUMMYFUNCTION("""COMPUTED_VALUE"""),"")</f>
        <v/>
      </c>
      <c r="Y56" s="119" t="str">
        <f ca="1">IFERROR(__xludf.DUMMYFUNCTION("""COMPUTED_VALUE"""),"")</f>
        <v/>
      </c>
      <c r="Z56" s="119" t="str">
        <f ca="1">IFERROR(__xludf.DUMMYFUNCTION("""COMPUTED_VALUE"""),"")</f>
        <v/>
      </c>
      <c r="AA56" s="119" t="str">
        <f ca="1">IFERROR(__xludf.DUMMYFUNCTION("""COMPUTED_VALUE"""),"")</f>
        <v/>
      </c>
      <c r="AB56" s="119" t="str">
        <f ca="1">IFERROR(__xludf.DUMMYFUNCTION("""COMPUTED_VALUE"""),"")</f>
        <v/>
      </c>
      <c r="AC56" s="119" t="str">
        <f ca="1">IFERROR(__xludf.DUMMYFUNCTION("""COMPUTED_VALUE"""),"")</f>
        <v/>
      </c>
      <c r="AD56" s="119" t="str">
        <f ca="1">IFERROR(__xludf.DUMMYFUNCTION("""COMPUTED_VALUE"""),"")</f>
        <v/>
      </c>
      <c r="AE56" s="119" t="str">
        <f ca="1">IFERROR(__xludf.DUMMYFUNCTION("""COMPUTED_VALUE"""),"")</f>
        <v/>
      </c>
      <c r="AF56" s="119" t="str">
        <f ca="1">IFERROR(__xludf.DUMMYFUNCTION("""COMPUTED_VALUE"""),"")</f>
        <v/>
      </c>
      <c r="AG56" s="119" t="str">
        <f ca="1">IFERROR(__xludf.DUMMYFUNCTION("""COMPUTED_VALUE"""),"")</f>
        <v/>
      </c>
      <c r="AH56" s="119" t="str">
        <f ca="1">IFERROR(__xludf.DUMMYFUNCTION("""COMPUTED_VALUE"""),"")</f>
        <v/>
      </c>
      <c r="AI56" s="119" t="str">
        <f ca="1">IFERROR(__xludf.DUMMYFUNCTION("""COMPUTED_VALUE"""),"")</f>
        <v/>
      </c>
      <c r="AJ56" s="119" t="str">
        <f ca="1">IFERROR(__xludf.DUMMYFUNCTION("""COMPUTED_VALUE"""),"")</f>
        <v/>
      </c>
      <c r="AK56" s="119" t="str">
        <f ca="1">IFERROR(__xludf.DUMMYFUNCTION("""COMPUTED_VALUE"""),"")</f>
        <v/>
      </c>
      <c r="AL56" s="119" t="str">
        <f ca="1">IFERROR(__xludf.DUMMYFUNCTION("""COMPUTED_VALUE"""),"")</f>
        <v/>
      </c>
      <c r="AM56" s="119" t="str">
        <f ca="1">IFERROR(__xludf.DUMMYFUNCTION("""COMPUTED_VALUE"""),"")</f>
        <v/>
      </c>
      <c r="AN56" s="119" t="str">
        <f ca="1">IFERROR(__xludf.DUMMYFUNCTION("""COMPUTED_VALUE"""),"")</f>
        <v/>
      </c>
      <c r="AO56" s="119" t="str">
        <f ca="1">IFERROR(__xludf.DUMMYFUNCTION("""COMPUTED_VALUE"""),"")</f>
        <v/>
      </c>
      <c r="AP56" s="119" t="str">
        <f ca="1">IFERROR(__xludf.DUMMYFUNCTION("""COMPUTED_VALUE"""),"")</f>
        <v/>
      </c>
      <c r="AQ56" s="119" t="str">
        <f ca="1">IFERROR(__xludf.DUMMYFUNCTION("""COMPUTED_VALUE"""),"")</f>
        <v/>
      </c>
      <c r="AR56" s="118" t="str">
        <f ca="1">IFERROR(__xludf.DUMMYFUNCTION("""COMPUTED_VALUE"""),"")</f>
        <v/>
      </c>
      <c r="AS56" s="119" t="str">
        <f ca="1">IFERROR(__xludf.DUMMYFUNCTION("""COMPUTED_VALUE"""),"")</f>
        <v/>
      </c>
      <c r="AT56" s="119" t="str">
        <f ca="1">IFERROR(__xludf.DUMMYFUNCTION("""COMPUTED_VALUE"""),"")</f>
        <v/>
      </c>
      <c r="AU56" s="119" t="str">
        <f ca="1">IFERROR(__xludf.DUMMYFUNCTION("""COMPUTED_VALUE"""),"")</f>
        <v/>
      </c>
      <c r="AV56" s="119" t="str">
        <f ca="1">IFERROR(__xludf.DUMMYFUNCTION("""COMPUTED_VALUE"""),"")</f>
        <v/>
      </c>
      <c r="AW56" s="119" t="str">
        <f ca="1">IFERROR(__xludf.DUMMYFUNCTION("""COMPUTED_VALUE"""),"")</f>
        <v/>
      </c>
      <c r="AX56" s="119" t="str">
        <f ca="1">IFERROR(__xludf.DUMMYFUNCTION("""COMPUTED_VALUE"""),"")</f>
        <v/>
      </c>
      <c r="AY56" s="119" t="str">
        <f ca="1">IFERROR(__xludf.DUMMYFUNCTION("""COMPUTED_VALUE"""),"")</f>
        <v/>
      </c>
      <c r="AZ56" s="119" t="str">
        <f ca="1">IFERROR(__xludf.DUMMYFUNCTION("""COMPUTED_VALUE"""),"")</f>
        <v/>
      </c>
      <c r="BA56" s="119" t="str">
        <f ca="1">IFERROR(__xludf.DUMMYFUNCTION("""COMPUTED_VALUE"""),"")</f>
        <v/>
      </c>
      <c r="BB56" s="119" t="str">
        <f ca="1">IFERROR(__xludf.DUMMYFUNCTION("""COMPUTED_VALUE"""),"")</f>
        <v/>
      </c>
      <c r="BC56" s="119" t="str">
        <f ca="1">IFERROR(__xludf.DUMMYFUNCTION("""COMPUTED_VALUE"""),"")</f>
        <v/>
      </c>
      <c r="BD56" s="119" t="str">
        <f ca="1">IFERROR(__xludf.DUMMYFUNCTION("""COMPUTED_VALUE"""),"")</f>
        <v/>
      </c>
      <c r="BE56" s="119" t="str">
        <f ca="1">IFERROR(__xludf.DUMMYFUNCTION("""COMPUTED_VALUE"""),"")</f>
        <v/>
      </c>
      <c r="BF56" s="119" t="str">
        <f ca="1">IFERROR(__xludf.DUMMYFUNCTION("""COMPUTED_VALUE"""),"")</f>
        <v/>
      </c>
      <c r="BG56" s="119" t="str">
        <f ca="1">IFERROR(__xludf.DUMMYFUNCTION("""COMPUTED_VALUE"""),"")</f>
        <v/>
      </c>
      <c r="BH56" s="119" t="str">
        <f ca="1">IFERROR(__xludf.DUMMYFUNCTION("""COMPUTED_VALUE"""),"")</f>
        <v/>
      </c>
      <c r="BI56" s="119" t="str">
        <f ca="1">IFERROR(__xludf.DUMMYFUNCTION("""COMPUTED_VALUE"""),"")</f>
        <v/>
      </c>
      <c r="BJ56" s="119" t="str">
        <f ca="1">IFERROR(__xludf.DUMMYFUNCTION("""COMPUTED_VALUE"""),"")</f>
        <v/>
      </c>
      <c r="BK56" s="119" t="str">
        <f ca="1">IFERROR(__xludf.DUMMYFUNCTION("""COMPUTED_VALUE"""),"")</f>
        <v/>
      </c>
      <c r="BL56" s="119" t="str">
        <f ca="1">IFERROR(__xludf.DUMMYFUNCTION("""COMPUTED_VALUE"""),"")</f>
        <v/>
      </c>
      <c r="BM56" s="119" t="str">
        <f ca="1">IFERROR(__xludf.DUMMYFUNCTION("""COMPUTED_VALUE"""),"")</f>
        <v/>
      </c>
      <c r="BN56" s="119" t="str">
        <f ca="1">IFERROR(__xludf.DUMMYFUNCTION("""COMPUTED_VALUE"""),"")</f>
        <v/>
      </c>
      <c r="BO56" s="119" t="str">
        <f ca="1">IFERROR(__xludf.DUMMYFUNCTION("""COMPUTED_VALUE"""),"")</f>
        <v/>
      </c>
      <c r="BP56" s="119" t="str">
        <f ca="1">IFERROR(__xludf.DUMMYFUNCTION("""COMPUTED_VALUE"""),"")</f>
        <v/>
      </c>
      <c r="BQ56" s="119" t="str">
        <f ca="1">IFERROR(__xludf.DUMMYFUNCTION("""COMPUTED_VALUE"""),"")</f>
        <v/>
      </c>
      <c r="BR56" s="119" t="str">
        <f ca="1">IFERROR(__xludf.DUMMYFUNCTION("""COMPUTED_VALUE"""),"")</f>
        <v/>
      </c>
      <c r="BS56" s="119" t="str">
        <f ca="1">IFERROR(__xludf.DUMMYFUNCTION("""COMPUTED_VALUE"""),"")</f>
        <v/>
      </c>
      <c r="BT56" s="119" t="str">
        <f ca="1">IFERROR(__xludf.DUMMYFUNCTION("""COMPUTED_VALUE"""),"")</f>
        <v/>
      </c>
      <c r="BU56" s="119" t="str">
        <f ca="1">IFERROR(__xludf.DUMMYFUNCTION("""COMPUTED_VALUE"""),"")</f>
        <v/>
      </c>
      <c r="BV56" s="119" t="str">
        <f ca="1">IFERROR(__xludf.DUMMYFUNCTION("""COMPUTED_VALUE"""),"")</f>
        <v/>
      </c>
      <c r="BW56" s="119" t="str">
        <f ca="1">IFERROR(__xludf.DUMMYFUNCTION("""COMPUTED_VALUE"""),"")</f>
        <v/>
      </c>
      <c r="BX56" s="119" t="str">
        <f ca="1">IFERROR(__xludf.DUMMYFUNCTION("""COMPUTED_VALUE"""),"")</f>
        <v/>
      </c>
      <c r="BY56" s="119" t="str">
        <f ca="1">IFERROR(__xludf.DUMMYFUNCTION("""COMPUTED_VALUE"""),"")</f>
        <v/>
      </c>
      <c r="BZ56" s="119" t="str">
        <f ca="1">IFERROR(__xludf.DUMMYFUNCTION("""COMPUTED_VALUE"""),"")</f>
        <v/>
      </c>
      <c r="CA56" s="119" t="str">
        <f ca="1">IFERROR(__xludf.DUMMYFUNCTION("""COMPUTED_VALUE"""),"")</f>
        <v/>
      </c>
      <c r="CB56" s="119" t="str">
        <f ca="1">IFERROR(__xludf.DUMMYFUNCTION("""COMPUTED_VALUE"""),"")</f>
        <v/>
      </c>
      <c r="CC56" s="119" t="str">
        <f ca="1">IFERROR(__xludf.DUMMYFUNCTION("""COMPUTED_VALUE"""),"")</f>
        <v/>
      </c>
      <c r="CD56" s="119" t="str">
        <f ca="1">IFERROR(__xludf.DUMMYFUNCTION("""COMPUTED_VALUE"""),"")</f>
        <v/>
      </c>
      <c r="CE56" s="119" t="str">
        <f ca="1">IFERROR(__xludf.DUMMYFUNCTION("""COMPUTED_VALUE"""),"")</f>
        <v/>
      </c>
      <c r="CF56" s="119" t="str">
        <f ca="1">IFERROR(__xludf.DUMMYFUNCTION("""COMPUTED_VALUE"""),"")</f>
        <v/>
      </c>
      <c r="CG56" s="119" t="str">
        <f ca="1">IFERROR(__xludf.DUMMYFUNCTION("""COMPUTED_VALUE"""),"")</f>
        <v/>
      </c>
      <c r="CH56" s="119" t="str">
        <f ca="1">IFERROR(__xludf.DUMMYFUNCTION("""COMPUTED_VALUE"""),"")</f>
        <v/>
      </c>
      <c r="CI56" s="119" t="str">
        <f ca="1">IFERROR(__xludf.DUMMYFUNCTION("""COMPUTED_VALUE"""),"")</f>
        <v/>
      </c>
      <c r="CJ56" s="119" t="str">
        <f ca="1">IFERROR(__xludf.DUMMYFUNCTION("""COMPUTED_VALUE"""),"")</f>
        <v/>
      </c>
      <c r="CK56" s="119" t="str">
        <f ca="1">IFERROR(__xludf.DUMMYFUNCTION("""COMPUTED_VALUE"""),"")</f>
        <v/>
      </c>
      <c r="CL56" s="119" t="str">
        <f ca="1">IFERROR(__xludf.DUMMYFUNCTION("""COMPUTED_VALUE"""),"")</f>
        <v/>
      </c>
      <c r="CM56" s="119" t="str">
        <f ca="1">IFERROR(__xludf.DUMMYFUNCTION("""COMPUTED_VALUE"""),"")</f>
        <v/>
      </c>
      <c r="CN56" s="119" t="str">
        <f ca="1">IFERROR(__xludf.DUMMYFUNCTION("""COMPUTED_VALUE"""),"")</f>
        <v/>
      </c>
      <c r="CO56" s="119" t="str">
        <f ca="1">IFERROR(__xludf.DUMMYFUNCTION("""COMPUTED_VALUE"""),"")</f>
        <v/>
      </c>
      <c r="CP56" s="119" t="str">
        <f ca="1">IFERROR(__xludf.DUMMYFUNCTION("""COMPUTED_VALUE"""),"")</f>
        <v/>
      </c>
      <c r="CQ56" s="119" t="str">
        <f ca="1">IFERROR(__xludf.DUMMYFUNCTION("""COMPUTED_VALUE"""),"")</f>
        <v/>
      </c>
      <c r="CR56" s="119" t="str">
        <f ca="1">IFERROR(__xludf.DUMMYFUNCTION("""COMPUTED_VALUE"""),"")</f>
        <v/>
      </c>
      <c r="CS56" s="119" t="str">
        <f ca="1">IFERROR(__xludf.DUMMYFUNCTION("""COMPUTED_VALUE"""),"")</f>
        <v/>
      </c>
      <c r="CT56" s="119" t="str">
        <f ca="1">IFERROR(__xludf.DUMMYFUNCTION("""COMPUTED_VALUE"""),"")</f>
        <v/>
      </c>
      <c r="CU56" s="119" t="str">
        <f ca="1">IFERROR(__xludf.DUMMYFUNCTION("""COMPUTED_VALUE"""),"")</f>
        <v/>
      </c>
      <c r="CV56" s="119" t="str">
        <f ca="1">IFERROR(__xludf.DUMMYFUNCTION("""COMPUTED_VALUE"""),"")</f>
        <v/>
      </c>
      <c r="CW56" s="119" t="str">
        <f ca="1">IFERROR(__xludf.DUMMYFUNCTION("""COMPUTED_VALUE"""),"")</f>
        <v/>
      </c>
      <c r="CX56" s="119" t="str">
        <f ca="1">IFERROR(__xludf.DUMMYFUNCTION("""COMPUTED_VALUE"""),"")</f>
        <v/>
      </c>
      <c r="CY56" s="119" t="str">
        <f ca="1">IFERROR(__xludf.DUMMYFUNCTION("""COMPUTED_VALUE"""),"")</f>
        <v/>
      </c>
      <c r="CZ56" s="119" t="str">
        <f ca="1">IFERROR(__xludf.DUMMYFUNCTION("""COMPUTED_VALUE"""),"")</f>
        <v/>
      </c>
      <c r="DA56" s="119" t="str">
        <f ca="1">IFERROR(__xludf.DUMMYFUNCTION("""COMPUTED_VALUE"""),"")</f>
        <v/>
      </c>
      <c r="DB56" s="119" t="str">
        <f ca="1">IFERROR(__xludf.DUMMYFUNCTION("""COMPUTED_VALUE"""),"")</f>
        <v/>
      </c>
      <c r="DC56" s="119" t="str">
        <f ca="1">IFERROR(__xludf.DUMMYFUNCTION("""COMPUTED_VALUE"""),"")</f>
        <v/>
      </c>
      <c r="DD56" s="119" t="str">
        <f ca="1">IFERROR(__xludf.DUMMYFUNCTION("""COMPUTED_VALUE"""),"")</f>
        <v/>
      </c>
      <c r="DE56" s="119" t="str">
        <f ca="1">IFERROR(__xludf.DUMMYFUNCTION("""COMPUTED_VALUE"""),"")</f>
        <v/>
      </c>
      <c r="DF56" s="119" t="str">
        <f ca="1">IFERROR(__xludf.DUMMYFUNCTION("""COMPUTED_VALUE"""),"")</f>
        <v/>
      </c>
      <c r="DG56" s="119" t="str">
        <f ca="1">IFERROR(__xludf.DUMMYFUNCTION("""COMPUTED_VALUE"""),"")</f>
        <v/>
      </c>
      <c r="DH56" s="119" t="str">
        <f ca="1">IFERROR(__xludf.DUMMYFUNCTION("""COMPUTED_VALUE"""),"")</f>
        <v/>
      </c>
      <c r="DI56" s="119" t="str">
        <f ca="1">IFERROR(__xludf.DUMMYFUNCTION("""COMPUTED_VALUE"""),"")</f>
        <v/>
      </c>
      <c r="DJ56" s="119" t="str">
        <f ca="1">IFERROR(__xludf.DUMMYFUNCTION("""COMPUTED_VALUE"""),"")</f>
        <v/>
      </c>
      <c r="DK56" s="119" t="str">
        <f ca="1">IFERROR(__xludf.DUMMYFUNCTION("""COMPUTED_VALUE"""),"")</f>
        <v/>
      </c>
      <c r="DL56" s="119" t="str">
        <f ca="1">IFERROR(__xludf.DUMMYFUNCTION("""COMPUTED_VALUE"""),"")</f>
        <v/>
      </c>
      <c r="DM56" s="119" t="str">
        <f ca="1">IFERROR(__xludf.DUMMYFUNCTION("""COMPUTED_VALUE"""),"")</f>
        <v/>
      </c>
      <c r="DN56" s="119" t="str">
        <f ca="1">IFERROR(__xludf.DUMMYFUNCTION("""COMPUTED_VALUE"""),"")</f>
        <v/>
      </c>
      <c r="DO56" s="119" t="str">
        <f ca="1">IFERROR(__xludf.DUMMYFUNCTION("""COMPUTED_VALUE"""),"")</f>
        <v/>
      </c>
      <c r="DP56" s="119" t="str">
        <f ca="1">IFERROR(__xludf.DUMMYFUNCTION("""COMPUTED_VALUE"""),"")</f>
        <v/>
      </c>
      <c r="DQ56" s="119" t="str">
        <f ca="1">IFERROR(__xludf.DUMMYFUNCTION("""COMPUTED_VALUE"""),"")</f>
        <v/>
      </c>
      <c r="DR56" s="119" t="str">
        <f ca="1">IFERROR(__xludf.DUMMYFUNCTION("""COMPUTED_VALUE"""),"")</f>
        <v/>
      </c>
      <c r="DS56" s="119" t="str">
        <f ca="1">IFERROR(__xludf.DUMMYFUNCTION("""COMPUTED_VALUE"""),"")</f>
        <v/>
      </c>
      <c r="DT56" s="119" t="str">
        <f ca="1">IFERROR(__xludf.DUMMYFUNCTION("""COMPUTED_VALUE"""),"")</f>
        <v/>
      </c>
      <c r="DU56" s="119" t="str">
        <f ca="1">IFERROR(__xludf.DUMMYFUNCTION("""COMPUTED_VALUE"""),"")</f>
        <v/>
      </c>
      <c r="DV56" s="119" t="str">
        <f ca="1">IFERROR(__xludf.DUMMYFUNCTION("""COMPUTED_VALUE"""),"")</f>
        <v/>
      </c>
      <c r="DW56" s="119" t="str">
        <f ca="1">IFERROR(__xludf.DUMMYFUNCTION("""COMPUTED_VALUE"""),"")</f>
        <v/>
      </c>
      <c r="DX56" s="119" t="str">
        <f ca="1">IFERROR(__xludf.DUMMYFUNCTION("""COMPUTED_VALUE"""),"")</f>
        <v/>
      </c>
      <c r="DY56" s="119" t="str">
        <f ca="1">IFERROR(__xludf.DUMMYFUNCTION("""COMPUTED_VALUE"""),"")</f>
        <v/>
      </c>
      <c r="DZ56" s="119" t="str">
        <f ca="1">IFERROR(__xludf.DUMMYFUNCTION("""COMPUTED_VALUE"""),"")</f>
        <v/>
      </c>
      <c r="EA56" s="119" t="str">
        <f ca="1">IFERROR(__xludf.DUMMYFUNCTION("""COMPUTED_VALUE"""),"")</f>
        <v/>
      </c>
      <c r="EB56" s="119" t="str">
        <f ca="1">IFERROR(__xludf.DUMMYFUNCTION("""COMPUTED_VALUE"""),"")</f>
        <v/>
      </c>
      <c r="EC56" s="119" t="str">
        <f ca="1">IFERROR(__xludf.DUMMYFUNCTION("""COMPUTED_VALUE"""),"")</f>
        <v/>
      </c>
      <c r="ED56" s="119" t="str">
        <f ca="1">IFERROR(__xludf.DUMMYFUNCTION("""COMPUTED_VALUE"""),"")</f>
        <v/>
      </c>
      <c r="EE56" s="119" t="str">
        <f ca="1">IFERROR(__xludf.DUMMYFUNCTION("""COMPUTED_VALUE"""),"")</f>
        <v/>
      </c>
      <c r="EF56" s="119" t="str">
        <f ca="1">IFERROR(__xludf.DUMMYFUNCTION("""COMPUTED_VALUE"""),"")</f>
        <v/>
      </c>
      <c r="EG56" s="119" t="str">
        <f ca="1">IFERROR(__xludf.DUMMYFUNCTION("""COMPUTED_VALUE"""),"")</f>
        <v/>
      </c>
      <c r="EH56" s="119" t="str">
        <f ca="1">IFERROR(__xludf.DUMMYFUNCTION("""COMPUTED_VALUE"""),"")</f>
        <v/>
      </c>
      <c r="EI56" s="119" t="str">
        <f ca="1">IFERROR(__xludf.DUMMYFUNCTION("""COMPUTED_VALUE"""),"")</f>
        <v/>
      </c>
      <c r="EJ56" s="119" t="str">
        <f ca="1">IFERROR(__xludf.DUMMYFUNCTION("""COMPUTED_VALUE"""),"")</f>
        <v/>
      </c>
      <c r="EK56" s="119" t="str">
        <f ca="1">IFERROR(__xludf.DUMMYFUNCTION("""COMPUTED_VALUE"""),"")</f>
        <v/>
      </c>
      <c r="EL56" s="119" t="str">
        <f ca="1">IFERROR(__xludf.DUMMYFUNCTION("""COMPUTED_VALUE"""),"")</f>
        <v/>
      </c>
      <c r="EM56" s="119" t="str">
        <f ca="1">IFERROR(__xludf.DUMMYFUNCTION("""COMPUTED_VALUE"""),"")</f>
        <v/>
      </c>
      <c r="EN56" s="119" t="str">
        <f ca="1">IFERROR(__xludf.DUMMYFUNCTION("""COMPUTED_VALUE"""),"")</f>
        <v/>
      </c>
      <c r="EO56" s="119" t="str">
        <f ca="1">IFERROR(__xludf.DUMMYFUNCTION("""COMPUTED_VALUE"""),"")</f>
        <v/>
      </c>
      <c r="EP56" s="119" t="str">
        <f ca="1">IFERROR(__xludf.DUMMYFUNCTION("""COMPUTED_VALUE"""),"")</f>
        <v/>
      </c>
      <c r="EQ56" s="119" t="str">
        <f ca="1">IFERROR(__xludf.DUMMYFUNCTION("""COMPUTED_VALUE"""),"")</f>
        <v/>
      </c>
      <c r="ER56" s="119" t="str">
        <f ca="1">IFERROR(__xludf.DUMMYFUNCTION("""COMPUTED_VALUE"""),"")</f>
        <v/>
      </c>
      <c r="ES56" s="119" t="str">
        <f ca="1">IFERROR(__xludf.DUMMYFUNCTION("""COMPUTED_VALUE"""),"")</f>
        <v/>
      </c>
      <c r="ET56" s="119" t="str">
        <f ca="1">IFERROR(__xludf.DUMMYFUNCTION("""COMPUTED_VALUE"""),"")</f>
        <v/>
      </c>
      <c r="EU56" s="119" t="str">
        <f ca="1">IFERROR(__xludf.DUMMYFUNCTION("""COMPUTED_VALUE"""),"")</f>
        <v/>
      </c>
      <c r="EV56" s="119" t="str">
        <f ca="1">IFERROR(__xludf.DUMMYFUNCTION("""COMPUTED_VALUE"""),"")</f>
        <v/>
      </c>
      <c r="EW56" s="119" t="str">
        <f ca="1">IFERROR(__xludf.DUMMYFUNCTION("""COMPUTED_VALUE"""),"")</f>
        <v/>
      </c>
      <c r="EX56" s="117" t="str">
        <f ca="1">IFERROR(__xludf.DUMMYFUNCTION("""COMPUTED_VALUE"""),"")</f>
        <v/>
      </c>
      <c r="EY56" s="117" t="str">
        <f ca="1">IFERROR(__xludf.DUMMYFUNCTION("""COMPUTED_VALUE"""),"")</f>
        <v/>
      </c>
      <c r="EZ56" s="117" t="str">
        <f ca="1">IFERROR(__xludf.DUMMYFUNCTION("""COMPUTED_VALUE"""),"")</f>
        <v/>
      </c>
      <c r="FA56" s="117" t="str">
        <f ca="1">IFERROR(__xludf.DUMMYFUNCTION("""COMPUTED_VALUE"""),"")</f>
        <v/>
      </c>
      <c r="FB56" s="117" t="str">
        <f ca="1">IFERROR(__xludf.DUMMYFUNCTION("""COMPUTED_VALUE"""),"")</f>
        <v/>
      </c>
      <c r="FC56" s="117" t="str">
        <f ca="1">IFERROR(__xludf.DUMMYFUNCTION("""COMPUTED_VALUE"""),"")</f>
        <v/>
      </c>
      <c r="FD56" s="117" t="str">
        <f ca="1">IFERROR(__xludf.DUMMYFUNCTION("""COMPUTED_VALUE"""),"")</f>
        <v/>
      </c>
      <c r="FE56" s="117" t="str">
        <f ca="1">IFERROR(__xludf.DUMMYFUNCTION("""COMPUTED_VALUE"""),"")</f>
        <v/>
      </c>
      <c r="FF56" s="117" t="str">
        <f ca="1">IFERROR(__xludf.DUMMYFUNCTION("""COMPUTED_VALUE"""),"")</f>
        <v/>
      </c>
      <c r="FG56" s="117" t="str">
        <f ca="1">IFERROR(__xludf.DUMMYFUNCTION("""COMPUTED_VALUE"""),"")</f>
        <v/>
      </c>
      <c r="FH56" s="117" t="str">
        <f ca="1">IFERROR(__xludf.DUMMYFUNCTION("""COMPUTED_VALUE"""),"")</f>
        <v/>
      </c>
      <c r="FI56" s="117" t="str">
        <f ca="1">IFERROR(__xludf.DUMMYFUNCTION("""COMPUTED_VALUE"""),"")</f>
        <v/>
      </c>
      <c r="FJ56" s="117" t="str">
        <f ca="1">IFERROR(__xludf.DUMMYFUNCTION("""COMPUTED_VALUE"""),"")</f>
        <v/>
      </c>
      <c r="FK56" s="117" t="str">
        <f ca="1">IFERROR(__xludf.DUMMYFUNCTION("""COMPUTED_VALUE"""),"")</f>
        <v/>
      </c>
      <c r="FL56" s="117" t="str">
        <f ca="1">IFERROR(__xludf.DUMMYFUNCTION("""COMPUTED_VALUE"""),"")</f>
        <v/>
      </c>
      <c r="FM56" s="117" t="str">
        <f ca="1">IFERROR(__xludf.DUMMYFUNCTION("""COMPUTED_VALUE"""),"")</f>
        <v/>
      </c>
      <c r="FN56" s="117" t="str">
        <f ca="1">IFERROR(__xludf.DUMMYFUNCTION("""COMPUTED_VALUE"""),"")</f>
        <v/>
      </c>
      <c r="FO56" s="117" t="str">
        <f ca="1">IFERROR(__xludf.DUMMYFUNCTION("""COMPUTED_VALUE"""),"")</f>
        <v/>
      </c>
    </row>
    <row r="57" spans="1:171" ht="15.75" customHeight="1" x14ac:dyDescent="0.15">
      <c r="A57" s="115" t="str">
        <f ca="1">IFERROR(__xludf.DUMMYFUNCTION("""COMPUTED_VALUE"""),"")</f>
        <v/>
      </c>
      <c r="B57" s="119" t="str">
        <f ca="1">IFERROR(__xludf.DUMMYFUNCTION("""COMPUTED_VALUE"""),"")</f>
        <v/>
      </c>
      <c r="C57" s="119" t="str">
        <f ca="1">IFERROR(__xludf.DUMMYFUNCTION("""COMPUTED_VALUE"""),"")</f>
        <v/>
      </c>
      <c r="D57" s="119" t="str">
        <f ca="1">IFERROR(__xludf.DUMMYFUNCTION("""COMPUTED_VALUE"""),"")</f>
        <v/>
      </c>
      <c r="E57" s="119" t="str">
        <f ca="1">IFERROR(__xludf.DUMMYFUNCTION("""COMPUTED_VALUE"""),"")</f>
        <v/>
      </c>
      <c r="F57" s="119" t="str">
        <f ca="1">IFERROR(__xludf.DUMMYFUNCTION("""COMPUTED_VALUE"""),"")</f>
        <v/>
      </c>
      <c r="G57" s="119" t="str">
        <f ca="1">IFERROR(__xludf.DUMMYFUNCTION("""COMPUTED_VALUE"""),"")</f>
        <v/>
      </c>
      <c r="H57" s="119" t="str">
        <f ca="1">IFERROR(__xludf.DUMMYFUNCTION("""COMPUTED_VALUE"""),"")</f>
        <v/>
      </c>
      <c r="I57" s="119" t="str">
        <f ca="1">IFERROR(__xludf.DUMMYFUNCTION("""COMPUTED_VALUE"""),"")</f>
        <v/>
      </c>
      <c r="J57" s="119" t="str">
        <f ca="1">IFERROR(__xludf.DUMMYFUNCTION("""COMPUTED_VALUE"""),"")</f>
        <v/>
      </c>
      <c r="K57" s="119" t="str">
        <f ca="1">IFERROR(__xludf.DUMMYFUNCTION("""COMPUTED_VALUE"""),"")</f>
        <v/>
      </c>
      <c r="L57" s="119" t="str">
        <f ca="1">IFERROR(__xludf.DUMMYFUNCTION("""COMPUTED_VALUE"""),"")</f>
        <v/>
      </c>
      <c r="M57" s="119" t="str">
        <f ca="1">IFERROR(__xludf.DUMMYFUNCTION("""COMPUTED_VALUE"""),"")</f>
        <v/>
      </c>
      <c r="N57" s="119" t="str">
        <f ca="1">IFERROR(__xludf.DUMMYFUNCTION("""COMPUTED_VALUE"""),"")</f>
        <v/>
      </c>
      <c r="O57" s="119" t="str">
        <f ca="1">IFERROR(__xludf.DUMMYFUNCTION("""COMPUTED_VALUE"""),"")</f>
        <v/>
      </c>
      <c r="P57" s="119" t="str">
        <f ca="1">IFERROR(__xludf.DUMMYFUNCTION("""COMPUTED_VALUE"""),"")</f>
        <v/>
      </c>
      <c r="Q57" s="119" t="str">
        <f ca="1">IFERROR(__xludf.DUMMYFUNCTION("""COMPUTED_VALUE"""),"")</f>
        <v/>
      </c>
      <c r="R57" s="119" t="str">
        <f ca="1">IFERROR(__xludf.DUMMYFUNCTION("""COMPUTED_VALUE"""),"")</f>
        <v/>
      </c>
      <c r="S57" s="119" t="str">
        <f ca="1">IFERROR(__xludf.DUMMYFUNCTION("""COMPUTED_VALUE"""),"")</f>
        <v/>
      </c>
      <c r="T57" s="119" t="str">
        <f ca="1">IFERROR(__xludf.DUMMYFUNCTION("""COMPUTED_VALUE"""),"")</f>
        <v/>
      </c>
      <c r="U57" s="119" t="str">
        <f ca="1">IFERROR(__xludf.DUMMYFUNCTION("""COMPUTED_VALUE"""),"")</f>
        <v/>
      </c>
      <c r="V57" s="119" t="str">
        <f ca="1">IFERROR(__xludf.DUMMYFUNCTION("""COMPUTED_VALUE"""),"")</f>
        <v/>
      </c>
      <c r="W57" s="119" t="str">
        <f ca="1">IFERROR(__xludf.DUMMYFUNCTION("""COMPUTED_VALUE"""),"")</f>
        <v/>
      </c>
      <c r="X57" s="119" t="str">
        <f ca="1">IFERROR(__xludf.DUMMYFUNCTION("""COMPUTED_VALUE"""),"")</f>
        <v/>
      </c>
      <c r="Y57" s="119" t="str">
        <f ca="1">IFERROR(__xludf.DUMMYFUNCTION("""COMPUTED_VALUE"""),"")</f>
        <v/>
      </c>
      <c r="Z57" s="119" t="str">
        <f ca="1">IFERROR(__xludf.DUMMYFUNCTION("""COMPUTED_VALUE"""),"")</f>
        <v/>
      </c>
      <c r="AA57" s="119" t="str">
        <f ca="1">IFERROR(__xludf.DUMMYFUNCTION("""COMPUTED_VALUE"""),"")</f>
        <v/>
      </c>
      <c r="AB57" s="119" t="str">
        <f ca="1">IFERROR(__xludf.DUMMYFUNCTION("""COMPUTED_VALUE"""),"")</f>
        <v/>
      </c>
      <c r="AC57" s="119" t="str">
        <f ca="1">IFERROR(__xludf.DUMMYFUNCTION("""COMPUTED_VALUE"""),"")</f>
        <v/>
      </c>
      <c r="AD57" s="119" t="str">
        <f ca="1">IFERROR(__xludf.DUMMYFUNCTION("""COMPUTED_VALUE"""),"")</f>
        <v/>
      </c>
      <c r="AE57" s="119" t="str">
        <f ca="1">IFERROR(__xludf.DUMMYFUNCTION("""COMPUTED_VALUE"""),"")</f>
        <v/>
      </c>
      <c r="AF57" s="119" t="str">
        <f ca="1">IFERROR(__xludf.DUMMYFUNCTION("""COMPUTED_VALUE"""),"")</f>
        <v/>
      </c>
      <c r="AG57" s="119" t="str">
        <f ca="1">IFERROR(__xludf.DUMMYFUNCTION("""COMPUTED_VALUE"""),"")</f>
        <v/>
      </c>
      <c r="AH57" s="119" t="str">
        <f ca="1">IFERROR(__xludf.DUMMYFUNCTION("""COMPUTED_VALUE"""),"")</f>
        <v/>
      </c>
      <c r="AI57" s="119" t="str">
        <f ca="1">IFERROR(__xludf.DUMMYFUNCTION("""COMPUTED_VALUE"""),"")</f>
        <v/>
      </c>
      <c r="AJ57" s="119" t="str">
        <f ca="1">IFERROR(__xludf.DUMMYFUNCTION("""COMPUTED_VALUE"""),"")</f>
        <v/>
      </c>
      <c r="AK57" s="119" t="str">
        <f ca="1">IFERROR(__xludf.DUMMYFUNCTION("""COMPUTED_VALUE"""),"")</f>
        <v/>
      </c>
      <c r="AL57" s="119" t="str">
        <f ca="1">IFERROR(__xludf.DUMMYFUNCTION("""COMPUTED_VALUE"""),"")</f>
        <v/>
      </c>
      <c r="AM57" s="119" t="str">
        <f ca="1">IFERROR(__xludf.DUMMYFUNCTION("""COMPUTED_VALUE"""),"")</f>
        <v/>
      </c>
      <c r="AN57" s="119" t="str">
        <f ca="1">IFERROR(__xludf.DUMMYFUNCTION("""COMPUTED_VALUE"""),"")</f>
        <v/>
      </c>
      <c r="AO57" s="119" t="str">
        <f ca="1">IFERROR(__xludf.DUMMYFUNCTION("""COMPUTED_VALUE"""),"")</f>
        <v/>
      </c>
      <c r="AP57" s="119" t="str">
        <f ca="1">IFERROR(__xludf.DUMMYFUNCTION("""COMPUTED_VALUE"""),"")</f>
        <v/>
      </c>
      <c r="AQ57" s="119" t="str">
        <f ca="1">IFERROR(__xludf.DUMMYFUNCTION("""COMPUTED_VALUE"""),"")</f>
        <v/>
      </c>
      <c r="AR57" s="118" t="str">
        <f ca="1">IFERROR(__xludf.DUMMYFUNCTION("""COMPUTED_VALUE"""),"")</f>
        <v/>
      </c>
      <c r="AS57" s="119" t="str">
        <f ca="1">IFERROR(__xludf.DUMMYFUNCTION("""COMPUTED_VALUE"""),"")</f>
        <v/>
      </c>
      <c r="AT57" s="119" t="str">
        <f ca="1">IFERROR(__xludf.DUMMYFUNCTION("""COMPUTED_VALUE"""),"")</f>
        <v/>
      </c>
      <c r="AU57" s="119" t="str">
        <f ca="1">IFERROR(__xludf.DUMMYFUNCTION("""COMPUTED_VALUE"""),"")</f>
        <v/>
      </c>
      <c r="AV57" s="119" t="str">
        <f ca="1">IFERROR(__xludf.DUMMYFUNCTION("""COMPUTED_VALUE"""),"")</f>
        <v/>
      </c>
      <c r="AW57" s="119" t="str">
        <f ca="1">IFERROR(__xludf.DUMMYFUNCTION("""COMPUTED_VALUE"""),"")</f>
        <v/>
      </c>
      <c r="AX57" s="119" t="str">
        <f ca="1">IFERROR(__xludf.DUMMYFUNCTION("""COMPUTED_VALUE"""),"")</f>
        <v/>
      </c>
      <c r="AY57" s="119" t="str">
        <f ca="1">IFERROR(__xludf.DUMMYFUNCTION("""COMPUTED_VALUE"""),"")</f>
        <v/>
      </c>
      <c r="AZ57" s="119" t="str">
        <f ca="1">IFERROR(__xludf.DUMMYFUNCTION("""COMPUTED_VALUE"""),"")</f>
        <v/>
      </c>
      <c r="BA57" s="119" t="str">
        <f ca="1">IFERROR(__xludf.DUMMYFUNCTION("""COMPUTED_VALUE"""),"")</f>
        <v/>
      </c>
      <c r="BB57" s="119" t="str">
        <f ca="1">IFERROR(__xludf.DUMMYFUNCTION("""COMPUTED_VALUE"""),"")</f>
        <v/>
      </c>
      <c r="BC57" s="119" t="str">
        <f ca="1">IFERROR(__xludf.DUMMYFUNCTION("""COMPUTED_VALUE"""),"")</f>
        <v/>
      </c>
      <c r="BD57" s="119" t="str">
        <f ca="1">IFERROR(__xludf.DUMMYFUNCTION("""COMPUTED_VALUE"""),"")</f>
        <v/>
      </c>
      <c r="BE57" s="119" t="str">
        <f ca="1">IFERROR(__xludf.DUMMYFUNCTION("""COMPUTED_VALUE"""),"")</f>
        <v/>
      </c>
      <c r="BF57" s="119" t="str">
        <f ca="1">IFERROR(__xludf.DUMMYFUNCTION("""COMPUTED_VALUE"""),"")</f>
        <v/>
      </c>
      <c r="BG57" s="119" t="str">
        <f ca="1">IFERROR(__xludf.DUMMYFUNCTION("""COMPUTED_VALUE"""),"")</f>
        <v/>
      </c>
      <c r="BH57" s="119" t="str">
        <f ca="1">IFERROR(__xludf.DUMMYFUNCTION("""COMPUTED_VALUE"""),"")</f>
        <v/>
      </c>
      <c r="BI57" s="119" t="str">
        <f ca="1">IFERROR(__xludf.DUMMYFUNCTION("""COMPUTED_VALUE"""),"")</f>
        <v/>
      </c>
      <c r="BJ57" s="119" t="str">
        <f ca="1">IFERROR(__xludf.DUMMYFUNCTION("""COMPUTED_VALUE"""),"")</f>
        <v/>
      </c>
      <c r="BK57" s="119" t="str">
        <f ca="1">IFERROR(__xludf.DUMMYFUNCTION("""COMPUTED_VALUE"""),"")</f>
        <v/>
      </c>
      <c r="BL57" s="119" t="str">
        <f ca="1">IFERROR(__xludf.DUMMYFUNCTION("""COMPUTED_VALUE"""),"")</f>
        <v/>
      </c>
      <c r="BM57" s="119" t="str">
        <f ca="1">IFERROR(__xludf.DUMMYFUNCTION("""COMPUTED_VALUE"""),"")</f>
        <v/>
      </c>
      <c r="BN57" s="119" t="str">
        <f ca="1">IFERROR(__xludf.DUMMYFUNCTION("""COMPUTED_VALUE"""),"")</f>
        <v/>
      </c>
      <c r="BO57" s="119" t="str">
        <f ca="1">IFERROR(__xludf.DUMMYFUNCTION("""COMPUTED_VALUE"""),"")</f>
        <v/>
      </c>
      <c r="BP57" s="119" t="str">
        <f ca="1">IFERROR(__xludf.DUMMYFUNCTION("""COMPUTED_VALUE"""),"")</f>
        <v/>
      </c>
      <c r="BQ57" s="119" t="str">
        <f ca="1">IFERROR(__xludf.DUMMYFUNCTION("""COMPUTED_VALUE"""),"")</f>
        <v/>
      </c>
      <c r="BR57" s="119" t="str">
        <f ca="1">IFERROR(__xludf.DUMMYFUNCTION("""COMPUTED_VALUE"""),"")</f>
        <v/>
      </c>
      <c r="BS57" s="119" t="str">
        <f ca="1">IFERROR(__xludf.DUMMYFUNCTION("""COMPUTED_VALUE"""),"")</f>
        <v/>
      </c>
      <c r="BT57" s="119" t="str">
        <f ca="1">IFERROR(__xludf.DUMMYFUNCTION("""COMPUTED_VALUE"""),"")</f>
        <v/>
      </c>
      <c r="BU57" s="119" t="str">
        <f ca="1">IFERROR(__xludf.DUMMYFUNCTION("""COMPUTED_VALUE"""),"")</f>
        <v/>
      </c>
      <c r="BV57" s="119" t="str">
        <f ca="1">IFERROR(__xludf.DUMMYFUNCTION("""COMPUTED_VALUE"""),"")</f>
        <v/>
      </c>
      <c r="BW57" s="119" t="str">
        <f ca="1">IFERROR(__xludf.DUMMYFUNCTION("""COMPUTED_VALUE"""),"")</f>
        <v/>
      </c>
      <c r="BX57" s="119" t="str">
        <f ca="1">IFERROR(__xludf.DUMMYFUNCTION("""COMPUTED_VALUE"""),"")</f>
        <v/>
      </c>
      <c r="BY57" s="119" t="str">
        <f ca="1">IFERROR(__xludf.DUMMYFUNCTION("""COMPUTED_VALUE"""),"")</f>
        <v/>
      </c>
      <c r="BZ57" s="119" t="str">
        <f ca="1">IFERROR(__xludf.DUMMYFUNCTION("""COMPUTED_VALUE"""),"")</f>
        <v/>
      </c>
      <c r="CA57" s="119" t="str">
        <f ca="1">IFERROR(__xludf.DUMMYFUNCTION("""COMPUTED_VALUE"""),"")</f>
        <v/>
      </c>
      <c r="CB57" s="119" t="str">
        <f ca="1">IFERROR(__xludf.DUMMYFUNCTION("""COMPUTED_VALUE"""),"")</f>
        <v/>
      </c>
      <c r="CC57" s="119" t="str">
        <f ca="1">IFERROR(__xludf.DUMMYFUNCTION("""COMPUTED_VALUE"""),"")</f>
        <v/>
      </c>
      <c r="CD57" s="119" t="str">
        <f ca="1">IFERROR(__xludf.DUMMYFUNCTION("""COMPUTED_VALUE"""),"")</f>
        <v/>
      </c>
      <c r="CE57" s="119" t="str">
        <f ca="1">IFERROR(__xludf.DUMMYFUNCTION("""COMPUTED_VALUE"""),"")</f>
        <v/>
      </c>
      <c r="CF57" s="119" t="str">
        <f ca="1">IFERROR(__xludf.DUMMYFUNCTION("""COMPUTED_VALUE"""),"")</f>
        <v/>
      </c>
      <c r="CG57" s="119" t="str">
        <f ca="1">IFERROR(__xludf.DUMMYFUNCTION("""COMPUTED_VALUE"""),"")</f>
        <v/>
      </c>
      <c r="CH57" s="119" t="str">
        <f ca="1">IFERROR(__xludf.DUMMYFUNCTION("""COMPUTED_VALUE"""),"")</f>
        <v/>
      </c>
      <c r="CI57" s="119" t="str">
        <f ca="1">IFERROR(__xludf.DUMMYFUNCTION("""COMPUTED_VALUE"""),"")</f>
        <v/>
      </c>
      <c r="CJ57" s="119" t="str">
        <f ca="1">IFERROR(__xludf.DUMMYFUNCTION("""COMPUTED_VALUE"""),"")</f>
        <v/>
      </c>
      <c r="CK57" s="119" t="str">
        <f ca="1">IFERROR(__xludf.DUMMYFUNCTION("""COMPUTED_VALUE"""),"")</f>
        <v/>
      </c>
      <c r="CL57" s="119" t="str">
        <f ca="1">IFERROR(__xludf.DUMMYFUNCTION("""COMPUTED_VALUE"""),"")</f>
        <v/>
      </c>
      <c r="CM57" s="119" t="str">
        <f ca="1">IFERROR(__xludf.DUMMYFUNCTION("""COMPUTED_VALUE"""),"")</f>
        <v/>
      </c>
      <c r="CN57" s="119" t="str">
        <f ca="1">IFERROR(__xludf.DUMMYFUNCTION("""COMPUTED_VALUE"""),"")</f>
        <v/>
      </c>
      <c r="CO57" s="119" t="str">
        <f ca="1">IFERROR(__xludf.DUMMYFUNCTION("""COMPUTED_VALUE"""),"")</f>
        <v/>
      </c>
      <c r="CP57" s="119" t="str">
        <f ca="1">IFERROR(__xludf.DUMMYFUNCTION("""COMPUTED_VALUE"""),"")</f>
        <v/>
      </c>
      <c r="CQ57" s="119" t="str">
        <f ca="1">IFERROR(__xludf.DUMMYFUNCTION("""COMPUTED_VALUE"""),"")</f>
        <v/>
      </c>
      <c r="CR57" s="119" t="str">
        <f ca="1">IFERROR(__xludf.DUMMYFUNCTION("""COMPUTED_VALUE"""),"")</f>
        <v/>
      </c>
      <c r="CS57" s="119" t="str">
        <f ca="1">IFERROR(__xludf.DUMMYFUNCTION("""COMPUTED_VALUE"""),"")</f>
        <v/>
      </c>
      <c r="CT57" s="119" t="str">
        <f ca="1">IFERROR(__xludf.DUMMYFUNCTION("""COMPUTED_VALUE"""),"")</f>
        <v/>
      </c>
      <c r="CU57" s="119" t="str">
        <f ca="1">IFERROR(__xludf.DUMMYFUNCTION("""COMPUTED_VALUE"""),"")</f>
        <v/>
      </c>
      <c r="CV57" s="119" t="str">
        <f ca="1">IFERROR(__xludf.DUMMYFUNCTION("""COMPUTED_VALUE"""),"")</f>
        <v/>
      </c>
      <c r="CW57" s="119" t="str">
        <f ca="1">IFERROR(__xludf.DUMMYFUNCTION("""COMPUTED_VALUE"""),"")</f>
        <v/>
      </c>
      <c r="CX57" s="119" t="str">
        <f ca="1">IFERROR(__xludf.DUMMYFUNCTION("""COMPUTED_VALUE"""),"")</f>
        <v/>
      </c>
      <c r="CY57" s="119" t="str">
        <f ca="1">IFERROR(__xludf.DUMMYFUNCTION("""COMPUTED_VALUE"""),"")</f>
        <v/>
      </c>
      <c r="CZ57" s="119" t="str">
        <f ca="1">IFERROR(__xludf.DUMMYFUNCTION("""COMPUTED_VALUE"""),"")</f>
        <v/>
      </c>
      <c r="DA57" s="119" t="str">
        <f ca="1">IFERROR(__xludf.DUMMYFUNCTION("""COMPUTED_VALUE"""),"")</f>
        <v/>
      </c>
      <c r="DB57" s="119" t="str">
        <f ca="1">IFERROR(__xludf.DUMMYFUNCTION("""COMPUTED_VALUE"""),"")</f>
        <v/>
      </c>
      <c r="DC57" s="119" t="str">
        <f ca="1">IFERROR(__xludf.DUMMYFUNCTION("""COMPUTED_VALUE"""),"")</f>
        <v/>
      </c>
      <c r="DD57" s="119" t="str">
        <f ca="1">IFERROR(__xludf.DUMMYFUNCTION("""COMPUTED_VALUE"""),"")</f>
        <v/>
      </c>
      <c r="DE57" s="119" t="str">
        <f ca="1">IFERROR(__xludf.DUMMYFUNCTION("""COMPUTED_VALUE"""),"")</f>
        <v/>
      </c>
      <c r="DF57" s="119" t="str">
        <f ca="1">IFERROR(__xludf.DUMMYFUNCTION("""COMPUTED_VALUE"""),"")</f>
        <v/>
      </c>
      <c r="DG57" s="119" t="str">
        <f ca="1">IFERROR(__xludf.DUMMYFUNCTION("""COMPUTED_VALUE"""),"")</f>
        <v/>
      </c>
      <c r="DH57" s="119" t="str">
        <f ca="1">IFERROR(__xludf.DUMMYFUNCTION("""COMPUTED_VALUE"""),"")</f>
        <v/>
      </c>
      <c r="DI57" s="119" t="str">
        <f ca="1">IFERROR(__xludf.DUMMYFUNCTION("""COMPUTED_VALUE"""),"")</f>
        <v/>
      </c>
      <c r="DJ57" s="119" t="str">
        <f ca="1">IFERROR(__xludf.DUMMYFUNCTION("""COMPUTED_VALUE"""),"")</f>
        <v/>
      </c>
      <c r="DK57" s="119" t="str">
        <f ca="1">IFERROR(__xludf.DUMMYFUNCTION("""COMPUTED_VALUE"""),"")</f>
        <v/>
      </c>
      <c r="DL57" s="119" t="str">
        <f ca="1">IFERROR(__xludf.DUMMYFUNCTION("""COMPUTED_VALUE"""),"")</f>
        <v/>
      </c>
      <c r="DM57" s="119" t="str">
        <f ca="1">IFERROR(__xludf.DUMMYFUNCTION("""COMPUTED_VALUE"""),"")</f>
        <v/>
      </c>
      <c r="DN57" s="119" t="str">
        <f ca="1">IFERROR(__xludf.DUMMYFUNCTION("""COMPUTED_VALUE"""),"")</f>
        <v/>
      </c>
      <c r="DO57" s="119" t="str">
        <f ca="1">IFERROR(__xludf.DUMMYFUNCTION("""COMPUTED_VALUE"""),"")</f>
        <v/>
      </c>
      <c r="DP57" s="119" t="str">
        <f ca="1">IFERROR(__xludf.DUMMYFUNCTION("""COMPUTED_VALUE"""),"")</f>
        <v/>
      </c>
      <c r="DQ57" s="119" t="str">
        <f ca="1">IFERROR(__xludf.DUMMYFUNCTION("""COMPUTED_VALUE"""),"")</f>
        <v/>
      </c>
      <c r="DR57" s="119" t="str">
        <f ca="1">IFERROR(__xludf.DUMMYFUNCTION("""COMPUTED_VALUE"""),"")</f>
        <v/>
      </c>
      <c r="DS57" s="119" t="str">
        <f ca="1">IFERROR(__xludf.DUMMYFUNCTION("""COMPUTED_VALUE"""),"")</f>
        <v/>
      </c>
      <c r="DT57" s="119" t="str">
        <f ca="1">IFERROR(__xludf.DUMMYFUNCTION("""COMPUTED_VALUE"""),"")</f>
        <v/>
      </c>
      <c r="DU57" s="119" t="str">
        <f ca="1">IFERROR(__xludf.DUMMYFUNCTION("""COMPUTED_VALUE"""),"")</f>
        <v/>
      </c>
      <c r="DV57" s="119" t="str">
        <f ca="1">IFERROR(__xludf.DUMMYFUNCTION("""COMPUTED_VALUE"""),"")</f>
        <v/>
      </c>
      <c r="DW57" s="119" t="str">
        <f ca="1">IFERROR(__xludf.DUMMYFUNCTION("""COMPUTED_VALUE"""),"")</f>
        <v/>
      </c>
      <c r="DX57" s="119" t="str">
        <f ca="1">IFERROR(__xludf.DUMMYFUNCTION("""COMPUTED_VALUE"""),"")</f>
        <v/>
      </c>
      <c r="DY57" s="119" t="str">
        <f ca="1">IFERROR(__xludf.DUMMYFUNCTION("""COMPUTED_VALUE"""),"")</f>
        <v/>
      </c>
      <c r="DZ57" s="119" t="str">
        <f ca="1">IFERROR(__xludf.DUMMYFUNCTION("""COMPUTED_VALUE"""),"")</f>
        <v/>
      </c>
      <c r="EA57" s="119" t="str">
        <f ca="1">IFERROR(__xludf.DUMMYFUNCTION("""COMPUTED_VALUE"""),"")</f>
        <v/>
      </c>
      <c r="EB57" s="119" t="str">
        <f ca="1">IFERROR(__xludf.DUMMYFUNCTION("""COMPUTED_VALUE"""),"")</f>
        <v/>
      </c>
      <c r="EC57" s="119" t="str">
        <f ca="1">IFERROR(__xludf.DUMMYFUNCTION("""COMPUTED_VALUE"""),"")</f>
        <v/>
      </c>
      <c r="ED57" s="119" t="str">
        <f ca="1">IFERROR(__xludf.DUMMYFUNCTION("""COMPUTED_VALUE"""),"")</f>
        <v/>
      </c>
      <c r="EE57" s="119" t="str">
        <f ca="1">IFERROR(__xludf.DUMMYFUNCTION("""COMPUTED_VALUE"""),"")</f>
        <v/>
      </c>
      <c r="EF57" s="119" t="str">
        <f ca="1">IFERROR(__xludf.DUMMYFUNCTION("""COMPUTED_VALUE"""),"")</f>
        <v/>
      </c>
      <c r="EG57" s="119" t="str">
        <f ca="1">IFERROR(__xludf.DUMMYFUNCTION("""COMPUTED_VALUE"""),"")</f>
        <v/>
      </c>
      <c r="EH57" s="119" t="str">
        <f ca="1">IFERROR(__xludf.DUMMYFUNCTION("""COMPUTED_VALUE"""),"")</f>
        <v/>
      </c>
      <c r="EI57" s="119" t="str">
        <f ca="1">IFERROR(__xludf.DUMMYFUNCTION("""COMPUTED_VALUE"""),"")</f>
        <v/>
      </c>
      <c r="EJ57" s="119" t="str">
        <f ca="1">IFERROR(__xludf.DUMMYFUNCTION("""COMPUTED_VALUE"""),"")</f>
        <v/>
      </c>
      <c r="EK57" s="119" t="str">
        <f ca="1">IFERROR(__xludf.DUMMYFUNCTION("""COMPUTED_VALUE"""),"")</f>
        <v/>
      </c>
      <c r="EL57" s="119" t="str">
        <f ca="1">IFERROR(__xludf.DUMMYFUNCTION("""COMPUTED_VALUE"""),"")</f>
        <v/>
      </c>
      <c r="EM57" s="119" t="str">
        <f ca="1">IFERROR(__xludf.DUMMYFUNCTION("""COMPUTED_VALUE"""),"")</f>
        <v/>
      </c>
      <c r="EN57" s="119" t="str">
        <f ca="1">IFERROR(__xludf.DUMMYFUNCTION("""COMPUTED_VALUE"""),"")</f>
        <v/>
      </c>
      <c r="EO57" s="119" t="str">
        <f ca="1">IFERROR(__xludf.DUMMYFUNCTION("""COMPUTED_VALUE"""),"")</f>
        <v/>
      </c>
      <c r="EP57" s="119" t="str">
        <f ca="1">IFERROR(__xludf.DUMMYFUNCTION("""COMPUTED_VALUE"""),"")</f>
        <v/>
      </c>
      <c r="EQ57" s="119" t="str">
        <f ca="1">IFERROR(__xludf.DUMMYFUNCTION("""COMPUTED_VALUE"""),"")</f>
        <v/>
      </c>
      <c r="ER57" s="119" t="str">
        <f ca="1">IFERROR(__xludf.DUMMYFUNCTION("""COMPUTED_VALUE"""),"")</f>
        <v/>
      </c>
      <c r="ES57" s="119" t="str">
        <f ca="1">IFERROR(__xludf.DUMMYFUNCTION("""COMPUTED_VALUE"""),"")</f>
        <v/>
      </c>
      <c r="ET57" s="119" t="str">
        <f ca="1">IFERROR(__xludf.DUMMYFUNCTION("""COMPUTED_VALUE"""),"")</f>
        <v/>
      </c>
      <c r="EU57" s="119" t="str">
        <f ca="1">IFERROR(__xludf.DUMMYFUNCTION("""COMPUTED_VALUE"""),"")</f>
        <v/>
      </c>
      <c r="EV57" s="119" t="str">
        <f ca="1">IFERROR(__xludf.DUMMYFUNCTION("""COMPUTED_VALUE"""),"")</f>
        <v/>
      </c>
      <c r="EW57" s="119" t="str">
        <f ca="1">IFERROR(__xludf.DUMMYFUNCTION("""COMPUTED_VALUE"""),"")</f>
        <v/>
      </c>
      <c r="EX57" s="117" t="str">
        <f ca="1">IFERROR(__xludf.DUMMYFUNCTION("""COMPUTED_VALUE"""),"")</f>
        <v/>
      </c>
      <c r="EY57" s="117" t="str">
        <f ca="1">IFERROR(__xludf.DUMMYFUNCTION("""COMPUTED_VALUE"""),"")</f>
        <v/>
      </c>
      <c r="EZ57" s="117" t="str">
        <f ca="1">IFERROR(__xludf.DUMMYFUNCTION("""COMPUTED_VALUE"""),"")</f>
        <v/>
      </c>
      <c r="FA57" s="117" t="str">
        <f ca="1">IFERROR(__xludf.DUMMYFUNCTION("""COMPUTED_VALUE"""),"")</f>
        <v/>
      </c>
      <c r="FB57" s="117" t="str">
        <f ca="1">IFERROR(__xludf.DUMMYFUNCTION("""COMPUTED_VALUE"""),"")</f>
        <v/>
      </c>
      <c r="FC57" s="117" t="str">
        <f ca="1">IFERROR(__xludf.DUMMYFUNCTION("""COMPUTED_VALUE"""),"")</f>
        <v/>
      </c>
      <c r="FD57" s="117" t="str">
        <f ca="1">IFERROR(__xludf.DUMMYFUNCTION("""COMPUTED_VALUE"""),"")</f>
        <v/>
      </c>
      <c r="FE57" s="117" t="str">
        <f ca="1">IFERROR(__xludf.DUMMYFUNCTION("""COMPUTED_VALUE"""),"")</f>
        <v/>
      </c>
      <c r="FF57" s="117" t="str">
        <f ca="1">IFERROR(__xludf.DUMMYFUNCTION("""COMPUTED_VALUE"""),"")</f>
        <v/>
      </c>
      <c r="FG57" s="117" t="str">
        <f ca="1">IFERROR(__xludf.DUMMYFUNCTION("""COMPUTED_VALUE"""),"")</f>
        <v/>
      </c>
      <c r="FH57" s="117" t="str">
        <f ca="1">IFERROR(__xludf.DUMMYFUNCTION("""COMPUTED_VALUE"""),"")</f>
        <v/>
      </c>
      <c r="FI57" s="117" t="str">
        <f ca="1">IFERROR(__xludf.DUMMYFUNCTION("""COMPUTED_VALUE"""),"")</f>
        <v/>
      </c>
      <c r="FJ57" s="117" t="str">
        <f ca="1">IFERROR(__xludf.DUMMYFUNCTION("""COMPUTED_VALUE"""),"")</f>
        <v/>
      </c>
      <c r="FK57" s="117" t="str">
        <f ca="1">IFERROR(__xludf.DUMMYFUNCTION("""COMPUTED_VALUE"""),"")</f>
        <v/>
      </c>
      <c r="FL57" s="117" t="str">
        <f ca="1">IFERROR(__xludf.DUMMYFUNCTION("""COMPUTED_VALUE"""),"")</f>
        <v/>
      </c>
      <c r="FM57" s="117" t="str">
        <f ca="1">IFERROR(__xludf.DUMMYFUNCTION("""COMPUTED_VALUE"""),"")</f>
        <v/>
      </c>
      <c r="FN57" s="117" t="str">
        <f ca="1">IFERROR(__xludf.DUMMYFUNCTION("""COMPUTED_VALUE"""),"")</f>
        <v/>
      </c>
      <c r="FO57" s="117" t="str">
        <f ca="1">IFERROR(__xludf.DUMMYFUNCTION("""COMPUTED_VALUE"""),"")</f>
        <v/>
      </c>
    </row>
    <row r="58" spans="1:171" ht="15.75" customHeight="1" x14ac:dyDescent="0.15">
      <c r="A58" s="115" t="str">
        <f ca="1">IFERROR(__xludf.DUMMYFUNCTION("""COMPUTED_VALUE"""),"")</f>
        <v/>
      </c>
      <c r="B58" s="119" t="str">
        <f ca="1">IFERROR(__xludf.DUMMYFUNCTION("""COMPUTED_VALUE"""),"")</f>
        <v/>
      </c>
      <c r="C58" s="119" t="str">
        <f ca="1">IFERROR(__xludf.DUMMYFUNCTION("""COMPUTED_VALUE"""),"")</f>
        <v/>
      </c>
      <c r="D58" s="119" t="str">
        <f ca="1">IFERROR(__xludf.DUMMYFUNCTION("""COMPUTED_VALUE"""),"")</f>
        <v/>
      </c>
      <c r="E58" s="119" t="str">
        <f ca="1">IFERROR(__xludf.DUMMYFUNCTION("""COMPUTED_VALUE"""),"")</f>
        <v/>
      </c>
      <c r="F58" s="119" t="str">
        <f ca="1">IFERROR(__xludf.DUMMYFUNCTION("""COMPUTED_VALUE"""),"")</f>
        <v/>
      </c>
      <c r="G58" s="119" t="str">
        <f ca="1">IFERROR(__xludf.DUMMYFUNCTION("""COMPUTED_VALUE"""),"")</f>
        <v/>
      </c>
      <c r="H58" s="119" t="str">
        <f ca="1">IFERROR(__xludf.DUMMYFUNCTION("""COMPUTED_VALUE"""),"")</f>
        <v/>
      </c>
      <c r="I58" s="119" t="str">
        <f ca="1">IFERROR(__xludf.DUMMYFUNCTION("""COMPUTED_VALUE"""),"")</f>
        <v/>
      </c>
      <c r="J58" s="119" t="str">
        <f ca="1">IFERROR(__xludf.DUMMYFUNCTION("""COMPUTED_VALUE"""),"")</f>
        <v/>
      </c>
      <c r="K58" s="119" t="str">
        <f ca="1">IFERROR(__xludf.DUMMYFUNCTION("""COMPUTED_VALUE"""),"")</f>
        <v/>
      </c>
      <c r="L58" s="119" t="str">
        <f ca="1">IFERROR(__xludf.DUMMYFUNCTION("""COMPUTED_VALUE"""),"")</f>
        <v/>
      </c>
      <c r="M58" s="119" t="str">
        <f ca="1">IFERROR(__xludf.DUMMYFUNCTION("""COMPUTED_VALUE"""),"")</f>
        <v/>
      </c>
      <c r="N58" s="119" t="str">
        <f ca="1">IFERROR(__xludf.DUMMYFUNCTION("""COMPUTED_VALUE"""),"")</f>
        <v/>
      </c>
      <c r="O58" s="119" t="str">
        <f ca="1">IFERROR(__xludf.DUMMYFUNCTION("""COMPUTED_VALUE"""),"")</f>
        <v/>
      </c>
      <c r="P58" s="119" t="str">
        <f ca="1">IFERROR(__xludf.DUMMYFUNCTION("""COMPUTED_VALUE"""),"")</f>
        <v/>
      </c>
      <c r="Q58" s="119" t="str">
        <f ca="1">IFERROR(__xludf.DUMMYFUNCTION("""COMPUTED_VALUE"""),"")</f>
        <v/>
      </c>
      <c r="R58" s="119" t="str">
        <f ca="1">IFERROR(__xludf.DUMMYFUNCTION("""COMPUTED_VALUE"""),"")</f>
        <v/>
      </c>
      <c r="S58" s="119" t="str">
        <f ca="1">IFERROR(__xludf.DUMMYFUNCTION("""COMPUTED_VALUE"""),"")</f>
        <v/>
      </c>
      <c r="T58" s="119" t="str">
        <f ca="1">IFERROR(__xludf.DUMMYFUNCTION("""COMPUTED_VALUE"""),"")</f>
        <v/>
      </c>
      <c r="U58" s="119" t="str">
        <f ca="1">IFERROR(__xludf.DUMMYFUNCTION("""COMPUTED_VALUE"""),"")</f>
        <v/>
      </c>
      <c r="V58" s="119" t="str">
        <f ca="1">IFERROR(__xludf.DUMMYFUNCTION("""COMPUTED_VALUE"""),"")</f>
        <v/>
      </c>
      <c r="W58" s="119" t="str">
        <f ca="1">IFERROR(__xludf.DUMMYFUNCTION("""COMPUTED_VALUE"""),"")</f>
        <v/>
      </c>
      <c r="X58" s="119" t="str">
        <f ca="1">IFERROR(__xludf.DUMMYFUNCTION("""COMPUTED_VALUE"""),"")</f>
        <v/>
      </c>
      <c r="Y58" s="119" t="str">
        <f ca="1">IFERROR(__xludf.DUMMYFUNCTION("""COMPUTED_VALUE"""),"")</f>
        <v/>
      </c>
      <c r="Z58" s="119" t="str">
        <f ca="1">IFERROR(__xludf.DUMMYFUNCTION("""COMPUTED_VALUE"""),"")</f>
        <v/>
      </c>
      <c r="AA58" s="119" t="str">
        <f ca="1">IFERROR(__xludf.DUMMYFUNCTION("""COMPUTED_VALUE"""),"")</f>
        <v/>
      </c>
      <c r="AB58" s="119" t="str">
        <f ca="1">IFERROR(__xludf.DUMMYFUNCTION("""COMPUTED_VALUE"""),"")</f>
        <v/>
      </c>
      <c r="AC58" s="119" t="str">
        <f ca="1">IFERROR(__xludf.DUMMYFUNCTION("""COMPUTED_VALUE"""),"")</f>
        <v/>
      </c>
      <c r="AD58" s="119" t="str">
        <f ca="1">IFERROR(__xludf.DUMMYFUNCTION("""COMPUTED_VALUE"""),"")</f>
        <v/>
      </c>
      <c r="AE58" s="119" t="str">
        <f ca="1">IFERROR(__xludf.DUMMYFUNCTION("""COMPUTED_VALUE"""),"")</f>
        <v/>
      </c>
      <c r="AF58" s="119" t="str">
        <f ca="1">IFERROR(__xludf.DUMMYFUNCTION("""COMPUTED_VALUE"""),"")</f>
        <v/>
      </c>
      <c r="AG58" s="119" t="str">
        <f ca="1">IFERROR(__xludf.DUMMYFUNCTION("""COMPUTED_VALUE"""),"")</f>
        <v/>
      </c>
      <c r="AH58" s="119" t="str">
        <f ca="1">IFERROR(__xludf.DUMMYFUNCTION("""COMPUTED_VALUE"""),"")</f>
        <v/>
      </c>
      <c r="AI58" s="119" t="str">
        <f ca="1">IFERROR(__xludf.DUMMYFUNCTION("""COMPUTED_VALUE"""),"")</f>
        <v/>
      </c>
      <c r="AJ58" s="119" t="str">
        <f ca="1">IFERROR(__xludf.DUMMYFUNCTION("""COMPUTED_VALUE"""),"")</f>
        <v/>
      </c>
      <c r="AK58" s="119" t="str">
        <f ca="1">IFERROR(__xludf.DUMMYFUNCTION("""COMPUTED_VALUE"""),"")</f>
        <v/>
      </c>
      <c r="AL58" s="119" t="str">
        <f ca="1">IFERROR(__xludf.DUMMYFUNCTION("""COMPUTED_VALUE"""),"")</f>
        <v/>
      </c>
      <c r="AM58" s="119" t="str">
        <f ca="1">IFERROR(__xludf.DUMMYFUNCTION("""COMPUTED_VALUE"""),"")</f>
        <v/>
      </c>
      <c r="AN58" s="119" t="str">
        <f ca="1">IFERROR(__xludf.DUMMYFUNCTION("""COMPUTED_VALUE"""),"")</f>
        <v/>
      </c>
      <c r="AO58" s="119" t="str">
        <f ca="1">IFERROR(__xludf.DUMMYFUNCTION("""COMPUTED_VALUE"""),"")</f>
        <v/>
      </c>
      <c r="AP58" s="119" t="str">
        <f ca="1">IFERROR(__xludf.DUMMYFUNCTION("""COMPUTED_VALUE"""),"")</f>
        <v/>
      </c>
      <c r="AQ58" s="119" t="str">
        <f ca="1">IFERROR(__xludf.DUMMYFUNCTION("""COMPUTED_VALUE"""),"")</f>
        <v/>
      </c>
      <c r="AR58" s="118" t="str">
        <f ca="1">IFERROR(__xludf.DUMMYFUNCTION("""COMPUTED_VALUE"""),"")</f>
        <v/>
      </c>
      <c r="AS58" s="119" t="str">
        <f ca="1">IFERROR(__xludf.DUMMYFUNCTION("""COMPUTED_VALUE"""),"")</f>
        <v/>
      </c>
      <c r="AT58" s="119" t="str">
        <f ca="1">IFERROR(__xludf.DUMMYFUNCTION("""COMPUTED_VALUE"""),"")</f>
        <v/>
      </c>
      <c r="AU58" s="119" t="str">
        <f ca="1">IFERROR(__xludf.DUMMYFUNCTION("""COMPUTED_VALUE"""),"")</f>
        <v/>
      </c>
      <c r="AV58" s="119" t="str">
        <f ca="1">IFERROR(__xludf.DUMMYFUNCTION("""COMPUTED_VALUE"""),"")</f>
        <v/>
      </c>
      <c r="AW58" s="119" t="str">
        <f ca="1">IFERROR(__xludf.DUMMYFUNCTION("""COMPUTED_VALUE"""),"")</f>
        <v/>
      </c>
      <c r="AX58" s="119" t="str">
        <f ca="1">IFERROR(__xludf.DUMMYFUNCTION("""COMPUTED_VALUE"""),"")</f>
        <v/>
      </c>
      <c r="AY58" s="119" t="str">
        <f ca="1">IFERROR(__xludf.DUMMYFUNCTION("""COMPUTED_VALUE"""),"")</f>
        <v/>
      </c>
      <c r="AZ58" s="119" t="str">
        <f ca="1">IFERROR(__xludf.DUMMYFUNCTION("""COMPUTED_VALUE"""),"")</f>
        <v/>
      </c>
      <c r="BA58" s="119" t="str">
        <f ca="1">IFERROR(__xludf.DUMMYFUNCTION("""COMPUTED_VALUE"""),"")</f>
        <v/>
      </c>
      <c r="BB58" s="119" t="str">
        <f ca="1">IFERROR(__xludf.DUMMYFUNCTION("""COMPUTED_VALUE"""),"")</f>
        <v/>
      </c>
      <c r="BC58" s="119" t="str">
        <f ca="1">IFERROR(__xludf.DUMMYFUNCTION("""COMPUTED_VALUE"""),"")</f>
        <v/>
      </c>
      <c r="BD58" s="119" t="str">
        <f ca="1">IFERROR(__xludf.DUMMYFUNCTION("""COMPUTED_VALUE"""),"")</f>
        <v/>
      </c>
      <c r="BE58" s="119" t="str">
        <f ca="1">IFERROR(__xludf.DUMMYFUNCTION("""COMPUTED_VALUE"""),"")</f>
        <v/>
      </c>
      <c r="BF58" s="119" t="str">
        <f ca="1">IFERROR(__xludf.DUMMYFUNCTION("""COMPUTED_VALUE"""),"")</f>
        <v/>
      </c>
      <c r="BG58" s="119" t="str">
        <f ca="1">IFERROR(__xludf.DUMMYFUNCTION("""COMPUTED_VALUE"""),"")</f>
        <v/>
      </c>
      <c r="BH58" s="119" t="str">
        <f ca="1">IFERROR(__xludf.DUMMYFUNCTION("""COMPUTED_VALUE"""),"")</f>
        <v/>
      </c>
      <c r="BI58" s="119" t="str">
        <f ca="1">IFERROR(__xludf.DUMMYFUNCTION("""COMPUTED_VALUE"""),"")</f>
        <v/>
      </c>
      <c r="BJ58" s="119" t="str">
        <f ca="1">IFERROR(__xludf.DUMMYFUNCTION("""COMPUTED_VALUE"""),"")</f>
        <v/>
      </c>
      <c r="BK58" s="119" t="str">
        <f ca="1">IFERROR(__xludf.DUMMYFUNCTION("""COMPUTED_VALUE"""),"")</f>
        <v/>
      </c>
      <c r="BL58" s="119" t="str">
        <f ca="1">IFERROR(__xludf.DUMMYFUNCTION("""COMPUTED_VALUE"""),"")</f>
        <v/>
      </c>
      <c r="BM58" s="119" t="str">
        <f ca="1">IFERROR(__xludf.DUMMYFUNCTION("""COMPUTED_VALUE"""),"")</f>
        <v/>
      </c>
      <c r="BN58" s="119" t="str">
        <f ca="1">IFERROR(__xludf.DUMMYFUNCTION("""COMPUTED_VALUE"""),"")</f>
        <v/>
      </c>
      <c r="BO58" s="119" t="str">
        <f ca="1">IFERROR(__xludf.DUMMYFUNCTION("""COMPUTED_VALUE"""),"")</f>
        <v/>
      </c>
      <c r="BP58" s="119" t="str">
        <f ca="1">IFERROR(__xludf.DUMMYFUNCTION("""COMPUTED_VALUE"""),"")</f>
        <v/>
      </c>
      <c r="BQ58" s="119" t="str">
        <f ca="1">IFERROR(__xludf.DUMMYFUNCTION("""COMPUTED_VALUE"""),"")</f>
        <v/>
      </c>
      <c r="BR58" s="119" t="str">
        <f ca="1">IFERROR(__xludf.DUMMYFUNCTION("""COMPUTED_VALUE"""),"")</f>
        <v/>
      </c>
      <c r="BS58" s="119" t="str">
        <f ca="1">IFERROR(__xludf.DUMMYFUNCTION("""COMPUTED_VALUE"""),"")</f>
        <v/>
      </c>
      <c r="BT58" s="119" t="str">
        <f ca="1">IFERROR(__xludf.DUMMYFUNCTION("""COMPUTED_VALUE"""),"")</f>
        <v/>
      </c>
      <c r="BU58" s="119" t="str">
        <f ca="1">IFERROR(__xludf.DUMMYFUNCTION("""COMPUTED_VALUE"""),"")</f>
        <v/>
      </c>
      <c r="BV58" s="119" t="str">
        <f ca="1">IFERROR(__xludf.DUMMYFUNCTION("""COMPUTED_VALUE"""),"")</f>
        <v/>
      </c>
      <c r="BW58" s="119" t="str">
        <f ca="1">IFERROR(__xludf.DUMMYFUNCTION("""COMPUTED_VALUE"""),"")</f>
        <v/>
      </c>
      <c r="BX58" s="119" t="str">
        <f ca="1">IFERROR(__xludf.DUMMYFUNCTION("""COMPUTED_VALUE"""),"")</f>
        <v/>
      </c>
      <c r="BY58" s="119" t="str">
        <f ca="1">IFERROR(__xludf.DUMMYFUNCTION("""COMPUTED_VALUE"""),"")</f>
        <v/>
      </c>
      <c r="BZ58" s="119" t="str">
        <f ca="1">IFERROR(__xludf.DUMMYFUNCTION("""COMPUTED_VALUE"""),"")</f>
        <v/>
      </c>
      <c r="CA58" s="119" t="str">
        <f ca="1">IFERROR(__xludf.DUMMYFUNCTION("""COMPUTED_VALUE"""),"")</f>
        <v/>
      </c>
      <c r="CB58" s="119" t="str">
        <f ca="1">IFERROR(__xludf.DUMMYFUNCTION("""COMPUTED_VALUE"""),"")</f>
        <v/>
      </c>
      <c r="CC58" s="119" t="str">
        <f ca="1">IFERROR(__xludf.DUMMYFUNCTION("""COMPUTED_VALUE"""),"")</f>
        <v/>
      </c>
      <c r="CD58" s="119" t="str">
        <f ca="1">IFERROR(__xludf.DUMMYFUNCTION("""COMPUTED_VALUE"""),"")</f>
        <v/>
      </c>
      <c r="CE58" s="119" t="str">
        <f ca="1">IFERROR(__xludf.DUMMYFUNCTION("""COMPUTED_VALUE"""),"")</f>
        <v/>
      </c>
      <c r="CF58" s="119" t="str">
        <f ca="1">IFERROR(__xludf.DUMMYFUNCTION("""COMPUTED_VALUE"""),"")</f>
        <v/>
      </c>
      <c r="CG58" s="119" t="str">
        <f ca="1">IFERROR(__xludf.DUMMYFUNCTION("""COMPUTED_VALUE"""),"")</f>
        <v/>
      </c>
      <c r="CH58" s="119" t="str">
        <f ca="1">IFERROR(__xludf.DUMMYFUNCTION("""COMPUTED_VALUE"""),"")</f>
        <v/>
      </c>
      <c r="CI58" s="119" t="str">
        <f ca="1">IFERROR(__xludf.DUMMYFUNCTION("""COMPUTED_VALUE"""),"")</f>
        <v/>
      </c>
      <c r="CJ58" s="119" t="str">
        <f ca="1">IFERROR(__xludf.DUMMYFUNCTION("""COMPUTED_VALUE"""),"")</f>
        <v/>
      </c>
      <c r="CK58" s="119" t="str">
        <f ca="1">IFERROR(__xludf.DUMMYFUNCTION("""COMPUTED_VALUE"""),"")</f>
        <v/>
      </c>
      <c r="CL58" s="119" t="str">
        <f ca="1">IFERROR(__xludf.DUMMYFUNCTION("""COMPUTED_VALUE"""),"")</f>
        <v/>
      </c>
      <c r="CM58" s="119" t="str">
        <f ca="1">IFERROR(__xludf.DUMMYFUNCTION("""COMPUTED_VALUE"""),"")</f>
        <v/>
      </c>
      <c r="CN58" s="119" t="str">
        <f ca="1">IFERROR(__xludf.DUMMYFUNCTION("""COMPUTED_VALUE"""),"")</f>
        <v/>
      </c>
      <c r="CO58" s="119" t="str">
        <f ca="1">IFERROR(__xludf.DUMMYFUNCTION("""COMPUTED_VALUE"""),"")</f>
        <v/>
      </c>
      <c r="CP58" s="119" t="str">
        <f ca="1">IFERROR(__xludf.DUMMYFUNCTION("""COMPUTED_VALUE"""),"")</f>
        <v/>
      </c>
      <c r="CQ58" s="119" t="str">
        <f ca="1">IFERROR(__xludf.DUMMYFUNCTION("""COMPUTED_VALUE"""),"")</f>
        <v/>
      </c>
      <c r="CR58" s="119" t="str">
        <f ca="1">IFERROR(__xludf.DUMMYFUNCTION("""COMPUTED_VALUE"""),"")</f>
        <v/>
      </c>
      <c r="CS58" s="119" t="str">
        <f ca="1">IFERROR(__xludf.DUMMYFUNCTION("""COMPUTED_VALUE"""),"")</f>
        <v/>
      </c>
      <c r="CT58" s="119" t="str">
        <f ca="1">IFERROR(__xludf.DUMMYFUNCTION("""COMPUTED_VALUE"""),"")</f>
        <v/>
      </c>
      <c r="CU58" s="119" t="str">
        <f ca="1">IFERROR(__xludf.DUMMYFUNCTION("""COMPUTED_VALUE"""),"")</f>
        <v/>
      </c>
      <c r="CV58" s="119" t="str">
        <f ca="1">IFERROR(__xludf.DUMMYFUNCTION("""COMPUTED_VALUE"""),"")</f>
        <v/>
      </c>
      <c r="CW58" s="119" t="str">
        <f ca="1">IFERROR(__xludf.DUMMYFUNCTION("""COMPUTED_VALUE"""),"")</f>
        <v/>
      </c>
      <c r="CX58" s="119" t="str">
        <f ca="1">IFERROR(__xludf.DUMMYFUNCTION("""COMPUTED_VALUE"""),"")</f>
        <v/>
      </c>
      <c r="CY58" s="119" t="str">
        <f ca="1">IFERROR(__xludf.DUMMYFUNCTION("""COMPUTED_VALUE"""),"")</f>
        <v/>
      </c>
      <c r="CZ58" s="119" t="str">
        <f ca="1">IFERROR(__xludf.DUMMYFUNCTION("""COMPUTED_VALUE"""),"")</f>
        <v/>
      </c>
      <c r="DA58" s="119" t="str">
        <f ca="1">IFERROR(__xludf.DUMMYFUNCTION("""COMPUTED_VALUE"""),"")</f>
        <v/>
      </c>
      <c r="DB58" s="119" t="str">
        <f ca="1">IFERROR(__xludf.DUMMYFUNCTION("""COMPUTED_VALUE"""),"")</f>
        <v/>
      </c>
      <c r="DC58" s="119" t="str">
        <f ca="1">IFERROR(__xludf.DUMMYFUNCTION("""COMPUTED_VALUE"""),"")</f>
        <v/>
      </c>
      <c r="DD58" s="119" t="str">
        <f ca="1">IFERROR(__xludf.DUMMYFUNCTION("""COMPUTED_VALUE"""),"")</f>
        <v/>
      </c>
      <c r="DE58" s="119" t="str">
        <f ca="1">IFERROR(__xludf.DUMMYFUNCTION("""COMPUTED_VALUE"""),"")</f>
        <v/>
      </c>
      <c r="DF58" s="119" t="str">
        <f ca="1">IFERROR(__xludf.DUMMYFUNCTION("""COMPUTED_VALUE"""),"")</f>
        <v/>
      </c>
      <c r="DG58" s="119" t="str">
        <f ca="1">IFERROR(__xludf.DUMMYFUNCTION("""COMPUTED_VALUE"""),"")</f>
        <v/>
      </c>
      <c r="DH58" s="119" t="str">
        <f ca="1">IFERROR(__xludf.DUMMYFUNCTION("""COMPUTED_VALUE"""),"")</f>
        <v/>
      </c>
      <c r="DI58" s="119" t="str">
        <f ca="1">IFERROR(__xludf.DUMMYFUNCTION("""COMPUTED_VALUE"""),"")</f>
        <v/>
      </c>
      <c r="DJ58" s="119" t="str">
        <f ca="1">IFERROR(__xludf.DUMMYFUNCTION("""COMPUTED_VALUE"""),"")</f>
        <v/>
      </c>
      <c r="DK58" s="119" t="str">
        <f ca="1">IFERROR(__xludf.DUMMYFUNCTION("""COMPUTED_VALUE"""),"")</f>
        <v/>
      </c>
      <c r="DL58" s="119" t="str">
        <f ca="1">IFERROR(__xludf.DUMMYFUNCTION("""COMPUTED_VALUE"""),"")</f>
        <v/>
      </c>
      <c r="DM58" s="119" t="str">
        <f ca="1">IFERROR(__xludf.DUMMYFUNCTION("""COMPUTED_VALUE"""),"")</f>
        <v/>
      </c>
      <c r="DN58" s="119" t="str">
        <f ca="1">IFERROR(__xludf.DUMMYFUNCTION("""COMPUTED_VALUE"""),"")</f>
        <v/>
      </c>
      <c r="DO58" s="119" t="str">
        <f ca="1">IFERROR(__xludf.DUMMYFUNCTION("""COMPUTED_VALUE"""),"")</f>
        <v/>
      </c>
      <c r="DP58" s="119" t="str">
        <f ca="1">IFERROR(__xludf.DUMMYFUNCTION("""COMPUTED_VALUE"""),"")</f>
        <v/>
      </c>
      <c r="DQ58" s="119" t="str">
        <f ca="1">IFERROR(__xludf.DUMMYFUNCTION("""COMPUTED_VALUE"""),"")</f>
        <v/>
      </c>
      <c r="DR58" s="119" t="str">
        <f ca="1">IFERROR(__xludf.DUMMYFUNCTION("""COMPUTED_VALUE"""),"")</f>
        <v/>
      </c>
      <c r="DS58" s="119" t="str">
        <f ca="1">IFERROR(__xludf.DUMMYFUNCTION("""COMPUTED_VALUE"""),"")</f>
        <v/>
      </c>
      <c r="DT58" s="119" t="str">
        <f ca="1">IFERROR(__xludf.DUMMYFUNCTION("""COMPUTED_VALUE"""),"")</f>
        <v/>
      </c>
      <c r="DU58" s="119" t="str">
        <f ca="1">IFERROR(__xludf.DUMMYFUNCTION("""COMPUTED_VALUE"""),"")</f>
        <v/>
      </c>
      <c r="DV58" s="119" t="str">
        <f ca="1">IFERROR(__xludf.DUMMYFUNCTION("""COMPUTED_VALUE"""),"")</f>
        <v/>
      </c>
      <c r="DW58" s="119" t="str">
        <f ca="1">IFERROR(__xludf.DUMMYFUNCTION("""COMPUTED_VALUE"""),"")</f>
        <v/>
      </c>
      <c r="DX58" s="119" t="str">
        <f ca="1">IFERROR(__xludf.DUMMYFUNCTION("""COMPUTED_VALUE"""),"")</f>
        <v/>
      </c>
      <c r="DY58" s="119" t="str">
        <f ca="1">IFERROR(__xludf.DUMMYFUNCTION("""COMPUTED_VALUE"""),"")</f>
        <v/>
      </c>
      <c r="DZ58" s="119" t="str">
        <f ca="1">IFERROR(__xludf.DUMMYFUNCTION("""COMPUTED_VALUE"""),"")</f>
        <v/>
      </c>
      <c r="EA58" s="119" t="str">
        <f ca="1">IFERROR(__xludf.DUMMYFUNCTION("""COMPUTED_VALUE"""),"")</f>
        <v/>
      </c>
      <c r="EB58" s="119" t="str">
        <f ca="1">IFERROR(__xludf.DUMMYFUNCTION("""COMPUTED_VALUE"""),"")</f>
        <v/>
      </c>
      <c r="EC58" s="119" t="str">
        <f ca="1">IFERROR(__xludf.DUMMYFUNCTION("""COMPUTED_VALUE"""),"")</f>
        <v/>
      </c>
      <c r="ED58" s="119" t="str">
        <f ca="1">IFERROR(__xludf.DUMMYFUNCTION("""COMPUTED_VALUE"""),"")</f>
        <v/>
      </c>
      <c r="EE58" s="119" t="str">
        <f ca="1">IFERROR(__xludf.DUMMYFUNCTION("""COMPUTED_VALUE"""),"")</f>
        <v/>
      </c>
      <c r="EF58" s="119" t="str">
        <f ca="1">IFERROR(__xludf.DUMMYFUNCTION("""COMPUTED_VALUE"""),"")</f>
        <v/>
      </c>
      <c r="EG58" s="119" t="str">
        <f ca="1">IFERROR(__xludf.DUMMYFUNCTION("""COMPUTED_VALUE"""),"")</f>
        <v/>
      </c>
      <c r="EH58" s="119" t="str">
        <f ca="1">IFERROR(__xludf.DUMMYFUNCTION("""COMPUTED_VALUE"""),"")</f>
        <v/>
      </c>
      <c r="EI58" s="119" t="str">
        <f ca="1">IFERROR(__xludf.DUMMYFUNCTION("""COMPUTED_VALUE"""),"")</f>
        <v/>
      </c>
      <c r="EJ58" s="119" t="str">
        <f ca="1">IFERROR(__xludf.DUMMYFUNCTION("""COMPUTED_VALUE"""),"")</f>
        <v/>
      </c>
      <c r="EK58" s="119" t="str">
        <f ca="1">IFERROR(__xludf.DUMMYFUNCTION("""COMPUTED_VALUE"""),"")</f>
        <v/>
      </c>
      <c r="EL58" s="119" t="str">
        <f ca="1">IFERROR(__xludf.DUMMYFUNCTION("""COMPUTED_VALUE"""),"")</f>
        <v/>
      </c>
      <c r="EM58" s="119" t="str">
        <f ca="1">IFERROR(__xludf.DUMMYFUNCTION("""COMPUTED_VALUE"""),"")</f>
        <v/>
      </c>
      <c r="EN58" s="119" t="str">
        <f ca="1">IFERROR(__xludf.DUMMYFUNCTION("""COMPUTED_VALUE"""),"")</f>
        <v/>
      </c>
      <c r="EO58" s="119" t="str">
        <f ca="1">IFERROR(__xludf.DUMMYFUNCTION("""COMPUTED_VALUE"""),"")</f>
        <v/>
      </c>
      <c r="EP58" s="119" t="str">
        <f ca="1">IFERROR(__xludf.DUMMYFUNCTION("""COMPUTED_VALUE"""),"")</f>
        <v/>
      </c>
      <c r="EQ58" s="119" t="str">
        <f ca="1">IFERROR(__xludf.DUMMYFUNCTION("""COMPUTED_VALUE"""),"")</f>
        <v/>
      </c>
      <c r="ER58" s="119" t="str">
        <f ca="1">IFERROR(__xludf.DUMMYFUNCTION("""COMPUTED_VALUE"""),"")</f>
        <v/>
      </c>
      <c r="ES58" s="119" t="str">
        <f ca="1">IFERROR(__xludf.DUMMYFUNCTION("""COMPUTED_VALUE"""),"")</f>
        <v/>
      </c>
      <c r="ET58" s="119" t="str">
        <f ca="1">IFERROR(__xludf.DUMMYFUNCTION("""COMPUTED_VALUE"""),"")</f>
        <v/>
      </c>
      <c r="EU58" s="119" t="str">
        <f ca="1">IFERROR(__xludf.DUMMYFUNCTION("""COMPUTED_VALUE"""),"")</f>
        <v/>
      </c>
      <c r="EV58" s="119" t="str">
        <f ca="1">IFERROR(__xludf.DUMMYFUNCTION("""COMPUTED_VALUE"""),"")</f>
        <v/>
      </c>
      <c r="EW58" s="119" t="str">
        <f ca="1">IFERROR(__xludf.DUMMYFUNCTION("""COMPUTED_VALUE"""),"")</f>
        <v/>
      </c>
      <c r="EX58" s="117" t="str">
        <f ca="1">IFERROR(__xludf.DUMMYFUNCTION("""COMPUTED_VALUE"""),"")</f>
        <v/>
      </c>
      <c r="EY58" s="117" t="str">
        <f ca="1">IFERROR(__xludf.DUMMYFUNCTION("""COMPUTED_VALUE"""),"")</f>
        <v/>
      </c>
      <c r="EZ58" s="117" t="str">
        <f ca="1">IFERROR(__xludf.DUMMYFUNCTION("""COMPUTED_VALUE"""),"")</f>
        <v/>
      </c>
      <c r="FA58" s="117" t="str">
        <f ca="1">IFERROR(__xludf.DUMMYFUNCTION("""COMPUTED_VALUE"""),"")</f>
        <v/>
      </c>
      <c r="FB58" s="117" t="str">
        <f ca="1">IFERROR(__xludf.DUMMYFUNCTION("""COMPUTED_VALUE"""),"")</f>
        <v/>
      </c>
      <c r="FC58" s="117" t="str">
        <f ca="1">IFERROR(__xludf.DUMMYFUNCTION("""COMPUTED_VALUE"""),"")</f>
        <v/>
      </c>
      <c r="FD58" s="117" t="str">
        <f ca="1">IFERROR(__xludf.DUMMYFUNCTION("""COMPUTED_VALUE"""),"")</f>
        <v/>
      </c>
      <c r="FE58" s="117" t="str">
        <f ca="1">IFERROR(__xludf.DUMMYFUNCTION("""COMPUTED_VALUE"""),"")</f>
        <v/>
      </c>
      <c r="FF58" s="117" t="str">
        <f ca="1">IFERROR(__xludf.DUMMYFUNCTION("""COMPUTED_VALUE"""),"")</f>
        <v/>
      </c>
      <c r="FG58" s="117" t="str">
        <f ca="1">IFERROR(__xludf.DUMMYFUNCTION("""COMPUTED_VALUE"""),"")</f>
        <v/>
      </c>
      <c r="FH58" s="117" t="str">
        <f ca="1">IFERROR(__xludf.DUMMYFUNCTION("""COMPUTED_VALUE"""),"")</f>
        <v/>
      </c>
      <c r="FI58" s="117" t="str">
        <f ca="1">IFERROR(__xludf.DUMMYFUNCTION("""COMPUTED_VALUE"""),"")</f>
        <v/>
      </c>
      <c r="FJ58" s="117" t="str">
        <f ca="1">IFERROR(__xludf.DUMMYFUNCTION("""COMPUTED_VALUE"""),"")</f>
        <v/>
      </c>
      <c r="FK58" s="117" t="str">
        <f ca="1">IFERROR(__xludf.DUMMYFUNCTION("""COMPUTED_VALUE"""),"")</f>
        <v/>
      </c>
      <c r="FL58" s="117" t="str">
        <f ca="1">IFERROR(__xludf.DUMMYFUNCTION("""COMPUTED_VALUE"""),"")</f>
        <v/>
      </c>
      <c r="FM58" s="117" t="str">
        <f ca="1">IFERROR(__xludf.DUMMYFUNCTION("""COMPUTED_VALUE"""),"")</f>
        <v/>
      </c>
      <c r="FN58" s="117" t="str">
        <f ca="1">IFERROR(__xludf.DUMMYFUNCTION("""COMPUTED_VALUE"""),"")</f>
        <v/>
      </c>
      <c r="FO58" s="117" t="str">
        <f ca="1">IFERROR(__xludf.DUMMYFUNCTION("""COMPUTED_VALUE"""),"")</f>
        <v/>
      </c>
    </row>
    <row r="59" spans="1:171" ht="15.75" customHeight="1" x14ac:dyDescent="0.15">
      <c r="A59" s="115" t="str">
        <f ca="1">IFERROR(__xludf.DUMMYFUNCTION("""COMPUTED_VALUE"""),"")</f>
        <v/>
      </c>
      <c r="B59" s="119" t="str">
        <f ca="1">IFERROR(__xludf.DUMMYFUNCTION("""COMPUTED_VALUE"""),"")</f>
        <v/>
      </c>
      <c r="C59" s="119" t="str">
        <f ca="1">IFERROR(__xludf.DUMMYFUNCTION("""COMPUTED_VALUE"""),"")</f>
        <v/>
      </c>
      <c r="D59" s="119" t="str">
        <f ca="1">IFERROR(__xludf.DUMMYFUNCTION("""COMPUTED_VALUE"""),"")</f>
        <v/>
      </c>
      <c r="E59" s="119" t="str">
        <f ca="1">IFERROR(__xludf.DUMMYFUNCTION("""COMPUTED_VALUE"""),"")</f>
        <v/>
      </c>
      <c r="F59" s="119" t="str">
        <f ca="1">IFERROR(__xludf.DUMMYFUNCTION("""COMPUTED_VALUE"""),"")</f>
        <v/>
      </c>
      <c r="G59" s="119" t="str">
        <f ca="1">IFERROR(__xludf.DUMMYFUNCTION("""COMPUTED_VALUE"""),"")</f>
        <v/>
      </c>
      <c r="H59" s="119" t="str">
        <f ca="1">IFERROR(__xludf.DUMMYFUNCTION("""COMPUTED_VALUE"""),"")</f>
        <v/>
      </c>
      <c r="I59" s="119" t="str">
        <f ca="1">IFERROR(__xludf.DUMMYFUNCTION("""COMPUTED_VALUE"""),"")</f>
        <v/>
      </c>
      <c r="J59" s="119" t="str">
        <f ca="1">IFERROR(__xludf.DUMMYFUNCTION("""COMPUTED_VALUE"""),"")</f>
        <v/>
      </c>
      <c r="K59" s="119" t="str">
        <f ca="1">IFERROR(__xludf.DUMMYFUNCTION("""COMPUTED_VALUE"""),"")</f>
        <v/>
      </c>
      <c r="L59" s="119" t="str">
        <f ca="1">IFERROR(__xludf.DUMMYFUNCTION("""COMPUTED_VALUE"""),"")</f>
        <v/>
      </c>
      <c r="M59" s="119" t="str">
        <f ca="1">IFERROR(__xludf.DUMMYFUNCTION("""COMPUTED_VALUE"""),"")</f>
        <v/>
      </c>
      <c r="N59" s="119" t="str">
        <f ca="1">IFERROR(__xludf.DUMMYFUNCTION("""COMPUTED_VALUE"""),"")</f>
        <v/>
      </c>
      <c r="O59" s="119" t="str">
        <f ca="1">IFERROR(__xludf.DUMMYFUNCTION("""COMPUTED_VALUE"""),"")</f>
        <v/>
      </c>
      <c r="P59" s="119" t="str">
        <f ca="1">IFERROR(__xludf.DUMMYFUNCTION("""COMPUTED_VALUE"""),"")</f>
        <v/>
      </c>
      <c r="Q59" s="119" t="str">
        <f ca="1">IFERROR(__xludf.DUMMYFUNCTION("""COMPUTED_VALUE"""),"")</f>
        <v/>
      </c>
      <c r="R59" s="119" t="str">
        <f ca="1">IFERROR(__xludf.DUMMYFUNCTION("""COMPUTED_VALUE"""),"")</f>
        <v/>
      </c>
      <c r="S59" s="119" t="str">
        <f ca="1">IFERROR(__xludf.DUMMYFUNCTION("""COMPUTED_VALUE"""),"")</f>
        <v/>
      </c>
      <c r="T59" s="119" t="str">
        <f ca="1">IFERROR(__xludf.DUMMYFUNCTION("""COMPUTED_VALUE"""),"")</f>
        <v/>
      </c>
      <c r="U59" s="119" t="str">
        <f ca="1">IFERROR(__xludf.DUMMYFUNCTION("""COMPUTED_VALUE"""),"")</f>
        <v/>
      </c>
      <c r="V59" s="119" t="str">
        <f ca="1">IFERROR(__xludf.DUMMYFUNCTION("""COMPUTED_VALUE"""),"")</f>
        <v/>
      </c>
      <c r="W59" s="119" t="str">
        <f ca="1">IFERROR(__xludf.DUMMYFUNCTION("""COMPUTED_VALUE"""),"")</f>
        <v/>
      </c>
      <c r="X59" s="119" t="str">
        <f ca="1">IFERROR(__xludf.DUMMYFUNCTION("""COMPUTED_VALUE"""),"")</f>
        <v/>
      </c>
      <c r="Y59" s="119" t="str">
        <f ca="1">IFERROR(__xludf.DUMMYFUNCTION("""COMPUTED_VALUE"""),"")</f>
        <v/>
      </c>
      <c r="Z59" s="119" t="str">
        <f ca="1">IFERROR(__xludf.DUMMYFUNCTION("""COMPUTED_VALUE"""),"")</f>
        <v/>
      </c>
      <c r="AA59" s="119" t="str">
        <f ca="1">IFERROR(__xludf.DUMMYFUNCTION("""COMPUTED_VALUE"""),"")</f>
        <v/>
      </c>
      <c r="AB59" s="119" t="str">
        <f ca="1">IFERROR(__xludf.DUMMYFUNCTION("""COMPUTED_VALUE"""),"")</f>
        <v/>
      </c>
      <c r="AC59" s="119" t="str">
        <f ca="1">IFERROR(__xludf.DUMMYFUNCTION("""COMPUTED_VALUE"""),"")</f>
        <v/>
      </c>
      <c r="AD59" s="119" t="str">
        <f ca="1">IFERROR(__xludf.DUMMYFUNCTION("""COMPUTED_VALUE"""),"")</f>
        <v/>
      </c>
      <c r="AE59" s="119" t="str">
        <f ca="1">IFERROR(__xludf.DUMMYFUNCTION("""COMPUTED_VALUE"""),"")</f>
        <v/>
      </c>
      <c r="AF59" s="119" t="str">
        <f ca="1">IFERROR(__xludf.DUMMYFUNCTION("""COMPUTED_VALUE"""),"")</f>
        <v/>
      </c>
      <c r="AG59" s="119" t="str">
        <f ca="1">IFERROR(__xludf.DUMMYFUNCTION("""COMPUTED_VALUE"""),"")</f>
        <v/>
      </c>
      <c r="AH59" s="119" t="str">
        <f ca="1">IFERROR(__xludf.DUMMYFUNCTION("""COMPUTED_VALUE"""),"")</f>
        <v/>
      </c>
      <c r="AI59" s="119" t="str">
        <f ca="1">IFERROR(__xludf.DUMMYFUNCTION("""COMPUTED_VALUE"""),"")</f>
        <v/>
      </c>
      <c r="AJ59" s="119" t="str">
        <f ca="1">IFERROR(__xludf.DUMMYFUNCTION("""COMPUTED_VALUE"""),"")</f>
        <v/>
      </c>
      <c r="AK59" s="119" t="str">
        <f ca="1">IFERROR(__xludf.DUMMYFUNCTION("""COMPUTED_VALUE"""),"")</f>
        <v/>
      </c>
      <c r="AL59" s="119" t="str">
        <f ca="1">IFERROR(__xludf.DUMMYFUNCTION("""COMPUTED_VALUE"""),"")</f>
        <v/>
      </c>
      <c r="AM59" s="119" t="str">
        <f ca="1">IFERROR(__xludf.DUMMYFUNCTION("""COMPUTED_VALUE"""),"")</f>
        <v/>
      </c>
      <c r="AN59" s="119" t="str">
        <f ca="1">IFERROR(__xludf.DUMMYFUNCTION("""COMPUTED_VALUE"""),"")</f>
        <v/>
      </c>
      <c r="AO59" s="119" t="str">
        <f ca="1">IFERROR(__xludf.DUMMYFUNCTION("""COMPUTED_VALUE"""),"")</f>
        <v/>
      </c>
      <c r="AP59" s="119" t="str">
        <f ca="1">IFERROR(__xludf.DUMMYFUNCTION("""COMPUTED_VALUE"""),"")</f>
        <v/>
      </c>
      <c r="AQ59" s="119" t="str">
        <f ca="1">IFERROR(__xludf.DUMMYFUNCTION("""COMPUTED_VALUE"""),"")</f>
        <v/>
      </c>
      <c r="AR59" s="118" t="str">
        <f ca="1">IFERROR(__xludf.DUMMYFUNCTION("""COMPUTED_VALUE"""),"")</f>
        <v/>
      </c>
      <c r="AS59" s="119" t="str">
        <f ca="1">IFERROR(__xludf.DUMMYFUNCTION("""COMPUTED_VALUE"""),"")</f>
        <v/>
      </c>
      <c r="AT59" s="119" t="str">
        <f ca="1">IFERROR(__xludf.DUMMYFUNCTION("""COMPUTED_VALUE"""),"")</f>
        <v/>
      </c>
      <c r="AU59" s="119" t="str">
        <f ca="1">IFERROR(__xludf.DUMMYFUNCTION("""COMPUTED_VALUE"""),"")</f>
        <v/>
      </c>
      <c r="AV59" s="119" t="str">
        <f ca="1">IFERROR(__xludf.DUMMYFUNCTION("""COMPUTED_VALUE"""),"")</f>
        <v/>
      </c>
      <c r="AW59" s="119" t="str">
        <f ca="1">IFERROR(__xludf.DUMMYFUNCTION("""COMPUTED_VALUE"""),"")</f>
        <v/>
      </c>
      <c r="AX59" s="119" t="str">
        <f ca="1">IFERROR(__xludf.DUMMYFUNCTION("""COMPUTED_VALUE"""),"")</f>
        <v/>
      </c>
      <c r="AY59" s="119" t="str">
        <f ca="1">IFERROR(__xludf.DUMMYFUNCTION("""COMPUTED_VALUE"""),"")</f>
        <v/>
      </c>
      <c r="AZ59" s="119" t="str">
        <f ca="1">IFERROR(__xludf.DUMMYFUNCTION("""COMPUTED_VALUE"""),"")</f>
        <v/>
      </c>
      <c r="BA59" s="119" t="str">
        <f ca="1">IFERROR(__xludf.DUMMYFUNCTION("""COMPUTED_VALUE"""),"")</f>
        <v/>
      </c>
      <c r="BB59" s="119" t="str">
        <f ca="1">IFERROR(__xludf.DUMMYFUNCTION("""COMPUTED_VALUE"""),"")</f>
        <v/>
      </c>
      <c r="BC59" s="119" t="str">
        <f ca="1">IFERROR(__xludf.DUMMYFUNCTION("""COMPUTED_VALUE"""),"")</f>
        <v/>
      </c>
      <c r="BD59" s="119" t="str">
        <f ca="1">IFERROR(__xludf.DUMMYFUNCTION("""COMPUTED_VALUE"""),"")</f>
        <v/>
      </c>
      <c r="BE59" s="119" t="str">
        <f ca="1">IFERROR(__xludf.DUMMYFUNCTION("""COMPUTED_VALUE"""),"")</f>
        <v/>
      </c>
      <c r="BF59" s="119" t="str">
        <f ca="1">IFERROR(__xludf.DUMMYFUNCTION("""COMPUTED_VALUE"""),"")</f>
        <v/>
      </c>
      <c r="BG59" s="119" t="str">
        <f ca="1">IFERROR(__xludf.DUMMYFUNCTION("""COMPUTED_VALUE"""),"")</f>
        <v/>
      </c>
      <c r="BH59" s="119" t="str">
        <f ca="1">IFERROR(__xludf.DUMMYFUNCTION("""COMPUTED_VALUE"""),"")</f>
        <v/>
      </c>
      <c r="BI59" s="119" t="str">
        <f ca="1">IFERROR(__xludf.DUMMYFUNCTION("""COMPUTED_VALUE"""),"")</f>
        <v/>
      </c>
      <c r="BJ59" s="119" t="str">
        <f ca="1">IFERROR(__xludf.DUMMYFUNCTION("""COMPUTED_VALUE"""),"")</f>
        <v/>
      </c>
      <c r="BK59" s="119" t="str">
        <f ca="1">IFERROR(__xludf.DUMMYFUNCTION("""COMPUTED_VALUE"""),"")</f>
        <v/>
      </c>
      <c r="BL59" s="119" t="str">
        <f ca="1">IFERROR(__xludf.DUMMYFUNCTION("""COMPUTED_VALUE"""),"")</f>
        <v/>
      </c>
      <c r="BM59" s="119" t="str">
        <f ca="1">IFERROR(__xludf.DUMMYFUNCTION("""COMPUTED_VALUE"""),"")</f>
        <v/>
      </c>
      <c r="BN59" s="119" t="str">
        <f ca="1">IFERROR(__xludf.DUMMYFUNCTION("""COMPUTED_VALUE"""),"")</f>
        <v/>
      </c>
      <c r="BO59" s="119" t="str">
        <f ca="1">IFERROR(__xludf.DUMMYFUNCTION("""COMPUTED_VALUE"""),"")</f>
        <v/>
      </c>
      <c r="BP59" s="119" t="str">
        <f ca="1">IFERROR(__xludf.DUMMYFUNCTION("""COMPUTED_VALUE"""),"")</f>
        <v/>
      </c>
      <c r="BQ59" s="119" t="str">
        <f ca="1">IFERROR(__xludf.DUMMYFUNCTION("""COMPUTED_VALUE"""),"")</f>
        <v/>
      </c>
      <c r="BR59" s="119" t="str">
        <f ca="1">IFERROR(__xludf.DUMMYFUNCTION("""COMPUTED_VALUE"""),"")</f>
        <v/>
      </c>
      <c r="BS59" s="119" t="str">
        <f ca="1">IFERROR(__xludf.DUMMYFUNCTION("""COMPUTED_VALUE"""),"")</f>
        <v/>
      </c>
      <c r="BT59" s="119" t="str">
        <f ca="1">IFERROR(__xludf.DUMMYFUNCTION("""COMPUTED_VALUE"""),"")</f>
        <v/>
      </c>
      <c r="BU59" s="119" t="str">
        <f ca="1">IFERROR(__xludf.DUMMYFUNCTION("""COMPUTED_VALUE"""),"")</f>
        <v/>
      </c>
      <c r="BV59" s="119" t="str">
        <f ca="1">IFERROR(__xludf.DUMMYFUNCTION("""COMPUTED_VALUE"""),"")</f>
        <v/>
      </c>
      <c r="BW59" s="119" t="str">
        <f ca="1">IFERROR(__xludf.DUMMYFUNCTION("""COMPUTED_VALUE"""),"")</f>
        <v/>
      </c>
      <c r="BX59" s="119" t="str">
        <f ca="1">IFERROR(__xludf.DUMMYFUNCTION("""COMPUTED_VALUE"""),"")</f>
        <v/>
      </c>
      <c r="BY59" s="119" t="str">
        <f ca="1">IFERROR(__xludf.DUMMYFUNCTION("""COMPUTED_VALUE"""),"")</f>
        <v/>
      </c>
      <c r="BZ59" s="119" t="str">
        <f ca="1">IFERROR(__xludf.DUMMYFUNCTION("""COMPUTED_VALUE"""),"")</f>
        <v/>
      </c>
      <c r="CA59" s="119" t="str">
        <f ca="1">IFERROR(__xludf.DUMMYFUNCTION("""COMPUTED_VALUE"""),"")</f>
        <v/>
      </c>
      <c r="CB59" s="119" t="str">
        <f ca="1">IFERROR(__xludf.DUMMYFUNCTION("""COMPUTED_VALUE"""),"")</f>
        <v/>
      </c>
      <c r="CC59" s="119" t="str">
        <f ca="1">IFERROR(__xludf.DUMMYFUNCTION("""COMPUTED_VALUE"""),"")</f>
        <v/>
      </c>
      <c r="CD59" s="119" t="str">
        <f ca="1">IFERROR(__xludf.DUMMYFUNCTION("""COMPUTED_VALUE"""),"")</f>
        <v/>
      </c>
      <c r="CE59" s="119" t="str">
        <f ca="1">IFERROR(__xludf.DUMMYFUNCTION("""COMPUTED_VALUE"""),"")</f>
        <v/>
      </c>
      <c r="CF59" s="119" t="str">
        <f ca="1">IFERROR(__xludf.DUMMYFUNCTION("""COMPUTED_VALUE"""),"")</f>
        <v/>
      </c>
      <c r="CG59" s="119" t="str">
        <f ca="1">IFERROR(__xludf.DUMMYFUNCTION("""COMPUTED_VALUE"""),"")</f>
        <v/>
      </c>
      <c r="CH59" s="119" t="str">
        <f ca="1">IFERROR(__xludf.DUMMYFUNCTION("""COMPUTED_VALUE"""),"")</f>
        <v/>
      </c>
      <c r="CI59" s="119" t="str">
        <f ca="1">IFERROR(__xludf.DUMMYFUNCTION("""COMPUTED_VALUE"""),"")</f>
        <v/>
      </c>
      <c r="CJ59" s="119" t="str">
        <f ca="1">IFERROR(__xludf.DUMMYFUNCTION("""COMPUTED_VALUE"""),"")</f>
        <v/>
      </c>
      <c r="CK59" s="119" t="str">
        <f ca="1">IFERROR(__xludf.DUMMYFUNCTION("""COMPUTED_VALUE"""),"")</f>
        <v/>
      </c>
      <c r="CL59" s="119" t="str">
        <f ca="1">IFERROR(__xludf.DUMMYFUNCTION("""COMPUTED_VALUE"""),"")</f>
        <v/>
      </c>
      <c r="CM59" s="119" t="str">
        <f ca="1">IFERROR(__xludf.DUMMYFUNCTION("""COMPUTED_VALUE"""),"")</f>
        <v/>
      </c>
      <c r="CN59" s="119" t="str">
        <f ca="1">IFERROR(__xludf.DUMMYFUNCTION("""COMPUTED_VALUE"""),"")</f>
        <v/>
      </c>
      <c r="CO59" s="119" t="str">
        <f ca="1">IFERROR(__xludf.DUMMYFUNCTION("""COMPUTED_VALUE"""),"")</f>
        <v/>
      </c>
      <c r="CP59" s="119" t="str">
        <f ca="1">IFERROR(__xludf.DUMMYFUNCTION("""COMPUTED_VALUE"""),"")</f>
        <v/>
      </c>
      <c r="CQ59" s="119" t="str">
        <f ca="1">IFERROR(__xludf.DUMMYFUNCTION("""COMPUTED_VALUE"""),"")</f>
        <v/>
      </c>
      <c r="CR59" s="119" t="str">
        <f ca="1">IFERROR(__xludf.DUMMYFUNCTION("""COMPUTED_VALUE"""),"")</f>
        <v/>
      </c>
      <c r="CS59" s="119" t="str">
        <f ca="1">IFERROR(__xludf.DUMMYFUNCTION("""COMPUTED_VALUE"""),"")</f>
        <v/>
      </c>
      <c r="CT59" s="119" t="str">
        <f ca="1">IFERROR(__xludf.DUMMYFUNCTION("""COMPUTED_VALUE"""),"")</f>
        <v/>
      </c>
      <c r="CU59" s="119" t="str">
        <f ca="1">IFERROR(__xludf.DUMMYFUNCTION("""COMPUTED_VALUE"""),"")</f>
        <v/>
      </c>
      <c r="CV59" s="119" t="str">
        <f ca="1">IFERROR(__xludf.DUMMYFUNCTION("""COMPUTED_VALUE"""),"")</f>
        <v/>
      </c>
      <c r="CW59" s="119" t="str">
        <f ca="1">IFERROR(__xludf.DUMMYFUNCTION("""COMPUTED_VALUE"""),"")</f>
        <v/>
      </c>
      <c r="CX59" s="119" t="str">
        <f ca="1">IFERROR(__xludf.DUMMYFUNCTION("""COMPUTED_VALUE"""),"")</f>
        <v/>
      </c>
      <c r="CY59" s="119" t="str">
        <f ca="1">IFERROR(__xludf.DUMMYFUNCTION("""COMPUTED_VALUE"""),"")</f>
        <v/>
      </c>
      <c r="CZ59" s="119" t="str">
        <f ca="1">IFERROR(__xludf.DUMMYFUNCTION("""COMPUTED_VALUE"""),"")</f>
        <v/>
      </c>
      <c r="DA59" s="119" t="str">
        <f ca="1">IFERROR(__xludf.DUMMYFUNCTION("""COMPUTED_VALUE"""),"")</f>
        <v/>
      </c>
      <c r="DB59" s="119" t="str">
        <f ca="1">IFERROR(__xludf.DUMMYFUNCTION("""COMPUTED_VALUE"""),"")</f>
        <v/>
      </c>
      <c r="DC59" s="119" t="str">
        <f ca="1">IFERROR(__xludf.DUMMYFUNCTION("""COMPUTED_VALUE"""),"")</f>
        <v/>
      </c>
      <c r="DD59" s="119" t="str">
        <f ca="1">IFERROR(__xludf.DUMMYFUNCTION("""COMPUTED_VALUE"""),"")</f>
        <v/>
      </c>
      <c r="DE59" s="119" t="str">
        <f ca="1">IFERROR(__xludf.DUMMYFUNCTION("""COMPUTED_VALUE"""),"")</f>
        <v/>
      </c>
      <c r="DF59" s="119" t="str">
        <f ca="1">IFERROR(__xludf.DUMMYFUNCTION("""COMPUTED_VALUE"""),"")</f>
        <v/>
      </c>
      <c r="DG59" s="119" t="str">
        <f ca="1">IFERROR(__xludf.DUMMYFUNCTION("""COMPUTED_VALUE"""),"")</f>
        <v/>
      </c>
      <c r="DH59" s="119" t="str">
        <f ca="1">IFERROR(__xludf.DUMMYFUNCTION("""COMPUTED_VALUE"""),"")</f>
        <v/>
      </c>
      <c r="DI59" s="119" t="str">
        <f ca="1">IFERROR(__xludf.DUMMYFUNCTION("""COMPUTED_VALUE"""),"")</f>
        <v/>
      </c>
      <c r="DJ59" s="119" t="str">
        <f ca="1">IFERROR(__xludf.DUMMYFUNCTION("""COMPUTED_VALUE"""),"")</f>
        <v/>
      </c>
      <c r="DK59" s="119" t="str">
        <f ca="1">IFERROR(__xludf.DUMMYFUNCTION("""COMPUTED_VALUE"""),"")</f>
        <v/>
      </c>
      <c r="DL59" s="119" t="str">
        <f ca="1">IFERROR(__xludf.DUMMYFUNCTION("""COMPUTED_VALUE"""),"")</f>
        <v/>
      </c>
      <c r="DM59" s="119" t="str">
        <f ca="1">IFERROR(__xludf.DUMMYFUNCTION("""COMPUTED_VALUE"""),"")</f>
        <v/>
      </c>
      <c r="DN59" s="119" t="str">
        <f ca="1">IFERROR(__xludf.DUMMYFUNCTION("""COMPUTED_VALUE"""),"")</f>
        <v/>
      </c>
      <c r="DO59" s="119" t="str">
        <f ca="1">IFERROR(__xludf.DUMMYFUNCTION("""COMPUTED_VALUE"""),"")</f>
        <v/>
      </c>
      <c r="DP59" s="119" t="str">
        <f ca="1">IFERROR(__xludf.DUMMYFUNCTION("""COMPUTED_VALUE"""),"")</f>
        <v/>
      </c>
      <c r="DQ59" s="119" t="str">
        <f ca="1">IFERROR(__xludf.DUMMYFUNCTION("""COMPUTED_VALUE"""),"")</f>
        <v/>
      </c>
      <c r="DR59" s="119" t="str">
        <f ca="1">IFERROR(__xludf.DUMMYFUNCTION("""COMPUTED_VALUE"""),"")</f>
        <v/>
      </c>
      <c r="DS59" s="119" t="str">
        <f ca="1">IFERROR(__xludf.DUMMYFUNCTION("""COMPUTED_VALUE"""),"")</f>
        <v/>
      </c>
      <c r="DT59" s="119" t="str">
        <f ca="1">IFERROR(__xludf.DUMMYFUNCTION("""COMPUTED_VALUE"""),"")</f>
        <v/>
      </c>
      <c r="DU59" s="119" t="str">
        <f ca="1">IFERROR(__xludf.DUMMYFUNCTION("""COMPUTED_VALUE"""),"")</f>
        <v/>
      </c>
      <c r="DV59" s="119" t="str">
        <f ca="1">IFERROR(__xludf.DUMMYFUNCTION("""COMPUTED_VALUE"""),"")</f>
        <v/>
      </c>
      <c r="DW59" s="119" t="str">
        <f ca="1">IFERROR(__xludf.DUMMYFUNCTION("""COMPUTED_VALUE"""),"")</f>
        <v/>
      </c>
      <c r="DX59" s="119" t="str">
        <f ca="1">IFERROR(__xludf.DUMMYFUNCTION("""COMPUTED_VALUE"""),"")</f>
        <v/>
      </c>
      <c r="DY59" s="119" t="str">
        <f ca="1">IFERROR(__xludf.DUMMYFUNCTION("""COMPUTED_VALUE"""),"")</f>
        <v/>
      </c>
      <c r="DZ59" s="119" t="str">
        <f ca="1">IFERROR(__xludf.DUMMYFUNCTION("""COMPUTED_VALUE"""),"")</f>
        <v/>
      </c>
      <c r="EA59" s="119" t="str">
        <f ca="1">IFERROR(__xludf.DUMMYFUNCTION("""COMPUTED_VALUE"""),"")</f>
        <v/>
      </c>
      <c r="EB59" s="119" t="str">
        <f ca="1">IFERROR(__xludf.DUMMYFUNCTION("""COMPUTED_VALUE"""),"")</f>
        <v/>
      </c>
      <c r="EC59" s="119" t="str">
        <f ca="1">IFERROR(__xludf.DUMMYFUNCTION("""COMPUTED_VALUE"""),"")</f>
        <v/>
      </c>
      <c r="ED59" s="119" t="str">
        <f ca="1">IFERROR(__xludf.DUMMYFUNCTION("""COMPUTED_VALUE"""),"")</f>
        <v/>
      </c>
      <c r="EE59" s="119" t="str">
        <f ca="1">IFERROR(__xludf.DUMMYFUNCTION("""COMPUTED_VALUE"""),"")</f>
        <v/>
      </c>
      <c r="EF59" s="119" t="str">
        <f ca="1">IFERROR(__xludf.DUMMYFUNCTION("""COMPUTED_VALUE"""),"")</f>
        <v/>
      </c>
      <c r="EG59" s="119" t="str">
        <f ca="1">IFERROR(__xludf.DUMMYFUNCTION("""COMPUTED_VALUE"""),"")</f>
        <v/>
      </c>
      <c r="EH59" s="119" t="str">
        <f ca="1">IFERROR(__xludf.DUMMYFUNCTION("""COMPUTED_VALUE"""),"")</f>
        <v/>
      </c>
      <c r="EI59" s="119" t="str">
        <f ca="1">IFERROR(__xludf.DUMMYFUNCTION("""COMPUTED_VALUE"""),"")</f>
        <v/>
      </c>
      <c r="EJ59" s="119" t="str">
        <f ca="1">IFERROR(__xludf.DUMMYFUNCTION("""COMPUTED_VALUE"""),"")</f>
        <v/>
      </c>
      <c r="EK59" s="119" t="str">
        <f ca="1">IFERROR(__xludf.DUMMYFUNCTION("""COMPUTED_VALUE"""),"")</f>
        <v/>
      </c>
      <c r="EL59" s="119" t="str">
        <f ca="1">IFERROR(__xludf.DUMMYFUNCTION("""COMPUTED_VALUE"""),"")</f>
        <v/>
      </c>
      <c r="EM59" s="119" t="str">
        <f ca="1">IFERROR(__xludf.DUMMYFUNCTION("""COMPUTED_VALUE"""),"")</f>
        <v/>
      </c>
      <c r="EN59" s="119" t="str">
        <f ca="1">IFERROR(__xludf.DUMMYFUNCTION("""COMPUTED_VALUE"""),"")</f>
        <v/>
      </c>
      <c r="EO59" s="119" t="str">
        <f ca="1">IFERROR(__xludf.DUMMYFUNCTION("""COMPUTED_VALUE"""),"")</f>
        <v/>
      </c>
      <c r="EP59" s="119" t="str">
        <f ca="1">IFERROR(__xludf.DUMMYFUNCTION("""COMPUTED_VALUE"""),"")</f>
        <v/>
      </c>
      <c r="EQ59" s="119" t="str">
        <f ca="1">IFERROR(__xludf.DUMMYFUNCTION("""COMPUTED_VALUE"""),"")</f>
        <v/>
      </c>
      <c r="ER59" s="119" t="str">
        <f ca="1">IFERROR(__xludf.DUMMYFUNCTION("""COMPUTED_VALUE"""),"")</f>
        <v/>
      </c>
      <c r="ES59" s="119" t="str">
        <f ca="1">IFERROR(__xludf.DUMMYFUNCTION("""COMPUTED_VALUE"""),"")</f>
        <v/>
      </c>
      <c r="ET59" s="119" t="str">
        <f ca="1">IFERROR(__xludf.DUMMYFUNCTION("""COMPUTED_VALUE"""),"")</f>
        <v/>
      </c>
      <c r="EU59" s="119" t="str">
        <f ca="1">IFERROR(__xludf.DUMMYFUNCTION("""COMPUTED_VALUE"""),"")</f>
        <v/>
      </c>
      <c r="EV59" s="119" t="str">
        <f ca="1">IFERROR(__xludf.DUMMYFUNCTION("""COMPUTED_VALUE"""),"")</f>
        <v/>
      </c>
      <c r="EW59" s="119" t="str">
        <f ca="1">IFERROR(__xludf.DUMMYFUNCTION("""COMPUTED_VALUE"""),"")</f>
        <v/>
      </c>
      <c r="EX59" s="117" t="str">
        <f ca="1">IFERROR(__xludf.DUMMYFUNCTION("""COMPUTED_VALUE"""),"")</f>
        <v/>
      </c>
      <c r="EY59" s="117" t="str">
        <f ca="1">IFERROR(__xludf.DUMMYFUNCTION("""COMPUTED_VALUE"""),"")</f>
        <v/>
      </c>
      <c r="EZ59" s="117" t="str">
        <f ca="1">IFERROR(__xludf.DUMMYFUNCTION("""COMPUTED_VALUE"""),"")</f>
        <v/>
      </c>
      <c r="FA59" s="117" t="str">
        <f ca="1">IFERROR(__xludf.DUMMYFUNCTION("""COMPUTED_VALUE"""),"")</f>
        <v/>
      </c>
      <c r="FB59" s="117" t="str">
        <f ca="1">IFERROR(__xludf.DUMMYFUNCTION("""COMPUTED_VALUE"""),"")</f>
        <v/>
      </c>
      <c r="FC59" s="117" t="str">
        <f ca="1">IFERROR(__xludf.DUMMYFUNCTION("""COMPUTED_VALUE"""),"")</f>
        <v/>
      </c>
      <c r="FD59" s="117" t="str">
        <f ca="1">IFERROR(__xludf.DUMMYFUNCTION("""COMPUTED_VALUE"""),"")</f>
        <v/>
      </c>
      <c r="FE59" s="117" t="str">
        <f ca="1">IFERROR(__xludf.DUMMYFUNCTION("""COMPUTED_VALUE"""),"")</f>
        <v/>
      </c>
      <c r="FF59" s="117" t="str">
        <f ca="1">IFERROR(__xludf.DUMMYFUNCTION("""COMPUTED_VALUE"""),"")</f>
        <v/>
      </c>
      <c r="FG59" s="117" t="str">
        <f ca="1">IFERROR(__xludf.DUMMYFUNCTION("""COMPUTED_VALUE"""),"")</f>
        <v/>
      </c>
      <c r="FH59" s="117" t="str">
        <f ca="1">IFERROR(__xludf.DUMMYFUNCTION("""COMPUTED_VALUE"""),"")</f>
        <v/>
      </c>
      <c r="FI59" s="117" t="str">
        <f ca="1">IFERROR(__xludf.DUMMYFUNCTION("""COMPUTED_VALUE"""),"")</f>
        <v/>
      </c>
      <c r="FJ59" s="117" t="str">
        <f ca="1">IFERROR(__xludf.DUMMYFUNCTION("""COMPUTED_VALUE"""),"")</f>
        <v/>
      </c>
      <c r="FK59" s="117" t="str">
        <f ca="1">IFERROR(__xludf.DUMMYFUNCTION("""COMPUTED_VALUE"""),"")</f>
        <v/>
      </c>
      <c r="FL59" s="117" t="str">
        <f ca="1">IFERROR(__xludf.DUMMYFUNCTION("""COMPUTED_VALUE"""),"")</f>
        <v/>
      </c>
      <c r="FM59" s="117" t="str">
        <f ca="1">IFERROR(__xludf.DUMMYFUNCTION("""COMPUTED_VALUE"""),"")</f>
        <v/>
      </c>
      <c r="FN59" s="117" t="str">
        <f ca="1">IFERROR(__xludf.DUMMYFUNCTION("""COMPUTED_VALUE"""),"")</f>
        <v/>
      </c>
      <c r="FO59" s="117" t="str">
        <f ca="1">IFERROR(__xludf.DUMMYFUNCTION("""COMPUTED_VALUE"""),"")</f>
        <v/>
      </c>
    </row>
    <row r="60" spans="1:171" ht="15.75" customHeight="1" x14ac:dyDescent="0.15">
      <c r="A60" s="115" t="str">
        <f ca="1">IFERROR(__xludf.DUMMYFUNCTION("""COMPUTED_VALUE"""),"")</f>
        <v/>
      </c>
      <c r="B60" s="119" t="str">
        <f ca="1">IFERROR(__xludf.DUMMYFUNCTION("""COMPUTED_VALUE"""),"")</f>
        <v/>
      </c>
      <c r="C60" s="119" t="str">
        <f ca="1">IFERROR(__xludf.DUMMYFUNCTION("""COMPUTED_VALUE"""),"")</f>
        <v/>
      </c>
      <c r="D60" s="119" t="str">
        <f ca="1">IFERROR(__xludf.DUMMYFUNCTION("""COMPUTED_VALUE"""),"")</f>
        <v/>
      </c>
      <c r="E60" s="119" t="str">
        <f ca="1">IFERROR(__xludf.DUMMYFUNCTION("""COMPUTED_VALUE"""),"")</f>
        <v/>
      </c>
      <c r="F60" s="119" t="str">
        <f ca="1">IFERROR(__xludf.DUMMYFUNCTION("""COMPUTED_VALUE"""),"")</f>
        <v/>
      </c>
      <c r="G60" s="119" t="str">
        <f ca="1">IFERROR(__xludf.DUMMYFUNCTION("""COMPUTED_VALUE"""),"")</f>
        <v/>
      </c>
      <c r="H60" s="119" t="str">
        <f ca="1">IFERROR(__xludf.DUMMYFUNCTION("""COMPUTED_VALUE"""),"")</f>
        <v/>
      </c>
      <c r="I60" s="119" t="str">
        <f ca="1">IFERROR(__xludf.DUMMYFUNCTION("""COMPUTED_VALUE"""),"")</f>
        <v/>
      </c>
      <c r="J60" s="119" t="str">
        <f ca="1">IFERROR(__xludf.DUMMYFUNCTION("""COMPUTED_VALUE"""),"")</f>
        <v/>
      </c>
      <c r="K60" s="119" t="str">
        <f ca="1">IFERROR(__xludf.DUMMYFUNCTION("""COMPUTED_VALUE"""),"")</f>
        <v/>
      </c>
      <c r="L60" s="119" t="str">
        <f ca="1">IFERROR(__xludf.DUMMYFUNCTION("""COMPUTED_VALUE"""),"")</f>
        <v/>
      </c>
      <c r="M60" s="119" t="str">
        <f ca="1">IFERROR(__xludf.DUMMYFUNCTION("""COMPUTED_VALUE"""),"")</f>
        <v/>
      </c>
      <c r="N60" s="119" t="str">
        <f ca="1">IFERROR(__xludf.DUMMYFUNCTION("""COMPUTED_VALUE"""),"")</f>
        <v/>
      </c>
      <c r="O60" s="119" t="str">
        <f ca="1">IFERROR(__xludf.DUMMYFUNCTION("""COMPUTED_VALUE"""),"")</f>
        <v/>
      </c>
      <c r="P60" s="119" t="str">
        <f ca="1">IFERROR(__xludf.DUMMYFUNCTION("""COMPUTED_VALUE"""),"")</f>
        <v/>
      </c>
      <c r="Q60" s="119" t="str">
        <f ca="1">IFERROR(__xludf.DUMMYFUNCTION("""COMPUTED_VALUE"""),"")</f>
        <v/>
      </c>
      <c r="R60" s="119" t="str">
        <f ca="1">IFERROR(__xludf.DUMMYFUNCTION("""COMPUTED_VALUE"""),"")</f>
        <v/>
      </c>
      <c r="S60" s="119" t="str">
        <f ca="1">IFERROR(__xludf.DUMMYFUNCTION("""COMPUTED_VALUE"""),"")</f>
        <v/>
      </c>
      <c r="T60" s="119" t="str">
        <f ca="1">IFERROR(__xludf.DUMMYFUNCTION("""COMPUTED_VALUE"""),"")</f>
        <v/>
      </c>
      <c r="U60" s="119" t="str">
        <f ca="1">IFERROR(__xludf.DUMMYFUNCTION("""COMPUTED_VALUE"""),"")</f>
        <v/>
      </c>
      <c r="V60" s="119" t="str">
        <f ca="1">IFERROR(__xludf.DUMMYFUNCTION("""COMPUTED_VALUE"""),"")</f>
        <v/>
      </c>
      <c r="W60" s="119" t="str">
        <f ca="1">IFERROR(__xludf.DUMMYFUNCTION("""COMPUTED_VALUE"""),"")</f>
        <v/>
      </c>
      <c r="X60" s="119" t="str">
        <f ca="1">IFERROR(__xludf.DUMMYFUNCTION("""COMPUTED_VALUE"""),"")</f>
        <v/>
      </c>
      <c r="Y60" s="119" t="str">
        <f ca="1">IFERROR(__xludf.DUMMYFUNCTION("""COMPUTED_VALUE"""),"")</f>
        <v/>
      </c>
      <c r="Z60" s="119" t="str">
        <f ca="1">IFERROR(__xludf.DUMMYFUNCTION("""COMPUTED_VALUE"""),"")</f>
        <v/>
      </c>
      <c r="AA60" s="119" t="str">
        <f ca="1">IFERROR(__xludf.DUMMYFUNCTION("""COMPUTED_VALUE"""),"")</f>
        <v/>
      </c>
      <c r="AB60" s="119" t="str">
        <f ca="1">IFERROR(__xludf.DUMMYFUNCTION("""COMPUTED_VALUE"""),"")</f>
        <v/>
      </c>
      <c r="AC60" s="119" t="str">
        <f ca="1">IFERROR(__xludf.DUMMYFUNCTION("""COMPUTED_VALUE"""),"")</f>
        <v/>
      </c>
      <c r="AD60" s="119" t="str">
        <f ca="1">IFERROR(__xludf.DUMMYFUNCTION("""COMPUTED_VALUE"""),"")</f>
        <v/>
      </c>
      <c r="AE60" s="119" t="str">
        <f ca="1">IFERROR(__xludf.DUMMYFUNCTION("""COMPUTED_VALUE"""),"")</f>
        <v/>
      </c>
      <c r="AF60" s="119" t="str">
        <f ca="1">IFERROR(__xludf.DUMMYFUNCTION("""COMPUTED_VALUE"""),"")</f>
        <v/>
      </c>
      <c r="AG60" s="119" t="str">
        <f ca="1">IFERROR(__xludf.DUMMYFUNCTION("""COMPUTED_VALUE"""),"")</f>
        <v/>
      </c>
      <c r="AH60" s="119" t="str">
        <f ca="1">IFERROR(__xludf.DUMMYFUNCTION("""COMPUTED_VALUE"""),"")</f>
        <v/>
      </c>
      <c r="AI60" s="119" t="str">
        <f ca="1">IFERROR(__xludf.DUMMYFUNCTION("""COMPUTED_VALUE"""),"")</f>
        <v/>
      </c>
      <c r="AJ60" s="119" t="str">
        <f ca="1">IFERROR(__xludf.DUMMYFUNCTION("""COMPUTED_VALUE"""),"")</f>
        <v/>
      </c>
      <c r="AK60" s="119" t="str">
        <f ca="1">IFERROR(__xludf.DUMMYFUNCTION("""COMPUTED_VALUE"""),"")</f>
        <v/>
      </c>
      <c r="AL60" s="119" t="str">
        <f ca="1">IFERROR(__xludf.DUMMYFUNCTION("""COMPUTED_VALUE"""),"")</f>
        <v/>
      </c>
      <c r="AM60" s="119" t="str">
        <f ca="1">IFERROR(__xludf.DUMMYFUNCTION("""COMPUTED_VALUE"""),"")</f>
        <v/>
      </c>
      <c r="AN60" s="119" t="str">
        <f ca="1">IFERROR(__xludf.DUMMYFUNCTION("""COMPUTED_VALUE"""),"")</f>
        <v/>
      </c>
      <c r="AO60" s="119" t="str">
        <f ca="1">IFERROR(__xludf.DUMMYFUNCTION("""COMPUTED_VALUE"""),"")</f>
        <v/>
      </c>
      <c r="AP60" s="119" t="str">
        <f ca="1">IFERROR(__xludf.DUMMYFUNCTION("""COMPUTED_VALUE"""),"")</f>
        <v/>
      </c>
      <c r="AQ60" s="119" t="str">
        <f ca="1">IFERROR(__xludf.DUMMYFUNCTION("""COMPUTED_VALUE"""),"")</f>
        <v/>
      </c>
      <c r="AR60" s="118" t="str">
        <f ca="1">IFERROR(__xludf.DUMMYFUNCTION("""COMPUTED_VALUE"""),"")</f>
        <v/>
      </c>
      <c r="AS60" s="119" t="str">
        <f ca="1">IFERROR(__xludf.DUMMYFUNCTION("""COMPUTED_VALUE"""),"")</f>
        <v/>
      </c>
      <c r="AT60" s="119" t="str">
        <f ca="1">IFERROR(__xludf.DUMMYFUNCTION("""COMPUTED_VALUE"""),"")</f>
        <v/>
      </c>
      <c r="AU60" s="119" t="str">
        <f ca="1">IFERROR(__xludf.DUMMYFUNCTION("""COMPUTED_VALUE"""),"")</f>
        <v/>
      </c>
      <c r="AV60" s="119" t="str">
        <f ca="1">IFERROR(__xludf.DUMMYFUNCTION("""COMPUTED_VALUE"""),"")</f>
        <v/>
      </c>
      <c r="AW60" s="119" t="str">
        <f ca="1">IFERROR(__xludf.DUMMYFUNCTION("""COMPUTED_VALUE"""),"")</f>
        <v/>
      </c>
      <c r="AX60" s="119" t="str">
        <f ca="1">IFERROR(__xludf.DUMMYFUNCTION("""COMPUTED_VALUE"""),"")</f>
        <v/>
      </c>
      <c r="AY60" s="119" t="str">
        <f ca="1">IFERROR(__xludf.DUMMYFUNCTION("""COMPUTED_VALUE"""),"")</f>
        <v/>
      </c>
      <c r="AZ60" s="119" t="str">
        <f ca="1">IFERROR(__xludf.DUMMYFUNCTION("""COMPUTED_VALUE"""),"")</f>
        <v/>
      </c>
      <c r="BA60" s="119" t="str">
        <f ca="1">IFERROR(__xludf.DUMMYFUNCTION("""COMPUTED_VALUE"""),"")</f>
        <v/>
      </c>
      <c r="BB60" s="119" t="str">
        <f ca="1">IFERROR(__xludf.DUMMYFUNCTION("""COMPUTED_VALUE"""),"")</f>
        <v/>
      </c>
      <c r="BC60" s="119" t="str">
        <f ca="1">IFERROR(__xludf.DUMMYFUNCTION("""COMPUTED_VALUE"""),"")</f>
        <v/>
      </c>
      <c r="BD60" s="119" t="str">
        <f ca="1">IFERROR(__xludf.DUMMYFUNCTION("""COMPUTED_VALUE"""),"")</f>
        <v/>
      </c>
      <c r="BE60" s="119" t="str">
        <f ca="1">IFERROR(__xludf.DUMMYFUNCTION("""COMPUTED_VALUE"""),"")</f>
        <v/>
      </c>
      <c r="BF60" s="119" t="str">
        <f ca="1">IFERROR(__xludf.DUMMYFUNCTION("""COMPUTED_VALUE"""),"")</f>
        <v/>
      </c>
      <c r="BG60" s="119" t="str">
        <f ca="1">IFERROR(__xludf.DUMMYFUNCTION("""COMPUTED_VALUE"""),"")</f>
        <v/>
      </c>
      <c r="BH60" s="119" t="str">
        <f ca="1">IFERROR(__xludf.DUMMYFUNCTION("""COMPUTED_VALUE"""),"")</f>
        <v/>
      </c>
      <c r="BI60" s="119" t="str">
        <f ca="1">IFERROR(__xludf.DUMMYFUNCTION("""COMPUTED_VALUE"""),"")</f>
        <v/>
      </c>
      <c r="BJ60" s="119" t="str">
        <f ca="1">IFERROR(__xludf.DUMMYFUNCTION("""COMPUTED_VALUE"""),"")</f>
        <v/>
      </c>
      <c r="BK60" s="119" t="str">
        <f ca="1">IFERROR(__xludf.DUMMYFUNCTION("""COMPUTED_VALUE"""),"")</f>
        <v/>
      </c>
      <c r="BL60" s="119" t="str">
        <f ca="1">IFERROR(__xludf.DUMMYFUNCTION("""COMPUTED_VALUE"""),"")</f>
        <v/>
      </c>
      <c r="BM60" s="119" t="str">
        <f ca="1">IFERROR(__xludf.DUMMYFUNCTION("""COMPUTED_VALUE"""),"")</f>
        <v/>
      </c>
      <c r="BN60" s="119" t="str">
        <f ca="1">IFERROR(__xludf.DUMMYFUNCTION("""COMPUTED_VALUE"""),"")</f>
        <v/>
      </c>
      <c r="BO60" s="119" t="str">
        <f ca="1">IFERROR(__xludf.DUMMYFUNCTION("""COMPUTED_VALUE"""),"")</f>
        <v/>
      </c>
      <c r="BP60" s="119" t="str">
        <f ca="1">IFERROR(__xludf.DUMMYFUNCTION("""COMPUTED_VALUE"""),"")</f>
        <v/>
      </c>
      <c r="BQ60" s="119" t="str">
        <f ca="1">IFERROR(__xludf.DUMMYFUNCTION("""COMPUTED_VALUE"""),"")</f>
        <v/>
      </c>
      <c r="BR60" s="119" t="str">
        <f ca="1">IFERROR(__xludf.DUMMYFUNCTION("""COMPUTED_VALUE"""),"")</f>
        <v/>
      </c>
      <c r="BS60" s="119" t="str">
        <f ca="1">IFERROR(__xludf.DUMMYFUNCTION("""COMPUTED_VALUE"""),"")</f>
        <v/>
      </c>
      <c r="BT60" s="119" t="str">
        <f ca="1">IFERROR(__xludf.DUMMYFUNCTION("""COMPUTED_VALUE"""),"")</f>
        <v/>
      </c>
      <c r="BU60" s="119" t="str">
        <f ca="1">IFERROR(__xludf.DUMMYFUNCTION("""COMPUTED_VALUE"""),"")</f>
        <v/>
      </c>
      <c r="BV60" s="119" t="str">
        <f ca="1">IFERROR(__xludf.DUMMYFUNCTION("""COMPUTED_VALUE"""),"")</f>
        <v/>
      </c>
      <c r="BW60" s="119" t="str">
        <f ca="1">IFERROR(__xludf.DUMMYFUNCTION("""COMPUTED_VALUE"""),"")</f>
        <v/>
      </c>
      <c r="BX60" s="119" t="str">
        <f ca="1">IFERROR(__xludf.DUMMYFUNCTION("""COMPUTED_VALUE"""),"")</f>
        <v/>
      </c>
      <c r="BY60" s="119" t="str">
        <f ca="1">IFERROR(__xludf.DUMMYFUNCTION("""COMPUTED_VALUE"""),"")</f>
        <v/>
      </c>
      <c r="BZ60" s="119" t="str">
        <f ca="1">IFERROR(__xludf.DUMMYFUNCTION("""COMPUTED_VALUE"""),"")</f>
        <v/>
      </c>
      <c r="CA60" s="119" t="str">
        <f ca="1">IFERROR(__xludf.DUMMYFUNCTION("""COMPUTED_VALUE"""),"")</f>
        <v/>
      </c>
      <c r="CB60" s="119" t="str">
        <f ca="1">IFERROR(__xludf.DUMMYFUNCTION("""COMPUTED_VALUE"""),"")</f>
        <v/>
      </c>
      <c r="CC60" s="119" t="str">
        <f ca="1">IFERROR(__xludf.DUMMYFUNCTION("""COMPUTED_VALUE"""),"")</f>
        <v/>
      </c>
      <c r="CD60" s="119" t="str">
        <f ca="1">IFERROR(__xludf.DUMMYFUNCTION("""COMPUTED_VALUE"""),"")</f>
        <v/>
      </c>
      <c r="CE60" s="119" t="str">
        <f ca="1">IFERROR(__xludf.DUMMYFUNCTION("""COMPUTED_VALUE"""),"")</f>
        <v/>
      </c>
      <c r="CF60" s="119" t="str">
        <f ca="1">IFERROR(__xludf.DUMMYFUNCTION("""COMPUTED_VALUE"""),"")</f>
        <v/>
      </c>
      <c r="CG60" s="119" t="str">
        <f ca="1">IFERROR(__xludf.DUMMYFUNCTION("""COMPUTED_VALUE"""),"")</f>
        <v/>
      </c>
      <c r="CH60" s="119" t="str">
        <f ca="1">IFERROR(__xludf.DUMMYFUNCTION("""COMPUTED_VALUE"""),"")</f>
        <v/>
      </c>
      <c r="CI60" s="119" t="str">
        <f ca="1">IFERROR(__xludf.DUMMYFUNCTION("""COMPUTED_VALUE"""),"")</f>
        <v/>
      </c>
      <c r="CJ60" s="119" t="str">
        <f ca="1">IFERROR(__xludf.DUMMYFUNCTION("""COMPUTED_VALUE"""),"")</f>
        <v/>
      </c>
      <c r="CK60" s="119" t="str">
        <f ca="1">IFERROR(__xludf.DUMMYFUNCTION("""COMPUTED_VALUE"""),"")</f>
        <v/>
      </c>
      <c r="CL60" s="119" t="str">
        <f ca="1">IFERROR(__xludf.DUMMYFUNCTION("""COMPUTED_VALUE"""),"")</f>
        <v/>
      </c>
      <c r="CM60" s="119" t="str">
        <f ca="1">IFERROR(__xludf.DUMMYFUNCTION("""COMPUTED_VALUE"""),"")</f>
        <v/>
      </c>
      <c r="CN60" s="119" t="str">
        <f ca="1">IFERROR(__xludf.DUMMYFUNCTION("""COMPUTED_VALUE"""),"")</f>
        <v/>
      </c>
      <c r="CO60" s="119" t="str">
        <f ca="1">IFERROR(__xludf.DUMMYFUNCTION("""COMPUTED_VALUE"""),"")</f>
        <v/>
      </c>
      <c r="CP60" s="119" t="str">
        <f ca="1">IFERROR(__xludf.DUMMYFUNCTION("""COMPUTED_VALUE"""),"")</f>
        <v/>
      </c>
      <c r="CQ60" s="119" t="str">
        <f ca="1">IFERROR(__xludf.DUMMYFUNCTION("""COMPUTED_VALUE"""),"")</f>
        <v/>
      </c>
      <c r="CR60" s="119" t="str">
        <f ca="1">IFERROR(__xludf.DUMMYFUNCTION("""COMPUTED_VALUE"""),"")</f>
        <v/>
      </c>
      <c r="CS60" s="119" t="str">
        <f ca="1">IFERROR(__xludf.DUMMYFUNCTION("""COMPUTED_VALUE"""),"")</f>
        <v/>
      </c>
      <c r="CT60" s="119" t="str">
        <f ca="1">IFERROR(__xludf.DUMMYFUNCTION("""COMPUTED_VALUE"""),"")</f>
        <v/>
      </c>
      <c r="CU60" s="119" t="str">
        <f ca="1">IFERROR(__xludf.DUMMYFUNCTION("""COMPUTED_VALUE"""),"")</f>
        <v/>
      </c>
      <c r="CV60" s="119" t="str">
        <f ca="1">IFERROR(__xludf.DUMMYFUNCTION("""COMPUTED_VALUE"""),"")</f>
        <v/>
      </c>
      <c r="CW60" s="119" t="str">
        <f ca="1">IFERROR(__xludf.DUMMYFUNCTION("""COMPUTED_VALUE"""),"")</f>
        <v/>
      </c>
      <c r="CX60" s="119" t="str">
        <f ca="1">IFERROR(__xludf.DUMMYFUNCTION("""COMPUTED_VALUE"""),"")</f>
        <v/>
      </c>
      <c r="CY60" s="119" t="str">
        <f ca="1">IFERROR(__xludf.DUMMYFUNCTION("""COMPUTED_VALUE"""),"")</f>
        <v/>
      </c>
      <c r="CZ60" s="119" t="str">
        <f ca="1">IFERROR(__xludf.DUMMYFUNCTION("""COMPUTED_VALUE"""),"")</f>
        <v/>
      </c>
      <c r="DA60" s="119" t="str">
        <f ca="1">IFERROR(__xludf.DUMMYFUNCTION("""COMPUTED_VALUE"""),"")</f>
        <v/>
      </c>
      <c r="DB60" s="119" t="str">
        <f ca="1">IFERROR(__xludf.DUMMYFUNCTION("""COMPUTED_VALUE"""),"")</f>
        <v/>
      </c>
      <c r="DC60" s="119" t="str">
        <f ca="1">IFERROR(__xludf.DUMMYFUNCTION("""COMPUTED_VALUE"""),"")</f>
        <v/>
      </c>
      <c r="DD60" s="119" t="str">
        <f ca="1">IFERROR(__xludf.DUMMYFUNCTION("""COMPUTED_VALUE"""),"")</f>
        <v/>
      </c>
      <c r="DE60" s="119" t="str">
        <f ca="1">IFERROR(__xludf.DUMMYFUNCTION("""COMPUTED_VALUE"""),"")</f>
        <v/>
      </c>
      <c r="DF60" s="119" t="str">
        <f ca="1">IFERROR(__xludf.DUMMYFUNCTION("""COMPUTED_VALUE"""),"")</f>
        <v/>
      </c>
      <c r="DG60" s="119" t="str">
        <f ca="1">IFERROR(__xludf.DUMMYFUNCTION("""COMPUTED_VALUE"""),"")</f>
        <v/>
      </c>
      <c r="DH60" s="119" t="str">
        <f ca="1">IFERROR(__xludf.DUMMYFUNCTION("""COMPUTED_VALUE"""),"")</f>
        <v/>
      </c>
      <c r="DI60" s="119" t="str">
        <f ca="1">IFERROR(__xludf.DUMMYFUNCTION("""COMPUTED_VALUE"""),"")</f>
        <v/>
      </c>
      <c r="DJ60" s="119" t="str">
        <f ca="1">IFERROR(__xludf.DUMMYFUNCTION("""COMPUTED_VALUE"""),"")</f>
        <v/>
      </c>
      <c r="DK60" s="119" t="str">
        <f ca="1">IFERROR(__xludf.DUMMYFUNCTION("""COMPUTED_VALUE"""),"")</f>
        <v/>
      </c>
      <c r="DL60" s="119" t="str">
        <f ca="1">IFERROR(__xludf.DUMMYFUNCTION("""COMPUTED_VALUE"""),"")</f>
        <v/>
      </c>
      <c r="DM60" s="119" t="str">
        <f ca="1">IFERROR(__xludf.DUMMYFUNCTION("""COMPUTED_VALUE"""),"")</f>
        <v/>
      </c>
      <c r="DN60" s="119" t="str">
        <f ca="1">IFERROR(__xludf.DUMMYFUNCTION("""COMPUTED_VALUE"""),"")</f>
        <v/>
      </c>
      <c r="DO60" s="119" t="str">
        <f ca="1">IFERROR(__xludf.DUMMYFUNCTION("""COMPUTED_VALUE"""),"")</f>
        <v/>
      </c>
      <c r="DP60" s="119" t="str">
        <f ca="1">IFERROR(__xludf.DUMMYFUNCTION("""COMPUTED_VALUE"""),"")</f>
        <v/>
      </c>
      <c r="DQ60" s="119" t="str">
        <f ca="1">IFERROR(__xludf.DUMMYFUNCTION("""COMPUTED_VALUE"""),"")</f>
        <v/>
      </c>
      <c r="DR60" s="119" t="str">
        <f ca="1">IFERROR(__xludf.DUMMYFUNCTION("""COMPUTED_VALUE"""),"")</f>
        <v/>
      </c>
      <c r="DS60" s="119" t="str">
        <f ca="1">IFERROR(__xludf.DUMMYFUNCTION("""COMPUTED_VALUE"""),"")</f>
        <v/>
      </c>
      <c r="DT60" s="119" t="str">
        <f ca="1">IFERROR(__xludf.DUMMYFUNCTION("""COMPUTED_VALUE"""),"")</f>
        <v/>
      </c>
      <c r="DU60" s="119" t="str">
        <f ca="1">IFERROR(__xludf.DUMMYFUNCTION("""COMPUTED_VALUE"""),"")</f>
        <v/>
      </c>
      <c r="DV60" s="119" t="str">
        <f ca="1">IFERROR(__xludf.DUMMYFUNCTION("""COMPUTED_VALUE"""),"")</f>
        <v/>
      </c>
      <c r="DW60" s="119" t="str">
        <f ca="1">IFERROR(__xludf.DUMMYFUNCTION("""COMPUTED_VALUE"""),"")</f>
        <v/>
      </c>
      <c r="DX60" s="119" t="str">
        <f ca="1">IFERROR(__xludf.DUMMYFUNCTION("""COMPUTED_VALUE"""),"")</f>
        <v/>
      </c>
      <c r="DY60" s="119" t="str">
        <f ca="1">IFERROR(__xludf.DUMMYFUNCTION("""COMPUTED_VALUE"""),"")</f>
        <v/>
      </c>
      <c r="DZ60" s="119" t="str">
        <f ca="1">IFERROR(__xludf.DUMMYFUNCTION("""COMPUTED_VALUE"""),"")</f>
        <v/>
      </c>
      <c r="EA60" s="119" t="str">
        <f ca="1">IFERROR(__xludf.DUMMYFUNCTION("""COMPUTED_VALUE"""),"")</f>
        <v/>
      </c>
      <c r="EB60" s="119" t="str">
        <f ca="1">IFERROR(__xludf.DUMMYFUNCTION("""COMPUTED_VALUE"""),"")</f>
        <v/>
      </c>
      <c r="EC60" s="119" t="str">
        <f ca="1">IFERROR(__xludf.DUMMYFUNCTION("""COMPUTED_VALUE"""),"")</f>
        <v/>
      </c>
      <c r="ED60" s="119" t="str">
        <f ca="1">IFERROR(__xludf.DUMMYFUNCTION("""COMPUTED_VALUE"""),"")</f>
        <v/>
      </c>
      <c r="EE60" s="119" t="str">
        <f ca="1">IFERROR(__xludf.DUMMYFUNCTION("""COMPUTED_VALUE"""),"")</f>
        <v/>
      </c>
      <c r="EF60" s="119" t="str">
        <f ca="1">IFERROR(__xludf.DUMMYFUNCTION("""COMPUTED_VALUE"""),"")</f>
        <v/>
      </c>
      <c r="EG60" s="119" t="str">
        <f ca="1">IFERROR(__xludf.DUMMYFUNCTION("""COMPUTED_VALUE"""),"")</f>
        <v/>
      </c>
      <c r="EH60" s="119" t="str">
        <f ca="1">IFERROR(__xludf.DUMMYFUNCTION("""COMPUTED_VALUE"""),"")</f>
        <v/>
      </c>
      <c r="EI60" s="119" t="str">
        <f ca="1">IFERROR(__xludf.DUMMYFUNCTION("""COMPUTED_VALUE"""),"")</f>
        <v/>
      </c>
      <c r="EJ60" s="119" t="str">
        <f ca="1">IFERROR(__xludf.DUMMYFUNCTION("""COMPUTED_VALUE"""),"")</f>
        <v/>
      </c>
      <c r="EK60" s="119" t="str">
        <f ca="1">IFERROR(__xludf.DUMMYFUNCTION("""COMPUTED_VALUE"""),"")</f>
        <v/>
      </c>
      <c r="EL60" s="119" t="str">
        <f ca="1">IFERROR(__xludf.DUMMYFUNCTION("""COMPUTED_VALUE"""),"")</f>
        <v/>
      </c>
      <c r="EM60" s="119" t="str">
        <f ca="1">IFERROR(__xludf.DUMMYFUNCTION("""COMPUTED_VALUE"""),"")</f>
        <v/>
      </c>
      <c r="EN60" s="119" t="str">
        <f ca="1">IFERROR(__xludf.DUMMYFUNCTION("""COMPUTED_VALUE"""),"")</f>
        <v/>
      </c>
      <c r="EO60" s="119" t="str">
        <f ca="1">IFERROR(__xludf.DUMMYFUNCTION("""COMPUTED_VALUE"""),"")</f>
        <v/>
      </c>
      <c r="EP60" s="119" t="str">
        <f ca="1">IFERROR(__xludf.DUMMYFUNCTION("""COMPUTED_VALUE"""),"")</f>
        <v/>
      </c>
      <c r="EQ60" s="119" t="str">
        <f ca="1">IFERROR(__xludf.DUMMYFUNCTION("""COMPUTED_VALUE"""),"")</f>
        <v/>
      </c>
      <c r="ER60" s="119" t="str">
        <f ca="1">IFERROR(__xludf.DUMMYFUNCTION("""COMPUTED_VALUE"""),"")</f>
        <v/>
      </c>
      <c r="ES60" s="119" t="str">
        <f ca="1">IFERROR(__xludf.DUMMYFUNCTION("""COMPUTED_VALUE"""),"")</f>
        <v/>
      </c>
      <c r="ET60" s="119" t="str">
        <f ca="1">IFERROR(__xludf.DUMMYFUNCTION("""COMPUTED_VALUE"""),"")</f>
        <v/>
      </c>
      <c r="EU60" s="119" t="str">
        <f ca="1">IFERROR(__xludf.DUMMYFUNCTION("""COMPUTED_VALUE"""),"")</f>
        <v/>
      </c>
      <c r="EV60" s="119" t="str">
        <f ca="1">IFERROR(__xludf.DUMMYFUNCTION("""COMPUTED_VALUE"""),"")</f>
        <v/>
      </c>
      <c r="EW60" s="119" t="str">
        <f ca="1">IFERROR(__xludf.DUMMYFUNCTION("""COMPUTED_VALUE"""),"")</f>
        <v/>
      </c>
      <c r="EX60" s="117" t="str">
        <f ca="1">IFERROR(__xludf.DUMMYFUNCTION("""COMPUTED_VALUE"""),"")</f>
        <v/>
      </c>
      <c r="EY60" s="117" t="str">
        <f ca="1">IFERROR(__xludf.DUMMYFUNCTION("""COMPUTED_VALUE"""),"")</f>
        <v/>
      </c>
      <c r="EZ60" s="117" t="str">
        <f ca="1">IFERROR(__xludf.DUMMYFUNCTION("""COMPUTED_VALUE"""),"")</f>
        <v/>
      </c>
      <c r="FA60" s="117" t="str">
        <f ca="1">IFERROR(__xludf.DUMMYFUNCTION("""COMPUTED_VALUE"""),"")</f>
        <v/>
      </c>
      <c r="FB60" s="117" t="str">
        <f ca="1">IFERROR(__xludf.DUMMYFUNCTION("""COMPUTED_VALUE"""),"")</f>
        <v/>
      </c>
      <c r="FC60" s="117" t="str">
        <f ca="1">IFERROR(__xludf.DUMMYFUNCTION("""COMPUTED_VALUE"""),"")</f>
        <v/>
      </c>
      <c r="FD60" s="117" t="str">
        <f ca="1">IFERROR(__xludf.DUMMYFUNCTION("""COMPUTED_VALUE"""),"")</f>
        <v/>
      </c>
      <c r="FE60" s="117" t="str">
        <f ca="1">IFERROR(__xludf.DUMMYFUNCTION("""COMPUTED_VALUE"""),"")</f>
        <v/>
      </c>
      <c r="FF60" s="117" t="str">
        <f ca="1">IFERROR(__xludf.DUMMYFUNCTION("""COMPUTED_VALUE"""),"")</f>
        <v/>
      </c>
      <c r="FG60" s="117" t="str">
        <f ca="1">IFERROR(__xludf.DUMMYFUNCTION("""COMPUTED_VALUE"""),"")</f>
        <v/>
      </c>
      <c r="FH60" s="117" t="str">
        <f ca="1">IFERROR(__xludf.DUMMYFUNCTION("""COMPUTED_VALUE"""),"")</f>
        <v/>
      </c>
      <c r="FI60" s="117" t="str">
        <f ca="1">IFERROR(__xludf.DUMMYFUNCTION("""COMPUTED_VALUE"""),"")</f>
        <v/>
      </c>
      <c r="FJ60" s="117" t="str">
        <f ca="1">IFERROR(__xludf.DUMMYFUNCTION("""COMPUTED_VALUE"""),"")</f>
        <v/>
      </c>
      <c r="FK60" s="117" t="str">
        <f ca="1">IFERROR(__xludf.DUMMYFUNCTION("""COMPUTED_VALUE"""),"")</f>
        <v/>
      </c>
      <c r="FL60" s="117" t="str">
        <f ca="1">IFERROR(__xludf.DUMMYFUNCTION("""COMPUTED_VALUE"""),"")</f>
        <v/>
      </c>
      <c r="FM60" s="117" t="str">
        <f ca="1">IFERROR(__xludf.DUMMYFUNCTION("""COMPUTED_VALUE"""),"")</f>
        <v/>
      </c>
      <c r="FN60" s="117" t="str">
        <f ca="1">IFERROR(__xludf.DUMMYFUNCTION("""COMPUTED_VALUE"""),"")</f>
        <v/>
      </c>
      <c r="FO60" s="117" t="str">
        <f ca="1">IFERROR(__xludf.DUMMYFUNCTION("""COMPUTED_VALUE"""),"")</f>
        <v/>
      </c>
    </row>
    <row r="61" spans="1:171" ht="15.75" customHeight="1" x14ac:dyDescent="0.15">
      <c r="A61" s="115" t="str">
        <f ca="1">IFERROR(__xludf.DUMMYFUNCTION("""COMPUTED_VALUE"""),"")</f>
        <v/>
      </c>
      <c r="B61" s="119" t="str">
        <f ca="1">IFERROR(__xludf.DUMMYFUNCTION("""COMPUTED_VALUE"""),"")</f>
        <v/>
      </c>
      <c r="C61" s="119" t="str">
        <f ca="1">IFERROR(__xludf.DUMMYFUNCTION("""COMPUTED_VALUE"""),"")</f>
        <v/>
      </c>
      <c r="D61" s="119" t="str">
        <f ca="1">IFERROR(__xludf.DUMMYFUNCTION("""COMPUTED_VALUE"""),"")</f>
        <v/>
      </c>
      <c r="E61" s="119" t="str">
        <f ca="1">IFERROR(__xludf.DUMMYFUNCTION("""COMPUTED_VALUE"""),"")</f>
        <v/>
      </c>
      <c r="F61" s="119" t="str">
        <f ca="1">IFERROR(__xludf.DUMMYFUNCTION("""COMPUTED_VALUE"""),"")</f>
        <v/>
      </c>
      <c r="G61" s="119" t="str">
        <f ca="1">IFERROR(__xludf.DUMMYFUNCTION("""COMPUTED_VALUE"""),"")</f>
        <v/>
      </c>
      <c r="H61" s="119" t="str">
        <f ca="1">IFERROR(__xludf.DUMMYFUNCTION("""COMPUTED_VALUE"""),"")</f>
        <v/>
      </c>
      <c r="I61" s="119" t="str">
        <f ca="1">IFERROR(__xludf.DUMMYFUNCTION("""COMPUTED_VALUE"""),"")</f>
        <v/>
      </c>
      <c r="J61" s="119" t="str">
        <f ca="1">IFERROR(__xludf.DUMMYFUNCTION("""COMPUTED_VALUE"""),"")</f>
        <v/>
      </c>
      <c r="K61" s="119" t="str">
        <f ca="1">IFERROR(__xludf.DUMMYFUNCTION("""COMPUTED_VALUE"""),"")</f>
        <v/>
      </c>
      <c r="L61" s="119" t="str">
        <f ca="1">IFERROR(__xludf.DUMMYFUNCTION("""COMPUTED_VALUE"""),"")</f>
        <v/>
      </c>
      <c r="M61" s="119" t="str">
        <f ca="1">IFERROR(__xludf.DUMMYFUNCTION("""COMPUTED_VALUE"""),"")</f>
        <v/>
      </c>
      <c r="N61" s="119" t="str">
        <f ca="1">IFERROR(__xludf.DUMMYFUNCTION("""COMPUTED_VALUE"""),"")</f>
        <v/>
      </c>
      <c r="O61" s="119" t="str">
        <f ca="1">IFERROR(__xludf.DUMMYFUNCTION("""COMPUTED_VALUE"""),"")</f>
        <v/>
      </c>
      <c r="P61" s="119" t="str">
        <f ca="1">IFERROR(__xludf.DUMMYFUNCTION("""COMPUTED_VALUE"""),"")</f>
        <v/>
      </c>
      <c r="Q61" s="119" t="str">
        <f ca="1">IFERROR(__xludf.DUMMYFUNCTION("""COMPUTED_VALUE"""),"")</f>
        <v/>
      </c>
      <c r="R61" s="119" t="str">
        <f ca="1">IFERROR(__xludf.DUMMYFUNCTION("""COMPUTED_VALUE"""),"")</f>
        <v/>
      </c>
      <c r="S61" s="119" t="str">
        <f ca="1">IFERROR(__xludf.DUMMYFUNCTION("""COMPUTED_VALUE"""),"")</f>
        <v/>
      </c>
      <c r="T61" s="119" t="str">
        <f ca="1">IFERROR(__xludf.DUMMYFUNCTION("""COMPUTED_VALUE"""),"")</f>
        <v/>
      </c>
      <c r="U61" s="119" t="str">
        <f ca="1">IFERROR(__xludf.DUMMYFUNCTION("""COMPUTED_VALUE"""),"")</f>
        <v/>
      </c>
      <c r="V61" s="119" t="str">
        <f ca="1">IFERROR(__xludf.DUMMYFUNCTION("""COMPUTED_VALUE"""),"")</f>
        <v/>
      </c>
      <c r="W61" s="119" t="str">
        <f ca="1">IFERROR(__xludf.DUMMYFUNCTION("""COMPUTED_VALUE"""),"")</f>
        <v/>
      </c>
      <c r="X61" s="119" t="str">
        <f ca="1">IFERROR(__xludf.DUMMYFUNCTION("""COMPUTED_VALUE"""),"")</f>
        <v/>
      </c>
      <c r="Y61" s="119" t="str">
        <f ca="1">IFERROR(__xludf.DUMMYFUNCTION("""COMPUTED_VALUE"""),"")</f>
        <v/>
      </c>
      <c r="Z61" s="119" t="str">
        <f ca="1">IFERROR(__xludf.DUMMYFUNCTION("""COMPUTED_VALUE"""),"")</f>
        <v/>
      </c>
      <c r="AA61" s="119" t="str">
        <f ca="1">IFERROR(__xludf.DUMMYFUNCTION("""COMPUTED_VALUE"""),"")</f>
        <v/>
      </c>
      <c r="AB61" s="119" t="str">
        <f ca="1">IFERROR(__xludf.DUMMYFUNCTION("""COMPUTED_VALUE"""),"")</f>
        <v/>
      </c>
      <c r="AC61" s="119" t="str">
        <f ca="1">IFERROR(__xludf.DUMMYFUNCTION("""COMPUTED_VALUE"""),"")</f>
        <v/>
      </c>
      <c r="AD61" s="119" t="str">
        <f ca="1">IFERROR(__xludf.DUMMYFUNCTION("""COMPUTED_VALUE"""),"")</f>
        <v/>
      </c>
      <c r="AE61" s="119" t="str">
        <f ca="1">IFERROR(__xludf.DUMMYFUNCTION("""COMPUTED_VALUE"""),"")</f>
        <v/>
      </c>
      <c r="AF61" s="119" t="str">
        <f ca="1">IFERROR(__xludf.DUMMYFUNCTION("""COMPUTED_VALUE"""),"")</f>
        <v/>
      </c>
      <c r="AG61" s="119" t="str">
        <f ca="1">IFERROR(__xludf.DUMMYFUNCTION("""COMPUTED_VALUE"""),"")</f>
        <v/>
      </c>
      <c r="AH61" s="119" t="str">
        <f ca="1">IFERROR(__xludf.DUMMYFUNCTION("""COMPUTED_VALUE"""),"")</f>
        <v/>
      </c>
      <c r="AI61" s="119" t="str">
        <f ca="1">IFERROR(__xludf.DUMMYFUNCTION("""COMPUTED_VALUE"""),"")</f>
        <v/>
      </c>
      <c r="AJ61" s="119" t="str">
        <f ca="1">IFERROR(__xludf.DUMMYFUNCTION("""COMPUTED_VALUE"""),"")</f>
        <v/>
      </c>
      <c r="AK61" s="119" t="str">
        <f ca="1">IFERROR(__xludf.DUMMYFUNCTION("""COMPUTED_VALUE"""),"")</f>
        <v/>
      </c>
      <c r="AL61" s="119" t="str">
        <f ca="1">IFERROR(__xludf.DUMMYFUNCTION("""COMPUTED_VALUE"""),"")</f>
        <v/>
      </c>
      <c r="AM61" s="119" t="str">
        <f ca="1">IFERROR(__xludf.DUMMYFUNCTION("""COMPUTED_VALUE"""),"")</f>
        <v/>
      </c>
      <c r="AN61" s="119" t="str">
        <f ca="1">IFERROR(__xludf.DUMMYFUNCTION("""COMPUTED_VALUE"""),"")</f>
        <v/>
      </c>
      <c r="AO61" s="119" t="str">
        <f ca="1">IFERROR(__xludf.DUMMYFUNCTION("""COMPUTED_VALUE"""),"")</f>
        <v/>
      </c>
      <c r="AP61" s="119" t="str">
        <f ca="1">IFERROR(__xludf.DUMMYFUNCTION("""COMPUTED_VALUE"""),"")</f>
        <v/>
      </c>
      <c r="AQ61" s="119" t="str">
        <f ca="1">IFERROR(__xludf.DUMMYFUNCTION("""COMPUTED_VALUE"""),"")</f>
        <v/>
      </c>
      <c r="AR61" s="118" t="str">
        <f ca="1">IFERROR(__xludf.DUMMYFUNCTION("""COMPUTED_VALUE"""),"")</f>
        <v/>
      </c>
      <c r="AS61" s="119" t="str">
        <f ca="1">IFERROR(__xludf.DUMMYFUNCTION("""COMPUTED_VALUE"""),"")</f>
        <v/>
      </c>
      <c r="AT61" s="119" t="str">
        <f ca="1">IFERROR(__xludf.DUMMYFUNCTION("""COMPUTED_VALUE"""),"")</f>
        <v/>
      </c>
      <c r="AU61" s="119" t="str">
        <f ca="1">IFERROR(__xludf.DUMMYFUNCTION("""COMPUTED_VALUE"""),"")</f>
        <v/>
      </c>
      <c r="AV61" s="119" t="str">
        <f ca="1">IFERROR(__xludf.DUMMYFUNCTION("""COMPUTED_VALUE"""),"")</f>
        <v/>
      </c>
      <c r="AW61" s="119" t="str">
        <f ca="1">IFERROR(__xludf.DUMMYFUNCTION("""COMPUTED_VALUE"""),"")</f>
        <v/>
      </c>
      <c r="AX61" s="119" t="str">
        <f ca="1">IFERROR(__xludf.DUMMYFUNCTION("""COMPUTED_VALUE"""),"")</f>
        <v/>
      </c>
      <c r="AY61" s="119" t="str">
        <f ca="1">IFERROR(__xludf.DUMMYFUNCTION("""COMPUTED_VALUE"""),"")</f>
        <v/>
      </c>
      <c r="AZ61" s="119" t="str">
        <f ca="1">IFERROR(__xludf.DUMMYFUNCTION("""COMPUTED_VALUE"""),"")</f>
        <v/>
      </c>
      <c r="BA61" s="119" t="str">
        <f ca="1">IFERROR(__xludf.DUMMYFUNCTION("""COMPUTED_VALUE"""),"")</f>
        <v/>
      </c>
      <c r="BB61" s="119" t="str">
        <f ca="1">IFERROR(__xludf.DUMMYFUNCTION("""COMPUTED_VALUE"""),"")</f>
        <v/>
      </c>
      <c r="BC61" s="119" t="str">
        <f ca="1">IFERROR(__xludf.DUMMYFUNCTION("""COMPUTED_VALUE"""),"")</f>
        <v/>
      </c>
      <c r="BD61" s="119" t="str">
        <f ca="1">IFERROR(__xludf.DUMMYFUNCTION("""COMPUTED_VALUE"""),"")</f>
        <v/>
      </c>
      <c r="BE61" s="119" t="str">
        <f ca="1">IFERROR(__xludf.DUMMYFUNCTION("""COMPUTED_VALUE"""),"")</f>
        <v/>
      </c>
      <c r="BF61" s="119" t="str">
        <f ca="1">IFERROR(__xludf.DUMMYFUNCTION("""COMPUTED_VALUE"""),"")</f>
        <v/>
      </c>
      <c r="BG61" s="119" t="str">
        <f ca="1">IFERROR(__xludf.DUMMYFUNCTION("""COMPUTED_VALUE"""),"")</f>
        <v/>
      </c>
      <c r="BH61" s="119" t="str">
        <f ca="1">IFERROR(__xludf.DUMMYFUNCTION("""COMPUTED_VALUE"""),"")</f>
        <v/>
      </c>
      <c r="BI61" s="119" t="str">
        <f ca="1">IFERROR(__xludf.DUMMYFUNCTION("""COMPUTED_VALUE"""),"")</f>
        <v/>
      </c>
      <c r="BJ61" s="119" t="str">
        <f ca="1">IFERROR(__xludf.DUMMYFUNCTION("""COMPUTED_VALUE"""),"")</f>
        <v/>
      </c>
      <c r="BK61" s="119" t="str">
        <f ca="1">IFERROR(__xludf.DUMMYFUNCTION("""COMPUTED_VALUE"""),"")</f>
        <v/>
      </c>
      <c r="BL61" s="119" t="str">
        <f ca="1">IFERROR(__xludf.DUMMYFUNCTION("""COMPUTED_VALUE"""),"")</f>
        <v/>
      </c>
      <c r="BM61" s="119" t="str">
        <f ca="1">IFERROR(__xludf.DUMMYFUNCTION("""COMPUTED_VALUE"""),"")</f>
        <v/>
      </c>
      <c r="BN61" s="119" t="str">
        <f ca="1">IFERROR(__xludf.DUMMYFUNCTION("""COMPUTED_VALUE"""),"")</f>
        <v/>
      </c>
      <c r="BO61" s="119" t="str">
        <f ca="1">IFERROR(__xludf.DUMMYFUNCTION("""COMPUTED_VALUE"""),"")</f>
        <v/>
      </c>
      <c r="BP61" s="119" t="str">
        <f ca="1">IFERROR(__xludf.DUMMYFUNCTION("""COMPUTED_VALUE"""),"")</f>
        <v/>
      </c>
      <c r="BQ61" s="119" t="str">
        <f ca="1">IFERROR(__xludf.DUMMYFUNCTION("""COMPUTED_VALUE"""),"")</f>
        <v/>
      </c>
      <c r="BR61" s="119" t="str">
        <f ca="1">IFERROR(__xludf.DUMMYFUNCTION("""COMPUTED_VALUE"""),"")</f>
        <v/>
      </c>
      <c r="BS61" s="119" t="str">
        <f ca="1">IFERROR(__xludf.DUMMYFUNCTION("""COMPUTED_VALUE"""),"")</f>
        <v/>
      </c>
      <c r="BT61" s="119" t="str">
        <f ca="1">IFERROR(__xludf.DUMMYFUNCTION("""COMPUTED_VALUE"""),"")</f>
        <v/>
      </c>
      <c r="BU61" s="119" t="str">
        <f ca="1">IFERROR(__xludf.DUMMYFUNCTION("""COMPUTED_VALUE"""),"")</f>
        <v/>
      </c>
      <c r="BV61" s="119" t="str">
        <f ca="1">IFERROR(__xludf.DUMMYFUNCTION("""COMPUTED_VALUE"""),"")</f>
        <v/>
      </c>
      <c r="BW61" s="119" t="str">
        <f ca="1">IFERROR(__xludf.DUMMYFUNCTION("""COMPUTED_VALUE"""),"")</f>
        <v/>
      </c>
      <c r="BX61" s="119" t="str">
        <f ca="1">IFERROR(__xludf.DUMMYFUNCTION("""COMPUTED_VALUE"""),"")</f>
        <v/>
      </c>
      <c r="BY61" s="119" t="str">
        <f ca="1">IFERROR(__xludf.DUMMYFUNCTION("""COMPUTED_VALUE"""),"")</f>
        <v/>
      </c>
      <c r="BZ61" s="119" t="str">
        <f ca="1">IFERROR(__xludf.DUMMYFUNCTION("""COMPUTED_VALUE"""),"")</f>
        <v/>
      </c>
      <c r="CA61" s="119" t="str">
        <f ca="1">IFERROR(__xludf.DUMMYFUNCTION("""COMPUTED_VALUE"""),"")</f>
        <v/>
      </c>
      <c r="CB61" s="119" t="str">
        <f ca="1">IFERROR(__xludf.DUMMYFUNCTION("""COMPUTED_VALUE"""),"")</f>
        <v/>
      </c>
      <c r="CC61" s="119" t="str">
        <f ca="1">IFERROR(__xludf.DUMMYFUNCTION("""COMPUTED_VALUE"""),"")</f>
        <v/>
      </c>
      <c r="CD61" s="119" t="str">
        <f ca="1">IFERROR(__xludf.DUMMYFUNCTION("""COMPUTED_VALUE"""),"")</f>
        <v/>
      </c>
      <c r="CE61" s="119" t="str">
        <f ca="1">IFERROR(__xludf.DUMMYFUNCTION("""COMPUTED_VALUE"""),"")</f>
        <v/>
      </c>
      <c r="CF61" s="119" t="str">
        <f ca="1">IFERROR(__xludf.DUMMYFUNCTION("""COMPUTED_VALUE"""),"")</f>
        <v/>
      </c>
      <c r="CG61" s="119" t="str">
        <f ca="1">IFERROR(__xludf.DUMMYFUNCTION("""COMPUTED_VALUE"""),"")</f>
        <v/>
      </c>
      <c r="CH61" s="119" t="str">
        <f ca="1">IFERROR(__xludf.DUMMYFUNCTION("""COMPUTED_VALUE"""),"")</f>
        <v/>
      </c>
      <c r="CI61" s="119" t="str">
        <f ca="1">IFERROR(__xludf.DUMMYFUNCTION("""COMPUTED_VALUE"""),"")</f>
        <v/>
      </c>
      <c r="CJ61" s="119" t="str">
        <f ca="1">IFERROR(__xludf.DUMMYFUNCTION("""COMPUTED_VALUE"""),"")</f>
        <v/>
      </c>
      <c r="CK61" s="119" t="str">
        <f ca="1">IFERROR(__xludf.DUMMYFUNCTION("""COMPUTED_VALUE"""),"")</f>
        <v/>
      </c>
      <c r="CL61" s="119" t="str">
        <f ca="1">IFERROR(__xludf.DUMMYFUNCTION("""COMPUTED_VALUE"""),"")</f>
        <v/>
      </c>
      <c r="CM61" s="119" t="str">
        <f ca="1">IFERROR(__xludf.DUMMYFUNCTION("""COMPUTED_VALUE"""),"")</f>
        <v/>
      </c>
      <c r="CN61" s="119" t="str">
        <f ca="1">IFERROR(__xludf.DUMMYFUNCTION("""COMPUTED_VALUE"""),"")</f>
        <v/>
      </c>
      <c r="CO61" s="119" t="str">
        <f ca="1">IFERROR(__xludf.DUMMYFUNCTION("""COMPUTED_VALUE"""),"")</f>
        <v/>
      </c>
      <c r="CP61" s="119" t="str">
        <f ca="1">IFERROR(__xludf.DUMMYFUNCTION("""COMPUTED_VALUE"""),"")</f>
        <v/>
      </c>
      <c r="CQ61" s="119" t="str">
        <f ca="1">IFERROR(__xludf.DUMMYFUNCTION("""COMPUTED_VALUE"""),"")</f>
        <v/>
      </c>
      <c r="CR61" s="119" t="str">
        <f ca="1">IFERROR(__xludf.DUMMYFUNCTION("""COMPUTED_VALUE"""),"")</f>
        <v/>
      </c>
      <c r="CS61" s="119" t="str">
        <f ca="1">IFERROR(__xludf.DUMMYFUNCTION("""COMPUTED_VALUE"""),"")</f>
        <v/>
      </c>
      <c r="CT61" s="119" t="str">
        <f ca="1">IFERROR(__xludf.DUMMYFUNCTION("""COMPUTED_VALUE"""),"")</f>
        <v/>
      </c>
      <c r="CU61" s="119" t="str">
        <f ca="1">IFERROR(__xludf.DUMMYFUNCTION("""COMPUTED_VALUE"""),"")</f>
        <v/>
      </c>
      <c r="CV61" s="119" t="str">
        <f ca="1">IFERROR(__xludf.DUMMYFUNCTION("""COMPUTED_VALUE"""),"")</f>
        <v/>
      </c>
      <c r="CW61" s="119" t="str">
        <f ca="1">IFERROR(__xludf.DUMMYFUNCTION("""COMPUTED_VALUE"""),"")</f>
        <v/>
      </c>
      <c r="CX61" s="119" t="str">
        <f ca="1">IFERROR(__xludf.DUMMYFUNCTION("""COMPUTED_VALUE"""),"")</f>
        <v/>
      </c>
      <c r="CY61" s="119" t="str">
        <f ca="1">IFERROR(__xludf.DUMMYFUNCTION("""COMPUTED_VALUE"""),"")</f>
        <v/>
      </c>
      <c r="CZ61" s="119" t="str">
        <f ca="1">IFERROR(__xludf.DUMMYFUNCTION("""COMPUTED_VALUE"""),"")</f>
        <v/>
      </c>
      <c r="DA61" s="119" t="str">
        <f ca="1">IFERROR(__xludf.DUMMYFUNCTION("""COMPUTED_VALUE"""),"")</f>
        <v/>
      </c>
      <c r="DB61" s="119" t="str">
        <f ca="1">IFERROR(__xludf.DUMMYFUNCTION("""COMPUTED_VALUE"""),"")</f>
        <v/>
      </c>
      <c r="DC61" s="119" t="str">
        <f ca="1">IFERROR(__xludf.DUMMYFUNCTION("""COMPUTED_VALUE"""),"")</f>
        <v/>
      </c>
      <c r="DD61" s="119" t="str">
        <f ca="1">IFERROR(__xludf.DUMMYFUNCTION("""COMPUTED_VALUE"""),"")</f>
        <v/>
      </c>
      <c r="DE61" s="119" t="str">
        <f ca="1">IFERROR(__xludf.DUMMYFUNCTION("""COMPUTED_VALUE"""),"")</f>
        <v/>
      </c>
      <c r="DF61" s="119" t="str">
        <f ca="1">IFERROR(__xludf.DUMMYFUNCTION("""COMPUTED_VALUE"""),"")</f>
        <v/>
      </c>
      <c r="DG61" s="119" t="str">
        <f ca="1">IFERROR(__xludf.DUMMYFUNCTION("""COMPUTED_VALUE"""),"")</f>
        <v/>
      </c>
      <c r="DH61" s="119" t="str">
        <f ca="1">IFERROR(__xludf.DUMMYFUNCTION("""COMPUTED_VALUE"""),"")</f>
        <v/>
      </c>
      <c r="DI61" s="119" t="str">
        <f ca="1">IFERROR(__xludf.DUMMYFUNCTION("""COMPUTED_VALUE"""),"")</f>
        <v/>
      </c>
      <c r="DJ61" s="119" t="str">
        <f ca="1">IFERROR(__xludf.DUMMYFUNCTION("""COMPUTED_VALUE"""),"")</f>
        <v/>
      </c>
      <c r="DK61" s="119" t="str">
        <f ca="1">IFERROR(__xludf.DUMMYFUNCTION("""COMPUTED_VALUE"""),"")</f>
        <v/>
      </c>
      <c r="DL61" s="119" t="str">
        <f ca="1">IFERROR(__xludf.DUMMYFUNCTION("""COMPUTED_VALUE"""),"")</f>
        <v/>
      </c>
      <c r="DM61" s="119" t="str">
        <f ca="1">IFERROR(__xludf.DUMMYFUNCTION("""COMPUTED_VALUE"""),"")</f>
        <v/>
      </c>
      <c r="DN61" s="119" t="str">
        <f ca="1">IFERROR(__xludf.DUMMYFUNCTION("""COMPUTED_VALUE"""),"")</f>
        <v/>
      </c>
      <c r="DO61" s="119" t="str">
        <f ca="1">IFERROR(__xludf.DUMMYFUNCTION("""COMPUTED_VALUE"""),"")</f>
        <v/>
      </c>
      <c r="DP61" s="119" t="str">
        <f ca="1">IFERROR(__xludf.DUMMYFUNCTION("""COMPUTED_VALUE"""),"")</f>
        <v/>
      </c>
      <c r="DQ61" s="119" t="str">
        <f ca="1">IFERROR(__xludf.DUMMYFUNCTION("""COMPUTED_VALUE"""),"")</f>
        <v/>
      </c>
      <c r="DR61" s="119" t="str">
        <f ca="1">IFERROR(__xludf.DUMMYFUNCTION("""COMPUTED_VALUE"""),"")</f>
        <v/>
      </c>
      <c r="DS61" s="119" t="str">
        <f ca="1">IFERROR(__xludf.DUMMYFUNCTION("""COMPUTED_VALUE"""),"")</f>
        <v/>
      </c>
      <c r="DT61" s="119" t="str">
        <f ca="1">IFERROR(__xludf.DUMMYFUNCTION("""COMPUTED_VALUE"""),"")</f>
        <v/>
      </c>
      <c r="DU61" s="119" t="str">
        <f ca="1">IFERROR(__xludf.DUMMYFUNCTION("""COMPUTED_VALUE"""),"")</f>
        <v/>
      </c>
      <c r="DV61" s="119" t="str">
        <f ca="1">IFERROR(__xludf.DUMMYFUNCTION("""COMPUTED_VALUE"""),"")</f>
        <v/>
      </c>
      <c r="DW61" s="119" t="str">
        <f ca="1">IFERROR(__xludf.DUMMYFUNCTION("""COMPUTED_VALUE"""),"")</f>
        <v/>
      </c>
      <c r="DX61" s="119" t="str">
        <f ca="1">IFERROR(__xludf.DUMMYFUNCTION("""COMPUTED_VALUE"""),"")</f>
        <v/>
      </c>
      <c r="DY61" s="119" t="str">
        <f ca="1">IFERROR(__xludf.DUMMYFUNCTION("""COMPUTED_VALUE"""),"")</f>
        <v/>
      </c>
      <c r="DZ61" s="119" t="str">
        <f ca="1">IFERROR(__xludf.DUMMYFUNCTION("""COMPUTED_VALUE"""),"")</f>
        <v/>
      </c>
      <c r="EA61" s="119" t="str">
        <f ca="1">IFERROR(__xludf.DUMMYFUNCTION("""COMPUTED_VALUE"""),"")</f>
        <v/>
      </c>
      <c r="EB61" s="119" t="str">
        <f ca="1">IFERROR(__xludf.DUMMYFUNCTION("""COMPUTED_VALUE"""),"")</f>
        <v/>
      </c>
      <c r="EC61" s="119" t="str">
        <f ca="1">IFERROR(__xludf.DUMMYFUNCTION("""COMPUTED_VALUE"""),"")</f>
        <v/>
      </c>
      <c r="ED61" s="119" t="str">
        <f ca="1">IFERROR(__xludf.DUMMYFUNCTION("""COMPUTED_VALUE"""),"")</f>
        <v/>
      </c>
      <c r="EE61" s="119" t="str">
        <f ca="1">IFERROR(__xludf.DUMMYFUNCTION("""COMPUTED_VALUE"""),"")</f>
        <v/>
      </c>
      <c r="EF61" s="119" t="str">
        <f ca="1">IFERROR(__xludf.DUMMYFUNCTION("""COMPUTED_VALUE"""),"")</f>
        <v/>
      </c>
      <c r="EG61" s="119" t="str">
        <f ca="1">IFERROR(__xludf.DUMMYFUNCTION("""COMPUTED_VALUE"""),"")</f>
        <v/>
      </c>
      <c r="EH61" s="119" t="str">
        <f ca="1">IFERROR(__xludf.DUMMYFUNCTION("""COMPUTED_VALUE"""),"")</f>
        <v/>
      </c>
      <c r="EI61" s="119" t="str">
        <f ca="1">IFERROR(__xludf.DUMMYFUNCTION("""COMPUTED_VALUE"""),"")</f>
        <v/>
      </c>
      <c r="EJ61" s="119" t="str">
        <f ca="1">IFERROR(__xludf.DUMMYFUNCTION("""COMPUTED_VALUE"""),"")</f>
        <v/>
      </c>
      <c r="EK61" s="119" t="str">
        <f ca="1">IFERROR(__xludf.DUMMYFUNCTION("""COMPUTED_VALUE"""),"")</f>
        <v/>
      </c>
      <c r="EL61" s="119" t="str">
        <f ca="1">IFERROR(__xludf.DUMMYFUNCTION("""COMPUTED_VALUE"""),"")</f>
        <v/>
      </c>
      <c r="EM61" s="119" t="str">
        <f ca="1">IFERROR(__xludf.DUMMYFUNCTION("""COMPUTED_VALUE"""),"")</f>
        <v/>
      </c>
      <c r="EN61" s="119" t="str">
        <f ca="1">IFERROR(__xludf.DUMMYFUNCTION("""COMPUTED_VALUE"""),"")</f>
        <v/>
      </c>
      <c r="EO61" s="119" t="str">
        <f ca="1">IFERROR(__xludf.DUMMYFUNCTION("""COMPUTED_VALUE"""),"")</f>
        <v/>
      </c>
      <c r="EP61" s="119" t="str">
        <f ca="1">IFERROR(__xludf.DUMMYFUNCTION("""COMPUTED_VALUE"""),"")</f>
        <v/>
      </c>
      <c r="EQ61" s="119" t="str">
        <f ca="1">IFERROR(__xludf.DUMMYFUNCTION("""COMPUTED_VALUE"""),"")</f>
        <v/>
      </c>
      <c r="ER61" s="119" t="str">
        <f ca="1">IFERROR(__xludf.DUMMYFUNCTION("""COMPUTED_VALUE"""),"")</f>
        <v/>
      </c>
      <c r="ES61" s="119" t="str">
        <f ca="1">IFERROR(__xludf.DUMMYFUNCTION("""COMPUTED_VALUE"""),"")</f>
        <v/>
      </c>
      <c r="ET61" s="119" t="str">
        <f ca="1">IFERROR(__xludf.DUMMYFUNCTION("""COMPUTED_VALUE"""),"")</f>
        <v/>
      </c>
      <c r="EU61" s="119" t="str">
        <f ca="1">IFERROR(__xludf.DUMMYFUNCTION("""COMPUTED_VALUE"""),"")</f>
        <v/>
      </c>
      <c r="EV61" s="119" t="str">
        <f ca="1">IFERROR(__xludf.DUMMYFUNCTION("""COMPUTED_VALUE"""),"")</f>
        <v/>
      </c>
      <c r="EW61" s="119" t="str">
        <f ca="1">IFERROR(__xludf.DUMMYFUNCTION("""COMPUTED_VALUE"""),"")</f>
        <v/>
      </c>
      <c r="EX61" s="117" t="str">
        <f ca="1">IFERROR(__xludf.DUMMYFUNCTION("""COMPUTED_VALUE"""),"")</f>
        <v/>
      </c>
      <c r="EY61" s="117" t="str">
        <f ca="1">IFERROR(__xludf.DUMMYFUNCTION("""COMPUTED_VALUE"""),"")</f>
        <v/>
      </c>
      <c r="EZ61" s="117" t="str">
        <f ca="1">IFERROR(__xludf.DUMMYFUNCTION("""COMPUTED_VALUE"""),"")</f>
        <v/>
      </c>
      <c r="FA61" s="117" t="str">
        <f ca="1">IFERROR(__xludf.DUMMYFUNCTION("""COMPUTED_VALUE"""),"")</f>
        <v/>
      </c>
      <c r="FB61" s="117" t="str">
        <f ca="1">IFERROR(__xludf.DUMMYFUNCTION("""COMPUTED_VALUE"""),"")</f>
        <v/>
      </c>
      <c r="FC61" s="117" t="str">
        <f ca="1">IFERROR(__xludf.DUMMYFUNCTION("""COMPUTED_VALUE"""),"")</f>
        <v/>
      </c>
      <c r="FD61" s="117" t="str">
        <f ca="1">IFERROR(__xludf.DUMMYFUNCTION("""COMPUTED_VALUE"""),"")</f>
        <v/>
      </c>
      <c r="FE61" s="117" t="str">
        <f ca="1">IFERROR(__xludf.DUMMYFUNCTION("""COMPUTED_VALUE"""),"")</f>
        <v/>
      </c>
      <c r="FF61" s="117" t="str">
        <f ca="1">IFERROR(__xludf.DUMMYFUNCTION("""COMPUTED_VALUE"""),"")</f>
        <v/>
      </c>
      <c r="FG61" s="117" t="str">
        <f ca="1">IFERROR(__xludf.DUMMYFUNCTION("""COMPUTED_VALUE"""),"")</f>
        <v/>
      </c>
      <c r="FH61" s="117" t="str">
        <f ca="1">IFERROR(__xludf.DUMMYFUNCTION("""COMPUTED_VALUE"""),"")</f>
        <v/>
      </c>
      <c r="FI61" s="117" t="str">
        <f ca="1">IFERROR(__xludf.DUMMYFUNCTION("""COMPUTED_VALUE"""),"")</f>
        <v/>
      </c>
      <c r="FJ61" s="117" t="str">
        <f ca="1">IFERROR(__xludf.DUMMYFUNCTION("""COMPUTED_VALUE"""),"")</f>
        <v/>
      </c>
      <c r="FK61" s="117" t="str">
        <f ca="1">IFERROR(__xludf.DUMMYFUNCTION("""COMPUTED_VALUE"""),"")</f>
        <v/>
      </c>
      <c r="FL61" s="117" t="str">
        <f ca="1">IFERROR(__xludf.DUMMYFUNCTION("""COMPUTED_VALUE"""),"")</f>
        <v/>
      </c>
      <c r="FM61" s="117" t="str">
        <f ca="1">IFERROR(__xludf.DUMMYFUNCTION("""COMPUTED_VALUE"""),"")</f>
        <v/>
      </c>
      <c r="FN61" s="117" t="str">
        <f ca="1">IFERROR(__xludf.DUMMYFUNCTION("""COMPUTED_VALUE"""),"")</f>
        <v/>
      </c>
      <c r="FO61" s="117" t="str">
        <f ca="1">IFERROR(__xludf.DUMMYFUNCTION("""COMPUTED_VALUE"""),"")</f>
        <v/>
      </c>
    </row>
    <row r="62" spans="1:171" ht="15.75" customHeight="1" x14ac:dyDescent="0.15">
      <c r="A62" s="115" t="str">
        <f ca="1">IFERROR(__xludf.DUMMYFUNCTION("""COMPUTED_VALUE"""),"")</f>
        <v/>
      </c>
      <c r="B62" s="119" t="str">
        <f ca="1">IFERROR(__xludf.DUMMYFUNCTION("""COMPUTED_VALUE"""),"")</f>
        <v/>
      </c>
      <c r="C62" s="119" t="str">
        <f ca="1">IFERROR(__xludf.DUMMYFUNCTION("""COMPUTED_VALUE"""),"")</f>
        <v/>
      </c>
      <c r="D62" s="119" t="str">
        <f ca="1">IFERROR(__xludf.DUMMYFUNCTION("""COMPUTED_VALUE"""),"")</f>
        <v/>
      </c>
      <c r="E62" s="119" t="str">
        <f ca="1">IFERROR(__xludf.DUMMYFUNCTION("""COMPUTED_VALUE"""),"")</f>
        <v/>
      </c>
      <c r="F62" s="119" t="str">
        <f ca="1">IFERROR(__xludf.DUMMYFUNCTION("""COMPUTED_VALUE"""),"")</f>
        <v/>
      </c>
      <c r="G62" s="119" t="str">
        <f ca="1">IFERROR(__xludf.DUMMYFUNCTION("""COMPUTED_VALUE"""),"")</f>
        <v/>
      </c>
      <c r="H62" s="119" t="str">
        <f ca="1">IFERROR(__xludf.DUMMYFUNCTION("""COMPUTED_VALUE"""),"")</f>
        <v/>
      </c>
      <c r="I62" s="119" t="str">
        <f ca="1">IFERROR(__xludf.DUMMYFUNCTION("""COMPUTED_VALUE"""),"")</f>
        <v/>
      </c>
      <c r="J62" s="119" t="str">
        <f ca="1">IFERROR(__xludf.DUMMYFUNCTION("""COMPUTED_VALUE"""),"")</f>
        <v/>
      </c>
      <c r="K62" s="119" t="str">
        <f ca="1">IFERROR(__xludf.DUMMYFUNCTION("""COMPUTED_VALUE"""),"")</f>
        <v/>
      </c>
      <c r="L62" s="119" t="str">
        <f ca="1">IFERROR(__xludf.DUMMYFUNCTION("""COMPUTED_VALUE"""),"")</f>
        <v/>
      </c>
      <c r="M62" s="119" t="str">
        <f ca="1">IFERROR(__xludf.DUMMYFUNCTION("""COMPUTED_VALUE"""),"")</f>
        <v/>
      </c>
      <c r="N62" s="119" t="str">
        <f ca="1">IFERROR(__xludf.DUMMYFUNCTION("""COMPUTED_VALUE"""),"")</f>
        <v/>
      </c>
      <c r="O62" s="119" t="str">
        <f ca="1">IFERROR(__xludf.DUMMYFUNCTION("""COMPUTED_VALUE"""),"")</f>
        <v/>
      </c>
      <c r="P62" s="119" t="str">
        <f ca="1">IFERROR(__xludf.DUMMYFUNCTION("""COMPUTED_VALUE"""),"")</f>
        <v/>
      </c>
      <c r="Q62" s="119" t="str">
        <f ca="1">IFERROR(__xludf.DUMMYFUNCTION("""COMPUTED_VALUE"""),"")</f>
        <v/>
      </c>
      <c r="R62" s="119" t="str">
        <f ca="1">IFERROR(__xludf.DUMMYFUNCTION("""COMPUTED_VALUE"""),"")</f>
        <v/>
      </c>
      <c r="S62" s="119" t="str">
        <f ca="1">IFERROR(__xludf.DUMMYFUNCTION("""COMPUTED_VALUE"""),"")</f>
        <v/>
      </c>
      <c r="T62" s="119" t="str">
        <f ca="1">IFERROR(__xludf.DUMMYFUNCTION("""COMPUTED_VALUE"""),"")</f>
        <v/>
      </c>
      <c r="U62" s="119" t="str">
        <f ca="1">IFERROR(__xludf.DUMMYFUNCTION("""COMPUTED_VALUE"""),"")</f>
        <v/>
      </c>
      <c r="V62" s="119" t="str">
        <f ca="1">IFERROR(__xludf.DUMMYFUNCTION("""COMPUTED_VALUE"""),"")</f>
        <v/>
      </c>
      <c r="W62" s="119" t="str">
        <f ca="1">IFERROR(__xludf.DUMMYFUNCTION("""COMPUTED_VALUE"""),"")</f>
        <v/>
      </c>
      <c r="X62" s="119" t="str">
        <f ca="1">IFERROR(__xludf.DUMMYFUNCTION("""COMPUTED_VALUE"""),"")</f>
        <v/>
      </c>
      <c r="Y62" s="119" t="str">
        <f ca="1">IFERROR(__xludf.DUMMYFUNCTION("""COMPUTED_VALUE"""),"")</f>
        <v/>
      </c>
      <c r="Z62" s="119" t="str">
        <f ca="1">IFERROR(__xludf.DUMMYFUNCTION("""COMPUTED_VALUE"""),"")</f>
        <v/>
      </c>
      <c r="AA62" s="119" t="str">
        <f ca="1">IFERROR(__xludf.DUMMYFUNCTION("""COMPUTED_VALUE"""),"")</f>
        <v/>
      </c>
      <c r="AB62" s="119" t="str">
        <f ca="1">IFERROR(__xludf.DUMMYFUNCTION("""COMPUTED_VALUE"""),"")</f>
        <v/>
      </c>
      <c r="AC62" s="119" t="str">
        <f ca="1">IFERROR(__xludf.DUMMYFUNCTION("""COMPUTED_VALUE"""),"")</f>
        <v/>
      </c>
      <c r="AD62" s="119" t="str">
        <f ca="1">IFERROR(__xludf.DUMMYFUNCTION("""COMPUTED_VALUE"""),"")</f>
        <v/>
      </c>
      <c r="AE62" s="119" t="str">
        <f ca="1">IFERROR(__xludf.DUMMYFUNCTION("""COMPUTED_VALUE"""),"")</f>
        <v/>
      </c>
      <c r="AF62" s="119" t="str">
        <f ca="1">IFERROR(__xludf.DUMMYFUNCTION("""COMPUTED_VALUE"""),"")</f>
        <v/>
      </c>
      <c r="AG62" s="119" t="str">
        <f ca="1">IFERROR(__xludf.DUMMYFUNCTION("""COMPUTED_VALUE"""),"")</f>
        <v/>
      </c>
      <c r="AH62" s="119" t="str">
        <f ca="1">IFERROR(__xludf.DUMMYFUNCTION("""COMPUTED_VALUE"""),"")</f>
        <v/>
      </c>
      <c r="AI62" s="119" t="str">
        <f ca="1">IFERROR(__xludf.DUMMYFUNCTION("""COMPUTED_VALUE"""),"")</f>
        <v/>
      </c>
      <c r="AJ62" s="119" t="str">
        <f ca="1">IFERROR(__xludf.DUMMYFUNCTION("""COMPUTED_VALUE"""),"")</f>
        <v/>
      </c>
      <c r="AK62" s="119" t="str">
        <f ca="1">IFERROR(__xludf.DUMMYFUNCTION("""COMPUTED_VALUE"""),"")</f>
        <v/>
      </c>
      <c r="AL62" s="119" t="str">
        <f ca="1">IFERROR(__xludf.DUMMYFUNCTION("""COMPUTED_VALUE"""),"")</f>
        <v/>
      </c>
      <c r="AM62" s="119" t="str">
        <f ca="1">IFERROR(__xludf.DUMMYFUNCTION("""COMPUTED_VALUE"""),"")</f>
        <v/>
      </c>
      <c r="AN62" s="119" t="str">
        <f ca="1">IFERROR(__xludf.DUMMYFUNCTION("""COMPUTED_VALUE"""),"")</f>
        <v/>
      </c>
      <c r="AO62" s="119" t="str">
        <f ca="1">IFERROR(__xludf.DUMMYFUNCTION("""COMPUTED_VALUE"""),"")</f>
        <v/>
      </c>
      <c r="AP62" s="119" t="str">
        <f ca="1">IFERROR(__xludf.DUMMYFUNCTION("""COMPUTED_VALUE"""),"")</f>
        <v/>
      </c>
      <c r="AQ62" s="119" t="str">
        <f ca="1">IFERROR(__xludf.DUMMYFUNCTION("""COMPUTED_VALUE"""),"")</f>
        <v/>
      </c>
      <c r="AR62" s="118" t="str">
        <f ca="1">IFERROR(__xludf.DUMMYFUNCTION("""COMPUTED_VALUE"""),"")</f>
        <v/>
      </c>
      <c r="AS62" s="119" t="str">
        <f ca="1">IFERROR(__xludf.DUMMYFUNCTION("""COMPUTED_VALUE"""),"")</f>
        <v/>
      </c>
      <c r="AT62" s="119" t="str">
        <f ca="1">IFERROR(__xludf.DUMMYFUNCTION("""COMPUTED_VALUE"""),"")</f>
        <v/>
      </c>
      <c r="AU62" s="119" t="str">
        <f ca="1">IFERROR(__xludf.DUMMYFUNCTION("""COMPUTED_VALUE"""),"")</f>
        <v/>
      </c>
      <c r="AV62" s="119" t="str">
        <f ca="1">IFERROR(__xludf.DUMMYFUNCTION("""COMPUTED_VALUE"""),"")</f>
        <v/>
      </c>
      <c r="AW62" s="119" t="str">
        <f ca="1">IFERROR(__xludf.DUMMYFUNCTION("""COMPUTED_VALUE"""),"")</f>
        <v/>
      </c>
      <c r="AX62" s="119" t="str">
        <f ca="1">IFERROR(__xludf.DUMMYFUNCTION("""COMPUTED_VALUE"""),"")</f>
        <v/>
      </c>
      <c r="AY62" s="119" t="str">
        <f ca="1">IFERROR(__xludf.DUMMYFUNCTION("""COMPUTED_VALUE"""),"")</f>
        <v/>
      </c>
      <c r="AZ62" s="119" t="str">
        <f ca="1">IFERROR(__xludf.DUMMYFUNCTION("""COMPUTED_VALUE"""),"")</f>
        <v/>
      </c>
      <c r="BA62" s="119" t="str">
        <f ca="1">IFERROR(__xludf.DUMMYFUNCTION("""COMPUTED_VALUE"""),"")</f>
        <v/>
      </c>
      <c r="BB62" s="119" t="str">
        <f ca="1">IFERROR(__xludf.DUMMYFUNCTION("""COMPUTED_VALUE"""),"")</f>
        <v/>
      </c>
      <c r="BC62" s="119" t="str">
        <f ca="1">IFERROR(__xludf.DUMMYFUNCTION("""COMPUTED_VALUE"""),"")</f>
        <v/>
      </c>
      <c r="BD62" s="119" t="str">
        <f ca="1">IFERROR(__xludf.DUMMYFUNCTION("""COMPUTED_VALUE"""),"")</f>
        <v/>
      </c>
      <c r="BE62" s="119" t="str">
        <f ca="1">IFERROR(__xludf.DUMMYFUNCTION("""COMPUTED_VALUE"""),"")</f>
        <v/>
      </c>
      <c r="BF62" s="119" t="str">
        <f ca="1">IFERROR(__xludf.DUMMYFUNCTION("""COMPUTED_VALUE"""),"")</f>
        <v/>
      </c>
      <c r="BG62" s="119" t="str">
        <f ca="1">IFERROR(__xludf.DUMMYFUNCTION("""COMPUTED_VALUE"""),"")</f>
        <v/>
      </c>
      <c r="BH62" s="119" t="str">
        <f ca="1">IFERROR(__xludf.DUMMYFUNCTION("""COMPUTED_VALUE"""),"")</f>
        <v/>
      </c>
      <c r="BI62" s="119" t="str">
        <f ca="1">IFERROR(__xludf.DUMMYFUNCTION("""COMPUTED_VALUE"""),"")</f>
        <v/>
      </c>
      <c r="BJ62" s="119" t="str">
        <f ca="1">IFERROR(__xludf.DUMMYFUNCTION("""COMPUTED_VALUE"""),"")</f>
        <v/>
      </c>
      <c r="BK62" s="119" t="str">
        <f ca="1">IFERROR(__xludf.DUMMYFUNCTION("""COMPUTED_VALUE"""),"")</f>
        <v/>
      </c>
      <c r="BL62" s="119" t="str">
        <f ca="1">IFERROR(__xludf.DUMMYFUNCTION("""COMPUTED_VALUE"""),"")</f>
        <v/>
      </c>
      <c r="BM62" s="119" t="str">
        <f ca="1">IFERROR(__xludf.DUMMYFUNCTION("""COMPUTED_VALUE"""),"")</f>
        <v/>
      </c>
      <c r="BN62" s="119" t="str">
        <f ca="1">IFERROR(__xludf.DUMMYFUNCTION("""COMPUTED_VALUE"""),"")</f>
        <v/>
      </c>
      <c r="BO62" s="119" t="str">
        <f ca="1">IFERROR(__xludf.DUMMYFUNCTION("""COMPUTED_VALUE"""),"")</f>
        <v/>
      </c>
      <c r="BP62" s="119" t="str">
        <f ca="1">IFERROR(__xludf.DUMMYFUNCTION("""COMPUTED_VALUE"""),"")</f>
        <v/>
      </c>
      <c r="BQ62" s="119" t="str">
        <f ca="1">IFERROR(__xludf.DUMMYFUNCTION("""COMPUTED_VALUE"""),"")</f>
        <v/>
      </c>
      <c r="BR62" s="119" t="str">
        <f ca="1">IFERROR(__xludf.DUMMYFUNCTION("""COMPUTED_VALUE"""),"")</f>
        <v/>
      </c>
      <c r="BS62" s="119" t="str">
        <f ca="1">IFERROR(__xludf.DUMMYFUNCTION("""COMPUTED_VALUE"""),"")</f>
        <v/>
      </c>
      <c r="BT62" s="119" t="str">
        <f ca="1">IFERROR(__xludf.DUMMYFUNCTION("""COMPUTED_VALUE"""),"")</f>
        <v/>
      </c>
      <c r="BU62" s="119" t="str">
        <f ca="1">IFERROR(__xludf.DUMMYFUNCTION("""COMPUTED_VALUE"""),"")</f>
        <v/>
      </c>
      <c r="BV62" s="119" t="str">
        <f ca="1">IFERROR(__xludf.DUMMYFUNCTION("""COMPUTED_VALUE"""),"")</f>
        <v/>
      </c>
      <c r="BW62" s="119" t="str">
        <f ca="1">IFERROR(__xludf.DUMMYFUNCTION("""COMPUTED_VALUE"""),"")</f>
        <v/>
      </c>
      <c r="BX62" s="119" t="str">
        <f ca="1">IFERROR(__xludf.DUMMYFUNCTION("""COMPUTED_VALUE"""),"")</f>
        <v/>
      </c>
      <c r="BY62" s="119" t="str">
        <f ca="1">IFERROR(__xludf.DUMMYFUNCTION("""COMPUTED_VALUE"""),"")</f>
        <v/>
      </c>
      <c r="BZ62" s="119" t="str">
        <f ca="1">IFERROR(__xludf.DUMMYFUNCTION("""COMPUTED_VALUE"""),"")</f>
        <v/>
      </c>
      <c r="CA62" s="119" t="str">
        <f ca="1">IFERROR(__xludf.DUMMYFUNCTION("""COMPUTED_VALUE"""),"")</f>
        <v/>
      </c>
      <c r="CB62" s="119" t="str">
        <f ca="1">IFERROR(__xludf.DUMMYFUNCTION("""COMPUTED_VALUE"""),"")</f>
        <v/>
      </c>
      <c r="CC62" s="119" t="str">
        <f ca="1">IFERROR(__xludf.DUMMYFUNCTION("""COMPUTED_VALUE"""),"")</f>
        <v/>
      </c>
      <c r="CD62" s="119" t="str">
        <f ca="1">IFERROR(__xludf.DUMMYFUNCTION("""COMPUTED_VALUE"""),"")</f>
        <v/>
      </c>
      <c r="CE62" s="119" t="str">
        <f ca="1">IFERROR(__xludf.DUMMYFUNCTION("""COMPUTED_VALUE"""),"")</f>
        <v/>
      </c>
      <c r="CF62" s="119" t="str">
        <f ca="1">IFERROR(__xludf.DUMMYFUNCTION("""COMPUTED_VALUE"""),"")</f>
        <v/>
      </c>
      <c r="CG62" s="119" t="str">
        <f ca="1">IFERROR(__xludf.DUMMYFUNCTION("""COMPUTED_VALUE"""),"")</f>
        <v/>
      </c>
      <c r="CH62" s="119" t="str">
        <f ca="1">IFERROR(__xludf.DUMMYFUNCTION("""COMPUTED_VALUE"""),"")</f>
        <v/>
      </c>
      <c r="CI62" s="119" t="str">
        <f ca="1">IFERROR(__xludf.DUMMYFUNCTION("""COMPUTED_VALUE"""),"")</f>
        <v/>
      </c>
      <c r="CJ62" s="119" t="str">
        <f ca="1">IFERROR(__xludf.DUMMYFUNCTION("""COMPUTED_VALUE"""),"")</f>
        <v/>
      </c>
      <c r="CK62" s="119" t="str">
        <f ca="1">IFERROR(__xludf.DUMMYFUNCTION("""COMPUTED_VALUE"""),"")</f>
        <v/>
      </c>
      <c r="CL62" s="119" t="str">
        <f ca="1">IFERROR(__xludf.DUMMYFUNCTION("""COMPUTED_VALUE"""),"")</f>
        <v/>
      </c>
      <c r="CM62" s="119" t="str">
        <f ca="1">IFERROR(__xludf.DUMMYFUNCTION("""COMPUTED_VALUE"""),"")</f>
        <v/>
      </c>
      <c r="CN62" s="119" t="str">
        <f ca="1">IFERROR(__xludf.DUMMYFUNCTION("""COMPUTED_VALUE"""),"")</f>
        <v/>
      </c>
      <c r="CO62" s="119" t="str">
        <f ca="1">IFERROR(__xludf.DUMMYFUNCTION("""COMPUTED_VALUE"""),"")</f>
        <v/>
      </c>
      <c r="CP62" s="119" t="str">
        <f ca="1">IFERROR(__xludf.DUMMYFUNCTION("""COMPUTED_VALUE"""),"")</f>
        <v/>
      </c>
      <c r="CQ62" s="119" t="str">
        <f ca="1">IFERROR(__xludf.DUMMYFUNCTION("""COMPUTED_VALUE"""),"")</f>
        <v/>
      </c>
      <c r="CR62" s="119" t="str">
        <f ca="1">IFERROR(__xludf.DUMMYFUNCTION("""COMPUTED_VALUE"""),"")</f>
        <v/>
      </c>
      <c r="CS62" s="119" t="str">
        <f ca="1">IFERROR(__xludf.DUMMYFUNCTION("""COMPUTED_VALUE"""),"")</f>
        <v/>
      </c>
      <c r="CT62" s="119" t="str">
        <f ca="1">IFERROR(__xludf.DUMMYFUNCTION("""COMPUTED_VALUE"""),"")</f>
        <v/>
      </c>
      <c r="CU62" s="119" t="str">
        <f ca="1">IFERROR(__xludf.DUMMYFUNCTION("""COMPUTED_VALUE"""),"")</f>
        <v/>
      </c>
      <c r="CV62" s="119" t="str">
        <f ca="1">IFERROR(__xludf.DUMMYFUNCTION("""COMPUTED_VALUE"""),"")</f>
        <v/>
      </c>
      <c r="CW62" s="119" t="str">
        <f ca="1">IFERROR(__xludf.DUMMYFUNCTION("""COMPUTED_VALUE"""),"")</f>
        <v/>
      </c>
      <c r="CX62" s="119" t="str">
        <f ca="1">IFERROR(__xludf.DUMMYFUNCTION("""COMPUTED_VALUE"""),"")</f>
        <v/>
      </c>
      <c r="CY62" s="119" t="str">
        <f ca="1">IFERROR(__xludf.DUMMYFUNCTION("""COMPUTED_VALUE"""),"")</f>
        <v/>
      </c>
      <c r="CZ62" s="119" t="str">
        <f ca="1">IFERROR(__xludf.DUMMYFUNCTION("""COMPUTED_VALUE"""),"")</f>
        <v/>
      </c>
      <c r="DA62" s="119" t="str">
        <f ca="1">IFERROR(__xludf.DUMMYFUNCTION("""COMPUTED_VALUE"""),"")</f>
        <v/>
      </c>
      <c r="DB62" s="119" t="str">
        <f ca="1">IFERROR(__xludf.DUMMYFUNCTION("""COMPUTED_VALUE"""),"")</f>
        <v/>
      </c>
      <c r="DC62" s="119" t="str">
        <f ca="1">IFERROR(__xludf.DUMMYFUNCTION("""COMPUTED_VALUE"""),"")</f>
        <v/>
      </c>
      <c r="DD62" s="119" t="str">
        <f ca="1">IFERROR(__xludf.DUMMYFUNCTION("""COMPUTED_VALUE"""),"")</f>
        <v/>
      </c>
      <c r="DE62" s="119" t="str">
        <f ca="1">IFERROR(__xludf.DUMMYFUNCTION("""COMPUTED_VALUE"""),"")</f>
        <v/>
      </c>
      <c r="DF62" s="119" t="str">
        <f ca="1">IFERROR(__xludf.DUMMYFUNCTION("""COMPUTED_VALUE"""),"")</f>
        <v/>
      </c>
      <c r="DG62" s="119" t="str">
        <f ca="1">IFERROR(__xludf.DUMMYFUNCTION("""COMPUTED_VALUE"""),"")</f>
        <v/>
      </c>
      <c r="DH62" s="119" t="str">
        <f ca="1">IFERROR(__xludf.DUMMYFUNCTION("""COMPUTED_VALUE"""),"")</f>
        <v/>
      </c>
      <c r="DI62" s="119" t="str">
        <f ca="1">IFERROR(__xludf.DUMMYFUNCTION("""COMPUTED_VALUE"""),"")</f>
        <v/>
      </c>
      <c r="DJ62" s="119" t="str">
        <f ca="1">IFERROR(__xludf.DUMMYFUNCTION("""COMPUTED_VALUE"""),"")</f>
        <v/>
      </c>
      <c r="DK62" s="119" t="str">
        <f ca="1">IFERROR(__xludf.DUMMYFUNCTION("""COMPUTED_VALUE"""),"")</f>
        <v/>
      </c>
      <c r="DL62" s="119" t="str">
        <f ca="1">IFERROR(__xludf.DUMMYFUNCTION("""COMPUTED_VALUE"""),"")</f>
        <v/>
      </c>
      <c r="DM62" s="119" t="str">
        <f ca="1">IFERROR(__xludf.DUMMYFUNCTION("""COMPUTED_VALUE"""),"")</f>
        <v/>
      </c>
      <c r="DN62" s="119" t="str">
        <f ca="1">IFERROR(__xludf.DUMMYFUNCTION("""COMPUTED_VALUE"""),"")</f>
        <v/>
      </c>
      <c r="DO62" s="119" t="str">
        <f ca="1">IFERROR(__xludf.DUMMYFUNCTION("""COMPUTED_VALUE"""),"")</f>
        <v/>
      </c>
      <c r="DP62" s="119" t="str">
        <f ca="1">IFERROR(__xludf.DUMMYFUNCTION("""COMPUTED_VALUE"""),"")</f>
        <v/>
      </c>
      <c r="DQ62" s="119" t="str">
        <f ca="1">IFERROR(__xludf.DUMMYFUNCTION("""COMPUTED_VALUE"""),"")</f>
        <v/>
      </c>
      <c r="DR62" s="119" t="str">
        <f ca="1">IFERROR(__xludf.DUMMYFUNCTION("""COMPUTED_VALUE"""),"")</f>
        <v/>
      </c>
      <c r="DS62" s="119" t="str">
        <f ca="1">IFERROR(__xludf.DUMMYFUNCTION("""COMPUTED_VALUE"""),"")</f>
        <v/>
      </c>
      <c r="DT62" s="119" t="str">
        <f ca="1">IFERROR(__xludf.DUMMYFUNCTION("""COMPUTED_VALUE"""),"")</f>
        <v/>
      </c>
      <c r="DU62" s="119" t="str">
        <f ca="1">IFERROR(__xludf.DUMMYFUNCTION("""COMPUTED_VALUE"""),"")</f>
        <v/>
      </c>
      <c r="DV62" s="119" t="str">
        <f ca="1">IFERROR(__xludf.DUMMYFUNCTION("""COMPUTED_VALUE"""),"")</f>
        <v/>
      </c>
      <c r="DW62" s="119" t="str">
        <f ca="1">IFERROR(__xludf.DUMMYFUNCTION("""COMPUTED_VALUE"""),"")</f>
        <v/>
      </c>
      <c r="DX62" s="119" t="str">
        <f ca="1">IFERROR(__xludf.DUMMYFUNCTION("""COMPUTED_VALUE"""),"")</f>
        <v/>
      </c>
      <c r="DY62" s="119" t="str">
        <f ca="1">IFERROR(__xludf.DUMMYFUNCTION("""COMPUTED_VALUE"""),"")</f>
        <v/>
      </c>
      <c r="DZ62" s="119" t="str">
        <f ca="1">IFERROR(__xludf.DUMMYFUNCTION("""COMPUTED_VALUE"""),"")</f>
        <v/>
      </c>
      <c r="EA62" s="119" t="str">
        <f ca="1">IFERROR(__xludf.DUMMYFUNCTION("""COMPUTED_VALUE"""),"")</f>
        <v/>
      </c>
      <c r="EB62" s="119" t="str">
        <f ca="1">IFERROR(__xludf.DUMMYFUNCTION("""COMPUTED_VALUE"""),"")</f>
        <v/>
      </c>
      <c r="EC62" s="119" t="str">
        <f ca="1">IFERROR(__xludf.DUMMYFUNCTION("""COMPUTED_VALUE"""),"")</f>
        <v/>
      </c>
      <c r="ED62" s="119" t="str">
        <f ca="1">IFERROR(__xludf.DUMMYFUNCTION("""COMPUTED_VALUE"""),"")</f>
        <v/>
      </c>
      <c r="EE62" s="119" t="str">
        <f ca="1">IFERROR(__xludf.DUMMYFUNCTION("""COMPUTED_VALUE"""),"")</f>
        <v/>
      </c>
      <c r="EF62" s="119" t="str">
        <f ca="1">IFERROR(__xludf.DUMMYFUNCTION("""COMPUTED_VALUE"""),"")</f>
        <v/>
      </c>
      <c r="EG62" s="119" t="str">
        <f ca="1">IFERROR(__xludf.DUMMYFUNCTION("""COMPUTED_VALUE"""),"")</f>
        <v/>
      </c>
      <c r="EH62" s="119" t="str">
        <f ca="1">IFERROR(__xludf.DUMMYFUNCTION("""COMPUTED_VALUE"""),"")</f>
        <v/>
      </c>
      <c r="EI62" s="119" t="str">
        <f ca="1">IFERROR(__xludf.DUMMYFUNCTION("""COMPUTED_VALUE"""),"")</f>
        <v/>
      </c>
      <c r="EJ62" s="119" t="str">
        <f ca="1">IFERROR(__xludf.DUMMYFUNCTION("""COMPUTED_VALUE"""),"")</f>
        <v/>
      </c>
      <c r="EK62" s="119" t="str">
        <f ca="1">IFERROR(__xludf.DUMMYFUNCTION("""COMPUTED_VALUE"""),"")</f>
        <v/>
      </c>
      <c r="EL62" s="119" t="str">
        <f ca="1">IFERROR(__xludf.DUMMYFUNCTION("""COMPUTED_VALUE"""),"")</f>
        <v/>
      </c>
      <c r="EM62" s="119" t="str">
        <f ca="1">IFERROR(__xludf.DUMMYFUNCTION("""COMPUTED_VALUE"""),"")</f>
        <v/>
      </c>
      <c r="EN62" s="119" t="str">
        <f ca="1">IFERROR(__xludf.DUMMYFUNCTION("""COMPUTED_VALUE"""),"")</f>
        <v/>
      </c>
      <c r="EO62" s="119" t="str">
        <f ca="1">IFERROR(__xludf.DUMMYFUNCTION("""COMPUTED_VALUE"""),"")</f>
        <v/>
      </c>
      <c r="EP62" s="119" t="str">
        <f ca="1">IFERROR(__xludf.DUMMYFUNCTION("""COMPUTED_VALUE"""),"")</f>
        <v/>
      </c>
      <c r="EQ62" s="119" t="str">
        <f ca="1">IFERROR(__xludf.DUMMYFUNCTION("""COMPUTED_VALUE"""),"")</f>
        <v/>
      </c>
      <c r="ER62" s="119" t="str">
        <f ca="1">IFERROR(__xludf.DUMMYFUNCTION("""COMPUTED_VALUE"""),"")</f>
        <v/>
      </c>
      <c r="ES62" s="119" t="str">
        <f ca="1">IFERROR(__xludf.DUMMYFUNCTION("""COMPUTED_VALUE"""),"")</f>
        <v/>
      </c>
      <c r="ET62" s="119" t="str">
        <f ca="1">IFERROR(__xludf.DUMMYFUNCTION("""COMPUTED_VALUE"""),"")</f>
        <v/>
      </c>
      <c r="EU62" s="119" t="str">
        <f ca="1">IFERROR(__xludf.DUMMYFUNCTION("""COMPUTED_VALUE"""),"")</f>
        <v/>
      </c>
      <c r="EV62" s="119" t="str">
        <f ca="1">IFERROR(__xludf.DUMMYFUNCTION("""COMPUTED_VALUE"""),"")</f>
        <v/>
      </c>
      <c r="EW62" s="119" t="str">
        <f ca="1">IFERROR(__xludf.DUMMYFUNCTION("""COMPUTED_VALUE"""),"")</f>
        <v/>
      </c>
      <c r="EX62" s="117" t="str">
        <f ca="1">IFERROR(__xludf.DUMMYFUNCTION("""COMPUTED_VALUE"""),"")</f>
        <v/>
      </c>
      <c r="EY62" s="117" t="str">
        <f ca="1">IFERROR(__xludf.DUMMYFUNCTION("""COMPUTED_VALUE"""),"")</f>
        <v/>
      </c>
      <c r="EZ62" s="117" t="str">
        <f ca="1">IFERROR(__xludf.DUMMYFUNCTION("""COMPUTED_VALUE"""),"")</f>
        <v/>
      </c>
      <c r="FA62" s="117" t="str">
        <f ca="1">IFERROR(__xludf.DUMMYFUNCTION("""COMPUTED_VALUE"""),"")</f>
        <v/>
      </c>
      <c r="FB62" s="117" t="str">
        <f ca="1">IFERROR(__xludf.DUMMYFUNCTION("""COMPUTED_VALUE"""),"")</f>
        <v/>
      </c>
      <c r="FC62" s="117" t="str">
        <f ca="1">IFERROR(__xludf.DUMMYFUNCTION("""COMPUTED_VALUE"""),"")</f>
        <v/>
      </c>
      <c r="FD62" s="117" t="str">
        <f ca="1">IFERROR(__xludf.DUMMYFUNCTION("""COMPUTED_VALUE"""),"")</f>
        <v/>
      </c>
      <c r="FE62" s="117" t="str">
        <f ca="1">IFERROR(__xludf.DUMMYFUNCTION("""COMPUTED_VALUE"""),"")</f>
        <v/>
      </c>
      <c r="FF62" s="117" t="str">
        <f ca="1">IFERROR(__xludf.DUMMYFUNCTION("""COMPUTED_VALUE"""),"")</f>
        <v/>
      </c>
      <c r="FG62" s="117" t="str">
        <f ca="1">IFERROR(__xludf.DUMMYFUNCTION("""COMPUTED_VALUE"""),"")</f>
        <v/>
      </c>
      <c r="FH62" s="117" t="str">
        <f ca="1">IFERROR(__xludf.DUMMYFUNCTION("""COMPUTED_VALUE"""),"")</f>
        <v/>
      </c>
      <c r="FI62" s="117" t="str">
        <f ca="1">IFERROR(__xludf.DUMMYFUNCTION("""COMPUTED_VALUE"""),"")</f>
        <v/>
      </c>
      <c r="FJ62" s="117" t="str">
        <f ca="1">IFERROR(__xludf.DUMMYFUNCTION("""COMPUTED_VALUE"""),"")</f>
        <v/>
      </c>
      <c r="FK62" s="117" t="str">
        <f ca="1">IFERROR(__xludf.DUMMYFUNCTION("""COMPUTED_VALUE"""),"")</f>
        <v/>
      </c>
      <c r="FL62" s="117" t="str">
        <f ca="1">IFERROR(__xludf.DUMMYFUNCTION("""COMPUTED_VALUE"""),"")</f>
        <v/>
      </c>
      <c r="FM62" s="117" t="str">
        <f ca="1">IFERROR(__xludf.DUMMYFUNCTION("""COMPUTED_VALUE"""),"")</f>
        <v/>
      </c>
      <c r="FN62" s="117" t="str">
        <f ca="1">IFERROR(__xludf.DUMMYFUNCTION("""COMPUTED_VALUE"""),"")</f>
        <v/>
      </c>
      <c r="FO62" s="117" t="str">
        <f ca="1">IFERROR(__xludf.DUMMYFUNCTION("""COMPUTED_VALUE"""),"")</f>
        <v/>
      </c>
    </row>
    <row r="63" spans="1:171" ht="15.75" customHeight="1" x14ac:dyDescent="0.15">
      <c r="A63" s="115" t="str">
        <f ca="1">IFERROR(__xludf.DUMMYFUNCTION("""COMPUTED_VALUE"""),"")</f>
        <v/>
      </c>
      <c r="B63" s="119" t="str">
        <f ca="1">IFERROR(__xludf.DUMMYFUNCTION("""COMPUTED_VALUE"""),"")</f>
        <v/>
      </c>
      <c r="C63" s="119" t="str">
        <f ca="1">IFERROR(__xludf.DUMMYFUNCTION("""COMPUTED_VALUE"""),"")</f>
        <v/>
      </c>
      <c r="D63" s="119" t="str">
        <f ca="1">IFERROR(__xludf.DUMMYFUNCTION("""COMPUTED_VALUE"""),"")</f>
        <v/>
      </c>
      <c r="E63" s="119" t="str">
        <f ca="1">IFERROR(__xludf.DUMMYFUNCTION("""COMPUTED_VALUE"""),"")</f>
        <v/>
      </c>
      <c r="F63" s="119" t="str">
        <f ca="1">IFERROR(__xludf.DUMMYFUNCTION("""COMPUTED_VALUE"""),"")</f>
        <v/>
      </c>
      <c r="G63" s="119" t="str">
        <f ca="1">IFERROR(__xludf.DUMMYFUNCTION("""COMPUTED_VALUE"""),"")</f>
        <v/>
      </c>
      <c r="H63" s="119" t="str">
        <f ca="1">IFERROR(__xludf.DUMMYFUNCTION("""COMPUTED_VALUE"""),"")</f>
        <v/>
      </c>
      <c r="I63" s="119" t="str">
        <f ca="1">IFERROR(__xludf.DUMMYFUNCTION("""COMPUTED_VALUE"""),"")</f>
        <v/>
      </c>
      <c r="J63" s="119" t="str">
        <f ca="1">IFERROR(__xludf.DUMMYFUNCTION("""COMPUTED_VALUE"""),"")</f>
        <v/>
      </c>
      <c r="K63" s="119" t="str">
        <f ca="1">IFERROR(__xludf.DUMMYFUNCTION("""COMPUTED_VALUE"""),"")</f>
        <v/>
      </c>
      <c r="L63" s="119" t="str">
        <f ca="1">IFERROR(__xludf.DUMMYFUNCTION("""COMPUTED_VALUE"""),"")</f>
        <v/>
      </c>
      <c r="M63" s="119" t="str">
        <f ca="1">IFERROR(__xludf.DUMMYFUNCTION("""COMPUTED_VALUE"""),"")</f>
        <v/>
      </c>
      <c r="N63" s="119" t="str">
        <f ca="1">IFERROR(__xludf.DUMMYFUNCTION("""COMPUTED_VALUE"""),"")</f>
        <v/>
      </c>
      <c r="O63" s="119" t="str">
        <f ca="1">IFERROR(__xludf.DUMMYFUNCTION("""COMPUTED_VALUE"""),"")</f>
        <v/>
      </c>
      <c r="P63" s="119" t="str">
        <f ca="1">IFERROR(__xludf.DUMMYFUNCTION("""COMPUTED_VALUE"""),"")</f>
        <v/>
      </c>
      <c r="Q63" s="119" t="str">
        <f ca="1">IFERROR(__xludf.DUMMYFUNCTION("""COMPUTED_VALUE"""),"")</f>
        <v/>
      </c>
      <c r="R63" s="119" t="str">
        <f ca="1">IFERROR(__xludf.DUMMYFUNCTION("""COMPUTED_VALUE"""),"")</f>
        <v/>
      </c>
      <c r="S63" s="119" t="str">
        <f ca="1">IFERROR(__xludf.DUMMYFUNCTION("""COMPUTED_VALUE"""),"")</f>
        <v/>
      </c>
      <c r="T63" s="119" t="str">
        <f ca="1">IFERROR(__xludf.DUMMYFUNCTION("""COMPUTED_VALUE"""),"")</f>
        <v/>
      </c>
      <c r="U63" s="119" t="str">
        <f ca="1">IFERROR(__xludf.DUMMYFUNCTION("""COMPUTED_VALUE"""),"")</f>
        <v/>
      </c>
      <c r="V63" s="119" t="str">
        <f ca="1">IFERROR(__xludf.DUMMYFUNCTION("""COMPUTED_VALUE"""),"")</f>
        <v/>
      </c>
      <c r="W63" s="119" t="str">
        <f ca="1">IFERROR(__xludf.DUMMYFUNCTION("""COMPUTED_VALUE"""),"")</f>
        <v/>
      </c>
      <c r="X63" s="119" t="str">
        <f ca="1">IFERROR(__xludf.DUMMYFUNCTION("""COMPUTED_VALUE"""),"")</f>
        <v/>
      </c>
      <c r="Y63" s="119" t="str">
        <f ca="1">IFERROR(__xludf.DUMMYFUNCTION("""COMPUTED_VALUE"""),"")</f>
        <v/>
      </c>
      <c r="Z63" s="119" t="str">
        <f ca="1">IFERROR(__xludf.DUMMYFUNCTION("""COMPUTED_VALUE"""),"")</f>
        <v/>
      </c>
      <c r="AA63" s="119" t="str">
        <f ca="1">IFERROR(__xludf.DUMMYFUNCTION("""COMPUTED_VALUE"""),"")</f>
        <v/>
      </c>
      <c r="AB63" s="119" t="str">
        <f ca="1">IFERROR(__xludf.DUMMYFUNCTION("""COMPUTED_VALUE"""),"")</f>
        <v/>
      </c>
      <c r="AC63" s="119" t="str">
        <f ca="1">IFERROR(__xludf.DUMMYFUNCTION("""COMPUTED_VALUE"""),"")</f>
        <v/>
      </c>
      <c r="AD63" s="119" t="str">
        <f ca="1">IFERROR(__xludf.DUMMYFUNCTION("""COMPUTED_VALUE"""),"")</f>
        <v/>
      </c>
      <c r="AE63" s="119" t="str">
        <f ca="1">IFERROR(__xludf.DUMMYFUNCTION("""COMPUTED_VALUE"""),"")</f>
        <v/>
      </c>
      <c r="AF63" s="119" t="str">
        <f ca="1">IFERROR(__xludf.DUMMYFUNCTION("""COMPUTED_VALUE"""),"")</f>
        <v/>
      </c>
      <c r="AG63" s="119" t="str">
        <f ca="1">IFERROR(__xludf.DUMMYFUNCTION("""COMPUTED_VALUE"""),"")</f>
        <v/>
      </c>
      <c r="AH63" s="119" t="str">
        <f ca="1">IFERROR(__xludf.DUMMYFUNCTION("""COMPUTED_VALUE"""),"")</f>
        <v/>
      </c>
      <c r="AI63" s="119" t="str">
        <f ca="1">IFERROR(__xludf.DUMMYFUNCTION("""COMPUTED_VALUE"""),"")</f>
        <v/>
      </c>
      <c r="AJ63" s="119" t="str">
        <f ca="1">IFERROR(__xludf.DUMMYFUNCTION("""COMPUTED_VALUE"""),"")</f>
        <v/>
      </c>
      <c r="AK63" s="119" t="str">
        <f ca="1">IFERROR(__xludf.DUMMYFUNCTION("""COMPUTED_VALUE"""),"")</f>
        <v/>
      </c>
      <c r="AL63" s="119" t="str">
        <f ca="1">IFERROR(__xludf.DUMMYFUNCTION("""COMPUTED_VALUE"""),"")</f>
        <v/>
      </c>
      <c r="AM63" s="119" t="str">
        <f ca="1">IFERROR(__xludf.DUMMYFUNCTION("""COMPUTED_VALUE"""),"")</f>
        <v/>
      </c>
      <c r="AN63" s="119" t="str">
        <f ca="1">IFERROR(__xludf.DUMMYFUNCTION("""COMPUTED_VALUE"""),"")</f>
        <v/>
      </c>
      <c r="AO63" s="119" t="str">
        <f ca="1">IFERROR(__xludf.DUMMYFUNCTION("""COMPUTED_VALUE"""),"")</f>
        <v/>
      </c>
      <c r="AP63" s="119" t="str">
        <f ca="1">IFERROR(__xludf.DUMMYFUNCTION("""COMPUTED_VALUE"""),"")</f>
        <v/>
      </c>
      <c r="AQ63" s="119" t="str">
        <f ca="1">IFERROR(__xludf.DUMMYFUNCTION("""COMPUTED_VALUE"""),"")</f>
        <v/>
      </c>
      <c r="AR63" s="118" t="str">
        <f ca="1">IFERROR(__xludf.DUMMYFUNCTION("""COMPUTED_VALUE"""),"")</f>
        <v/>
      </c>
      <c r="AS63" s="119" t="str">
        <f ca="1">IFERROR(__xludf.DUMMYFUNCTION("""COMPUTED_VALUE"""),"")</f>
        <v/>
      </c>
      <c r="AT63" s="119" t="str">
        <f ca="1">IFERROR(__xludf.DUMMYFUNCTION("""COMPUTED_VALUE"""),"")</f>
        <v/>
      </c>
      <c r="AU63" s="119" t="str">
        <f ca="1">IFERROR(__xludf.DUMMYFUNCTION("""COMPUTED_VALUE"""),"")</f>
        <v/>
      </c>
      <c r="AV63" s="119" t="str">
        <f ca="1">IFERROR(__xludf.DUMMYFUNCTION("""COMPUTED_VALUE"""),"")</f>
        <v/>
      </c>
      <c r="AW63" s="119" t="str">
        <f ca="1">IFERROR(__xludf.DUMMYFUNCTION("""COMPUTED_VALUE"""),"")</f>
        <v/>
      </c>
      <c r="AX63" s="119" t="str">
        <f ca="1">IFERROR(__xludf.DUMMYFUNCTION("""COMPUTED_VALUE"""),"")</f>
        <v/>
      </c>
      <c r="AY63" s="119" t="str">
        <f ca="1">IFERROR(__xludf.DUMMYFUNCTION("""COMPUTED_VALUE"""),"")</f>
        <v/>
      </c>
      <c r="AZ63" s="119" t="str">
        <f ca="1">IFERROR(__xludf.DUMMYFUNCTION("""COMPUTED_VALUE"""),"")</f>
        <v/>
      </c>
      <c r="BA63" s="119" t="str">
        <f ca="1">IFERROR(__xludf.DUMMYFUNCTION("""COMPUTED_VALUE"""),"")</f>
        <v/>
      </c>
      <c r="BB63" s="119" t="str">
        <f ca="1">IFERROR(__xludf.DUMMYFUNCTION("""COMPUTED_VALUE"""),"")</f>
        <v/>
      </c>
      <c r="BC63" s="119" t="str">
        <f ca="1">IFERROR(__xludf.DUMMYFUNCTION("""COMPUTED_VALUE"""),"")</f>
        <v/>
      </c>
      <c r="BD63" s="119" t="str">
        <f ca="1">IFERROR(__xludf.DUMMYFUNCTION("""COMPUTED_VALUE"""),"")</f>
        <v/>
      </c>
      <c r="BE63" s="119" t="str">
        <f ca="1">IFERROR(__xludf.DUMMYFUNCTION("""COMPUTED_VALUE"""),"")</f>
        <v/>
      </c>
      <c r="BF63" s="119" t="str">
        <f ca="1">IFERROR(__xludf.DUMMYFUNCTION("""COMPUTED_VALUE"""),"")</f>
        <v/>
      </c>
      <c r="BG63" s="119" t="str">
        <f ca="1">IFERROR(__xludf.DUMMYFUNCTION("""COMPUTED_VALUE"""),"")</f>
        <v/>
      </c>
      <c r="BH63" s="119" t="str">
        <f ca="1">IFERROR(__xludf.DUMMYFUNCTION("""COMPUTED_VALUE"""),"")</f>
        <v/>
      </c>
      <c r="BI63" s="119" t="str">
        <f ca="1">IFERROR(__xludf.DUMMYFUNCTION("""COMPUTED_VALUE"""),"")</f>
        <v/>
      </c>
      <c r="BJ63" s="119" t="str">
        <f ca="1">IFERROR(__xludf.DUMMYFUNCTION("""COMPUTED_VALUE"""),"")</f>
        <v/>
      </c>
      <c r="BK63" s="119" t="str">
        <f ca="1">IFERROR(__xludf.DUMMYFUNCTION("""COMPUTED_VALUE"""),"")</f>
        <v/>
      </c>
      <c r="BL63" s="119" t="str">
        <f ca="1">IFERROR(__xludf.DUMMYFUNCTION("""COMPUTED_VALUE"""),"")</f>
        <v/>
      </c>
      <c r="BM63" s="119" t="str">
        <f ca="1">IFERROR(__xludf.DUMMYFUNCTION("""COMPUTED_VALUE"""),"")</f>
        <v/>
      </c>
      <c r="BN63" s="119" t="str">
        <f ca="1">IFERROR(__xludf.DUMMYFUNCTION("""COMPUTED_VALUE"""),"")</f>
        <v/>
      </c>
      <c r="BO63" s="119" t="str">
        <f ca="1">IFERROR(__xludf.DUMMYFUNCTION("""COMPUTED_VALUE"""),"")</f>
        <v/>
      </c>
      <c r="BP63" s="119" t="str">
        <f ca="1">IFERROR(__xludf.DUMMYFUNCTION("""COMPUTED_VALUE"""),"")</f>
        <v/>
      </c>
      <c r="BQ63" s="119" t="str">
        <f ca="1">IFERROR(__xludf.DUMMYFUNCTION("""COMPUTED_VALUE"""),"")</f>
        <v/>
      </c>
      <c r="BR63" s="119" t="str">
        <f ca="1">IFERROR(__xludf.DUMMYFUNCTION("""COMPUTED_VALUE"""),"")</f>
        <v/>
      </c>
      <c r="BS63" s="119" t="str">
        <f ca="1">IFERROR(__xludf.DUMMYFUNCTION("""COMPUTED_VALUE"""),"")</f>
        <v/>
      </c>
      <c r="BT63" s="119" t="str">
        <f ca="1">IFERROR(__xludf.DUMMYFUNCTION("""COMPUTED_VALUE"""),"")</f>
        <v/>
      </c>
      <c r="BU63" s="119" t="str">
        <f ca="1">IFERROR(__xludf.DUMMYFUNCTION("""COMPUTED_VALUE"""),"")</f>
        <v/>
      </c>
      <c r="BV63" s="119" t="str">
        <f ca="1">IFERROR(__xludf.DUMMYFUNCTION("""COMPUTED_VALUE"""),"")</f>
        <v/>
      </c>
      <c r="BW63" s="119" t="str">
        <f ca="1">IFERROR(__xludf.DUMMYFUNCTION("""COMPUTED_VALUE"""),"")</f>
        <v/>
      </c>
      <c r="BX63" s="119" t="str">
        <f ca="1">IFERROR(__xludf.DUMMYFUNCTION("""COMPUTED_VALUE"""),"")</f>
        <v/>
      </c>
      <c r="BY63" s="119" t="str">
        <f ca="1">IFERROR(__xludf.DUMMYFUNCTION("""COMPUTED_VALUE"""),"")</f>
        <v/>
      </c>
      <c r="BZ63" s="119" t="str">
        <f ca="1">IFERROR(__xludf.DUMMYFUNCTION("""COMPUTED_VALUE"""),"")</f>
        <v/>
      </c>
      <c r="CA63" s="119" t="str">
        <f ca="1">IFERROR(__xludf.DUMMYFUNCTION("""COMPUTED_VALUE"""),"")</f>
        <v/>
      </c>
      <c r="CB63" s="119" t="str">
        <f ca="1">IFERROR(__xludf.DUMMYFUNCTION("""COMPUTED_VALUE"""),"")</f>
        <v/>
      </c>
      <c r="CC63" s="119" t="str">
        <f ca="1">IFERROR(__xludf.DUMMYFUNCTION("""COMPUTED_VALUE"""),"")</f>
        <v/>
      </c>
      <c r="CD63" s="119" t="str">
        <f ca="1">IFERROR(__xludf.DUMMYFUNCTION("""COMPUTED_VALUE"""),"")</f>
        <v/>
      </c>
      <c r="CE63" s="119" t="str">
        <f ca="1">IFERROR(__xludf.DUMMYFUNCTION("""COMPUTED_VALUE"""),"")</f>
        <v/>
      </c>
      <c r="CF63" s="119" t="str">
        <f ca="1">IFERROR(__xludf.DUMMYFUNCTION("""COMPUTED_VALUE"""),"")</f>
        <v/>
      </c>
      <c r="CG63" s="119" t="str">
        <f ca="1">IFERROR(__xludf.DUMMYFUNCTION("""COMPUTED_VALUE"""),"")</f>
        <v/>
      </c>
      <c r="CH63" s="119" t="str">
        <f ca="1">IFERROR(__xludf.DUMMYFUNCTION("""COMPUTED_VALUE"""),"")</f>
        <v/>
      </c>
      <c r="CI63" s="119" t="str">
        <f ca="1">IFERROR(__xludf.DUMMYFUNCTION("""COMPUTED_VALUE"""),"")</f>
        <v/>
      </c>
      <c r="CJ63" s="119" t="str">
        <f ca="1">IFERROR(__xludf.DUMMYFUNCTION("""COMPUTED_VALUE"""),"")</f>
        <v/>
      </c>
      <c r="CK63" s="119" t="str">
        <f ca="1">IFERROR(__xludf.DUMMYFUNCTION("""COMPUTED_VALUE"""),"")</f>
        <v/>
      </c>
      <c r="CL63" s="119" t="str">
        <f ca="1">IFERROR(__xludf.DUMMYFUNCTION("""COMPUTED_VALUE"""),"")</f>
        <v/>
      </c>
      <c r="CM63" s="119" t="str">
        <f ca="1">IFERROR(__xludf.DUMMYFUNCTION("""COMPUTED_VALUE"""),"")</f>
        <v/>
      </c>
      <c r="CN63" s="119" t="str">
        <f ca="1">IFERROR(__xludf.DUMMYFUNCTION("""COMPUTED_VALUE"""),"")</f>
        <v/>
      </c>
      <c r="CO63" s="119" t="str">
        <f ca="1">IFERROR(__xludf.DUMMYFUNCTION("""COMPUTED_VALUE"""),"")</f>
        <v/>
      </c>
      <c r="CP63" s="119" t="str">
        <f ca="1">IFERROR(__xludf.DUMMYFUNCTION("""COMPUTED_VALUE"""),"")</f>
        <v/>
      </c>
      <c r="CQ63" s="119" t="str">
        <f ca="1">IFERROR(__xludf.DUMMYFUNCTION("""COMPUTED_VALUE"""),"")</f>
        <v/>
      </c>
      <c r="CR63" s="119" t="str">
        <f ca="1">IFERROR(__xludf.DUMMYFUNCTION("""COMPUTED_VALUE"""),"")</f>
        <v/>
      </c>
      <c r="CS63" s="119" t="str">
        <f ca="1">IFERROR(__xludf.DUMMYFUNCTION("""COMPUTED_VALUE"""),"")</f>
        <v/>
      </c>
      <c r="CT63" s="119" t="str">
        <f ca="1">IFERROR(__xludf.DUMMYFUNCTION("""COMPUTED_VALUE"""),"")</f>
        <v/>
      </c>
      <c r="CU63" s="119" t="str">
        <f ca="1">IFERROR(__xludf.DUMMYFUNCTION("""COMPUTED_VALUE"""),"")</f>
        <v/>
      </c>
      <c r="CV63" s="119" t="str">
        <f ca="1">IFERROR(__xludf.DUMMYFUNCTION("""COMPUTED_VALUE"""),"")</f>
        <v/>
      </c>
      <c r="CW63" s="119" t="str">
        <f ca="1">IFERROR(__xludf.DUMMYFUNCTION("""COMPUTED_VALUE"""),"")</f>
        <v/>
      </c>
      <c r="CX63" s="119" t="str">
        <f ca="1">IFERROR(__xludf.DUMMYFUNCTION("""COMPUTED_VALUE"""),"")</f>
        <v/>
      </c>
      <c r="CY63" s="119" t="str">
        <f ca="1">IFERROR(__xludf.DUMMYFUNCTION("""COMPUTED_VALUE"""),"")</f>
        <v/>
      </c>
      <c r="CZ63" s="119" t="str">
        <f ca="1">IFERROR(__xludf.DUMMYFUNCTION("""COMPUTED_VALUE"""),"")</f>
        <v/>
      </c>
      <c r="DA63" s="119" t="str">
        <f ca="1">IFERROR(__xludf.DUMMYFUNCTION("""COMPUTED_VALUE"""),"")</f>
        <v/>
      </c>
      <c r="DB63" s="119" t="str">
        <f ca="1">IFERROR(__xludf.DUMMYFUNCTION("""COMPUTED_VALUE"""),"")</f>
        <v/>
      </c>
      <c r="DC63" s="119" t="str">
        <f ca="1">IFERROR(__xludf.DUMMYFUNCTION("""COMPUTED_VALUE"""),"")</f>
        <v/>
      </c>
      <c r="DD63" s="119" t="str">
        <f ca="1">IFERROR(__xludf.DUMMYFUNCTION("""COMPUTED_VALUE"""),"")</f>
        <v/>
      </c>
      <c r="DE63" s="119" t="str">
        <f ca="1">IFERROR(__xludf.DUMMYFUNCTION("""COMPUTED_VALUE"""),"")</f>
        <v/>
      </c>
      <c r="DF63" s="119" t="str">
        <f ca="1">IFERROR(__xludf.DUMMYFUNCTION("""COMPUTED_VALUE"""),"")</f>
        <v/>
      </c>
      <c r="DG63" s="119" t="str">
        <f ca="1">IFERROR(__xludf.DUMMYFUNCTION("""COMPUTED_VALUE"""),"")</f>
        <v/>
      </c>
      <c r="DH63" s="119" t="str">
        <f ca="1">IFERROR(__xludf.DUMMYFUNCTION("""COMPUTED_VALUE"""),"")</f>
        <v/>
      </c>
      <c r="DI63" s="119" t="str">
        <f ca="1">IFERROR(__xludf.DUMMYFUNCTION("""COMPUTED_VALUE"""),"")</f>
        <v/>
      </c>
      <c r="DJ63" s="119" t="str">
        <f ca="1">IFERROR(__xludf.DUMMYFUNCTION("""COMPUTED_VALUE"""),"")</f>
        <v/>
      </c>
      <c r="DK63" s="119" t="str">
        <f ca="1">IFERROR(__xludf.DUMMYFUNCTION("""COMPUTED_VALUE"""),"")</f>
        <v/>
      </c>
      <c r="DL63" s="119" t="str">
        <f ca="1">IFERROR(__xludf.DUMMYFUNCTION("""COMPUTED_VALUE"""),"")</f>
        <v/>
      </c>
      <c r="DM63" s="119" t="str">
        <f ca="1">IFERROR(__xludf.DUMMYFUNCTION("""COMPUTED_VALUE"""),"")</f>
        <v/>
      </c>
      <c r="DN63" s="119" t="str">
        <f ca="1">IFERROR(__xludf.DUMMYFUNCTION("""COMPUTED_VALUE"""),"")</f>
        <v/>
      </c>
      <c r="DO63" s="119" t="str">
        <f ca="1">IFERROR(__xludf.DUMMYFUNCTION("""COMPUTED_VALUE"""),"")</f>
        <v/>
      </c>
      <c r="DP63" s="119" t="str">
        <f ca="1">IFERROR(__xludf.DUMMYFUNCTION("""COMPUTED_VALUE"""),"")</f>
        <v/>
      </c>
      <c r="DQ63" s="119" t="str">
        <f ca="1">IFERROR(__xludf.DUMMYFUNCTION("""COMPUTED_VALUE"""),"")</f>
        <v/>
      </c>
      <c r="DR63" s="119" t="str">
        <f ca="1">IFERROR(__xludf.DUMMYFUNCTION("""COMPUTED_VALUE"""),"")</f>
        <v/>
      </c>
      <c r="DS63" s="119" t="str">
        <f ca="1">IFERROR(__xludf.DUMMYFUNCTION("""COMPUTED_VALUE"""),"")</f>
        <v/>
      </c>
      <c r="DT63" s="119" t="str">
        <f ca="1">IFERROR(__xludf.DUMMYFUNCTION("""COMPUTED_VALUE"""),"")</f>
        <v/>
      </c>
      <c r="DU63" s="119" t="str">
        <f ca="1">IFERROR(__xludf.DUMMYFUNCTION("""COMPUTED_VALUE"""),"")</f>
        <v/>
      </c>
      <c r="DV63" s="119" t="str">
        <f ca="1">IFERROR(__xludf.DUMMYFUNCTION("""COMPUTED_VALUE"""),"")</f>
        <v/>
      </c>
      <c r="DW63" s="119" t="str">
        <f ca="1">IFERROR(__xludf.DUMMYFUNCTION("""COMPUTED_VALUE"""),"")</f>
        <v/>
      </c>
      <c r="DX63" s="119" t="str">
        <f ca="1">IFERROR(__xludf.DUMMYFUNCTION("""COMPUTED_VALUE"""),"")</f>
        <v/>
      </c>
      <c r="DY63" s="119" t="str">
        <f ca="1">IFERROR(__xludf.DUMMYFUNCTION("""COMPUTED_VALUE"""),"")</f>
        <v/>
      </c>
      <c r="DZ63" s="119" t="str">
        <f ca="1">IFERROR(__xludf.DUMMYFUNCTION("""COMPUTED_VALUE"""),"")</f>
        <v/>
      </c>
      <c r="EA63" s="119" t="str">
        <f ca="1">IFERROR(__xludf.DUMMYFUNCTION("""COMPUTED_VALUE"""),"")</f>
        <v/>
      </c>
      <c r="EB63" s="119" t="str">
        <f ca="1">IFERROR(__xludf.DUMMYFUNCTION("""COMPUTED_VALUE"""),"")</f>
        <v/>
      </c>
      <c r="EC63" s="119" t="str">
        <f ca="1">IFERROR(__xludf.DUMMYFUNCTION("""COMPUTED_VALUE"""),"")</f>
        <v/>
      </c>
      <c r="ED63" s="119" t="str">
        <f ca="1">IFERROR(__xludf.DUMMYFUNCTION("""COMPUTED_VALUE"""),"")</f>
        <v/>
      </c>
      <c r="EE63" s="119" t="str">
        <f ca="1">IFERROR(__xludf.DUMMYFUNCTION("""COMPUTED_VALUE"""),"")</f>
        <v/>
      </c>
      <c r="EF63" s="119" t="str">
        <f ca="1">IFERROR(__xludf.DUMMYFUNCTION("""COMPUTED_VALUE"""),"")</f>
        <v/>
      </c>
      <c r="EG63" s="119" t="str">
        <f ca="1">IFERROR(__xludf.DUMMYFUNCTION("""COMPUTED_VALUE"""),"")</f>
        <v/>
      </c>
      <c r="EH63" s="119" t="str">
        <f ca="1">IFERROR(__xludf.DUMMYFUNCTION("""COMPUTED_VALUE"""),"")</f>
        <v/>
      </c>
      <c r="EI63" s="119" t="str">
        <f ca="1">IFERROR(__xludf.DUMMYFUNCTION("""COMPUTED_VALUE"""),"")</f>
        <v/>
      </c>
      <c r="EJ63" s="119" t="str">
        <f ca="1">IFERROR(__xludf.DUMMYFUNCTION("""COMPUTED_VALUE"""),"")</f>
        <v/>
      </c>
      <c r="EK63" s="119" t="str">
        <f ca="1">IFERROR(__xludf.DUMMYFUNCTION("""COMPUTED_VALUE"""),"")</f>
        <v/>
      </c>
      <c r="EL63" s="119" t="str">
        <f ca="1">IFERROR(__xludf.DUMMYFUNCTION("""COMPUTED_VALUE"""),"")</f>
        <v/>
      </c>
      <c r="EM63" s="119" t="str">
        <f ca="1">IFERROR(__xludf.DUMMYFUNCTION("""COMPUTED_VALUE"""),"")</f>
        <v/>
      </c>
      <c r="EN63" s="119" t="str">
        <f ca="1">IFERROR(__xludf.DUMMYFUNCTION("""COMPUTED_VALUE"""),"")</f>
        <v/>
      </c>
      <c r="EO63" s="119" t="str">
        <f ca="1">IFERROR(__xludf.DUMMYFUNCTION("""COMPUTED_VALUE"""),"")</f>
        <v/>
      </c>
      <c r="EP63" s="119" t="str">
        <f ca="1">IFERROR(__xludf.DUMMYFUNCTION("""COMPUTED_VALUE"""),"")</f>
        <v/>
      </c>
      <c r="EQ63" s="119" t="str">
        <f ca="1">IFERROR(__xludf.DUMMYFUNCTION("""COMPUTED_VALUE"""),"")</f>
        <v/>
      </c>
      <c r="ER63" s="119" t="str">
        <f ca="1">IFERROR(__xludf.DUMMYFUNCTION("""COMPUTED_VALUE"""),"")</f>
        <v/>
      </c>
      <c r="ES63" s="119" t="str">
        <f ca="1">IFERROR(__xludf.DUMMYFUNCTION("""COMPUTED_VALUE"""),"")</f>
        <v/>
      </c>
      <c r="ET63" s="119" t="str">
        <f ca="1">IFERROR(__xludf.DUMMYFUNCTION("""COMPUTED_VALUE"""),"")</f>
        <v/>
      </c>
      <c r="EU63" s="119" t="str">
        <f ca="1">IFERROR(__xludf.DUMMYFUNCTION("""COMPUTED_VALUE"""),"")</f>
        <v/>
      </c>
      <c r="EV63" s="119" t="str">
        <f ca="1">IFERROR(__xludf.DUMMYFUNCTION("""COMPUTED_VALUE"""),"")</f>
        <v/>
      </c>
      <c r="EW63" s="119" t="str">
        <f ca="1">IFERROR(__xludf.DUMMYFUNCTION("""COMPUTED_VALUE"""),"")</f>
        <v/>
      </c>
      <c r="EX63" s="117" t="str">
        <f ca="1">IFERROR(__xludf.DUMMYFUNCTION("""COMPUTED_VALUE"""),"")</f>
        <v/>
      </c>
      <c r="EY63" s="117" t="str">
        <f ca="1">IFERROR(__xludf.DUMMYFUNCTION("""COMPUTED_VALUE"""),"")</f>
        <v/>
      </c>
      <c r="EZ63" s="117" t="str">
        <f ca="1">IFERROR(__xludf.DUMMYFUNCTION("""COMPUTED_VALUE"""),"")</f>
        <v/>
      </c>
      <c r="FA63" s="117" t="str">
        <f ca="1">IFERROR(__xludf.DUMMYFUNCTION("""COMPUTED_VALUE"""),"")</f>
        <v/>
      </c>
      <c r="FB63" s="117" t="str">
        <f ca="1">IFERROR(__xludf.DUMMYFUNCTION("""COMPUTED_VALUE"""),"")</f>
        <v/>
      </c>
      <c r="FC63" s="117" t="str">
        <f ca="1">IFERROR(__xludf.DUMMYFUNCTION("""COMPUTED_VALUE"""),"")</f>
        <v/>
      </c>
      <c r="FD63" s="117" t="str">
        <f ca="1">IFERROR(__xludf.DUMMYFUNCTION("""COMPUTED_VALUE"""),"")</f>
        <v/>
      </c>
      <c r="FE63" s="117" t="str">
        <f ca="1">IFERROR(__xludf.DUMMYFUNCTION("""COMPUTED_VALUE"""),"")</f>
        <v/>
      </c>
      <c r="FF63" s="117" t="str">
        <f ca="1">IFERROR(__xludf.DUMMYFUNCTION("""COMPUTED_VALUE"""),"")</f>
        <v/>
      </c>
      <c r="FG63" s="117" t="str">
        <f ca="1">IFERROR(__xludf.DUMMYFUNCTION("""COMPUTED_VALUE"""),"")</f>
        <v/>
      </c>
      <c r="FH63" s="117" t="str">
        <f ca="1">IFERROR(__xludf.DUMMYFUNCTION("""COMPUTED_VALUE"""),"")</f>
        <v/>
      </c>
      <c r="FI63" s="117" t="str">
        <f ca="1">IFERROR(__xludf.DUMMYFUNCTION("""COMPUTED_VALUE"""),"")</f>
        <v/>
      </c>
      <c r="FJ63" s="117" t="str">
        <f ca="1">IFERROR(__xludf.DUMMYFUNCTION("""COMPUTED_VALUE"""),"")</f>
        <v/>
      </c>
      <c r="FK63" s="117" t="str">
        <f ca="1">IFERROR(__xludf.DUMMYFUNCTION("""COMPUTED_VALUE"""),"")</f>
        <v/>
      </c>
      <c r="FL63" s="117" t="str">
        <f ca="1">IFERROR(__xludf.DUMMYFUNCTION("""COMPUTED_VALUE"""),"")</f>
        <v/>
      </c>
      <c r="FM63" s="117" t="str">
        <f ca="1">IFERROR(__xludf.DUMMYFUNCTION("""COMPUTED_VALUE"""),"")</f>
        <v/>
      </c>
      <c r="FN63" s="117" t="str">
        <f ca="1">IFERROR(__xludf.DUMMYFUNCTION("""COMPUTED_VALUE"""),"")</f>
        <v/>
      </c>
      <c r="FO63" s="117" t="str">
        <f ca="1">IFERROR(__xludf.DUMMYFUNCTION("""COMPUTED_VALUE"""),"")</f>
        <v/>
      </c>
    </row>
    <row r="64" spans="1:171" ht="15.75" customHeight="1" x14ac:dyDescent="0.15">
      <c r="A64" s="115" t="str">
        <f ca="1">IFERROR(__xludf.DUMMYFUNCTION("""COMPUTED_VALUE"""),"")</f>
        <v/>
      </c>
      <c r="B64" s="119" t="str">
        <f ca="1">IFERROR(__xludf.DUMMYFUNCTION("""COMPUTED_VALUE"""),"")</f>
        <v/>
      </c>
      <c r="C64" s="119" t="str">
        <f ca="1">IFERROR(__xludf.DUMMYFUNCTION("""COMPUTED_VALUE"""),"")</f>
        <v/>
      </c>
      <c r="D64" s="119" t="str">
        <f ca="1">IFERROR(__xludf.DUMMYFUNCTION("""COMPUTED_VALUE"""),"")</f>
        <v/>
      </c>
      <c r="E64" s="119" t="str">
        <f ca="1">IFERROR(__xludf.DUMMYFUNCTION("""COMPUTED_VALUE"""),"")</f>
        <v/>
      </c>
      <c r="F64" s="119" t="str">
        <f ca="1">IFERROR(__xludf.DUMMYFUNCTION("""COMPUTED_VALUE"""),"")</f>
        <v/>
      </c>
      <c r="G64" s="119" t="str">
        <f ca="1">IFERROR(__xludf.DUMMYFUNCTION("""COMPUTED_VALUE"""),"")</f>
        <v/>
      </c>
      <c r="H64" s="119" t="str">
        <f ca="1">IFERROR(__xludf.DUMMYFUNCTION("""COMPUTED_VALUE"""),"")</f>
        <v/>
      </c>
      <c r="I64" s="119" t="str">
        <f ca="1">IFERROR(__xludf.DUMMYFUNCTION("""COMPUTED_VALUE"""),"")</f>
        <v/>
      </c>
      <c r="J64" s="119" t="str">
        <f ca="1">IFERROR(__xludf.DUMMYFUNCTION("""COMPUTED_VALUE"""),"")</f>
        <v/>
      </c>
      <c r="K64" s="119" t="str">
        <f ca="1">IFERROR(__xludf.DUMMYFUNCTION("""COMPUTED_VALUE"""),"")</f>
        <v/>
      </c>
      <c r="L64" s="119" t="str">
        <f ca="1">IFERROR(__xludf.DUMMYFUNCTION("""COMPUTED_VALUE"""),"")</f>
        <v/>
      </c>
      <c r="M64" s="119" t="str">
        <f ca="1">IFERROR(__xludf.DUMMYFUNCTION("""COMPUTED_VALUE"""),"")</f>
        <v/>
      </c>
      <c r="N64" s="119" t="str">
        <f ca="1">IFERROR(__xludf.DUMMYFUNCTION("""COMPUTED_VALUE"""),"")</f>
        <v/>
      </c>
      <c r="O64" s="119" t="str">
        <f ca="1">IFERROR(__xludf.DUMMYFUNCTION("""COMPUTED_VALUE"""),"")</f>
        <v/>
      </c>
      <c r="P64" s="119" t="str">
        <f ca="1">IFERROR(__xludf.DUMMYFUNCTION("""COMPUTED_VALUE"""),"")</f>
        <v/>
      </c>
      <c r="Q64" s="119" t="str">
        <f ca="1">IFERROR(__xludf.DUMMYFUNCTION("""COMPUTED_VALUE"""),"")</f>
        <v/>
      </c>
      <c r="R64" s="119" t="str">
        <f ca="1">IFERROR(__xludf.DUMMYFUNCTION("""COMPUTED_VALUE"""),"")</f>
        <v/>
      </c>
      <c r="S64" s="119" t="str">
        <f ca="1">IFERROR(__xludf.DUMMYFUNCTION("""COMPUTED_VALUE"""),"")</f>
        <v/>
      </c>
      <c r="T64" s="119" t="str">
        <f ca="1">IFERROR(__xludf.DUMMYFUNCTION("""COMPUTED_VALUE"""),"")</f>
        <v/>
      </c>
      <c r="U64" s="119" t="str">
        <f ca="1">IFERROR(__xludf.DUMMYFUNCTION("""COMPUTED_VALUE"""),"")</f>
        <v/>
      </c>
      <c r="V64" s="119" t="str">
        <f ca="1">IFERROR(__xludf.DUMMYFUNCTION("""COMPUTED_VALUE"""),"")</f>
        <v/>
      </c>
      <c r="W64" s="119" t="str">
        <f ca="1">IFERROR(__xludf.DUMMYFUNCTION("""COMPUTED_VALUE"""),"")</f>
        <v/>
      </c>
      <c r="X64" s="119" t="str">
        <f ca="1">IFERROR(__xludf.DUMMYFUNCTION("""COMPUTED_VALUE"""),"")</f>
        <v/>
      </c>
      <c r="Y64" s="119" t="str">
        <f ca="1">IFERROR(__xludf.DUMMYFUNCTION("""COMPUTED_VALUE"""),"")</f>
        <v/>
      </c>
      <c r="Z64" s="119" t="str">
        <f ca="1">IFERROR(__xludf.DUMMYFUNCTION("""COMPUTED_VALUE"""),"")</f>
        <v/>
      </c>
      <c r="AA64" s="119" t="str">
        <f ca="1">IFERROR(__xludf.DUMMYFUNCTION("""COMPUTED_VALUE"""),"")</f>
        <v/>
      </c>
      <c r="AB64" s="119" t="str">
        <f ca="1">IFERROR(__xludf.DUMMYFUNCTION("""COMPUTED_VALUE"""),"")</f>
        <v/>
      </c>
      <c r="AC64" s="119" t="str">
        <f ca="1">IFERROR(__xludf.DUMMYFUNCTION("""COMPUTED_VALUE"""),"")</f>
        <v/>
      </c>
      <c r="AD64" s="119" t="str">
        <f ca="1">IFERROR(__xludf.DUMMYFUNCTION("""COMPUTED_VALUE"""),"")</f>
        <v/>
      </c>
      <c r="AE64" s="119" t="str">
        <f ca="1">IFERROR(__xludf.DUMMYFUNCTION("""COMPUTED_VALUE"""),"")</f>
        <v/>
      </c>
      <c r="AF64" s="119" t="str">
        <f ca="1">IFERROR(__xludf.DUMMYFUNCTION("""COMPUTED_VALUE"""),"")</f>
        <v/>
      </c>
      <c r="AG64" s="119" t="str">
        <f ca="1">IFERROR(__xludf.DUMMYFUNCTION("""COMPUTED_VALUE"""),"")</f>
        <v/>
      </c>
      <c r="AH64" s="119" t="str">
        <f ca="1">IFERROR(__xludf.DUMMYFUNCTION("""COMPUTED_VALUE"""),"")</f>
        <v/>
      </c>
      <c r="AI64" s="119" t="str">
        <f ca="1">IFERROR(__xludf.DUMMYFUNCTION("""COMPUTED_VALUE"""),"")</f>
        <v/>
      </c>
      <c r="AJ64" s="119" t="str">
        <f ca="1">IFERROR(__xludf.DUMMYFUNCTION("""COMPUTED_VALUE"""),"")</f>
        <v/>
      </c>
      <c r="AK64" s="119" t="str">
        <f ca="1">IFERROR(__xludf.DUMMYFUNCTION("""COMPUTED_VALUE"""),"")</f>
        <v/>
      </c>
      <c r="AL64" s="119" t="str">
        <f ca="1">IFERROR(__xludf.DUMMYFUNCTION("""COMPUTED_VALUE"""),"")</f>
        <v/>
      </c>
      <c r="AM64" s="119" t="str">
        <f ca="1">IFERROR(__xludf.DUMMYFUNCTION("""COMPUTED_VALUE"""),"")</f>
        <v/>
      </c>
      <c r="AN64" s="119" t="str">
        <f ca="1">IFERROR(__xludf.DUMMYFUNCTION("""COMPUTED_VALUE"""),"")</f>
        <v/>
      </c>
      <c r="AO64" s="119" t="str">
        <f ca="1">IFERROR(__xludf.DUMMYFUNCTION("""COMPUTED_VALUE"""),"")</f>
        <v/>
      </c>
      <c r="AP64" s="119" t="str">
        <f ca="1">IFERROR(__xludf.DUMMYFUNCTION("""COMPUTED_VALUE"""),"")</f>
        <v/>
      </c>
      <c r="AQ64" s="119" t="str">
        <f ca="1">IFERROR(__xludf.DUMMYFUNCTION("""COMPUTED_VALUE"""),"")</f>
        <v/>
      </c>
      <c r="AR64" s="118" t="str">
        <f ca="1">IFERROR(__xludf.DUMMYFUNCTION("""COMPUTED_VALUE"""),"")</f>
        <v/>
      </c>
      <c r="AS64" s="119" t="str">
        <f ca="1">IFERROR(__xludf.DUMMYFUNCTION("""COMPUTED_VALUE"""),"")</f>
        <v/>
      </c>
      <c r="AT64" s="119" t="str">
        <f ca="1">IFERROR(__xludf.DUMMYFUNCTION("""COMPUTED_VALUE"""),"")</f>
        <v/>
      </c>
      <c r="AU64" s="119" t="str">
        <f ca="1">IFERROR(__xludf.DUMMYFUNCTION("""COMPUTED_VALUE"""),"")</f>
        <v/>
      </c>
      <c r="AV64" s="119" t="str">
        <f ca="1">IFERROR(__xludf.DUMMYFUNCTION("""COMPUTED_VALUE"""),"")</f>
        <v/>
      </c>
      <c r="AW64" s="119" t="str">
        <f ca="1">IFERROR(__xludf.DUMMYFUNCTION("""COMPUTED_VALUE"""),"")</f>
        <v/>
      </c>
      <c r="AX64" s="119" t="str">
        <f ca="1">IFERROR(__xludf.DUMMYFUNCTION("""COMPUTED_VALUE"""),"")</f>
        <v/>
      </c>
      <c r="AY64" s="119" t="str">
        <f ca="1">IFERROR(__xludf.DUMMYFUNCTION("""COMPUTED_VALUE"""),"")</f>
        <v/>
      </c>
      <c r="AZ64" s="119" t="str">
        <f ca="1">IFERROR(__xludf.DUMMYFUNCTION("""COMPUTED_VALUE"""),"")</f>
        <v/>
      </c>
      <c r="BA64" s="119" t="str">
        <f ca="1">IFERROR(__xludf.DUMMYFUNCTION("""COMPUTED_VALUE"""),"")</f>
        <v/>
      </c>
      <c r="BB64" s="119" t="str">
        <f ca="1">IFERROR(__xludf.DUMMYFUNCTION("""COMPUTED_VALUE"""),"")</f>
        <v/>
      </c>
      <c r="BC64" s="119" t="str">
        <f ca="1">IFERROR(__xludf.DUMMYFUNCTION("""COMPUTED_VALUE"""),"")</f>
        <v/>
      </c>
      <c r="BD64" s="119" t="str">
        <f ca="1">IFERROR(__xludf.DUMMYFUNCTION("""COMPUTED_VALUE"""),"")</f>
        <v/>
      </c>
      <c r="BE64" s="119" t="str">
        <f ca="1">IFERROR(__xludf.DUMMYFUNCTION("""COMPUTED_VALUE"""),"")</f>
        <v/>
      </c>
      <c r="BF64" s="119" t="str">
        <f ca="1">IFERROR(__xludf.DUMMYFUNCTION("""COMPUTED_VALUE"""),"")</f>
        <v/>
      </c>
      <c r="BG64" s="119" t="str">
        <f ca="1">IFERROR(__xludf.DUMMYFUNCTION("""COMPUTED_VALUE"""),"")</f>
        <v/>
      </c>
      <c r="BH64" s="119" t="str">
        <f ca="1">IFERROR(__xludf.DUMMYFUNCTION("""COMPUTED_VALUE"""),"")</f>
        <v/>
      </c>
      <c r="BI64" s="119" t="str">
        <f ca="1">IFERROR(__xludf.DUMMYFUNCTION("""COMPUTED_VALUE"""),"")</f>
        <v/>
      </c>
      <c r="BJ64" s="119" t="str">
        <f ca="1">IFERROR(__xludf.DUMMYFUNCTION("""COMPUTED_VALUE"""),"")</f>
        <v/>
      </c>
      <c r="BK64" s="119" t="str">
        <f ca="1">IFERROR(__xludf.DUMMYFUNCTION("""COMPUTED_VALUE"""),"")</f>
        <v/>
      </c>
      <c r="BL64" s="119" t="str">
        <f ca="1">IFERROR(__xludf.DUMMYFUNCTION("""COMPUTED_VALUE"""),"")</f>
        <v/>
      </c>
      <c r="BM64" s="119" t="str">
        <f ca="1">IFERROR(__xludf.DUMMYFUNCTION("""COMPUTED_VALUE"""),"")</f>
        <v/>
      </c>
      <c r="BN64" s="119" t="str">
        <f ca="1">IFERROR(__xludf.DUMMYFUNCTION("""COMPUTED_VALUE"""),"")</f>
        <v/>
      </c>
      <c r="BO64" s="119" t="str">
        <f ca="1">IFERROR(__xludf.DUMMYFUNCTION("""COMPUTED_VALUE"""),"")</f>
        <v/>
      </c>
      <c r="BP64" s="119" t="str">
        <f ca="1">IFERROR(__xludf.DUMMYFUNCTION("""COMPUTED_VALUE"""),"")</f>
        <v/>
      </c>
      <c r="BQ64" s="119" t="str">
        <f ca="1">IFERROR(__xludf.DUMMYFUNCTION("""COMPUTED_VALUE"""),"")</f>
        <v/>
      </c>
      <c r="BR64" s="119" t="str">
        <f ca="1">IFERROR(__xludf.DUMMYFUNCTION("""COMPUTED_VALUE"""),"")</f>
        <v/>
      </c>
      <c r="BS64" s="119" t="str">
        <f ca="1">IFERROR(__xludf.DUMMYFUNCTION("""COMPUTED_VALUE"""),"")</f>
        <v/>
      </c>
      <c r="BT64" s="119" t="str">
        <f ca="1">IFERROR(__xludf.DUMMYFUNCTION("""COMPUTED_VALUE"""),"")</f>
        <v/>
      </c>
      <c r="BU64" s="119" t="str">
        <f ca="1">IFERROR(__xludf.DUMMYFUNCTION("""COMPUTED_VALUE"""),"")</f>
        <v/>
      </c>
      <c r="BV64" s="119" t="str">
        <f ca="1">IFERROR(__xludf.DUMMYFUNCTION("""COMPUTED_VALUE"""),"")</f>
        <v/>
      </c>
      <c r="BW64" s="119" t="str">
        <f ca="1">IFERROR(__xludf.DUMMYFUNCTION("""COMPUTED_VALUE"""),"")</f>
        <v/>
      </c>
      <c r="BX64" s="119" t="str">
        <f ca="1">IFERROR(__xludf.DUMMYFUNCTION("""COMPUTED_VALUE"""),"")</f>
        <v/>
      </c>
      <c r="BY64" s="119" t="str">
        <f ca="1">IFERROR(__xludf.DUMMYFUNCTION("""COMPUTED_VALUE"""),"")</f>
        <v/>
      </c>
      <c r="BZ64" s="119" t="str">
        <f ca="1">IFERROR(__xludf.DUMMYFUNCTION("""COMPUTED_VALUE"""),"")</f>
        <v/>
      </c>
      <c r="CA64" s="119" t="str">
        <f ca="1">IFERROR(__xludf.DUMMYFUNCTION("""COMPUTED_VALUE"""),"")</f>
        <v/>
      </c>
      <c r="CB64" s="119" t="str">
        <f ca="1">IFERROR(__xludf.DUMMYFUNCTION("""COMPUTED_VALUE"""),"")</f>
        <v/>
      </c>
      <c r="CC64" s="119" t="str">
        <f ca="1">IFERROR(__xludf.DUMMYFUNCTION("""COMPUTED_VALUE"""),"")</f>
        <v/>
      </c>
      <c r="CD64" s="119" t="str">
        <f ca="1">IFERROR(__xludf.DUMMYFUNCTION("""COMPUTED_VALUE"""),"")</f>
        <v/>
      </c>
      <c r="CE64" s="119" t="str">
        <f ca="1">IFERROR(__xludf.DUMMYFUNCTION("""COMPUTED_VALUE"""),"")</f>
        <v/>
      </c>
      <c r="CF64" s="119" t="str">
        <f ca="1">IFERROR(__xludf.DUMMYFUNCTION("""COMPUTED_VALUE"""),"")</f>
        <v/>
      </c>
      <c r="CG64" s="119" t="str">
        <f ca="1">IFERROR(__xludf.DUMMYFUNCTION("""COMPUTED_VALUE"""),"")</f>
        <v/>
      </c>
      <c r="CH64" s="119" t="str">
        <f ca="1">IFERROR(__xludf.DUMMYFUNCTION("""COMPUTED_VALUE"""),"")</f>
        <v/>
      </c>
      <c r="CI64" s="119" t="str">
        <f ca="1">IFERROR(__xludf.DUMMYFUNCTION("""COMPUTED_VALUE"""),"")</f>
        <v/>
      </c>
      <c r="CJ64" s="119" t="str">
        <f ca="1">IFERROR(__xludf.DUMMYFUNCTION("""COMPUTED_VALUE"""),"")</f>
        <v/>
      </c>
      <c r="CK64" s="119" t="str">
        <f ca="1">IFERROR(__xludf.DUMMYFUNCTION("""COMPUTED_VALUE"""),"")</f>
        <v/>
      </c>
      <c r="CL64" s="119" t="str">
        <f ca="1">IFERROR(__xludf.DUMMYFUNCTION("""COMPUTED_VALUE"""),"")</f>
        <v/>
      </c>
      <c r="CM64" s="119" t="str">
        <f ca="1">IFERROR(__xludf.DUMMYFUNCTION("""COMPUTED_VALUE"""),"")</f>
        <v/>
      </c>
      <c r="CN64" s="119" t="str">
        <f ca="1">IFERROR(__xludf.DUMMYFUNCTION("""COMPUTED_VALUE"""),"")</f>
        <v/>
      </c>
      <c r="CO64" s="119" t="str">
        <f ca="1">IFERROR(__xludf.DUMMYFUNCTION("""COMPUTED_VALUE"""),"")</f>
        <v/>
      </c>
      <c r="CP64" s="119" t="str">
        <f ca="1">IFERROR(__xludf.DUMMYFUNCTION("""COMPUTED_VALUE"""),"")</f>
        <v/>
      </c>
      <c r="CQ64" s="119" t="str">
        <f ca="1">IFERROR(__xludf.DUMMYFUNCTION("""COMPUTED_VALUE"""),"")</f>
        <v/>
      </c>
      <c r="CR64" s="119" t="str">
        <f ca="1">IFERROR(__xludf.DUMMYFUNCTION("""COMPUTED_VALUE"""),"")</f>
        <v/>
      </c>
      <c r="CS64" s="119" t="str">
        <f ca="1">IFERROR(__xludf.DUMMYFUNCTION("""COMPUTED_VALUE"""),"")</f>
        <v/>
      </c>
      <c r="CT64" s="119" t="str">
        <f ca="1">IFERROR(__xludf.DUMMYFUNCTION("""COMPUTED_VALUE"""),"")</f>
        <v/>
      </c>
      <c r="CU64" s="119" t="str">
        <f ca="1">IFERROR(__xludf.DUMMYFUNCTION("""COMPUTED_VALUE"""),"")</f>
        <v/>
      </c>
      <c r="CV64" s="119" t="str">
        <f ca="1">IFERROR(__xludf.DUMMYFUNCTION("""COMPUTED_VALUE"""),"")</f>
        <v/>
      </c>
      <c r="CW64" s="119" t="str">
        <f ca="1">IFERROR(__xludf.DUMMYFUNCTION("""COMPUTED_VALUE"""),"")</f>
        <v/>
      </c>
      <c r="CX64" s="119" t="str">
        <f ca="1">IFERROR(__xludf.DUMMYFUNCTION("""COMPUTED_VALUE"""),"")</f>
        <v/>
      </c>
      <c r="CY64" s="119" t="str">
        <f ca="1">IFERROR(__xludf.DUMMYFUNCTION("""COMPUTED_VALUE"""),"")</f>
        <v/>
      </c>
      <c r="CZ64" s="119" t="str">
        <f ca="1">IFERROR(__xludf.DUMMYFUNCTION("""COMPUTED_VALUE"""),"")</f>
        <v/>
      </c>
      <c r="DA64" s="119" t="str">
        <f ca="1">IFERROR(__xludf.DUMMYFUNCTION("""COMPUTED_VALUE"""),"")</f>
        <v/>
      </c>
      <c r="DB64" s="119" t="str">
        <f ca="1">IFERROR(__xludf.DUMMYFUNCTION("""COMPUTED_VALUE"""),"")</f>
        <v/>
      </c>
      <c r="DC64" s="119" t="str">
        <f ca="1">IFERROR(__xludf.DUMMYFUNCTION("""COMPUTED_VALUE"""),"")</f>
        <v/>
      </c>
      <c r="DD64" s="119" t="str">
        <f ca="1">IFERROR(__xludf.DUMMYFUNCTION("""COMPUTED_VALUE"""),"")</f>
        <v/>
      </c>
      <c r="DE64" s="119" t="str">
        <f ca="1">IFERROR(__xludf.DUMMYFUNCTION("""COMPUTED_VALUE"""),"")</f>
        <v/>
      </c>
      <c r="DF64" s="119" t="str">
        <f ca="1">IFERROR(__xludf.DUMMYFUNCTION("""COMPUTED_VALUE"""),"")</f>
        <v/>
      </c>
      <c r="DG64" s="119" t="str">
        <f ca="1">IFERROR(__xludf.DUMMYFUNCTION("""COMPUTED_VALUE"""),"")</f>
        <v/>
      </c>
      <c r="DH64" s="119" t="str">
        <f ca="1">IFERROR(__xludf.DUMMYFUNCTION("""COMPUTED_VALUE"""),"")</f>
        <v/>
      </c>
      <c r="DI64" s="119" t="str">
        <f ca="1">IFERROR(__xludf.DUMMYFUNCTION("""COMPUTED_VALUE"""),"")</f>
        <v/>
      </c>
      <c r="DJ64" s="119" t="str">
        <f ca="1">IFERROR(__xludf.DUMMYFUNCTION("""COMPUTED_VALUE"""),"")</f>
        <v/>
      </c>
      <c r="DK64" s="119" t="str">
        <f ca="1">IFERROR(__xludf.DUMMYFUNCTION("""COMPUTED_VALUE"""),"")</f>
        <v/>
      </c>
      <c r="DL64" s="119" t="str">
        <f ca="1">IFERROR(__xludf.DUMMYFUNCTION("""COMPUTED_VALUE"""),"")</f>
        <v/>
      </c>
      <c r="DM64" s="119" t="str">
        <f ca="1">IFERROR(__xludf.DUMMYFUNCTION("""COMPUTED_VALUE"""),"")</f>
        <v/>
      </c>
      <c r="DN64" s="119" t="str">
        <f ca="1">IFERROR(__xludf.DUMMYFUNCTION("""COMPUTED_VALUE"""),"")</f>
        <v/>
      </c>
      <c r="DO64" s="119" t="str">
        <f ca="1">IFERROR(__xludf.DUMMYFUNCTION("""COMPUTED_VALUE"""),"")</f>
        <v/>
      </c>
      <c r="DP64" s="119" t="str">
        <f ca="1">IFERROR(__xludf.DUMMYFUNCTION("""COMPUTED_VALUE"""),"")</f>
        <v/>
      </c>
      <c r="DQ64" s="119" t="str">
        <f ca="1">IFERROR(__xludf.DUMMYFUNCTION("""COMPUTED_VALUE"""),"")</f>
        <v/>
      </c>
      <c r="DR64" s="119" t="str">
        <f ca="1">IFERROR(__xludf.DUMMYFUNCTION("""COMPUTED_VALUE"""),"")</f>
        <v/>
      </c>
      <c r="DS64" s="119" t="str">
        <f ca="1">IFERROR(__xludf.DUMMYFUNCTION("""COMPUTED_VALUE"""),"")</f>
        <v/>
      </c>
      <c r="DT64" s="119" t="str">
        <f ca="1">IFERROR(__xludf.DUMMYFUNCTION("""COMPUTED_VALUE"""),"")</f>
        <v/>
      </c>
      <c r="DU64" s="119" t="str">
        <f ca="1">IFERROR(__xludf.DUMMYFUNCTION("""COMPUTED_VALUE"""),"")</f>
        <v/>
      </c>
      <c r="DV64" s="119" t="str">
        <f ca="1">IFERROR(__xludf.DUMMYFUNCTION("""COMPUTED_VALUE"""),"")</f>
        <v/>
      </c>
      <c r="DW64" s="119" t="str">
        <f ca="1">IFERROR(__xludf.DUMMYFUNCTION("""COMPUTED_VALUE"""),"")</f>
        <v/>
      </c>
      <c r="DX64" s="119" t="str">
        <f ca="1">IFERROR(__xludf.DUMMYFUNCTION("""COMPUTED_VALUE"""),"")</f>
        <v/>
      </c>
      <c r="DY64" s="119" t="str">
        <f ca="1">IFERROR(__xludf.DUMMYFUNCTION("""COMPUTED_VALUE"""),"")</f>
        <v/>
      </c>
      <c r="DZ64" s="119" t="str">
        <f ca="1">IFERROR(__xludf.DUMMYFUNCTION("""COMPUTED_VALUE"""),"")</f>
        <v/>
      </c>
      <c r="EA64" s="119" t="str">
        <f ca="1">IFERROR(__xludf.DUMMYFUNCTION("""COMPUTED_VALUE"""),"")</f>
        <v/>
      </c>
      <c r="EB64" s="119" t="str">
        <f ca="1">IFERROR(__xludf.DUMMYFUNCTION("""COMPUTED_VALUE"""),"")</f>
        <v/>
      </c>
      <c r="EC64" s="119" t="str">
        <f ca="1">IFERROR(__xludf.DUMMYFUNCTION("""COMPUTED_VALUE"""),"")</f>
        <v/>
      </c>
      <c r="ED64" s="119" t="str">
        <f ca="1">IFERROR(__xludf.DUMMYFUNCTION("""COMPUTED_VALUE"""),"")</f>
        <v/>
      </c>
      <c r="EE64" s="119" t="str">
        <f ca="1">IFERROR(__xludf.DUMMYFUNCTION("""COMPUTED_VALUE"""),"")</f>
        <v/>
      </c>
      <c r="EF64" s="119" t="str">
        <f ca="1">IFERROR(__xludf.DUMMYFUNCTION("""COMPUTED_VALUE"""),"")</f>
        <v/>
      </c>
      <c r="EG64" s="119" t="str">
        <f ca="1">IFERROR(__xludf.DUMMYFUNCTION("""COMPUTED_VALUE"""),"")</f>
        <v/>
      </c>
      <c r="EH64" s="119" t="str">
        <f ca="1">IFERROR(__xludf.DUMMYFUNCTION("""COMPUTED_VALUE"""),"")</f>
        <v/>
      </c>
      <c r="EI64" s="119" t="str">
        <f ca="1">IFERROR(__xludf.DUMMYFUNCTION("""COMPUTED_VALUE"""),"")</f>
        <v/>
      </c>
      <c r="EJ64" s="119" t="str">
        <f ca="1">IFERROR(__xludf.DUMMYFUNCTION("""COMPUTED_VALUE"""),"")</f>
        <v/>
      </c>
      <c r="EK64" s="119" t="str">
        <f ca="1">IFERROR(__xludf.DUMMYFUNCTION("""COMPUTED_VALUE"""),"")</f>
        <v/>
      </c>
      <c r="EL64" s="119" t="str">
        <f ca="1">IFERROR(__xludf.DUMMYFUNCTION("""COMPUTED_VALUE"""),"")</f>
        <v/>
      </c>
      <c r="EM64" s="119" t="str">
        <f ca="1">IFERROR(__xludf.DUMMYFUNCTION("""COMPUTED_VALUE"""),"")</f>
        <v/>
      </c>
      <c r="EN64" s="119" t="str">
        <f ca="1">IFERROR(__xludf.DUMMYFUNCTION("""COMPUTED_VALUE"""),"")</f>
        <v/>
      </c>
      <c r="EO64" s="119" t="str">
        <f ca="1">IFERROR(__xludf.DUMMYFUNCTION("""COMPUTED_VALUE"""),"")</f>
        <v/>
      </c>
      <c r="EP64" s="119" t="str">
        <f ca="1">IFERROR(__xludf.DUMMYFUNCTION("""COMPUTED_VALUE"""),"")</f>
        <v/>
      </c>
      <c r="EQ64" s="119" t="str">
        <f ca="1">IFERROR(__xludf.DUMMYFUNCTION("""COMPUTED_VALUE"""),"")</f>
        <v/>
      </c>
      <c r="ER64" s="119" t="str">
        <f ca="1">IFERROR(__xludf.DUMMYFUNCTION("""COMPUTED_VALUE"""),"")</f>
        <v/>
      </c>
      <c r="ES64" s="119" t="str">
        <f ca="1">IFERROR(__xludf.DUMMYFUNCTION("""COMPUTED_VALUE"""),"")</f>
        <v/>
      </c>
      <c r="ET64" s="119" t="str">
        <f ca="1">IFERROR(__xludf.DUMMYFUNCTION("""COMPUTED_VALUE"""),"")</f>
        <v/>
      </c>
      <c r="EU64" s="119" t="str">
        <f ca="1">IFERROR(__xludf.DUMMYFUNCTION("""COMPUTED_VALUE"""),"")</f>
        <v/>
      </c>
      <c r="EV64" s="119" t="str">
        <f ca="1">IFERROR(__xludf.DUMMYFUNCTION("""COMPUTED_VALUE"""),"")</f>
        <v/>
      </c>
      <c r="EW64" s="119" t="str">
        <f ca="1">IFERROR(__xludf.DUMMYFUNCTION("""COMPUTED_VALUE"""),"")</f>
        <v/>
      </c>
      <c r="EX64" s="117" t="str">
        <f ca="1">IFERROR(__xludf.DUMMYFUNCTION("""COMPUTED_VALUE"""),"")</f>
        <v/>
      </c>
      <c r="EY64" s="117" t="str">
        <f ca="1">IFERROR(__xludf.DUMMYFUNCTION("""COMPUTED_VALUE"""),"")</f>
        <v/>
      </c>
      <c r="EZ64" s="117" t="str">
        <f ca="1">IFERROR(__xludf.DUMMYFUNCTION("""COMPUTED_VALUE"""),"")</f>
        <v/>
      </c>
      <c r="FA64" s="117" t="str">
        <f ca="1">IFERROR(__xludf.DUMMYFUNCTION("""COMPUTED_VALUE"""),"")</f>
        <v/>
      </c>
      <c r="FB64" s="117" t="str">
        <f ca="1">IFERROR(__xludf.DUMMYFUNCTION("""COMPUTED_VALUE"""),"")</f>
        <v/>
      </c>
      <c r="FC64" s="117" t="str">
        <f ca="1">IFERROR(__xludf.DUMMYFUNCTION("""COMPUTED_VALUE"""),"")</f>
        <v/>
      </c>
      <c r="FD64" s="117" t="str">
        <f ca="1">IFERROR(__xludf.DUMMYFUNCTION("""COMPUTED_VALUE"""),"")</f>
        <v/>
      </c>
      <c r="FE64" s="117" t="str">
        <f ca="1">IFERROR(__xludf.DUMMYFUNCTION("""COMPUTED_VALUE"""),"")</f>
        <v/>
      </c>
      <c r="FF64" s="117" t="str">
        <f ca="1">IFERROR(__xludf.DUMMYFUNCTION("""COMPUTED_VALUE"""),"")</f>
        <v/>
      </c>
      <c r="FG64" s="117" t="str">
        <f ca="1">IFERROR(__xludf.DUMMYFUNCTION("""COMPUTED_VALUE"""),"")</f>
        <v/>
      </c>
      <c r="FH64" s="117" t="str">
        <f ca="1">IFERROR(__xludf.DUMMYFUNCTION("""COMPUTED_VALUE"""),"")</f>
        <v/>
      </c>
      <c r="FI64" s="117" t="str">
        <f ca="1">IFERROR(__xludf.DUMMYFUNCTION("""COMPUTED_VALUE"""),"")</f>
        <v/>
      </c>
      <c r="FJ64" s="117" t="str">
        <f ca="1">IFERROR(__xludf.DUMMYFUNCTION("""COMPUTED_VALUE"""),"")</f>
        <v/>
      </c>
      <c r="FK64" s="117" t="str">
        <f ca="1">IFERROR(__xludf.DUMMYFUNCTION("""COMPUTED_VALUE"""),"")</f>
        <v/>
      </c>
      <c r="FL64" s="117" t="str">
        <f ca="1">IFERROR(__xludf.DUMMYFUNCTION("""COMPUTED_VALUE"""),"")</f>
        <v/>
      </c>
      <c r="FM64" s="117" t="str">
        <f ca="1">IFERROR(__xludf.DUMMYFUNCTION("""COMPUTED_VALUE"""),"")</f>
        <v/>
      </c>
      <c r="FN64" s="117" t="str">
        <f ca="1">IFERROR(__xludf.DUMMYFUNCTION("""COMPUTED_VALUE"""),"")</f>
        <v/>
      </c>
      <c r="FO64" s="117" t="str">
        <f ca="1">IFERROR(__xludf.DUMMYFUNCTION("""COMPUTED_VALUE"""),"")</f>
        <v/>
      </c>
    </row>
    <row r="65" spans="1:171" ht="15.75" customHeight="1" x14ac:dyDescent="0.15">
      <c r="A65" s="115" t="str">
        <f ca="1">IFERROR(__xludf.DUMMYFUNCTION("""COMPUTED_VALUE"""),"")</f>
        <v/>
      </c>
      <c r="B65" s="119" t="str">
        <f ca="1">IFERROR(__xludf.DUMMYFUNCTION("""COMPUTED_VALUE"""),"")</f>
        <v/>
      </c>
      <c r="C65" s="119" t="str">
        <f ca="1">IFERROR(__xludf.DUMMYFUNCTION("""COMPUTED_VALUE"""),"")</f>
        <v/>
      </c>
      <c r="D65" s="119" t="str">
        <f ca="1">IFERROR(__xludf.DUMMYFUNCTION("""COMPUTED_VALUE"""),"")</f>
        <v/>
      </c>
      <c r="E65" s="119" t="str">
        <f ca="1">IFERROR(__xludf.DUMMYFUNCTION("""COMPUTED_VALUE"""),"")</f>
        <v/>
      </c>
      <c r="F65" s="119" t="str">
        <f ca="1">IFERROR(__xludf.DUMMYFUNCTION("""COMPUTED_VALUE"""),"")</f>
        <v/>
      </c>
      <c r="G65" s="119" t="str">
        <f ca="1">IFERROR(__xludf.DUMMYFUNCTION("""COMPUTED_VALUE"""),"")</f>
        <v/>
      </c>
      <c r="H65" s="119" t="str">
        <f ca="1">IFERROR(__xludf.DUMMYFUNCTION("""COMPUTED_VALUE"""),"")</f>
        <v/>
      </c>
      <c r="I65" s="119" t="str">
        <f ca="1">IFERROR(__xludf.DUMMYFUNCTION("""COMPUTED_VALUE"""),"")</f>
        <v/>
      </c>
      <c r="J65" s="119" t="str">
        <f ca="1">IFERROR(__xludf.DUMMYFUNCTION("""COMPUTED_VALUE"""),"")</f>
        <v/>
      </c>
      <c r="K65" s="119" t="str">
        <f ca="1">IFERROR(__xludf.DUMMYFUNCTION("""COMPUTED_VALUE"""),"")</f>
        <v/>
      </c>
      <c r="L65" s="119" t="str">
        <f ca="1">IFERROR(__xludf.DUMMYFUNCTION("""COMPUTED_VALUE"""),"")</f>
        <v/>
      </c>
      <c r="M65" s="119" t="str">
        <f ca="1">IFERROR(__xludf.DUMMYFUNCTION("""COMPUTED_VALUE"""),"")</f>
        <v/>
      </c>
      <c r="N65" s="119" t="str">
        <f ca="1">IFERROR(__xludf.DUMMYFUNCTION("""COMPUTED_VALUE"""),"")</f>
        <v/>
      </c>
      <c r="O65" s="119" t="str">
        <f ca="1">IFERROR(__xludf.DUMMYFUNCTION("""COMPUTED_VALUE"""),"")</f>
        <v/>
      </c>
      <c r="P65" s="119" t="str">
        <f ca="1">IFERROR(__xludf.DUMMYFUNCTION("""COMPUTED_VALUE"""),"")</f>
        <v/>
      </c>
      <c r="Q65" s="119" t="str">
        <f ca="1">IFERROR(__xludf.DUMMYFUNCTION("""COMPUTED_VALUE"""),"")</f>
        <v/>
      </c>
      <c r="R65" s="119" t="str">
        <f ca="1">IFERROR(__xludf.DUMMYFUNCTION("""COMPUTED_VALUE"""),"")</f>
        <v/>
      </c>
      <c r="S65" s="119" t="str">
        <f ca="1">IFERROR(__xludf.DUMMYFUNCTION("""COMPUTED_VALUE"""),"")</f>
        <v/>
      </c>
      <c r="T65" s="119" t="str">
        <f ca="1">IFERROR(__xludf.DUMMYFUNCTION("""COMPUTED_VALUE"""),"")</f>
        <v/>
      </c>
      <c r="U65" s="119" t="str">
        <f ca="1">IFERROR(__xludf.DUMMYFUNCTION("""COMPUTED_VALUE"""),"")</f>
        <v/>
      </c>
      <c r="V65" s="119" t="str">
        <f ca="1">IFERROR(__xludf.DUMMYFUNCTION("""COMPUTED_VALUE"""),"")</f>
        <v/>
      </c>
      <c r="W65" s="119" t="str">
        <f ca="1">IFERROR(__xludf.DUMMYFUNCTION("""COMPUTED_VALUE"""),"")</f>
        <v/>
      </c>
      <c r="X65" s="119" t="str">
        <f ca="1">IFERROR(__xludf.DUMMYFUNCTION("""COMPUTED_VALUE"""),"")</f>
        <v/>
      </c>
      <c r="Y65" s="119" t="str">
        <f ca="1">IFERROR(__xludf.DUMMYFUNCTION("""COMPUTED_VALUE"""),"")</f>
        <v/>
      </c>
      <c r="Z65" s="119" t="str">
        <f ca="1">IFERROR(__xludf.DUMMYFUNCTION("""COMPUTED_VALUE"""),"")</f>
        <v/>
      </c>
      <c r="AA65" s="119" t="str">
        <f ca="1">IFERROR(__xludf.DUMMYFUNCTION("""COMPUTED_VALUE"""),"")</f>
        <v/>
      </c>
      <c r="AB65" s="119" t="str">
        <f ca="1">IFERROR(__xludf.DUMMYFUNCTION("""COMPUTED_VALUE"""),"")</f>
        <v/>
      </c>
      <c r="AC65" s="119" t="str">
        <f ca="1">IFERROR(__xludf.DUMMYFUNCTION("""COMPUTED_VALUE"""),"")</f>
        <v/>
      </c>
      <c r="AD65" s="119" t="str">
        <f ca="1">IFERROR(__xludf.DUMMYFUNCTION("""COMPUTED_VALUE"""),"")</f>
        <v/>
      </c>
      <c r="AE65" s="119" t="str">
        <f ca="1">IFERROR(__xludf.DUMMYFUNCTION("""COMPUTED_VALUE"""),"")</f>
        <v/>
      </c>
      <c r="AF65" s="119" t="str">
        <f ca="1">IFERROR(__xludf.DUMMYFUNCTION("""COMPUTED_VALUE"""),"")</f>
        <v/>
      </c>
      <c r="AG65" s="119" t="str">
        <f ca="1">IFERROR(__xludf.DUMMYFUNCTION("""COMPUTED_VALUE"""),"")</f>
        <v/>
      </c>
      <c r="AH65" s="119" t="str">
        <f ca="1">IFERROR(__xludf.DUMMYFUNCTION("""COMPUTED_VALUE"""),"")</f>
        <v/>
      </c>
      <c r="AI65" s="119" t="str">
        <f ca="1">IFERROR(__xludf.DUMMYFUNCTION("""COMPUTED_VALUE"""),"")</f>
        <v/>
      </c>
      <c r="AJ65" s="119" t="str">
        <f ca="1">IFERROR(__xludf.DUMMYFUNCTION("""COMPUTED_VALUE"""),"")</f>
        <v/>
      </c>
      <c r="AK65" s="119" t="str">
        <f ca="1">IFERROR(__xludf.DUMMYFUNCTION("""COMPUTED_VALUE"""),"")</f>
        <v/>
      </c>
      <c r="AL65" s="119" t="str">
        <f ca="1">IFERROR(__xludf.DUMMYFUNCTION("""COMPUTED_VALUE"""),"")</f>
        <v/>
      </c>
      <c r="AM65" s="119" t="str">
        <f ca="1">IFERROR(__xludf.DUMMYFUNCTION("""COMPUTED_VALUE"""),"")</f>
        <v/>
      </c>
      <c r="AN65" s="119" t="str">
        <f ca="1">IFERROR(__xludf.DUMMYFUNCTION("""COMPUTED_VALUE"""),"")</f>
        <v/>
      </c>
      <c r="AO65" s="119" t="str">
        <f ca="1">IFERROR(__xludf.DUMMYFUNCTION("""COMPUTED_VALUE"""),"")</f>
        <v/>
      </c>
      <c r="AP65" s="119" t="str">
        <f ca="1">IFERROR(__xludf.DUMMYFUNCTION("""COMPUTED_VALUE"""),"")</f>
        <v/>
      </c>
      <c r="AQ65" s="119" t="str">
        <f ca="1">IFERROR(__xludf.DUMMYFUNCTION("""COMPUTED_VALUE"""),"")</f>
        <v/>
      </c>
      <c r="AR65" s="118" t="str">
        <f ca="1">IFERROR(__xludf.DUMMYFUNCTION("""COMPUTED_VALUE"""),"")</f>
        <v/>
      </c>
      <c r="AS65" s="119" t="str">
        <f ca="1">IFERROR(__xludf.DUMMYFUNCTION("""COMPUTED_VALUE"""),"")</f>
        <v/>
      </c>
      <c r="AT65" s="119" t="str">
        <f ca="1">IFERROR(__xludf.DUMMYFUNCTION("""COMPUTED_VALUE"""),"")</f>
        <v/>
      </c>
      <c r="AU65" s="119" t="str">
        <f ca="1">IFERROR(__xludf.DUMMYFUNCTION("""COMPUTED_VALUE"""),"")</f>
        <v/>
      </c>
      <c r="AV65" s="119" t="str">
        <f ca="1">IFERROR(__xludf.DUMMYFUNCTION("""COMPUTED_VALUE"""),"")</f>
        <v/>
      </c>
      <c r="AW65" s="119" t="str">
        <f ca="1">IFERROR(__xludf.DUMMYFUNCTION("""COMPUTED_VALUE"""),"")</f>
        <v/>
      </c>
      <c r="AX65" s="119" t="str">
        <f ca="1">IFERROR(__xludf.DUMMYFUNCTION("""COMPUTED_VALUE"""),"")</f>
        <v/>
      </c>
      <c r="AY65" s="119" t="str">
        <f ca="1">IFERROR(__xludf.DUMMYFUNCTION("""COMPUTED_VALUE"""),"")</f>
        <v/>
      </c>
      <c r="AZ65" s="119" t="str">
        <f ca="1">IFERROR(__xludf.DUMMYFUNCTION("""COMPUTED_VALUE"""),"")</f>
        <v/>
      </c>
      <c r="BA65" s="119" t="str">
        <f ca="1">IFERROR(__xludf.DUMMYFUNCTION("""COMPUTED_VALUE"""),"")</f>
        <v/>
      </c>
      <c r="BB65" s="119" t="str">
        <f ca="1">IFERROR(__xludf.DUMMYFUNCTION("""COMPUTED_VALUE"""),"")</f>
        <v/>
      </c>
      <c r="BC65" s="119" t="str">
        <f ca="1">IFERROR(__xludf.DUMMYFUNCTION("""COMPUTED_VALUE"""),"")</f>
        <v/>
      </c>
      <c r="BD65" s="119" t="str">
        <f ca="1">IFERROR(__xludf.DUMMYFUNCTION("""COMPUTED_VALUE"""),"")</f>
        <v/>
      </c>
      <c r="BE65" s="119" t="str">
        <f ca="1">IFERROR(__xludf.DUMMYFUNCTION("""COMPUTED_VALUE"""),"")</f>
        <v/>
      </c>
      <c r="BF65" s="119" t="str">
        <f ca="1">IFERROR(__xludf.DUMMYFUNCTION("""COMPUTED_VALUE"""),"")</f>
        <v/>
      </c>
      <c r="BG65" s="119" t="str">
        <f ca="1">IFERROR(__xludf.DUMMYFUNCTION("""COMPUTED_VALUE"""),"")</f>
        <v/>
      </c>
      <c r="BH65" s="119" t="str">
        <f ca="1">IFERROR(__xludf.DUMMYFUNCTION("""COMPUTED_VALUE"""),"")</f>
        <v/>
      </c>
      <c r="BI65" s="119" t="str">
        <f ca="1">IFERROR(__xludf.DUMMYFUNCTION("""COMPUTED_VALUE"""),"")</f>
        <v/>
      </c>
      <c r="BJ65" s="119" t="str">
        <f ca="1">IFERROR(__xludf.DUMMYFUNCTION("""COMPUTED_VALUE"""),"")</f>
        <v/>
      </c>
      <c r="BK65" s="119" t="str">
        <f ca="1">IFERROR(__xludf.DUMMYFUNCTION("""COMPUTED_VALUE"""),"")</f>
        <v/>
      </c>
      <c r="BL65" s="119" t="str">
        <f ca="1">IFERROR(__xludf.DUMMYFUNCTION("""COMPUTED_VALUE"""),"")</f>
        <v/>
      </c>
      <c r="BM65" s="119" t="str">
        <f ca="1">IFERROR(__xludf.DUMMYFUNCTION("""COMPUTED_VALUE"""),"")</f>
        <v/>
      </c>
      <c r="BN65" s="119" t="str">
        <f ca="1">IFERROR(__xludf.DUMMYFUNCTION("""COMPUTED_VALUE"""),"")</f>
        <v/>
      </c>
      <c r="BO65" s="119" t="str">
        <f ca="1">IFERROR(__xludf.DUMMYFUNCTION("""COMPUTED_VALUE"""),"")</f>
        <v/>
      </c>
      <c r="BP65" s="119" t="str">
        <f ca="1">IFERROR(__xludf.DUMMYFUNCTION("""COMPUTED_VALUE"""),"")</f>
        <v/>
      </c>
      <c r="BQ65" s="119" t="str">
        <f ca="1">IFERROR(__xludf.DUMMYFUNCTION("""COMPUTED_VALUE"""),"")</f>
        <v/>
      </c>
      <c r="BR65" s="119" t="str">
        <f ca="1">IFERROR(__xludf.DUMMYFUNCTION("""COMPUTED_VALUE"""),"")</f>
        <v/>
      </c>
      <c r="BS65" s="119" t="str">
        <f ca="1">IFERROR(__xludf.DUMMYFUNCTION("""COMPUTED_VALUE"""),"")</f>
        <v/>
      </c>
      <c r="BT65" s="119" t="str">
        <f ca="1">IFERROR(__xludf.DUMMYFUNCTION("""COMPUTED_VALUE"""),"")</f>
        <v/>
      </c>
      <c r="BU65" s="119" t="str">
        <f ca="1">IFERROR(__xludf.DUMMYFUNCTION("""COMPUTED_VALUE"""),"")</f>
        <v/>
      </c>
      <c r="BV65" s="119" t="str">
        <f ca="1">IFERROR(__xludf.DUMMYFUNCTION("""COMPUTED_VALUE"""),"")</f>
        <v/>
      </c>
      <c r="BW65" s="119" t="str">
        <f ca="1">IFERROR(__xludf.DUMMYFUNCTION("""COMPUTED_VALUE"""),"")</f>
        <v/>
      </c>
      <c r="BX65" s="119" t="str">
        <f ca="1">IFERROR(__xludf.DUMMYFUNCTION("""COMPUTED_VALUE"""),"")</f>
        <v/>
      </c>
      <c r="BY65" s="119" t="str">
        <f ca="1">IFERROR(__xludf.DUMMYFUNCTION("""COMPUTED_VALUE"""),"")</f>
        <v/>
      </c>
      <c r="BZ65" s="119" t="str">
        <f ca="1">IFERROR(__xludf.DUMMYFUNCTION("""COMPUTED_VALUE"""),"")</f>
        <v/>
      </c>
      <c r="CA65" s="119" t="str">
        <f ca="1">IFERROR(__xludf.DUMMYFUNCTION("""COMPUTED_VALUE"""),"")</f>
        <v/>
      </c>
      <c r="CB65" s="119" t="str">
        <f ca="1">IFERROR(__xludf.DUMMYFUNCTION("""COMPUTED_VALUE"""),"")</f>
        <v/>
      </c>
      <c r="CC65" s="119" t="str">
        <f ca="1">IFERROR(__xludf.DUMMYFUNCTION("""COMPUTED_VALUE"""),"")</f>
        <v/>
      </c>
      <c r="CD65" s="119" t="str">
        <f ca="1">IFERROR(__xludf.DUMMYFUNCTION("""COMPUTED_VALUE"""),"")</f>
        <v/>
      </c>
      <c r="CE65" s="119" t="str">
        <f ca="1">IFERROR(__xludf.DUMMYFUNCTION("""COMPUTED_VALUE"""),"")</f>
        <v/>
      </c>
      <c r="CF65" s="119" t="str">
        <f ca="1">IFERROR(__xludf.DUMMYFUNCTION("""COMPUTED_VALUE"""),"")</f>
        <v/>
      </c>
      <c r="CG65" s="119" t="str">
        <f ca="1">IFERROR(__xludf.DUMMYFUNCTION("""COMPUTED_VALUE"""),"")</f>
        <v/>
      </c>
      <c r="CH65" s="119" t="str">
        <f ca="1">IFERROR(__xludf.DUMMYFUNCTION("""COMPUTED_VALUE"""),"")</f>
        <v/>
      </c>
      <c r="CI65" s="119" t="str">
        <f ca="1">IFERROR(__xludf.DUMMYFUNCTION("""COMPUTED_VALUE"""),"")</f>
        <v/>
      </c>
      <c r="CJ65" s="119" t="str">
        <f ca="1">IFERROR(__xludf.DUMMYFUNCTION("""COMPUTED_VALUE"""),"")</f>
        <v/>
      </c>
      <c r="CK65" s="119" t="str">
        <f ca="1">IFERROR(__xludf.DUMMYFUNCTION("""COMPUTED_VALUE"""),"")</f>
        <v/>
      </c>
      <c r="CL65" s="119" t="str">
        <f ca="1">IFERROR(__xludf.DUMMYFUNCTION("""COMPUTED_VALUE"""),"")</f>
        <v/>
      </c>
      <c r="CM65" s="119" t="str">
        <f ca="1">IFERROR(__xludf.DUMMYFUNCTION("""COMPUTED_VALUE"""),"")</f>
        <v/>
      </c>
      <c r="CN65" s="119" t="str">
        <f ca="1">IFERROR(__xludf.DUMMYFUNCTION("""COMPUTED_VALUE"""),"")</f>
        <v/>
      </c>
      <c r="CO65" s="119" t="str">
        <f ca="1">IFERROR(__xludf.DUMMYFUNCTION("""COMPUTED_VALUE"""),"")</f>
        <v/>
      </c>
      <c r="CP65" s="119" t="str">
        <f ca="1">IFERROR(__xludf.DUMMYFUNCTION("""COMPUTED_VALUE"""),"")</f>
        <v/>
      </c>
      <c r="CQ65" s="119" t="str">
        <f ca="1">IFERROR(__xludf.DUMMYFUNCTION("""COMPUTED_VALUE"""),"")</f>
        <v/>
      </c>
      <c r="CR65" s="119" t="str">
        <f ca="1">IFERROR(__xludf.DUMMYFUNCTION("""COMPUTED_VALUE"""),"")</f>
        <v/>
      </c>
      <c r="CS65" s="119" t="str">
        <f ca="1">IFERROR(__xludf.DUMMYFUNCTION("""COMPUTED_VALUE"""),"")</f>
        <v/>
      </c>
      <c r="CT65" s="119" t="str">
        <f ca="1">IFERROR(__xludf.DUMMYFUNCTION("""COMPUTED_VALUE"""),"")</f>
        <v/>
      </c>
      <c r="CU65" s="119" t="str">
        <f ca="1">IFERROR(__xludf.DUMMYFUNCTION("""COMPUTED_VALUE"""),"")</f>
        <v/>
      </c>
      <c r="CV65" s="119" t="str">
        <f ca="1">IFERROR(__xludf.DUMMYFUNCTION("""COMPUTED_VALUE"""),"")</f>
        <v/>
      </c>
      <c r="CW65" s="119" t="str">
        <f ca="1">IFERROR(__xludf.DUMMYFUNCTION("""COMPUTED_VALUE"""),"")</f>
        <v/>
      </c>
      <c r="CX65" s="119" t="str">
        <f ca="1">IFERROR(__xludf.DUMMYFUNCTION("""COMPUTED_VALUE"""),"")</f>
        <v/>
      </c>
      <c r="CY65" s="119" t="str">
        <f ca="1">IFERROR(__xludf.DUMMYFUNCTION("""COMPUTED_VALUE"""),"")</f>
        <v/>
      </c>
      <c r="CZ65" s="119" t="str">
        <f ca="1">IFERROR(__xludf.DUMMYFUNCTION("""COMPUTED_VALUE"""),"")</f>
        <v/>
      </c>
      <c r="DA65" s="119" t="str">
        <f ca="1">IFERROR(__xludf.DUMMYFUNCTION("""COMPUTED_VALUE"""),"")</f>
        <v/>
      </c>
      <c r="DB65" s="119" t="str">
        <f ca="1">IFERROR(__xludf.DUMMYFUNCTION("""COMPUTED_VALUE"""),"")</f>
        <v/>
      </c>
      <c r="DC65" s="119" t="str">
        <f ca="1">IFERROR(__xludf.DUMMYFUNCTION("""COMPUTED_VALUE"""),"")</f>
        <v/>
      </c>
      <c r="DD65" s="119" t="str">
        <f ca="1">IFERROR(__xludf.DUMMYFUNCTION("""COMPUTED_VALUE"""),"")</f>
        <v/>
      </c>
      <c r="DE65" s="119" t="str">
        <f ca="1">IFERROR(__xludf.DUMMYFUNCTION("""COMPUTED_VALUE"""),"")</f>
        <v/>
      </c>
      <c r="DF65" s="119" t="str">
        <f ca="1">IFERROR(__xludf.DUMMYFUNCTION("""COMPUTED_VALUE"""),"")</f>
        <v/>
      </c>
      <c r="DG65" s="119" t="str">
        <f ca="1">IFERROR(__xludf.DUMMYFUNCTION("""COMPUTED_VALUE"""),"")</f>
        <v/>
      </c>
      <c r="DH65" s="119" t="str">
        <f ca="1">IFERROR(__xludf.DUMMYFUNCTION("""COMPUTED_VALUE"""),"")</f>
        <v/>
      </c>
      <c r="DI65" s="119" t="str">
        <f ca="1">IFERROR(__xludf.DUMMYFUNCTION("""COMPUTED_VALUE"""),"")</f>
        <v/>
      </c>
      <c r="DJ65" s="119" t="str">
        <f ca="1">IFERROR(__xludf.DUMMYFUNCTION("""COMPUTED_VALUE"""),"")</f>
        <v/>
      </c>
      <c r="DK65" s="119" t="str">
        <f ca="1">IFERROR(__xludf.DUMMYFUNCTION("""COMPUTED_VALUE"""),"")</f>
        <v/>
      </c>
      <c r="DL65" s="119" t="str">
        <f ca="1">IFERROR(__xludf.DUMMYFUNCTION("""COMPUTED_VALUE"""),"")</f>
        <v/>
      </c>
      <c r="DM65" s="119" t="str">
        <f ca="1">IFERROR(__xludf.DUMMYFUNCTION("""COMPUTED_VALUE"""),"")</f>
        <v/>
      </c>
      <c r="DN65" s="119" t="str">
        <f ca="1">IFERROR(__xludf.DUMMYFUNCTION("""COMPUTED_VALUE"""),"")</f>
        <v/>
      </c>
      <c r="DO65" s="119" t="str">
        <f ca="1">IFERROR(__xludf.DUMMYFUNCTION("""COMPUTED_VALUE"""),"")</f>
        <v/>
      </c>
      <c r="DP65" s="119" t="str">
        <f ca="1">IFERROR(__xludf.DUMMYFUNCTION("""COMPUTED_VALUE"""),"")</f>
        <v/>
      </c>
      <c r="DQ65" s="119" t="str">
        <f ca="1">IFERROR(__xludf.DUMMYFUNCTION("""COMPUTED_VALUE"""),"")</f>
        <v/>
      </c>
      <c r="DR65" s="119" t="str">
        <f ca="1">IFERROR(__xludf.DUMMYFUNCTION("""COMPUTED_VALUE"""),"")</f>
        <v/>
      </c>
      <c r="DS65" s="119" t="str">
        <f ca="1">IFERROR(__xludf.DUMMYFUNCTION("""COMPUTED_VALUE"""),"")</f>
        <v/>
      </c>
      <c r="DT65" s="119" t="str">
        <f ca="1">IFERROR(__xludf.DUMMYFUNCTION("""COMPUTED_VALUE"""),"")</f>
        <v/>
      </c>
      <c r="DU65" s="119" t="str">
        <f ca="1">IFERROR(__xludf.DUMMYFUNCTION("""COMPUTED_VALUE"""),"")</f>
        <v/>
      </c>
      <c r="DV65" s="119" t="str">
        <f ca="1">IFERROR(__xludf.DUMMYFUNCTION("""COMPUTED_VALUE"""),"")</f>
        <v/>
      </c>
      <c r="DW65" s="119" t="str">
        <f ca="1">IFERROR(__xludf.DUMMYFUNCTION("""COMPUTED_VALUE"""),"")</f>
        <v/>
      </c>
      <c r="DX65" s="119" t="str">
        <f ca="1">IFERROR(__xludf.DUMMYFUNCTION("""COMPUTED_VALUE"""),"")</f>
        <v/>
      </c>
      <c r="DY65" s="119" t="str">
        <f ca="1">IFERROR(__xludf.DUMMYFUNCTION("""COMPUTED_VALUE"""),"")</f>
        <v/>
      </c>
      <c r="DZ65" s="119" t="str">
        <f ca="1">IFERROR(__xludf.DUMMYFUNCTION("""COMPUTED_VALUE"""),"")</f>
        <v/>
      </c>
      <c r="EA65" s="119" t="str">
        <f ca="1">IFERROR(__xludf.DUMMYFUNCTION("""COMPUTED_VALUE"""),"")</f>
        <v/>
      </c>
      <c r="EB65" s="119" t="str">
        <f ca="1">IFERROR(__xludf.DUMMYFUNCTION("""COMPUTED_VALUE"""),"")</f>
        <v/>
      </c>
      <c r="EC65" s="119" t="str">
        <f ca="1">IFERROR(__xludf.DUMMYFUNCTION("""COMPUTED_VALUE"""),"")</f>
        <v/>
      </c>
      <c r="ED65" s="119" t="str">
        <f ca="1">IFERROR(__xludf.DUMMYFUNCTION("""COMPUTED_VALUE"""),"")</f>
        <v/>
      </c>
      <c r="EE65" s="119" t="str">
        <f ca="1">IFERROR(__xludf.DUMMYFUNCTION("""COMPUTED_VALUE"""),"")</f>
        <v/>
      </c>
      <c r="EF65" s="119" t="str">
        <f ca="1">IFERROR(__xludf.DUMMYFUNCTION("""COMPUTED_VALUE"""),"")</f>
        <v/>
      </c>
      <c r="EG65" s="119" t="str">
        <f ca="1">IFERROR(__xludf.DUMMYFUNCTION("""COMPUTED_VALUE"""),"")</f>
        <v/>
      </c>
      <c r="EH65" s="119" t="str">
        <f ca="1">IFERROR(__xludf.DUMMYFUNCTION("""COMPUTED_VALUE"""),"")</f>
        <v/>
      </c>
      <c r="EI65" s="119" t="str">
        <f ca="1">IFERROR(__xludf.DUMMYFUNCTION("""COMPUTED_VALUE"""),"")</f>
        <v/>
      </c>
      <c r="EJ65" s="119" t="str">
        <f ca="1">IFERROR(__xludf.DUMMYFUNCTION("""COMPUTED_VALUE"""),"")</f>
        <v/>
      </c>
      <c r="EK65" s="119" t="str">
        <f ca="1">IFERROR(__xludf.DUMMYFUNCTION("""COMPUTED_VALUE"""),"")</f>
        <v/>
      </c>
      <c r="EL65" s="119" t="str">
        <f ca="1">IFERROR(__xludf.DUMMYFUNCTION("""COMPUTED_VALUE"""),"")</f>
        <v/>
      </c>
      <c r="EM65" s="119" t="str">
        <f ca="1">IFERROR(__xludf.DUMMYFUNCTION("""COMPUTED_VALUE"""),"")</f>
        <v/>
      </c>
      <c r="EN65" s="119" t="str">
        <f ca="1">IFERROR(__xludf.DUMMYFUNCTION("""COMPUTED_VALUE"""),"")</f>
        <v/>
      </c>
      <c r="EO65" s="119" t="str">
        <f ca="1">IFERROR(__xludf.DUMMYFUNCTION("""COMPUTED_VALUE"""),"")</f>
        <v/>
      </c>
      <c r="EP65" s="119" t="str">
        <f ca="1">IFERROR(__xludf.DUMMYFUNCTION("""COMPUTED_VALUE"""),"")</f>
        <v/>
      </c>
      <c r="EQ65" s="119" t="str">
        <f ca="1">IFERROR(__xludf.DUMMYFUNCTION("""COMPUTED_VALUE"""),"")</f>
        <v/>
      </c>
      <c r="ER65" s="119" t="str">
        <f ca="1">IFERROR(__xludf.DUMMYFUNCTION("""COMPUTED_VALUE"""),"")</f>
        <v/>
      </c>
      <c r="ES65" s="119" t="str">
        <f ca="1">IFERROR(__xludf.DUMMYFUNCTION("""COMPUTED_VALUE"""),"")</f>
        <v/>
      </c>
      <c r="ET65" s="119" t="str">
        <f ca="1">IFERROR(__xludf.DUMMYFUNCTION("""COMPUTED_VALUE"""),"")</f>
        <v/>
      </c>
      <c r="EU65" s="119" t="str">
        <f ca="1">IFERROR(__xludf.DUMMYFUNCTION("""COMPUTED_VALUE"""),"")</f>
        <v/>
      </c>
      <c r="EV65" s="119" t="str">
        <f ca="1">IFERROR(__xludf.DUMMYFUNCTION("""COMPUTED_VALUE"""),"")</f>
        <v/>
      </c>
      <c r="EW65" s="119" t="str">
        <f ca="1">IFERROR(__xludf.DUMMYFUNCTION("""COMPUTED_VALUE"""),"")</f>
        <v/>
      </c>
      <c r="EX65" s="117" t="str">
        <f ca="1">IFERROR(__xludf.DUMMYFUNCTION("""COMPUTED_VALUE"""),"")</f>
        <v/>
      </c>
      <c r="EY65" s="117" t="str">
        <f ca="1">IFERROR(__xludf.DUMMYFUNCTION("""COMPUTED_VALUE"""),"")</f>
        <v/>
      </c>
      <c r="EZ65" s="117" t="str">
        <f ca="1">IFERROR(__xludf.DUMMYFUNCTION("""COMPUTED_VALUE"""),"")</f>
        <v/>
      </c>
      <c r="FA65" s="117" t="str">
        <f ca="1">IFERROR(__xludf.DUMMYFUNCTION("""COMPUTED_VALUE"""),"")</f>
        <v/>
      </c>
      <c r="FB65" s="117" t="str">
        <f ca="1">IFERROR(__xludf.DUMMYFUNCTION("""COMPUTED_VALUE"""),"")</f>
        <v/>
      </c>
      <c r="FC65" s="117" t="str">
        <f ca="1">IFERROR(__xludf.DUMMYFUNCTION("""COMPUTED_VALUE"""),"")</f>
        <v/>
      </c>
      <c r="FD65" s="117" t="str">
        <f ca="1">IFERROR(__xludf.DUMMYFUNCTION("""COMPUTED_VALUE"""),"")</f>
        <v/>
      </c>
      <c r="FE65" s="117" t="str">
        <f ca="1">IFERROR(__xludf.DUMMYFUNCTION("""COMPUTED_VALUE"""),"")</f>
        <v/>
      </c>
      <c r="FF65" s="117" t="str">
        <f ca="1">IFERROR(__xludf.DUMMYFUNCTION("""COMPUTED_VALUE"""),"")</f>
        <v/>
      </c>
      <c r="FG65" s="117" t="str">
        <f ca="1">IFERROR(__xludf.DUMMYFUNCTION("""COMPUTED_VALUE"""),"")</f>
        <v/>
      </c>
      <c r="FH65" s="117" t="str">
        <f ca="1">IFERROR(__xludf.DUMMYFUNCTION("""COMPUTED_VALUE"""),"")</f>
        <v/>
      </c>
      <c r="FI65" s="117" t="str">
        <f ca="1">IFERROR(__xludf.DUMMYFUNCTION("""COMPUTED_VALUE"""),"")</f>
        <v/>
      </c>
      <c r="FJ65" s="117" t="str">
        <f ca="1">IFERROR(__xludf.DUMMYFUNCTION("""COMPUTED_VALUE"""),"")</f>
        <v/>
      </c>
      <c r="FK65" s="117" t="str">
        <f ca="1">IFERROR(__xludf.DUMMYFUNCTION("""COMPUTED_VALUE"""),"")</f>
        <v/>
      </c>
      <c r="FL65" s="117" t="str">
        <f ca="1">IFERROR(__xludf.DUMMYFUNCTION("""COMPUTED_VALUE"""),"")</f>
        <v/>
      </c>
      <c r="FM65" s="117" t="str">
        <f ca="1">IFERROR(__xludf.DUMMYFUNCTION("""COMPUTED_VALUE"""),"")</f>
        <v/>
      </c>
      <c r="FN65" s="117" t="str">
        <f ca="1">IFERROR(__xludf.DUMMYFUNCTION("""COMPUTED_VALUE"""),"")</f>
        <v/>
      </c>
      <c r="FO65" s="117" t="str">
        <f ca="1">IFERROR(__xludf.DUMMYFUNCTION("""COMPUTED_VALUE"""),"")</f>
        <v/>
      </c>
    </row>
    <row r="66" spans="1:171" ht="15.75" customHeight="1" x14ac:dyDescent="0.15">
      <c r="A66" s="115" t="str">
        <f ca="1">IFERROR(__xludf.DUMMYFUNCTION("""COMPUTED_VALUE"""),"")</f>
        <v/>
      </c>
      <c r="B66" s="119" t="str">
        <f ca="1">IFERROR(__xludf.DUMMYFUNCTION("""COMPUTED_VALUE"""),"")</f>
        <v/>
      </c>
      <c r="C66" s="119" t="str">
        <f ca="1">IFERROR(__xludf.DUMMYFUNCTION("""COMPUTED_VALUE"""),"")</f>
        <v/>
      </c>
      <c r="D66" s="119" t="str">
        <f ca="1">IFERROR(__xludf.DUMMYFUNCTION("""COMPUTED_VALUE"""),"")</f>
        <v/>
      </c>
      <c r="E66" s="119" t="str">
        <f ca="1">IFERROR(__xludf.DUMMYFUNCTION("""COMPUTED_VALUE"""),"")</f>
        <v/>
      </c>
      <c r="F66" s="119" t="str">
        <f ca="1">IFERROR(__xludf.DUMMYFUNCTION("""COMPUTED_VALUE"""),"")</f>
        <v/>
      </c>
      <c r="G66" s="119" t="str">
        <f ca="1">IFERROR(__xludf.DUMMYFUNCTION("""COMPUTED_VALUE"""),"")</f>
        <v/>
      </c>
      <c r="H66" s="119" t="str">
        <f ca="1">IFERROR(__xludf.DUMMYFUNCTION("""COMPUTED_VALUE"""),"")</f>
        <v/>
      </c>
      <c r="I66" s="119" t="str">
        <f ca="1">IFERROR(__xludf.DUMMYFUNCTION("""COMPUTED_VALUE"""),"")</f>
        <v/>
      </c>
      <c r="J66" s="119" t="str">
        <f ca="1">IFERROR(__xludf.DUMMYFUNCTION("""COMPUTED_VALUE"""),"")</f>
        <v/>
      </c>
      <c r="K66" s="119" t="str">
        <f ca="1">IFERROR(__xludf.DUMMYFUNCTION("""COMPUTED_VALUE"""),"")</f>
        <v/>
      </c>
      <c r="L66" s="119" t="str">
        <f ca="1">IFERROR(__xludf.DUMMYFUNCTION("""COMPUTED_VALUE"""),"")</f>
        <v/>
      </c>
      <c r="M66" s="119" t="str">
        <f ca="1">IFERROR(__xludf.DUMMYFUNCTION("""COMPUTED_VALUE"""),"")</f>
        <v/>
      </c>
      <c r="N66" s="119" t="str">
        <f ca="1">IFERROR(__xludf.DUMMYFUNCTION("""COMPUTED_VALUE"""),"")</f>
        <v/>
      </c>
      <c r="O66" s="119" t="str">
        <f ca="1">IFERROR(__xludf.DUMMYFUNCTION("""COMPUTED_VALUE"""),"")</f>
        <v/>
      </c>
      <c r="P66" s="119" t="str">
        <f ca="1">IFERROR(__xludf.DUMMYFUNCTION("""COMPUTED_VALUE"""),"")</f>
        <v/>
      </c>
      <c r="Q66" s="119" t="str">
        <f ca="1">IFERROR(__xludf.DUMMYFUNCTION("""COMPUTED_VALUE"""),"")</f>
        <v/>
      </c>
      <c r="R66" s="119" t="str">
        <f ca="1">IFERROR(__xludf.DUMMYFUNCTION("""COMPUTED_VALUE"""),"")</f>
        <v/>
      </c>
      <c r="S66" s="119" t="str">
        <f ca="1">IFERROR(__xludf.DUMMYFUNCTION("""COMPUTED_VALUE"""),"")</f>
        <v/>
      </c>
      <c r="T66" s="119" t="str">
        <f ca="1">IFERROR(__xludf.DUMMYFUNCTION("""COMPUTED_VALUE"""),"")</f>
        <v/>
      </c>
      <c r="U66" s="119" t="str">
        <f ca="1">IFERROR(__xludf.DUMMYFUNCTION("""COMPUTED_VALUE"""),"")</f>
        <v/>
      </c>
      <c r="V66" s="119" t="str">
        <f ca="1">IFERROR(__xludf.DUMMYFUNCTION("""COMPUTED_VALUE"""),"")</f>
        <v/>
      </c>
      <c r="W66" s="119" t="str">
        <f ca="1">IFERROR(__xludf.DUMMYFUNCTION("""COMPUTED_VALUE"""),"")</f>
        <v/>
      </c>
      <c r="X66" s="119" t="str">
        <f ca="1">IFERROR(__xludf.DUMMYFUNCTION("""COMPUTED_VALUE"""),"")</f>
        <v/>
      </c>
      <c r="Y66" s="119" t="str">
        <f ca="1">IFERROR(__xludf.DUMMYFUNCTION("""COMPUTED_VALUE"""),"")</f>
        <v/>
      </c>
      <c r="Z66" s="119" t="str">
        <f ca="1">IFERROR(__xludf.DUMMYFUNCTION("""COMPUTED_VALUE"""),"")</f>
        <v/>
      </c>
      <c r="AA66" s="119" t="str">
        <f ca="1">IFERROR(__xludf.DUMMYFUNCTION("""COMPUTED_VALUE"""),"")</f>
        <v/>
      </c>
      <c r="AB66" s="119" t="str">
        <f ca="1">IFERROR(__xludf.DUMMYFUNCTION("""COMPUTED_VALUE"""),"")</f>
        <v/>
      </c>
      <c r="AC66" s="119" t="str">
        <f ca="1">IFERROR(__xludf.DUMMYFUNCTION("""COMPUTED_VALUE"""),"")</f>
        <v/>
      </c>
      <c r="AD66" s="119" t="str">
        <f ca="1">IFERROR(__xludf.DUMMYFUNCTION("""COMPUTED_VALUE"""),"")</f>
        <v/>
      </c>
      <c r="AE66" s="119" t="str">
        <f ca="1">IFERROR(__xludf.DUMMYFUNCTION("""COMPUTED_VALUE"""),"")</f>
        <v/>
      </c>
      <c r="AF66" s="119" t="str">
        <f ca="1">IFERROR(__xludf.DUMMYFUNCTION("""COMPUTED_VALUE"""),"")</f>
        <v/>
      </c>
      <c r="AG66" s="119" t="str">
        <f ca="1">IFERROR(__xludf.DUMMYFUNCTION("""COMPUTED_VALUE"""),"")</f>
        <v/>
      </c>
      <c r="AH66" s="119" t="str">
        <f ca="1">IFERROR(__xludf.DUMMYFUNCTION("""COMPUTED_VALUE"""),"")</f>
        <v/>
      </c>
      <c r="AI66" s="119" t="str">
        <f ca="1">IFERROR(__xludf.DUMMYFUNCTION("""COMPUTED_VALUE"""),"")</f>
        <v/>
      </c>
      <c r="AJ66" s="119" t="str">
        <f ca="1">IFERROR(__xludf.DUMMYFUNCTION("""COMPUTED_VALUE"""),"")</f>
        <v/>
      </c>
      <c r="AK66" s="119" t="str">
        <f ca="1">IFERROR(__xludf.DUMMYFUNCTION("""COMPUTED_VALUE"""),"")</f>
        <v/>
      </c>
      <c r="AL66" s="119" t="str">
        <f ca="1">IFERROR(__xludf.DUMMYFUNCTION("""COMPUTED_VALUE"""),"")</f>
        <v/>
      </c>
      <c r="AM66" s="119" t="str">
        <f ca="1">IFERROR(__xludf.DUMMYFUNCTION("""COMPUTED_VALUE"""),"")</f>
        <v/>
      </c>
      <c r="AN66" s="119" t="str">
        <f ca="1">IFERROR(__xludf.DUMMYFUNCTION("""COMPUTED_VALUE"""),"")</f>
        <v/>
      </c>
      <c r="AO66" s="119" t="str">
        <f ca="1">IFERROR(__xludf.DUMMYFUNCTION("""COMPUTED_VALUE"""),"")</f>
        <v/>
      </c>
      <c r="AP66" s="119" t="str">
        <f ca="1">IFERROR(__xludf.DUMMYFUNCTION("""COMPUTED_VALUE"""),"")</f>
        <v/>
      </c>
      <c r="AQ66" s="119" t="str">
        <f ca="1">IFERROR(__xludf.DUMMYFUNCTION("""COMPUTED_VALUE"""),"")</f>
        <v/>
      </c>
      <c r="AR66" s="118" t="str">
        <f ca="1">IFERROR(__xludf.DUMMYFUNCTION("""COMPUTED_VALUE"""),"")</f>
        <v/>
      </c>
      <c r="AS66" s="119" t="str">
        <f ca="1">IFERROR(__xludf.DUMMYFUNCTION("""COMPUTED_VALUE"""),"")</f>
        <v/>
      </c>
      <c r="AT66" s="119" t="str">
        <f ca="1">IFERROR(__xludf.DUMMYFUNCTION("""COMPUTED_VALUE"""),"")</f>
        <v/>
      </c>
      <c r="AU66" s="119" t="str">
        <f ca="1">IFERROR(__xludf.DUMMYFUNCTION("""COMPUTED_VALUE"""),"")</f>
        <v/>
      </c>
      <c r="AV66" s="119" t="str">
        <f ca="1">IFERROR(__xludf.DUMMYFUNCTION("""COMPUTED_VALUE"""),"")</f>
        <v/>
      </c>
      <c r="AW66" s="119" t="str">
        <f ca="1">IFERROR(__xludf.DUMMYFUNCTION("""COMPUTED_VALUE"""),"")</f>
        <v/>
      </c>
      <c r="AX66" s="119" t="str">
        <f ca="1">IFERROR(__xludf.DUMMYFUNCTION("""COMPUTED_VALUE"""),"")</f>
        <v/>
      </c>
      <c r="AY66" s="119" t="str">
        <f ca="1">IFERROR(__xludf.DUMMYFUNCTION("""COMPUTED_VALUE"""),"")</f>
        <v/>
      </c>
      <c r="AZ66" s="119" t="str">
        <f ca="1">IFERROR(__xludf.DUMMYFUNCTION("""COMPUTED_VALUE"""),"")</f>
        <v/>
      </c>
      <c r="BA66" s="119" t="str">
        <f ca="1">IFERROR(__xludf.DUMMYFUNCTION("""COMPUTED_VALUE"""),"")</f>
        <v/>
      </c>
      <c r="BB66" s="119" t="str">
        <f ca="1">IFERROR(__xludf.DUMMYFUNCTION("""COMPUTED_VALUE"""),"")</f>
        <v/>
      </c>
      <c r="BC66" s="119" t="str">
        <f ca="1">IFERROR(__xludf.DUMMYFUNCTION("""COMPUTED_VALUE"""),"")</f>
        <v/>
      </c>
      <c r="BD66" s="119" t="str">
        <f ca="1">IFERROR(__xludf.DUMMYFUNCTION("""COMPUTED_VALUE"""),"")</f>
        <v/>
      </c>
      <c r="BE66" s="119" t="str">
        <f ca="1">IFERROR(__xludf.DUMMYFUNCTION("""COMPUTED_VALUE"""),"")</f>
        <v/>
      </c>
      <c r="BF66" s="119" t="str">
        <f ca="1">IFERROR(__xludf.DUMMYFUNCTION("""COMPUTED_VALUE"""),"")</f>
        <v/>
      </c>
      <c r="BG66" s="119" t="str">
        <f ca="1">IFERROR(__xludf.DUMMYFUNCTION("""COMPUTED_VALUE"""),"")</f>
        <v/>
      </c>
      <c r="BH66" s="119" t="str">
        <f ca="1">IFERROR(__xludf.DUMMYFUNCTION("""COMPUTED_VALUE"""),"")</f>
        <v/>
      </c>
      <c r="BI66" s="119" t="str">
        <f ca="1">IFERROR(__xludf.DUMMYFUNCTION("""COMPUTED_VALUE"""),"")</f>
        <v/>
      </c>
      <c r="BJ66" s="119" t="str">
        <f ca="1">IFERROR(__xludf.DUMMYFUNCTION("""COMPUTED_VALUE"""),"")</f>
        <v/>
      </c>
      <c r="BK66" s="119" t="str">
        <f ca="1">IFERROR(__xludf.DUMMYFUNCTION("""COMPUTED_VALUE"""),"")</f>
        <v/>
      </c>
      <c r="BL66" s="119" t="str">
        <f ca="1">IFERROR(__xludf.DUMMYFUNCTION("""COMPUTED_VALUE"""),"")</f>
        <v/>
      </c>
      <c r="BM66" s="119" t="str">
        <f ca="1">IFERROR(__xludf.DUMMYFUNCTION("""COMPUTED_VALUE"""),"")</f>
        <v/>
      </c>
      <c r="BN66" s="119" t="str">
        <f ca="1">IFERROR(__xludf.DUMMYFUNCTION("""COMPUTED_VALUE"""),"")</f>
        <v/>
      </c>
      <c r="BO66" s="119" t="str">
        <f ca="1">IFERROR(__xludf.DUMMYFUNCTION("""COMPUTED_VALUE"""),"")</f>
        <v/>
      </c>
      <c r="BP66" s="119" t="str">
        <f ca="1">IFERROR(__xludf.DUMMYFUNCTION("""COMPUTED_VALUE"""),"")</f>
        <v/>
      </c>
      <c r="BQ66" s="119" t="str">
        <f ca="1">IFERROR(__xludf.DUMMYFUNCTION("""COMPUTED_VALUE"""),"")</f>
        <v/>
      </c>
      <c r="BR66" s="119" t="str">
        <f ca="1">IFERROR(__xludf.DUMMYFUNCTION("""COMPUTED_VALUE"""),"")</f>
        <v/>
      </c>
      <c r="BS66" s="119" t="str">
        <f ca="1">IFERROR(__xludf.DUMMYFUNCTION("""COMPUTED_VALUE"""),"")</f>
        <v/>
      </c>
      <c r="BT66" s="119" t="str">
        <f ca="1">IFERROR(__xludf.DUMMYFUNCTION("""COMPUTED_VALUE"""),"")</f>
        <v/>
      </c>
      <c r="BU66" s="119" t="str">
        <f ca="1">IFERROR(__xludf.DUMMYFUNCTION("""COMPUTED_VALUE"""),"")</f>
        <v/>
      </c>
      <c r="BV66" s="119" t="str">
        <f ca="1">IFERROR(__xludf.DUMMYFUNCTION("""COMPUTED_VALUE"""),"")</f>
        <v/>
      </c>
      <c r="BW66" s="119" t="str">
        <f ca="1">IFERROR(__xludf.DUMMYFUNCTION("""COMPUTED_VALUE"""),"")</f>
        <v/>
      </c>
      <c r="BX66" s="119" t="str">
        <f ca="1">IFERROR(__xludf.DUMMYFUNCTION("""COMPUTED_VALUE"""),"")</f>
        <v/>
      </c>
      <c r="BY66" s="119" t="str">
        <f ca="1">IFERROR(__xludf.DUMMYFUNCTION("""COMPUTED_VALUE"""),"")</f>
        <v/>
      </c>
      <c r="BZ66" s="119" t="str">
        <f ca="1">IFERROR(__xludf.DUMMYFUNCTION("""COMPUTED_VALUE"""),"")</f>
        <v/>
      </c>
      <c r="CA66" s="119" t="str">
        <f ca="1">IFERROR(__xludf.DUMMYFUNCTION("""COMPUTED_VALUE"""),"")</f>
        <v/>
      </c>
      <c r="CB66" s="119" t="str">
        <f ca="1">IFERROR(__xludf.DUMMYFUNCTION("""COMPUTED_VALUE"""),"")</f>
        <v/>
      </c>
      <c r="CC66" s="119" t="str">
        <f ca="1">IFERROR(__xludf.DUMMYFUNCTION("""COMPUTED_VALUE"""),"")</f>
        <v/>
      </c>
      <c r="CD66" s="119" t="str">
        <f ca="1">IFERROR(__xludf.DUMMYFUNCTION("""COMPUTED_VALUE"""),"")</f>
        <v/>
      </c>
      <c r="CE66" s="119" t="str">
        <f ca="1">IFERROR(__xludf.DUMMYFUNCTION("""COMPUTED_VALUE"""),"")</f>
        <v/>
      </c>
      <c r="CF66" s="119" t="str">
        <f ca="1">IFERROR(__xludf.DUMMYFUNCTION("""COMPUTED_VALUE"""),"")</f>
        <v/>
      </c>
      <c r="CG66" s="119" t="str">
        <f ca="1">IFERROR(__xludf.DUMMYFUNCTION("""COMPUTED_VALUE"""),"")</f>
        <v/>
      </c>
      <c r="CH66" s="119" t="str">
        <f ca="1">IFERROR(__xludf.DUMMYFUNCTION("""COMPUTED_VALUE"""),"")</f>
        <v/>
      </c>
      <c r="CI66" s="119" t="str">
        <f ca="1">IFERROR(__xludf.DUMMYFUNCTION("""COMPUTED_VALUE"""),"")</f>
        <v/>
      </c>
      <c r="CJ66" s="119" t="str">
        <f ca="1">IFERROR(__xludf.DUMMYFUNCTION("""COMPUTED_VALUE"""),"")</f>
        <v/>
      </c>
      <c r="CK66" s="119" t="str">
        <f ca="1">IFERROR(__xludf.DUMMYFUNCTION("""COMPUTED_VALUE"""),"")</f>
        <v/>
      </c>
      <c r="CL66" s="119" t="str">
        <f ca="1">IFERROR(__xludf.DUMMYFUNCTION("""COMPUTED_VALUE"""),"")</f>
        <v/>
      </c>
      <c r="CM66" s="119" t="str">
        <f ca="1">IFERROR(__xludf.DUMMYFUNCTION("""COMPUTED_VALUE"""),"")</f>
        <v/>
      </c>
      <c r="CN66" s="119" t="str">
        <f ca="1">IFERROR(__xludf.DUMMYFUNCTION("""COMPUTED_VALUE"""),"")</f>
        <v/>
      </c>
      <c r="CO66" s="119" t="str">
        <f ca="1">IFERROR(__xludf.DUMMYFUNCTION("""COMPUTED_VALUE"""),"")</f>
        <v/>
      </c>
      <c r="CP66" s="119" t="str">
        <f ca="1">IFERROR(__xludf.DUMMYFUNCTION("""COMPUTED_VALUE"""),"")</f>
        <v/>
      </c>
      <c r="CQ66" s="119" t="str">
        <f ca="1">IFERROR(__xludf.DUMMYFUNCTION("""COMPUTED_VALUE"""),"")</f>
        <v/>
      </c>
      <c r="CR66" s="119" t="str">
        <f ca="1">IFERROR(__xludf.DUMMYFUNCTION("""COMPUTED_VALUE"""),"")</f>
        <v/>
      </c>
      <c r="CS66" s="119" t="str">
        <f ca="1">IFERROR(__xludf.DUMMYFUNCTION("""COMPUTED_VALUE"""),"")</f>
        <v/>
      </c>
      <c r="CT66" s="119" t="str">
        <f ca="1">IFERROR(__xludf.DUMMYFUNCTION("""COMPUTED_VALUE"""),"")</f>
        <v/>
      </c>
      <c r="CU66" s="119" t="str">
        <f ca="1">IFERROR(__xludf.DUMMYFUNCTION("""COMPUTED_VALUE"""),"")</f>
        <v/>
      </c>
      <c r="CV66" s="119" t="str">
        <f ca="1">IFERROR(__xludf.DUMMYFUNCTION("""COMPUTED_VALUE"""),"")</f>
        <v/>
      </c>
      <c r="CW66" s="119" t="str">
        <f ca="1">IFERROR(__xludf.DUMMYFUNCTION("""COMPUTED_VALUE"""),"")</f>
        <v/>
      </c>
      <c r="CX66" s="119" t="str">
        <f ca="1">IFERROR(__xludf.DUMMYFUNCTION("""COMPUTED_VALUE"""),"")</f>
        <v/>
      </c>
      <c r="CY66" s="119" t="str">
        <f ca="1">IFERROR(__xludf.DUMMYFUNCTION("""COMPUTED_VALUE"""),"")</f>
        <v/>
      </c>
      <c r="CZ66" s="119" t="str">
        <f ca="1">IFERROR(__xludf.DUMMYFUNCTION("""COMPUTED_VALUE"""),"")</f>
        <v/>
      </c>
      <c r="DA66" s="119" t="str">
        <f ca="1">IFERROR(__xludf.DUMMYFUNCTION("""COMPUTED_VALUE"""),"")</f>
        <v/>
      </c>
      <c r="DB66" s="119" t="str">
        <f ca="1">IFERROR(__xludf.DUMMYFUNCTION("""COMPUTED_VALUE"""),"")</f>
        <v/>
      </c>
      <c r="DC66" s="119" t="str">
        <f ca="1">IFERROR(__xludf.DUMMYFUNCTION("""COMPUTED_VALUE"""),"")</f>
        <v/>
      </c>
      <c r="DD66" s="119" t="str">
        <f ca="1">IFERROR(__xludf.DUMMYFUNCTION("""COMPUTED_VALUE"""),"")</f>
        <v/>
      </c>
      <c r="DE66" s="119" t="str">
        <f ca="1">IFERROR(__xludf.DUMMYFUNCTION("""COMPUTED_VALUE"""),"")</f>
        <v/>
      </c>
      <c r="DF66" s="119" t="str">
        <f ca="1">IFERROR(__xludf.DUMMYFUNCTION("""COMPUTED_VALUE"""),"")</f>
        <v/>
      </c>
      <c r="DG66" s="119" t="str">
        <f ca="1">IFERROR(__xludf.DUMMYFUNCTION("""COMPUTED_VALUE"""),"")</f>
        <v/>
      </c>
      <c r="DH66" s="119" t="str">
        <f ca="1">IFERROR(__xludf.DUMMYFUNCTION("""COMPUTED_VALUE"""),"")</f>
        <v/>
      </c>
      <c r="DI66" s="119" t="str">
        <f ca="1">IFERROR(__xludf.DUMMYFUNCTION("""COMPUTED_VALUE"""),"")</f>
        <v/>
      </c>
      <c r="DJ66" s="119" t="str">
        <f ca="1">IFERROR(__xludf.DUMMYFUNCTION("""COMPUTED_VALUE"""),"")</f>
        <v/>
      </c>
      <c r="DK66" s="119" t="str">
        <f ca="1">IFERROR(__xludf.DUMMYFUNCTION("""COMPUTED_VALUE"""),"")</f>
        <v/>
      </c>
      <c r="DL66" s="119" t="str">
        <f ca="1">IFERROR(__xludf.DUMMYFUNCTION("""COMPUTED_VALUE"""),"")</f>
        <v/>
      </c>
      <c r="DM66" s="119" t="str">
        <f ca="1">IFERROR(__xludf.DUMMYFUNCTION("""COMPUTED_VALUE"""),"")</f>
        <v/>
      </c>
      <c r="DN66" s="119" t="str">
        <f ca="1">IFERROR(__xludf.DUMMYFUNCTION("""COMPUTED_VALUE"""),"")</f>
        <v/>
      </c>
      <c r="DO66" s="119" t="str">
        <f ca="1">IFERROR(__xludf.DUMMYFUNCTION("""COMPUTED_VALUE"""),"")</f>
        <v/>
      </c>
      <c r="DP66" s="119" t="str">
        <f ca="1">IFERROR(__xludf.DUMMYFUNCTION("""COMPUTED_VALUE"""),"")</f>
        <v/>
      </c>
      <c r="DQ66" s="119" t="str">
        <f ca="1">IFERROR(__xludf.DUMMYFUNCTION("""COMPUTED_VALUE"""),"")</f>
        <v/>
      </c>
      <c r="DR66" s="119" t="str">
        <f ca="1">IFERROR(__xludf.DUMMYFUNCTION("""COMPUTED_VALUE"""),"")</f>
        <v/>
      </c>
      <c r="DS66" s="119" t="str">
        <f ca="1">IFERROR(__xludf.DUMMYFUNCTION("""COMPUTED_VALUE"""),"")</f>
        <v/>
      </c>
      <c r="DT66" s="119" t="str">
        <f ca="1">IFERROR(__xludf.DUMMYFUNCTION("""COMPUTED_VALUE"""),"")</f>
        <v/>
      </c>
      <c r="DU66" s="119" t="str">
        <f ca="1">IFERROR(__xludf.DUMMYFUNCTION("""COMPUTED_VALUE"""),"")</f>
        <v/>
      </c>
      <c r="DV66" s="119" t="str">
        <f ca="1">IFERROR(__xludf.DUMMYFUNCTION("""COMPUTED_VALUE"""),"")</f>
        <v/>
      </c>
      <c r="DW66" s="119" t="str">
        <f ca="1">IFERROR(__xludf.DUMMYFUNCTION("""COMPUTED_VALUE"""),"")</f>
        <v/>
      </c>
      <c r="DX66" s="119" t="str">
        <f ca="1">IFERROR(__xludf.DUMMYFUNCTION("""COMPUTED_VALUE"""),"")</f>
        <v/>
      </c>
      <c r="DY66" s="119" t="str">
        <f ca="1">IFERROR(__xludf.DUMMYFUNCTION("""COMPUTED_VALUE"""),"")</f>
        <v/>
      </c>
      <c r="DZ66" s="119" t="str">
        <f ca="1">IFERROR(__xludf.DUMMYFUNCTION("""COMPUTED_VALUE"""),"")</f>
        <v/>
      </c>
      <c r="EA66" s="119" t="str">
        <f ca="1">IFERROR(__xludf.DUMMYFUNCTION("""COMPUTED_VALUE"""),"")</f>
        <v/>
      </c>
      <c r="EB66" s="119" t="str">
        <f ca="1">IFERROR(__xludf.DUMMYFUNCTION("""COMPUTED_VALUE"""),"")</f>
        <v/>
      </c>
      <c r="EC66" s="119" t="str">
        <f ca="1">IFERROR(__xludf.DUMMYFUNCTION("""COMPUTED_VALUE"""),"")</f>
        <v/>
      </c>
      <c r="ED66" s="119" t="str">
        <f ca="1">IFERROR(__xludf.DUMMYFUNCTION("""COMPUTED_VALUE"""),"")</f>
        <v/>
      </c>
      <c r="EE66" s="119" t="str">
        <f ca="1">IFERROR(__xludf.DUMMYFUNCTION("""COMPUTED_VALUE"""),"")</f>
        <v/>
      </c>
      <c r="EF66" s="119" t="str">
        <f ca="1">IFERROR(__xludf.DUMMYFUNCTION("""COMPUTED_VALUE"""),"")</f>
        <v/>
      </c>
      <c r="EG66" s="119" t="str">
        <f ca="1">IFERROR(__xludf.DUMMYFUNCTION("""COMPUTED_VALUE"""),"")</f>
        <v/>
      </c>
      <c r="EH66" s="119" t="str">
        <f ca="1">IFERROR(__xludf.DUMMYFUNCTION("""COMPUTED_VALUE"""),"")</f>
        <v/>
      </c>
      <c r="EI66" s="119" t="str">
        <f ca="1">IFERROR(__xludf.DUMMYFUNCTION("""COMPUTED_VALUE"""),"")</f>
        <v/>
      </c>
      <c r="EJ66" s="119" t="str">
        <f ca="1">IFERROR(__xludf.DUMMYFUNCTION("""COMPUTED_VALUE"""),"")</f>
        <v/>
      </c>
      <c r="EK66" s="119" t="str">
        <f ca="1">IFERROR(__xludf.DUMMYFUNCTION("""COMPUTED_VALUE"""),"")</f>
        <v/>
      </c>
      <c r="EL66" s="119" t="str">
        <f ca="1">IFERROR(__xludf.DUMMYFUNCTION("""COMPUTED_VALUE"""),"")</f>
        <v/>
      </c>
      <c r="EM66" s="119" t="str">
        <f ca="1">IFERROR(__xludf.DUMMYFUNCTION("""COMPUTED_VALUE"""),"")</f>
        <v/>
      </c>
      <c r="EN66" s="119" t="str">
        <f ca="1">IFERROR(__xludf.DUMMYFUNCTION("""COMPUTED_VALUE"""),"")</f>
        <v/>
      </c>
      <c r="EO66" s="119" t="str">
        <f ca="1">IFERROR(__xludf.DUMMYFUNCTION("""COMPUTED_VALUE"""),"")</f>
        <v/>
      </c>
      <c r="EP66" s="119" t="str">
        <f ca="1">IFERROR(__xludf.DUMMYFUNCTION("""COMPUTED_VALUE"""),"")</f>
        <v/>
      </c>
      <c r="EQ66" s="119" t="str">
        <f ca="1">IFERROR(__xludf.DUMMYFUNCTION("""COMPUTED_VALUE"""),"")</f>
        <v/>
      </c>
      <c r="ER66" s="119" t="str">
        <f ca="1">IFERROR(__xludf.DUMMYFUNCTION("""COMPUTED_VALUE"""),"")</f>
        <v/>
      </c>
      <c r="ES66" s="119" t="str">
        <f ca="1">IFERROR(__xludf.DUMMYFUNCTION("""COMPUTED_VALUE"""),"")</f>
        <v/>
      </c>
      <c r="ET66" s="119" t="str">
        <f ca="1">IFERROR(__xludf.DUMMYFUNCTION("""COMPUTED_VALUE"""),"")</f>
        <v/>
      </c>
      <c r="EU66" s="119" t="str">
        <f ca="1">IFERROR(__xludf.DUMMYFUNCTION("""COMPUTED_VALUE"""),"")</f>
        <v/>
      </c>
      <c r="EV66" s="119" t="str">
        <f ca="1">IFERROR(__xludf.DUMMYFUNCTION("""COMPUTED_VALUE"""),"")</f>
        <v/>
      </c>
      <c r="EW66" s="119" t="str">
        <f ca="1">IFERROR(__xludf.DUMMYFUNCTION("""COMPUTED_VALUE"""),"")</f>
        <v/>
      </c>
      <c r="EX66" s="117" t="str">
        <f ca="1">IFERROR(__xludf.DUMMYFUNCTION("""COMPUTED_VALUE"""),"")</f>
        <v/>
      </c>
      <c r="EY66" s="117" t="str">
        <f ca="1">IFERROR(__xludf.DUMMYFUNCTION("""COMPUTED_VALUE"""),"")</f>
        <v/>
      </c>
      <c r="EZ66" s="117" t="str">
        <f ca="1">IFERROR(__xludf.DUMMYFUNCTION("""COMPUTED_VALUE"""),"")</f>
        <v/>
      </c>
      <c r="FA66" s="117" t="str">
        <f ca="1">IFERROR(__xludf.DUMMYFUNCTION("""COMPUTED_VALUE"""),"")</f>
        <v/>
      </c>
      <c r="FB66" s="117" t="str">
        <f ca="1">IFERROR(__xludf.DUMMYFUNCTION("""COMPUTED_VALUE"""),"")</f>
        <v/>
      </c>
      <c r="FC66" s="117" t="str">
        <f ca="1">IFERROR(__xludf.DUMMYFUNCTION("""COMPUTED_VALUE"""),"")</f>
        <v/>
      </c>
      <c r="FD66" s="117" t="str">
        <f ca="1">IFERROR(__xludf.DUMMYFUNCTION("""COMPUTED_VALUE"""),"")</f>
        <v/>
      </c>
      <c r="FE66" s="117" t="str">
        <f ca="1">IFERROR(__xludf.DUMMYFUNCTION("""COMPUTED_VALUE"""),"")</f>
        <v/>
      </c>
      <c r="FF66" s="117" t="str">
        <f ca="1">IFERROR(__xludf.DUMMYFUNCTION("""COMPUTED_VALUE"""),"")</f>
        <v/>
      </c>
      <c r="FG66" s="117" t="str">
        <f ca="1">IFERROR(__xludf.DUMMYFUNCTION("""COMPUTED_VALUE"""),"")</f>
        <v/>
      </c>
      <c r="FH66" s="117" t="str">
        <f ca="1">IFERROR(__xludf.DUMMYFUNCTION("""COMPUTED_VALUE"""),"")</f>
        <v/>
      </c>
      <c r="FI66" s="117" t="str">
        <f ca="1">IFERROR(__xludf.DUMMYFUNCTION("""COMPUTED_VALUE"""),"")</f>
        <v/>
      </c>
      <c r="FJ66" s="117" t="str">
        <f ca="1">IFERROR(__xludf.DUMMYFUNCTION("""COMPUTED_VALUE"""),"")</f>
        <v/>
      </c>
      <c r="FK66" s="117" t="str">
        <f ca="1">IFERROR(__xludf.DUMMYFUNCTION("""COMPUTED_VALUE"""),"")</f>
        <v/>
      </c>
      <c r="FL66" s="117" t="str">
        <f ca="1">IFERROR(__xludf.DUMMYFUNCTION("""COMPUTED_VALUE"""),"")</f>
        <v/>
      </c>
      <c r="FM66" s="117" t="str">
        <f ca="1">IFERROR(__xludf.DUMMYFUNCTION("""COMPUTED_VALUE"""),"")</f>
        <v/>
      </c>
      <c r="FN66" s="117" t="str">
        <f ca="1">IFERROR(__xludf.DUMMYFUNCTION("""COMPUTED_VALUE"""),"")</f>
        <v/>
      </c>
      <c r="FO66" s="117" t="str">
        <f ca="1">IFERROR(__xludf.DUMMYFUNCTION("""COMPUTED_VALUE"""),"")</f>
        <v/>
      </c>
    </row>
    <row r="67" spans="1:171" ht="15.75" customHeight="1" x14ac:dyDescent="0.15">
      <c r="A67" s="115" t="str">
        <f ca="1">IFERROR(__xludf.DUMMYFUNCTION("""COMPUTED_VALUE"""),"")</f>
        <v/>
      </c>
      <c r="B67" s="119" t="str">
        <f ca="1">IFERROR(__xludf.DUMMYFUNCTION("""COMPUTED_VALUE"""),"")</f>
        <v/>
      </c>
      <c r="C67" s="119" t="str">
        <f ca="1">IFERROR(__xludf.DUMMYFUNCTION("""COMPUTED_VALUE"""),"")</f>
        <v/>
      </c>
      <c r="D67" s="119" t="str">
        <f ca="1">IFERROR(__xludf.DUMMYFUNCTION("""COMPUTED_VALUE"""),"")</f>
        <v/>
      </c>
      <c r="E67" s="119" t="str">
        <f ca="1">IFERROR(__xludf.DUMMYFUNCTION("""COMPUTED_VALUE"""),"")</f>
        <v/>
      </c>
      <c r="F67" s="119" t="str">
        <f ca="1">IFERROR(__xludf.DUMMYFUNCTION("""COMPUTED_VALUE"""),"")</f>
        <v/>
      </c>
      <c r="G67" s="119" t="str">
        <f ca="1">IFERROR(__xludf.DUMMYFUNCTION("""COMPUTED_VALUE"""),"")</f>
        <v/>
      </c>
      <c r="H67" s="119" t="str">
        <f ca="1">IFERROR(__xludf.DUMMYFUNCTION("""COMPUTED_VALUE"""),"")</f>
        <v/>
      </c>
      <c r="I67" s="119" t="str">
        <f ca="1">IFERROR(__xludf.DUMMYFUNCTION("""COMPUTED_VALUE"""),"")</f>
        <v/>
      </c>
      <c r="J67" s="119" t="str">
        <f ca="1">IFERROR(__xludf.DUMMYFUNCTION("""COMPUTED_VALUE"""),"")</f>
        <v/>
      </c>
      <c r="K67" s="119" t="str">
        <f ca="1">IFERROR(__xludf.DUMMYFUNCTION("""COMPUTED_VALUE"""),"")</f>
        <v/>
      </c>
      <c r="L67" s="119" t="str">
        <f ca="1">IFERROR(__xludf.DUMMYFUNCTION("""COMPUTED_VALUE"""),"")</f>
        <v/>
      </c>
      <c r="M67" s="119" t="str">
        <f ca="1">IFERROR(__xludf.DUMMYFUNCTION("""COMPUTED_VALUE"""),"")</f>
        <v/>
      </c>
      <c r="N67" s="119" t="str">
        <f ca="1">IFERROR(__xludf.DUMMYFUNCTION("""COMPUTED_VALUE"""),"")</f>
        <v/>
      </c>
      <c r="O67" s="119" t="str">
        <f ca="1">IFERROR(__xludf.DUMMYFUNCTION("""COMPUTED_VALUE"""),"")</f>
        <v/>
      </c>
      <c r="P67" s="119" t="str">
        <f ca="1">IFERROR(__xludf.DUMMYFUNCTION("""COMPUTED_VALUE"""),"")</f>
        <v/>
      </c>
      <c r="Q67" s="119" t="str">
        <f ca="1">IFERROR(__xludf.DUMMYFUNCTION("""COMPUTED_VALUE"""),"")</f>
        <v/>
      </c>
      <c r="R67" s="119" t="str">
        <f ca="1">IFERROR(__xludf.DUMMYFUNCTION("""COMPUTED_VALUE"""),"")</f>
        <v/>
      </c>
      <c r="S67" s="119" t="str">
        <f ca="1">IFERROR(__xludf.DUMMYFUNCTION("""COMPUTED_VALUE"""),"")</f>
        <v/>
      </c>
      <c r="T67" s="119" t="str">
        <f ca="1">IFERROR(__xludf.DUMMYFUNCTION("""COMPUTED_VALUE"""),"")</f>
        <v/>
      </c>
      <c r="U67" s="119" t="str">
        <f ca="1">IFERROR(__xludf.DUMMYFUNCTION("""COMPUTED_VALUE"""),"")</f>
        <v/>
      </c>
      <c r="V67" s="119" t="str">
        <f ca="1">IFERROR(__xludf.DUMMYFUNCTION("""COMPUTED_VALUE"""),"")</f>
        <v/>
      </c>
      <c r="W67" s="119" t="str">
        <f ca="1">IFERROR(__xludf.DUMMYFUNCTION("""COMPUTED_VALUE"""),"")</f>
        <v/>
      </c>
      <c r="X67" s="119" t="str">
        <f ca="1">IFERROR(__xludf.DUMMYFUNCTION("""COMPUTED_VALUE"""),"")</f>
        <v/>
      </c>
      <c r="Y67" s="119" t="str">
        <f ca="1">IFERROR(__xludf.DUMMYFUNCTION("""COMPUTED_VALUE"""),"")</f>
        <v/>
      </c>
      <c r="Z67" s="119" t="str">
        <f ca="1">IFERROR(__xludf.DUMMYFUNCTION("""COMPUTED_VALUE"""),"")</f>
        <v/>
      </c>
      <c r="AA67" s="119" t="str">
        <f ca="1">IFERROR(__xludf.DUMMYFUNCTION("""COMPUTED_VALUE"""),"")</f>
        <v/>
      </c>
      <c r="AB67" s="119" t="str">
        <f ca="1">IFERROR(__xludf.DUMMYFUNCTION("""COMPUTED_VALUE"""),"")</f>
        <v/>
      </c>
      <c r="AC67" s="119" t="str">
        <f ca="1">IFERROR(__xludf.DUMMYFUNCTION("""COMPUTED_VALUE"""),"")</f>
        <v/>
      </c>
      <c r="AD67" s="119" t="str">
        <f ca="1">IFERROR(__xludf.DUMMYFUNCTION("""COMPUTED_VALUE"""),"")</f>
        <v/>
      </c>
      <c r="AE67" s="119" t="str">
        <f ca="1">IFERROR(__xludf.DUMMYFUNCTION("""COMPUTED_VALUE"""),"")</f>
        <v/>
      </c>
      <c r="AF67" s="119" t="str">
        <f ca="1">IFERROR(__xludf.DUMMYFUNCTION("""COMPUTED_VALUE"""),"")</f>
        <v/>
      </c>
      <c r="AG67" s="119" t="str">
        <f ca="1">IFERROR(__xludf.DUMMYFUNCTION("""COMPUTED_VALUE"""),"")</f>
        <v/>
      </c>
      <c r="AH67" s="119" t="str">
        <f ca="1">IFERROR(__xludf.DUMMYFUNCTION("""COMPUTED_VALUE"""),"")</f>
        <v/>
      </c>
      <c r="AI67" s="119" t="str">
        <f ca="1">IFERROR(__xludf.DUMMYFUNCTION("""COMPUTED_VALUE"""),"")</f>
        <v/>
      </c>
      <c r="AJ67" s="119" t="str">
        <f ca="1">IFERROR(__xludf.DUMMYFUNCTION("""COMPUTED_VALUE"""),"")</f>
        <v/>
      </c>
      <c r="AK67" s="119" t="str">
        <f ca="1">IFERROR(__xludf.DUMMYFUNCTION("""COMPUTED_VALUE"""),"")</f>
        <v/>
      </c>
      <c r="AL67" s="119" t="str">
        <f ca="1">IFERROR(__xludf.DUMMYFUNCTION("""COMPUTED_VALUE"""),"")</f>
        <v/>
      </c>
      <c r="AM67" s="119" t="str">
        <f ca="1">IFERROR(__xludf.DUMMYFUNCTION("""COMPUTED_VALUE"""),"")</f>
        <v/>
      </c>
      <c r="AN67" s="119" t="str">
        <f ca="1">IFERROR(__xludf.DUMMYFUNCTION("""COMPUTED_VALUE"""),"")</f>
        <v/>
      </c>
      <c r="AO67" s="119" t="str">
        <f ca="1">IFERROR(__xludf.DUMMYFUNCTION("""COMPUTED_VALUE"""),"")</f>
        <v/>
      </c>
      <c r="AP67" s="119" t="str">
        <f ca="1">IFERROR(__xludf.DUMMYFUNCTION("""COMPUTED_VALUE"""),"")</f>
        <v/>
      </c>
      <c r="AQ67" s="119" t="str">
        <f ca="1">IFERROR(__xludf.DUMMYFUNCTION("""COMPUTED_VALUE"""),"")</f>
        <v/>
      </c>
      <c r="AR67" s="118" t="str">
        <f ca="1">IFERROR(__xludf.DUMMYFUNCTION("""COMPUTED_VALUE"""),"")</f>
        <v/>
      </c>
      <c r="AS67" s="119" t="str">
        <f ca="1">IFERROR(__xludf.DUMMYFUNCTION("""COMPUTED_VALUE"""),"")</f>
        <v/>
      </c>
      <c r="AT67" s="119" t="str">
        <f ca="1">IFERROR(__xludf.DUMMYFUNCTION("""COMPUTED_VALUE"""),"")</f>
        <v/>
      </c>
      <c r="AU67" s="119" t="str">
        <f ca="1">IFERROR(__xludf.DUMMYFUNCTION("""COMPUTED_VALUE"""),"")</f>
        <v/>
      </c>
      <c r="AV67" s="119" t="str">
        <f ca="1">IFERROR(__xludf.DUMMYFUNCTION("""COMPUTED_VALUE"""),"")</f>
        <v/>
      </c>
      <c r="AW67" s="119" t="str">
        <f ca="1">IFERROR(__xludf.DUMMYFUNCTION("""COMPUTED_VALUE"""),"")</f>
        <v/>
      </c>
      <c r="AX67" s="119" t="str">
        <f ca="1">IFERROR(__xludf.DUMMYFUNCTION("""COMPUTED_VALUE"""),"")</f>
        <v/>
      </c>
      <c r="AY67" s="119" t="str">
        <f ca="1">IFERROR(__xludf.DUMMYFUNCTION("""COMPUTED_VALUE"""),"")</f>
        <v/>
      </c>
      <c r="AZ67" s="119" t="str">
        <f ca="1">IFERROR(__xludf.DUMMYFUNCTION("""COMPUTED_VALUE"""),"")</f>
        <v/>
      </c>
      <c r="BA67" s="119" t="str">
        <f ca="1">IFERROR(__xludf.DUMMYFUNCTION("""COMPUTED_VALUE"""),"")</f>
        <v/>
      </c>
      <c r="BB67" s="119" t="str">
        <f ca="1">IFERROR(__xludf.DUMMYFUNCTION("""COMPUTED_VALUE"""),"")</f>
        <v/>
      </c>
      <c r="BC67" s="119" t="str">
        <f ca="1">IFERROR(__xludf.DUMMYFUNCTION("""COMPUTED_VALUE"""),"")</f>
        <v/>
      </c>
      <c r="BD67" s="119" t="str">
        <f ca="1">IFERROR(__xludf.DUMMYFUNCTION("""COMPUTED_VALUE"""),"")</f>
        <v/>
      </c>
      <c r="BE67" s="119" t="str">
        <f ca="1">IFERROR(__xludf.DUMMYFUNCTION("""COMPUTED_VALUE"""),"")</f>
        <v/>
      </c>
      <c r="BF67" s="119" t="str">
        <f ca="1">IFERROR(__xludf.DUMMYFUNCTION("""COMPUTED_VALUE"""),"")</f>
        <v/>
      </c>
      <c r="BG67" s="119" t="str">
        <f ca="1">IFERROR(__xludf.DUMMYFUNCTION("""COMPUTED_VALUE"""),"")</f>
        <v/>
      </c>
      <c r="BH67" s="119" t="str">
        <f ca="1">IFERROR(__xludf.DUMMYFUNCTION("""COMPUTED_VALUE"""),"")</f>
        <v/>
      </c>
      <c r="BI67" s="119" t="str">
        <f ca="1">IFERROR(__xludf.DUMMYFUNCTION("""COMPUTED_VALUE"""),"")</f>
        <v/>
      </c>
      <c r="BJ67" s="119" t="str">
        <f ca="1">IFERROR(__xludf.DUMMYFUNCTION("""COMPUTED_VALUE"""),"")</f>
        <v/>
      </c>
      <c r="BK67" s="119" t="str">
        <f ca="1">IFERROR(__xludf.DUMMYFUNCTION("""COMPUTED_VALUE"""),"")</f>
        <v/>
      </c>
      <c r="BL67" s="119" t="str">
        <f ca="1">IFERROR(__xludf.DUMMYFUNCTION("""COMPUTED_VALUE"""),"")</f>
        <v/>
      </c>
      <c r="BM67" s="119" t="str">
        <f ca="1">IFERROR(__xludf.DUMMYFUNCTION("""COMPUTED_VALUE"""),"")</f>
        <v/>
      </c>
      <c r="BN67" s="119" t="str">
        <f ca="1">IFERROR(__xludf.DUMMYFUNCTION("""COMPUTED_VALUE"""),"")</f>
        <v/>
      </c>
      <c r="BO67" s="119" t="str">
        <f ca="1">IFERROR(__xludf.DUMMYFUNCTION("""COMPUTED_VALUE"""),"")</f>
        <v/>
      </c>
      <c r="BP67" s="119" t="str">
        <f ca="1">IFERROR(__xludf.DUMMYFUNCTION("""COMPUTED_VALUE"""),"")</f>
        <v/>
      </c>
      <c r="BQ67" s="119" t="str">
        <f ca="1">IFERROR(__xludf.DUMMYFUNCTION("""COMPUTED_VALUE"""),"")</f>
        <v/>
      </c>
      <c r="BR67" s="119" t="str">
        <f ca="1">IFERROR(__xludf.DUMMYFUNCTION("""COMPUTED_VALUE"""),"")</f>
        <v/>
      </c>
      <c r="BS67" s="119" t="str">
        <f ca="1">IFERROR(__xludf.DUMMYFUNCTION("""COMPUTED_VALUE"""),"")</f>
        <v/>
      </c>
      <c r="BT67" s="119" t="str">
        <f ca="1">IFERROR(__xludf.DUMMYFUNCTION("""COMPUTED_VALUE"""),"")</f>
        <v/>
      </c>
      <c r="BU67" s="119" t="str">
        <f ca="1">IFERROR(__xludf.DUMMYFUNCTION("""COMPUTED_VALUE"""),"")</f>
        <v/>
      </c>
      <c r="BV67" s="119" t="str">
        <f ca="1">IFERROR(__xludf.DUMMYFUNCTION("""COMPUTED_VALUE"""),"")</f>
        <v/>
      </c>
      <c r="BW67" s="119" t="str">
        <f ca="1">IFERROR(__xludf.DUMMYFUNCTION("""COMPUTED_VALUE"""),"")</f>
        <v/>
      </c>
      <c r="BX67" s="119" t="str">
        <f ca="1">IFERROR(__xludf.DUMMYFUNCTION("""COMPUTED_VALUE"""),"")</f>
        <v/>
      </c>
      <c r="BY67" s="119" t="str">
        <f ca="1">IFERROR(__xludf.DUMMYFUNCTION("""COMPUTED_VALUE"""),"")</f>
        <v/>
      </c>
      <c r="BZ67" s="119" t="str">
        <f ca="1">IFERROR(__xludf.DUMMYFUNCTION("""COMPUTED_VALUE"""),"")</f>
        <v/>
      </c>
      <c r="CA67" s="119" t="str">
        <f ca="1">IFERROR(__xludf.DUMMYFUNCTION("""COMPUTED_VALUE"""),"")</f>
        <v/>
      </c>
      <c r="CB67" s="119" t="str">
        <f ca="1">IFERROR(__xludf.DUMMYFUNCTION("""COMPUTED_VALUE"""),"")</f>
        <v/>
      </c>
      <c r="CC67" s="119" t="str">
        <f ca="1">IFERROR(__xludf.DUMMYFUNCTION("""COMPUTED_VALUE"""),"")</f>
        <v/>
      </c>
      <c r="CD67" s="119" t="str">
        <f ca="1">IFERROR(__xludf.DUMMYFUNCTION("""COMPUTED_VALUE"""),"")</f>
        <v/>
      </c>
      <c r="CE67" s="119" t="str">
        <f ca="1">IFERROR(__xludf.DUMMYFUNCTION("""COMPUTED_VALUE"""),"")</f>
        <v/>
      </c>
      <c r="CF67" s="119" t="str">
        <f ca="1">IFERROR(__xludf.DUMMYFUNCTION("""COMPUTED_VALUE"""),"")</f>
        <v/>
      </c>
      <c r="CG67" s="119" t="str">
        <f ca="1">IFERROR(__xludf.DUMMYFUNCTION("""COMPUTED_VALUE"""),"")</f>
        <v/>
      </c>
      <c r="CH67" s="119" t="str">
        <f ca="1">IFERROR(__xludf.DUMMYFUNCTION("""COMPUTED_VALUE"""),"")</f>
        <v/>
      </c>
      <c r="CI67" s="119" t="str">
        <f ca="1">IFERROR(__xludf.DUMMYFUNCTION("""COMPUTED_VALUE"""),"")</f>
        <v/>
      </c>
      <c r="CJ67" s="119" t="str">
        <f ca="1">IFERROR(__xludf.DUMMYFUNCTION("""COMPUTED_VALUE"""),"")</f>
        <v/>
      </c>
      <c r="CK67" s="119" t="str">
        <f ca="1">IFERROR(__xludf.DUMMYFUNCTION("""COMPUTED_VALUE"""),"")</f>
        <v/>
      </c>
      <c r="CL67" s="119" t="str">
        <f ca="1">IFERROR(__xludf.DUMMYFUNCTION("""COMPUTED_VALUE"""),"")</f>
        <v/>
      </c>
      <c r="CM67" s="119" t="str">
        <f ca="1">IFERROR(__xludf.DUMMYFUNCTION("""COMPUTED_VALUE"""),"")</f>
        <v/>
      </c>
      <c r="CN67" s="119" t="str">
        <f ca="1">IFERROR(__xludf.DUMMYFUNCTION("""COMPUTED_VALUE"""),"")</f>
        <v/>
      </c>
      <c r="CO67" s="119" t="str">
        <f ca="1">IFERROR(__xludf.DUMMYFUNCTION("""COMPUTED_VALUE"""),"")</f>
        <v/>
      </c>
      <c r="CP67" s="119" t="str">
        <f ca="1">IFERROR(__xludf.DUMMYFUNCTION("""COMPUTED_VALUE"""),"")</f>
        <v/>
      </c>
      <c r="CQ67" s="119" t="str">
        <f ca="1">IFERROR(__xludf.DUMMYFUNCTION("""COMPUTED_VALUE"""),"")</f>
        <v/>
      </c>
      <c r="CR67" s="119" t="str">
        <f ca="1">IFERROR(__xludf.DUMMYFUNCTION("""COMPUTED_VALUE"""),"")</f>
        <v/>
      </c>
      <c r="CS67" s="119" t="str">
        <f ca="1">IFERROR(__xludf.DUMMYFUNCTION("""COMPUTED_VALUE"""),"")</f>
        <v/>
      </c>
      <c r="CT67" s="119" t="str">
        <f ca="1">IFERROR(__xludf.DUMMYFUNCTION("""COMPUTED_VALUE"""),"")</f>
        <v/>
      </c>
      <c r="CU67" s="119" t="str">
        <f ca="1">IFERROR(__xludf.DUMMYFUNCTION("""COMPUTED_VALUE"""),"")</f>
        <v/>
      </c>
      <c r="CV67" s="119" t="str">
        <f ca="1">IFERROR(__xludf.DUMMYFUNCTION("""COMPUTED_VALUE"""),"")</f>
        <v/>
      </c>
      <c r="CW67" s="119" t="str">
        <f ca="1">IFERROR(__xludf.DUMMYFUNCTION("""COMPUTED_VALUE"""),"")</f>
        <v/>
      </c>
      <c r="CX67" s="119" t="str">
        <f ca="1">IFERROR(__xludf.DUMMYFUNCTION("""COMPUTED_VALUE"""),"")</f>
        <v/>
      </c>
      <c r="CY67" s="119" t="str">
        <f ca="1">IFERROR(__xludf.DUMMYFUNCTION("""COMPUTED_VALUE"""),"")</f>
        <v/>
      </c>
      <c r="CZ67" s="119" t="str">
        <f ca="1">IFERROR(__xludf.DUMMYFUNCTION("""COMPUTED_VALUE"""),"")</f>
        <v/>
      </c>
      <c r="DA67" s="119" t="str">
        <f ca="1">IFERROR(__xludf.DUMMYFUNCTION("""COMPUTED_VALUE"""),"")</f>
        <v/>
      </c>
      <c r="DB67" s="119" t="str">
        <f ca="1">IFERROR(__xludf.DUMMYFUNCTION("""COMPUTED_VALUE"""),"")</f>
        <v/>
      </c>
      <c r="DC67" s="119" t="str">
        <f ca="1">IFERROR(__xludf.DUMMYFUNCTION("""COMPUTED_VALUE"""),"")</f>
        <v/>
      </c>
      <c r="DD67" s="119" t="str">
        <f ca="1">IFERROR(__xludf.DUMMYFUNCTION("""COMPUTED_VALUE"""),"")</f>
        <v/>
      </c>
      <c r="DE67" s="119" t="str">
        <f ca="1">IFERROR(__xludf.DUMMYFUNCTION("""COMPUTED_VALUE"""),"")</f>
        <v/>
      </c>
      <c r="DF67" s="119" t="str">
        <f ca="1">IFERROR(__xludf.DUMMYFUNCTION("""COMPUTED_VALUE"""),"")</f>
        <v/>
      </c>
      <c r="DG67" s="119" t="str">
        <f ca="1">IFERROR(__xludf.DUMMYFUNCTION("""COMPUTED_VALUE"""),"")</f>
        <v/>
      </c>
      <c r="DH67" s="119" t="str">
        <f ca="1">IFERROR(__xludf.DUMMYFUNCTION("""COMPUTED_VALUE"""),"")</f>
        <v/>
      </c>
      <c r="DI67" s="119" t="str">
        <f ca="1">IFERROR(__xludf.DUMMYFUNCTION("""COMPUTED_VALUE"""),"")</f>
        <v/>
      </c>
      <c r="DJ67" s="119" t="str">
        <f ca="1">IFERROR(__xludf.DUMMYFUNCTION("""COMPUTED_VALUE"""),"")</f>
        <v/>
      </c>
      <c r="DK67" s="119" t="str">
        <f ca="1">IFERROR(__xludf.DUMMYFUNCTION("""COMPUTED_VALUE"""),"")</f>
        <v/>
      </c>
      <c r="DL67" s="119" t="str">
        <f ca="1">IFERROR(__xludf.DUMMYFUNCTION("""COMPUTED_VALUE"""),"")</f>
        <v/>
      </c>
      <c r="DM67" s="119" t="str">
        <f ca="1">IFERROR(__xludf.DUMMYFUNCTION("""COMPUTED_VALUE"""),"")</f>
        <v/>
      </c>
      <c r="DN67" s="119" t="str">
        <f ca="1">IFERROR(__xludf.DUMMYFUNCTION("""COMPUTED_VALUE"""),"")</f>
        <v/>
      </c>
      <c r="DO67" s="119" t="str">
        <f ca="1">IFERROR(__xludf.DUMMYFUNCTION("""COMPUTED_VALUE"""),"")</f>
        <v/>
      </c>
      <c r="DP67" s="119" t="str">
        <f ca="1">IFERROR(__xludf.DUMMYFUNCTION("""COMPUTED_VALUE"""),"")</f>
        <v/>
      </c>
      <c r="DQ67" s="119" t="str">
        <f ca="1">IFERROR(__xludf.DUMMYFUNCTION("""COMPUTED_VALUE"""),"")</f>
        <v/>
      </c>
      <c r="DR67" s="119" t="str">
        <f ca="1">IFERROR(__xludf.DUMMYFUNCTION("""COMPUTED_VALUE"""),"")</f>
        <v/>
      </c>
      <c r="DS67" s="119" t="str">
        <f ca="1">IFERROR(__xludf.DUMMYFUNCTION("""COMPUTED_VALUE"""),"")</f>
        <v/>
      </c>
      <c r="DT67" s="119" t="str">
        <f ca="1">IFERROR(__xludf.DUMMYFUNCTION("""COMPUTED_VALUE"""),"")</f>
        <v/>
      </c>
      <c r="DU67" s="119" t="str">
        <f ca="1">IFERROR(__xludf.DUMMYFUNCTION("""COMPUTED_VALUE"""),"")</f>
        <v/>
      </c>
      <c r="DV67" s="119" t="str">
        <f ca="1">IFERROR(__xludf.DUMMYFUNCTION("""COMPUTED_VALUE"""),"")</f>
        <v/>
      </c>
      <c r="DW67" s="119" t="str">
        <f ca="1">IFERROR(__xludf.DUMMYFUNCTION("""COMPUTED_VALUE"""),"")</f>
        <v/>
      </c>
      <c r="DX67" s="119" t="str">
        <f ca="1">IFERROR(__xludf.DUMMYFUNCTION("""COMPUTED_VALUE"""),"")</f>
        <v/>
      </c>
      <c r="DY67" s="119" t="str">
        <f ca="1">IFERROR(__xludf.DUMMYFUNCTION("""COMPUTED_VALUE"""),"")</f>
        <v/>
      </c>
      <c r="DZ67" s="119" t="str">
        <f ca="1">IFERROR(__xludf.DUMMYFUNCTION("""COMPUTED_VALUE"""),"")</f>
        <v/>
      </c>
      <c r="EA67" s="119" t="str">
        <f ca="1">IFERROR(__xludf.DUMMYFUNCTION("""COMPUTED_VALUE"""),"")</f>
        <v/>
      </c>
      <c r="EB67" s="119" t="str">
        <f ca="1">IFERROR(__xludf.DUMMYFUNCTION("""COMPUTED_VALUE"""),"")</f>
        <v/>
      </c>
      <c r="EC67" s="119" t="str">
        <f ca="1">IFERROR(__xludf.DUMMYFUNCTION("""COMPUTED_VALUE"""),"")</f>
        <v/>
      </c>
      <c r="ED67" s="119" t="str">
        <f ca="1">IFERROR(__xludf.DUMMYFUNCTION("""COMPUTED_VALUE"""),"")</f>
        <v/>
      </c>
      <c r="EE67" s="119" t="str">
        <f ca="1">IFERROR(__xludf.DUMMYFUNCTION("""COMPUTED_VALUE"""),"")</f>
        <v/>
      </c>
      <c r="EF67" s="119" t="str">
        <f ca="1">IFERROR(__xludf.DUMMYFUNCTION("""COMPUTED_VALUE"""),"")</f>
        <v/>
      </c>
      <c r="EG67" s="119" t="str">
        <f ca="1">IFERROR(__xludf.DUMMYFUNCTION("""COMPUTED_VALUE"""),"")</f>
        <v/>
      </c>
      <c r="EH67" s="119" t="str">
        <f ca="1">IFERROR(__xludf.DUMMYFUNCTION("""COMPUTED_VALUE"""),"")</f>
        <v/>
      </c>
      <c r="EI67" s="119" t="str">
        <f ca="1">IFERROR(__xludf.DUMMYFUNCTION("""COMPUTED_VALUE"""),"")</f>
        <v/>
      </c>
      <c r="EJ67" s="119" t="str">
        <f ca="1">IFERROR(__xludf.DUMMYFUNCTION("""COMPUTED_VALUE"""),"")</f>
        <v/>
      </c>
      <c r="EK67" s="119" t="str">
        <f ca="1">IFERROR(__xludf.DUMMYFUNCTION("""COMPUTED_VALUE"""),"")</f>
        <v/>
      </c>
      <c r="EL67" s="119" t="str">
        <f ca="1">IFERROR(__xludf.DUMMYFUNCTION("""COMPUTED_VALUE"""),"")</f>
        <v/>
      </c>
      <c r="EM67" s="119" t="str">
        <f ca="1">IFERROR(__xludf.DUMMYFUNCTION("""COMPUTED_VALUE"""),"")</f>
        <v/>
      </c>
      <c r="EN67" s="119" t="str">
        <f ca="1">IFERROR(__xludf.DUMMYFUNCTION("""COMPUTED_VALUE"""),"")</f>
        <v/>
      </c>
      <c r="EO67" s="119" t="str">
        <f ca="1">IFERROR(__xludf.DUMMYFUNCTION("""COMPUTED_VALUE"""),"")</f>
        <v/>
      </c>
      <c r="EP67" s="119" t="str">
        <f ca="1">IFERROR(__xludf.DUMMYFUNCTION("""COMPUTED_VALUE"""),"")</f>
        <v/>
      </c>
      <c r="EQ67" s="119" t="str">
        <f ca="1">IFERROR(__xludf.DUMMYFUNCTION("""COMPUTED_VALUE"""),"")</f>
        <v/>
      </c>
      <c r="ER67" s="119" t="str">
        <f ca="1">IFERROR(__xludf.DUMMYFUNCTION("""COMPUTED_VALUE"""),"")</f>
        <v/>
      </c>
      <c r="ES67" s="119" t="str">
        <f ca="1">IFERROR(__xludf.DUMMYFUNCTION("""COMPUTED_VALUE"""),"")</f>
        <v/>
      </c>
      <c r="ET67" s="119" t="str">
        <f ca="1">IFERROR(__xludf.DUMMYFUNCTION("""COMPUTED_VALUE"""),"")</f>
        <v/>
      </c>
      <c r="EU67" s="119" t="str">
        <f ca="1">IFERROR(__xludf.DUMMYFUNCTION("""COMPUTED_VALUE"""),"")</f>
        <v/>
      </c>
      <c r="EV67" s="119" t="str">
        <f ca="1">IFERROR(__xludf.DUMMYFUNCTION("""COMPUTED_VALUE"""),"")</f>
        <v/>
      </c>
      <c r="EW67" s="119" t="str">
        <f ca="1">IFERROR(__xludf.DUMMYFUNCTION("""COMPUTED_VALUE"""),"")</f>
        <v/>
      </c>
      <c r="EX67" s="117" t="str">
        <f ca="1">IFERROR(__xludf.DUMMYFUNCTION("""COMPUTED_VALUE"""),"")</f>
        <v/>
      </c>
      <c r="EY67" s="117" t="str">
        <f ca="1">IFERROR(__xludf.DUMMYFUNCTION("""COMPUTED_VALUE"""),"")</f>
        <v/>
      </c>
      <c r="EZ67" s="117" t="str">
        <f ca="1">IFERROR(__xludf.DUMMYFUNCTION("""COMPUTED_VALUE"""),"")</f>
        <v/>
      </c>
      <c r="FA67" s="117" t="str">
        <f ca="1">IFERROR(__xludf.DUMMYFUNCTION("""COMPUTED_VALUE"""),"")</f>
        <v/>
      </c>
      <c r="FB67" s="117" t="str">
        <f ca="1">IFERROR(__xludf.DUMMYFUNCTION("""COMPUTED_VALUE"""),"")</f>
        <v/>
      </c>
      <c r="FC67" s="117" t="str">
        <f ca="1">IFERROR(__xludf.DUMMYFUNCTION("""COMPUTED_VALUE"""),"")</f>
        <v/>
      </c>
      <c r="FD67" s="117" t="str">
        <f ca="1">IFERROR(__xludf.DUMMYFUNCTION("""COMPUTED_VALUE"""),"")</f>
        <v/>
      </c>
      <c r="FE67" s="117" t="str">
        <f ca="1">IFERROR(__xludf.DUMMYFUNCTION("""COMPUTED_VALUE"""),"")</f>
        <v/>
      </c>
      <c r="FF67" s="117" t="str">
        <f ca="1">IFERROR(__xludf.DUMMYFUNCTION("""COMPUTED_VALUE"""),"")</f>
        <v/>
      </c>
      <c r="FG67" s="117" t="str">
        <f ca="1">IFERROR(__xludf.DUMMYFUNCTION("""COMPUTED_VALUE"""),"")</f>
        <v/>
      </c>
      <c r="FH67" s="117" t="str">
        <f ca="1">IFERROR(__xludf.DUMMYFUNCTION("""COMPUTED_VALUE"""),"")</f>
        <v/>
      </c>
      <c r="FI67" s="117" t="str">
        <f ca="1">IFERROR(__xludf.DUMMYFUNCTION("""COMPUTED_VALUE"""),"")</f>
        <v/>
      </c>
      <c r="FJ67" s="117" t="str">
        <f ca="1">IFERROR(__xludf.DUMMYFUNCTION("""COMPUTED_VALUE"""),"")</f>
        <v/>
      </c>
      <c r="FK67" s="117" t="str">
        <f ca="1">IFERROR(__xludf.DUMMYFUNCTION("""COMPUTED_VALUE"""),"")</f>
        <v/>
      </c>
      <c r="FL67" s="117" t="str">
        <f ca="1">IFERROR(__xludf.DUMMYFUNCTION("""COMPUTED_VALUE"""),"")</f>
        <v/>
      </c>
      <c r="FM67" s="117" t="str">
        <f ca="1">IFERROR(__xludf.DUMMYFUNCTION("""COMPUTED_VALUE"""),"")</f>
        <v/>
      </c>
      <c r="FN67" s="117" t="str">
        <f ca="1">IFERROR(__xludf.DUMMYFUNCTION("""COMPUTED_VALUE"""),"")</f>
        <v/>
      </c>
      <c r="FO67" s="117" t="str">
        <f ca="1">IFERROR(__xludf.DUMMYFUNCTION("""COMPUTED_VALUE"""),"")</f>
        <v/>
      </c>
    </row>
    <row r="68" spans="1:171" ht="15.75" customHeight="1" x14ac:dyDescent="0.15">
      <c r="A68" s="115" t="str">
        <f ca="1">IFERROR(__xludf.DUMMYFUNCTION("""COMPUTED_VALUE"""),"")</f>
        <v/>
      </c>
      <c r="B68" s="119" t="str">
        <f ca="1">IFERROR(__xludf.DUMMYFUNCTION("""COMPUTED_VALUE"""),"")</f>
        <v/>
      </c>
      <c r="C68" s="119" t="str">
        <f ca="1">IFERROR(__xludf.DUMMYFUNCTION("""COMPUTED_VALUE"""),"")</f>
        <v/>
      </c>
      <c r="D68" s="119" t="str">
        <f ca="1">IFERROR(__xludf.DUMMYFUNCTION("""COMPUTED_VALUE"""),"")</f>
        <v/>
      </c>
      <c r="E68" s="119" t="str">
        <f ca="1">IFERROR(__xludf.DUMMYFUNCTION("""COMPUTED_VALUE"""),"")</f>
        <v/>
      </c>
      <c r="F68" s="119" t="str">
        <f ca="1">IFERROR(__xludf.DUMMYFUNCTION("""COMPUTED_VALUE"""),"")</f>
        <v/>
      </c>
      <c r="G68" s="119" t="str">
        <f ca="1">IFERROR(__xludf.DUMMYFUNCTION("""COMPUTED_VALUE"""),"")</f>
        <v/>
      </c>
      <c r="H68" s="119" t="str">
        <f ca="1">IFERROR(__xludf.DUMMYFUNCTION("""COMPUTED_VALUE"""),"")</f>
        <v/>
      </c>
      <c r="I68" s="119" t="str">
        <f ca="1">IFERROR(__xludf.DUMMYFUNCTION("""COMPUTED_VALUE"""),"")</f>
        <v/>
      </c>
      <c r="J68" s="119" t="str">
        <f ca="1">IFERROR(__xludf.DUMMYFUNCTION("""COMPUTED_VALUE"""),"")</f>
        <v/>
      </c>
      <c r="K68" s="119" t="str">
        <f ca="1">IFERROR(__xludf.DUMMYFUNCTION("""COMPUTED_VALUE"""),"")</f>
        <v/>
      </c>
      <c r="L68" s="119" t="str">
        <f ca="1">IFERROR(__xludf.DUMMYFUNCTION("""COMPUTED_VALUE"""),"")</f>
        <v/>
      </c>
      <c r="M68" s="119" t="str">
        <f ca="1">IFERROR(__xludf.DUMMYFUNCTION("""COMPUTED_VALUE"""),"")</f>
        <v/>
      </c>
      <c r="N68" s="119" t="str">
        <f ca="1">IFERROR(__xludf.DUMMYFUNCTION("""COMPUTED_VALUE"""),"")</f>
        <v/>
      </c>
      <c r="O68" s="119" t="str">
        <f ca="1">IFERROR(__xludf.DUMMYFUNCTION("""COMPUTED_VALUE"""),"")</f>
        <v/>
      </c>
      <c r="P68" s="119" t="str">
        <f ca="1">IFERROR(__xludf.DUMMYFUNCTION("""COMPUTED_VALUE"""),"")</f>
        <v/>
      </c>
      <c r="Q68" s="119" t="str">
        <f ca="1">IFERROR(__xludf.DUMMYFUNCTION("""COMPUTED_VALUE"""),"")</f>
        <v/>
      </c>
      <c r="R68" s="119" t="str">
        <f ca="1">IFERROR(__xludf.DUMMYFUNCTION("""COMPUTED_VALUE"""),"")</f>
        <v/>
      </c>
      <c r="S68" s="119" t="str">
        <f ca="1">IFERROR(__xludf.DUMMYFUNCTION("""COMPUTED_VALUE"""),"")</f>
        <v/>
      </c>
      <c r="T68" s="119" t="str">
        <f ca="1">IFERROR(__xludf.DUMMYFUNCTION("""COMPUTED_VALUE"""),"")</f>
        <v/>
      </c>
      <c r="U68" s="119" t="str">
        <f ca="1">IFERROR(__xludf.DUMMYFUNCTION("""COMPUTED_VALUE"""),"")</f>
        <v/>
      </c>
      <c r="V68" s="119" t="str">
        <f ca="1">IFERROR(__xludf.DUMMYFUNCTION("""COMPUTED_VALUE"""),"")</f>
        <v/>
      </c>
      <c r="W68" s="119" t="str">
        <f ca="1">IFERROR(__xludf.DUMMYFUNCTION("""COMPUTED_VALUE"""),"")</f>
        <v/>
      </c>
      <c r="X68" s="119" t="str">
        <f ca="1">IFERROR(__xludf.DUMMYFUNCTION("""COMPUTED_VALUE"""),"")</f>
        <v/>
      </c>
      <c r="Y68" s="119" t="str">
        <f ca="1">IFERROR(__xludf.DUMMYFUNCTION("""COMPUTED_VALUE"""),"")</f>
        <v/>
      </c>
      <c r="Z68" s="119" t="str">
        <f ca="1">IFERROR(__xludf.DUMMYFUNCTION("""COMPUTED_VALUE"""),"")</f>
        <v/>
      </c>
      <c r="AA68" s="119" t="str">
        <f ca="1">IFERROR(__xludf.DUMMYFUNCTION("""COMPUTED_VALUE"""),"")</f>
        <v/>
      </c>
      <c r="AB68" s="119" t="str">
        <f ca="1">IFERROR(__xludf.DUMMYFUNCTION("""COMPUTED_VALUE"""),"")</f>
        <v/>
      </c>
      <c r="AC68" s="119" t="str">
        <f ca="1">IFERROR(__xludf.DUMMYFUNCTION("""COMPUTED_VALUE"""),"")</f>
        <v/>
      </c>
      <c r="AD68" s="119" t="str">
        <f ca="1">IFERROR(__xludf.DUMMYFUNCTION("""COMPUTED_VALUE"""),"")</f>
        <v/>
      </c>
      <c r="AE68" s="119" t="str">
        <f ca="1">IFERROR(__xludf.DUMMYFUNCTION("""COMPUTED_VALUE"""),"")</f>
        <v/>
      </c>
      <c r="AF68" s="119" t="str">
        <f ca="1">IFERROR(__xludf.DUMMYFUNCTION("""COMPUTED_VALUE"""),"")</f>
        <v/>
      </c>
      <c r="AG68" s="119" t="str">
        <f ca="1">IFERROR(__xludf.DUMMYFUNCTION("""COMPUTED_VALUE"""),"")</f>
        <v/>
      </c>
      <c r="AH68" s="119" t="str">
        <f ca="1">IFERROR(__xludf.DUMMYFUNCTION("""COMPUTED_VALUE"""),"")</f>
        <v/>
      </c>
      <c r="AI68" s="119" t="str">
        <f ca="1">IFERROR(__xludf.DUMMYFUNCTION("""COMPUTED_VALUE"""),"")</f>
        <v/>
      </c>
      <c r="AJ68" s="119" t="str">
        <f ca="1">IFERROR(__xludf.DUMMYFUNCTION("""COMPUTED_VALUE"""),"")</f>
        <v/>
      </c>
      <c r="AK68" s="119" t="str">
        <f ca="1">IFERROR(__xludf.DUMMYFUNCTION("""COMPUTED_VALUE"""),"")</f>
        <v/>
      </c>
      <c r="AL68" s="119" t="str">
        <f ca="1">IFERROR(__xludf.DUMMYFUNCTION("""COMPUTED_VALUE"""),"")</f>
        <v/>
      </c>
      <c r="AM68" s="119" t="str">
        <f ca="1">IFERROR(__xludf.DUMMYFUNCTION("""COMPUTED_VALUE"""),"")</f>
        <v/>
      </c>
      <c r="AN68" s="119" t="str">
        <f ca="1">IFERROR(__xludf.DUMMYFUNCTION("""COMPUTED_VALUE"""),"")</f>
        <v/>
      </c>
      <c r="AO68" s="119" t="str">
        <f ca="1">IFERROR(__xludf.DUMMYFUNCTION("""COMPUTED_VALUE"""),"")</f>
        <v/>
      </c>
      <c r="AP68" s="119" t="str">
        <f ca="1">IFERROR(__xludf.DUMMYFUNCTION("""COMPUTED_VALUE"""),"")</f>
        <v/>
      </c>
      <c r="AQ68" s="119" t="str">
        <f ca="1">IFERROR(__xludf.DUMMYFUNCTION("""COMPUTED_VALUE"""),"")</f>
        <v/>
      </c>
      <c r="AR68" s="118" t="str">
        <f ca="1">IFERROR(__xludf.DUMMYFUNCTION("""COMPUTED_VALUE"""),"")</f>
        <v/>
      </c>
      <c r="AS68" s="119" t="str">
        <f ca="1">IFERROR(__xludf.DUMMYFUNCTION("""COMPUTED_VALUE"""),"")</f>
        <v/>
      </c>
      <c r="AT68" s="119" t="str">
        <f ca="1">IFERROR(__xludf.DUMMYFUNCTION("""COMPUTED_VALUE"""),"")</f>
        <v/>
      </c>
      <c r="AU68" s="119" t="str">
        <f ca="1">IFERROR(__xludf.DUMMYFUNCTION("""COMPUTED_VALUE"""),"")</f>
        <v/>
      </c>
      <c r="AV68" s="119" t="str">
        <f ca="1">IFERROR(__xludf.DUMMYFUNCTION("""COMPUTED_VALUE"""),"")</f>
        <v/>
      </c>
      <c r="AW68" s="119" t="str">
        <f ca="1">IFERROR(__xludf.DUMMYFUNCTION("""COMPUTED_VALUE"""),"")</f>
        <v/>
      </c>
      <c r="AX68" s="119" t="str">
        <f ca="1">IFERROR(__xludf.DUMMYFUNCTION("""COMPUTED_VALUE"""),"")</f>
        <v/>
      </c>
      <c r="AY68" s="119" t="str">
        <f ca="1">IFERROR(__xludf.DUMMYFUNCTION("""COMPUTED_VALUE"""),"")</f>
        <v/>
      </c>
      <c r="AZ68" s="119" t="str">
        <f ca="1">IFERROR(__xludf.DUMMYFUNCTION("""COMPUTED_VALUE"""),"")</f>
        <v/>
      </c>
      <c r="BA68" s="119" t="str">
        <f ca="1">IFERROR(__xludf.DUMMYFUNCTION("""COMPUTED_VALUE"""),"")</f>
        <v/>
      </c>
      <c r="BB68" s="119" t="str">
        <f ca="1">IFERROR(__xludf.DUMMYFUNCTION("""COMPUTED_VALUE"""),"")</f>
        <v/>
      </c>
      <c r="BC68" s="119" t="str">
        <f ca="1">IFERROR(__xludf.DUMMYFUNCTION("""COMPUTED_VALUE"""),"")</f>
        <v/>
      </c>
      <c r="BD68" s="119" t="str">
        <f ca="1">IFERROR(__xludf.DUMMYFUNCTION("""COMPUTED_VALUE"""),"")</f>
        <v/>
      </c>
      <c r="BE68" s="119" t="str">
        <f ca="1">IFERROR(__xludf.DUMMYFUNCTION("""COMPUTED_VALUE"""),"")</f>
        <v/>
      </c>
      <c r="BF68" s="119" t="str">
        <f ca="1">IFERROR(__xludf.DUMMYFUNCTION("""COMPUTED_VALUE"""),"")</f>
        <v/>
      </c>
      <c r="BG68" s="119" t="str">
        <f ca="1">IFERROR(__xludf.DUMMYFUNCTION("""COMPUTED_VALUE"""),"")</f>
        <v/>
      </c>
      <c r="BH68" s="119" t="str">
        <f ca="1">IFERROR(__xludf.DUMMYFUNCTION("""COMPUTED_VALUE"""),"")</f>
        <v/>
      </c>
      <c r="BI68" s="119" t="str">
        <f ca="1">IFERROR(__xludf.DUMMYFUNCTION("""COMPUTED_VALUE"""),"")</f>
        <v/>
      </c>
      <c r="BJ68" s="119" t="str">
        <f ca="1">IFERROR(__xludf.DUMMYFUNCTION("""COMPUTED_VALUE"""),"")</f>
        <v/>
      </c>
      <c r="BK68" s="119" t="str">
        <f ca="1">IFERROR(__xludf.DUMMYFUNCTION("""COMPUTED_VALUE"""),"")</f>
        <v/>
      </c>
      <c r="BL68" s="119" t="str">
        <f ca="1">IFERROR(__xludf.DUMMYFUNCTION("""COMPUTED_VALUE"""),"")</f>
        <v/>
      </c>
      <c r="BM68" s="119" t="str">
        <f ca="1">IFERROR(__xludf.DUMMYFUNCTION("""COMPUTED_VALUE"""),"")</f>
        <v/>
      </c>
      <c r="BN68" s="119" t="str">
        <f ca="1">IFERROR(__xludf.DUMMYFUNCTION("""COMPUTED_VALUE"""),"")</f>
        <v/>
      </c>
      <c r="BO68" s="119" t="str">
        <f ca="1">IFERROR(__xludf.DUMMYFUNCTION("""COMPUTED_VALUE"""),"")</f>
        <v/>
      </c>
      <c r="BP68" s="119" t="str">
        <f ca="1">IFERROR(__xludf.DUMMYFUNCTION("""COMPUTED_VALUE"""),"")</f>
        <v/>
      </c>
      <c r="BQ68" s="119" t="str">
        <f ca="1">IFERROR(__xludf.DUMMYFUNCTION("""COMPUTED_VALUE"""),"")</f>
        <v/>
      </c>
      <c r="BR68" s="119" t="str">
        <f ca="1">IFERROR(__xludf.DUMMYFUNCTION("""COMPUTED_VALUE"""),"")</f>
        <v/>
      </c>
      <c r="BS68" s="119" t="str">
        <f ca="1">IFERROR(__xludf.DUMMYFUNCTION("""COMPUTED_VALUE"""),"")</f>
        <v/>
      </c>
      <c r="BT68" s="119" t="str">
        <f ca="1">IFERROR(__xludf.DUMMYFUNCTION("""COMPUTED_VALUE"""),"")</f>
        <v/>
      </c>
      <c r="BU68" s="119" t="str">
        <f ca="1">IFERROR(__xludf.DUMMYFUNCTION("""COMPUTED_VALUE"""),"")</f>
        <v/>
      </c>
      <c r="BV68" s="119" t="str">
        <f ca="1">IFERROR(__xludf.DUMMYFUNCTION("""COMPUTED_VALUE"""),"")</f>
        <v/>
      </c>
      <c r="BW68" s="119" t="str">
        <f ca="1">IFERROR(__xludf.DUMMYFUNCTION("""COMPUTED_VALUE"""),"")</f>
        <v/>
      </c>
      <c r="BX68" s="119" t="str">
        <f ca="1">IFERROR(__xludf.DUMMYFUNCTION("""COMPUTED_VALUE"""),"")</f>
        <v/>
      </c>
      <c r="BY68" s="119" t="str">
        <f ca="1">IFERROR(__xludf.DUMMYFUNCTION("""COMPUTED_VALUE"""),"")</f>
        <v/>
      </c>
      <c r="BZ68" s="119" t="str">
        <f ca="1">IFERROR(__xludf.DUMMYFUNCTION("""COMPUTED_VALUE"""),"")</f>
        <v/>
      </c>
      <c r="CA68" s="119" t="str">
        <f ca="1">IFERROR(__xludf.DUMMYFUNCTION("""COMPUTED_VALUE"""),"")</f>
        <v/>
      </c>
      <c r="CB68" s="119" t="str">
        <f ca="1">IFERROR(__xludf.DUMMYFUNCTION("""COMPUTED_VALUE"""),"")</f>
        <v/>
      </c>
      <c r="CC68" s="119" t="str">
        <f ca="1">IFERROR(__xludf.DUMMYFUNCTION("""COMPUTED_VALUE"""),"")</f>
        <v/>
      </c>
      <c r="CD68" s="119" t="str">
        <f ca="1">IFERROR(__xludf.DUMMYFUNCTION("""COMPUTED_VALUE"""),"")</f>
        <v/>
      </c>
      <c r="CE68" s="119" t="str">
        <f ca="1">IFERROR(__xludf.DUMMYFUNCTION("""COMPUTED_VALUE"""),"")</f>
        <v/>
      </c>
      <c r="CF68" s="119" t="str">
        <f ca="1">IFERROR(__xludf.DUMMYFUNCTION("""COMPUTED_VALUE"""),"")</f>
        <v/>
      </c>
      <c r="CG68" s="119" t="str">
        <f ca="1">IFERROR(__xludf.DUMMYFUNCTION("""COMPUTED_VALUE"""),"")</f>
        <v/>
      </c>
      <c r="CH68" s="119" t="str">
        <f ca="1">IFERROR(__xludf.DUMMYFUNCTION("""COMPUTED_VALUE"""),"")</f>
        <v/>
      </c>
      <c r="CI68" s="119" t="str">
        <f ca="1">IFERROR(__xludf.DUMMYFUNCTION("""COMPUTED_VALUE"""),"")</f>
        <v/>
      </c>
      <c r="CJ68" s="119" t="str">
        <f ca="1">IFERROR(__xludf.DUMMYFUNCTION("""COMPUTED_VALUE"""),"")</f>
        <v/>
      </c>
      <c r="CK68" s="119" t="str">
        <f ca="1">IFERROR(__xludf.DUMMYFUNCTION("""COMPUTED_VALUE"""),"")</f>
        <v/>
      </c>
      <c r="CL68" s="119" t="str">
        <f ca="1">IFERROR(__xludf.DUMMYFUNCTION("""COMPUTED_VALUE"""),"")</f>
        <v/>
      </c>
      <c r="CM68" s="119" t="str">
        <f ca="1">IFERROR(__xludf.DUMMYFUNCTION("""COMPUTED_VALUE"""),"")</f>
        <v/>
      </c>
      <c r="CN68" s="119" t="str">
        <f ca="1">IFERROR(__xludf.DUMMYFUNCTION("""COMPUTED_VALUE"""),"")</f>
        <v/>
      </c>
      <c r="CO68" s="119" t="str">
        <f ca="1">IFERROR(__xludf.DUMMYFUNCTION("""COMPUTED_VALUE"""),"")</f>
        <v/>
      </c>
      <c r="CP68" s="119" t="str">
        <f ca="1">IFERROR(__xludf.DUMMYFUNCTION("""COMPUTED_VALUE"""),"")</f>
        <v/>
      </c>
      <c r="CQ68" s="119" t="str">
        <f ca="1">IFERROR(__xludf.DUMMYFUNCTION("""COMPUTED_VALUE"""),"")</f>
        <v/>
      </c>
      <c r="CR68" s="119" t="str">
        <f ca="1">IFERROR(__xludf.DUMMYFUNCTION("""COMPUTED_VALUE"""),"")</f>
        <v/>
      </c>
      <c r="CS68" s="119" t="str">
        <f ca="1">IFERROR(__xludf.DUMMYFUNCTION("""COMPUTED_VALUE"""),"")</f>
        <v/>
      </c>
      <c r="CT68" s="119" t="str">
        <f ca="1">IFERROR(__xludf.DUMMYFUNCTION("""COMPUTED_VALUE"""),"")</f>
        <v/>
      </c>
      <c r="CU68" s="119" t="str">
        <f ca="1">IFERROR(__xludf.DUMMYFUNCTION("""COMPUTED_VALUE"""),"")</f>
        <v/>
      </c>
      <c r="CV68" s="119" t="str">
        <f ca="1">IFERROR(__xludf.DUMMYFUNCTION("""COMPUTED_VALUE"""),"")</f>
        <v/>
      </c>
      <c r="CW68" s="119" t="str">
        <f ca="1">IFERROR(__xludf.DUMMYFUNCTION("""COMPUTED_VALUE"""),"")</f>
        <v/>
      </c>
      <c r="CX68" s="119" t="str">
        <f ca="1">IFERROR(__xludf.DUMMYFUNCTION("""COMPUTED_VALUE"""),"")</f>
        <v/>
      </c>
      <c r="CY68" s="119" t="str">
        <f ca="1">IFERROR(__xludf.DUMMYFUNCTION("""COMPUTED_VALUE"""),"")</f>
        <v/>
      </c>
      <c r="CZ68" s="119" t="str">
        <f ca="1">IFERROR(__xludf.DUMMYFUNCTION("""COMPUTED_VALUE"""),"")</f>
        <v/>
      </c>
      <c r="DA68" s="119" t="str">
        <f ca="1">IFERROR(__xludf.DUMMYFUNCTION("""COMPUTED_VALUE"""),"")</f>
        <v/>
      </c>
      <c r="DB68" s="119" t="str">
        <f ca="1">IFERROR(__xludf.DUMMYFUNCTION("""COMPUTED_VALUE"""),"")</f>
        <v/>
      </c>
      <c r="DC68" s="119" t="str">
        <f ca="1">IFERROR(__xludf.DUMMYFUNCTION("""COMPUTED_VALUE"""),"")</f>
        <v/>
      </c>
      <c r="DD68" s="119" t="str">
        <f ca="1">IFERROR(__xludf.DUMMYFUNCTION("""COMPUTED_VALUE"""),"")</f>
        <v/>
      </c>
      <c r="DE68" s="119" t="str">
        <f ca="1">IFERROR(__xludf.DUMMYFUNCTION("""COMPUTED_VALUE"""),"")</f>
        <v/>
      </c>
      <c r="DF68" s="119" t="str">
        <f ca="1">IFERROR(__xludf.DUMMYFUNCTION("""COMPUTED_VALUE"""),"")</f>
        <v/>
      </c>
      <c r="DG68" s="119" t="str">
        <f ca="1">IFERROR(__xludf.DUMMYFUNCTION("""COMPUTED_VALUE"""),"")</f>
        <v/>
      </c>
      <c r="DH68" s="119" t="str">
        <f ca="1">IFERROR(__xludf.DUMMYFUNCTION("""COMPUTED_VALUE"""),"")</f>
        <v/>
      </c>
      <c r="DI68" s="119" t="str">
        <f ca="1">IFERROR(__xludf.DUMMYFUNCTION("""COMPUTED_VALUE"""),"")</f>
        <v/>
      </c>
      <c r="DJ68" s="119" t="str">
        <f ca="1">IFERROR(__xludf.DUMMYFUNCTION("""COMPUTED_VALUE"""),"")</f>
        <v/>
      </c>
      <c r="DK68" s="119" t="str">
        <f ca="1">IFERROR(__xludf.DUMMYFUNCTION("""COMPUTED_VALUE"""),"")</f>
        <v/>
      </c>
      <c r="DL68" s="119" t="str">
        <f ca="1">IFERROR(__xludf.DUMMYFUNCTION("""COMPUTED_VALUE"""),"")</f>
        <v/>
      </c>
      <c r="DM68" s="119" t="str">
        <f ca="1">IFERROR(__xludf.DUMMYFUNCTION("""COMPUTED_VALUE"""),"")</f>
        <v/>
      </c>
      <c r="DN68" s="119" t="str">
        <f ca="1">IFERROR(__xludf.DUMMYFUNCTION("""COMPUTED_VALUE"""),"")</f>
        <v/>
      </c>
      <c r="DO68" s="119" t="str">
        <f ca="1">IFERROR(__xludf.DUMMYFUNCTION("""COMPUTED_VALUE"""),"")</f>
        <v/>
      </c>
      <c r="DP68" s="119" t="str">
        <f ca="1">IFERROR(__xludf.DUMMYFUNCTION("""COMPUTED_VALUE"""),"")</f>
        <v/>
      </c>
      <c r="DQ68" s="119" t="str">
        <f ca="1">IFERROR(__xludf.DUMMYFUNCTION("""COMPUTED_VALUE"""),"")</f>
        <v/>
      </c>
      <c r="DR68" s="119" t="str">
        <f ca="1">IFERROR(__xludf.DUMMYFUNCTION("""COMPUTED_VALUE"""),"")</f>
        <v/>
      </c>
      <c r="DS68" s="119" t="str">
        <f ca="1">IFERROR(__xludf.DUMMYFUNCTION("""COMPUTED_VALUE"""),"")</f>
        <v/>
      </c>
      <c r="DT68" s="119" t="str">
        <f ca="1">IFERROR(__xludf.DUMMYFUNCTION("""COMPUTED_VALUE"""),"")</f>
        <v/>
      </c>
      <c r="DU68" s="119" t="str">
        <f ca="1">IFERROR(__xludf.DUMMYFUNCTION("""COMPUTED_VALUE"""),"")</f>
        <v/>
      </c>
      <c r="DV68" s="119" t="str">
        <f ca="1">IFERROR(__xludf.DUMMYFUNCTION("""COMPUTED_VALUE"""),"")</f>
        <v/>
      </c>
      <c r="DW68" s="119" t="str">
        <f ca="1">IFERROR(__xludf.DUMMYFUNCTION("""COMPUTED_VALUE"""),"")</f>
        <v/>
      </c>
      <c r="DX68" s="119" t="str">
        <f ca="1">IFERROR(__xludf.DUMMYFUNCTION("""COMPUTED_VALUE"""),"")</f>
        <v/>
      </c>
      <c r="DY68" s="119" t="str">
        <f ca="1">IFERROR(__xludf.DUMMYFUNCTION("""COMPUTED_VALUE"""),"")</f>
        <v/>
      </c>
      <c r="DZ68" s="119" t="str">
        <f ca="1">IFERROR(__xludf.DUMMYFUNCTION("""COMPUTED_VALUE"""),"")</f>
        <v/>
      </c>
      <c r="EA68" s="119" t="str">
        <f ca="1">IFERROR(__xludf.DUMMYFUNCTION("""COMPUTED_VALUE"""),"")</f>
        <v/>
      </c>
      <c r="EB68" s="119" t="str">
        <f ca="1">IFERROR(__xludf.DUMMYFUNCTION("""COMPUTED_VALUE"""),"")</f>
        <v/>
      </c>
      <c r="EC68" s="119" t="str">
        <f ca="1">IFERROR(__xludf.DUMMYFUNCTION("""COMPUTED_VALUE"""),"")</f>
        <v/>
      </c>
      <c r="ED68" s="119" t="str">
        <f ca="1">IFERROR(__xludf.DUMMYFUNCTION("""COMPUTED_VALUE"""),"")</f>
        <v/>
      </c>
      <c r="EE68" s="119" t="str">
        <f ca="1">IFERROR(__xludf.DUMMYFUNCTION("""COMPUTED_VALUE"""),"")</f>
        <v/>
      </c>
      <c r="EF68" s="119" t="str">
        <f ca="1">IFERROR(__xludf.DUMMYFUNCTION("""COMPUTED_VALUE"""),"")</f>
        <v/>
      </c>
      <c r="EG68" s="119" t="str">
        <f ca="1">IFERROR(__xludf.DUMMYFUNCTION("""COMPUTED_VALUE"""),"")</f>
        <v/>
      </c>
      <c r="EH68" s="119" t="str">
        <f ca="1">IFERROR(__xludf.DUMMYFUNCTION("""COMPUTED_VALUE"""),"")</f>
        <v/>
      </c>
      <c r="EI68" s="119" t="str">
        <f ca="1">IFERROR(__xludf.DUMMYFUNCTION("""COMPUTED_VALUE"""),"")</f>
        <v/>
      </c>
      <c r="EJ68" s="119" t="str">
        <f ca="1">IFERROR(__xludf.DUMMYFUNCTION("""COMPUTED_VALUE"""),"")</f>
        <v/>
      </c>
      <c r="EK68" s="119" t="str">
        <f ca="1">IFERROR(__xludf.DUMMYFUNCTION("""COMPUTED_VALUE"""),"")</f>
        <v/>
      </c>
      <c r="EL68" s="119" t="str">
        <f ca="1">IFERROR(__xludf.DUMMYFUNCTION("""COMPUTED_VALUE"""),"")</f>
        <v/>
      </c>
      <c r="EM68" s="119" t="str">
        <f ca="1">IFERROR(__xludf.DUMMYFUNCTION("""COMPUTED_VALUE"""),"")</f>
        <v/>
      </c>
      <c r="EN68" s="119" t="str">
        <f ca="1">IFERROR(__xludf.DUMMYFUNCTION("""COMPUTED_VALUE"""),"")</f>
        <v/>
      </c>
      <c r="EO68" s="119" t="str">
        <f ca="1">IFERROR(__xludf.DUMMYFUNCTION("""COMPUTED_VALUE"""),"")</f>
        <v/>
      </c>
      <c r="EP68" s="119" t="str">
        <f ca="1">IFERROR(__xludf.DUMMYFUNCTION("""COMPUTED_VALUE"""),"")</f>
        <v/>
      </c>
      <c r="EQ68" s="119" t="str">
        <f ca="1">IFERROR(__xludf.DUMMYFUNCTION("""COMPUTED_VALUE"""),"")</f>
        <v/>
      </c>
      <c r="ER68" s="119" t="str">
        <f ca="1">IFERROR(__xludf.DUMMYFUNCTION("""COMPUTED_VALUE"""),"")</f>
        <v/>
      </c>
      <c r="ES68" s="119" t="str">
        <f ca="1">IFERROR(__xludf.DUMMYFUNCTION("""COMPUTED_VALUE"""),"")</f>
        <v/>
      </c>
      <c r="ET68" s="119" t="str">
        <f ca="1">IFERROR(__xludf.DUMMYFUNCTION("""COMPUTED_VALUE"""),"")</f>
        <v/>
      </c>
      <c r="EU68" s="119" t="str">
        <f ca="1">IFERROR(__xludf.DUMMYFUNCTION("""COMPUTED_VALUE"""),"")</f>
        <v/>
      </c>
      <c r="EV68" s="119" t="str">
        <f ca="1">IFERROR(__xludf.DUMMYFUNCTION("""COMPUTED_VALUE"""),"")</f>
        <v/>
      </c>
      <c r="EW68" s="119" t="str">
        <f ca="1">IFERROR(__xludf.DUMMYFUNCTION("""COMPUTED_VALUE"""),"")</f>
        <v/>
      </c>
      <c r="EX68" s="117" t="str">
        <f ca="1">IFERROR(__xludf.DUMMYFUNCTION("""COMPUTED_VALUE"""),"")</f>
        <v/>
      </c>
      <c r="EY68" s="117" t="str">
        <f ca="1">IFERROR(__xludf.DUMMYFUNCTION("""COMPUTED_VALUE"""),"")</f>
        <v/>
      </c>
      <c r="EZ68" s="117" t="str">
        <f ca="1">IFERROR(__xludf.DUMMYFUNCTION("""COMPUTED_VALUE"""),"")</f>
        <v/>
      </c>
      <c r="FA68" s="117" t="str">
        <f ca="1">IFERROR(__xludf.DUMMYFUNCTION("""COMPUTED_VALUE"""),"")</f>
        <v/>
      </c>
      <c r="FB68" s="117" t="str">
        <f ca="1">IFERROR(__xludf.DUMMYFUNCTION("""COMPUTED_VALUE"""),"")</f>
        <v/>
      </c>
      <c r="FC68" s="117" t="str">
        <f ca="1">IFERROR(__xludf.DUMMYFUNCTION("""COMPUTED_VALUE"""),"")</f>
        <v/>
      </c>
      <c r="FD68" s="117" t="str">
        <f ca="1">IFERROR(__xludf.DUMMYFUNCTION("""COMPUTED_VALUE"""),"")</f>
        <v/>
      </c>
      <c r="FE68" s="117" t="str">
        <f ca="1">IFERROR(__xludf.DUMMYFUNCTION("""COMPUTED_VALUE"""),"")</f>
        <v/>
      </c>
      <c r="FF68" s="117" t="str">
        <f ca="1">IFERROR(__xludf.DUMMYFUNCTION("""COMPUTED_VALUE"""),"")</f>
        <v/>
      </c>
      <c r="FG68" s="117" t="str">
        <f ca="1">IFERROR(__xludf.DUMMYFUNCTION("""COMPUTED_VALUE"""),"")</f>
        <v/>
      </c>
      <c r="FH68" s="117" t="str">
        <f ca="1">IFERROR(__xludf.DUMMYFUNCTION("""COMPUTED_VALUE"""),"")</f>
        <v/>
      </c>
      <c r="FI68" s="117" t="str">
        <f ca="1">IFERROR(__xludf.DUMMYFUNCTION("""COMPUTED_VALUE"""),"")</f>
        <v/>
      </c>
      <c r="FJ68" s="117" t="str">
        <f ca="1">IFERROR(__xludf.DUMMYFUNCTION("""COMPUTED_VALUE"""),"")</f>
        <v/>
      </c>
      <c r="FK68" s="117" t="str">
        <f ca="1">IFERROR(__xludf.DUMMYFUNCTION("""COMPUTED_VALUE"""),"")</f>
        <v/>
      </c>
      <c r="FL68" s="117" t="str">
        <f ca="1">IFERROR(__xludf.DUMMYFUNCTION("""COMPUTED_VALUE"""),"")</f>
        <v/>
      </c>
      <c r="FM68" s="117" t="str">
        <f ca="1">IFERROR(__xludf.DUMMYFUNCTION("""COMPUTED_VALUE"""),"")</f>
        <v/>
      </c>
      <c r="FN68" s="117" t="str">
        <f ca="1">IFERROR(__xludf.DUMMYFUNCTION("""COMPUTED_VALUE"""),"")</f>
        <v/>
      </c>
      <c r="FO68" s="117" t="str">
        <f ca="1">IFERROR(__xludf.DUMMYFUNCTION("""COMPUTED_VALUE"""),"")</f>
        <v/>
      </c>
    </row>
    <row r="69" spans="1:171" ht="13" x14ac:dyDescent="0.15">
      <c r="A69" s="115" t="str">
        <f ca="1">IFERROR(__xludf.DUMMYFUNCTION("""COMPUTED_VALUE"""),"")</f>
        <v/>
      </c>
      <c r="B69" s="119" t="str">
        <f ca="1">IFERROR(__xludf.DUMMYFUNCTION("""COMPUTED_VALUE"""),"")</f>
        <v/>
      </c>
      <c r="C69" s="119" t="str">
        <f ca="1">IFERROR(__xludf.DUMMYFUNCTION("""COMPUTED_VALUE"""),"")</f>
        <v/>
      </c>
      <c r="D69" s="119" t="str">
        <f ca="1">IFERROR(__xludf.DUMMYFUNCTION("""COMPUTED_VALUE"""),"")</f>
        <v/>
      </c>
      <c r="E69" s="119" t="str">
        <f ca="1">IFERROR(__xludf.DUMMYFUNCTION("""COMPUTED_VALUE"""),"")</f>
        <v/>
      </c>
      <c r="F69" s="119" t="str">
        <f ca="1">IFERROR(__xludf.DUMMYFUNCTION("""COMPUTED_VALUE"""),"")</f>
        <v/>
      </c>
      <c r="G69" s="119" t="str">
        <f ca="1">IFERROR(__xludf.DUMMYFUNCTION("""COMPUTED_VALUE"""),"")</f>
        <v/>
      </c>
      <c r="H69" s="119" t="str">
        <f ca="1">IFERROR(__xludf.DUMMYFUNCTION("""COMPUTED_VALUE"""),"")</f>
        <v/>
      </c>
      <c r="I69" s="119" t="str">
        <f ca="1">IFERROR(__xludf.DUMMYFUNCTION("""COMPUTED_VALUE"""),"")</f>
        <v/>
      </c>
      <c r="J69" s="119" t="str">
        <f ca="1">IFERROR(__xludf.DUMMYFUNCTION("""COMPUTED_VALUE"""),"")</f>
        <v/>
      </c>
      <c r="K69" s="119" t="str">
        <f ca="1">IFERROR(__xludf.DUMMYFUNCTION("""COMPUTED_VALUE"""),"")</f>
        <v/>
      </c>
      <c r="L69" s="119" t="str">
        <f ca="1">IFERROR(__xludf.DUMMYFUNCTION("""COMPUTED_VALUE"""),"")</f>
        <v/>
      </c>
      <c r="M69" s="119" t="str">
        <f ca="1">IFERROR(__xludf.DUMMYFUNCTION("""COMPUTED_VALUE"""),"")</f>
        <v/>
      </c>
      <c r="N69" s="119" t="str">
        <f ca="1">IFERROR(__xludf.DUMMYFUNCTION("""COMPUTED_VALUE"""),"")</f>
        <v/>
      </c>
      <c r="O69" s="119" t="str">
        <f ca="1">IFERROR(__xludf.DUMMYFUNCTION("""COMPUTED_VALUE"""),"")</f>
        <v/>
      </c>
      <c r="P69" s="119" t="str">
        <f ca="1">IFERROR(__xludf.DUMMYFUNCTION("""COMPUTED_VALUE"""),"")</f>
        <v/>
      </c>
      <c r="Q69" s="119" t="str">
        <f ca="1">IFERROR(__xludf.DUMMYFUNCTION("""COMPUTED_VALUE"""),"")</f>
        <v/>
      </c>
      <c r="R69" s="119" t="str">
        <f ca="1">IFERROR(__xludf.DUMMYFUNCTION("""COMPUTED_VALUE"""),"")</f>
        <v/>
      </c>
      <c r="S69" s="119" t="str">
        <f ca="1">IFERROR(__xludf.DUMMYFUNCTION("""COMPUTED_VALUE"""),"")</f>
        <v/>
      </c>
      <c r="T69" s="119" t="str">
        <f ca="1">IFERROR(__xludf.DUMMYFUNCTION("""COMPUTED_VALUE"""),"")</f>
        <v/>
      </c>
      <c r="U69" s="119" t="str">
        <f ca="1">IFERROR(__xludf.DUMMYFUNCTION("""COMPUTED_VALUE"""),"")</f>
        <v/>
      </c>
      <c r="V69" s="119" t="str">
        <f ca="1">IFERROR(__xludf.DUMMYFUNCTION("""COMPUTED_VALUE"""),"")</f>
        <v/>
      </c>
      <c r="W69" s="119" t="str">
        <f ca="1">IFERROR(__xludf.DUMMYFUNCTION("""COMPUTED_VALUE"""),"")</f>
        <v/>
      </c>
      <c r="X69" s="119" t="str">
        <f ca="1">IFERROR(__xludf.DUMMYFUNCTION("""COMPUTED_VALUE"""),"")</f>
        <v/>
      </c>
      <c r="Y69" s="119" t="str">
        <f ca="1">IFERROR(__xludf.DUMMYFUNCTION("""COMPUTED_VALUE"""),"")</f>
        <v/>
      </c>
      <c r="Z69" s="119" t="str">
        <f ca="1">IFERROR(__xludf.DUMMYFUNCTION("""COMPUTED_VALUE"""),"")</f>
        <v/>
      </c>
      <c r="AA69" s="119" t="str">
        <f ca="1">IFERROR(__xludf.DUMMYFUNCTION("""COMPUTED_VALUE"""),"")</f>
        <v/>
      </c>
      <c r="AB69" s="119" t="str">
        <f ca="1">IFERROR(__xludf.DUMMYFUNCTION("""COMPUTED_VALUE"""),"")</f>
        <v/>
      </c>
      <c r="AC69" s="119" t="str">
        <f ca="1">IFERROR(__xludf.DUMMYFUNCTION("""COMPUTED_VALUE"""),"")</f>
        <v/>
      </c>
      <c r="AD69" s="119" t="str">
        <f ca="1">IFERROR(__xludf.DUMMYFUNCTION("""COMPUTED_VALUE"""),"")</f>
        <v/>
      </c>
      <c r="AE69" s="119" t="str">
        <f ca="1">IFERROR(__xludf.DUMMYFUNCTION("""COMPUTED_VALUE"""),"")</f>
        <v/>
      </c>
      <c r="AF69" s="119" t="str">
        <f ca="1">IFERROR(__xludf.DUMMYFUNCTION("""COMPUTED_VALUE"""),"")</f>
        <v/>
      </c>
      <c r="AG69" s="119" t="str">
        <f ca="1">IFERROR(__xludf.DUMMYFUNCTION("""COMPUTED_VALUE"""),"")</f>
        <v/>
      </c>
      <c r="AH69" s="119" t="str">
        <f ca="1">IFERROR(__xludf.DUMMYFUNCTION("""COMPUTED_VALUE"""),"")</f>
        <v/>
      </c>
      <c r="AI69" s="119" t="str">
        <f ca="1">IFERROR(__xludf.DUMMYFUNCTION("""COMPUTED_VALUE"""),"")</f>
        <v/>
      </c>
      <c r="AJ69" s="119" t="str">
        <f ca="1">IFERROR(__xludf.DUMMYFUNCTION("""COMPUTED_VALUE"""),"")</f>
        <v/>
      </c>
      <c r="AK69" s="119" t="str">
        <f ca="1">IFERROR(__xludf.DUMMYFUNCTION("""COMPUTED_VALUE"""),"")</f>
        <v/>
      </c>
      <c r="AL69" s="119" t="str">
        <f ca="1">IFERROR(__xludf.DUMMYFUNCTION("""COMPUTED_VALUE"""),"")</f>
        <v/>
      </c>
      <c r="AM69" s="119" t="str">
        <f ca="1">IFERROR(__xludf.DUMMYFUNCTION("""COMPUTED_VALUE"""),"")</f>
        <v/>
      </c>
      <c r="AN69" s="119" t="str">
        <f ca="1">IFERROR(__xludf.DUMMYFUNCTION("""COMPUTED_VALUE"""),"")</f>
        <v/>
      </c>
      <c r="AO69" s="119" t="str">
        <f ca="1">IFERROR(__xludf.DUMMYFUNCTION("""COMPUTED_VALUE"""),"")</f>
        <v/>
      </c>
      <c r="AP69" s="119" t="str">
        <f ca="1">IFERROR(__xludf.DUMMYFUNCTION("""COMPUTED_VALUE"""),"")</f>
        <v/>
      </c>
      <c r="AQ69" s="119" t="str">
        <f ca="1">IFERROR(__xludf.DUMMYFUNCTION("""COMPUTED_VALUE"""),"")</f>
        <v/>
      </c>
      <c r="AR69" s="118" t="str">
        <f ca="1">IFERROR(__xludf.DUMMYFUNCTION("""COMPUTED_VALUE"""),"")</f>
        <v/>
      </c>
      <c r="AS69" s="119" t="str">
        <f ca="1">IFERROR(__xludf.DUMMYFUNCTION("""COMPUTED_VALUE"""),"")</f>
        <v/>
      </c>
      <c r="AT69" s="119" t="str">
        <f ca="1">IFERROR(__xludf.DUMMYFUNCTION("""COMPUTED_VALUE"""),"")</f>
        <v/>
      </c>
      <c r="AU69" s="119" t="str">
        <f ca="1">IFERROR(__xludf.DUMMYFUNCTION("""COMPUTED_VALUE"""),"")</f>
        <v/>
      </c>
      <c r="AV69" s="119" t="str">
        <f ca="1">IFERROR(__xludf.DUMMYFUNCTION("""COMPUTED_VALUE"""),"")</f>
        <v/>
      </c>
      <c r="AW69" s="119" t="str">
        <f ca="1">IFERROR(__xludf.DUMMYFUNCTION("""COMPUTED_VALUE"""),"")</f>
        <v/>
      </c>
      <c r="AX69" s="119" t="str">
        <f ca="1">IFERROR(__xludf.DUMMYFUNCTION("""COMPUTED_VALUE"""),"")</f>
        <v/>
      </c>
      <c r="AY69" s="119" t="str">
        <f ca="1">IFERROR(__xludf.DUMMYFUNCTION("""COMPUTED_VALUE"""),"")</f>
        <v/>
      </c>
      <c r="AZ69" s="119" t="str">
        <f ca="1">IFERROR(__xludf.DUMMYFUNCTION("""COMPUTED_VALUE"""),"")</f>
        <v/>
      </c>
      <c r="BA69" s="119" t="str">
        <f ca="1">IFERROR(__xludf.DUMMYFUNCTION("""COMPUTED_VALUE"""),"")</f>
        <v/>
      </c>
      <c r="BB69" s="119" t="str">
        <f ca="1">IFERROR(__xludf.DUMMYFUNCTION("""COMPUTED_VALUE"""),"")</f>
        <v/>
      </c>
      <c r="BC69" s="119" t="str">
        <f ca="1">IFERROR(__xludf.DUMMYFUNCTION("""COMPUTED_VALUE"""),"")</f>
        <v/>
      </c>
      <c r="BD69" s="119" t="str">
        <f ca="1">IFERROR(__xludf.DUMMYFUNCTION("""COMPUTED_VALUE"""),"")</f>
        <v/>
      </c>
      <c r="BE69" s="119" t="str">
        <f ca="1">IFERROR(__xludf.DUMMYFUNCTION("""COMPUTED_VALUE"""),"")</f>
        <v/>
      </c>
      <c r="BF69" s="119" t="str">
        <f ca="1">IFERROR(__xludf.DUMMYFUNCTION("""COMPUTED_VALUE"""),"")</f>
        <v/>
      </c>
      <c r="BG69" s="119" t="str">
        <f ca="1">IFERROR(__xludf.DUMMYFUNCTION("""COMPUTED_VALUE"""),"")</f>
        <v/>
      </c>
      <c r="BH69" s="119" t="str">
        <f ca="1">IFERROR(__xludf.DUMMYFUNCTION("""COMPUTED_VALUE"""),"")</f>
        <v/>
      </c>
      <c r="BI69" s="119" t="str">
        <f ca="1">IFERROR(__xludf.DUMMYFUNCTION("""COMPUTED_VALUE"""),"")</f>
        <v/>
      </c>
      <c r="BJ69" s="119" t="str">
        <f ca="1">IFERROR(__xludf.DUMMYFUNCTION("""COMPUTED_VALUE"""),"")</f>
        <v/>
      </c>
      <c r="BK69" s="119" t="str">
        <f ca="1">IFERROR(__xludf.DUMMYFUNCTION("""COMPUTED_VALUE"""),"")</f>
        <v/>
      </c>
      <c r="BL69" s="119" t="str">
        <f ca="1">IFERROR(__xludf.DUMMYFUNCTION("""COMPUTED_VALUE"""),"")</f>
        <v/>
      </c>
      <c r="BM69" s="119" t="str">
        <f ca="1">IFERROR(__xludf.DUMMYFUNCTION("""COMPUTED_VALUE"""),"")</f>
        <v/>
      </c>
      <c r="BN69" s="119" t="str">
        <f ca="1">IFERROR(__xludf.DUMMYFUNCTION("""COMPUTED_VALUE"""),"")</f>
        <v/>
      </c>
      <c r="BO69" s="119" t="str">
        <f ca="1">IFERROR(__xludf.DUMMYFUNCTION("""COMPUTED_VALUE"""),"")</f>
        <v/>
      </c>
      <c r="BP69" s="119" t="str">
        <f ca="1">IFERROR(__xludf.DUMMYFUNCTION("""COMPUTED_VALUE"""),"")</f>
        <v/>
      </c>
      <c r="BQ69" s="119" t="str">
        <f ca="1">IFERROR(__xludf.DUMMYFUNCTION("""COMPUTED_VALUE"""),"")</f>
        <v/>
      </c>
      <c r="BR69" s="119" t="str">
        <f ca="1">IFERROR(__xludf.DUMMYFUNCTION("""COMPUTED_VALUE"""),"")</f>
        <v/>
      </c>
      <c r="BS69" s="119" t="str">
        <f ca="1">IFERROR(__xludf.DUMMYFUNCTION("""COMPUTED_VALUE"""),"")</f>
        <v/>
      </c>
      <c r="BT69" s="119" t="str">
        <f ca="1">IFERROR(__xludf.DUMMYFUNCTION("""COMPUTED_VALUE"""),"")</f>
        <v/>
      </c>
      <c r="BU69" s="119" t="str">
        <f ca="1">IFERROR(__xludf.DUMMYFUNCTION("""COMPUTED_VALUE"""),"")</f>
        <v/>
      </c>
      <c r="BV69" s="119" t="str">
        <f ca="1">IFERROR(__xludf.DUMMYFUNCTION("""COMPUTED_VALUE"""),"")</f>
        <v/>
      </c>
      <c r="BW69" s="119" t="str">
        <f ca="1">IFERROR(__xludf.DUMMYFUNCTION("""COMPUTED_VALUE"""),"")</f>
        <v/>
      </c>
      <c r="BX69" s="119" t="str">
        <f ca="1">IFERROR(__xludf.DUMMYFUNCTION("""COMPUTED_VALUE"""),"")</f>
        <v/>
      </c>
      <c r="BY69" s="119" t="str">
        <f ca="1">IFERROR(__xludf.DUMMYFUNCTION("""COMPUTED_VALUE"""),"")</f>
        <v/>
      </c>
      <c r="BZ69" s="119" t="str">
        <f ca="1">IFERROR(__xludf.DUMMYFUNCTION("""COMPUTED_VALUE"""),"")</f>
        <v/>
      </c>
      <c r="CA69" s="119" t="str">
        <f ca="1">IFERROR(__xludf.DUMMYFUNCTION("""COMPUTED_VALUE"""),"")</f>
        <v/>
      </c>
      <c r="CB69" s="119" t="str">
        <f ca="1">IFERROR(__xludf.DUMMYFUNCTION("""COMPUTED_VALUE"""),"")</f>
        <v/>
      </c>
      <c r="CC69" s="119" t="str">
        <f ca="1">IFERROR(__xludf.DUMMYFUNCTION("""COMPUTED_VALUE"""),"")</f>
        <v/>
      </c>
      <c r="CD69" s="119" t="str">
        <f ca="1">IFERROR(__xludf.DUMMYFUNCTION("""COMPUTED_VALUE"""),"")</f>
        <v/>
      </c>
      <c r="CE69" s="119" t="str">
        <f ca="1">IFERROR(__xludf.DUMMYFUNCTION("""COMPUTED_VALUE"""),"")</f>
        <v/>
      </c>
      <c r="CF69" s="119" t="str">
        <f ca="1">IFERROR(__xludf.DUMMYFUNCTION("""COMPUTED_VALUE"""),"")</f>
        <v/>
      </c>
      <c r="CG69" s="119" t="str">
        <f ca="1">IFERROR(__xludf.DUMMYFUNCTION("""COMPUTED_VALUE"""),"")</f>
        <v/>
      </c>
      <c r="CH69" s="119" t="str">
        <f ca="1">IFERROR(__xludf.DUMMYFUNCTION("""COMPUTED_VALUE"""),"")</f>
        <v/>
      </c>
      <c r="CI69" s="119" t="str">
        <f ca="1">IFERROR(__xludf.DUMMYFUNCTION("""COMPUTED_VALUE"""),"")</f>
        <v/>
      </c>
      <c r="CJ69" s="119" t="str">
        <f ca="1">IFERROR(__xludf.DUMMYFUNCTION("""COMPUTED_VALUE"""),"")</f>
        <v/>
      </c>
      <c r="CK69" s="119" t="str">
        <f ca="1">IFERROR(__xludf.DUMMYFUNCTION("""COMPUTED_VALUE"""),"")</f>
        <v/>
      </c>
      <c r="CL69" s="119" t="str">
        <f ca="1">IFERROR(__xludf.DUMMYFUNCTION("""COMPUTED_VALUE"""),"")</f>
        <v/>
      </c>
      <c r="CM69" s="119" t="str">
        <f ca="1">IFERROR(__xludf.DUMMYFUNCTION("""COMPUTED_VALUE"""),"")</f>
        <v/>
      </c>
      <c r="CN69" s="119" t="str">
        <f ca="1">IFERROR(__xludf.DUMMYFUNCTION("""COMPUTED_VALUE"""),"")</f>
        <v/>
      </c>
      <c r="CO69" s="119" t="str">
        <f ca="1">IFERROR(__xludf.DUMMYFUNCTION("""COMPUTED_VALUE"""),"")</f>
        <v/>
      </c>
      <c r="CP69" s="119" t="str">
        <f ca="1">IFERROR(__xludf.DUMMYFUNCTION("""COMPUTED_VALUE"""),"")</f>
        <v/>
      </c>
      <c r="CQ69" s="119" t="str">
        <f ca="1">IFERROR(__xludf.DUMMYFUNCTION("""COMPUTED_VALUE"""),"")</f>
        <v/>
      </c>
      <c r="CR69" s="119" t="str">
        <f ca="1">IFERROR(__xludf.DUMMYFUNCTION("""COMPUTED_VALUE"""),"")</f>
        <v/>
      </c>
      <c r="CS69" s="119" t="str">
        <f ca="1">IFERROR(__xludf.DUMMYFUNCTION("""COMPUTED_VALUE"""),"")</f>
        <v/>
      </c>
      <c r="CT69" s="119" t="str">
        <f ca="1">IFERROR(__xludf.DUMMYFUNCTION("""COMPUTED_VALUE"""),"")</f>
        <v/>
      </c>
      <c r="CU69" s="119" t="str">
        <f ca="1">IFERROR(__xludf.DUMMYFUNCTION("""COMPUTED_VALUE"""),"")</f>
        <v/>
      </c>
      <c r="CV69" s="119" t="str">
        <f ca="1">IFERROR(__xludf.DUMMYFUNCTION("""COMPUTED_VALUE"""),"")</f>
        <v/>
      </c>
      <c r="CW69" s="119" t="str">
        <f ca="1">IFERROR(__xludf.DUMMYFUNCTION("""COMPUTED_VALUE"""),"")</f>
        <v/>
      </c>
      <c r="CX69" s="119" t="str">
        <f ca="1">IFERROR(__xludf.DUMMYFUNCTION("""COMPUTED_VALUE"""),"")</f>
        <v/>
      </c>
      <c r="CY69" s="119" t="str">
        <f ca="1">IFERROR(__xludf.DUMMYFUNCTION("""COMPUTED_VALUE"""),"")</f>
        <v/>
      </c>
      <c r="CZ69" s="119" t="str">
        <f ca="1">IFERROR(__xludf.DUMMYFUNCTION("""COMPUTED_VALUE"""),"")</f>
        <v/>
      </c>
      <c r="DA69" s="119" t="str">
        <f ca="1">IFERROR(__xludf.DUMMYFUNCTION("""COMPUTED_VALUE"""),"")</f>
        <v/>
      </c>
      <c r="DB69" s="119" t="str">
        <f ca="1">IFERROR(__xludf.DUMMYFUNCTION("""COMPUTED_VALUE"""),"")</f>
        <v/>
      </c>
      <c r="DC69" s="119" t="str">
        <f ca="1">IFERROR(__xludf.DUMMYFUNCTION("""COMPUTED_VALUE"""),"")</f>
        <v/>
      </c>
      <c r="DD69" s="119" t="str">
        <f ca="1">IFERROR(__xludf.DUMMYFUNCTION("""COMPUTED_VALUE"""),"")</f>
        <v/>
      </c>
      <c r="DE69" s="119" t="str">
        <f ca="1">IFERROR(__xludf.DUMMYFUNCTION("""COMPUTED_VALUE"""),"")</f>
        <v/>
      </c>
      <c r="DF69" s="119" t="str">
        <f ca="1">IFERROR(__xludf.DUMMYFUNCTION("""COMPUTED_VALUE"""),"")</f>
        <v/>
      </c>
      <c r="DG69" s="119" t="str">
        <f ca="1">IFERROR(__xludf.DUMMYFUNCTION("""COMPUTED_VALUE"""),"")</f>
        <v/>
      </c>
      <c r="DH69" s="119" t="str">
        <f ca="1">IFERROR(__xludf.DUMMYFUNCTION("""COMPUTED_VALUE"""),"")</f>
        <v/>
      </c>
      <c r="DI69" s="119" t="str">
        <f ca="1">IFERROR(__xludf.DUMMYFUNCTION("""COMPUTED_VALUE"""),"")</f>
        <v/>
      </c>
      <c r="DJ69" s="119" t="str">
        <f ca="1">IFERROR(__xludf.DUMMYFUNCTION("""COMPUTED_VALUE"""),"")</f>
        <v/>
      </c>
      <c r="DK69" s="119" t="str">
        <f ca="1">IFERROR(__xludf.DUMMYFUNCTION("""COMPUTED_VALUE"""),"")</f>
        <v/>
      </c>
      <c r="DL69" s="119" t="str">
        <f ca="1">IFERROR(__xludf.DUMMYFUNCTION("""COMPUTED_VALUE"""),"")</f>
        <v/>
      </c>
      <c r="DM69" s="119" t="str">
        <f ca="1">IFERROR(__xludf.DUMMYFUNCTION("""COMPUTED_VALUE"""),"")</f>
        <v/>
      </c>
      <c r="DN69" s="119" t="str">
        <f ca="1">IFERROR(__xludf.DUMMYFUNCTION("""COMPUTED_VALUE"""),"")</f>
        <v/>
      </c>
      <c r="DO69" s="119" t="str">
        <f ca="1">IFERROR(__xludf.DUMMYFUNCTION("""COMPUTED_VALUE"""),"")</f>
        <v/>
      </c>
      <c r="DP69" s="119" t="str">
        <f ca="1">IFERROR(__xludf.DUMMYFUNCTION("""COMPUTED_VALUE"""),"")</f>
        <v/>
      </c>
      <c r="DQ69" s="119" t="str">
        <f ca="1">IFERROR(__xludf.DUMMYFUNCTION("""COMPUTED_VALUE"""),"")</f>
        <v/>
      </c>
      <c r="DR69" s="119" t="str">
        <f ca="1">IFERROR(__xludf.DUMMYFUNCTION("""COMPUTED_VALUE"""),"")</f>
        <v/>
      </c>
      <c r="DS69" s="119" t="str">
        <f ca="1">IFERROR(__xludf.DUMMYFUNCTION("""COMPUTED_VALUE"""),"")</f>
        <v/>
      </c>
      <c r="DT69" s="119" t="str">
        <f ca="1">IFERROR(__xludf.DUMMYFUNCTION("""COMPUTED_VALUE"""),"")</f>
        <v/>
      </c>
      <c r="DU69" s="119" t="str">
        <f ca="1">IFERROR(__xludf.DUMMYFUNCTION("""COMPUTED_VALUE"""),"")</f>
        <v/>
      </c>
      <c r="DV69" s="119" t="str">
        <f ca="1">IFERROR(__xludf.DUMMYFUNCTION("""COMPUTED_VALUE"""),"")</f>
        <v/>
      </c>
      <c r="DW69" s="119" t="str">
        <f ca="1">IFERROR(__xludf.DUMMYFUNCTION("""COMPUTED_VALUE"""),"")</f>
        <v/>
      </c>
      <c r="DX69" s="119" t="str">
        <f ca="1">IFERROR(__xludf.DUMMYFUNCTION("""COMPUTED_VALUE"""),"")</f>
        <v/>
      </c>
      <c r="DY69" s="119" t="str">
        <f ca="1">IFERROR(__xludf.DUMMYFUNCTION("""COMPUTED_VALUE"""),"")</f>
        <v/>
      </c>
      <c r="DZ69" s="119" t="str">
        <f ca="1">IFERROR(__xludf.DUMMYFUNCTION("""COMPUTED_VALUE"""),"")</f>
        <v/>
      </c>
      <c r="EA69" s="119" t="str">
        <f ca="1">IFERROR(__xludf.DUMMYFUNCTION("""COMPUTED_VALUE"""),"")</f>
        <v/>
      </c>
      <c r="EB69" s="119" t="str">
        <f ca="1">IFERROR(__xludf.DUMMYFUNCTION("""COMPUTED_VALUE"""),"")</f>
        <v/>
      </c>
      <c r="EC69" s="119" t="str">
        <f ca="1">IFERROR(__xludf.DUMMYFUNCTION("""COMPUTED_VALUE"""),"")</f>
        <v/>
      </c>
      <c r="ED69" s="119" t="str">
        <f ca="1">IFERROR(__xludf.DUMMYFUNCTION("""COMPUTED_VALUE"""),"")</f>
        <v/>
      </c>
      <c r="EE69" s="119" t="str">
        <f ca="1">IFERROR(__xludf.DUMMYFUNCTION("""COMPUTED_VALUE"""),"")</f>
        <v/>
      </c>
      <c r="EF69" s="119" t="str">
        <f ca="1">IFERROR(__xludf.DUMMYFUNCTION("""COMPUTED_VALUE"""),"")</f>
        <v/>
      </c>
      <c r="EG69" s="119" t="str">
        <f ca="1">IFERROR(__xludf.DUMMYFUNCTION("""COMPUTED_VALUE"""),"")</f>
        <v/>
      </c>
      <c r="EH69" s="119" t="str">
        <f ca="1">IFERROR(__xludf.DUMMYFUNCTION("""COMPUTED_VALUE"""),"")</f>
        <v/>
      </c>
      <c r="EI69" s="119" t="str">
        <f ca="1">IFERROR(__xludf.DUMMYFUNCTION("""COMPUTED_VALUE"""),"")</f>
        <v/>
      </c>
      <c r="EJ69" s="119" t="str">
        <f ca="1">IFERROR(__xludf.DUMMYFUNCTION("""COMPUTED_VALUE"""),"")</f>
        <v/>
      </c>
      <c r="EK69" s="119" t="str">
        <f ca="1">IFERROR(__xludf.DUMMYFUNCTION("""COMPUTED_VALUE"""),"")</f>
        <v/>
      </c>
      <c r="EL69" s="119" t="str">
        <f ca="1">IFERROR(__xludf.DUMMYFUNCTION("""COMPUTED_VALUE"""),"")</f>
        <v/>
      </c>
      <c r="EM69" s="119" t="str">
        <f ca="1">IFERROR(__xludf.DUMMYFUNCTION("""COMPUTED_VALUE"""),"")</f>
        <v/>
      </c>
      <c r="EN69" s="119" t="str">
        <f ca="1">IFERROR(__xludf.DUMMYFUNCTION("""COMPUTED_VALUE"""),"")</f>
        <v/>
      </c>
      <c r="EO69" s="119" t="str">
        <f ca="1">IFERROR(__xludf.DUMMYFUNCTION("""COMPUTED_VALUE"""),"")</f>
        <v/>
      </c>
      <c r="EP69" s="119" t="str">
        <f ca="1">IFERROR(__xludf.DUMMYFUNCTION("""COMPUTED_VALUE"""),"")</f>
        <v/>
      </c>
      <c r="EQ69" s="119" t="str">
        <f ca="1">IFERROR(__xludf.DUMMYFUNCTION("""COMPUTED_VALUE"""),"")</f>
        <v/>
      </c>
      <c r="ER69" s="119" t="str">
        <f ca="1">IFERROR(__xludf.DUMMYFUNCTION("""COMPUTED_VALUE"""),"")</f>
        <v/>
      </c>
      <c r="ES69" s="119" t="str">
        <f ca="1">IFERROR(__xludf.DUMMYFUNCTION("""COMPUTED_VALUE"""),"")</f>
        <v/>
      </c>
      <c r="ET69" s="119" t="str">
        <f ca="1">IFERROR(__xludf.DUMMYFUNCTION("""COMPUTED_VALUE"""),"")</f>
        <v/>
      </c>
      <c r="EU69" s="119" t="str">
        <f ca="1">IFERROR(__xludf.DUMMYFUNCTION("""COMPUTED_VALUE"""),"")</f>
        <v/>
      </c>
      <c r="EV69" s="119" t="str">
        <f ca="1">IFERROR(__xludf.DUMMYFUNCTION("""COMPUTED_VALUE"""),"")</f>
        <v/>
      </c>
      <c r="EW69" s="119" t="str">
        <f ca="1">IFERROR(__xludf.DUMMYFUNCTION("""COMPUTED_VALUE"""),"")</f>
        <v/>
      </c>
      <c r="EX69" s="117" t="str">
        <f ca="1">IFERROR(__xludf.DUMMYFUNCTION("""COMPUTED_VALUE"""),"")</f>
        <v/>
      </c>
      <c r="EY69" s="117" t="str">
        <f ca="1">IFERROR(__xludf.DUMMYFUNCTION("""COMPUTED_VALUE"""),"")</f>
        <v/>
      </c>
      <c r="EZ69" s="117" t="str">
        <f ca="1">IFERROR(__xludf.DUMMYFUNCTION("""COMPUTED_VALUE"""),"")</f>
        <v/>
      </c>
      <c r="FA69" s="117" t="str">
        <f ca="1">IFERROR(__xludf.DUMMYFUNCTION("""COMPUTED_VALUE"""),"")</f>
        <v/>
      </c>
      <c r="FB69" s="117" t="str">
        <f ca="1">IFERROR(__xludf.DUMMYFUNCTION("""COMPUTED_VALUE"""),"")</f>
        <v/>
      </c>
      <c r="FC69" s="117" t="str">
        <f ca="1">IFERROR(__xludf.DUMMYFUNCTION("""COMPUTED_VALUE"""),"")</f>
        <v/>
      </c>
      <c r="FD69" s="117" t="str">
        <f ca="1">IFERROR(__xludf.DUMMYFUNCTION("""COMPUTED_VALUE"""),"")</f>
        <v/>
      </c>
      <c r="FE69" s="117" t="str">
        <f ca="1">IFERROR(__xludf.DUMMYFUNCTION("""COMPUTED_VALUE"""),"")</f>
        <v/>
      </c>
      <c r="FF69" s="117" t="str">
        <f ca="1">IFERROR(__xludf.DUMMYFUNCTION("""COMPUTED_VALUE"""),"")</f>
        <v/>
      </c>
      <c r="FG69" s="117" t="str">
        <f ca="1">IFERROR(__xludf.DUMMYFUNCTION("""COMPUTED_VALUE"""),"")</f>
        <v/>
      </c>
      <c r="FH69" s="117" t="str">
        <f ca="1">IFERROR(__xludf.DUMMYFUNCTION("""COMPUTED_VALUE"""),"")</f>
        <v/>
      </c>
      <c r="FI69" s="117" t="str">
        <f ca="1">IFERROR(__xludf.DUMMYFUNCTION("""COMPUTED_VALUE"""),"")</f>
        <v/>
      </c>
      <c r="FJ69" s="117" t="str">
        <f ca="1">IFERROR(__xludf.DUMMYFUNCTION("""COMPUTED_VALUE"""),"")</f>
        <v/>
      </c>
      <c r="FK69" s="117" t="str">
        <f ca="1">IFERROR(__xludf.DUMMYFUNCTION("""COMPUTED_VALUE"""),"")</f>
        <v/>
      </c>
      <c r="FL69" s="117" t="str">
        <f ca="1">IFERROR(__xludf.DUMMYFUNCTION("""COMPUTED_VALUE"""),"")</f>
        <v/>
      </c>
      <c r="FM69" s="117" t="str">
        <f ca="1">IFERROR(__xludf.DUMMYFUNCTION("""COMPUTED_VALUE"""),"")</f>
        <v/>
      </c>
      <c r="FN69" s="117" t="str">
        <f ca="1">IFERROR(__xludf.DUMMYFUNCTION("""COMPUTED_VALUE"""),"")</f>
        <v/>
      </c>
      <c r="FO69" s="117" t="str">
        <f ca="1">IFERROR(__xludf.DUMMYFUNCTION("""COMPUTED_VALUE"""),"")</f>
        <v/>
      </c>
    </row>
    <row r="70" spans="1:171" ht="13" x14ac:dyDescent="0.15">
      <c r="A70" s="115" t="str">
        <f ca="1">IFERROR(__xludf.DUMMYFUNCTION("""COMPUTED_VALUE"""),"")</f>
        <v/>
      </c>
      <c r="B70" s="119" t="str">
        <f ca="1">IFERROR(__xludf.DUMMYFUNCTION("""COMPUTED_VALUE"""),"")</f>
        <v/>
      </c>
      <c r="C70" s="119" t="str">
        <f ca="1">IFERROR(__xludf.DUMMYFUNCTION("""COMPUTED_VALUE"""),"")</f>
        <v/>
      </c>
      <c r="D70" s="119" t="str">
        <f ca="1">IFERROR(__xludf.DUMMYFUNCTION("""COMPUTED_VALUE"""),"")</f>
        <v/>
      </c>
      <c r="E70" s="119" t="str">
        <f ca="1">IFERROR(__xludf.DUMMYFUNCTION("""COMPUTED_VALUE"""),"")</f>
        <v/>
      </c>
      <c r="F70" s="119" t="str">
        <f ca="1">IFERROR(__xludf.DUMMYFUNCTION("""COMPUTED_VALUE"""),"")</f>
        <v/>
      </c>
      <c r="G70" s="119" t="str">
        <f ca="1">IFERROR(__xludf.DUMMYFUNCTION("""COMPUTED_VALUE"""),"")</f>
        <v/>
      </c>
      <c r="H70" s="119" t="str">
        <f ca="1">IFERROR(__xludf.DUMMYFUNCTION("""COMPUTED_VALUE"""),"")</f>
        <v/>
      </c>
      <c r="I70" s="119" t="str">
        <f ca="1">IFERROR(__xludf.DUMMYFUNCTION("""COMPUTED_VALUE"""),"")</f>
        <v/>
      </c>
      <c r="J70" s="119" t="str">
        <f ca="1">IFERROR(__xludf.DUMMYFUNCTION("""COMPUTED_VALUE"""),"")</f>
        <v/>
      </c>
      <c r="K70" s="119" t="str">
        <f ca="1">IFERROR(__xludf.DUMMYFUNCTION("""COMPUTED_VALUE"""),"")</f>
        <v/>
      </c>
      <c r="L70" s="119" t="str">
        <f ca="1">IFERROR(__xludf.DUMMYFUNCTION("""COMPUTED_VALUE"""),"")</f>
        <v/>
      </c>
      <c r="M70" s="119" t="str">
        <f ca="1">IFERROR(__xludf.DUMMYFUNCTION("""COMPUTED_VALUE"""),"")</f>
        <v/>
      </c>
      <c r="N70" s="119" t="str">
        <f ca="1">IFERROR(__xludf.DUMMYFUNCTION("""COMPUTED_VALUE"""),"")</f>
        <v/>
      </c>
      <c r="O70" s="119" t="str">
        <f ca="1">IFERROR(__xludf.DUMMYFUNCTION("""COMPUTED_VALUE"""),"")</f>
        <v/>
      </c>
      <c r="P70" s="119" t="str">
        <f ca="1">IFERROR(__xludf.DUMMYFUNCTION("""COMPUTED_VALUE"""),"")</f>
        <v/>
      </c>
      <c r="Q70" s="119" t="str">
        <f ca="1">IFERROR(__xludf.DUMMYFUNCTION("""COMPUTED_VALUE"""),"")</f>
        <v/>
      </c>
      <c r="R70" s="119" t="str">
        <f ca="1">IFERROR(__xludf.DUMMYFUNCTION("""COMPUTED_VALUE"""),"")</f>
        <v/>
      </c>
      <c r="S70" s="119" t="str">
        <f ca="1">IFERROR(__xludf.DUMMYFUNCTION("""COMPUTED_VALUE"""),"")</f>
        <v/>
      </c>
      <c r="T70" s="119" t="str">
        <f ca="1">IFERROR(__xludf.DUMMYFUNCTION("""COMPUTED_VALUE"""),"")</f>
        <v/>
      </c>
      <c r="U70" s="119" t="str">
        <f ca="1">IFERROR(__xludf.DUMMYFUNCTION("""COMPUTED_VALUE"""),"")</f>
        <v/>
      </c>
      <c r="V70" s="119" t="str">
        <f ca="1">IFERROR(__xludf.DUMMYFUNCTION("""COMPUTED_VALUE"""),"")</f>
        <v/>
      </c>
      <c r="W70" s="119" t="str">
        <f ca="1">IFERROR(__xludf.DUMMYFUNCTION("""COMPUTED_VALUE"""),"")</f>
        <v/>
      </c>
      <c r="X70" s="119" t="str">
        <f ca="1">IFERROR(__xludf.DUMMYFUNCTION("""COMPUTED_VALUE"""),"")</f>
        <v/>
      </c>
      <c r="Y70" s="119" t="str">
        <f ca="1">IFERROR(__xludf.DUMMYFUNCTION("""COMPUTED_VALUE"""),"")</f>
        <v/>
      </c>
      <c r="Z70" s="119" t="str">
        <f ca="1">IFERROR(__xludf.DUMMYFUNCTION("""COMPUTED_VALUE"""),"")</f>
        <v/>
      </c>
      <c r="AA70" s="119" t="str">
        <f ca="1">IFERROR(__xludf.DUMMYFUNCTION("""COMPUTED_VALUE"""),"")</f>
        <v/>
      </c>
      <c r="AB70" s="119" t="str">
        <f ca="1">IFERROR(__xludf.DUMMYFUNCTION("""COMPUTED_VALUE"""),"")</f>
        <v/>
      </c>
      <c r="AC70" s="119" t="str">
        <f ca="1">IFERROR(__xludf.DUMMYFUNCTION("""COMPUTED_VALUE"""),"")</f>
        <v/>
      </c>
      <c r="AD70" s="119" t="str">
        <f ca="1">IFERROR(__xludf.DUMMYFUNCTION("""COMPUTED_VALUE"""),"")</f>
        <v/>
      </c>
      <c r="AE70" s="119" t="str">
        <f ca="1">IFERROR(__xludf.DUMMYFUNCTION("""COMPUTED_VALUE"""),"")</f>
        <v/>
      </c>
      <c r="AF70" s="119" t="str">
        <f ca="1">IFERROR(__xludf.DUMMYFUNCTION("""COMPUTED_VALUE"""),"")</f>
        <v/>
      </c>
      <c r="AG70" s="119" t="str">
        <f ca="1">IFERROR(__xludf.DUMMYFUNCTION("""COMPUTED_VALUE"""),"")</f>
        <v/>
      </c>
      <c r="AH70" s="119" t="str">
        <f ca="1">IFERROR(__xludf.DUMMYFUNCTION("""COMPUTED_VALUE"""),"")</f>
        <v/>
      </c>
      <c r="AI70" s="119" t="str">
        <f ca="1">IFERROR(__xludf.DUMMYFUNCTION("""COMPUTED_VALUE"""),"")</f>
        <v/>
      </c>
      <c r="AJ70" s="119" t="str">
        <f ca="1">IFERROR(__xludf.DUMMYFUNCTION("""COMPUTED_VALUE"""),"")</f>
        <v/>
      </c>
      <c r="AK70" s="119" t="str">
        <f ca="1">IFERROR(__xludf.DUMMYFUNCTION("""COMPUTED_VALUE"""),"")</f>
        <v/>
      </c>
      <c r="AL70" s="119" t="str">
        <f ca="1">IFERROR(__xludf.DUMMYFUNCTION("""COMPUTED_VALUE"""),"")</f>
        <v/>
      </c>
      <c r="AM70" s="119" t="str">
        <f ca="1">IFERROR(__xludf.DUMMYFUNCTION("""COMPUTED_VALUE"""),"")</f>
        <v/>
      </c>
      <c r="AN70" s="119" t="str">
        <f ca="1">IFERROR(__xludf.DUMMYFUNCTION("""COMPUTED_VALUE"""),"")</f>
        <v/>
      </c>
      <c r="AO70" s="119" t="str">
        <f ca="1">IFERROR(__xludf.DUMMYFUNCTION("""COMPUTED_VALUE"""),"")</f>
        <v/>
      </c>
      <c r="AP70" s="119" t="str">
        <f ca="1">IFERROR(__xludf.DUMMYFUNCTION("""COMPUTED_VALUE"""),"")</f>
        <v/>
      </c>
      <c r="AQ70" s="119" t="str">
        <f ca="1">IFERROR(__xludf.DUMMYFUNCTION("""COMPUTED_VALUE"""),"")</f>
        <v/>
      </c>
      <c r="AR70" s="118" t="str">
        <f ca="1">IFERROR(__xludf.DUMMYFUNCTION("""COMPUTED_VALUE"""),"")</f>
        <v/>
      </c>
      <c r="AS70" s="119" t="str">
        <f ca="1">IFERROR(__xludf.DUMMYFUNCTION("""COMPUTED_VALUE"""),"")</f>
        <v/>
      </c>
      <c r="AT70" s="119" t="str">
        <f ca="1">IFERROR(__xludf.DUMMYFUNCTION("""COMPUTED_VALUE"""),"")</f>
        <v/>
      </c>
      <c r="AU70" s="119" t="str">
        <f ca="1">IFERROR(__xludf.DUMMYFUNCTION("""COMPUTED_VALUE"""),"")</f>
        <v/>
      </c>
      <c r="AV70" s="119" t="str">
        <f ca="1">IFERROR(__xludf.DUMMYFUNCTION("""COMPUTED_VALUE"""),"")</f>
        <v/>
      </c>
      <c r="AW70" s="119" t="str">
        <f ca="1">IFERROR(__xludf.DUMMYFUNCTION("""COMPUTED_VALUE"""),"")</f>
        <v/>
      </c>
      <c r="AX70" s="119" t="str">
        <f ca="1">IFERROR(__xludf.DUMMYFUNCTION("""COMPUTED_VALUE"""),"")</f>
        <v/>
      </c>
      <c r="AY70" s="119" t="str">
        <f ca="1">IFERROR(__xludf.DUMMYFUNCTION("""COMPUTED_VALUE"""),"")</f>
        <v/>
      </c>
      <c r="AZ70" s="119" t="str">
        <f ca="1">IFERROR(__xludf.DUMMYFUNCTION("""COMPUTED_VALUE"""),"")</f>
        <v/>
      </c>
      <c r="BA70" s="119" t="str">
        <f ca="1">IFERROR(__xludf.DUMMYFUNCTION("""COMPUTED_VALUE"""),"")</f>
        <v/>
      </c>
      <c r="BB70" s="119" t="str">
        <f ca="1">IFERROR(__xludf.DUMMYFUNCTION("""COMPUTED_VALUE"""),"")</f>
        <v/>
      </c>
      <c r="BC70" s="119" t="str">
        <f ca="1">IFERROR(__xludf.DUMMYFUNCTION("""COMPUTED_VALUE"""),"")</f>
        <v/>
      </c>
      <c r="BD70" s="119" t="str">
        <f ca="1">IFERROR(__xludf.DUMMYFUNCTION("""COMPUTED_VALUE"""),"")</f>
        <v/>
      </c>
      <c r="BE70" s="119" t="str">
        <f ca="1">IFERROR(__xludf.DUMMYFUNCTION("""COMPUTED_VALUE"""),"")</f>
        <v/>
      </c>
      <c r="BF70" s="119" t="str">
        <f ca="1">IFERROR(__xludf.DUMMYFUNCTION("""COMPUTED_VALUE"""),"")</f>
        <v/>
      </c>
      <c r="BG70" s="119" t="str">
        <f ca="1">IFERROR(__xludf.DUMMYFUNCTION("""COMPUTED_VALUE"""),"")</f>
        <v/>
      </c>
      <c r="BH70" s="119" t="str">
        <f ca="1">IFERROR(__xludf.DUMMYFUNCTION("""COMPUTED_VALUE"""),"")</f>
        <v/>
      </c>
      <c r="BI70" s="119" t="str">
        <f ca="1">IFERROR(__xludf.DUMMYFUNCTION("""COMPUTED_VALUE"""),"")</f>
        <v/>
      </c>
      <c r="BJ70" s="119" t="str">
        <f ca="1">IFERROR(__xludf.DUMMYFUNCTION("""COMPUTED_VALUE"""),"")</f>
        <v/>
      </c>
      <c r="BK70" s="119" t="str">
        <f ca="1">IFERROR(__xludf.DUMMYFUNCTION("""COMPUTED_VALUE"""),"")</f>
        <v/>
      </c>
      <c r="BL70" s="119" t="str">
        <f ca="1">IFERROR(__xludf.DUMMYFUNCTION("""COMPUTED_VALUE"""),"")</f>
        <v/>
      </c>
      <c r="BM70" s="119" t="str">
        <f ca="1">IFERROR(__xludf.DUMMYFUNCTION("""COMPUTED_VALUE"""),"")</f>
        <v/>
      </c>
      <c r="BN70" s="119" t="str">
        <f ca="1">IFERROR(__xludf.DUMMYFUNCTION("""COMPUTED_VALUE"""),"")</f>
        <v/>
      </c>
      <c r="BO70" s="119" t="str">
        <f ca="1">IFERROR(__xludf.DUMMYFUNCTION("""COMPUTED_VALUE"""),"")</f>
        <v/>
      </c>
      <c r="BP70" s="119" t="str">
        <f ca="1">IFERROR(__xludf.DUMMYFUNCTION("""COMPUTED_VALUE"""),"")</f>
        <v/>
      </c>
      <c r="BQ70" s="119" t="str">
        <f ca="1">IFERROR(__xludf.DUMMYFUNCTION("""COMPUTED_VALUE"""),"")</f>
        <v/>
      </c>
      <c r="BR70" s="119" t="str">
        <f ca="1">IFERROR(__xludf.DUMMYFUNCTION("""COMPUTED_VALUE"""),"")</f>
        <v/>
      </c>
      <c r="BS70" s="119" t="str">
        <f ca="1">IFERROR(__xludf.DUMMYFUNCTION("""COMPUTED_VALUE"""),"")</f>
        <v/>
      </c>
      <c r="BT70" s="119" t="str">
        <f ca="1">IFERROR(__xludf.DUMMYFUNCTION("""COMPUTED_VALUE"""),"")</f>
        <v/>
      </c>
      <c r="BU70" s="119" t="str">
        <f ca="1">IFERROR(__xludf.DUMMYFUNCTION("""COMPUTED_VALUE"""),"")</f>
        <v/>
      </c>
      <c r="BV70" s="119" t="str">
        <f ca="1">IFERROR(__xludf.DUMMYFUNCTION("""COMPUTED_VALUE"""),"")</f>
        <v/>
      </c>
      <c r="BW70" s="119" t="str">
        <f ca="1">IFERROR(__xludf.DUMMYFUNCTION("""COMPUTED_VALUE"""),"")</f>
        <v/>
      </c>
      <c r="BX70" s="119" t="str">
        <f ca="1">IFERROR(__xludf.DUMMYFUNCTION("""COMPUTED_VALUE"""),"")</f>
        <v/>
      </c>
      <c r="BY70" s="119" t="str">
        <f ca="1">IFERROR(__xludf.DUMMYFUNCTION("""COMPUTED_VALUE"""),"")</f>
        <v/>
      </c>
      <c r="BZ70" s="119" t="str">
        <f ca="1">IFERROR(__xludf.DUMMYFUNCTION("""COMPUTED_VALUE"""),"")</f>
        <v/>
      </c>
      <c r="CA70" s="119" t="str">
        <f ca="1">IFERROR(__xludf.DUMMYFUNCTION("""COMPUTED_VALUE"""),"")</f>
        <v/>
      </c>
      <c r="CB70" s="119" t="str">
        <f ca="1">IFERROR(__xludf.DUMMYFUNCTION("""COMPUTED_VALUE"""),"")</f>
        <v/>
      </c>
      <c r="CC70" s="119" t="str">
        <f ca="1">IFERROR(__xludf.DUMMYFUNCTION("""COMPUTED_VALUE"""),"")</f>
        <v/>
      </c>
      <c r="CD70" s="119" t="str">
        <f ca="1">IFERROR(__xludf.DUMMYFUNCTION("""COMPUTED_VALUE"""),"")</f>
        <v/>
      </c>
      <c r="CE70" s="119" t="str">
        <f ca="1">IFERROR(__xludf.DUMMYFUNCTION("""COMPUTED_VALUE"""),"")</f>
        <v/>
      </c>
      <c r="CF70" s="119" t="str">
        <f ca="1">IFERROR(__xludf.DUMMYFUNCTION("""COMPUTED_VALUE"""),"")</f>
        <v/>
      </c>
      <c r="CG70" s="119" t="str">
        <f ca="1">IFERROR(__xludf.DUMMYFUNCTION("""COMPUTED_VALUE"""),"")</f>
        <v/>
      </c>
      <c r="CH70" s="119" t="str">
        <f ca="1">IFERROR(__xludf.DUMMYFUNCTION("""COMPUTED_VALUE"""),"")</f>
        <v/>
      </c>
      <c r="CI70" s="119" t="str">
        <f ca="1">IFERROR(__xludf.DUMMYFUNCTION("""COMPUTED_VALUE"""),"")</f>
        <v/>
      </c>
      <c r="CJ70" s="119" t="str">
        <f ca="1">IFERROR(__xludf.DUMMYFUNCTION("""COMPUTED_VALUE"""),"")</f>
        <v/>
      </c>
      <c r="CK70" s="119" t="str">
        <f ca="1">IFERROR(__xludf.DUMMYFUNCTION("""COMPUTED_VALUE"""),"")</f>
        <v/>
      </c>
      <c r="CL70" s="119" t="str">
        <f ca="1">IFERROR(__xludf.DUMMYFUNCTION("""COMPUTED_VALUE"""),"")</f>
        <v/>
      </c>
      <c r="CM70" s="119" t="str">
        <f ca="1">IFERROR(__xludf.DUMMYFUNCTION("""COMPUTED_VALUE"""),"")</f>
        <v/>
      </c>
      <c r="CN70" s="119" t="str">
        <f ca="1">IFERROR(__xludf.DUMMYFUNCTION("""COMPUTED_VALUE"""),"")</f>
        <v/>
      </c>
      <c r="CO70" s="119" t="str">
        <f ca="1">IFERROR(__xludf.DUMMYFUNCTION("""COMPUTED_VALUE"""),"")</f>
        <v/>
      </c>
      <c r="CP70" s="119" t="str">
        <f ca="1">IFERROR(__xludf.DUMMYFUNCTION("""COMPUTED_VALUE"""),"")</f>
        <v/>
      </c>
      <c r="CQ70" s="119" t="str">
        <f ca="1">IFERROR(__xludf.DUMMYFUNCTION("""COMPUTED_VALUE"""),"")</f>
        <v/>
      </c>
      <c r="CR70" s="119" t="str">
        <f ca="1">IFERROR(__xludf.DUMMYFUNCTION("""COMPUTED_VALUE"""),"")</f>
        <v/>
      </c>
      <c r="CS70" s="119" t="str">
        <f ca="1">IFERROR(__xludf.DUMMYFUNCTION("""COMPUTED_VALUE"""),"")</f>
        <v/>
      </c>
      <c r="CT70" s="119" t="str">
        <f ca="1">IFERROR(__xludf.DUMMYFUNCTION("""COMPUTED_VALUE"""),"")</f>
        <v/>
      </c>
      <c r="CU70" s="119" t="str">
        <f ca="1">IFERROR(__xludf.DUMMYFUNCTION("""COMPUTED_VALUE"""),"")</f>
        <v/>
      </c>
      <c r="CV70" s="119" t="str">
        <f ca="1">IFERROR(__xludf.DUMMYFUNCTION("""COMPUTED_VALUE"""),"")</f>
        <v/>
      </c>
      <c r="CW70" s="119" t="str">
        <f ca="1">IFERROR(__xludf.DUMMYFUNCTION("""COMPUTED_VALUE"""),"")</f>
        <v/>
      </c>
      <c r="CX70" s="119" t="str">
        <f ca="1">IFERROR(__xludf.DUMMYFUNCTION("""COMPUTED_VALUE"""),"")</f>
        <v/>
      </c>
      <c r="CY70" s="119" t="str">
        <f ca="1">IFERROR(__xludf.DUMMYFUNCTION("""COMPUTED_VALUE"""),"")</f>
        <v/>
      </c>
      <c r="CZ70" s="119" t="str">
        <f ca="1">IFERROR(__xludf.DUMMYFUNCTION("""COMPUTED_VALUE"""),"")</f>
        <v/>
      </c>
      <c r="DA70" s="119" t="str">
        <f ca="1">IFERROR(__xludf.DUMMYFUNCTION("""COMPUTED_VALUE"""),"")</f>
        <v/>
      </c>
      <c r="DB70" s="119" t="str">
        <f ca="1">IFERROR(__xludf.DUMMYFUNCTION("""COMPUTED_VALUE"""),"")</f>
        <v/>
      </c>
      <c r="DC70" s="119" t="str">
        <f ca="1">IFERROR(__xludf.DUMMYFUNCTION("""COMPUTED_VALUE"""),"")</f>
        <v/>
      </c>
      <c r="DD70" s="119" t="str">
        <f ca="1">IFERROR(__xludf.DUMMYFUNCTION("""COMPUTED_VALUE"""),"")</f>
        <v/>
      </c>
      <c r="DE70" s="119" t="str">
        <f ca="1">IFERROR(__xludf.DUMMYFUNCTION("""COMPUTED_VALUE"""),"")</f>
        <v/>
      </c>
      <c r="DF70" s="119" t="str">
        <f ca="1">IFERROR(__xludf.DUMMYFUNCTION("""COMPUTED_VALUE"""),"")</f>
        <v/>
      </c>
      <c r="DG70" s="119" t="str">
        <f ca="1">IFERROR(__xludf.DUMMYFUNCTION("""COMPUTED_VALUE"""),"")</f>
        <v/>
      </c>
      <c r="DH70" s="119" t="str">
        <f ca="1">IFERROR(__xludf.DUMMYFUNCTION("""COMPUTED_VALUE"""),"")</f>
        <v/>
      </c>
      <c r="DI70" s="119" t="str">
        <f ca="1">IFERROR(__xludf.DUMMYFUNCTION("""COMPUTED_VALUE"""),"")</f>
        <v/>
      </c>
      <c r="DJ70" s="119" t="str">
        <f ca="1">IFERROR(__xludf.DUMMYFUNCTION("""COMPUTED_VALUE"""),"")</f>
        <v/>
      </c>
      <c r="DK70" s="119" t="str">
        <f ca="1">IFERROR(__xludf.DUMMYFUNCTION("""COMPUTED_VALUE"""),"")</f>
        <v/>
      </c>
      <c r="DL70" s="119" t="str">
        <f ca="1">IFERROR(__xludf.DUMMYFUNCTION("""COMPUTED_VALUE"""),"")</f>
        <v/>
      </c>
      <c r="DM70" s="119" t="str">
        <f ca="1">IFERROR(__xludf.DUMMYFUNCTION("""COMPUTED_VALUE"""),"")</f>
        <v/>
      </c>
      <c r="DN70" s="119" t="str">
        <f ca="1">IFERROR(__xludf.DUMMYFUNCTION("""COMPUTED_VALUE"""),"")</f>
        <v/>
      </c>
      <c r="DO70" s="119" t="str">
        <f ca="1">IFERROR(__xludf.DUMMYFUNCTION("""COMPUTED_VALUE"""),"")</f>
        <v/>
      </c>
      <c r="DP70" s="119" t="str">
        <f ca="1">IFERROR(__xludf.DUMMYFUNCTION("""COMPUTED_VALUE"""),"")</f>
        <v/>
      </c>
      <c r="DQ70" s="119" t="str">
        <f ca="1">IFERROR(__xludf.DUMMYFUNCTION("""COMPUTED_VALUE"""),"")</f>
        <v/>
      </c>
      <c r="DR70" s="119" t="str">
        <f ca="1">IFERROR(__xludf.DUMMYFUNCTION("""COMPUTED_VALUE"""),"")</f>
        <v/>
      </c>
      <c r="DS70" s="119" t="str">
        <f ca="1">IFERROR(__xludf.DUMMYFUNCTION("""COMPUTED_VALUE"""),"")</f>
        <v/>
      </c>
      <c r="DT70" s="119" t="str">
        <f ca="1">IFERROR(__xludf.DUMMYFUNCTION("""COMPUTED_VALUE"""),"")</f>
        <v/>
      </c>
      <c r="DU70" s="119" t="str">
        <f ca="1">IFERROR(__xludf.DUMMYFUNCTION("""COMPUTED_VALUE"""),"")</f>
        <v/>
      </c>
      <c r="DV70" s="119" t="str">
        <f ca="1">IFERROR(__xludf.DUMMYFUNCTION("""COMPUTED_VALUE"""),"")</f>
        <v/>
      </c>
      <c r="DW70" s="119" t="str">
        <f ca="1">IFERROR(__xludf.DUMMYFUNCTION("""COMPUTED_VALUE"""),"")</f>
        <v/>
      </c>
      <c r="DX70" s="119" t="str">
        <f ca="1">IFERROR(__xludf.DUMMYFUNCTION("""COMPUTED_VALUE"""),"")</f>
        <v/>
      </c>
      <c r="DY70" s="119" t="str">
        <f ca="1">IFERROR(__xludf.DUMMYFUNCTION("""COMPUTED_VALUE"""),"")</f>
        <v/>
      </c>
      <c r="DZ70" s="119" t="str">
        <f ca="1">IFERROR(__xludf.DUMMYFUNCTION("""COMPUTED_VALUE"""),"")</f>
        <v/>
      </c>
      <c r="EA70" s="119" t="str">
        <f ca="1">IFERROR(__xludf.DUMMYFUNCTION("""COMPUTED_VALUE"""),"")</f>
        <v/>
      </c>
      <c r="EB70" s="119" t="str">
        <f ca="1">IFERROR(__xludf.DUMMYFUNCTION("""COMPUTED_VALUE"""),"")</f>
        <v/>
      </c>
      <c r="EC70" s="119" t="str">
        <f ca="1">IFERROR(__xludf.DUMMYFUNCTION("""COMPUTED_VALUE"""),"")</f>
        <v/>
      </c>
      <c r="ED70" s="119" t="str">
        <f ca="1">IFERROR(__xludf.DUMMYFUNCTION("""COMPUTED_VALUE"""),"")</f>
        <v/>
      </c>
      <c r="EE70" s="119" t="str">
        <f ca="1">IFERROR(__xludf.DUMMYFUNCTION("""COMPUTED_VALUE"""),"")</f>
        <v/>
      </c>
      <c r="EF70" s="119" t="str">
        <f ca="1">IFERROR(__xludf.DUMMYFUNCTION("""COMPUTED_VALUE"""),"")</f>
        <v/>
      </c>
      <c r="EG70" s="119" t="str">
        <f ca="1">IFERROR(__xludf.DUMMYFUNCTION("""COMPUTED_VALUE"""),"")</f>
        <v/>
      </c>
      <c r="EH70" s="119" t="str">
        <f ca="1">IFERROR(__xludf.DUMMYFUNCTION("""COMPUTED_VALUE"""),"")</f>
        <v/>
      </c>
      <c r="EI70" s="119" t="str">
        <f ca="1">IFERROR(__xludf.DUMMYFUNCTION("""COMPUTED_VALUE"""),"")</f>
        <v/>
      </c>
      <c r="EJ70" s="119" t="str">
        <f ca="1">IFERROR(__xludf.DUMMYFUNCTION("""COMPUTED_VALUE"""),"")</f>
        <v/>
      </c>
      <c r="EK70" s="119" t="str">
        <f ca="1">IFERROR(__xludf.DUMMYFUNCTION("""COMPUTED_VALUE"""),"")</f>
        <v/>
      </c>
      <c r="EL70" s="119" t="str">
        <f ca="1">IFERROR(__xludf.DUMMYFUNCTION("""COMPUTED_VALUE"""),"")</f>
        <v/>
      </c>
      <c r="EM70" s="119" t="str">
        <f ca="1">IFERROR(__xludf.DUMMYFUNCTION("""COMPUTED_VALUE"""),"")</f>
        <v/>
      </c>
      <c r="EN70" s="119" t="str">
        <f ca="1">IFERROR(__xludf.DUMMYFUNCTION("""COMPUTED_VALUE"""),"")</f>
        <v/>
      </c>
      <c r="EO70" s="119" t="str">
        <f ca="1">IFERROR(__xludf.DUMMYFUNCTION("""COMPUTED_VALUE"""),"")</f>
        <v/>
      </c>
      <c r="EP70" s="119" t="str">
        <f ca="1">IFERROR(__xludf.DUMMYFUNCTION("""COMPUTED_VALUE"""),"")</f>
        <v/>
      </c>
      <c r="EQ70" s="119" t="str">
        <f ca="1">IFERROR(__xludf.DUMMYFUNCTION("""COMPUTED_VALUE"""),"")</f>
        <v/>
      </c>
      <c r="ER70" s="119" t="str">
        <f ca="1">IFERROR(__xludf.DUMMYFUNCTION("""COMPUTED_VALUE"""),"")</f>
        <v/>
      </c>
      <c r="ES70" s="119" t="str">
        <f ca="1">IFERROR(__xludf.DUMMYFUNCTION("""COMPUTED_VALUE"""),"")</f>
        <v/>
      </c>
      <c r="ET70" s="119" t="str">
        <f ca="1">IFERROR(__xludf.DUMMYFUNCTION("""COMPUTED_VALUE"""),"")</f>
        <v/>
      </c>
      <c r="EU70" s="119" t="str">
        <f ca="1">IFERROR(__xludf.DUMMYFUNCTION("""COMPUTED_VALUE"""),"")</f>
        <v/>
      </c>
      <c r="EV70" s="119" t="str">
        <f ca="1">IFERROR(__xludf.DUMMYFUNCTION("""COMPUTED_VALUE"""),"")</f>
        <v/>
      </c>
      <c r="EW70" s="119" t="str">
        <f ca="1">IFERROR(__xludf.DUMMYFUNCTION("""COMPUTED_VALUE"""),"")</f>
        <v/>
      </c>
      <c r="EX70" s="117" t="str">
        <f ca="1">IFERROR(__xludf.DUMMYFUNCTION("""COMPUTED_VALUE"""),"")</f>
        <v/>
      </c>
      <c r="EY70" s="117" t="str">
        <f ca="1">IFERROR(__xludf.DUMMYFUNCTION("""COMPUTED_VALUE"""),"")</f>
        <v/>
      </c>
      <c r="EZ70" s="117" t="str">
        <f ca="1">IFERROR(__xludf.DUMMYFUNCTION("""COMPUTED_VALUE"""),"")</f>
        <v/>
      </c>
      <c r="FA70" s="117" t="str">
        <f ca="1">IFERROR(__xludf.DUMMYFUNCTION("""COMPUTED_VALUE"""),"")</f>
        <v/>
      </c>
      <c r="FB70" s="117" t="str">
        <f ca="1">IFERROR(__xludf.DUMMYFUNCTION("""COMPUTED_VALUE"""),"")</f>
        <v/>
      </c>
      <c r="FC70" s="117" t="str">
        <f ca="1">IFERROR(__xludf.DUMMYFUNCTION("""COMPUTED_VALUE"""),"")</f>
        <v/>
      </c>
      <c r="FD70" s="117" t="str">
        <f ca="1">IFERROR(__xludf.DUMMYFUNCTION("""COMPUTED_VALUE"""),"")</f>
        <v/>
      </c>
      <c r="FE70" s="117" t="str">
        <f ca="1">IFERROR(__xludf.DUMMYFUNCTION("""COMPUTED_VALUE"""),"")</f>
        <v/>
      </c>
      <c r="FF70" s="117" t="str">
        <f ca="1">IFERROR(__xludf.DUMMYFUNCTION("""COMPUTED_VALUE"""),"")</f>
        <v/>
      </c>
      <c r="FG70" s="117" t="str">
        <f ca="1">IFERROR(__xludf.DUMMYFUNCTION("""COMPUTED_VALUE"""),"")</f>
        <v/>
      </c>
      <c r="FH70" s="117" t="str">
        <f ca="1">IFERROR(__xludf.DUMMYFUNCTION("""COMPUTED_VALUE"""),"")</f>
        <v/>
      </c>
      <c r="FI70" s="117" t="str">
        <f ca="1">IFERROR(__xludf.DUMMYFUNCTION("""COMPUTED_VALUE"""),"")</f>
        <v/>
      </c>
      <c r="FJ70" s="117" t="str">
        <f ca="1">IFERROR(__xludf.DUMMYFUNCTION("""COMPUTED_VALUE"""),"")</f>
        <v/>
      </c>
      <c r="FK70" s="117" t="str">
        <f ca="1">IFERROR(__xludf.DUMMYFUNCTION("""COMPUTED_VALUE"""),"")</f>
        <v/>
      </c>
      <c r="FL70" s="117" t="str">
        <f ca="1">IFERROR(__xludf.DUMMYFUNCTION("""COMPUTED_VALUE"""),"")</f>
        <v/>
      </c>
      <c r="FM70" s="117" t="str">
        <f ca="1">IFERROR(__xludf.DUMMYFUNCTION("""COMPUTED_VALUE"""),"")</f>
        <v/>
      </c>
      <c r="FN70" s="117" t="str">
        <f ca="1">IFERROR(__xludf.DUMMYFUNCTION("""COMPUTED_VALUE"""),"")</f>
        <v/>
      </c>
      <c r="FO70" s="117" t="str">
        <f ca="1">IFERROR(__xludf.DUMMYFUNCTION("""COMPUTED_VALUE"""),"")</f>
        <v/>
      </c>
    </row>
    <row r="71" spans="1:171" ht="13" x14ac:dyDescent="0.15">
      <c r="A71" s="115" t="str">
        <f ca="1">IFERROR(__xludf.DUMMYFUNCTION("""COMPUTED_VALUE"""),"")</f>
        <v/>
      </c>
      <c r="B71" s="119" t="str">
        <f ca="1">IFERROR(__xludf.DUMMYFUNCTION("""COMPUTED_VALUE"""),"")</f>
        <v/>
      </c>
      <c r="C71" s="119" t="str">
        <f ca="1">IFERROR(__xludf.DUMMYFUNCTION("""COMPUTED_VALUE"""),"")</f>
        <v/>
      </c>
      <c r="D71" s="119" t="str">
        <f ca="1">IFERROR(__xludf.DUMMYFUNCTION("""COMPUTED_VALUE"""),"")</f>
        <v/>
      </c>
      <c r="E71" s="119" t="str">
        <f ca="1">IFERROR(__xludf.DUMMYFUNCTION("""COMPUTED_VALUE"""),"")</f>
        <v/>
      </c>
      <c r="F71" s="119" t="str">
        <f ca="1">IFERROR(__xludf.DUMMYFUNCTION("""COMPUTED_VALUE"""),"")</f>
        <v/>
      </c>
      <c r="G71" s="119" t="str">
        <f ca="1">IFERROR(__xludf.DUMMYFUNCTION("""COMPUTED_VALUE"""),"")</f>
        <v/>
      </c>
      <c r="H71" s="119" t="str">
        <f ca="1">IFERROR(__xludf.DUMMYFUNCTION("""COMPUTED_VALUE"""),"")</f>
        <v/>
      </c>
      <c r="I71" s="119" t="str">
        <f ca="1">IFERROR(__xludf.DUMMYFUNCTION("""COMPUTED_VALUE"""),"")</f>
        <v/>
      </c>
      <c r="J71" s="119" t="str">
        <f ca="1">IFERROR(__xludf.DUMMYFUNCTION("""COMPUTED_VALUE"""),"")</f>
        <v/>
      </c>
      <c r="K71" s="119" t="str">
        <f ca="1">IFERROR(__xludf.DUMMYFUNCTION("""COMPUTED_VALUE"""),"")</f>
        <v/>
      </c>
      <c r="L71" s="119" t="str">
        <f ca="1">IFERROR(__xludf.DUMMYFUNCTION("""COMPUTED_VALUE"""),"")</f>
        <v/>
      </c>
      <c r="M71" s="119" t="str">
        <f ca="1">IFERROR(__xludf.DUMMYFUNCTION("""COMPUTED_VALUE"""),"")</f>
        <v/>
      </c>
      <c r="N71" s="119" t="str">
        <f ca="1">IFERROR(__xludf.DUMMYFUNCTION("""COMPUTED_VALUE"""),"")</f>
        <v/>
      </c>
      <c r="O71" s="119" t="str">
        <f ca="1">IFERROR(__xludf.DUMMYFUNCTION("""COMPUTED_VALUE"""),"")</f>
        <v/>
      </c>
      <c r="P71" s="119" t="str">
        <f ca="1">IFERROR(__xludf.DUMMYFUNCTION("""COMPUTED_VALUE"""),"")</f>
        <v/>
      </c>
      <c r="Q71" s="119" t="str">
        <f ca="1">IFERROR(__xludf.DUMMYFUNCTION("""COMPUTED_VALUE"""),"")</f>
        <v/>
      </c>
      <c r="R71" s="119" t="str">
        <f ca="1">IFERROR(__xludf.DUMMYFUNCTION("""COMPUTED_VALUE"""),"")</f>
        <v/>
      </c>
      <c r="S71" s="119" t="str">
        <f ca="1">IFERROR(__xludf.DUMMYFUNCTION("""COMPUTED_VALUE"""),"")</f>
        <v/>
      </c>
      <c r="T71" s="119" t="str">
        <f ca="1">IFERROR(__xludf.DUMMYFUNCTION("""COMPUTED_VALUE"""),"")</f>
        <v/>
      </c>
      <c r="U71" s="119" t="str">
        <f ca="1">IFERROR(__xludf.DUMMYFUNCTION("""COMPUTED_VALUE"""),"")</f>
        <v/>
      </c>
      <c r="V71" s="119" t="str">
        <f ca="1">IFERROR(__xludf.DUMMYFUNCTION("""COMPUTED_VALUE"""),"")</f>
        <v/>
      </c>
      <c r="W71" s="119" t="str">
        <f ca="1">IFERROR(__xludf.DUMMYFUNCTION("""COMPUTED_VALUE"""),"")</f>
        <v/>
      </c>
      <c r="X71" s="119" t="str">
        <f ca="1">IFERROR(__xludf.DUMMYFUNCTION("""COMPUTED_VALUE"""),"")</f>
        <v/>
      </c>
      <c r="Y71" s="119" t="str">
        <f ca="1">IFERROR(__xludf.DUMMYFUNCTION("""COMPUTED_VALUE"""),"")</f>
        <v/>
      </c>
      <c r="Z71" s="119" t="str">
        <f ca="1">IFERROR(__xludf.DUMMYFUNCTION("""COMPUTED_VALUE"""),"")</f>
        <v/>
      </c>
      <c r="AA71" s="119" t="str">
        <f ca="1">IFERROR(__xludf.DUMMYFUNCTION("""COMPUTED_VALUE"""),"")</f>
        <v/>
      </c>
      <c r="AB71" s="119" t="str">
        <f ca="1">IFERROR(__xludf.DUMMYFUNCTION("""COMPUTED_VALUE"""),"")</f>
        <v/>
      </c>
      <c r="AC71" s="119" t="str">
        <f ca="1">IFERROR(__xludf.DUMMYFUNCTION("""COMPUTED_VALUE"""),"")</f>
        <v/>
      </c>
      <c r="AD71" s="119" t="str">
        <f ca="1">IFERROR(__xludf.DUMMYFUNCTION("""COMPUTED_VALUE"""),"")</f>
        <v/>
      </c>
      <c r="AE71" s="119" t="str">
        <f ca="1">IFERROR(__xludf.DUMMYFUNCTION("""COMPUTED_VALUE"""),"")</f>
        <v/>
      </c>
      <c r="AF71" s="119" t="str">
        <f ca="1">IFERROR(__xludf.DUMMYFUNCTION("""COMPUTED_VALUE"""),"")</f>
        <v/>
      </c>
      <c r="AG71" s="119" t="str">
        <f ca="1">IFERROR(__xludf.DUMMYFUNCTION("""COMPUTED_VALUE"""),"")</f>
        <v/>
      </c>
      <c r="AH71" s="119" t="str">
        <f ca="1">IFERROR(__xludf.DUMMYFUNCTION("""COMPUTED_VALUE"""),"")</f>
        <v/>
      </c>
      <c r="AI71" s="119" t="str">
        <f ca="1">IFERROR(__xludf.DUMMYFUNCTION("""COMPUTED_VALUE"""),"")</f>
        <v/>
      </c>
      <c r="AJ71" s="119" t="str">
        <f ca="1">IFERROR(__xludf.DUMMYFUNCTION("""COMPUTED_VALUE"""),"")</f>
        <v/>
      </c>
      <c r="AK71" s="119" t="str">
        <f ca="1">IFERROR(__xludf.DUMMYFUNCTION("""COMPUTED_VALUE"""),"")</f>
        <v/>
      </c>
      <c r="AL71" s="119" t="str">
        <f ca="1">IFERROR(__xludf.DUMMYFUNCTION("""COMPUTED_VALUE"""),"")</f>
        <v/>
      </c>
      <c r="AM71" s="119" t="str">
        <f ca="1">IFERROR(__xludf.DUMMYFUNCTION("""COMPUTED_VALUE"""),"")</f>
        <v/>
      </c>
      <c r="AN71" s="119" t="str">
        <f ca="1">IFERROR(__xludf.DUMMYFUNCTION("""COMPUTED_VALUE"""),"")</f>
        <v/>
      </c>
      <c r="AO71" s="119" t="str">
        <f ca="1">IFERROR(__xludf.DUMMYFUNCTION("""COMPUTED_VALUE"""),"")</f>
        <v/>
      </c>
      <c r="AP71" s="119" t="str">
        <f ca="1">IFERROR(__xludf.DUMMYFUNCTION("""COMPUTED_VALUE"""),"")</f>
        <v/>
      </c>
      <c r="AQ71" s="119" t="str">
        <f ca="1">IFERROR(__xludf.DUMMYFUNCTION("""COMPUTED_VALUE"""),"")</f>
        <v/>
      </c>
      <c r="AR71" s="118" t="str">
        <f ca="1">IFERROR(__xludf.DUMMYFUNCTION("""COMPUTED_VALUE"""),"")</f>
        <v/>
      </c>
      <c r="AS71" s="119" t="str">
        <f ca="1">IFERROR(__xludf.DUMMYFUNCTION("""COMPUTED_VALUE"""),"")</f>
        <v/>
      </c>
      <c r="AT71" s="119" t="str">
        <f ca="1">IFERROR(__xludf.DUMMYFUNCTION("""COMPUTED_VALUE"""),"")</f>
        <v/>
      </c>
      <c r="AU71" s="119" t="str">
        <f ca="1">IFERROR(__xludf.DUMMYFUNCTION("""COMPUTED_VALUE"""),"")</f>
        <v/>
      </c>
      <c r="AV71" s="119" t="str">
        <f ca="1">IFERROR(__xludf.DUMMYFUNCTION("""COMPUTED_VALUE"""),"")</f>
        <v/>
      </c>
      <c r="AW71" s="119" t="str">
        <f ca="1">IFERROR(__xludf.DUMMYFUNCTION("""COMPUTED_VALUE"""),"")</f>
        <v/>
      </c>
      <c r="AX71" s="119" t="str">
        <f ca="1">IFERROR(__xludf.DUMMYFUNCTION("""COMPUTED_VALUE"""),"")</f>
        <v/>
      </c>
      <c r="AY71" s="119" t="str">
        <f ca="1">IFERROR(__xludf.DUMMYFUNCTION("""COMPUTED_VALUE"""),"")</f>
        <v/>
      </c>
      <c r="AZ71" s="119" t="str">
        <f ca="1">IFERROR(__xludf.DUMMYFUNCTION("""COMPUTED_VALUE"""),"")</f>
        <v/>
      </c>
      <c r="BA71" s="119" t="str">
        <f ca="1">IFERROR(__xludf.DUMMYFUNCTION("""COMPUTED_VALUE"""),"")</f>
        <v/>
      </c>
      <c r="BB71" s="119" t="str">
        <f ca="1">IFERROR(__xludf.DUMMYFUNCTION("""COMPUTED_VALUE"""),"")</f>
        <v/>
      </c>
      <c r="BC71" s="119" t="str">
        <f ca="1">IFERROR(__xludf.DUMMYFUNCTION("""COMPUTED_VALUE"""),"")</f>
        <v/>
      </c>
      <c r="BD71" s="119" t="str">
        <f ca="1">IFERROR(__xludf.DUMMYFUNCTION("""COMPUTED_VALUE"""),"")</f>
        <v/>
      </c>
      <c r="BE71" s="119" t="str">
        <f ca="1">IFERROR(__xludf.DUMMYFUNCTION("""COMPUTED_VALUE"""),"")</f>
        <v/>
      </c>
      <c r="BF71" s="119" t="str">
        <f ca="1">IFERROR(__xludf.DUMMYFUNCTION("""COMPUTED_VALUE"""),"")</f>
        <v/>
      </c>
      <c r="BG71" s="119" t="str">
        <f ca="1">IFERROR(__xludf.DUMMYFUNCTION("""COMPUTED_VALUE"""),"")</f>
        <v/>
      </c>
      <c r="BH71" s="119" t="str">
        <f ca="1">IFERROR(__xludf.DUMMYFUNCTION("""COMPUTED_VALUE"""),"")</f>
        <v/>
      </c>
      <c r="BI71" s="119" t="str">
        <f ca="1">IFERROR(__xludf.DUMMYFUNCTION("""COMPUTED_VALUE"""),"")</f>
        <v/>
      </c>
      <c r="BJ71" s="119" t="str">
        <f ca="1">IFERROR(__xludf.DUMMYFUNCTION("""COMPUTED_VALUE"""),"")</f>
        <v/>
      </c>
      <c r="BK71" s="119" t="str">
        <f ca="1">IFERROR(__xludf.DUMMYFUNCTION("""COMPUTED_VALUE"""),"")</f>
        <v/>
      </c>
      <c r="BL71" s="119" t="str">
        <f ca="1">IFERROR(__xludf.DUMMYFUNCTION("""COMPUTED_VALUE"""),"")</f>
        <v/>
      </c>
      <c r="BM71" s="119" t="str">
        <f ca="1">IFERROR(__xludf.DUMMYFUNCTION("""COMPUTED_VALUE"""),"")</f>
        <v/>
      </c>
      <c r="BN71" s="119" t="str">
        <f ca="1">IFERROR(__xludf.DUMMYFUNCTION("""COMPUTED_VALUE"""),"")</f>
        <v/>
      </c>
      <c r="BO71" s="119" t="str">
        <f ca="1">IFERROR(__xludf.DUMMYFUNCTION("""COMPUTED_VALUE"""),"")</f>
        <v/>
      </c>
      <c r="BP71" s="119" t="str">
        <f ca="1">IFERROR(__xludf.DUMMYFUNCTION("""COMPUTED_VALUE"""),"")</f>
        <v/>
      </c>
      <c r="BQ71" s="119" t="str">
        <f ca="1">IFERROR(__xludf.DUMMYFUNCTION("""COMPUTED_VALUE"""),"")</f>
        <v/>
      </c>
      <c r="BR71" s="119" t="str">
        <f ca="1">IFERROR(__xludf.DUMMYFUNCTION("""COMPUTED_VALUE"""),"")</f>
        <v/>
      </c>
      <c r="BS71" s="119" t="str">
        <f ca="1">IFERROR(__xludf.DUMMYFUNCTION("""COMPUTED_VALUE"""),"")</f>
        <v/>
      </c>
      <c r="BT71" s="119" t="str">
        <f ca="1">IFERROR(__xludf.DUMMYFUNCTION("""COMPUTED_VALUE"""),"")</f>
        <v/>
      </c>
      <c r="BU71" s="119" t="str">
        <f ca="1">IFERROR(__xludf.DUMMYFUNCTION("""COMPUTED_VALUE"""),"")</f>
        <v/>
      </c>
      <c r="BV71" s="119" t="str">
        <f ca="1">IFERROR(__xludf.DUMMYFUNCTION("""COMPUTED_VALUE"""),"")</f>
        <v/>
      </c>
      <c r="BW71" s="119" t="str">
        <f ca="1">IFERROR(__xludf.DUMMYFUNCTION("""COMPUTED_VALUE"""),"")</f>
        <v/>
      </c>
      <c r="BX71" s="119" t="str">
        <f ca="1">IFERROR(__xludf.DUMMYFUNCTION("""COMPUTED_VALUE"""),"")</f>
        <v/>
      </c>
      <c r="BY71" s="119" t="str">
        <f ca="1">IFERROR(__xludf.DUMMYFUNCTION("""COMPUTED_VALUE"""),"")</f>
        <v/>
      </c>
      <c r="BZ71" s="119" t="str">
        <f ca="1">IFERROR(__xludf.DUMMYFUNCTION("""COMPUTED_VALUE"""),"")</f>
        <v/>
      </c>
      <c r="CA71" s="119" t="str">
        <f ca="1">IFERROR(__xludf.DUMMYFUNCTION("""COMPUTED_VALUE"""),"")</f>
        <v/>
      </c>
      <c r="CB71" s="119" t="str">
        <f ca="1">IFERROR(__xludf.DUMMYFUNCTION("""COMPUTED_VALUE"""),"")</f>
        <v/>
      </c>
      <c r="CC71" s="119" t="str">
        <f ca="1">IFERROR(__xludf.DUMMYFUNCTION("""COMPUTED_VALUE"""),"")</f>
        <v/>
      </c>
      <c r="CD71" s="119" t="str">
        <f ca="1">IFERROR(__xludf.DUMMYFUNCTION("""COMPUTED_VALUE"""),"")</f>
        <v/>
      </c>
      <c r="CE71" s="119" t="str">
        <f ca="1">IFERROR(__xludf.DUMMYFUNCTION("""COMPUTED_VALUE"""),"")</f>
        <v/>
      </c>
      <c r="CF71" s="119" t="str">
        <f ca="1">IFERROR(__xludf.DUMMYFUNCTION("""COMPUTED_VALUE"""),"")</f>
        <v/>
      </c>
      <c r="CG71" s="119" t="str">
        <f ca="1">IFERROR(__xludf.DUMMYFUNCTION("""COMPUTED_VALUE"""),"")</f>
        <v/>
      </c>
      <c r="CH71" s="119" t="str">
        <f ca="1">IFERROR(__xludf.DUMMYFUNCTION("""COMPUTED_VALUE"""),"")</f>
        <v/>
      </c>
      <c r="CI71" s="119" t="str">
        <f ca="1">IFERROR(__xludf.DUMMYFUNCTION("""COMPUTED_VALUE"""),"")</f>
        <v/>
      </c>
      <c r="CJ71" s="119" t="str">
        <f ca="1">IFERROR(__xludf.DUMMYFUNCTION("""COMPUTED_VALUE"""),"")</f>
        <v/>
      </c>
      <c r="CK71" s="119" t="str">
        <f ca="1">IFERROR(__xludf.DUMMYFUNCTION("""COMPUTED_VALUE"""),"")</f>
        <v/>
      </c>
      <c r="CL71" s="119" t="str">
        <f ca="1">IFERROR(__xludf.DUMMYFUNCTION("""COMPUTED_VALUE"""),"")</f>
        <v/>
      </c>
      <c r="CM71" s="119" t="str">
        <f ca="1">IFERROR(__xludf.DUMMYFUNCTION("""COMPUTED_VALUE"""),"")</f>
        <v/>
      </c>
      <c r="CN71" s="119" t="str">
        <f ca="1">IFERROR(__xludf.DUMMYFUNCTION("""COMPUTED_VALUE"""),"")</f>
        <v/>
      </c>
      <c r="CO71" s="119" t="str">
        <f ca="1">IFERROR(__xludf.DUMMYFUNCTION("""COMPUTED_VALUE"""),"")</f>
        <v/>
      </c>
      <c r="CP71" s="119" t="str">
        <f ca="1">IFERROR(__xludf.DUMMYFUNCTION("""COMPUTED_VALUE"""),"")</f>
        <v/>
      </c>
      <c r="CQ71" s="119" t="str">
        <f ca="1">IFERROR(__xludf.DUMMYFUNCTION("""COMPUTED_VALUE"""),"")</f>
        <v/>
      </c>
      <c r="CR71" s="119" t="str">
        <f ca="1">IFERROR(__xludf.DUMMYFUNCTION("""COMPUTED_VALUE"""),"")</f>
        <v/>
      </c>
      <c r="CS71" s="119" t="str">
        <f ca="1">IFERROR(__xludf.DUMMYFUNCTION("""COMPUTED_VALUE"""),"")</f>
        <v/>
      </c>
      <c r="CT71" s="119" t="str">
        <f ca="1">IFERROR(__xludf.DUMMYFUNCTION("""COMPUTED_VALUE"""),"")</f>
        <v/>
      </c>
      <c r="CU71" s="119" t="str">
        <f ca="1">IFERROR(__xludf.DUMMYFUNCTION("""COMPUTED_VALUE"""),"")</f>
        <v/>
      </c>
      <c r="CV71" s="119" t="str">
        <f ca="1">IFERROR(__xludf.DUMMYFUNCTION("""COMPUTED_VALUE"""),"")</f>
        <v/>
      </c>
      <c r="CW71" s="119" t="str">
        <f ca="1">IFERROR(__xludf.DUMMYFUNCTION("""COMPUTED_VALUE"""),"")</f>
        <v/>
      </c>
      <c r="CX71" s="119" t="str">
        <f ca="1">IFERROR(__xludf.DUMMYFUNCTION("""COMPUTED_VALUE"""),"")</f>
        <v/>
      </c>
      <c r="CY71" s="119" t="str">
        <f ca="1">IFERROR(__xludf.DUMMYFUNCTION("""COMPUTED_VALUE"""),"")</f>
        <v/>
      </c>
      <c r="CZ71" s="119" t="str">
        <f ca="1">IFERROR(__xludf.DUMMYFUNCTION("""COMPUTED_VALUE"""),"")</f>
        <v/>
      </c>
      <c r="DA71" s="119" t="str">
        <f ca="1">IFERROR(__xludf.DUMMYFUNCTION("""COMPUTED_VALUE"""),"")</f>
        <v/>
      </c>
      <c r="DB71" s="119" t="str">
        <f ca="1">IFERROR(__xludf.DUMMYFUNCTION("""COMPUTED_VALUE"""),"")</f>
        <v/>
      </c>
      <c r="DC71" s="119" t="str">
        <f ca="1">IFERROR(__xludf.DUMMYFUNCTION("""COMPUTED_VALUE"""),"")</f>
        <v/>
      </c>
      <c r="DD71" s="119" t="str">
        <f ca="1">IFERROR(__xludf.DUMMYFUNCTION("""COMPUTED_VALUE"""),"")</f>
        <v/>
      </c>
      <c r="DE71" s="119" t="str">
        <f ca="1">IFERROR(__xludf.DUMMYFUNCTION("""COMPUTED_VALUE"""),"")</f>
        <v/>
      </c>
      <c r="DF71" s="119" t="str">
        <f ca="1">IFERROR(__xludf.DUMMYFUNCTION("""COMPUTED_VALUE"""),"")</f>
        <v/>
      </c>
      <c r="DG71" s="119" t="str">
        <f ca="1">IFERROR(__xludf.DUMMYFUNCTION("""COMPUTED_VALUE"""),"")</f>
        <v/>
      </c>
      <c r="DH71" s="119" t="str">
        <f ca="1">IFERROR(__xludf.DUMMYFUNCTION("""COMPUTED_VALUE"""),"")</f>
        <v/>
      </c>
      <c r="DI71" s="119" t="str">
        <f ca="1">IFERROR(__xludf.DUMMYFUNCTION("""COMPUTED_VALUE"""),"")</f>
        <v/>
      </c>
      <c r="DJ71" s="119" t="str">
        <f ca="1">IFERROR(__xludf.DUMMYFUNCTION("""COMPUTED_VALUE"""),"")</f>
        <v/>
      </c>
      <c r="DK71" s="119" t="str">
        <f ca="1">IFERROR(__xludf.DUMMYFUNCTION("""COMPUTED_VALUE"""),"")</f>
        <v/>
      </c>
      <c r="DL71" s="119" t="str">
        <f ca="1">IFERROR(__xludf.DUMMYFUNCTION("""COMPUTED_VALUE"""),"")</f>
        <v/>
      </c>
      <c r="DM71" s="119" t="str">
        <f ca="1">IFERROR(__xludf.DUMMYFUNCTION("""COMPUTED_VALUE"""),"")</f>
        <v/>
      </c>
      <c r="DN71" s="119" t="str">
        <f ca="1">IFERROR(__xludf.DUMMYFUNCTION("""COMPUTED_VALUE"""),"")</f>
        <v/>
      </c>
      <c r="DO71" s="119" t="str">
        <f ca="1">IFERROR(__xludf.DUMMYFUNCTION("""COMPUTED_VALUE"""),"")</f>
        <v/>
      </c>
      <c r="DP71" s="119" t="str">
        <f ca="1">IFERROR(__xludf.DUMMYFUNCTION("""COMPUTED_VALUE"""),"")</f>
        <v/>
      </c>
      <c r="DQ71" s="119" t="str">
        <f ca="1">IFERROR(__xludf.DUMMYFUNCTION("""COMPUTED_VALUE"""),"")</f>
        <v/>
      </c>
      <c r="DR71" s="119" t="str">
        <f ca="1">IFERROR(__xludf.DUMMYFUNCTION("""COMPUTED_VALUE"""),"")</f>
        <v/>
      </c>
      <c r="DS71" s="119" t="str">
        <f ca="1">IFERROR(__xludf.DUMMYFUNCTION("""COMPUTED_VALUE"""),"")</f>
        <v/>
      </c>
      <c r="DT71" s="119" t="str">
        <f ca="1">IFERROR(__xludf.DUMMYFUNCTION("""COMPUTED_VALUE"""),"")</f>
        <v/>
      </c>
      <c r="DU71" s="119" t="str">
        <f ca="1">IFERROR(__xludf.DUMMYFUNCTION("""COMPUTED_VALUE"""),"")</f>
        <v/>
      </c>
      <c r="DV71" s="119" t="str">
        <f ca="1">IFERROR(__xludf.DUMMYFUNCTION("""COMPUTED_VALUE"""),"")</f>
        <v/>
      </c>
      <c r="DW71" s="119" t="str">
        <f ca="1">IFERROR(__xludf.DUMMYFUNCTION("""COMPUTED_VALUE"""),"")</f>
        <v/>
      </c>
      <c r="DX71" s="119" t="str">
        <f ca="1">IFERROR(__xludf.DUMMYFUNCTION("""COMPUTED_VALUE"""),"")</f>
        <v/>
      </c>
      <c r="DY71" s="119" t="str">
        <f ca="1">IFERROR(__xludf.DUMMYFUNCTION("""COMPUTED_VALUE"""),"")</f>
        <v/>
      </c>
      <c r="DZ71" s="119" t="str">
        <f ca="1">IFERROR(__xludf.DUMMYFUNCTION("""COMPUTED_VALUE"""),"")</f>
        <v/>
      </c>
      <c r="EA71" s="119" t="str">
        <f ca="1">IFERROR(__xludf.DUMMYFUNCTION("""COMPUTED_VALUE"""),"")</f>
        <v/>
      </c>
      <c r="EB71" s="119" t="str">
        <f ca="1">IFERROR(__xludf.DUMMYFUNCTION("""COMPUTED_VALUE"""),"")</f>
        <v/>
      </c>
      <c r="EC71" s="119" t="str">
        <f ca="1">IFERROR(__xludf.DUMMYFUNCTION("""COMPUTED_VALUE"""),"")</f>
        <v/>
      </c>
      <c r="ED71" s="119" t="str">
        <f ca="1">IFERROR(__xludf.DUMMYFUNCTION("""COMPUTED_VALUE"""),"")</f>
        <v/>
      </c>
      <c r="EE71" s="119" t="str">
        <f ca="1">IFERROR(__xludf.DUMMYFUNCTION("""COMPUTED_VALUE"""),"")</f>
        <v/>
      </c>
      <c r="EF71" s="119" t="str">
        <f ca="1">IFERROR(__xludf.DUMMYFUNCTION("""COMPUTED_VALUE"""),"")</f>
        <v/>
      </c>
      <c r="EG71" s="119" t="str">
        <f ca="1">IFERROR(__xludf.DUMMYFUNCTION("""COMPUTED_VALUE"""),"")</f>
        <v/>
      </c>
      <c r="EH71" s="119" t="str">
        <f ca="1">IFERROR(__xludf.DUMMYFUNCTION("""COMPUTED_VALUE"""),"")</f>
        <v/>
      </c>
      <c r="EI71" s="119" t="str">
        <f ca="1">IFERROR(__xludf.DUMMYFUNCTION("""COMPUTED_VALUE"""),"")</f>
        <v/>
      </c>
      <c r="EJ71" s="119" t="str">
        <f ca="1">IFERROR(__xludf.DUMMYFUNCTION("""COMPUTED_VALUE"""),"")</f>
        <v/>
      </c>
      <c r="EK71" s="119" t="str">
        <f ca="1">IFERROR(__xludf.DUMMYFUNCTION("""COMPUTED_VALUE"""),"")</f>
        <v/>
      </c>
      <c r="EL71" s="119" t="str">
        <f ca="1">IFERROR(__xludf.DUMMYFUNCTION("""COMPUTED_VALUE"""),"")</f>
        <v/>
      </c>
      <c r="EM71" s="119" t="str">
        <f ca="1">IFERROR(__xludf.DUMMYFUNCTION("""COMPUTED_VALUE"""),"")</f>
        <v/>
      </c>
      <c r="EN71" s="119" t="str">
        <f ca="1">IFERROR(__xludf.DUMMYFUNCTION("""COMPUTED_VALUE"""),"")</f>
        <v/>
      </c>
      <c r="EO71" s="119" t="str">
        <f ca="1">IFERROR(__xludf.DUMMYFUNCTION("""COMPUTED_VALUE"""),"")</f>
        <v/>
      </c>
      <c r="EP71" s="119" t="str">
        <f ca="1">IFERROR(__xludf.DUMMYFUNCTION("""COMPUTED_VALUE"""),"")</f>
        <v/>
      </c>
      <c r="EQ71" s="119" t="str">
        <f ca="1">IFERROR(__xludf.DUMMYFUNCTION("""COMPUTED_VALUE"""),"")</f>
        <v/>
      </c>
      <c r="ER71" s="119" t="str">
        <f ca="1">IFERROR(__xludf.DUMMYFUNCTION("""COMPUTED_VALUE"""),"")</f>
        <v/>
      </c>
      <c r="ES71" s="119" t="str">
        <f ca="1">IFERROR(__xludf.DUMMYFUNCTION("""COMPUTED_VALUE"""),"")</f>
        <v/>
      </c>
      <c r="ET71" s="119" t="str">
        <f ca="1">IFERROR(__xludf.DUMMYFUNCTION("""COMPUTED_VALUE"""),"")</f>
        <v/>
      </c>
      <c r="EU71" s="119" t="str">
        <f ca="1">IFERROR(__xludf.DUMMYFUNCTION("""COMPUTED_VALUE"""),"")</f>
        <v/>
      </c>
      <c r="EV71" s="119" t="str">
        <f ca="1">IFERROR(__xludf.DUMMYFUNCTION("""COMPUTED_VALUE"""),"")</f>
        <v/>
      </c>
      <c r="EW71" s="119" t="str">
        <f ca="1">IFERROR(__xludf.DUMMYFUNCTION("""COMPUTED_VALUE"""),"")</f>
        <v/>
      </c>
      <c r="EX71" s="117" t="str">
        <f ca="1">IFERROR(__xludf.DUMMYFUNCTION("""COMPUTED_VALUE"""),"")</f>
        <v/>
      </c>
      <c r="EY71" s="117" t="str">
        <f ca="1">IFERROR(__xludf.DUMMYFUNCTION("""COMPUTED_VALUE"""),"")</f>
        <v/>
      </c>
      <c r="EZ71" s="117" t="str">
        <f ca="1">IFERROR(__xludf.DUMMYFUNCTION("""COMPUTED_VALUE"""),"")</f>
        <v/>
      </c>
      <c r="FA71" s="117" t="str">
        <f ca="1">IFERROR(__xludf.DUMMYFUNCTION("""COMPUTED_VALUE"""),"")</f>
        <v/>
      </c>
      <c r="FB71" s="117" t="str">
        <f ca="1">IFERROR(__xludf.DUMMYFUNCTION("""COMPUTED_VALUE"""),"")</f>
        <v/>
      </c>
      <c r="FC71" s="117" t="str">
        <f ca="1">IFERROR(__xludf.DUMMYFUNCTION("""COMPUTED_VALUE"""),"")</f>
        <v/>
      </c>
      <c r="FD71" s="117" t="str">
        <f ca="1">IFERROR(__xludf.DUMMYFUNCTION("""COMPUTED_VALUE"""),"")</f>
        <v/>
      </c>
      <c r="FE71" s="117" t="str">
        <f ca="1">IFERROR(__xludf.DUMMYFUNCTION("""COMPUTED_VALUE"""),"")</f>
        <v/>
      </c>
      <c r="FF71" s="117" t="str">
        <f ca="1">IFERROR(__xludf.DUMMYFUNCTION("""COMPUTED_VALUE"""),"")</f>
        <v/>
      </c>
      <c r="FG71" s="117" t="str">
        <f ca="1">IFERROR(__xludf.DUMMYFUNCTION("""COMPUTED_VALUE"""),"")</f>
        <v/>
      </c>
      <c r="FH71" s="117" t="str">
        <f ca="1">IFERROR(__xludf.DUMMYFUNCTION("""COMPUTED_VALUE"""),"")</f>
        <v/>
      </c>
      <c r="FI71" s="117" t="str">
        <f ca="1">IFERROR(__xludf.DUMMYFUNCTION("""COMPUTED_VALUE"""),"")</f>
        <v/>
      </c>
      <c r="FJ71" s="117" t="str">
        <f ca="1">IFERROR(__xludf.DUMMYFUNCTION("""COMPUTED_VALUE"""),"")</f>
        <v/>
      </c>
      <c r="FK71" s="117" t="str">
        <f ca="1">IFERROR(__xludf.DUMMYFUNCTION("""COMPUTED_VALUE"""),"")</f>
        <v/>
      </c>
      <c r="FL71" s="117" t="str">
        <f ca="1">IFERROR(__xludf.DUMMYFUNCTION("""COMPUTED_VALUE"""),"")</f>
        <v/>
      </c>
      <c r="FM71" s="117" t="str">
        <f ca="1">IFERROR(__xludf.DUMMYFUNCTION("""COMPUTED_VALUE"""),"")</f>
        <v/>
      </c>
      <c r="FN71" s="117" t="str">
        <f ca="1">IFERROR(__xludf.DUMMYFUNCTION("""COMPUTED_VALUE"""),"")</f>
        <v/>
      </c>
      <c r="FO71" s="117" t="str">
        <f ca="1">IFERROR(__xludf.DUMMYFUNCTION("""COMPUTED_VALUE"""),"")</f>
        <v/>
      </c>
    </row>
    <row r="72" spans="1:171" ht="13" x14ac:dyDescent="0.15">
      <c r="A72" s="115" t="str">
        <f ca="1">IFERROR(__xludf.DUMMYFUNCTION("""COMPUTED_VALUE"""),"")</f>
        <v/>
      </c>
      <c r="B72" s="119" t="str">
        <f ca="1">IFERROR(__xludf.DUMMYFUNCTION("""COMPUTED_VALUE"""),"")</f>
        <v/>
      </c>
      <c r="C72" s="119" t="str">
        <f ca="1">IFERROR(__xludf.DUMMYFUNCTION("""COMPUTED_VALUE"""),"")</f>
        <v/>
      </c>
      <c r="D72" s="119" t="str">
        <f ca="1">IFERROR(__xludf.DUMMYFUNCTION("""COMPUTED_VALUE"""),"")</f>
        <v/>
      </c>
      <c r="E72" s="119" t="str">
        <f ca="1">IFERROR(__xludf.DUMMYFUNCTION("""COMPUTED_VALUE"""),"")</f>
        <v/>
      </c>
      <c r="F72" s="119" t="str">
        <f ca="1">IFERROR(__xludf.DUMMYFUNCTION("""COMPUTED_VALUE"""),"")</f>
        <v/>
      </c>
      <c r="G72" s="119" t="str">
        <f ca="1">IFERROR(__xludf.DUMMYFUNCTION("""COMPUTED_VALUE"""),"")</f>
        <v/>
      </c>
      <c r="H72" s="119" t="str">
        <f ca="1">IFERROR(__xludf.DUMMYFUNCTION("""COMPUTED_VALUE"""),"")</f>
        <v/>
      </c>
      <c r="I72" s="119" t="str">
        <f ca="1">IFERROR(__xludf.DUMMYFUNCTION("""COMPUTED_VALUE"""),"")</f>
        <v/>
      </c>
      <c r="J72" s="119" t="str">
        <f ca="1">IFERROR(__xludf.DUMMYFUNCTION("""COMPUTED_VALUE"""),"")</f>
        <v/>
      </c>
      <c r="K72" s="119" t="str">
        <f ca="1">IFERROR(__xludf.DUMMYFUNCTION("""COMPUTED_VALUE"""),"")</f>
        <v/>
      </c>
      <c r="L72" s="119" t="str">
        <f ca="1">IFERROR(__xludf.DUMMYFUNCTION("""COMPUTED_VALUE"""),"")</f>
        <v/>
      </c>
      <c r="M72" s="119" t="str">
        <f ca="1">IFERROR(__xludf.DUMMYFUNCTION("""COMPUTED_VALUE"""),"")</f>
        <v/>
      </c>
      <c r="N72" s="119" t="str">
        <f ca="1">IFERROR(__xludf.DUMMYFUNCTION("""COMPUTED_VALUE"""),"")</f>
        <v/>
      </c>
      <c r="O72" s="119" t="str">
        <f ca="1">IFERROR(__xludf.DUMMYFUNCTION("""COMPUTED_VALUE"""),"")</f>
        <v/>
      </c>
      <c r="P72" s="119" t="str">
        <f ca="1">IFERROR(__xludf.DUMMYFUNCTION("""COMPUTED_VALUE"""),"")</f>
        <v/>
      </c>
      <c r="Q72" s="119" t="str">
        <f ca="1">IFERROR(__xludf.DUMMYFUNCTION("""COMPUTED_VALUE"""),"")</f>
        <v/>
      </c>
      <c r="R72" s="119" t="str">
        <f ca="1">IFERROR(__xludf.DUMMYFUNCTION("""COMPUTED_VALUE"""),"")</f>
        <v/>
      </c>
      <c r="S72" s="119" t="str">
        <f ca="1">IFERROR(__xludf.DUMMYFUNCTION("""COMPUTED_VALUE"""),"")</f>
        <v/>
      </c>
      <c r="T72" s="119" t="str">
        <f ca="1">IFERROR(__xludf.DUMMYFUNCTION("""COMPUTED_VALUE"""),"")</f>
        <v/>
      </c>
      <c r="U72" s="119" t="str">
        <f ca="1">IFERROR(__xludf.DUMMYFUNCTION("""COMPUTED_VALUE"""),"")</f>
        <v/>
      </c>
      <c r="V72" s="119" t="str">
        <f ca="1">IFERROR(__xludf.DUMMYFUNCTION("""COMPUTED_VALUE"""),"")</f>
        <v/>
      </c>
      <c r="W72" s="119" t="str">
        <f ca="1">IFERROR(__xludf.DUMMYFUNCTION("""COMPUTED_VALUE"""),"")</f>
        <v/>
      </c>
      <c r="X72" s="119" t="str">
        <f ca="1">IFERROR(__xludf.DUMMYFUNCTION("""COMPUTED_VALUE"""),"")</f>
        <v/>
      </c>
      <c r="Y72" s="119" t="str">
        <f ca="1">IFERROR(__xludf.DUMMYFUNCTION("""COMPUTED_VALUE"""),"")</f>
        <v/>
      </c>
      <c r="Z72" s="119" t="str">
        <f ca="1">IFERROR(__xludf.DUMMYFUNCTION("""COMPUTED_VALUE"""),"")</f>
        <v/>
      </c>
      <c r="AA72" s="119" t="str">
        <f ca="1">IFERROR(__xludf.DUMMYFUNCTION("""COMPUTED_VALUE"""),"")</f>
        <v/>
      </c>
      <c r="AB72" s="119" t="str">
        <f ca="1">IFERROR(__xludf.DUMMYFUNCTION("""COMPUTED_VALUE"""),"")</f>
        <v/>
      </c>
      <c r="AC72" s="119" t="str">
        <f ca="1">IFERROR(__xludf.DUMMYFUNCTION("""COMPUTED_VALUE"""),"")</f>
        <v/>
      </c>
      <c r="AD72" s="119" t="str">
        <f ca="1">IFERROR(__xludf.DUMMYFUNCTION("""COMPUTED_VALUE"""),"")</f>
        <v/>
      </c>
      <c r="AE72" s="119" t="str">
        <f ca="1">IFERROR(__xludf.DUMMYFUNCTION("""COMPUTED_VALUE"""),"")</f>
        <v/>
      </c>
      <c r="AF72" s="119" t="str">
        <f ca="1">IFERROR(__xludf.DUMMYFUNCTION("""COMPUTED_VALUE"""),"")</f>
        <v/>
      </c>
      <c r="AG72" s="119" t="str">
        <f ca="1">IFERROR(__xludf.DUMMYFUNCTION("""COMPUTED_VALUE"""),"")</f>
        <v/>
      </c>
      <c r="AH72" s="119" t="str">
        <f ca="1">IFERROR(__xludf.DUMMYFUNCTION("""COMPUTED_VALUE"""),"")</f>
        <v/>
      </c>
      <c r="AI72" s="119" t="str">
        <f ca="1">IFERROR(__xludf.DUMMYFUNCTION("""COMPUTED_VALUE"""),"")</f>
        <v/>
      </c>
      <c r="AJ72" s="119" t="str">
        <f ca="1">IFERROR(__xludf.DUMMYFUNCTION("""COMPUTED_VALUE"""),"")</f>
        <v/>
      </c>
      <c r="AK72" s="119" t="str">
        <f ca="1">IFERROR(__xludf.DUMMYFUNCTION("""COMPUTED_VALUE"""),"")</f>
        <v/>
      </c>
      <c r="AL72" s="119" t="str">
        <f ca="1">IFERROR(__xludf.DUMMYFUNCTION("""COMPUTED_VALUE"""),"")</f>
        <v/>
      </c>
      <c r="AM72" s="119" t="str">
        <f ca="1">IFERROR(__xludf.DUMMYFUNCTION("""COMPUTED_VALUE"""),"")</f>
        <v/>
      </c>
      <c r="AN72" s="119" t="str">
        <f ca="1">IFERROR(__xludf.DUMMYFUNCTION("""COMPUTED_VALUE"""),"")</f>
        <v/>
      </c>
      <c r="AO72" s="119" t="str">
        <f ca="1">IFERROR(__xludf.DUMMYFUNCTION("""COMPUTED_VALUE"""),"")</f>
        <v/>
      </c>
      <c r="AP72" s="119" t="str">
        <f ca="1">IFERROR(__xludf.DUMMYFUNCTION("""COMPUTED_VALUE"""),"")</f>
        <v/>
      </c>
      <c r="AQ72" s="119" t="str">
        <f ca="1">IFERROR(__xludf.DUMMYFUNCTION("""COMPUTED_VALUE"""),"")</f>
        <v/>
      </c>
      <c r="AR72" s="118" t="str">
        <f ca="1">IFERROR(__xludf.DUMMYFUNCTION("""COMPUTED_VALUE"""),"")</f>
        <v/>
      </c>
      <c r="AS72" s="119" t="str">
        <f ca="1">IFERROR(__xludf.DUMMYFUNCTION("""COMPUTED_VALUE"""),"")</f>
        <v/>
      </c>
      <c r="AT72" s="119" t="str">
        <f ca="1">IFERROR(__xludf.DUMMYFUNCTION("""COMPUTED_VALUE"""),"")</f>
        <v/>
      </c>
      <c r="AU72" s="119" t="str">
        <f ca="1">IFERROR(__xludf.DUMMYFUNCTION("""COMPUTED_VALUE"""),"")</f>
        <v/>
      </c>
      <c r="AV72" s="119" t="str">
        <f ca="1">IFERROR(__xludf.DUMMYFUNCTION("""COMPUTED_VALUE"""),"")</f>
        <v/>
      </c>
      <c r="AW72" s="119" t="str">
        <f ca="1">IFERROR(__xludf.DUMMYFUNCTION("""COMPUTED_VALUE"""),"")</f>
        <v/>
      </c>
      <c r="AX72" s="119" t="str">
        <f ca="1">IFERROR(__xludf.DUMMYFUNCTION("""COMPUTED_VALUE"""),"")</f>
        <v/>
      </c>
      <c r="AY72" s="119" t="str">
        <f ca="1">IFERROR(__xludf.DUMMYFUNCTION("""COMPUTED_VALUE"""),"")</f>
        <v/>
      </c>
      <c r="AZ72" s="119" t="str">
        <f ca="1">IFERROR(__xludf.DUMMYFUNCTION("""COMPUTED_VALUE"""),"")</f>
        <v/>
      </c>
      <c r="BA72" s="119" t="str">
        <f ca="1">IFERROR(__xludf.DUMMYFUNCTION("""COMPUTED_VALUE"""),"")</f>
        <v/>
      </c>
      <c r="BB72" s="119" t="str">
        <f ca="1">IFERROR(__xludf.DUMMYFUNCTION("""COMPUTED_VALUE"""),"")</f>
        <v/>
      </c>
      <c r="BC72" s="119" t="str">
        <f ca="1">IFERROR(__xludf.DUMMYFUNCTION("""COMPUTED_VALUE"""),"")</f>
        <v/>
      </c>
      <c r="BD72" s="119" t="str">
        <f ca="1">IFERROR(__xludf.DUMMYFUNCTION("""COMPUTED_VALUE"""),"")</f>
        <v/>
      </c>
      <c r="BE72" s="119" t="str">
        <f ca="1">IFERROR(__xludf.DUMMYFUNCTION("""COMPUTED_VALUE"""),"")</f>
        <v/>
      </c>
      <c r="BF72" s="119" t="str">
        <f ca="1">IFERROR(__xludf.DUMMYFUNCTION("""COMPUTED_VALUE"""),"")</f>
        <v/>
      </c>
      <c r="BG72" s="119" t="str">
        <f ca="1">IFERROR(__xludf.DUMMYFUNCTION("""COMPUTED_VALUE"""),"")</f>
        <v/>
      </c>
      <c r="BH72" s="119" t="str">
        <f ca="1">IFERROR(__xludf.DUMMYFUNCTION("""COMPUTED_VALUE"""),"")</f>
        <v/>
      </c>
      <c r="BI72" s="119" t="str">
        <f ca="1">IFERROR(__xludf.DUMMYFUNCTION("""COMPUTED_VALUE"""),"")</f>
        <v/>
      </c>
      <c r="BJ72" s="119" t="str">
        <f ca="1">IFERROR(__xludf.DUMMYFUNCTION("""COMPUTED_VALUE"""),"")</f>
        <v/>
      </c>
      <c r="BK72" s="119" t="str">
        <f ca="1">IFERROR(__xludf.DUMMYFUNCTION("""COMPUTED_VALUE"""),"")</f>
        <v/>
      </c>
      <c r="BL72" s="119" t="str">
        <f ca="1">IFERROR(__xludf.DUMMYFUNCTION("""COMPUTED_VALUE"""),"")</f>
        <v/>
      </c>
      <c r="BM72" s="119" t="str">
        <f ca="1">IFERROR(__xludf.DUMMYFUNCTION("""COMPUTED_VALUE"""),"")</f>
        <v/>
      </c>
      <c r="BN72" s="119" t="str">
        <f ca="1">IFERROR(__xludf.DUMMYFUNCTION("""COMPUTED_VALUE"""),"")</f>
        <v/>
      </c>
      <c r="BO72" s="119" t="str">
        <f ca="1">IFERROR(__xludf.DUMMYFUNCTION("""COMPUTED_VALUE"""),"")</f>
        <v/>
      </c>
      <c r="BP72" s="119" t="str">
        <f ca="1">IFERROR(__xludf.DUMMYFUNCTION("""COMPUTED_VALUE"""),"")</f>
        <v/>
      </c>
      <c r="BQ72" s="119" t="str">
        <f ca="1">IFERROR(__xludf.DUMMYFUNCTION("""COMPUTED_VALUE"""),"")</f>
        <v/>
      </c>
      <c r="BR72" s="119" t="str">
        <f ca="1">IFERROR(__xludf.DUMMYFUNCTION("""COMPUTED_VALUE"""),"")</f>
        <v/>
      </c>
      <c r="BS72" s="119" t="str">
        <f ca="1">IFERROR(__xludf.DUMMYFUNCTION("""COMPUTED_VALUE"""),"")</f>
        <v/>
      </c>
      <c r="BT72" s="119" t="str">
        <f ca="1">IFERROR(__xludf.DUMMYFUNCTION("""COMPUTED_VALUE"""),"")</f>
        <v/>
      </c>
      <c r="BU72" s="119" t="str">
        <f ca="1">IFERROR(__xludf.DUMMYFUNCTION("""COMPUTED_VALUE"""),"")</f>
        <v/>
      </c>
      <c r="BV72" s="119" t="str">
        <f ca="1">IFERROR(__xludf.DUMMYFUNCTION("""COMPUTED_VALUE"""),"")</f>
        <v/>
      </c>
      <c r="BW72" s="119" t="str">
        <f ca="1">IFERROR(__xludf.DUMMYFUNCTION("""COMPUTED_VALUE"""),"")</f>
        <v/>
      </c>
      <c r="BX72" s="119" t="str">
        <f ca="1">IFERROR(__xludf.DUMMYFUNCTION("""COMPUTED_VALUE"""),"")</f>
        <v/>
      </c>
      <c r="BY72" s="119" t="str">
        <f ca="1">IFERROR(__xludf.DUMMYFUNCTION("""COMPUTED_VALUE"""),"")</f>
        <v/>
      </c>
      <c r="BZ72" s="119" t="str">
        <f ca="1">IFERROR(__xludf.DUMMYFUNCTION("""COMPUTED_VALUE"""),"")</f>
        <v/>
      </c>
      <c r="CA72" s="119" t="str">
        <f ca="1">IFERROR(__xludf.DUMMYFUNCTION("""COMPUTED_VALUE"""),"")</f>
        <v/>
      </c>
      <c r="CB72" s="119" t="str">
        <f ca="1">IFERROR(__xludf.DUMMYFUNCTION("""COMPUTED_VALUE"""),"")</f>
        <v/>
      </c>
      <c r="CC72" s="119" t="str">
        <f ca="1">IFERROR(__xludf.DUMMYFUNCTION("""COMPUTED_VALUE"""),"")</f>
        <v/>
      </c>
      <c r="CD72" s="119" t="str">
        <f ca="1">IFERROR(__xludf.DUMMYFUNCTION("""COMPUTED_VALUE"""),"")</f>
        <v/>
      </c>
      <c r="CE72" s="119" t="str">
        <f ca="1">IFERROR(__xludf.DUMMYFUNCTION("""COMPUTED_VALUE"""),"")</f>
        <v/>
      </c>
      <c r="CF72" s="119" t="str">
        <f ca="1">IFERROR(__xludf.DUMMYFUNCTION("""COMPUTED_VALUE"""),"")</f>
        <v/>
      </c>
      <c r="CG72" s="119" t="str">
        <f ca="1">IFERROR(__xludf.DUMMYFUNCTION("""COMPUTED_VALUE"""),"")</f>
        <v/>
      </c>
      <c r="CH72" s="119" t="str">
        <f ca="1">IFERROR(__xludf.DUMMYFUNCTION("""COMPUTED_VALUE"""),"")</f>
        <v/>
      </c>
      <c r="CI72" s="119" t="str">
        <f ca="1">IFERROR(__xludf.DUMMYFUNCTION("""COMPUTED_VALUE"""),"")</f>
        <v/>
      </c>
      <c r="CJ72" s="119" t="str">
        <f ca="1">IFERROR(__xludf.DUMMYFUNCTION("""COMPUTED_VALUE"""),"")</f>
        <v/>
      </c>
      <c r="CK72" s="119" t="str">
        <f ca="1">IFERROR(__xludf.DUMMYFUNCTION("""COMPUTED_VALUE"""),"")</f>
        <v/>
      </c>
      <c r="CL72" s="119" t="str">
        <f ca="1">IFERROR(__xludf.DUMMYFUNCTION("""COMPUTED_VALUE"""),"")</f>
        <v/>
      </c>
      <c r="CM72" s="119" t="str">
        <f ca="1">IFERROR(__xludf.DUMMYFUNCTION("""COMPUTED_VALUE"""),"")</f>
        <v/>
      </c>
      <c r="CN72" s="119" t="str">
        <f ca="1">IFERROR(__xludf.DUMMYFUNCTION("""COMPUTED_VALUE"""),"")</f>
        <v/>
      </c>
      <c r="CO72" s="119" t="str">
        <f ca="1">IFERROR(__xludf.DUMMYFUNCTION("""COMPUTED_VALUE"""),"")</f>
        <v/>
      </c>
      <c r="CP72" s="119" t="str">
        <f ca="1">IFERROR(__xludf.DUMMYFUNCTION("""COMPUTED_VALUE"""),"")</f>
        <v/>
      </c>
      <c r="CQ72" s="119" t="str">
        <f ca="1">IFERROR(__xludf.DUMMYFUNCTION("""COMPUTED_VALUE"""),"")</f>
        <v/>
      </c>
      <c r="CR72" s="119" t="str">
        <f ca="1">IFERROR(__xludf.DUMMYFUNCTION("""COMPUTED_VALUE"""),"")</f>
        <v/>
      </c>
      <c r="CS72" s="119" t="str">
        <f ca="1">IFERROR(__xludf.DUMMYFUNCTION("""COMPUTED_VALUE"""),"")</f>
        <v/>
      </c>
      <c r="CT72" s="119" t="str">
        <f ca="1">IFERROR(__xludf.DUMMYFUNCTION("""COMPUTED_VALUE"""),"")</f>
        <v/>
      </c>
      <c r="CU72" s="119" t="str">
        <f ca="1">IFERROR(__xludf.DUMMYFUNCTION("""COMPUTED_VALUE"""),"")</f>
        <v/>
      </c>
      <c r="CV72" s="119" t="str">
        <f ca="1">IFERROR(__xludf.DUMMYFUNCTION("""COMPUTED_VALUE"""),"")</f>
        <v/>
      </c>
      <c r="CW72" s="119" t="str">
        <f ca="1">IFERROR(__xludf.DUMMYFUNCTION("""COMPUTED_VALUE"""),"")</f>
        <v/>
      </c>
      <c r="CX72" s="119" t="str">
        <f ca="1">IFERROR(__xludf.DUMMYFUNCTION("""COMPUTED_VALUE"""),"")</f>
        <v/>
      </c>
      <c r="CY72" s="119" t="str">
        <f ca="1">IFERROR(__xludf.DUMMYFUNCTION("""COMPUTED_VALUE"""),"")</f>
        <v/>
      </c>
      <c r="CZ72" s="119" t="str">
        <f ca="1">IFERROR(__xludf.DUMMYFUNCTION("""COMPUTED_VALUE"""),"")</f>
        <v/>
      </c>
      <c r="DA72" s="119" t="str">
        <f ca="1">IFERROR(__xludf.DUMMYFUNCTION("""COMPUTED_VALUE"""),"")</f>
        <v/>
      </c>
      <c r="DB72" s="119" t="str">
        <f ca="1">IFERROR(__xludf.DUMMYFUNCTION("""COMPUTED_VALUE"""),"")</f>
        <v/>
      </c>
      <c r="DC72" s="119" t="str">
        <f ca="1">IFERROR(__xludf.DUMMYFUNCTION("""COMPUTED_VALUE"""),"")</f>
        <v/>
      </c>
      <c r="DD72" s="119" t="str">
        <f ca="1">IFERROR(__xludf.DUMMYFUNCTION("""COMPUTED_VALUE"""),"")</f>
        <v/>
      </c>
      <c r="DE72" s="119" t="str">
        <f ca="1">IFERROR(__xludf.DUMMYFUNCTION("""COMPUTED_VALUE"""),"")</f>
        <v/>
      </c>
      <c r="DF72" s="119" t="str">
        <f ca="1">IFERROR(__xludf.DUMMYFUNCTION("""COMPUTED_VALUE"""),"")</f>
        <v/>
      </c>
      <c r="DG72" s="119" t="str">
        <f ca="1">IFERROR(__xludf.DUMMYFUNCTION("""COMPUTED_VALUE"""),"")</f>
        <v/>
      </c>
      <c r="DH72" s="119" t="str">
        <f ca="1">IFERROR(__xludf.DUMMYFUNCTION("""COMPUTED_VALUE"""),"")</f>
        <v/>
      </c>
      <c r="DI72" s="119" t="str">
        <f ca="1">IFERROR(__xludf.DUMMYFUNCTION("""COMPUTED_VALUE"""),"")</f>
        <v/>
      </c>
      <c r="DJ72" s="119" t="str">
        <f ca="1">IFERROR(__xludf.DUMMYFUNCTION("""COMPUTED_VALUE"""),"")</f>
        <v/>
      </c>
      <c r="DK72" s="119" t="str">
        <f ca="1">IFERROR(__xludf.DUMMYFUNCTION("""COMPUTED_VALUE"""),"")</f>
        <v/>
      </c>
      <c r="DL72" s="119" t="str">
        <f ca="1">IFERROR(__xludf.DUMMYFUNCTION("""COMPUTED_VALUE"""),"")</f>
        <v/>
      </c>
      <c r="DM72" s="119" t="str">
        <f ca="1">IFERROR(__xludf.DUMMYFUNCTION("""COMPUTED_VALUE"""),"")</f>
        <v/>
      </c>
      <c r="DN72" s="119" t="str">
        <f ca="1">IFERROR(__xludf.DUMMYFUNCTION("""COMPUTED_VALUE"""),"")</f>
        <v/>
      </c>
      <c r="DO72" s="119" t="str">
        <f ca="1">IFERROR(__xludf.DUMMYFUNCTION("""COMPUTED_VALUE"""),"")</f>
        <v/>
      </c>
      <c r="DP72" s="119" t="str">
        <f ca="1">IFERROR(__xludf.DUMMYFUNCTION("""COMPUTED_VALUE"""),"")</f>
        <v/>
      </c>
      <c r="DQ72" s="119" t="str">
        <f ca="1">IFERROR(__xludf.DUMMYFUNCTION("""COMPUTED_VALUE"""),"")</f>
        <v/>
      </c>
      <c r="DR72" s="119" t="str">
        <f ca="1">IFERROR(__xludf.DUMMYFUNCTION("""COMPUTED_VALUE"""),"")</f>
        <v/>
      </c>
      <c r="DS72" s="119" t="str">
        <f ca="1">IFERROR(__xludf.DUMMYFUNCTION("""COMPUTED_VALUE"""),"")</f>
        <v/>
      </c>
      <c r="DT72" s="119" t="str">
        <f ca="1">IFERROR(__xludf.DUMMYFUNCTION("""COMPUTED_VALUE"""),"")</f>
        <v/>
      </c>
      <c r="DU72" s="119" t="str">
        <f ca="1">IFERROR(__xludf.DUMMYFUNCTION("""COMPUTED_VALUE"""),"")</f>
        <v/>
      </c>
      <c r="DV72" s="119" t="str">
        <f ca="1">IFERROR(__xludf.DUMMYFUNCTION("""COMPUTED_VALUE"""),"")</f>
        <v/>
      </c>
      <c r="DW72" s="119" t="str">
        <f ca="1">IFERROR(__xludf.DUMMYFUNCTION("""COMPUTED_VALUE"""),"")</f>
        <v/>
      </c>
      <c r="DX72" s="119" t="str">
        <f ca="1">IFERROR(__xludf.DUMMYFUNCTION("""COMPUTED_VALUE"""),"")</f>
        <v/>
      </c>
      <c r="DY72" s="119" t="str">
        <f ca="1">IFERROR(__xludf.DUMMYFUNCTION("""COMPUTED_VALUE"""),"")</f>
        <v/>
      </c>
      <c r="DZ72" s="119" t="str">
        <f ca="1">IFERROR(__xludf.DUMMYFUNCTION("""COMPUTED_VALUE"""),"")</f>
        <v/>
      </c>
      <c r="EA72" s="119" t="str">
        <f ca="1">IFERROR(__xludf.DUMMYFUNCTION("""COMPUTED_VALUE"""),"")</f>
        <v/>
      </c>
      <c r="EB72" s="119" t="str">
        <f ca="1">IFERROR(__xludf.DUMMYFUNCTION("""COMPUTED_VALUE"""),"")</f>
        <v/>
      </c>
      <c r="EC72" s="119" t="str">
        <f ca="1">IFERROR(__xludf.DUMMYFUNCTION("""COMPUTED_VALUE"""),"")</f>
        <v/>
      </c>
      <c r="ED72" s="119" t="str">
        <f ca="1">IFERROR(__xludf.DUMMYFUNCTION("""COMPUTED_VALUE"""),"")</f>
        <v/>
      </c>
      <c r="EE72" s="119" t="str">
        <f ca="1">IFERROR(__xludf.DUMMYFUNCTION("""COMPUTED_VALUE"""),"")</f>
        <v/>
      </c>
      <c r="EF72" s="119" t="str">
        <f ca="1">IFERROR(__xludf.DUMMYFUNCTION("""COMPUTED_VALUE"""),"")</f>
        <v/>
      </c>
      <c r="EG72" s="119" t="str">
        <f ca="1">IFERROR(__xludf.DUMMYFUNCTION("""COMPUTED_VALUE"""),"")</f>
        <v/>
      </c>
      <c r="EH72" s="119" t="str">
        <f ca="1">IFERROR(__xludf.DUMMYFUNCTION("""COMPUTED_VALUE"""),"")</f>
        <v/>
      </c>
      <c r="EI72" s="119" t="str">
        <f ca="1">IFERROR(__xludf.DUMMYFUNCTION("""COMPUTED_VALUE"""),"")</f>
        <v/>
      </c>
      <c r="EJ72" s="119" t="str">
        <f ca="1">IFERROR(__xludf.DUMMYFUNCTION("""COMPUTED_VALUE"""),"")</f>
        <v/>
      </c>
      <c r="EK72" s="119" t="str">
        <f ca="1">IFERROR(__xludf.DUMMYFUNCTION("""COMPUTED_VALUE"""),"")</f>
        <v/>
      </c>
      <c r="EL72" s="119" t="str">
        <f ca="1">IFERROR(__xludf.DUMMYFUNCTION("""COMPUTED_VALUE"""),"")</f>
        <v/>
      </c>
      <c r="EM72" s="119" t="str">
        <f ca="1">IFERROR(__xludf.DUMMYFUNCTION("""COMPUTED_VALUE"""),"")</f>
        <v/>
      </c>
      <c r="EN72" s="119" t="str">
        <f ca="1">IFERROR(__xludf.DUMMYFUNCTION("""COMPUTED_VALUE"""),"")</f>
        <v/>
      </c>
      <c r="EO72" s="119" t="str">
        <f ca="1">IFERROR(__xludf.DUMMYFUNCTION("""COMPUTED_VALUE"""),"")</f>
        <v/>
      </c>
      <c r="EP72" s="119" t="str">
        <f ca="1">IFERROR(__xludf.DUMMYFUNCTION("""COMPUTED_VALUE"""),"")</f>
        <v/>
      </c>
      <c r="EQ72" s="119" t="str">
        <f ca="1">IFERROR(__xludf.DUMMYFUNCTION("""COMPUTED_VALUE"""),"")</f>
        <v/>
      </c>
      <c r="ER72" s="119" t="str">
        <f ca="1">IFERROR(__xludf.DUMMYFUNCTION("""COMPUTED_VALUE"""),"")</f>
        <v/>
      </c>
      <c r="ES72" s="119" t="str">
        <f ca="1">IFERROR(__xludf.DUMMYFUNCTION("""COMPUTED_VALUE"""),"")</f>
        <v/>
      </c>
      <c r="ET72" s="119" t="str">
        <f ca="1">IFERROR(__xludf.DUMMYFUNCTION("""COMPUTED_VALUE"""),"")</f>
        <v/>
      </c>
      <c r="EU72" s="119" t="str">
        <f ca="1">IFERROR(__xludf.DUMMYFUNCTION("""COMPUTED_VALUE"""),"")</f>
        <v/>
      </c>
      <c r="EV72" s="119" t="str">
        <f ca="1">IFERROR(__xludf.DUMMYFUNCTION("""COMPUTED_VALUE"""),"")</f>
        <v/>
      </c>
      <c r="EW72" s="119" t="str">
        <f ca="1">IFERROR(__xludf.DUMMYFUNCTION("""COMPUTED_VALUE"""),"")</f>
        <v/>
      </c>
      <c r="EX72" s="117" t="str">
        <f ca="1">IFERROR(__xludf.DUMMYFUNCTION("""COMPUTED_VALUE"""),"")</f>
        <v/>
      </c>
      <c r="EY72" s="117" t="str">
        <f ca="1">IFERROR(__xludf.DUMMYFUNCTION("""COMPUTED_VALUE"""),"")</f>
        <v/>
      </c>
      <c r="EZ72" s="117" t="str">
        <f ca="1">IFERROR(__xludf.DUMMYFUNCTION("""COMPUTED_VALUE"""),"")</f>
        <v/>
      </c>
      <c r="FA72" s="117" t="str">
        <f ca="1">IFERROR(__xludf.DUMMYFUNCTION("""COMPUTED_VALUE"""),"")</f>
        <v/>
      </c>
      <c r="FB72" s="117" t="str">
        <f ca="1">IFERROR(__xludf.DUMMYFUNCTION("""COMPUTED_VALUE"""),"")</f>
        <v/>
      </c>
      <c r="FC72" s="117" t="str">
        <f ca="1">IFERROR(__xludf.DUMMYFUNCTION("""COMPUTED_VALUE"""),"")</f>
        <v/>
      </c>
      <c r="FD72" s="117" t="str">
        <f ca="1">IFERROR(__xludf.DUMMYFUNCTION("""COMPUTED_VALUE"""),"")</f>
        <v/>
      </c>
      <c r="FE72" s="117" t="str">
        <f ca="1">IFERROR(__xludf.DUMMYFUNCTION("""COMPUTED_VALUE"""),"")</f>
        <v/>
      </c>
      <c r="FF72" s="117" t="str">
        <f ca="1">IFERROR(__xludf.DUMMYFUNCTION("""COMPUTED_VALUE"""),"")</f>
        <v/>
      </c>
      <c r="FG72" s="117" t="str">
        <f ca="1">IFERROR(__xludf.DUMMYFUNCTION("""COMPUTED_VALUE"""),"")</f>
        <v/>
      </c>
      <c r="FH72" s="117" t="str">
        <f ca="1">IFERROR(__xludf.DUMMYFUNCTION("""COMPUTED_VALUE"""),"")</f>
        <v/>
      </c>
      <c r="FI72" s="117" t="str">
        <f ca="1">IFERROR(__xludf.DUMMYFUNCTION("""COMPUTED_VALUE"""),"")</f>
        <v/>
      </c>
      <c r="FJ72" s="117" t="str">
        <f ca="1">IFERROR(__xludf.DUMMYFUNCTION("""COMPUTED_VALUE"""),"")</f>
        <v/>
      </c>
      <c r="FK72" s="117" t="str">
        <f ca="1">IFERROR(__xludf.DUMMYFUNCTION("""COMPUTED_VALUE"""),"")</f>
        <v/>
      </c>
      <c r="FL72" s="117" t="str">
        <f ca="1">IFERROR(__xludf.DUMMYFUNCTION("""COMPUTED_VALUE"""),"")</f>
        <v/>
      </c>
      <c r="FM72" s="117" t="str">
        <f ca="1">IFERROR(__xludf.DUMMYFUNCTION("""COMPUTED_VALUE"""),"")</f>
        <v/>
      </c>
      <c r="FN72" s="117" t="str">
        <f ca="1">IFERROR(__xludf.DUMMYFUNCTION("""COMPUTED_VALUE"""),"")</f>
        <v/>
      </c>
      <c r="FO72" s="117" t="str">
        <f ca="1">IFERROR(__xludf.DUMMYFUNCTION("""COMPUTED_VALUE"""),"")</f>
        <v/>
      </c>
    </row>
    <row r="73" spans="1:171" ht="13" x14ac:dyDescent="0.15">
      <c r="A73" s="115" t="str">
        <f ca="1">IFERROR(__xludf.DUMMYFUNCTION("""COMPUTED_VALUE"""),"")</f>
        <v/>
      </c>
      <c r="B73" s="119" t="str">
        <f ca="1">IFERROR(__xludf.DUMMYFUNCTION("""COMPUTED_VALUE"""),"")</f>
        <v/>
      </c>
      <c r="C73" s="119" t="str">
        <f ca="1">IFERROR(__xludf.DUMMYFUNCTION("""COMPUTED_VALUE"""),"")</f>
        <v/>
      </c>
      <c r="D73" s="119" t="str">
        <f ca="1">IFERROR(__xludf.DUMMYFUNCTION("""COMPUTED_VALUE"""),"")</f>
        <v/>
      </c>
      <c r="E73" s="119" t="str">
        <f ca="1">IFERROR(__xludf.DUMMYFUNCTION("""COMPUTED_VALUE"""),"")</f>
        <v/>
      </c>
      <c r="F73" s="119" t="str">
        <f ca="1">IFERROR(__xludf.DUMMYFUNCTION("""COMPUTED_VALUE"""),"")</f>
        <v/>
      </c>
      <c r="G73" s="119" t="str">
        <f ca="1">IFERROR(__xludf.DUMMYFUNCTION("""COMPUTED_VALUE"""),"")</f>
        <v/>
      </c>
      <c r="H73" s="119" t="str">
        <f ca="1">IFERROR(__xludf.DUMMYFUNCTION("""COMPUTED_VALUE"""),"")</f>
        <v/>
      </c>
      <c r="I73" s="119" t="str">
        <f ca="1">IFERROR(__xludf.DUMMYFUNCTION("""COMPUTED_VALUE"""),"")</f>
        <v/>
      </c>
      <c r="J73" s="119" t="str">
        <f ca="1">IFERROR(__xludf.DUMMYFUNCTION("""COMPUTED_VALUE"""),"")</f>
        <v/>
      </c>
      <c r="K73" s="119" t="str">
        <f ca="1">IFERROR(__xludf.DUMMYFUNCTION("""COMPUTED_VALUE"""),"")</f>
        <v/>
      </c>
      <c r="L73" s="119" t="str">
        <f ca="1">IFERROR(__xludf.DUMMYFUNCTION("""COMPUTED_VALUE"""),"")</f>
        <v/>
      </c>
      <c r="M73" s="119" t="str">
        <f ca="1">IFERROR(__xludf.DUMMYFUNCTION("""COMPUTED_VALUE"""),"")</f>
        <v/>
      </c>
      <c r="N73" s="119" t="str">
        <f ca="1">IFERROR(__xludf.DUMMYFUNCTION("""COMPUTED_VALUE"""),"")</f>
        <v/>
      </c>
      <c r="O73" s="119" t="str">
        <f ca="1">IFERROR(__xludf.DUMMYFUNCTION("""COMPUTED_VALUE"""),"")</f>
        <v/>
      </c>
      <c r="P73" s="119" t="str">
        <f ca="1">IFERROR(__xludf.DUMMYFUNCTION("""COMPUTED_VALUE"""),"")</f>
        <v/>
      </c>
      <c r="Q73" s="119" t="str">
        <f ca="1">IFERROR(__xludf.DUMMYFUNCTION("""COMPUTED_VALUE"""),"")</f>
        <v/>
      </c>
      <c r="R73" s="119" t="str">
        <f ca="1">IFERROR(__xludf.DUMMYFUNCTION("""COMPUTED_VALUE"""),"")</f>
        <v/>
      </c>
      <c r="S73" s="119" t="str">
        <f ca="1">IFERROR(__xludf.DUMMYFUNCTION("""COMPUTED_VALUE"""),"")</f>
        <v/>
      </c>
      <c r="T73" s="119" t="str">
        <f ca="1">IFERROR(__xludf.DUMMYFUNCTION("""COMPUTED_VALUE"""),"")</f>
        <v/>
      </c>
      <c r="U73" s="119" t="str">
        <f ca="1">IFERROR(__xludf.DUMMYFUNCTION("""COMPUTED_VALUE"""),"")</f>
        <v/>
      </c>
      <c r="V73" s="119" t="str">
        <f ca="1">IFERROR(__xludf.DUMMYFUNCTION("""COMPUTED_VALUE"""),"")</f>
        <v/>
      </c>
      <c r="W73" s="119" t="str">
        <f ca="1">IFERROR(__xludf.DUMMYFUNCTION("""COMPUTED_VALUE"""),"")</f>
        <v/>
      </c>
      <c r="X73" s="119" t="str">
        <f ca="1">IFERROR(__xludf.DUMMYFUNCTION("""COMPUTED_VALUE"""),"")</f>
        <v/>
      </c>
      <c r="Y73" s="119" t="str">
        <f ca="1">IFERROR(__xludf.DUMMYFUNCTION("""COMPUTED_VALUE"""),"")</f>
        <v/>
      </c>
      <c r="Z73" s="119" t="str">
        <f ca="1">IFERROR(__xludf.DUMMYFUNCTION("""COMPUTED_VALUE"""),"")</f>
        <v/>
      </c>
      <c r="AA73" s="119" t="str">
        <f ca="1">IFERROR(__xludf.DUMMYFUNCTION("""COMPUTED_VALUE"""),"")</f>
        <v/>
      </c>
      <c r="AB73" s="119" t="str">
        <f ca="1">IFERROR(__xludf.DUMMYFUNCTION("""COMPUTED_VALUE"""),"")</f>
        <v/>
      </c>
      <c r="AC73" s="119" t="str">
        <f ca="1">IFERROR(__xludf.DUMMYFUNCTION("""COMPUTED_VALUE"""),"")</f>
        <v/>
      </c>
      <c r="AD73" s="119" t="str">
        <f ca="1">IFERROR(__xludf.DUMMYFUNCTION("""COMPUTED_VALUE"""),"")</f>
        <v/>
      </c>
      <c r="AE73" s="119" t="str">
        <f ca="1">IFERROR(__xludf.DUMMYFUNCTION("""COMPUTED_VALUE"""),"")</f>
        <v/>
      </c>
      <c r="AF73" s="119" t="str">
        <f ca="1">IFERROR(__xludf.DUMMYFUNCTION("""COMPUTED_VALUE"""),"")</f>
        <v/>
      </c>
      <c r="AG73" s="119" t="str">
        <f ca="1">IFERROR(__xludf.DUMMYFUNCTION("""COMPUTED_VALUE"""),"")</f>
        <v/>
      </c>
      <c r="AH73" s="119" t="str">
        <f ca="1">IFERROR(__xludf.DUMMYFUNCTION("""COMPUTED_VALUE"""),"")</f>
        <v/>
      </c>
      <c r="AI73" s="119" t="str">
        <f ca="1">IFERROR(__xludf.DUMMYFUNCTION("""COMPUTED_VALUE"""),"")</f>
        <v/>
      </c>
      <c r="AJ73" s="119" t="str">
        <f ca="1">IFERROR(__xludf.DUMMYFUNCTION("""COMPUTED_VALUE"""),"")</f>
        <v/>
      </c>
      <c r="AK73" s="119" t="str">
        <f ca="1">IFERROR(__xludf.DUMMYFUNCTION("""COMPUTED_VALUE"""),"")</f>
        <v/>
      </c>
      <c r="AL73" s="119" t="str">
        <f ca="1">IFERROR(__xludf.DUMMYFUNCTION("""COMPUTED_VALUE"""),"")</f>
        <v/>
      </c>
      <c r="AM73" s="119" t="str">
        <f ca="1">IFERROR(__xludf.DUMMYFUNCTION("""COMPUTED_VALUE"""),"")</f>
        <v/>
      </c>
      <c r="AN73" s="119" t="str">
        <f ca="1">IFERROR(__xludf.DUMMYFUNCTION("""COMPUTED_VALUE"""),"")</f>
        <v/>
      </c>
      <c r="AO73" s="119" t="str">
        <f ca="1">IFERROR(__xludf.DUMMYFUNCTION("""COMPUTED_VALUE"""),"")</f>
        <v/>
      </c>
      <c r="AP73" s="119" t="str">
        <f ca="1">IFERROR(__xludf.DUMMYFUNCTION("""COMPUTED_VALUE"""),"")</f>
        <v/>
      </c>
      <c r="AQ73" s="119" t="str">
        <f ca="1">IFERROR(__xludf.DUMMYFUNCTION("""COMPUTED_VALUE"""),"")</f>
        <v/>
      </c>
      <c r="AR73" s="118" t="str">
        <f ca="1">IFERROR(__xludf.DUMMYFUNCTION("""COMPUTED_VALUE"""),"")</f>
        <v/>
      </c>
      <c r="AS73" s="119" t="str">
        <f ca="1">IFERROR(__xludf.DUMMYFUNCTION("""COMPUTED_VALUE"""),"")</f>
        <v/>
      </c>
      <c r="AT73" s="119" t="str">
        <f ca="1">IFERROR(__xludf.DUMMYFUNCTION("""COMPUTED_VALUE"""),"")</f>
        <v/>
      </c>
      <c r="AU73" s="119" t="str">
        <f ca="1">IFERROR(__xludf.DUMMYFUNCTION("""COMPUTED_VALUE"""),"")</f>
        <v/>
      </c>
      <c r="AV73" s="119" t="str">
        <f ca="1">IFERROR(__xludf.DUMMYFUNCTION("""COMPUTED_VALUE"""),"")</f>
        <v/>
      </c>
      <c r="AW73" s="119" t="str">
        <f ca="1">IFERROR(__xludf.DUMMYFUNCTION("""COMPUTED_VALUE"""),"")</f>
        <v/>
      </c>
      <c r="AX73" s="119" t="str">
        <f ca="1">IFERROR(__xludf.DUMMYFUNCTION("""COMPUTED_VALUE"""),"")</f>
        <v/>
      </c>
      <c r="AY73" s="119" t="str">
        <f ca="1">IFERROR(__xludf.DUMMYFUNCTION("""COMPUTED_VALUE"""),"")</f>
        <v/>
      </c>
      <c r="AZ73" s="119" t="str">
        <f ca="1">IFERROR(__xludf.DUMMYFUNCTION("""COMPUTED_VALUE"""),"")</f>
        <v/>
      </c>
      <c r="BA73" s="119" t="str">
        <f ca="1">IFERROR(__xludf.DUMMYFUNCTION("""COMPUTED_VALUE"""),"")</f>
        <v/>
      </c>
      <c r="BB73" s="119" t="str">
        <f ca="1">IFERROR(__xludf.DUMMYFUNCTION("""COMPUTED_VALUE"""),"")</f>
        <v/>
      </c>
      <c r="BC73" s="119" t="str">
        <f ca="1">IFERROR(__xludf.DUMMYFUNCTION("""COMPUTED_VALUE"""),"")</f>
        <v/>
      </c>
      <c r="BD73" s="119" t="str">
        <f ca="1">IFERROR(__xludf.DUMMYFUNCTION("""COMPUTED_VALUE"""),"")</f>
        <v/>
      </c>
      <c r="BE73" s="119" t="str">
        <f ca="1">IFERROR(__xludf.DUMMYFUNCTION("""COMPUTED_VALUE"""),"")</f>
        <v/>
      </c>
      <c r="BF73" s="119" t="str">
        <f ca="1">IFERROR(__xludf.DUMMYFUNCTION("""COMPUTED_VALUE"""),"")</f>
        <v/>
      </c>
      <c r="BG73" s="119" t="str">
        <f ca="1">IFERROR(__xludf.DUMMYFUNCTION("""COMPUTED_VALUE"""),"")</f>
        <v/>
      </c>
      <c r="BH73" s="119" t="str">
        <f ca="1">IFERROR(__xludf.DUMMYFUNCTION("""COMPUTED_VALUE"""),"")</f>
        <v/>
      </c>
      <c r="BI73" s="119" t="str">
        <f ca="1">IFERROR(__xludf.DUMMYFUNCTION("""COMPUTED_VALUE"""),"")</f>
        <v/>
      </c>
      <c r="BJ73" s="119" t="str">
        <f ca="1">IFERROR(__xludf.DUMMYFUNCTION("""COMPUTED_VALUE"""),"")</f>
        <v/>
      </c>
      <c r="BK73" s="119" t="str">
        <f ca="1">IFERROR(__xludf.DUMMYFUNCTION("""COMPUTED_VALUE"""),"")</f>
        <v/>
      </c>
      <c r="BL73" s="119" t="str">
        <f ca="1">IFERROR(__xludf.DUMMYFUNCTION("""COMPUTED_VALUE"""),"")</f>
        <v/>
      </c>
      <c r="BM73" s="119" t="str">
        <f ca="1">IFERROR(__xludf.DUMMYFUNCTION("""COMPUTED_VALUE"""),"")</f>
        <v/>
      </c>
      <c r="BN73" s="119" t="str">
        <f ca="1">IFERROR(__xludf.DUMMYFUNCTION("""COMPUTED_VALUE"""),"")</f>
        <v/>
      </c>
      <c r="BO73" s="119" t="str">
        <f ca="1">IFERROR(__xludf.DUMMYFUNCTION("""COMPUTED_VALUE"""),"")</f>
        <v/>
      </c>
      <c r="BP73" s="119" t="str">
        <f ca="1">IFERROR(__xludf.DUMMYFUNCTION("""COMPUTED_VALUE"""),"")</f>
        <v/>
      </c>
      <c r="BQ73" s="119" t="str">
        <f ca="1">IFERROR(__xludf.DUMMYFUNCTION("""COMPUTED_VALUE"""),"")</f>
        <v/>
      </c>
      <c r="BR73" s="119" t="str">
        <f ca="1">IFERROR(__xludf.DUMMYFUNCTION("""COMPUTED_VALUE"""),"")</f>
        <v/>
      </c>
      <c r="BS73" s="119" t="str">
        <f ca="1">IFERROR(__xludf.DUMMYFUNCTION("""COMPUTED_VALUE"""),"")</f>
        <v/>
      </c>
      <c r="BT73" s="119" t="str">
        <f ca="1">IFERROR(__xludf.DUMMYFUNCTION("""COMPUTED_VALUE"""),"")</f>
        <v/>
      </c>
      <c r="BU73" s="119" t="str">
        <f ca="1">IFERROR(__xludf.DUMMYFUNCTION("""COMPUTED_VALUE"""),"")</f>
        <v/>
      </c>
      <c r="BV73" s="119" t="str">
        <f ca="1">IFERROR(__xludf.DUMMYFUNCTION("""COMPUTED_VALUE"""),"")</f>
        <v/>
      </c>
      <c r="BW73" s="119" t="str">
        <f ca="1">IFERROR(__xludf.DUMMYFUNCTION("""COMPUTED_VALUE"""),"")</f>
        <v/>
      </c>
      <c r="BX73" s="119" t="str">
        <f ca="1">IFERROR(__xludf.DUMMYFUNCTION("""COMPUTED_VALUE"""),"")</f>
        <v/>
      </c>
      <c r="BY73" s="119" t="str">
        <f ca="1">IFERROR(__xludf.DUMMYFUNCTION("""COMPUTED_VALUE"""),"")</f>
        <v/>
      </c>
      <c r="BZ73" s="119" t="str">
        <f ca="1">IFERROR(__xludf.DUMMYFUNCTION("""COMPUTED_VALUE"""),"")</f>
        <v/>
      </c>
      <c r="CA73" s="119" t="str">
        <f ca="1">IFERROR(__xludf.DUMMYFUNCTION("""COMPUTED_VALUE"""),"")</f>
        <v/>
      </c>
      <c r="CB73" s="119" t="str">
        <f ca="1">IFERROR(__xludf.DUMMYFUNCTION("""COMPUTED_VALUE"""),"")</f>
        <v/>
      </c>
      <c r="CC73" s="119" t="str">
        <f ca="1">IFERROR(__xludf.DUMMYFUNCTION("""COMPUTED_VALUE"""),"")</f>
        <v/>
      </c>
      <c r="CD73" s="119" t="str">
        <f ca="1">IFERROR(__xludf.DUMMYFUNCTION("""COMPUTED_VALUE"""),"")</f>
        <v/>
      </c>
      <c r="CE73" s="119" t="str">
        <f ca="1">IFERROR(__xludf.DUMMYFUNCTION("""COMPUTED_VALUE"""),"")</f>
        <v/>
      </c>
      <c r="CF73" s="119" t="str">
        <f ca="1">IFERROR(__xludf.DUMMYFUNCTION("""COMPUTED_VALUE"""),"")</f>
        <v/>
      </c>
      <c r="CG73" s="119" t="str">
        <f ca="1">IFERROR(__xludf.DUMMYFUNCTION("""COMPUTED_VALUE"""),"")</f>
        <v/>
      </c>
      <c r="CH73" s="119" t="str">
        <f ca="1">IFERROR(__xludf.DUMMYFUNCTION("""COMPUTED_VALUE"""),"")</f>
        <v/>
      </c>
      <c r="CI73" s="119" t="str">
        <f ca="1">IFERROR(__xludf.DUMMYFUNCTION("""COMPUTED_VALUE"""),"")</f>
        <v/>
      </c>
      <c r="CJ73" s="119" t="str">
        <f ca="1">IFERROR(__xludf.DUMMYFUNCTION("""COMPUTED_VALUE"""),"")</f>
        <v/>
      </c>
      <c r="CK73" s="119" t="str">
        <f ca="1">IFERROR(__xludf.DUMMYFUNCTION("""COMPUTED_VALUE"""),"")</f>
        <v/>
      </c>
      <c r="CL73" s="119" t="str">
        <f ca="1">IFERROR(__xludf.DUMMYFUNCTION("""COMPUTED_VALUE"""),"")</f>
        <v/>
      </c>
      <c r="CM73" s="119" t="str">
        <f ca="1">IFERROR(__xludf.DUMMYFUNCTION("""COMPUTED_VALUE"""),"")</f>
        <v/>
      </c>
      <c r="CN73" s="119" t="str">
        <f ca="1">IFERROR(__xludf.DUMMYFUNCTION("""COMPUTED_VALUE"""),"")</f>
        <v/>
      </c>
      <c r="CO73" s="119" t="str">
        <f ca="1">IFERROR(__xludf.DUMMYFUNCTION("""COMPUTED_VALUE"""),"")</f>
        <v/>
      </c>
      <c r="CP73" s="119" t="str">
        <f ca="1">IFERROR(__xludf.DUMMYFUNCTION("""COMPUTED_VALUE"""),"")</f>
        <v/>
      </c>
      <c r="CQ73" s="119" t="str">
        <f ca="1">IFERROR(__xludf.DUMMYFUNCTION("""COMPUTED_VALUE"""),"")</f>
        <v/>
      </c>
      <c r="CR73" s="119" t="str">
        <f ca="1">IFERROR(__xludf.DUMMYFUNCTION("""COMPUTED_VALUE"""),"")</f>
        <v/>
      </c>
      <c r="CS73" s="119" t="str">
        <f ca="1">IFERROR(__xludf.DUMMYFUNCTION("""COMPUTED_VALUE"""),"")</f>
        <v/>
      </c>
      <c r="CT73" s="119" t="str">
        <f ca="1">IFERROR(__xludf.DUMMYFUNCTION("""COMPUTED_VALUE"""),"")</f>
        <v/>
      </c>
      <c r="CU73" s="119" t="str">
        <f ca="1">IFERROR(__xludf.DUMMYFUNCTION("""COMPUTED_VALUE"""),"")</f>
        <v/>
      </c>
      <c r="CV73" s="119" t="str">
        <f ca="1">IFERROR(__xludf.DUMMYFUNCTION("""COMPUTED_VALUE"""),"")</f>
        <v/>
      </c>
      <c r="CW73" s="119" t="str">
        <f ca="1">IFERROR(__xludf.DUMMYFUNCTION("""COMPUTED_VALUE"""),"")</f>
        <v/>
      </c>
      <c r="CX73" s="119" t="str">
        <f ca="1">IFERROR(__xludf.DUMMYFUNCTION("""COMPUTED_VALUE"""),"")</f>
        <v/>
      </c>
      <c r="CY73" s="119" t="str">
        <f ca="1">IFERROR(__xludf.DUMMYFUNCTION("""COMPUTED_VALUE"""),"")</f>
        <v/>
      </c>
      <c r="CZ73" s="119" t="str">
        <f ca="1">IFERROR(__xludf.DUMMYFUNCTION("""COMPUTED_VALUE"""),"")</f>
        <v/>
      </c>
      <c r="DA73" s="119" t="str">
        <f ca="1">IFERROR(__xludf.DUMMYFUNCTION("""COMPUTED_VALUE"""),"")</f>
        <v/>
      </c>
      <c r="DB73" s="119" t="str">
        <f ca="1">IFERROR(__xludf.DUMMYFUNCTION("""COMPUTED_VALUE"""),"")</f>
        <v/>
      </c>
      <c r="DC73" s="119" t="str">
        <f ca="1">IFERROR(__xludf.DUMMYFUNCTION("""COMPUTED_VALUE"""),"")</f>
        <v/>
      </c>
      <c r="DD73" s="119" t="str">
        <f ca="1">IFERROR(__xludf.DUMMYFUNCTION("""COMPUTED_VALUE"""),"")</f>
        <v/>
      </c>
      <c r="DE73" s="119" t="str">
        <f ca="1">IFERROR(__xludf.DUMMYFUNCTION("""COMPUTED_VALUE"""),"")</f>
        <v/>
      </c>
      <c r="DF73" s="119" t="str">
        <f ca="1">IFERROR(__xludf.DUMMYFUNCTION("""COMPUTED_VALUE"""),"")</f>
        <v/>
      </c>
      <c r="DG73" s="119" t="str">
        <f ca="1">IFERROR(__xludf.DUMMYFUNCTION("""COMPUTED_VALUE"""),"")</f>
        <v/>
      </c>
      <c r="DH73" s="119" t="str">
        <f ca="1">IFERROR(__xludf.DUMMYFUNCTION("""COMPUTED_VALUE"""),"")</f>
        <v/>
      </c>
      <c r="DI73" s="119" t="str">
        <f ca="1">IFERROR(__xludf.DUMMYFUNCTION("""COMPUTED_VALUE"""),"")</f>
        <v/>
      </c>
      <c r="DJ73" s="119" t="str">
        <f ca="1">IFERROR(__xludf.DUMMYFUNCTION("""COMPUTED_VALUE"""),"")</f>
        <v/>
      </c>
      <c r="DK73" s="119" t="str">
        <f ca="1">IFERROR(__xludf.DUMMYFUNCTION("""COMPUTED_VALUE"""),"")</f>
        <v/>
      </c>
      <c r="DL73" s="119" t="str">
        <f ca="1">IFERROR(__xludf.DUMMYFUNCTION("""COMPUTED_VALUE"""),"")</f>
        <v/>
      </c>
      <c r="DM73" s="119" t="str">
        <f ca="1">IFERROR(__xludf.DUMMYFUNCTION("""COMPUTED_VALUE"""),"")</f>
        <v/>
      </c>
      <c r="DN73" s="119" t="str">
        <f ca="1">IFERROR(__xludf.DUMMYFUNCTION("""COMPUTED_VALUE"""),"")</f>
        <v/>
      </c>
      <c r="DO73" s="119" t="str">
        <f ca="1">IFERROR(__xludf.DUMMYFUNCTION("""COMPUTED_VALUE"""),"")</f>
        <v/>
      </c>
      <c r="DP73" s="119" t="str">
        <f ca="1">IFERROR(__xludf.DUMMYFUNCTION("""COMPUTED_VALUE"""),"")</f>
        <v/>
      </c>
      <c r="DQ73" s="119" t="str">
        <f ca="1">IFERROR(__xludf.DUMMYFUNCTION("""COMPUTED_VALUE"""),"")</f>
        <v/>
      </c>
      <c r="DR73" s="119" t="str">
        <f ca="1">IFERROR(__xludf.DUMMYFUNCTION("""COMPUTED_VALUE"""),"")</f>
        <v/>
      </c>
      <c r="DS73" s="119" t="str">
        <f ca="1">IFERROR(__xludf.DUMMYFUNCTION("""COMPUTED_VALUE"""),"")</f>
        <v/>
      </c>
      <c r="DT73" s="119" t="str">
        <f ca="1">IFERROR(__xludf.DUMMYFUNCTION("""COMPUTED_VALUE"""),"")</f>
        <v/>
      </c>
      <c r="DU73" s="119" t="str">
        <f ca="1">IFERROR(__xludf.DUMMYFUNCTION("""COMPUTED_VALUE"""),"")</f>
        <v/>
      </c>
      <c r="DV73" s="119" t="str">
        <f ca="1">IFERROR(__xludf.DUMMYFUNCTION("""COMPUTED_VALUE"""),"")</f>
        <v/>
      </c>
      <c r="DW73" s="119" t="str">
        <f ca="1">IFERROR(__xludf.DUMMYFUNCTION("""COMPUTED_VALUE"""),"")</f>
        <v/>
      </c>
      <c r="DX73" s="119" t="str">
        <f ca="1">IFERROR(__xludf.DUMMYFUNCTION("""COMPUTED_VALUE"""),"")</f>
        <v/>
      </c>
      <c r="DY73" s="119" t="str">
        <f ca="1">IFERROR(__xludf.DUMMYFUNCTION("""COMPUTED_VALUE"""),"")</f>
        <v/>
      </c>
      <c r="DZ73" s="119" t="str">
        <f ca="1">IFERROR(__xludf.DUMMYFUNCTION("""COMPUTED_VALUE"""),"")</f>
        <v/>
      </c>
      <c r="EA73" s="119" t="str">
        <f ca="1">IFERROR(__xludf.DUMMYFUNCTION("""COMPUTED_VALUE"""),"")</f>
        <v/>
      </c>
      <c r="EB73" s="119" t="str">
        <f ca="1">IFERROR(__xludf.DUMMYFUNCTION("""COMPUTED_VALUE"""),"")</f>
        <v/>
      </c>
      <c r="EC73" s="119" t="str">
        <f ca="1">IFERROR(__xludf.DUMMYFUNCTION("""COMPUTED_VALUE"""),"")</f>
        <v/>
      </c>
      <c r="ED73" s="119" t="str">
        <f ca="1">IFERROR(__xludf.DUMMYFUNCTION("""COMPUTED_VALUE"""),"")</f>
        <v/>
      </c>
      <c r="EE73" s="119" t="str">
        <f ca="1">IFERROR(__xludf.DUMMYFUNCTION("""COMPUTED_VALUE"""),"")</f>
        <v/>
      </c>
      <c r="EF73" s="119" t="str">
        <f ca="1">IFERROR(__xludf.DUMMYFUNCTION("""COMPUTED_VALUE"""),"")</f>
        <v/>
      </c>
      <c r="EG73" s="119" t="str">
        <f ca="1">IFERROR(__xludf.DUMMYFUNCTION("""COMPUTED_VALUE"""),"")</f>
        <v/>
      </c>
      <c r="EH73" s="119" t="str">
        <f ca="1">IFERROR(__xludf.DUMMYFUNCTION("""COMPUTED_VALUE"""),"")</f>
        <v/>
      </c>
      <c r="EI73" s="119" t="str">
        <f ca="1">IFERROR(__xludf.DUMMYFUNCTION("""COMPUTED_VALUE"""),"")</f>
        <v/>
      </c>
      <c r="EJ73" s="119" t="str">
        <f ca="1">IFERROR(__xludf.DUMMYFUNCTION("""COMPUTED_VALUE"""),"")</f>
        <v/>
      </c>
      <c r="EK73" s="119" t="str">
        <f ca="1">IFERROR(__xludf.DUMMYFUNCTION("""COMPUTED_VALUE"""),"")</f>
        <v/>
      </c>
      <c r="EL73" s="119" t="str">
        <f ca="1">IFERROR(__xludf.DUMMYFUNCTION("""COMPUTED_VALUE"""),"")</f>
        <v/>
      </c>
      <c r="EM73" s="119" t="str">
        <f ca="1">IFERROR(__xludf.DUMMYFUNCTION("""COMPUTED_VALUE"""),"")</f>
        <v/>
      </c>
      <c r="EN73" s="119" t="str">
        <f ca="1">IFERROR(__xludf.DUMMYFUNCTION("""COMPUTED_VALUE"""),"")</f>
        <v/>
      </c>
      <c r="EO73" s="119" t="str">
        <f ca="1">IFERROR(__xludf.DUMMYFUNCTION("""COMPUTED_VALUE"""),"")</f>
        <v/>
      </c>
      <c r="EP73" s="119" t="str">
        <f ca="1">IFERROR(__xludf.DUMMYFUNCTION("""COMPUTED_VALUE"""),"")</f>
        <v/>
      </c>
      <c r="EQ73" s="119" t="str">
        <f ca="1">IFERROR(__xludf.DUMMYFUNCTION("""COMPUTED_VALUE"""),"")</f>
        <v/>
      </c>
      <c r="ER73" s="119" t="str">
        <f ca="1">IFERROR(__xludf.DUMMYFUNCTION("""COMPUTED_VALUE"""),"")</f>
        <v/>
      </c>
      <c r="ES73" s="119" t="str">
        <f ca="1">IFERROR(__xludf.DUMMYFUNCTION("""COMPUTED_VALUE"""),"")</f>
        <v/>
      </c>
      <c r="ET73" s="119" t="str">
        <f ca="1">IFERROR(__xludf.DUMMYFUNCTION("""COMPUTED_VALUE"""),"")</f>
        <v/>
      </c>
      <c r="EU73" s="119" t="str">
        <f ca="1">IFERROR(__xludf.DUMMYFUNCTION("""COMPUTED_VALUE"""),"")</f>
        <v/>
      </c>
      <c r="EV73" s="119" t="str">
        <f ca="1">IFERROR(__xludf.DUMMYFUNCTION("""COMPUTED_VALUE"""),"")</f>
        <v/>
      </c>
      <c r="EW73" s="119" t="str">
        <f ca="1">IFERROR(__xludf.DUMMYFUNCTION("""COMPUTED_VALUE"""),"")</f>
        <v/>
      </c>
      <c r="EX73" s="117" t="str">
        <f ca="1">IFERROR(__xludf.DUMMYFUNCTION("""COMPUTED_VALUE"""),"")</f>
        <v/>
      </c>
      <c r="EY73" s="117" t="str">
        <f ca="1">IFERROR(__xludf.DUMMYFUNCTION("""COMPUTED_VALUE"""),"")</f>
        <v/>
      </c>
      <c r="EZ73" s="117" t="str">
        <f ca="1">IFERROR(__xludf.DUMMYFUNCTION("""COMPUTED_VALUE"""),"")</f>
        <v/>
      </c>
      <c r="FA73" s="117" t="str">
        <f ca="1">IFERROR(__xludf.DUMMYFUNCTION("""COMPUTED_VALUE"""),"")</f>
        <v/>
      </c>
      <c r="FB73" s="117" t="str">
        <f ca="1">IFERROR(__xludf.DUMMYFUNCTION("""COMPUTED_VALUE"""),"")</f>
        <v/>
      </c>
      <c r="FC73" s="117" t="str">
        <f ca="1">IFERROR(__xludf.DUMMYFUNCTION("""COMPUTED_VALUE"""),"")</f>
        <v/>
      </c>
      <c r="FD73" s="117" t="str">
        <f ca="1">IFERROR(__xludf.DUMMYFUNCTION("""COMPUTED_VALUE"""),"")</f>
        <v/>
      </c>
      <c r="FE73" s="117" t="str">
        <f ca="1">IFERROR(__xludf.DUMMYFUNCTION("""COMPUTED_VALUE"""),"")</f>
        <v/>
      </c>
      <c r="FF73" s="117" t="str">
        <f ca="1">IFERROR(__xludf.DUMMYFUNCTION("""COMPUTED_VALUE"""),"")</f>
        <v/>
      </c>
      <c r="FG73" s="117" t="str">
        <f ca="1">IFERROR(__xludf.DUMMYFUNCTION("""COMPUTED_VALUE"""),"")</f>
        <v/>
      </c>
      <c r="FH73" s="117" t="str">
        <f ca="1">IFERROR(__xludf.DUMMYFUNCTION("""COMPUTED_VALUE"""),"")</f>
        <v/>
      </c>
      <c r="FI73" s="117" t="str">
        <f ca="1">IFERROR(__xludf.DUMMYFUNCTION("""COMPUTED_VALUE"""),"")</f>
        <v/>
      </c>
      <c r="FJ73" s="117" t="str">
        <f ca="1">IFERROR(__xludf.DUMMYFUNCTION("""COMPUTED_VALUE"""),"")</f>
        <v/>
      </c>
      <c r="FK73" s="117" t="str">
        <f ca="1">IFERROR(__xludf.DUMMYFUNCTION("""COMPUTED_VALUE"""),"")</f>
        <v/>
      </c>
      <c r="FL73" s="117" t="str">
        <f ca="1">IFERROR(__xludf.DUMMYFUNCTION("""COMPUTED_VALUE"""),"")</f>
        <v/>
      </c>
      <c r="FM73" s="117" t="str">
        <f ca="1">IFERROR(__xludf.DUMMYFUNCTION("""COMPUTED_VALUE"""),"")</f>
        <v/>
      </c>
      <c r="FN73" s="117" t="str">
        <f ca="1">IFERROR(__xludf.DUMMYFUNCTION("""COMPUTED_VALUE"""),"")</f>
        <v/>
      </c>
      <c r="FO73" s="117" t="str">
        <f ca="1">IFERROR(__xludf.DUMMYFUNCTION("""COMPUTED_VALUE"""),"")</f>
        <v/>
      </c>
    </row>
    <row r="74" spans="1:171" ht="13" x14ac:dyDescent="0.15">
      <c r="A74" s="115" t="str">
        <f ca="1">IFERROR(__xludf.DUMMYFUNCTION("""COMPUTED_VALUE"""),"")</f>
        <v/>
      </c>
      <c r="B74" s="119" t="str">
        <f ca="1">IFERROR(__xludf.DUMMYFUNCTION("""COMPUTED_VALUE"""),"")</f>
        <v/>
      </c>
      <c r="C74" s="119" t="str">
        <f ca="1">IFERROR(__xludf.DUMMYFUNCTION("""COMPUTED_VALUE"""),"")</f>
        <v/>
      </c>
      <c r="D74" s="119" t="str">
        <f ca="1">IFERROR(__xludf.DUMMYFUNCTION("""COMPUTED_VALUE"""),"")</f>
        <v/>
      </c>
      <c r="E74" s="119" t="str">
        <f ca="1">IFERROR(__xludf.DUMMYFUNCTION("""COMPUTED_VALUE"""),"")</f>
        <v/>
      </c>
      <c r="F74" s="119" t="str">
        <f ca="1">IFERROR(__xludf.DUMMYFUNCTION("""COMPUTED_VALUE"""),"")</f>
        <v/>
      </c>
      <c r="G74" s="119" t="str">
        <f ca="1">IFERROR(__xludf.DUMMYFUNCTION("""COMPUTED_VALUE"""),"")</f>
        <v/>
      </c>
      <c r="H74" s="119" t="str">
        <f ca="1">IFERROR(__xludf.DUMMYFUNCTION("""COMPUTED_VALUE"""),"")</f>
        <v/>
      </c>
      <c r="I74" s="119" t="str">
        <f ca="1">IFERROR(__xludf.DUMMYFUNCTION("""COMPUTED_VALUE"""),"")</f>
        <v/>
      </c>
      <c r="J74" s="119" t="str">
        <f ca="1">IFERROR(__xludf.DUMMYFUNCTION("""COMPUTED_VALUE"""),"")</f>
        <v/>
      </c>
      <c r="K74" s="119" t="str">
        <f ca="1">IFERROR(__xludf.DUMMYFUNCTION("""COMPUTED_VALUE"""),"")</f>
        <v/>
      </c>
      <c r="L74" s="119" t="str">
        <f ca="1">IFERROR(__xludf.DUMMYFUNCTION("""COMPUTED_VALUE"""),"")</f>
        <v/>
      </c>
      <c r="M74" s="119" t="str">
        <f ca="1">IFERROR(__xludf.DUMMYFUNCTION("""COMPUTED_VALUE"""),"")</f>
        <v/>
      </c>
      <c r="N74" s="119" t="str">
        <f ca="1">IFERROR(__xludf.DUMMYFUNCTION("""COMPUTED_VALUE"""),"")</f>
        <v/>
      </c>
      <c r="O74" s="119" t="str">
        <f ca="1">IFERROR(__xludf.DUMMYFUNCTION("""COMPUTED_VALUE"""),"")</f>
        <v/>
      </c>
      <c r="P74" s="119" t="str">
        <f ca="1">IFERROR(__xludf.DUMMYFUNCTION("""COMPUTED_VALUE"""),"")</f>
        <v/>
      </c>
      <c r="Q74" s="119" t="str">
        <f ca="1">IFERROR(__xludf.DUMMYFUNCTION("""COMPUTED_VALUE"""),"")</f>
        <v/>
      </c>
      <c r="R74" s="119" t="str">
        <f ca="1">IFERROR(__xludf.DUMMYFUNCTION("""COMPUTED_VALUE"""),"")</f>
        <v/>
      </c>
      <c r="S74" s="119" t="str">
        <f ca="1">IFERROR(__xludf.DUMMYFUNCTION("""COMPUTED_VALUE"""),"")</f>
        <v/>
      </c>
      <c r="T74" s="119" t="str">
        <f ca="1">IFERROR(__xludf.DUMMYFUNCTION("""COMPUTED_VALUE"""),"")</f>
        <v/>
      </c>
      <c r="U74" s="119" t="str">
        <f ca="1">IFERROR(__xludf.DUMMYFUNCTION("""COMPUTED_VALUE"""),"")</f>
        <v/>
      </c>
      <c r="V74" s="119" t="str">
        <f ca="1">IFERROR(__xludf.DUMMYFUNCTION("""COMPUTED_VALUE"""),"")</f>
        <v/>
      </c>
      <c r="W74" s="119" t="str">
        <f ca="1">IFERROR(__xludf.DUMMYFUNCTION("""COMPUTED_VALUE"""),"")</f>
        <v/>
      </c>
      <c r="X74" s="119" t="str">
        <f ca="1">IFERROR(__xludf.DUMMYFUNCTION("""COMPUTED_VALUE"""),"")</f>
        <v/>
      </c>
      <c r="Y74" s="119" t="str">
        <f ca="1">IFERROR(__xludf.DUMMYFUNCTION("""COMPUTED_VALUE"""),"")</f>
        <v/>
      </c>
      <c r="Z74" s="119" t="str">
        <f ca="1">IFERROR(__xludf.DUMMYFUNCTION("""COMPUTED_VALUE"""),"")</f>
        <v/>
      </c>
      <c r="AA74" s="119" t="str">
        <f ca="1">IFERROR(__xludf.DUMMYFUNCTION("""COMPUTED_VALUE"""),"")</f>
        <v/>
      </c>
      <c r="AB74" s="119" t="str">
        <f ca="1">IFERROR(__xludf.DUMMYFUNCTION("""COMPUTED_VALUE"""),"")</f>
        <v/>
      </c>
      <c r="AC74" s="119" t="str">
        <f ca="1">IFERROR(__xludf.DUMMYFUNCTION("""COMPUTED_VALUE"""),"")</f>
        <v/>
      </c>
      <c r="AD74" s="119" t="str">
        <f ca="1">IFERROR(__xludf.DUMMYFUNCTION("""COMPUTED_VALUE"""),"")</f>
        <v/>
      </c>
      <c r="AE74" s="119" t="str">
        <f ca="1">IFERROR(__xludf.DUMMYFUNCTION("""COMPUTED_VALUE"""),"")</f>
        <v/>
      </c>
      <c r="AF74" s="119" t="str">
        <f ca="1">IFERROR(__xludf.DUMMYFUNCTION("""COMPUTED_VALUE"""),"")</f>
        <v/>
      </c>
      <c r="AG74" s="119" t="str">
        <f ca="1">IFERROR(__xludf.DUMMYFUNCTION("""COMPUTED_VALUE"""),"")</f>
        <v/>
      </c>
      <c r="AH74" s="119" t="str">
        <f ca="1">IFERROR(__xludf.DUMMYFUNCTION("""COMPUTED_VALUE"""),"")</f>
        <v/>
      </c>
      <c r="AI74" s="119" t="str">
        <f ca="1">IFERROR(__xludf.DUMMYFUNCTION("""COMPUTED_VALUE"""),"")</f>
        <v/>
      </c>
      <c r="AJ74" s="119" t="str">
        <f ca="1">IFERROR(__xludf.DUMMYFUNCTION("""COMPUTED_VALUE"""),"")</f>
        <v/>
      </c>
      <c r="AK74" s="119" t="str">
        <f ca="1">IFERROR(__xludf.DUMMYFUNCTION("""COMPUTED_VALUE"""),"")</f>
        <v/>
      </c>
      <c r="AL74" s="119" t="str">
        <f ca="1">IFERROR(__xludf.DUMMYFUNCTION("""COMPUTED_VALUE"""),"")</f>
        <v/>
      </c>
      <c r="AM74" s="119" t="str">
        <f ca="1">IFERROR(__xludf.DUMMYFUNCTION("""COMPUTED_VALUE"""),"")</f>
        <v/>
      </c>
      <c r="AN74" s="119" t="str">
        <f ca="1">IFERROR(__xludf.DUMMYFUNCTION("""COMPUTED_VALUE"""),"")</f>
        <v/>
      </c>
      <c r="AO74" s="119" t="str">
        <f ca="1">IFERROR(__xludf.DUMMYFUNCTION("""COMPUTED_VALUE"""),"")</f>
        <v/>
      </c>
      <c r="AP74" s="119" t="str">
        <f ca="1">IFERROR(__xludf.DUMMYFUNCTION("""COMPUTED_VALUE"""),"")</f>
        <v/>
      </c>
      <c r="AQ74" s="119" t="str">
        <f ca="1">IFERROR(__xludf.DUMMYFUNCTION("""COMPUTED_VALUE"""),"")</f>
        <v/>
      </c>
      <c r="AR74" s="118" t="str">
        <f ca="1">IFERROR(__xludf.DUMMYFUNCTION("""COMPUTED_VALUE"""),"")</f>
        <v/>
      </c>
      <c r="AS74" s="119" t="str">
        <f ca="1">IFERROR(__xludf.DUMMYFUNCTION("""COMPUTED_VALUE"""),"")</f>
        <v/>
      </c>
      <c r="AT74" s="119" t="str">
        <f ca="1">IFERROR(__xludf.DUMMYFUNCTION("""COMPUTED_VALUE"""),"")</f>
        <v/>
      </c>
      <c r="AU74" s="119" t="str">
        <f ca="1">IFERROR(__xludf.DUMMYFUNCTION("""COMPUTED_VALUE"""),"")</f>
        <v/>
      </c>
      <c r="AV74" s="119" t="str">
        <f ca="1">IFERROR(__xludf.DUMMYFUNCTION("""COMPUTED_VALUE"""),"")</f>
        <v/>
      </c>
      <c r="AW74" s="119" t="str">
        <f ca="1">IFERROR(__xludf.DUMMYFUNCTION("""COMPUTED_VALUE"""),"")</f>
        <v/>
      </c>
      <c r="AX74" s="119" t="str">
        <f ca="1">IFERROR(__xludf.DUMMYFUNCTION("""COMPUTED_VALUE"""),"")</f>
        <v/>
      </c>
      <c r="AY74" s="119" t="str">
        <f ca="1">IFERROR(__xludf.DUMMYFUNCTION("""COMPUTED_VALUE"""),"")</f>
        <v/>
      </c>
      <c r="AZ74" s="119" t="str">
        <f ca="1">IFERROR(__xludf.DUMMYFUNCTION("""COMPUTED_VALUE"""),"")</f>
        <v/>
      </c>
      <c r="BA74" s="119" t="str">
        <f ca="1">IFERROR(__xludf.DUMMYFUNCTION("""COMPUTED_VALUE"""),"")</f>
        <v/>
      </c>
      <c r="BB74" s="119" t="str">
        <f ca="1">IFERROR(__xludf.DUMMYFUNCTION("""COMPUTED_VALUE"""),"")</f>
        <v/>
      </c>
      <c r="BC74" s="119" t="str">
        <f ca="1">IFERROR(__xludf.DUMMYFUNCTION("""COMPUTED_VALUE"""),"")</f>
        <v/>
      </c>
      <c r="BD74" s="119" t="str">
        <f ca="1">IFERROR(__xludf.DUMMYFUNCTION("""COMPUTED_VALUE"""),"")</f>
        <v/>
      </c>
      <c r="BE74" s="119" t="str">
        <f ca="1">IFERROR(__xludf.DUMMYFUNCTION("""COMPUTED_VALUE"""),"")</f>
        <v/>
      </c>
      <c r="BF74" s="119" t="str">
        <f ca="1">IFERROR(__xludf.DUMMYFUNCTION("""COMPUTED_VALUE"""),"")</f>
        <v/>
      </c>
      <c r="BG74" s="119" t="str">
        <f ca="1">IFERROR(__xludf.DUMMYFUNCTION("""COMPUTED_VALUE"""),"")</f>
        <v/>
      </c>
      <c r="BH74" s="119" t="str">
        <f ca="1">IFERROR(__xludf.DUMMYFUNCTION("""COMPUTED_VALUE"""),"")</f>
        <v/>
      </c>
      <c r="BI74" s="119" t="str">
        <f ca="1">IFERROR(__xludf.DUMMYFUNCTION("""COMPUTED_VALUE"""),"")</f>
        <v/>
      </c>
      <c r="BJ74" s="119" t="str">
        <f ca="1">IFERROR(__xludf.DUMMYFUNCTION("""COMPUTED_VALUE"""),"")</f>
        <v/>
      </c>
      <c r="BK74" s="119" t="str">
        <f ca="1">IFERROR(__xludf.DUMMYFUNCTION("""COMPUTED_VALUE"""),"")</f>
        <v/>
      </c>
      <c r="BL74" s="119" t="str">
        <f ca="1">IFERROR(__xludf.DUMMYFUNCTION("""COMPUTED_VALUE"""),"")</f>
        <v/>
      </c>
      <c r="BM74" s="119" t="str">
        <f ca="1">IFERROR(__xludf.DUMMYFUNCTION("""COMPUTED_VALUE"""),"")</f>
        <v/>
      </c>
      <c r="BN74" s="119" t="str">
        <f ca="1">IFERROR(__xludf.DUMMYFUNCTION("""COMPUTED_VALUE"""),"")</f>
        <v/>
      </c>
      <c r="BO74" s="119" t="str">
        <f ca="1">IFERROR(__xludf.DUMMYFUNCTION("""COMPUTED_VALUE"""),"")</f>
        <v/>
      </c>
      <c r="BP74" s="119" t="str">
        <f ca="1">IFERROR(__xludf.DUMMYFUNCTION("""COMPUTED_VALUE"""),"")</f>
        <v/>
      </c>
      <c r="BQ74" s="119" t="str">
        <f ca="1">IFERROR(__xludf.DUMMYFUNCTION("""COMPUTED_VALUE"""),"")</f>
        <v/>
      </c>
      <c r="BR74" s="119" t="str">
        <f ca="1">IFERROR(__xludf.DUMMYFUNCTION("""COMPUTED_VALUE"""),"")</f>
        <v/>
      </c>
      <c r="BS74" s="119" t="str">
        <f ca="1">IFERROR(__xludf.DUMMYFUNCTION("""COMPUTED_VALUE"""),"")</f>
        <v/>
      </c>
      <c r="BT74" s="119" t="str">
        <f ca="1">IFERROR(__xludf.DUMMYFUNCTION("""COMPUTED_VALUE"""),"")</f>
        <v/>
      </c>
      <c r="BU74" s="119" t="str">
        <f ca="1">IFERROR(__xludf.DUMMYFUNCTION("""COMPUTED_VALUE"""),"")</f>
        <v/>
      </c>
      <c r="BV74" s="119" t="str">
        <f ca="1">IFERROR(__xludf.DUMMYFUNCTION("""COMPUTED_VALUE"""),"")</f>
        <v/>
      </c>
      <c r="BW74" s="119" t="str">
        <f ca="1">IFERROR(__xludf.DUMMYFUNCTION("""COMPUTED_VALUE"""),"")</f>
        <v/>
      </c>
      <c r="BX74" s="119" t="str">
        <f ca="1">IFERROR(__xludf.DUMMYFUNCTION("""COMPUTED_VALUE"""),"")</f>
        <v/>
      </c>
      <c r="BY74" s="119" t="str">
        <f ca="1">IFERROR(__xludf.DUMMYFUNCTION("""COMPUTED_VALUE"""),"")</f>
        <v/>
      </c>
      <c r="BZ74" s="119" t="str">
        <f ca="1">IFERROR(__xludf.DUMMYFUNCTION("""COMPUTED_VALUE"""),"")</f>
        <v/>
      </c>
      <c r="CA74" s="119" t="str">
        <f ca="1">IFERROR(__xludf.DUMMYFUNCTION("""COMPUTED_VALUE"""),"")</f>
        <v/>
      </c>
      <c r="CB74" s="119" t="str">
        <f ca="1">IFERROR(__xludf.DUMMYFUNCTION("""COMPUTED_VALUE"""),"")</f>
        <v/>
      </c>
      <c r="CC74" s="119" t="str">
        <f ca="1">IFERROR(__xludf.DUMMYFUNCTION("""COMPUTED_VALUE"""),"")</f>
        <v/>
      </c>
      <c r="CD74" s="119" t="str">
        <f ca="1">IFERROR(__xludf.DUMMYFUNCTION("""COMPUTED_VALUE"""),"")</f>
        <v/>
      </c>
      <c r="CE74" s="119" t="str">
        <f ca="1">IFERROR(__xludf.DUMMYFUNCTION("""COMPUTED_VALUE"""),"")</f>
        <v/>
      </c>
      <c r="CF74" s="119" t="str">
        <f ca="1">IFERROR(__xludf.DUMMYFUNCTION("""COMPUTED_VALUE"""),"")</f>
        <v/>
      </c>
      <c r="CG74" s="119" t="str">
        <f ca="1">IFERROR(__xludf.DUMMYFUNCTION("""COMPUTED_VALUE"""),"")</f>
        <v/>
      </c>
      <c r="CH74" s="119" t="str">
        <f ca="1">IFERROR(__xludf.DUMMYFUNCTION("""COMPUTED_VALUE"""),"")</f>
        <v/>
      </c>
      <c r="CI74" s="119" t="str">
        <f ca="1">IFERROR(__xludf.DUMMYFUNCTION("""COMPUTED_VALUE"""),"")</f>
        <v/>
      </c>
      <c r="CJ74" s="119" t="str">
        <f ca="1">IFERROR(__xludf.DUMMYFUNCTION("""COMPUTED_VALUE"""),"")</f>
        <v/>
      </c>
      <c r="CK74" s="119" t="str">
        <f ca="1">IFERROR(__xludf.DUMMYFUNCTION("""COMPUTED_VALUE"""),"")</f>
        <v/>
      </c>
      <c r="CL74" s="119" t="str">
        <f ca="1">IFERROR(__xludf.DUMMYFUNCTION("""COMPUTED_VALUE"""),"")</f>
        <v/>
      </c>
      <c r="CM74" s="119" t="str">
        <f ca="1">IFERROR(__xludf.DUMMYFUNCTION("""COMPUTED_VALUE"""),"")</f>
        <v/>
      </c>
      <c r="CN74" s="119" t="str">
        <f ca="1">IFERROR(__xludf.DUMMYFUNCTION("""COMPUTED_VALUE"""),"")</f>
        <v/>
      </c>
      <c r="CO74" s="119" t="str">
        <f ca="1">IFERROR(__xludf.DUMMYFUNCTION("""COMPUTED_VALUE"""),"")</f>
        <v/>
      </c>
      <c r="CP74" s="119" t="str">
        <f ca="1">IFERROR(__xludf.DUMMYFUNCTION("""COMPUTED_VALUE"""),"")</f>
        <v/>
      </c>
      <c r="CQ74" s="119" t="str">
        <f ca="1">IFERROR(__xludf.DUMMYFUNCTION("""COMPUTED_VALUE"""),"")</f>
        <v/>
      </c>
      <c r="CR74" s="119" t="str">
        <f ca="1">IFERROR(__xludf.DUMMYFUNCTION("""COMPUTED_VALUE"""),"")</f>
        <v/>
      </c>
      <c r="CS74" s="119" t="str">
        <f ca="1">IFERROR(__xludf.DUMMYFUNCTION("""COMPUTED_VALUE"""),"")</f>
        <v/>
      </c>
      <c r="CT74" s="119" t="str">
        <f ca="1">IFERROR(__xludf.DUMMYFUNCTION("""COMPUTED_VALUE"""),"")</f>
        <v/>
      </c>
      <c r="CU74" s="119" t="str">
        <f ca="1">IFERROR(__xludf.DUMMYFUNCTION("""COMPUTED_VALUE"""),"")</f>
        <v/>
      </c>
      <c r="CV74" s="119" t="str">
        <f ca="1">IFERROR(__xludf.DUMMYFUNCTION("""COMPUTED_VALUE"""),"")</f>
        <v/>
      </c>
      <c r="CW74" s="119" t="str">
        <f ca="1">IFERROR(__xludf.DUMMYFUNCTION("""COMPUTED_VALUE"""),"")</f>
        <v/>
      </c>
      <c r="CX74" s="119" t="str">
        <f ca="1">IFERROR(__xludf.DUMMYFUNCTION("""COMPUTED_VALUE"""),"")</f>
        <v/>
      </c>
      <c r="CY74" s="119" t="str">
        <f ca="1">IFERROR(__xludf.DUMMYFUNCTION("""COMPUTED_VALUE"""),"")</f>
        <v/>
      </c>
      <c r="CZ74" s="119" t="str">
        <f ca="1">IFERROR(__xludf.DUMMYFUNCTION("""COMPUTED_VALUE"""),"")</f>
        <v/>
      </c>
      <c r="DA74" s="119" t="str">
        <f ca="1">IFERROR(__xludf.DUMMYFUNCTION("""COMPUTED_VALUE"""),"")</f>
        <v/>
      </c>
      <c r="DB74" s="119" t="str">
        <f ca="1">IFERROR(__xludf.DUMMYFUNCTION("""COMPUTED_VALUE"""),"")</f>
        <v/>
      </c>
      <c r="DC74" s="119" t="str">
        <f ca="1">IFERROR(__xludf.DUMMYFUNCTION("""COMPUTED_VALUE"""),"")</f>
        <v/>
      </c>
      <c r="DD74" s="119" t="str">
        <f ca="1">IFERROR(__xludf.DUMMYFUNCTION("""COMPUTED_VALUE"""),"")</f>
        <v/>
      </c>
      <c r="DE74" s="119" t="str">
        <f ca="1">IFERROR(__xludf.DUMMYFUNCTION("""COMPUTED_VALUE"""),"")</f>
        <v/>
      </c>
      <c r="DF74" s="119" t="str">
        <f ca="1">IFERROR(__xludf.DUMMYFUNCTION("""COMPUTED_VALUE"""),"")</f>
        <v/>
      </c>
      <c r="DG74" s="119" t="str">
        <f ca="1">IFERROR(__xludf.DUMMYFUNCTION("""COMPUTED_VALUE"""),"")</f>
        <v/>
      </c>
      <c r="DH74" s="119" t="str">
        <f ca="1">IFERROR(__xludf.DUMMYFUNCTION("""COMPUTED_VALUE"""),"")</f>
        <v/>
      </c>
      <c r="DI74" s="119" t="str">
        <f ca="1">IFERROR(__xludf.DUMMYFUNCTION("""COMPUTED_VALUE"""),"")</f>
        <v/>
      </c>
      <c r="DJ74" s="119" t="str">
        <f ca="1">IFERROR(__xludf.DUMMYFUNCTION("""COMPUTED_VALUE"""),"")</f>
        <v/>
      </c>
      <c r="DK74" s="119" t="str">
        <f ca="1">IFERROR(__xludf.DUMMYFUNCTION("""COMPUTED_VALUE"""),"")</f>
        <v/>
      </c>
      <c r="DL74" s="119" t="str">
        <f ca="1">IFERROR(__xludf.DUMMYFUNCTION("""COMPUTED_VALUE"""),"")</f>
        <v/>
      </c>
      <c r="DM74" s="119" t="str">
        <f ca="1">IFERROR(__xludf.DUMMYFUNCTION("""COMPUTED_VALUE"""),"")</f>
        <v/>
      </c>
      <c r="DN74" s="119" t="str">
        <f ca="1">IFERROR(__xludf.DUMMYFUNCTION("""COMPUTED_VALUE"""),"")</f>
        <v/>
      </c>
      <c r="DO74" s="119" t="str">
        <f ca="1">IFERROR(__xludf.DUMMYFUNCTION("""COMPUTED_VALUE"""),"")</f>
        <v/>
      </c>
      <c r="DP74" s="119" t="str">
        <f ca="1">IFERROR(__xludf.DUMMYFUNCTION("""COMPUTED_VALUE"""),"")</f>
        <v/>
      </c>
      <c r="DQ74" s="119" t="str">
        <f ca="1">IFERROR(__xludf.DUMMYFUNCTION("""COMPUTED_VALUE"""),"")</f>
        <v/>
      </c>
      <c r="DR74" s="119" t="str">
        <f ca="1">IFERROR(__xludf.DUMMYFUNCTION("""COMPUTED_VALUE"""),"")</f>
        <v/>
      </c>
      <c r="DS74" s="119" t="str">
        <f ca="1">IFERROR(__xludf.DUMMYFUNCTION("""COMPUTED_VALUE"""),"")</f>
        <v/>
      </c>
      <c r="DT74" s="119" t="str">
        <f ca="1">IFERROR(__xludf.DUMMYFUNCTION("""COMPUTED_VALUE"""),"")</f>
        <v/>
      </c>
      <c r="DU74" s="119" t="str">
        <f ca="1">IFERROR(__xludf.DUMMYFUNCTION("""COMPUTED_VALUE"""),"")</f>
        <v/>
      </c>
      <c r="DV74" s="119" t="str">
        <f ca="1">IFERROR(__xludf.DUMMYFUNCTION("""COMPUTED_VALUE"""),"")</f>
        <v/>
      </c>
      <c r="DW74" s="119" t="str">
        <f ca="1">IFERROR(__xludf.DUMMYFUNCTION("""COMPUTED_VALUE"""),"")</f>
        <v/>
      </c>
      <c r="DX74" s="119" t="str">
        <f ca="1">IFERROR(__xludf.DUMMYFUNCTION("""COMPUTED_VALUE"""),"")</f>
        <v/>
      </c>
      <c r="DY74" s="119" t="str">
        <f ca="1">IFERROR(__xludf.DUMMYFUNCTION("""COMPUTED_VALUE"""),"")</f>
        <v/>
      </c>
      <c r="DZ74" s="119" t="str">
        <f ca="1">IFERROR(__xludf.DUMMYFUNCTION("""COMPUTED_VALUE"""),"")</f>
        <v/>
      </c>
      <c r="EA74" s="119" t="str">
        <f ca="1">IFERROR(__xludf.DUMMYFUNCTION("""COMPUTED_VALUE"""),"")</f>
        <v/>
      </c>
      <c r="EB74" s="119" t="str">
        <f ca="1">IFERROR(__xludf.DUMMYFUNCTION("""COMPUTED_VALUE"""),"")</f>
        <v/>
      </c>
      <c r="EC74" s="119" t="str">
        <f ca="1">IFERROR(__xludf.DUMMYFUNCTION("""COMPUTED_VALUE"""),"")</f>
        <v/>
      </c>
      <c r="ED74" s="119" t="str">
        <f ca="1">IFERROR(__xludf.DUMMYFUNCTION("""COMPUTED_VALUE"""),"")</f>
        <v/>
      </c>
      <c r="EE74" s="119" t="str">
        <f ca="1">IFERROR(__xludf.DUMMYFUNCTION("""COMPUTED_VALUE"""),"")</f>
        <v/>
      </c>
      <c r="EF74" s="119" t="str">
        <f ca="1">IFERROR(__xludf.DUMMYFUNCTION("""COMPUTED_VALUE"""),"")</f>
        <v/>
      </c>
      <c r="EG74" s="119" t="str">
        <f ca="1">IFERROR(__xludf.DUMMYFUNCTION("""COMPUTED_VALUE"""),"")</f>
        <v/>
      </c>
      <c r="EH74" s="119" t="str">
        <f ca="1">IFERROR(__xludf.DUMMYFUNCTION("""COMPUTED_VALUE"""),"")</f>
        <v/>
      </c>
      <c r="EI74" s="119" t="str">
        <f ca="1">IFERROR(__xludf.DUMMYFUNCTION("""COMPUTED_VALUE"""),"")</f>
        <v/>
      </c>
      <c r="EJ74" s="119" t="str">
        <f ca="1">IFERROR(__xludf.DUMMYFUNCTION("""COMPUTED_VALUE"""),"")</f>
        <v/>
      </c>
      <c r="EK74" s="119" t="str">
        <f ca="1">IFERROR(__xludf.DUMMYFUNCTION("""COMPUTED_VALUE"""),"")</f>
        <v/>
      </c>
      <c r="EL74" s="119" t="str">
        <f ca="1">IFERROR(__xludf.DUMMYFUNCTION("""COMPUTED_VALUE"""),"")</f>
        <v/>
      </c>
      <c r="EM74" s="119" t="str">
        <f ca="1">IFERROR(__xludf.DUMMYFUNCTION("""COMPUTED_VALUE"""),"")</f>
        <v/>
      </c>
      <c r="EN74" s="119" t="str">
        <f ca="1">IFERROR(__xludf.DUMMYFUNCTION("""COMPUTED_VALUE"""),"")</f>
        <v/>
      </c>
      <c r="EO74" s="119" t="str">
        <f ca="1">IFERROR(__xludf.DUMMYFUNCTION("""COMPUTED_VALUE"""),"")</f>
        <v/>
      </c>
      <c r="EP74" s="119" t="str">
        <f ca="1">IFERROR(__xludf.DUMMYFUNCTION("""COMPUTED_VALUE"""),"")</f>
        <v/>
      </c>
      <c r="EQ74" s="119" t="str">
        <f ca="1">IFERROR(__xludf.DUMMYFUNCTION("""COMPUTED_VALUE"""),"")</f>
        <v/>
      </c>
      <c r="ER74" s="119" t="str">
        <f ca="1">IFERROR(__xludf.DUMMYFUNCTION("""COMPUTED_VALUE"""),"")</f>
        <v/>
      </c>
      <c r="ES74" s="119" t="str">
        <f ca="1">IFERROR(__xludf.DUMMYFUNCTION("""COMPUTED_VALUE"""),"")</f>
        <v/>
      </c>
      <c r="ET74" s="119" t="str">
        <f ca="1">IFERROR(__xludf.DUMMYFUNCTION("""COMPUTED_VALUE"""),"")</f>
        <v/>
      </c>
      <c r="EU74" s="119" t="str">
        <f ca="1">IFERROR(__xludf.DUMMYFUNCTION("""COMPUTED_VALUE"""),"")</f>
        <v/>
      </c>
      <c r="EV74" s="119" t="str">
        <f ca="1">IFERROR(__xludf.DUMMYFUNCTION("""COMPUTED_VALUE"""),"")</f>
        <v/>
      </c>
      <c r="EW74" s="119" t="str">
        <f ca="1">IFERROR(__xludf.DUMMYFUNCTION("""COMPUTED_VALUE"""),"")</f>
        <v/>
      </c>
      <c r="EX74" s="117" t="str">
        <f ca="1">IFERROR(__xludf.DUMMYFUNCTION("""COMPUTED_VALUE"""),"")</f>
        <v/>
      </c>
      <c r="EY74" s="117" t="str">
        <f ca="1">IFERROR(__xludf.DUMMYFUNCTION("""COMPUTED_VALUE"""),"")</f>
        <v/>
      </c>
      <c r="EZ74" s="117" t="str">
        <f ca="1">IFERROR(__xludf.DUMMYFUNCTION("""COMPUTED_VALUE"""),"")</f>
        <v/>
      </c>
      <c r="FA74" s="117" t="str">
        <f ca="1">IFERROR(__xludf.DUMMYFUNCTION("""COMPUTED_VALUE"""),"")</f>
        <v/>
      </c>
      <c r="FB74" s="117" t="str">
        <f ca="1">IFERROR(__xludf.DUMMYFUNCTION("""COMPUTED_VALUE"""),"")</f>
        <v/>
      </c>
      <c r="FC74" s="117" t="str">
        <f ca="1">IFERROR(__xludf.DUMMYFUNCTION("""COMPUTED_VALUE"""),"")</f>
        <v/>
      </c>
      <c r="FD74" s="117" t="str">
        <f ca="1">IFERROR(__xludf.DUMMYFUNCTION("""COMPUTED_VALUE"""),"")</f>
        <v/>
      </c>
      <c r="FE74" s="117" t="str">
        <f ca="1">IFERROR(__xludf.DUMMYFUNCTION("""COMPUTED_VALUE"""),"")</f>
        <v/>
      </c>
      <c r="FF74" s="117" t="str">
        <f ca="1">IFERROR(__xludf.DUMMYFUNCTION("""COMPUTED_VALUE"""),"")</f>
        <v/>
      </c>
      <c r="FG74" s="117" t="str">
        <f ca="1">IFERROR(__xludf.DUMMYFUNCTION("""COMPUTED_VALUE"""),"")</f>
        <v/>
      </c>
      <c r="FH74" s="117" t="str">
        <f ca="1">IFERROR(__xludf.DUMMYFUNCTION("""COMPUTED_VALUE"""),"")</f>
        <v/>
      </c>
      <c r="FI74" s="117" t="str">
        <f ca="1">IFERROR(__xludf.DUMMYFUNCTION("""COMPUTED_VALUE"""),"")</f>
        <v/>
      </c>
      <c r="FJ74" s="117" t="str">
        <f ca="1">IFERROR(__xludf.DUMMYFUNCTION("""COMPUTED_VALUE"""),"")</f>
        <v/>
      </c>
      <c r="FK74" s="117" t="str">
        <f ca="1">IFERROR(__xludf.DUMMYFUNCTION("""COMPUTED_VALUE"""),"")</f>
        <v/>
      </c>
      <c r="FL74" s="117" t="str">
        <f ca="1">IFERROR(__xludf.DUMMYFUNCTION("""COMPUTED_VALUE"""),"")</f>
        <v/>
      </c>
      <c r="FM74" s="117" t="str">
        <f ca="1">IFERROR(__xludf.DUMMYFUNCTION("""COMPUTED_VALUE"""),"")</f>
        <v/>
      </c>
      <c r="FN74" s="117" t="str">
        <f ca="1">IFERROR(__xludf.DUMMYFUNCTION("""COMPUTED_VALUE"""),"")</f>
        <v/>
      </c>
      <c r="FO74" s="117" t="str">
        <f ca="1">IFERROR(__xludf.DUMMYFUNCTION("""COMPUTED_VALUE"""),"")</f>
        <v/>
      </c>
    </row>
    <row r="75" spans="1:171" ht="13" x14ac:dyDescent="0.15">
      <c r="A75" s="115" t="str">
        <f ca="1">IFERROR(__xludf.DUMMYFUNCTION("""COMPUTED_VALUE"""),"")</f>
        <v/>
      </c>
      <c r="B75" s="119" t="str">
        <f ca="1">IFERROR(__xludf.DUMMYFUNCTION("""COMPUTED_VALUE"""),"")</f>
        <v/>
      </c>
      <c r="C75" s="119" t="str">
        <f ca="1">IFERROR(__xludf.DUMMYFUNCTION("""COMPUTED_VALUE"""),"")</f>
        <v/>
      </c>
      <c r="D75" s="119" t="str">
        <f ca="1">IFERROR(__xludf.DUMMYFUNCTION("""COMPUTED_VALUE"""),"")</f>
        <v/>
      </c>
      <c r="E75" s="119" t="str">
        <f ca="1">IFERROR(__xludf.DUMMYFUNCTION("""COMPUTED_VALUE"""),"")</f>
        <v/>
      </c>
      <c r="F75" s="119" t="str">
        <f ca="1">IFERROR(__xludf.DUMMYFUNCTION("""COMPUTED_VALUE"""),"")</f>
        <v/>
      </c>
      <c r="G75" s="119" t="str">
        <f ca="1">IFERROR(__xludf.DUMMYFUNCTION("""COMPUTED_VALUE"""),"")</f>
        <v/>
      </c>
      <c r="H75" s="119" t="str">
        <f ca="1">IFERROR(__xludf.DUMMYFUNCTION("""COMPUTED_VALUE"""),"")</f>
        <v/>
      </c>
      <c r="I75" s="119" t="str">
        <f ca="1">IFERROR(__xludf.DUMMYFUNCTION("""COMPUTED_VALUE"""),"")</f>
        <v/>
      </c>
      <c r="J75" s="119" t="str">
        <f ca="1">IFERROR(__xludf.DUMMYFUNCTION("""COMPUTED_VALUE"""),"")</f>
        <v/>
      </c>
      <c r="K75" s="119" t="str">
        <f ca="1">IFERROR(__xludf.DUMMYFUNCTION("""COMPUTED_VALUE"""),"")</f>
        <v/>
      </c>
      <c r="L75" s="119" t="str">
        <f ca="1">IFERROR(__xludf.DUMMYFUNCTION("""COMPUTED_VALUE"""),"")</f>
        <v/>
      </c>
      <c r="M75" s="119" t="str">
        <f ca="1">IFERROR(__xludf.DUMMYFUNCTION("""COMPUTED_VALUE"""),"")</f>
        <v/>
      </c>
      <c r="N75" s="119" t="str">
        <f ca="1">IFERROR(__xludf.DUMMYFUNCTION("""COMPUTED_VALUE"""),"")</f>
        <v/>
      </c>
      <c r="O75" s="119" t="str">
        <f ca="1">IFERROR(__xludf.DUMMYFUNCTION("""COMPUTED_VALUE"""),"")</f>
        <v/>
      </c>
      <c r="P75" s="119" t="str">
        <f ca="1">IFERROR(__xludf.DUMMYFUNCTION("""COMPUTED_VALUE"""),"")</f>
        <v/>
      </c>
      <c r="Q75" s="119" t="str">
        <f ca="1">IFERROR(__xludf.DUMMYFUNCTION("""COMPUTED_VALUE"""),"")</f>
        <v/>
      </c>
      <c r="R75" s="119" t="str">
        <f ca="1">IFERROR(__xludf.DUMMYFUNCTION("""COMPUTED_VALUE"""),"")</f>
        <v/>
      </c>
      <c r="S75" s="119" t="str">
        <f ca="1">IFERROR(__xludf.DUMMYFUNCTION("""COMPUTED_VALUE"""),"")</f>
        <v/>
      </c>
      <c r="T75" s="119" t="str">
        <f ca="1">IFERROR(__xludf.DUMMYFUNCTION("""COMPUTED_VALUE"""),"")</f>
        <v/>
      </c>
      <c r="U75" s="119" t="str">
        <f ca="1">IFERROR(__xludf.DUMMYFUNCTION("""COMPUTED_VALUE"""),"")</f>
        <v/>
      </c>
      <c r="V75" s="119" t="str">
        <f ca="1">IFERROR(__xludf.DUMMYFUNCTION("""COMPUTED_VALUE"""),"")</f>
        <v/>
      </c>
      <c r="W75" s="119" t="str">
        <f ca="1">IFERROR(__xludf.DUMMYFUNCTION("""COMPUTED_VALUE"""),"")</f>
        <v/>
      </c>
      <c r="X75" s="119" t="str">
        <f ca="1">IFERROR(__xludf.DUMMYFUNCTION("""COMPUTED_VALUE"""),"")</f>
        <v/>
      </c>
      <c r="Y75" s="119" t="str">
        <f ca="1">IFERROR(__xludf.DUMMYFUNCTION("""COMPUTED_VALUE"""),"")</f>
        <v/>
      </c>
      <c r="Z75" s="119" t="str">
        <f ca="1">IFERROR(__xludf.DUMMYFUNCTION("""COMPUTED_VALUE"""),"")</f>
        <v/>
      </c>
      <c r="AA75" s="119" t="str">
        <f ca="1">IFERROR(__xludf.DUMMYFUNCTION("""COMPUTED_VALUE"""),"")</f>
        <v/>
      </c>
      <c r="AB75" s="119" t="str">
        <f ca="1">IFERROR(__xludf.DUMMYFUNCTION("""COMPUTED_VALUE"""),"")</f>
        <v/>
      </c>
      <c r="AC75" s="119" t="str">
        <f ca="1">IFERROR(__xludf.DUMMYFUNCTION("""COMPUTED_VALUE"""),"")</f>
        <v/>
      </c>
      <c r="AD75" s="119" t="str">
        <f ca="1">IFERROR(__xludf.DUMMYFUNCTION("""COMPUTED_VALUE"""),"")</f>
        <v/>
      </c>
      <c r="AE75" s="119" t="str">
        <f ca="1">IFERROR(__xludf.DUMMYFUNCTION("""COMPUTED_VALUE"""),"")</f>
        <v/>
      </c>
      <c r="AF75" s="119" t="str">
        <f ca="1">IFERROR(__xludf.DUMMYFUNCTION("""COMPUTED_VALUE"""),"")</f>
        <v/>
      </c>
      <c r="AG75" s="119" t="str">
        <f ca="1">IFERROR(__xludf.DUMMYFUNCTION("""COMPUTED_VALUE"""),"")</f>
        <v/>
      </c>
      <c r="AH75" s="119" t="str">
        <f ca="1">IFERROR(__xludf.DUMMYFUNCTION("""COMPUTED_VALUE"""),"")</f>
        <v/>
      </c>
      <c r="AI75" s="119" t="str">
        <f ca="1">IFERROR(__xludf.DUMMYFUNCTION("""COMPUTED_VALUE"""),"")</f>
        <v/>
      </c>
      <c r="AJ75" s="119" t="str">
        <f ca="1">IFERROR(__xludf.DUMMYFUNCTION("""COMPUTED_VALUE"""),"")</f>
        <v/>
      </c>
      <c r="AK75" s="119" t="str">
        <f ca="1">IFERROR(__xludf.DUMMYFUNCTION("""COMPUTED_VALUE"""),"")</f>
        <v/>
      </c>
      <c r="AL75" s="119" t="str">
        <f ca="1">IFERROR(__xludf.DUMMYFUNCTION("""COMPUTED_VALUE"""),"")</f>
        <v/>
      </c>
      <c r="AM75" s="119" t="str">
        <f ca="1">IFERROR(__xludf.DUMMYFUNCTION("""COMPUTED_VALUE"""),"")</f>
        <v/>
      </c>
      <c r="AN75" s="119" t="str">
        <f ca="1">IFERROR(__xludf.DUMMYFUNCTION("""COMPUTED_VALUE"""),"")</f>
        <v/>
      </c>
      <c r="AO75" s="119" t="str">
        <f ca="1">IFERROR(__xludf.DUMMYFUNCTION("""COMPUTED_VALUE"""),"")</f>
        <v/>
      </c>
      <c r="AP75" s="119" t="str">
        <f ca="1">IFERROR(__xludf.DUMMYFUNCTION("""COMPUTED_VALUE"""),"")</f>
        <v/>
      </c>
      <c r="AQ75" s="119" t="str">
        <f ca="1">IFERROR(__xludf.DUMMYFUNCTION("""COMPUTED_VALUE"""),"")</f>
        <v/>
      </c>
      <c r="AR75" s="118" t="str">
        <f ca="1">IFERROR(__xludf.DUMMYFUNCTION("""COMPUTED_VALUE"""),"")</f>
        <v/>
      </c>
      <c r="AS75" s="119" t="str">
        <f ca="1">IFERROR(__xludf.DUMMYFUNCTION("""COMPUTED_VALUE"""),"")</f>
        <v/>
      </c>
      <c r="AT75" s="119" t="str">
        <f ca="1">IFERROR(__xludf.DUMMYFUNCTION("""COMPUTED_VALUE"""),"")</f>
        <v/>
      </c>
      <c r="AU75" s="119" t="str">
        <f ca="1">IFERROR(__xludf.DUMMYFUNCTION("""COMPUTED_VALUE"""),"")</f>
        <v/>
      </c>
      <c r="AV75" s="119" t="str">
        <f ca="1">IFERROR(__xludf.DUMMYFUNCTION("""COMPUTED_VALUE"""),"")</f>
        <v/>
      </c>
      <c r="AW75" s="119" t="str">
        <f ca="1">IFERROR(__xludf.DUMMYFUNCTION("""COMPUTED_VALUE"""),"")</f>
        <v/>
      </c>
      <c r="AX75" s="119" t="str">
        <f ca="1">IFERROR(__xludf.DUMMYFUNCTION("""COMPUTED_VALUE"""),"")</f>
        <v/>
      </c>
      <c r="AY75" s="119" t="str">
        <f ca="1">IFERROR(__xludf.DUMMYFUNCTION("""COMPUTED_VALUE"""),"")</f>
        <v/>
      </c>
      <c r="AZ75" s="119" t="str">
        <f ca="1">IFERROR(__xludf.DUMMYFUNCTION("""COMPUTED_VALUE"""),"")</f>
        <v/>
      </c>
      <c r="BA75" s="119" t="str">
        <f ca="1">IFERROR(__xludf.DUMMYFUNCTION("""COMPUTED_VALUE"""),"")</f>
        <v/>
      </c>
      <c r="BB75" s="119" t="str">
        <f ca="1">IFERROR(__xludf.DUMMYFUNCTION("""COMPUTED_VALUE"""),"")</f>
        <v/>
      </c>
      <c r="BC75" s="119" t="str">
        <f ca="1">IFERROR(__xludf.DUMMYFUNCTION("""COMPUTED_VALUE"""),"")</f>
        <v/>
      </c>
      <c r="BD75" s="119" t="str">
        <f ca="1">IFERROR(__xludf.DUMMYFUNCTION("""COMPUTED_VALUE"""),"")</f>
        <v/>
      </c>
      <c r="BE75" s="119" t="str">
        <f ca="1">IFERROR(__xludf.DUMMYFUNCTION("""COMPUTED_VALUE"""),"")</f>
        <v/>
      </c>
      <c r="BF75" s="119" t="str">
        <f ca="1">IFERROR(__xludf.DUMMYFUNCTION("""COMPUTED_VALUE"""),"")</f>
        <v/>
      </c>
      <c r="BG75" s="119" t="str">
        <f ca="1">IFERROR(__xludf.DUMMYFUNCTION("""COMPUTED_VALUE"""),"")</f>
        <v/>
      </c>
      <c r="BH75" s="119" t="str">
        <f ca="1">IFERROR(__xludf.DUMMYFUNCTION("""COMPUTED_VALUE"""),"")</f>
        <v/>
      </c>
      <c r="BI75" s="119" t="str">
        <f ca="1">IFERROR(__xludf.DUMMYFUNCTION("""COMPUTED_VALUE"""),"")</f>
        <v/>
      </c>
      <c r="BJ75" s="119" t="str">
        <f ca="1">IFERROR(__xludf.DUMMYFUNCTION("""COMPUTED_VALUE"""),"")</f>
        <v/>
      </c>
      <c r="BK75" s="119" t="str">
        <f ca="1">IFERROR(__xludf.DUMMYFUNCTION("""COMPUTED_VALUE"""),"")</f>
        <v/>
      </c>
      <c r="BL75" s="119" t="str">
        <f ca="1">IFERROR(__xludf.DUMMYFUNCTION("""COMPUTED_VALUE"""),"")</f>
        <v/>
      </c>
      <c r="BM75" s="119" t="str">
        <f ca="1">IFERROR(__xludf.DUMMYFUNCTION("""COMPUTED_VALUE"""),"")</f>
        <v/>
      </c>
      <c r="BN75" s="119" t="str">
        <f ca="1">IFERROR(__xludf.DUMMYFUNCTION("""COMPUTED_VALUE"""),"")</f>
        <v/>
      </c>
      <c r="BO75" s="119" t="str">
        <f ca="1">IFERROR(__xludf.DUMMYFUNCTION("""COMPUTED_VALUE"""),"")</f>
        <v/>
      </c>
      <c r="BP75" s="119" t="str">
        <f ca="1">IFERROR(__xludf.DUMMYFUNCTION("""COMPUTED_VALUE"""),"")</f>
        <v/>
      </c>
      <c r="BQ75" s="119" t="str">
        <f ca="1">IFERROR(__xludf.DUMMYFUNCTION("""COMPUTED_VALUE"""),"")</f>
        <v/>
      </c>
      <c r="BR75" s="119" t="str">
        <f ca="1">IFERROR(__xludf.DUMMYFUNCTION("""COMPUTED_VALUE"""),"")</f>
        <v/>
      </c>
      <c r="BS75" s="119" t="str">
        <f ca="1">IFERROR(__xludf.DUMMYFUNCTION("""COMPUTED_VALUE"""),"")</f>
        <v/>
      </c>
      <c r="BT75" s="119" t="str">
        <f ca="1">IFERROR(__xludf.DUMMYFUNCTION("""COMPUTED_VALUE"""),"")</f>
        <v/>
      </c>
      <c r="BU75" s="119" t="str">
        <f ca="1">IFERROR(__xludf.DUMMYFUNCTION("""COMPUTED_VALUE"""),"")</f>
        <v/>
      </c>
      <c r="BV75" s="119" t="str">
        <f ca="1">IFERROR(__xludf.DUMMYFUNCTION("""COMPUTED_VALUE"""),"")</f>
        <v/>
      </c>
      <c r="BW75" s="119" t="str">
        <f ca="1">IFERROR(__xludf.DUMMYFUNCTION("""COMPUTED_VALUE"""),"")</f>
        <v/>
      </c>
      <c r="BX75" s="119" t="str">
        <f ca="1">IFERROR(__xludf.DUMMYFUNCTION("""COMPUTED_VALUE"""),"")</f>
        <v/>
      </c>
      <c r="BY75" s="119" t="str">
        <f ca="1">IFERROR(__xludf.DUMMYFUNCTION("""COMPUTED_VALUE"""),"")</f>
        <v/>
      </c>
      <c r="BZ75" s="119" t="str">
        <f ca="1">IFERROR(__xludf.DUMMYFUNCTION("""COMPUTED_VALUE"""),"")</f>
        <v/>
      </c>
      <c r="CA75" s="119" t="str">
        <f ca="1">IFERROR(__xludf.DUMMYFUNCTION("""COMPUTED_VALUE"""),"")</f>
        <v/>
      </c>
      <c r="CB75" s="119" t="str">
        <f ca="1">IFERROR(__xludf.DUMMYFUNCTION("""COMPUTED_VALUE"""),"")</f>
        <v/>
      </c>
      <c r="CC75" s="119" t="str">
        <f ca="1">IFERROR(__xludf.DUMMYFUNCTION("""COMPUTED_VALUE"""),"")</f>
        <v/>
      </c>
      <c r="CD75" s="119" t="str">
        <f ca="1">IFERROR(__xludf.DUMMYFUNCTION("""COMPUTED_VALUE"""),"")</f>
        <v/>
      </c>
      <c r="CE75" s="119" t="str">
        <f ca="1">IFERROR(__xludf.DUMMYFUNCTION("""COMPUTED_VALUE"""),"")</f>
        <v/>
      </c>
      <c r="CF75" s="119" t="str">
        <f ca="1">IFERROR(__xludf.DUMMYFUNCTION("""COMPUTED_VALUE"""),"")</f>
        <v/>
      </c>
      <c r="CG75" s="119" t="str">
        <f ca="1">IFERROR(__xludf.DUMMYFUNCTION("""COMPUTED_VALUE"""),"")</f>
        <v/>
      </c>
      <c r="CH75" s="119" t="str">
        <f ca="1">IFERROR(__xludf.DUMMYFUNCTION("""COMPUTED_VALUE"""),"")</f>
        <v/>
      </c>
      <c r="CI75" s="119" t="str">
        <f ca="1">IFERROR(__xludf.DUMMYFUNCTION("""COMPUTED_VALUE"""),"")</f>
        <v/>
      </c>
      <c r="CJ75" s="119" t="str">
        <f ca="1">IFERROR(__xludf.DUMMYFUNCTION("""COMPUTED_VALUE"""),"")</f>
        <v/>
      </c>
      <c r="CK75" s="119" t="str">
        <f ca="1">IFERROR(__xludf.DUMMYFUNCTION("""COMPUTED_VALUE"""),"")</f>
        <v/>
      </c>
      <c r="CL75" s="119" t="str">
        <f ca="1">IFERROR(__xludf.DUMMYFUNCTION("""COMPUTED_VALUE"""),"")</f>
        <v/>
      </c>
      <c r="CM75" s="119" t="str">
        <f ca="1">IFERROR(__xludf.DUMMYFUNCTION("""COMPUTED_VALUE"""),"")</f>
        <v/>
      </c>
      <c r="CN75" s="119" t="str">
        <f ca="1">IFERROR(__xludf.DUMMYFUNCTION("""COMPUTED_VALUE"""),"")</f>
        <v/>
      </c>
      <c r="CO75" s="119" t="str">
        <f ca="1">IFERROR(__xludf.DUMMYFUNCTION("""COMPUTED_VALUE"""),"")</f>
        <v/>
      </c>
      <c r="CP75" s="119" t="str">
        <f ca="1">IFERROR(__xludf.DUMMYFUNCTION("""COMPUTED_VALUE"""),"")</f>
        <v/>
      </c>
      <c r="CQ75" s="119" t="str">
        <f ca="1">IFERROR(__xludf.DUMMYFUNCTION("""COMPUTED_VALUE"""),"")</f>
        <v/>
      </c>
      <c r="CR75" s="119" t="str">
        <f ca="1">IFERROR(__xludf.DUMMYFUNCTION("""COMPUTED_VALUE"""),"")</f>
        <v/>
      </c>
      <c r="CS75" s="119" t="str">
        <f ca="1">IFERROR(__xludf.DUMMYFUNCTION("""COMPUTED_VALUE"""),"")</f>
        <v/>
      </c>
      <c r="CT75" s="119" t="str">
        <f ca="1">IFERROR(__xludf.DUMMYFUNCTION("""COMPUTED_VALUE"""),"")</f>
        <v/>
      </c>
      <c r="CU75" s="119" t="str">
        <f ca="1">IFERROR(__xludf.DUMMYFUNCTION("""COMPUTED_VALUE"""),"")</f>
        <v/>
      </c>
      <c r="CV75" s="119" t="str">
        <f ca="1">IFERROR(__xludf.DUMMYFUNCTION("""COMPUTED_VALUE"""),"")</f>
        <v/>
      </c>
      <c r="CW75" s="119" t="str">
        <f ca="1">IFERROR(__xludf.DUMMYFUNCTION("""COMPUTED_VALUE"""),"")</f>
        <v/>
      </c>
      <c r="CX75" s="119" t="str">
        <f ca="1">IFERROR(__xludf.DUMMYFUNCTION("""COMPUTED_VALUE"""),"")</f>
        <v/>
      </c>
      <c r="CY75" s="119" t="str">
        <f ca="1">IFERROR(__xludf.DUMMYFUNCTION("""COMPUTED_VALUE"""),"")</f>
        <v/>
      </c>
      <c r="CZ75" s="119" t="str">
        <f ca="1">IFERROR(__xludf.DUMMYFUNCTION("""COMPUTED_VALUE"""),"")</f>
        <v/>
      </c>
      <c r="DA75" s="119" t="str">
        <f ca="1">IFERROR(__xludf.DUMMYFUNCTION("""COMPUTED_VALUE"""),"")</f>
        <v/>
      </c>
      <c r="DB75" s="119" t="str">
        <f ca="1">IFERROR(__xludf.DUMMYFUNCTION("""COMPUTED_VALUE"""),"")</f>
        <v/>
      </c>
      <c r="DC75" s="119" t="str">
        <f ca="1">IFERROR(__xludf.DUMMYFUNCTION("""COMPUTED_VALUE"""),"")</f>
        <v/>
      </c>
      <c r="DD75" s="119" t="str">
        <f ca="1">IFERROR(__xludf.DUMMYFUNCTION("""COMPUTED_VALUE"""),"")</f>
        <v/>
      </c>
      <c r="DE75" s="119" t="str">
        <f ca="1">IFERROR(__xludf.DUMMYFUNCTION("""COMPUTED_VALUE"""),"")</f>
        <v/>
      </c>
      <c r="DF75" s="119" t="str">
        <f ca="1">IFERROR(__xludf.DUMMYFUNCTION("""COMPUTED_VALUE"""),"")</f>
        <v/>
      </c>
      <c r="DG75" s="119" t="str">
        <f ca="1">IFERROR(__xludf.DUMMYFUNCTION("""COMPUTED_VALUE"""),"")</f>
        <v/>
      </c>
      <c r="DH75" s="119" t="str">
        <f ca="1">IFERROR(__xludf.DUMMYFUNCTION("""COMPUTED_VALUE"""),"")</f>
        <v/>
      </c>
      <c r="DI75" s="119" t="str">
        <f ca="1">IFERROR(__xludf.DUMMYFUNCTION("""COMPUTED_VALUE"""),"")</f>
        <v/>
      </c>
      <c r="DJ75" s="119" t="str">
        <f ca="1">IFERROR(__xludf.DUMMYFUNCTION("""COMPUTED_VALUE"""),"")</f>
        <v/>
      </c>
      <c r="DK75" s="119" t="str">
        <f ca="1">IFERROR(__xludf.DUMMYFUNCTION("""COMPUTED_VALUE"""),"")</f>
        <v/>
      </c>
      <c r="DL75" s="119" t="str">
        <f ca="1">IFERROR(__xludf.DUMMYFUNCTION("""COMPUTED_VALUE"""),"")</f>
        <v/>
      </c>
      <c r="DM75" s="119" t="str">
        <f ca="1">IFERROR(__xludf.DUMMYFUNCTION("""COMPUTED_VALUE"""),"")</f>
        <v/>
      </c>
      <c r="DN75" s="119" t="str">
        <f ca="1">IFERROR(__xludf.DUMMYFUNCTION("""COMPUTED_VALUE"""),"")</f>
        <v/>
      </c>
      <c r="DO75" s="119" t="str">
        <f ca="1">IFERROR(__xludf.DUMMYFUNCTION("""COMPUTED_VALUE"""),"")</f>
        <v/>
      </c>
      <c r="DP75" s="119" t="str">
        <f ca="1">IFERROR(__xludf.DUMMYFUNCTION("""COMPUTED_VALUE"""),"")</f>
        <v/>
      </c>
      <c r="DQ75" s="119" t="str">
        <f ca="1">IFERROR(__xludf.DUMMYFUNCTION("""COMPUTED_VALUE"""),"")</f>
        <v/>
      </c>
      <c r="DR75" s="119" t="str">
        <f ca="1">IFERROR(__xludf.DUMMYFUNCTION("""COMPUTED_VALUE"""),"")</f>
        <v/>
      </c>
      <c r="DS75" s="119" t="str">
        <f ca="1">IFERROR(__xludf.DUMMYFUNCTION("""COMPUTED_VALUE"""),"")</f>
        <v/>
      </c>
      <c r="DT75" s="119" t="str">
        <f ca="1">IFERROR(__xludf.DUMMYFUNCTION("""COMPUTED_VALUE"""),"")</f>
        <v/>
      </c>
      <c r="DU75" s="119" t="str">
        <f ca="1">IFERROR(__xludf.DUMMYFUNCTION("""COMPUTED_VALUE"""),"")</f>
        <v/>
      </c>
      <c r="DV75" s="119" t="str">
        <f ca="1">IFERROR(__xludf.DUMMYFUNCTION("""COMPUTED_VALUE"""),"")</f>
        <v/>
      </c>
      <c r="DW75" s="119" t="str">
        <f ca="1">IFERROR(__xludf.DUMMYFUNCTION("""COMPUTED_VALUE"""),"")</f>
        <v/>
      </c>
      <c r="DX75" s="119" t="str">
        <f ca="1">IFERROR(__xludf.DUMMYFUNCTION("""COMPUTED_VALUE"""),"")</f>
        <v/>
      </c>
      <c r="DY75" s="119" t="str">
        <f ca="1">IFERROR(__xludf.DUMMYFUNCTION("""COMPUTED_VALUE"""),"")</f>
        <v/>
      </c>
      <c r="DZ75" s="119" t="str">
        <f ca="1">IFERROR(__xludf.DUMMYFUNCTION("""COMPUTED_VALUE"""),"")</f>
        <v/>
      </c>
      <c r="EA75" s="119" t="str">
        <f ca="1">IFERROR(__xludf.DUMMYFUNCTION("""COMPUTED_VALUE"""),"")</f>
        <v/>
      </c>
      <c r="EB75" s="119" t="str">
        <f ca="1">IFERROR(__xludf.DUMMYFUNCTION("""COMPUTED_VALUE"""),"")</f>
        <v/>
      </c>
      <c r="EC75" s="119" t="str">
        <f ca="1">IFERROR(__xludf.DUMMYFUNCTION("""COMPUTED_VALUE"""),"")</f>
        <v/>
      </c>
      <c r="ED75" s="119" t="str">
        <f ca="1">IFERROR(__xludf.DUMMYFUNCTION("""COMPUTED_VALUE"""),"")</f>
        <v/>
      </c>
      <c r="EE75" s="119" t="str">
        <f ca="1">IFERROR(__xludf.DUMMYFUNCTION("""COMPUTED_VALUE"""),"")</f>
        <v/>
      </c>
      <c r="EF75" s="119" t="str">
        <f ca="1">IFERROR(__xludf.DUMMYFUNCTION("""COMPUTED_VALUE"""),"")</f>
        <v/>
      </c>
      <c r="EG75" s="119" t="str">
        <f ca="1">IFERROR(__xludf.DUMMYFUNCTION("""COMPUTED_VALUE"""),"")</f>
        <v/>
      </c>
      <c r="EH75" s="119" t="str">
        <f ca="1">IFERROR(__xludf.DUMMYFUNCTION("""COMPUTED_VALUE"""),"")</f>
        <v/>
      </c>
      <c r="EI75" s="119" t="str">
        <f ca="1">IFERROR(__xludf.DUMMYFUNCTION("""COMPUTED_VALUE"""),"")</f>
        <v/>
      </c>
      <c r="EJ75" s="119" t="str">
        <f ca="1">IFERROR(__xludf.DUMMYFUNCTION("""COMPUTED_VALUE"""),"")</f>
        <v/>
      </c>
      <c r="EK75" s="119" t="str">
        <f ca="1">IFERROR(__xludf.DUMMYFUNCTION("""COMPUTED_VALUE"""),"")</f>
        <v/>
      </c>
      <c r="EL75" s="119" t="str">
        <f ca="1">IFERROR(__xludf.DUMMYFUNCTION("""COMPUTED_VALUE"""),"")</f>
        <v/>
      </c>
      <c r="EM75" s="119" t="str">
        <f ca="1">IFERROR(__xludf.DUMMYFUNCTION("""COMPUTED_VALUE"""),"")</f>
        <v/>
      </c>
      <c r="EN75" s="119" t="str">
        <f ca="1">IFERROR(__xludf.DUMMYFUNCTION("""COMPUTED_VALUE"""),"")</f>
        <v/>
      </c>
      <c r="EO75" s="119" t="str">
        <f ca="1">IFERROR(__xludf.DUMMYFUNCTION("""COMPUTED_VALUE"""),"")</f>
        <v/>
      </c>
      <c r="EP75" s="119" t="str">
        <f ca="1">IFERROR(__xludf.DUMMYFUNCTION("""COMPUTED_VALUE"""),"")</f>
        <v/>
      </c>
      <c r="EQ75" s="119" t="str">
        <f ca="1">IFERROR(__xludf.DUMMYFUNCTION("""COMPUTED_VALUE"""),"")</f>
        <v/>
      </c>
      <c r="ER75" s="119" t="str">
        <f ca="1">IFERROR(__xludf.DUMMYFUNCTION("""COMPUTED_VALUE"""),"")</f>
        <v/>
      </c>
      <c r="ES75" s="119" t="str">
        <f ca="1">IFERROR(__xludf.DUMMYFUNCTION("""COMPUTED_VALUE"""),"")</f>
        <v/>
      </c>
      <c r="ET75" s="119" t="str">
        <f ca="1">IFERROR(__xludf.DUMMYFUNCTION("""COMPUTED_VALUE"""),"")</f>
        <v/>
      </c>
      <c r="EU75" s="119" t="str">
        <f ca="1">IFERROR(__xludf.DUMMYFUNCTION("""COMPUTED_VALUE"""),"")</f>
        <v/>
      </c>
      <c r="EV75" s="119" t="str">
        <f ca="1">IFERROR(__xludf.DUMMYFUNCTION("""COMPUTED_VALUE"""),"")</f>
        <v/>
      </c>
      <c r="EW75" s="119" t="str">
        <f ca="1">IFERROR(__xludf.DUMMYFUNCTION("""COMPUTED_VALUE"""),"")</f>
        <v/>
      </c>
      <c r="EX75" s="117" t="str">
        <f ca="1">IFERROR(__xludf.DUMMYFUNCTION("""COMPUTED_VALUE"""),"")</f>
        <v/>
      </c>
      <c r="EY75" s="117" t="str">
        <f ca="1">IFERROR(__xludf.DUMMYFUNCTION("""COMPUTED_VALUE"""),"")</f>
        <v/>
      </c>
      <c r="EZ75" s="117" t="str">
        <f ca="1">IFERROR(__xludf.DUMMYFUNCTION("""COMPUTED_VALUE"""),"")</f>
        <v/>
      </c>
      <c r="FA75" s="117" t="str">
        <f ca="1">IFERROR(__xludf.DUMMYFUNCTION("""COMPUTED_VALUE"""),"")</f>
        <v/>
      </c>
      <c r="FB75" s="117" t="str">
        <f ca="1">IFERROR(__xludf.DUMMYFUNCTION("""COMPUTED_VALUE"""),"")</f>
        <v/>
      </c>
      <c r="FC75" s="117" t="str">
        <f ca="1">IFERROR(__xludf.DUMMYFUNCTION("""COMPUTED_VALUE"""),"")</f>
        <v/>
      </c>
      <c r="FD75" s="117" t="str">
        <f ca="1">IFERROR(__xludf.DUMMYFUNCTION("""COMPUTED_VALUE"""),"")</f>
        <v/>
      </c>
      <c r="FE75" s="117" t="str">
        <f ca="1">IFERROR(__xludf.DUMMYFUNCTION("""COMPUTED_VALUE"""),"")</f>
        <v/>
      </c>
      <c r="FF75" s="117" t="str">
        <f ca="1">IFERROR(__xludf.DUMMYFUNCTION("""COMPUTED_VALUE"""),"")</f>
        <v/>
      </c>
      <c r="FG75" s="117" t="str">
        <f ca="1">IFERROR(__xludf.DUMMYFUNCTION("""COMPUTED_VALUE"""),"")</f>
        <v/>
      </c>
      <c r="FH75" s="117" t="str">
        <f ca="1">IFERROR(__xludf.DUMMYFUNCTION("""COMPUTED_VALUE"""),"")</f>
        <v/>
      </c>
      <c r="FI75" s="117" t="str">
        <f ca="1">IFERROR(__xludf.DUMMYFUNCTION("""COMPUTED_VALUE"""),"")</f>
        <v/>
      </c>
      <c r="FJ75" s="117" t="str">
        <f ca="1">IFERROR(__xludf.DUMMYFUNCTION("""COMPUTED_VALUE"""),"")</f>
        <v/>
      </c>
      <c r="FK75" s="117" t="str">
        <f ca="1">IFERROR(__xludf.DUMMYFUNCTION("""COMPUTED_VALUE"""),"")</f>
        <v/>
      </c>
      <c r="FL75" s="117" t="str">
        <f ca="1">IFERROR(__xludf.DUMMYFUNCTION("""COMPUTED_VALUE"""),"")</f>
        <v/>
      </c>
      <c r="FM75" s="117" t="str">
        <f ca="1">IFERROR(__xludf.DUMMYFUNCTION("""COMPUTED_VALUE"""),"")</f>
        <v/>
      </c>
      <c r="FN75" s="117" t="str">
        <f ca="1">IFERROR(__xludf.DUMMYFUNCTION("""COMPUTED_VALUE"""),"")</f>
        <v/>
      </c>
      <c r="FO75" s="117" t="str">
        <f ca="1">IFERROR(__xludf.DUMMYFUNCTION("""COMPUTED_VALUE"""),"")</f>
        <v/>
      </c>
    </row>
    <row r="76" spans="1:171" ht="13" x14ac:dyDescent="0.15">
      <c r="A76" s="115" t="str">
        <f ca="1">IFERROR(__xludf.DUMMYFUNCTION("""COMPUTED_VALUE"""),"")</f>
        <v/>
      </c>
      <c r="B76" s="119" t="str">
        <f ca="1">IFERROR(__xludf.DUMMYFUNCTION("""COMPUTED_VALUE"""),"")</f>
        <v/>
      </c>
      <c r="C76" s="119" t="str">
        <f ca="1">IFERROR(__xludf.DUMMYFUNCTION("""COMPUTED_VALUE"""),"")</f>
        <v/>
      </c>
      <c r="D76" s="119" t="str">
        <f ca="1">IFERROR(__xludf.DUMMYFUNCTION("""COMPUTED_VALUE"""),"")</f>
        <v/>
      </c>
      <c r="E76" s="119" t="str">
        <f ca="1">IFERROR(__xludf.DUMMYFUNCTION("""COMPUTED_VALUE"""),"")</f>
        <v/>
      </c>
      <c r="F76" s="119" t="str">
        <f ca="1">IFERROR(__xludf.DUMMYFUNCTION("""COMPUTED_VALUE"""),"")</f>
        <v/>
      </c>
      <c r="G76" s="119" t="str">
        <f ca="1">IFERROR(__xludf.DUMMYFUNCTION("""COMPUTED_VALUE"""),"")</f>
        <v/>
      </c>
      <c r="H76" s="119" t="str">
        <f ca="1">IFERROR(__xludf.DUMMYFUNCTION("""COMPUTED_VALUE"""),"")</f>
        <v/>
      </c>
      <c r="I76" s="119" t="str">
        <f ca="1">IFERROR(__xludf.DUMMYFUNCTION("""COMPUTED_VALUE"""),"")</f>
        <v/>
      </c>
      <c r="J76" s="119" t="str">
        <f ca="1">IFERROR(__xludf.DUMMYFUNCTION("""COMPUTED_VALUE"""),"")</f>
        <v/>
      </c>
      <c r="K76" s="119" t="str">
        <f ca="1">IFERROR(__xludf.DUMMYFUNCTION("""COMPUTED_VALUE"""),"")</f>
        <v/>
      </c>
      <c r="L76" s="119" t="str">
        <f ca="1">IFERROR(__xludf.DUMMYFUNCTION("""COMPUTED_VALUE"""),"")</f>
        <v/>
      </c>
      <c r="M76" s="119" t="str">
        <f ca="1">IFERROR(__xludf.DUMMYFUNCTION("""COMPUTED_VALUE"""),"")</f>
        <v/>
      </c>
      <c r="N76" s="119" t="str">
        <f ca="1">IFERROR(__xludf.DUMMYFUNCTION("""COMPUTED_VALUE"""),"")</f>
        <v/>
      </c>
      <c r="O76" s="119" t="str">
        <f ca="1">IFERROR(__xludf.DUMMYFUNCTION("""COMPUTED_VALUE"""),"")</f>
        <v/>
      </c>
      <c r="P76" s="119" t="str">
        <f ca="1">IFERROR(__xludf.DUMMYFUNCTION("""COMPUTED_VALUE"""),"")</f>
        <v/>
      </c>
      <c r="Q76" s="119" t="str">
        <f ca="1">IFERROR(__xludf.DUMMYFUNCTION("""COMPUTED_VALUE"""),"")</f>
        <v/>
      </c>
      <c r="R76" s="119" t="str">
        <f ca="1">IFERROR(__xludf.DUMMYFUNCTION("""COMPUTED_VALUE"""),"")</f>
        <v/>
      </c>
      <c r="S76" s="119" t="str">
        <f ca="1">IFERROR(__xludf.DUMMYFUNCTION("""COMPUTED_VALUE"""),"")</f>
        <v/>
      </c>
      <c r="T76" s="119" t="str">
        <f ca="1">IFERROR(__xludf.DUMMYFUNCTION("""COMPUTED_VALUE"""),"")</f>
        <v/>
      </c>
      <c r="U76" s="119" t="str">
        <f ca="1">IFERROR(__xludf.DUMMYFUNCTION("""COMPUTED_VALUE"""),"")</f>
        <v/>
      </c>
      <c r="V76" s="119" t="str">
        <f ca="1">IFERROR(__xludf.DUMMYFUNCTION("""COMPUTED_VALUE"""),"")</f>
        <v/>
      </c>
      <c r="W76" s="119" t="str">
        <f ca="1">IFERROR(__xludf.DUMMYFUNCTION("""COMPUTED_VALUE"""),"")</f>
        <v/>
      </c>
      <c r="X76" s="119" t="str">
        <f ca="1">IFERROR(__xludf.DUMMYFUNCTION("""COMPUTED_VALUE"""),"")</f>
        <v/>
      </c>
      <c r="Y76" s="119" t="str">
        <f ca="1">IFERROR(__xludf.DUMMYFUNCTION("""COMPUTED_VALUE"""),"")</f>
        <v/>
      </c>
      <c r="Z76" s="119" t="str">
        <f ca="1">IFERROR(__xludf.DUMMYFUNCTION("""COMPUTED_VALUE"""),"")</f>
        <v/>
      </c>
      <c r="AA76" s="119" t="str">
        <f ca="1">IFERROR(__xludf.DUMMYFUNCTION("""COMPUTED_VALUE"""),"")</f>
        <v/>
      </c>
      <c r="AB76" s="119" t="str">
        <f ca="1">IFERROR(__xludf.DUMMYFUNCTION("""COMPUTED_VALUE"""),"")</f>
        <v/>
      </c>
      <c r="AC76" s="119" t="str">
        <f ca="1">IFERROR(__xludf.DUMMYFUNCTION("""COMPUTED_VALUE"""),"")</f>
        <v/>
      </c>
      <c r="AD76" s="119" t="str">
        <f ca="1">IFERROR(__xludf.DUMMYFUNCTION("""COMPUTED_VALUE"""),"")</f>
        <v/>
      </c>
      <c r="AE76" s="119" t="str">
        <f ca="1">IFERROR(__xludf.DUMMYFUNCTION("""COMPUTED_VALUE"""),"")</f>
        <v/>
      </c>
      <c r="AF76" s="119" t="str">
        <f ca="1">IFERROR(__xludf.DUMMYFUNCTION("""COMPUTED_VALUE"""),"")</f>
        <v/>
      </c>
      <c r="AG76" s="119" t="str">
        <f ca="1">IFERROR(__xludf.DUMMYFUNCTION("""COMPUTED_VALUE"""),"")</f>
        <v/>
      </c>
      <c r="AH76" s="119" t="str">
        <f ca="1">IFERROR(__xludf.DUMMYFUNCTION("""COMPUTED_VALUE"""),"")</f>
        <v/>
      </c>
      <c r="AI76" s="119" t="str">
        <f ca="1">IFERROR(__xludf.DUMMYFUNCTION("""COMPUTED_VALUE"""),"")</f>
        <v/>
      </c>
      <c r="AJ76" s="119" t="str">
        <f ca="1">IFERROR(__xludf.DUMMYFUNCTION("""COMPUTED_VALUE"""),"")</f>
        <v/>
      </c>
      <c r="AK76" s="119" t="str">
        <f ca="1">IFERROR(__xludf.DUMMYFUNCTION("""COMPUTED_VALUE"""),"")</f>
        <v/>
      </c>
      <c r="AL76" s="119" t="str">
        <f ca="1">IFERROR(__xludf.DUMMYFUNCTION("""COMPUTED_VALUE"""),"")</f>
        <v/>
      </c>
      <c r="AM76" s="119" t="str">
        <f ca="1">IFERROR(__xludf.DUMMYFUNCTION("""COMPUTED_VALUE"""),"")</f>
        <v/>
      </c>
      <c r="AN76" s="119" t="str">
        <f ca="1">IFERROR(__xludf.DUMMYFUNCTION("""COMPUTED_VALUE"""),"")</f>
        <v/>
      </c>
      <c r="AO76" s="119" t="str">
        <f ca="1">IFERROR(__xludf.DUMMYFUNCTION("""COMPUTED_VALUE"""),"")</f>
        <v/>
      </c>
      <c r="AP76" s="119" t="str">
        <f ca="1">IFERROR(__xludf.DUMMYFUNCTION("""COMPUTED_VALUE"""),"")</f>
        <v/>
      </c>
      <c r="AQ76" s="119" t="str">
        <f ca="1">IFERROR(__xludf.DUMMYFUNCTION("""COMPUTED_VALUE"""),"")</f>
        <v/>
      </c>
      <c r="AR76" s="118" t="str">
        <f ca="1">IFERROR(__xludf.DUMMYFUNCTION("""COMPUTED_VALUE"""),"")</f>
        <v/>
      </c>
      <c r="AS76" s="119" t="str">
        <f ca="1">IFERROR(__xludf.DUMMYFUNCTION("""COMPUTED_VALUE"""),"")</f>
        <v/>
      </c>
      <c r="AT76" s="119" t="str">
        <f ca="1">IFERROR(__xludf.DUMMYFUNCTION("""COMPUTED_VALUE"""),"")</f>
        <v/>
      </c>
      <c r="AU76" s="119" t="str">
        <f ca="1">IFERROR(__xludf.DUMMYFUNCTION("""COMPUTED_VALUE"""),"")</f>
        <v/>
      </c>
      <c r="AV76" s="119" t="str">
        <f ca="1">IFERROR(__xludf.DUMMYFUNCTION("""COMPUTED_VALUE"""),"")</f>
        <v/>
      </c>
      <c r="AW76" s="119" t="str">
        <f ca="1">IFERROR(__xludf.DUMMYFUNCTION("""COMPUTED_VALUE"""),"")</f>
        <v/>
      </c>
      <c r="AX76" s="119" t="str">
        <f ca="1">IFERROR(__xludf.DUMMYFUNCTION("""COMPUTED_VALUE"""),"")</f>
        <v/>
      </c>
      <c r="AY76" s="119" t="str">
        <f ca="1">IFERROR(__xludf.DUMMYFUNCTION("""COMPUTED_VALUE"""),"")</f>
        <v/>
      </c>
      <c r="AZ76" s="119" t="str">
        <f ca="1">IFERROR(__xludf.DUMMYFUNCTION("""COMPUTED_VALUE"""),"")</f>
        <v/>
      </c>
      <c r="BA76" s="119" t="str">
        <f ca="1">IFERROR(__xludf.DUMMYFUNCTION("""COMPUTED_VALUE"""),"")</f>
        <v/>
      </c>
      <c r="BB76" s="119" t="str">
        <f ca="1">IFERROR(__xludf.DUMMYFUNCTION("""COMPUTED_VALUE"""),"")</f>
        <v/>
      </c>
      <c r="BC76" s="119" t="str">
        <f ca="1">IFERROR(__xludf.DUMMYFUNCTION("""COMPUTED_VALUE"""),"")</f>
        <v/>
      </c>
      <c r="BD76" s="119" t="str">
        <f ca="1">IFERROR(__xludf.DUMMYFUNCTION("""COMPUTED_VALUE"""),"")</f>
        <v/>
      </c>
      <c r="BE76" s="119" t="str">
        <f ca="1">IFERROR(__xludf.DUMMYFUNCTION("""COMPUTED_VALUE"""),"")</f>
        <v/>
      </c>
      <c r="BF76" s="119" t="str">
        <f ca="1">IFERROR(__xludf.DUMMYFUNCTION("""COMPUTED_VALUE"""),"")</f>
        <v/>
      </c>
      <c r="BG76" s="119" t="str">
        <f ca="1">IFERROR(__xludf.DUMMYFUNCTION("""COMPUTED_VALUE"""),"")</f>
        <v/>
      </c>
      <c r="BH76" s="119" t="str">
        <f ca="1">IFERROR(__xludf.DUMMYFUNCTION("""COMPUTED_VALUE"""),"")</f>
        <v/>
      </c>
      <c r="BI76" s="119" t="str">
        <f ca="1">IFERROR(__xludf.DUMMYFUNCTION("""COMPUTED_VALUE"""),"")</f>
        <v/>
      </c>
      <c r="BJ76" s="119" t="str">
        <f ca="1">IFERROR(__xludf.DUMMYFUNCTION("""COMPUTED_VALUE"""),"")</f>
        <v/>
      </c>
      <c r="BK76" s="119" t="str">
        <f ca="1">IFERROR(__xludf.DUMMYFUNCTION("""COMPUTED_VALUE"""),"")</f>
        <v/>
      </c>
      <c r="BL76" s="119" t="str">
        <f ca="1">IFERROR(__xludf.DUMMYFUNCTION("""COMPUTED_VALUE"""),"")</f>
        <v/>
      </c>
      <c r="BM76" s="119" t="str">
        <f ca="1">IFERROR(__xludf.DUMMYFUNCTION("""COMPUTED_VALUE"""),"")</f>
        <v/>
      </c>
      <c r="BN76" s="119" t="str">
        <f ca="1">IFERROR(__xludf.DUMMYFUNCTION("""COMPUTED_VALUE"""),"")</f>
        <v/>
      </c>
      <c r="BO76" s="119" t="str">
        <f ca="1">IFERROR(__xludf.DUMMYFUNCTION("""COMPUTED_VALUE"""),"")</f>
        <v/>
      </c>
      <c r="BP76" s="119" t="str">
        <f ca="1">IFERROR(__xludf.DUMMYFUNCTION("""COMPUTED_VALUE"""),"")</f>
        <v/>
      </c>
      <c r="BQ76" s="119" t="str">
        <f ca="1">IFERROR(__xludf.DUMMYFUNCTION("""COMPUTED_VALUE"""),"")</f>
        <v/>
      </c>
      <c r="BR76" s="119" t="str">
        <f ca="1">IFERROR(__xludf.DUMMYFUNCTION("""COMPUTED_VALUE"""),"")</f>
        <v/>
      </c>
      <c r="BS76" s="119" t="str">
        <f ca="1">IFERROR(__xludf.DUMMYFUNCTION("""COMPUTED_VALUE"""),"")</f>
        <v/>
      </c>
      <c r="BT76" s="119" t="str">
        <f ca="1">IFERROR(__xludf.DUMMYFUNCTION("""COMPUTED_VALUE"""),"")</f>
        <v/>
      </c>
      <c r="BU76" s="119" t="str">
        <f ca="1">IFERROR(__xludf.DUMMYFUNCTION("""COMPUTED_VALUE"""),"")</f>
        <v/>
      </c>
      <c r="BV76" s="119" t="str">
        <f ca="1">IFERROR(__xludf.DUMMYFUNCTION("""COMPUTED_VALUE"""),"")</f>
        <v/>
      </c>
      <c r="BW76" s="119" t="str">
        <f ca="1">IFERROR(__xludf.DUMMYFUNCTION("""COMPUTED_VALUE"""),"")</f>
        <v/>
      </c>
      <c r="BX76" s="119" t="str">
        <f ca="1">IFERROR(__xludf.DUMMYFUNCTION("""COMPUTED_VALUE"""),"")</f>
        <v/>
      </c>
      <c r="BY76" s="119" t="str">
        <f ca="1">IFERROR(__xludf.DUMMYFUNCTION("""COMPUTED_VALUE"""),"")</f>
        <v/>
      </c>
      <c r="BZ76" s="119" t="str">
        <f ca="1">IFERROR(__xludf.DUMMYFUNCTION("""COMPUTED_VALUE"""),"")</f>
        <v/>
      </c>
      <c r="CA76" s="119" t="str">
        <f ca="1">IFERROR(__xludf.DUMMYFUNCTION("""COMPUTED_VALUE"""),"")</f>
        <v/>
      </c>
      <c r="CB76" s="119" t="str">
        <f ca="1">IFERROR(__xludf.DUMMYFUNCTION("""COMPUTED_VALUE"""),"")</f>
        <v/>
      </c>
      <c r="CC76" s="119" t="str">
        <f ca="1">IFERROR(__xludf.DUMMYFUNCTION("""COMPUTED_VALUE"""),"")</f>
        <v/>
      </c>
      <c r="CD76" s="119" t="str">
        <f ca="1">IFERROR(__xludf.DUMMYFUNCTION("""COMPUTED_VALUE"""),"")</f>
        <v/>
      </c>
      <c r="CE76" s="119" t="str">
        <f ca="1">IFERROR(__xludf.DUMMYFUNCTION("""COMPUTED_VALUE"""),"")</f>
        <v/>
      </c>
      <c r="CF76" s="119" t="str">
        <f ca="1">IFERROR(__xludf.DUMMYFUNCTION("""COMPUTED_VALUE"""),"")</f>
        <v/>
      </c>
      <c r="CG76" s="119" t="str">
        <f ca="1">IFERROR(__xludf.DUMMYFUNCTION("""COMPUTED_VALUE"""),"")</f>
        <v/>
      </c>
      <c r="CH76" s="119" t="str">
        <f ca="1">IFERROR(__xludf.DUMMYFUNCTION("""COMPUTED_VALUE"""),"")</f>
        <v/>
      </c>
      <c r="CI76" s="119" t="str">
        <f ca="1">IFERROR(__xludf.DUMMYFUNCTION("""COMPUTED_VALUE"""),"")</f>
        <v/>
      </c>
      <c r="CJ76" s="119" t="str">
        <f ca="1">IFERROR(__xludf.DUMMYFUNCTION("""COMPUTED_VALUE"""),"")</f>
        <v/>
      </c>
      <c r="CK76" s="119" t="str">
        <f ca="1">IFERROR(__xludf.DUMMYFUNCTION("""COMPUTED_VALUE"""),"")</f>
        <v/>
      </c>
      <c r="CL76" s="119" t="str">
        <f ca="1">IFERROR(__xludf.DUMMYFUNCTION("""COMPUTED_VALUE"""),"")</f>
        <v/>
      </c>
      <c r="CM76" s="119" t="str">
        <f ca="1">IFERROR(__xludf.DUMMYFUNCTION("""COMPUTED_VALUE"""),"")</f>
        <v/>
      </c>
      <c r="CN76" s="119" t="str">
        <f ca="1">IFERROR(__xludf.DUMMYFUNCTION("""COMPUTED_VALUE"""),"")</f>
        <v/>
      </c>
      <c r="CO76" s="119" t="str">
        <f ca="1">IFERROR(__xludf.DUMMYFUNCTION("""COMPUTED_VALUE"""),"")</f>
        <v/>
      </c>
      <c r="CP76" s="119" t="str">
        <f ca="1">IFERROR(__xludf.DUMMYFUNCTION("""COMPUTED_VALUE"""),"")</f>
        <v/>
      </c>
      <c r="CQ76" s="119" t="str">
        <f ca="1">IFERROR(__xludf.DUMMYFUNCTION("""COMPUTED_VALUE"""),"")</f>
        <v/>
      </c>
      <c r="CR76" s="119" t="str">
        <f ca="1">IFERROR(__xludf.DUMMYFUNCTION("""COMPUTED_VALUE"""),"")</f>
        <v/>
      </c>
      <c r="CS76" s="119" t="str">
        <f ca="1">IFERROR(__xludf.DUMMYFUNCTION("""COMPUTED_VALUE"""),"")</f>
        <v/>
      </c>
      <c r="CT76" s="119" t="str">
        <f ca="1">IFERROR(__xludf.DUMMYFUNCTION("""COMPUTED_VALUE"""),"")</f>
        <v/>
      </c>
      <c r="CU76" s="119" t="str">
        <f ca="1">IFERROR(__xludf.DUMMYFUNCTION("""COMPUTED_VALUE"""),"")</f>
        <v/>
      </c>
      <c r="CV76" s="119" t="str">
        <f ca="1">IFERROR(__xludf.DUMMYFUNCTION("""COMPUTED_VALUE"""),"")</f>
        <v/>
      </c>
      <c r="CW76" s="119" t="str">
        <f ca="1">IFERROR(__xludf.DUMMYFUNCTION("""COMPUTED_VALUE"""),"")</f>
        <v/>
      </c>
      <c r="CX76" s="119" t="str">
        <f ca="1">IFERROR(__xludf.DUMMYFUNCTION("""COMPUTED_VALUE"""),"")</f>
        <v/>
      </c>
      <c r="CY76" s="119" t="str">
        <f ca="1">IFERROR(__xludf.DUMMYFUNCTION("""COMPUTED_VALUE"""),"")</f>
        <v/>
      </c>
      <c r="CZ76" s="119" t="str">
        <f ca="1">IFERROR(__xludf.DUMMYFUNCTION("""COMPUTED_VALUE"""),"")</f>
        <v/>
      </c>
      <c r="DA76" s="119" t="str">
        <f ca="1">IFERROR(__xludf.DUMMYFUNCTION("""COMPUTED_VALUE"""),"")</f>
        <v/>
      </c>
      <c r="DB76" s="119" t="str">
        <f ca="1">IFERROR(__xludf.DUMMYFUNCTION("""COMPUTED_VALUE"""),"")</f>
        <v/>
      </c>
      <c r="DC76" s="119" t="str">
        <f ca="1">IFERROR(__xludf.DUMMYFUNCTION("""COMPUTED_VALUE"""),"")</f>
        <v/>
      </c>
      <c r="DD76" s="119" t="str">
        <f ca="1">IFERROR(__xludf.DUMMYFUNCTION("""COMPUTED_VALUE"""),"")</f>
        <v/>
      </c>
      <c r="DE76" s="119" t="str">
        <f ca="1">IFERROR(__xludf.DUMMYFUNCTION("""COMPUTED_VALUE"""),"")</f>
        <v/>
      </c>
      <c r="DF76" s="119" t="str">
        <f ca="1">IFERROR(__xludf.DUMMYFUNCTION("""COMPUTED_VALUE"""),"")</f>
        <v/>
      </c>
      <c r="DG76" s="119" t="str">
        <f ca="1">IFERROR(__xludf.DUMMYFUNCTION("""COMPUTED_VALUE"""),"")</f>
        <v/>
      </c>
      <c r="DH76" s="119" t="str">
        <f ca="1">IFERROR(__xludf.DUMMYFUNCTION("""COMPUTED_VALUE"""),"")</f>
        <v/>
      </c>
      <c r="DI76" s="119" t="str">
        <f ca="1">IFERROR(__xludf.DUMMYFUNCTION("""COMPUTED_VALUE"""),"")</f>
        <v/>
      </c>
      <c r="DJ76" s="119" t="str">
        <f ca="1">IFERROR(__xludf.DUMMYFUNCTION("""COMPUTED_VALUE"""),"")</f>
        <v/>
      </c>
      <c r="DK76" s="119" t="str">
        <f ca="1">IFERROR(__xludf.DUMMYFUNCTION("""COMPUTED_VALUE"""),"")</f>
        <v/>
      </c>
      <c r="DL76" s="119" t="str">
        <f ca="1">IFERROR(__xludf.DUMMYFUNCTION("""COMPUTED_VALUE"""),"")</f>
        <v/>
      </c>
      <c r="DM76" s="119" t="str">
        <f ca="1">IFERROR(__xludf.DUMMYFUNCTION("""COMPUTED_VALUE"""),"")</f>
        <v/>
      </c>
      <c r="DN76" s="119" t="str">
        <f ca="1">IFERROR(__xludf.DUMMYFUNCTION("""COMPUTED_VALUE"""),"")</f>
        <v/>
      </c>
      <c r="DO76" s="119" t="str">
        <f ca="1">IFERROR(__xludf.DUMMYFUNCTION("""COMPUTED_VALUE"""),"")</f>
        <v/>
      </c>
      <c r="DP76" s="119" t="str">
        <f ca="1">IFERROR(__xludf.DUMMYFUNCTION("""COMPUTED_VALUE"""),"")</f>
        <v/>
      </c>
      <c r="DQ76" s="119" t="str">
        <f ca="1">IFERROR(__xludf.DUMMYFUNCTION("""COMPUTED_VALUE"""),"")</f>
        <v/>
      </c>
      <c r="DR76" s="119" t="str">
        <f ca="1">IFERROR(__xludf.DUMMYFUNCTION("""COMPUTED_VALUE"""),"")</f>
        <v/>
      </c>
      <c r="DS76" s="119" t="str">
        <f ca="1">IFERROR(__xludf.DUMMYFUNCTION("""COMPUTED_VALUE"""),"")</f>
        <v/>
      </c>
      <c r="DT76" s="119" t="str">
        <f ca="1">IFERROR(__xludf.DUMMYFUNCTION("""COMPUTED_VALUE"""),"")</f>
        <v/>
      </c>
      <c r="DU76" s="119" t="str">
        <f ca="1">IFERROR(__xludf.DUMMYFUNCTION("""COMPUTED_VALUE"""),"")</f>
        <v/>
      </c>
      <c r="DV76" s="119" t="str">
        <f ca="1">IFERROR(__xludf.DUMMYFUNCTION("""COMPUTED_VALUE"""),"")</f>
        <v/>
      </c>
      <c r="DW76" s="119" t="str">
        <f ca="1">IFERROR(__xludf.DUMMYFUNCTION("""COMPUTED_VALUE"""),"")</f>
        <v/>
      </c>
      <c r="DX76" s="119" t="str">
        <f ca="1">IFERROR(__xludf.DUMMYFUNCTION("""COMPUTED_VALUE"""),"")</f>
        <v/>
      </c>
      <c r="DY76" s="119" t="str">
        <f ca="1">IFERROR(__xludf.DUMMYFUNCTION("""COMPUTED_VALUE"""),"")</f>
        <v/>
      </c>
      <c r="DZ76" s="119" t="str">
        <f ca="1">IFERROR(__xludf.DUMMYFUNCTION("""COMPUTED_VALUE"""),"")</f>
        <v/>
      </c>
      <c r="EA76" s="119" t="str">
        <f ca="1">IFERROR(__xludf.DUMMYFUNCTION("""COMPUTED_VALUE"""),"")</f>
        <v/>
      </c>
      <c r="EB76" s="119" t="str">
        <f ca="1">IFERROR(__xludf.DUMMYFUNCTION("""COMPUTED_VALUE"""),"")</f>
        <v/>
      </c>
      <c r="EC76" s="119" t="str">
        <f ca="1">IFERROR(__xludf.DUMMYFUNCTION("""COMPUTED_VALUE"""),"")</f>
        <v/>
      </c>
      <c r="ED76" s="119" t="str">
        <f ca="1">IFERROR(__xludf.DUMMYFUNCTION("""COMPUTED_VALUE"""),"")</f>
        <v/>
      </c>
      <c r="EE76" s="119" t="str">
        <f ca="1">IFERROR(__xludf.DUMMYFUNCTION("""COMPUTED_VALUE"""),"")</f>
        <v/>
      </c>
      <c r="EF76" s="119" t="str">
        <f ca="1">IFERROR(__xludf.DUMMYFUNCTION("""COMPUTED_VALUE"""),"")</f>
        <v/>
      </c>
      <c r="EG76" s="119" t="str">
        <f ca="1">IFERROR(__xludf.DUMMYFUNCTION("""COMPUTED_VALUE"""),"")</f>
        <v/>
      </c>
      <c r="EH76" s="119" t="str">
        <f ca="1">IFERROR(__xludf.DUMMYFUNCTION("""COMPUTED_VALUE"""),"")</f>
        <v/>
      </c>
      <c r="EI76" s="119" t="str">
        <f ca="1">IFERROR(__xludf.DUMMYFUNCTION("""COMPUTED_VALUE"""),"")</f>
        <v/>
      </c>
      <c r="EJ76" s="119" t="str">
        <f ca="1">IFERROR(__xludf.DUMMYFUNCTION("""COMPUTED_VALUE"""),"")</f>
        <v/>
      </c>
      <c r="EK76" s="119" t="str">
        <f ca="1">IFERROR(__xludf.DUMMYFUNCTION("""COMPUTED_VALUE"""),"")</f>
        <v/>
      </c>
      <c r="EL76" s="119" t="str">
        <f ca="1">IFERROR(__xludf.DUMMYFUNCTION("""COMPUTED_VALUE"""),"")</f>
        <v/>
      </c>
      <c r="EM76" s="119" t="str">
        <f ca="1">IFERROR(__xludf.DUMMYFUNCTION("""COMPUTED_VALUE"""),"")</f>
        <v/>
      </c>
      <c r="EN76" s="119" t="str">
        <f ca="1">IFERROR(__xludf.DUMMYFUNCTION("""COMPUTED_VALUE"""),"")</f>
        <v/>
      </c>
      <c r="EO76" s="119" t="str">
        <f ca="1">IFERROR(__xludf.DUMMYFUNCTION("""COMPUTED_VALUE"""),"")</f>
        <v/>
      </c>
      <c r="EP76" s="119" t="str">
        <f ca="1">IFERROR(__xludf.DUMMYFUNCTION("""COMPUTED_VALUE"""),"")</f>
        <v/>
      </c>
      <c r="EQ76" s="119" t="str">
        <f ca="1">IFERROR(__xludf.DUMMYFUNCTION("""COMPUTED_VALUE"""),"")</f>
        <v/>
      </c>
      <c r="ER76" s="119" t="str">
        <f ca="1">IFERROR(__xludf.DUMMYFUNCTION("""COMPUTED_VALUE"""),"")</f>
        <v/>
      </c>
      <c r="ES76" s="119" t="str">
        <f ca="1">IFERROR(__xludf.DUMMYFUNCTION("""COMPUTED_VALUE"""),"")</f>
        <v/>
      </c>
      <c r="ET76" s="119" t="str">
        <f ca="1">IFERROR(__xludf.DUMMYFUNCTION("""COMPUTED_VALUE"""),"")</f>
        <v/>
      </c>
      <c r="EU76" s="119" t="str">
        <f ca="1">IFERROR(__xludf.DUMMYFUNCTION("""COMPUTED_VALUE"""),"")</f>
        <v/>
      </c>
      <c r="EV76" s="119" t="str">
        <f ca="1">IFERROR(__xludf.DUMMYFUNCTION("""COMPUTED_VALUE"""),"")</f>
        <v/>
      </c>
      <c r="EW76" s="119" t="str">
        <f ca="1">IFERROR(__xludf.DUMMYFUNCTION("""COMPUTED_VALUE"""),"")</f>
        <v/>
      </c>
      <c r="EX76" s="117" t="str">
        <f ca="1">IFERROR(__xludf.DUMMYFUNCTION("""COMPUTED_VALUE"""),"")</f>
        <v/>
      </c>
      <c r="EY76" s="117" t="str">
        <f ca="1">IFERROR(__xludf.DUMMYFUNCTION("""COMPUTED_VALUE"""),"")</f>
        <v/>
      </c>
      <c r="EZ76" s="117" t="str">
        <f ca="1">IFERROR(__xludf.DUMMYFUNCTION("""COMPUTED_VALUE"""),"")</f>
        <v/>
      </c>
      <c r="FA76" s="117" t="str">
        <f ca="1">IFERROR(__xludf.DUMMYFUNCTION("""COMPUTED_VALUE"""),"")</f>
        <v/>
      </c>
      <c r="FB76" s="117" t="str">
        <f ca="1">IFERROR(__xludf.DUMMYFUNCTION("""COMPUTED_VALUE"""),"")</f>
        <v/>
      </c>
      <c r="FC76" s="117" t="str">
        <f ca="1">IFERROR(__xludf.DUMMYFUNCTION("""COMPUTED_VALUE"""),"")</f>
        <v/>
      </c>
      <c r="FD76" s="117" t="str">
        <f ca="1">IFERROR(__xludf.DUMMYFUNCTION("""COMPUTED_VALUE"""),"")</f>
        <v/>
      </c>
      <c r="FE76" s="117" t="str">
        <f ca="1">IFERROR(__xludf.DUMMYFUNCTION("""COMPUTED_VALUE"""),"")</f>
        <v/>
      </c>
      <c r="FF76" s="117" t="str">
        <f ca="1">IFERROR(__xludf.DUMMYFUNCTION("""COMPUTED_VALUE"""),"")</f>
        <v/>
      </c>
      <c r="FG76" s="117" t="str">
        <f ca="1">IFERROR(__xludf.DUMMYFUNCTION("""COMPUTED_VALUE"""),"")</f>
        <v/>
      </c>
      <c r="FH76" s="117" t="str">
        <f ca="1">IFERROR(__xludf.DUMMYFUNCTION("""COMPUTED_VALUE"""),"")</f>
        <v/>
      </c>
      <c r="FI76" s="117" t="str">
        <f ca="1">IFERROR(__xludf.DUMMYFUNCTION("""COMPUTED_VALUE"""),"")</f>
        <v/>
      </c>
      <c r="FJ76" s="117" t="str">
        <f ca="1">IFERROR(__xludf.DUMMYFUNCTION("""COMPUTED_VALUE"""),"")</f>
        <v/>
      </c>
      <c r="FK76" s="117" t="str">
        <f ca="1">IFERROR(__xludf.DUMMYFUNCTION("""COMPUTED_VALUE"""),"")</f>
        <v/>
      </c>
      <c r="FL76" s="117" t="str">
        <f ca="1">IFERROR(__xludf.DUMMYFUNCTION("""COMPUTED_VALUE"""),"")</f>
        <v/>
      </c>
      <c r="FM76" s="117" t="str">
        <f ca="1">IFERROR(__xludf.DUMMYFUNCTION("""COMPUTED_VALUE"""),"")</f>
        <v/>
      </c>
      <c r="FN76" s="117" t="str">
        <f ca="1">IFERROR(__xludf.DUMMYFUNCTION("""COMPUTED_VALUE"""),"")</f>
        <v/>
      </c>
      <c r="FO76" s="117" t="str">
        <f ca="1">IFERROR(__xludf.DUMMYFUNCTION("""COMPUTED_VALUE"""),"")</f>
        <v/>
      </c>
    </row>
    <row r="77" spans="1:171" ht="13" x14ac:dyDescent="0.15">
      <c r="A77" s="115" t="str">
        <f ca="1">IFERROR(__xludf.DUMMYFUNCTION("""COMPUTED_VALUE"""),"")</f>
        <v/>
      </c>
      <c r="B77" s="119" t="str">
        <f ca="1">IFERROR(__xludf.DUMMYFUNCTION("""COMPUTED_VALUE"""),"")</f>
        <v/>
      </c>
      <c r="C77" s="119" t="str">
        <f ca="1">IFERROR(__xludf.DUMMYFUNCTION("""COMPUTED_VALUE"""),"")</f>
        <v/>
      </c>
      <c r="D77" s="119" t="str">
        <f ca="1">IFERROR(__xludf.DUMMYFUNCTION("""COMPUTED_VALUE"""),"")</f>
        <v/>
      </c>
      <c r="E77" s="119" t="str">
        <f ca="1">IFERROR(__xludf.DUMMYFUNCTION("""COMPUTED_VALUE"""),"")</f>
        <v/>
      </c>
      <c r="F77" s="119" t="str">
        <f ca="1">IFERROR(__xludf.DUMMYFUNCTION("""COMPUTED_VALUE"""),"")</f>
        <v/>
      </c>
      <c r="G77" s="119" t="str">
        <f ca="1">IFERROR(__xludf.DUMMYFUNCTION("""COMPUTED_VALUE"""),"")</f>
        <v/>
      </c>
      <c r="H77" s="119" t="str">
        <f ca="1">IFERROR(__xludf.DUMMYFUNCTION("""COMPUTED_VALUE"""),"")</f>
        <v/>
      </c>
      <c r="I77" s="119" t="str">
        <f ca="1">IFERROR(__xludf.DUMMYFUNCTION("""COMPUTED_VALUE"""),"")</f>
        <v/>
      </c>
      <c r="J77" s="119" t="str">
        <f ca="1">IFERROR(__xludf.DUMMYFUNCTION("""COMPUTED_VALUE"""),"")</f>
        <v/>
      </c>
      <c r="K77" s="119" t="str">
        <f ca="1">IFERROR(__xludf.DUMMYFUNCTION("""COMPUTED_VALUE"""),"")</f>
        <v/>
      </c>
      <c r="L77" s="119" t="str">
        <f ca="1">IFERROR(__xludf.DUMMYFUNCTION("""COMPUTED_VALUE"""),"")</f>
        <v/>
      </c>
      <c r="M77" s="119" t="str">
        <f ca="1">IFERROR(__xludf.DUMMYFUNCTION("""COMPUTED_VALUE"""),"")</f>
        <v/>
      </c>
      <c r="N77" s="119" t="str">
        <f ca="1">IFERROR(__xludf.DUMMYFUNCTION("""COMPUTED_VALUE"""),"")</f>
        <v/>
      </c>
      <c r="O77" s="119" t="str">
        <f ca="1">IFERROR(__xludf.DUMMYFUNCTION("""COMPUTED_VALUE"""),"")</f>
        <v/>
      </c>
      <c r="P77" s="119" t="str">
        <f ca="1">IFERROR(__xludf.DUMMYFUNCTION("""COMPUTED_VALUE"""),"")</f>
        <v/>
      </c>
      <c r="Q77" s="119" t="str">
        <f ca="1">IFERROR(__xludf.DUMMYFUNCTION("""COMPUTED_VALUE"""),"")</f>
        <v/>
      </c>
      <c r="R77" s="119" t="str">
        <f ca="1">IFERROR(__xludf.DUMMYFUNCTION("""COMPUTED_VALUE"""),"")</f>
        <v/>
      </c>
      <c r="S77" s="119" t="str">
        <f ca="1">IFERROR(__xludf.DUMMYFUNCTION("""COMPUTED_VALUE"""),"")</f>
        <v/>
      </c>
      <c r="T77" s="119" t="str">
        <f ca="1">IFERROR(__xludf.DUMMYFUNCTION("""COMPUTED_VALUE"""),"")</f>
        <v/>
      </c>
      <c r="U77" s="119" t="str">
        <f ca="1">IFERROR(__xludf.DUMMYFUNCTION("""COMPUTED_VALUE"""),"")</f>
        <v/>
      </c>
      <c r="V77" s="119" t="str">
        <f ca="1">IFERROR(__xludf.DUMMYFUNCTION("""COMPUTED_VALUE"""),"")</f>
        <v/>
      </c>
      <c r="W77" s="119" t="str">
        <f ca="1">IFERROR(__xludf.DUMMYFUNCTION("""COMPUTED_VALUE"""),"")</f>
        <v/>
      </c>
      <c r="X77" s="119" t="str">
        <f ca="1">IFERROR(__xludf.DUMMYFUNCTION("""COMPUTED_VALUE"""),"")</f>
        <v/>
      </c>
      <c r="Y77" s="119" t="str">
        <f ca="1">IFERROR(__xludf.DUMMYFUNCTION("""COMPUTED_VALUE"""),"")</f>
        <v/>
      </c>
      <c r="Z77" s="119" t="str">
        <f ca="1">IFERROR(__xludf.DUMMYFUNCTION("""COMPUTED_VALUE"""),"")</f>
        <v/>
      </c>
      <c r="AA77" s="119" t="str">
        <f ca="1">IFERROR(__xludf.DUMMYFUNCTION("""COMPUTED_VALUE"""),"")</f>
        <v/>
      </c>
      <c r="AB77" s="119" t="str">
        <f ca="1">IFERROR(__xludf.DUMMYFUNCTION("""COMPUTED_VALUE"""),"")</f>
        <v/>
      </c>
      <c r="AC77" s="119" t="str">
        <f ca="1">IFERROR(__xludf.DUMMYFUNCTION("""COMPUTED_VALUE"""),"")</f>
        <v/>
      </c>
      <c r="AD77" s="119" t="str">
        <f ca="1">IFERROR(__xludf.DUMMYFUNCTION("""COMPUTED_VALUE"""),"")</f>
        <v/>
      </c>
      <c r="AE77" s="119" t="str">
        <f ca="1">IFERROR(__xludf.DUMMYFUNCTION("""COMPUTED_VALUE"""),"")</f>
        <v/>
      </c>
      <c r="AF77" s="119" t="str">
        <f ca="1">IFERROR(__xludf.DUMMYFUNCTION("""COMPUTED_VALUE"""),"")</f>
        <v/>
      </c>
      <c r="AG77" s="119" t="str">
        <f ca="1">IFERROR(__xludf.DUMMYFUNCTION("""COMPUTED_VALUE"""),"")</f>
        <v/>
      </c>
      <c r="AH77" s="119" t="str">
        <f ca="1">IFERROR(__xludf.DUMMYFUNCTION("""COMPUTED_VALUE"""),"")</f>
        <v/>
      </c>
      <c r="AI77" s="119" t="str">
        <f ca="1">IFERROR(__xludf.DUMMYFUNCTION("""COMPUTED_VALUE"""),"")</f>
        <v/>
      </c>
      <c r="AJ77" s="119" t="str">
        <f ca="1">IFERROR(__xludf.DUMMYFUNCTION("""COMPUTED_VALUE"""),"")</f>
        <v/>
      </c>
      <c r="AK77" s="119" t="str">
        <f ca="1">IFERROR(__xludf.DUMMYFUNCTION("""COMPUTED_VALUE"""),"")</f>
        <v/>
      </c>
      <c r="AL77" s="119" t="str">
        <f ca="1">IFERROR(__xludf.DUMMYFUNCTION("""COMPUTED_VALUE"""),"")</f>
        <v/>
      </c>
      <c r="AM77" s="119" t="str">
        <f ca="1">IFERROR(__xludf.DUMMYFUNCTION("""COMPUTED_VALUE"""),"")</f>
        <v/>
      </c>
      <c r="AN77" s="119" t="str">
        <f ca="1">IFERROR(__xludf.DUMMYFUNCTION("""COMPUTED_VALUE"""),"")</f>
        <v/>
      </c>
      <c r="AO77" s="119" t="str">
        <f ca="1">IFERROR(__xludf.DUMMYFUNCTION("""COMPUTED_VALUE"""),"")</f>
        <v/>
      </c>
      <c r="AP77" s="119" t="str">
        <f ca="1">IFERROR(__xludf.DUMMYFUNCTION("""COMPUTED_VALUE"""),"")</f>
        <v/>
      </c>
      <c r="AQ77" s="119" t="str">
        <f ca="1">IFERROR(__xludf.DUMMYFUNCTION("""COMPUTED_VALUE"""),"")</f>
        <v/>
      </c>
      <c r="AR77" s="118" t="str">
        <f ca="1">IFERROR(__xludf.DUMMYFUNCTION("""COMPUTED_VALUE"""),"")</f>
        <v/>
      </c>
      <c r="AS77" s="119" t="str">
        <f ca="1">IFERROR(__xludf.DUMMYFUNCTION("""COMPUTED_VALUE"""),"")</f>
        <v/>
      </c>
      <c r="AT77" s="119" t="str">
        <f ca="1">IFERROR(__xludf.DUMMYFUNCTION("""COMPUTED_VALUE"""),"")</f>
        <v/>
      </c>
      <c r="AU77" s="119" t="str">
        <f ca="1">IFERROR(__xludf.DUMMYFUNCTION("""COMPUTED_VALUE"""),"")</f>
        <v/>
      </c>
      <c r="AV77" s="119" t="str">
        <f ca="1">IFERROR(__xludf.DUMMYFUNCTION("""COMPUTED_VALUE"""),"")</f>
        <v/>
      </c>
      <c r="AW77" s="119" t="str">
        <f ca="1">IFERROR(__xludf.DUMMYFUNCTION("""COMPUTED_VALUE"""),"")</f>
        <v/>
      </c>
      <c r="AX77" s="119" t="str">
        <f ca="1">IFERROR(__xludf.DUMMYFUNCTION("""COMPUTED_VALUE"""),"")</f>
        <v/>
      </c>
      <c r="AY77" s="119" t="str">
        <f ca="1">IFERROR(__xludf.DUMMYFUNCTION("""COMPUTED_VALUE"""),"")</f>
        <v/>
      </c>
      <c r="AZ77" s="119" t="str">
        <f ca="1">IFERROR(__xludf.DUMMYFUNCTION("""COMPUTED_VALUE"""),"")</f>
        <v/>
      </c>
      <c r="BA77" s="119" t="str">
        <f ca="1">IFERROR(__xludf.DUMMYFUNCTION("""COMPUTED_VALUE"""),"")</f>
        <v/>
      </c>
      <c r="BB77" s="119" t="str">
        <f ca="1">IFERROR(__xludf.DUMMYFUNCTION("""COMPUTED_VALUE"""),"")</f>
        <v/>
      </c>
      <c r="BC77" s="119" t="str">
        <f ca="1">IFERROR(__xludf.DUMMYFUNCTION("""COMPUTED_VALUE"""),"")</f>
        <v/>
      </c>
      <c r="BD77" s="119" t="str">
        <f ca="1">IFERROR(__xludf.DUMMYFUNCTION("""COMPUTED_VALUE"""),"")</f>
        <v/>
      </c>
      <c r="BE77" s="119" t="str">
        <f ca="1">IFERROR(__xludf.DUMMYFUNCTION("""COMPUTED_VALUE"""),"")</f>
        <v/>
      </c>
      <c r="BF77" s="119" t="str">
        <f ca="1">IFERROR(__xludf.DUMMYFUNCTION("""COMPUTED_VALUE"""),"")</f>
        <v/>
      </c>
      <c r="BG77" s="119" t="str">
        <f ca="1">IFERROR(__xludf.DUMMYFUNCTION("""COMPUTED_VALUE"""),"")</f>
        <v/>
      </c>
      <c r="BH77" s="119" t="str">
        <f ca="1">IFERROR(__xludf.DUMMYFUNCTION("""COMPUTED_VALUE"""),"")</f>
        <v/>
      </c>
      <c r="BI77" s="119" t="str">
        <f ca="1">IFERROR(__xludf.DUMMYFUNCTION("""COMPUTED_VALUE"""),"")</f>
        <v/>
      </c>
      <c r="BJ77" s="119" t="str">
        <f ca="1">IFERROR(__xludf.DUMMYFUNCTION("""COMPUTED_VALUE"""),"")</f>
        <v/>
      </c>
      <c r="BK77" s="119" t="str">
        <f ca="1">IFERROR(__xludf.DUMMYFUNCTION("""COMPUTED_VALUE"""),"")</f>
        <v/>
      </c>
      <c r="BL77" s="119" t="str">
        <f ca="1">IFERROR(__xludf.DUMMYFUNCTION("""COMPUTED_VALUE"""),"")</f>
        <v/>
      </c>
      <c r="BM77" s="119" t="str">
        <f ca="1">IFERROR(__xludf.DUMMYFUNCTION("""COMPUTED_VALUE"""),"")</f>
        <v/>
      </c>
      <c r="BN77" s="119" t="str">
        <f ca="1">IFERROR(__xludf.DUMMYFUNCTION("""COMPUTED_VALUE"""),"")</f>
        <v/>
      </c>
      <c r="BO77" s="119" t="str">
        <f ca="1">IFERROR(__xludf.DUMMYFUNCTION("""COMPUTED_VALUE"""),"")</f>
        <v/>
      </c>
      <c r="BP77" s="119" t="str">
        <f ca="1">IFERROR(__xludf.DUMMYFUNCTION("""COMPUTED_VALUE"""),"")</f>
        <v/>
      </c>
      <c r="BQ77" s="119" t="str">
        <f ca="1">IFERROR(__xludf.DUMMYFUNCTION("""COMPUTED_VALUE"""),"")</f>
        <v/>
      </c>
      <c r="BR77" s="119" t="str">
        <f ca="1">IFERROR(__xludf.DUMMYFUNCTION("""COMPUTED_VALUE"""),"")</f>
        <v/>
      </c>
      <c r="BS77" s="119" t="str">
        <f ca="1">IFERROR(__xludf.DUMMYFUNCTION("""COMPUTED_VALUE"""),"")</f>
        <v/>
      </c>
      <c r="BT77" s="119" t="str">
        <f ca="1">IFERROR(__xludf.DUMMYFUNCTION("""COMPUTED_VALUE"""),"")</f>
        <v/>
      </c>
      <c r="BU77" s="119" t="str">
        <f ca="1">IFERROR(__xludf.DUMMYFUNCTION("""COMPUTED_VALUE"""),"")</f>
        <v/>
      </c>
      <c r="BV77" s="119" t="str">
        <f ca="1">IFERROR(__xludf.DUMMYFUNCTION("""COMPUTED_VALUE"""),"")</f>
        <v/>
      </c>
      <c r="BW77" s="119" t="str">
        <f ca="1">IFERROR(__xludf.DUMMYFUNCTION("""COMPUTED_VALUE"""),"")</f>
        <v/>
      </c>
      <c r="BX77" s="119" t="str">
        <f ca="1">IFERROR(__xludf.DUMMYFUNCTION("""COMPUTED_VALUE"""),"")</f>
        <v/>
      </c>
      <c r="BY77" s="119" t="str">
        <f ca="1">IFERROR(__xludf.DUMMYFUNCTION("""COMPUTED_VALUE"""),"")</f>
        <v/>
      </c>
      <c r="BZ77" s="119" t="str">
        <f ca="1">IFERROR(__xludf.DUMMYFUNCTION("""COMPUTED_VALUE"""),"")</f>
        <v/>
      </c>
      <c r="CA77" s="119" t="str">
        <f ca="1">IFERROR(__xludf.DUMMYFUNCTION("""COMPUTED_VALUE"""),"")</f>
        <v/>
      </c>
      <c r="CB77" s="119" t="str">
        <f ca="1">IFERROR(__xludf.DUMMYFUNCTION("""COMPUTED_VALUE"""),"")</f>
        <v/>
      </c>
      <c r="CC77" s="119" t="str">
        <f ca="1">IFERROR(__xludf.DUMMYFUNCTION("""COMPUTED_VALUE"""),"")</f>
        <v/>
      </c>
      <c r="CD77" s="119" t="str">
        <f ca="1">IFERROR(__xludf.DUMMYFUNCTION("""COMPUTED_VALUE"""),"")</f>
        <v/>
      </c>
      <c r="CE77" s="119" t="str">
        <f ca="1">IFERROR(__xludf.DUMMYFUNCTION("""COMPUTED_VALUE"""),"")</f>
        <v/>
      </c>
      <c r="CF77" s="119" t="str">
        <f ca="1">IFERROR(__xludf.DUMMYFUNCTION("""COMPUTED_VALUE"""),"")</f>
        <v/>
      </c>
      <c r="CG77" s="119" t="str">
        <f ca="1">IFERROR(__xludf.DUMMYFUNCTION("""COMPUTED_VALUE"""),"")</f>
        <v/>
      </c>
      <c r="CH77" s="119" t="str">
        <f ca="1">IFERROR(__xludf.DUMMYFUNCTION("""COMPUTED_VALUE"""),"")</f>
        <v/>
      </c>
      <c r="CI77" s="119" t="str">
        <f ca="1">IFERROR(__xludf.DUMMYFUNCTION("""COMPUTED_VALUE"""),"")</f>
        <v/>
      </c>
      <c r="CJ77" s="119" t="str">
        <f ca="1">IFERROR(__xludf.DUMMYFUNCTION("""COMPUTED_VALUE"""),"")</f>
        <v/>
      </c>
      <c r="CK77" s="119" t="str">
        <f ca="1">IFERROR(__xludf.DUMMYFUNCTION("""COMPUTED_VALUE"""),"")</f>
        <v/>
      </c>
      <c r="CL77" s="119" t="str">
        <f ca="1">IFERROR(__xludf.DUMMYFUNCTION("""COMPUTED_VALUE"""),"")</f>
        <v/>
      </c>
      <c r="CM77" s="119" t="str">
        <f ca="1">IFERROR(__xludf.DUMMYFUNCTION("""COMPUTED_VALUE"""),"")</f>
        <v/>
      </c>
      <c r="CN77" s="119" t="str">
        <f ca="1">IFERROR(__xludf.DUMMYFUNCTION("""COMPUTED_VALUE"""),"")</f>
        <v/>
      </c>
      <c r="CO77" s="119" t="str">
        <f ca="1">IFERROR(__xludf.DUMMYFUNCTION("""COMPUTED_VALUE"""),"")</f>
        <v/>
      </c>
      <c r="CP77" s="119" t="str">
        <f ca="1">IFERROR(__xludf.DUMMYFUNCTION("""COMPUTED_VALUE"""),"")</f>
        <v/>
      </c>
      <c r="CQ77" s="119" t="str">
        <f ca="1">IFERROR(__xludf.DUMMYFUNCTION("""COMPUTED_VALUE"""),"")</f>
        <v/>
      </c>
      <c r="CR77" s="119" t="str">
        <f ca="1">IFERROR(__xludf.DUMMYFUNCTION("""COMPUTED_VALUE"""),"")</f>
        <v/>
      </c>
      <c r="CS77" s="119" t="str">
        <f ca="1">IFERROR(__xludf.DUMMYFUNCTION("""COMPUTED_VALUE"""),"")</f>
        <v/>
      </c>
      <c r="CT77" s="119" t="str">
        <f ca="1">IFERROR(__xludf.DUMMYFUNCTION("""COMPUTED_VALUE"""),"")</f>
        <v/>
      </c>
      <c r="CU77" s="119" t="str">
        <f ca="1">IFERROR(__xludf.DUMMYFUNCTION("""COMPUTED_VALUE"""),"")</f>
        <v/>
      </c>
      <c r="CV77" s="119" t="str">
        <f ca="1">IFERROR(__xludf.DUMMYFUNCTION("""COMPUTED_VALUE"""),"")</f>
        <v/>
      </c>
      <c r="CW77" s="119" t="str">
        <f ca="1">IFERROR(__xludf.DUMMYFUNCTION("""COMPUTED_VALUE"""),"")</f>
        <v/>
      </c>
      <c r="CX77" s="119" t="str">
        <f ca="1">IFERROR(__xludf.DUMMYFUNCTION("""COMPUTED_VALUE"""),"")</f>
        <v/>
      </c>
      <c r="CY77" s="119" t="str">
        <f ca="1">IFERROR(__xludf.DUMMYFUNCTION("""COMPUTED_VALUE"""),"")</f>
        <v/>
      </c>
      <c r="CZ77" s="119" t="str">
        <f ca="1">IFERROR(__xludf.DUMMYFUNCTION("""COMPUTED_VALUE"""),"")</f>
        <v/>
      </c>
      <c r="DA77" s="119" t="str">
        <f ca="1">IFERROR(__xludf.DUMMYFUNCTION("""COMPUTED_VALUE"""),"")</f>
        <v/>
      </c>
      <c r="DB77" s="119" t="str">
        <f ca="1">IFERROR(__xludf.DUMMYFUNCTION("""COMPUTED_VALUE"""),"")</f>
        <v/>
      </c>
      <c r="DC77" s="119" t="str">
        <f ca="1">IFERROR(__xludf.DUMMYFUNCTION("""COMPUTED_VALUE"""),"")</f>
        <v/>
      </c>
      <c r="DD77" s="119" t="str">
        <f ca="1">IFERROR(__xludf.DUMMYFUNCTION("""COMPUTED_VALUE"""),"")</f>
        <v/>
      </c>
      <c r="DE77" s="119" t="str">
        <f ca="1">IFERROR(__xludf.DUMMYFUNCTION("""COMPUTED_VALUE"""),"")</f>
        <v/>
      </c>
      <c r="DF77" s="119" t="str">
        <f ca="1">IFERROR(__xludf.DUMMYFUNCTION("""COMPUTED_VALUE"""),"")</f>
        <v/>
      </c>
      <c r="DG77" s="119" t="str">
        <f ca="1">IFERROR(__xludf.DUMMYFUNCTION("""COMPUTED_VALUE"""),"")</f>
        <v/>
      </c>
      <c r="DH77" s="119" t="str">
        <f ca="1">IFERROR(__xludf.DUMMYFUNCTION("""COMPUTED_VALUE"""),"")</f>
        <v/>
      </c>
      <c r="DI77" s="119" t="str">
        <f ca="1">IFERROR(__xludf.DUMMYFUNCTION("""COMPUTED_VALUE"""),"")</f>
        <v/>
      </c>
      <c r="DJ77" s="119" t="str">
        <f ca="1">IFERROR(__xludf.DUMMYFUNCTION("""COMPUTED_VALUE"""),"")</f>
        <v/>
      </c>
      <c r="DK77" s="119" t="str">
        <f ca="1">IFERROR(__xludf.DUMMYFUNCTION("""COMPUTED_VALUE"""),"")</f>
        <v/>
      </c>
      <c r="DL77" s="119" t="str">
        <f ca="1">IFERROR(__xludf.DUMMYFUNCTION("""COMPUTED_VALUE"""),"")</f>
        <v/>
      </c>
      <c r="DM77" s="119" t="str">
        <f ca="1">IFERROR(__xludf.DUMMYFUNCTION("""COMPUTED_VALUE"""),"")</f>
        <v/>
      </c>
      <c r="DN77" s="119" t="str">
        <f ca="1">IFERROR(__xludf.DUMMYFUNCTION("""COMPUTED_VALUE"""),"")</f>
        <v/>
      </c>
      <c r="DO77" s="119" t="str">
        <f ca="1">IFERROR(__xludf.DUMMYFUNCTION("""COMPUTED_VALUE"""),"")</f>
        <v/>
      </c>
      <c r="DP77" s="119" t="str">
        <f ca="1">IFERROR(__xludf.DUMMYFUNCTION("""COMPUTED_VALUE"""),"")</f>
        <v/>
      </c>
      <c r="DQ77" s="119" t="str">
        <f ca="1">IFERROR(__xludf.DUMMYFUNCTION("""COMPUTED_VALUE"""),"")</f>
        <v/>
      </c>
      <c r="DR77" s="119" t="str">
        <f ca="1">IFERROR(__xludf.DUMMYFUNCTION("""COMPUTED_VALUE"""),"")</f>
        <v/>
      </c>
      <c r="DS77" s="119" t="str">
        <f ca="1">IFERROR(__xludf.DUMMYFUNCTION("""COMPUTED_VALUE"""),"")</f>
        <v/>
      </c>
      <c r="DT77" s="119" t="str">
        <f ca="1">IFERROR(__xludf.DUMMYFUNCTION("""COMPUTED_VALUE"""),"")</f>
        <v/>
      </c>
      <c r="DU77" s="119" t="str">
        <f ca="1">IFERROR(__xludf.DUMMYFUNCTION("""COMPUTED_VALUE"""),"")</f>
        <v/>
      </c>
      <c r="DV77" s="119" t="str">
        <f ca="1">IFERROR(__xludf.DUMMYFUNCTION("""COMPUTED_VALUE"""),"")</f>
        <v/>
      </c>
      <c r="DW77" s="119" t="str">
        <f ca="1">IFERROR(__xludf.DUMMYFUNCTION("""COMPUTED_VALUE"""),"")</f>
        <v/>
      </c>
      <c r="DX77" s="119" t="str">
        <f ca="1">IFERROR(__xludf.DUMMYFUNCTION("""COMPUTED_VALUE"""),"")</f>
        <v/>
      </c>
      <c r="DY77" s="119" t="str">
        <f ca="1">IFERROR(__xludf.DUMMYFUNCTION("""COMPUTED_VALUE"""),"")</f>
        <v/>
      </c>
      <c r="DZ77" s="119" t="str">
        <f ca="1">IFERROR(__xludf.DUMMYFUNCTION("""COMPUTED_VALUE"""),"")</f>
        <v/>
      </c>
      <c r="EA77" s="119" t="str">
        <f ca="1">IFERROR(__xludf.DUMMYFUNCTION("""COMPUTED_VALUE"""),"")</f>
        <v/>
      </c>
      <c r="EB77" s="119" t="str">
        <f ca="1">IFERROR(__xludf.DUMMYFUNCTION("""COMPUTED_VALUE"""),"")</f>
        <v/>
      </c>
      <c r="EC77" s="119" t="str">
        <f ca="1">IFERROR(__xludf.DUMMYFUNCTION("""COMPUTED_VALUE"""),"")</f>
        <v/>
      </c>
      <c r="ED77" s="119" t="str">
        <f ca="1">IFERROR(__xludf.DUMMYFUNCTION("""COMPUTED_VALUE"""),"")</f>
        <v/>
      </c>
      <c r="EE77" s="119" t="str">
        <f ca="1">IFERROR(__xludf.DUMMYFUNCTION("""COMPUTED_VALUE"""),"")</f>
        <v/>
      </c>
      <c r="EF77" s="119" t="str">
        <f ca="1">IFERROR(__xludf.DUMMYFUNCTION("""COMPUTED_VALUE"""),"")</f>
        <v/>
      </c>
      <c r="EG77" s="119" t="str">
        <f ca="1">IFERROR(__xludf.DUMMYFUNCTION("""COMPUTED_VALUE"""),"")</f>
        <v/>
      </c>
      <c r="EH77" s="119" t="str">
        <f ca="1">IFERROR(__xludf.DUMMYFUNCTION("""COMPUTED_VALUE"""),"")</f>
        <v/>
      </c>
      <c r="EI77" s="119" t="str">
        <f ca="1">IFERROR(__xludf.DUMMYFUNCTION("""COMPUTED_VALUE"""),"")</f>
        <v/>
      </c>
      <c r="EJ77" s="119" t="str">
        <f ca="1">IFERROR(__xludf.DUMMYFUNCTION("""COMPUTED_VALUE"""),"")</f>
        <v/>
      </c>
      <c r="EK77" s="119" t="str">
        <f ca="1">IFERROR(__xludf.DUMMYFUNCTION("""COMPUTED_VALUE"""),"")</f>
        <v/>
      </c>
      <c r="EL77" s="119" t="str">
        <f ca="1">IFERROR(__xludf.DUMMYFUNCTION("""COMPUTED_VALUE"""),"")</f>
        <v/>
      </c>
      <c r="EM77" s="119" t="str">
        <f ca="1">IFERROR(__xludf.DUMMYFUNCTION("""COMPUTED_VALUE"""),"")</f>
        <v/>
      </c>
      <c r="EN77" s="119" t="str">
        <f ca="1">IFERROR(__xludf.DUMMYFUNCTION("""COMPUTED_VALUE"""),"")</f>
        <v/>
      </c>
      <c r="EO77" s="119" t="str">
        <f ca="1">IFERROR(__xludf.DUMMYFUNCTION("""COMPUTED_VALUE"""),"")</f>
        <v/>
      </c>
      <c r="EP77" s="119" t="str">
        <f ca="1">IFERROR(__xludf.DUMMYFUNCTION("""COMPUTED_VALUE"""),"")</f>
        <v/>
      </c>
      <c r="EQ77" s="119" t="str">
        <f ca="1">IFERROR(__xludf.DUMMYFUNCTION("""COMPUTED_VALUE"""),"")</f>
        <v/>
      </c>
      <c r="ER77" s="119" t="str">
        <f ca="1">IFERROR(__xludf.DUMMYFUNCTION("""COMPUTED_VALUE"""),"")</f>
        <v/>
      </c>
      <c r="ES77" s="119" t="str">
        <f ca="1">IFERROR(__xludf.DUMMYFUNCTION("""COMPUTED_VALUE"""),"")</f>
        <v/>
      </c>
      <c r="ET77" s="119" t="str">
        <f ca="1">IFERROR(__xludf.DUMMYFUNCTION("""COMPUTED_VALUE"""),"")</f>
        <v/>
      </c>
      <c r="EU77" s="119" t="str">
        <f ca="1">IFERROR(__xludf.DUMMYFUNCTION("""COMPUTED_VALUE"""),"")</f>
        <v/>
      </c>
      <c r="EV77" s="119" t="str">
        <f ca="1">IFERROR(__xludf.DUMMYFUNCTION("""COMPUTED_VALUE"""),"")</f>
        <v/>
      </c>
      <c r="EW77" s="119" t="str">
        <f ca="1">IFERROR(__xludf.DUMMYFUNCTION("""COMPUTED_VALUE"""),"")</f>
        <v/>
      </c>
      <c r="EX77" s="117" t="str">
        <f ca="1">IFERROR(__xludf.DUMMYFUNCTION("""COMPUTED_VALUE"""),"")</f>
        <v/>
      </c>
      <c r="EY77" s="117" t="str">
        <f ca="1">IFERROR(__xludf.DUMMYFUNCTION("""COMPUTED_VALUE"""),"")</f>
        <v/>
      </c>
      <c r="EZ77" s="117" t="str">
        <f ca="1">IFERROR(__xludf.DUMMYFUNCTION("""COMPUTED_VALUE"""),"")</f>
        <v/>
      </c>
      <c r="FA77" s="117" t="str">
        <f ca="1">IFERROR(__xludf.DUMMYFUNCTION("""COMPUTED_VALUE"""),"")</f>
        <v/>
      </c>
      <c r="FB77" s="117" t="str">
        <f ca="1">IFERROR(__xludf.DUMMYFUNCTION("""COMPUTED_VALUE"""),"")</f>
        <v/>
      </c>
      <c r="FC77" s="117" t="str">
        <f ca="1">IFERROR(__xludf.DUMMYFUNCTION("""COMPUTED_VALUE"""),"")</f>
        <v/>
      </c>
      <c r="FD77" s="117" t="str">
        <f ca="1">IFERROR(__xludf.DUMMYFUNCTION("""COMPUTED_VALUE"""),"")</f>
        <v/>
      </c>
      <c r="FE77" s="117" t="str">
        <f ca="1">IFERROR(__xludf.DUMMYFUNCTION("""COMPUTED_VALUE"""),"")</f>
        <v/>
      </c>
      <c r="FF77" s="117" t="str">
        <f ca="1">IFERROR(__xludf.DUMMYFUNCTION("""COMPUTED_VALUE"""),"")</f>
        <v/>
      </c>
      <c r="FG77" s="117" t="str">
        <f ca="1">IFERROR(__xludf.DUMMYFUNCTION("""COMPUTED_VALUE"""),"")</f>
        <v/>
      </c>
      <c r="FH77" s="117" t="str">
        <f ca="1">IFERROR(__xludf.DUMMYFUNCTION("""COMPUTED_VALUE"""),"")</f>
        <v/>
      </c>
      <c r="FI77" s="117" t="str">
        <f ca="1">IFERROR(__xludf.DUMMYFUNCTION("""COMPUTED_VALUE"""),"")</f>
        <v/>
      </c>
      <c r="FJ77" s="117" t="str">
        <f ca="1">IFERROR(__xludf.DUMMYFUNCTION("""COMPUTED_VALUE"""),"")</f>
        <v/>
      </c>
      <c r="FK77" s="117" t="str">
        <f ca="1">IFERROR(__xludf.DUMMYFUNCTION("""COMPUTED_VALUE"""),"")</f>
        <v/>
      </c>
      <c r="FL77" s="117" t="str">
        <f ca="1">IFERROR(__xludf.DUMMYFUNCTION("""COMPUTED_VALUE"""),"")</f>
        <v/>
      </c>
      <c r="FM77" s="117" t="str">
        <f ca="1">IFERROR(__xludf.DUMMYFUNCTION("""COMPUTED_VALUE"""),"")</f>
        <v/>
      </c>
      <c r="FN77" s="117" t="str">
        <f ca="1">IFERROR(__xludf.DUMMYFUNCTION("""COMPUTED_VALUE"""),"")</f>
        <v/>
      </c>
      <c r="FO77" s="117" t="str">
        <f ca="1">IFERROR(__xludf.DUMMYFUNCTION("""COMPUTED_VALUE"""),"")</f>
        <v/>
      </c>
    </row>
    <row r="78" spans="1:171" ht="13" x14ac:dyDescent="0.15">
      <c r="A78" s="115" t="str">
        <f ca="1">IFERROR(__xludf.DUMMYFUNCTION("""COMPUTED_VALUE"""),"")</f>
        <v/>
      </c>
      <c r="B78" s="119" t="str">
        <f ca="1">IFERROR(__xludf.DUMMYFUNCTION("""COMPUTED_VALUE"""),"")</f>
        <v/>
      </c>
      <c r="C78" s="119" t="str">
        <f ca="1">IFERROR(__xludf.DUMMYFUNCTION("""COMPUTED_VALUE"""),"")</f>
        <v/>
      </c>
      <c r="D78" s="119" t="str">
        <f ca="1">IFERROR(__xludf.DUMMYFUNCTION("""COMPUTED_VALUE"""),"")</f>
        <v/>
      </c>
      <c r="E78" s="119" t="str">
        <f ca="1">IFERROR(__xludf.DUMMYFUNCTION("""COMPUTED_VALUE"""),"")</f>
        <v/>
      </c>
      <c r="F78" s="119" t="str">
        <f ca="1">IFERROR(__xludf.DUMMYFUNCTION("""COMPUTED_VALUE"""),"")</f>
        <v/>
      </c>
      <c r="G78" s="119" t="str">
        <f ca="1">IFERROR(__xludf.DUMMYFUNCTION("""COMPUTED_VALUE"""),"")</f>
        <v/>
      </c>
      <c r="H78" s="119" t="str">
        <f ca="1">IFERROR(__xludf.DUMMYFUNCTION("""COMPUTED_VALUE"""),"")</f>
        <v/>
      </c>
      <c r="I78" s="119" t="str">
        <f ca="1">IFERROR(__xludf.DUMMYFUNCTION("""COMPUTED_VALUE"""),"")</f>
        <v/>
      </c>
      <c r="J78" s="119" t="str">
        <f ca="1">IFERROR(__xludf.DUMMYFUNCTION("""COMPUTED_VALUE"""),"")</f>
        <v/>
      </c>
      <c r="K78" s="119" t="str">
        <f ca="1">IFERROR(__xludf.DUMMYFUNCTION("""COMPUTED_VALUE"""),"")</f>
        <v/>
      </c>
      <c r="L78" s="119" t="str">
        <f ca="1">IFERROR(__xludf.DUMMYFUNCTION("""COMPUTED_VALUE"""),"")</f>
        <v/>
      </c>
      <c r="M78" s="119" t="str">
        <f ca="1">IFERROR(__xludf.DUMMYFUNCTION("""COMPUTED_VALUE"""),"")</f>
        <v/>
      </c>
      <c r="N78" s="119" t="str">
        <f ca="1">IFERROR(__xludf.DUMMYFUNCTION("""COMPUTED_VALUE"""),"")</f>
        <v/>
      </c>
      <c r="O78" s="119" t="str">
        <f ca="1">IFERROR(__xludf.DUMMYFUNCTION("""COMPUTED_VALUE"""),"")</f>
        <v/>
      </c>
      <c r="P78" s="119" t="str">
        <f ca="1">IFERROR(__xludf.DUMMYFUNCTION("""COMPUTED_VALUE"""),"")</f>
        <v/>
      </c>
      <c r="Q78" s="119" t="str">
        <f ca="1">IFERROR(__xludf.DUMMYFUNCTION("""COMPUTED_VALUE"""),"")</f>
        <v/>
      </c>
      <c r="R78" s="119" t="str">
        <f ca="1">IFERROR(__xludf.DUMMYFUNCTION("""COMPUTED_VALUE"""),"")</f>
        <v/>
      </c>
      <c r="S78" s="119" t="str">
        <f ca="1">IFERROR(__xludf.DUMMYFUNCTION("""COMPUTED_VALUE"""),"")</f>
        <v/>
      </c>
      <c r="T78" s="119" t="str">
        <f ca="1">IFERROR(__xludf.DUMMYFUNCTION("""COMPUTED_VALUE"""),"")</f>
        <v/>
      </c>
      <c r="U78" s="119" t="str">
        <f ca="1">IFERROR(__xludf.DUMMYFUNCTION("""COMPUTED_VALUE"""),"")</f>
        <v/>
      </c>
      <c r="V78" s="119" t="str">
        <f ca="1">IFERROR(__xludf.DUMMYFUNCTION("""COMPUTED_VALUE"""),"")</f>
        <v/>
      </c>
      <c r="W78" s="119" t="str">
        <f ca="1">IFERROR(__xludf.DUMMYFUNCTION("""COMPUTED_VALUE"""),"")</f>
        <v/>
      </c>
      <c r="X78" s="119" t="str">
        <f ca="1">IFERROR(__xludf.DUMMYFUNCTION("""COMPUTED_VALUE"""),"")</f>
        <v/>
      </c>
      <c r="Y78" s="119" t="str">
        <f ca="1">IFERROR(__xludf.DUMMYFUNCTION("""COMPUTED_VALUE"""),"")</f>
        <v/>
      </c>
      <c r="Z78" s="119" t="str">
        <f ca="1">IFERROR(__xludf.DUMMYFUNCTION("""COMPUTED_VALUE"""),"")</f>
        <v/>
      </c>
      <c r="AA78" s="119" t="str">
        <f ca="1">IFERROR(__xludf.DUMMYFUNCTION("""COMPUTED_VALUE"""),"")</f>
        <v/>
      </c>
      <c r="AB78" s="119" t="str">
        <f ca="1">IFERROR(__xludf.DUMMYFUNCTION("""COMPUTED_VALUE"""),"")</f>
        <v/>
      </c>
      <c r="AC78" s="119" t="str">
        <f ca="1">IFERROR(__xludf.DUMMYFUNCTION("""COMPUTED_VALUE"""),"")</f>
        <v/>
      </c>
      <c r="AD78" s="119" t="str">
        <f ca="1">IFERROR(__xludf.DUMMYFUNCTION("""COMPUTED_VALUE"""),"")</f>
        <v/>
      </c>
      <c r="AE78" s="119" t="str">
        <f ca="1">IFERROR(__xludf.DUMMYFUNCTION("""COMPUTED_VALUE"""),"")</f>
        <v/>
      </c>
      <c r="AF78" s="119" t="str">
        <f ca="1">IFERROR(__xludf.DUMMYFUNCTION("""COMPUTED_VALUE"""),"")</f>
        <v/>
      </c>
      <c r="AG78" s="119" t="str">
        <f ca="1">IFERROR(__xludf.DUMMYFUNCTION("""COMPUTED_VALUE"""),"")</f>
        <v/>
      </c>
      <c r="AH78" s="119" t="str">
        <f ca="1">IFERROR(__xludf.DUMMYFUNCTION("""COMPUTED_VALUE"""),"")</f>
        <v/>
      </c>
      <c r="AI78" s="119" t="str">
        <f ca="1">IFERROR(__xludf.DUMMYFUNCTION("""COMPUTED_VALUE"""),"")</f>
        <v/>
      </c>
      <c r="AJ78" s="119" t="str">
        <f ca="1">IFERROR(__xludf.DUMMYFUNCTION("""COMPUTED_VALUE"""),"")</f>
        <v/>
      </c>
      <c r="AK78" s="119" t="str">
        <f ca="1">IFERROR(__xludf.DUMMYFUNCTION("""COMPUTED_VALUE"""),"")</f>
        <v/>
      </c>
      <c r="AL78" s="119" t="str">
        <f ca="1">IFERROR(__xludf.DUMMYFUNCTION("""COMPUTED_VALUE"""),"")</f>
        <v/>
      </c>
      <c r="AM78" s="119" t="str">
        <f ca="1">IFERROR(__xludf.DUMMYFUNCTION("""COMPUTED_VALUE"""),"")</f>
        <v/>
      </c>
      <c r="AN78" s="119" t="str">
        <f ca="1">IFERROR(__xludf.DUMMYFUNCTION("""COMPUTED_VALUE"""),"")</f>
        <v/>
      </c>
      <c r="AO78" s="119" t="str">
        <f ca="1">IFERROR(__xludf.DUMMYFUNCTION("""COMPUTED_VALUE"""),"")</f>
        <v/>
      </c>
      <c r="AP78" s="119" t="str">
        <f ca="1">IFERROR(__xludf.DUMMYFUNCTION("""COMPUTED_VALUE"""),"")</f>
        <v/>
      </c>
      <c r="AQ78" s="119" t="str">
        <f ca="1">IFERROR(__xludf.DUMMYFUNCTION("""COMPUTED_VALUE"""),"")</f>
        <v/>
      </c>
      <c r="AR78" s="118" t="str">
        <f ca="1">IFERROR(__xludf.DUMMYFUNCTION("""COMPUTED_VALUE"""),"")</f>
        <v/>
      </c>
      <c r="AS78" s="119" t="str">
        <f ca="1">IFERROR(__xludf.DUMMYFUNCTION("""COMPUTED_VALUE"""),"")</f>
        <v/>
      </c>
      <c r="AT78" s="119" t="str">
        <f ca="1">IFERROR(__xludf.DUMMYFUNCTION("""COMPUTED_VALUE"""),"")</f>
        <v/>
      </c>
      <c r="AU78" s="119" t="str">
        <f ca="1">IFERROR(__xludf.DUMMYFUNCTION("""COMPUTED_VALUE"""),"")</f>
        <v/>
      </c>
      <c r="AV78" s="119" t="str">
        <f ca="1">IFERROR(__xludf.DUMMYFUNCTION("""COMPUTED_VALUE"""),"")</f>
        <v/>
      </c>
      <c r="AW78" s="119" t="str">
        <f ca="1">IFERROR(__xludf.DUMMYFUNCTION("""COMPUTED_VALUE"""),"")</f>
        <v/>
      </c>
      <c r="AX78" s="119" t="str">
        <f ca="1">IFERROR(__xludf.DUMMYFUNCTION("""COMPUTED_VALUE"""),"")</f>
        <v/>
      </c>
      <c r="AY78" s="119" t="str">
        <f ca="1">IFERROR(__xludf.DUMMYFUNCTION("""COMPUTED_VALUE"""),"")</f>
        <v/>
      </c>
      <c r="AZ78" s="119" t="str">
        <f ca="1">IFERROR(__xludf.DUMMYFUNCTION("""COMPUTED_VALUE"""),"")</f>
        <v/>
      </c>
      <c r="BA78" s="119" t="str">
        <f ca="1">IFERROR(__xludf.DUMMYFUNCTION("""COMPUTED_VALUE"""),"")</f>
        <v/>
      </c>
      <c r="BB78" s="119" t="str">
        <f ca="1">IFERROR(__xludf.DUMMYFUNCTION("""COMPUTED_VALUE"""),"")</f>
        <v/>
      </c>
      <c r="BC78" s="119" t="str">
        <f ca="1">IFERROR(__xludf.DUMMYFUNCTION("""COMPUTED_VALUE"""),"")</f>
        <v/>
      </c>
      <c r="BD78" s="119" t="str">
        <f ca="1">IFERROR(__xludf.DUMMYFUNCTION("""COMPUTED_VALUE"""),"")</f>
        <v/>
      </c>
      <c r="BE78" s="119" t="str">
        <f ca="1">IFERROR(__xludf.DUMMYFUNCTION("""COMPUTED_VALUE"""),"")</f>
        <v/>
      </c>
      <c r="BF78" s="119" t="str">
        <f ca="1">IFERROR(__xludf.DUMMYFUNCTION("""COMPUTED_VALUE"""),"")</f>
        <v/>
      </c>
      <c r="BG78" s="119" t="str">
        <f ca="1">IFERROR(__xludf.DUMMYFUNCTION("""COMPUTED_VALUE"""),"")</f>
        <v/>
      </c>
      <c r="BH78" s="119" t="str">
        <f ca="1">IFERROR(__xludf.DUMMYFUNCTION("""COMPUTED_VALUE"""),"")</f>
        <v/>
      </c>
      <c r="BI78" s="119" t="str">
        <f ca="1">IFERROR(__xludf.DUMMYFUNCTION("""COMPUTED_VALUE"""),"")</f>
        <v/>
      </c>
      <c r="BJ78" s="119" t="str">
        <f ca="1">IFERROR(__xludf.DUMMYFUNCTION("""COMPUTED_VALUE"""),"")</f>
        <v/>
      </c>
      <c r="BK78" s="119" t="str">
        <f ca="1">IFERROR(__xludf.DUMMYFUNCTION("""COMPUTED_VALUE"""),"")</f>
        <v/>
      </c>
      <c r="BL78" s="119" t="str">
        <f ca="1">IFERROR(__xludf.DUMMYFUNCTION("""COMPUTED_VALUE"""),"")</f>
        <v/>
      </c>
      <c r="BM78" s="119" t="str">
        <f ca="1">IFERROR(__xludf.DUMMYFUNCTION("""COMPUTED_VALUE"""),"")</f>
        <v/>
      </c>
      <c r="BN78" s="119" t="str">
        <f ca="1">IFERROR(__xludf.DUMMYFUNCTION("""COMPUTED_VALUE"""),"")</f>
        <v/>
      </c>
      <c r="BO78" s="119" t="str">
        <f ca="1">IFERROR(__xludf.DUMMYFUNCTION("""COMPUTED_VALUE"""),"")</f>
        <v/>
      </c>
      <c r="BP78" s="119" t="str">
        <f ca="1">IFERROR(__xludf.DUMMYFUNCTION("""COMPUTED_VALUE"""),"")</f>
        <v/>
      </c>
      <c r="BQ78" s="119" t="str">
        <f ca="1">IFERROR(__xludf.DUMMYFUNCTION("""COMPUTED_VALUE"""),"")</f>
        <v/>
      </c>
      <c r="BR78" s="119" t="str">
        <f ca="1">IFERROR(__xludf.DUMMYFUNCTION("""COMPUTED_VALUE"""),"")</f>
        <v/>
      </c>
      <c r="BS78" s="119" t="str">
        <f ca="1">IFERROR(__xludf.DUMMYFUNCTION("""COMPUTED_VALUE"""),"")</f>
        <v/>
      </c>
      <c r="BT78" s="119" t="str">
        <f ca="1">IFERROR(__xludf.DUMMYFUNCTION("""COMPUTED_VALUE"""),"")</f>
        <v/>
      </c>
      <c r="BU78" s="119" t="str">
        <f ca="1">IFERROR(__xludf.DUMMYFUNCTION("""COMPUTED_VALUE"""),"")</f>
        <v/>
      </c>
      <c r="BV78" s="119" t="str">
        <f ca="1">IFERROR(__xludf.DUMMYFUNCTION("""COMPUTED_VALUE"""),"")</f>
        <v/>
      </c>
      <c r="BW78" s="119" t="str">
        <f ca="1">IFERROR(__xludf.DUMMYFUNCTION("""COMPUTED_VALUE"""),"")</f>
        <v/>
      </c>
      <c r="BX78" s="119" t="str">
        <f ca="1">IFERROR(__xludf.DUMMYFUNCTION("""COMPUTED_VALUE"""),"")</f>
        <v/>
      </c>
      <c r="BY78" s="119" t="str">
        <f ca="1">IFERROR(__xludf.DUMMYFUNCTION("""COMPUTED_VALUE"""),"")</f>
        <v/>
      </c>
      <c r="BZ78" s="119" t="str">
        <f ca="1">IFERROR(__xludf.DUMMYFUNCTION("""COMPUTED_VALUE"""),"")</f>
        <v/>
      </c>
      <c r="CA78" s="119" t="str">
        <f ca="1">IFERROR(__xludf.DUMMYFUNCTION("""COMPUTED_VALUE"""),"")</f>
        <v/>
      </c>
      <c r="CB78" s="119" t="str">
        <f ca="1">IFERROR(__xludf.DUMMYFUNCTION("""COMPUTED_VALUE"""),"")</f>
        <v/>
      </c>
      <c r="CC78" s="119" t="str">
        <f ca="1">IFERROR(__xludf.DUMMYFUNCTION("""COMPUTED_VALUE"""),"")</f>
        <v/>
      </c>
      <c r="CD78" s="119" t="str">
        <f ca="1">IFERROR(__xludf.DUMMYFUNCTION("""COMPUTED_VALUE"""),"")</f>
        <v/>
      </c>
      <c r="CE78" s="119" t="str">
        <f ca="1">IFERROR(__xludf.DUMMYFUNCTION("""COMPUTED_VALUE"""),"")</f>
        <v/>
      </c>
      <c r="CF78" s="119" t="str">
        <f ca="1">IFERROR(__xludf.DUMMYFUNCTION("""COMPUTED_VALUE"""),"")</f>
        <v/>
      </c>
      <c r="CG78" s="119" t="str">
        <f ca="1">IFERROR(__xludf.DUMMYFUNCTION("""COMPUTED_VALUE"""),"")</f>
        <v/>
      </c>
      <c r="CH78" s="119" t="str">
        <f ca="1">IFERROR(__xludf.DUMMYFUNCTION("""COMPUTED_VALUE"""),"")</f>
        <v/>
      </c>
      <c r="CI78" s="119" t="str">
        <f ca="1">IFERROR(__xludf.DUMMYFUNCTION("""COMPUTED_VALUE"""),"")</f>
        <v/>
      </c>
      <c r="CJ78" s="119" t="str">
        <f ca="1">IFERROR(__xludf.DUMMYFUNCTION("""COMPUTED_VALUE"""),"")</f>
        <v/>
      </c>
      <c r="CK78" s="119" t="str">
        <f ca="1">IFERROR(__xludf.DUMMYFUNCTION("""COMPUTED_VALUE"""),"")</f>
        <v/>
      </c>
      <c r="CL78" s="119" t="str">
        <f ca="1">IFERROR(__xludf.DUMMYFUNCTION("""COMPUTED_VALUE"""),"")</f>
        <v/>
      </c>
      <c r="CM78" s="119" t="str">
        <f ca="1">IFERROR(__xludf.DUMMYFUNCTION("""COMPUTED_VALUE"""),"")</f>
        <v/>
      </c>
      <c r="CN78" s="119" t="str">
        <f ca="1">IFERROR(__xludf.DUMMYFUNCTION("""COMPUTED_VALUE"""),"")</f>
        <v/>
      </c>
      <c r="CO78" s="119" t="str">
        <f ca="1">IFERROR(__xludf.DUMMYFUNCTION("""COMPUTED_VALUE"""),"")</f>
        <v/>
      </c>
      <c r="CP78" s="119" t="str">
        <f ca="1">IFERROR(__xludf.DUMMYFUNCTION("""COMPUTED_VALUE"""),"")</f>
        <v/>
      </c>
      <c r="CQ78" s="119" t="str">
        <f ca="1">IFERROR(__xludf.DUMMYFUNCTION("""COMPUTED_VALUE"""),"")</f>
        <v/>
      </c>
      <c r="CR78" s="119" t="str">
        <f ca="1">IFERROR(__xludf.DUMMYFUNCTION("""COMPUTED_VALUE"""),"")</f>
        <v/>
      </c>
      <c r="CS78" s="119" t="str">
        <f ca="1">IFERROR(__xludf.DUMMYFUNCTION("""COMPUTED_VALUE"""),"")</f>
        <v/>
      </c>
      <c r="CT78" s="119" t="str">
        <f ca="1">IFERROR(__xludf.DUMMYFUNCTION("""COMPUTED_VALUE"""),"")</f>
        <v/>
      </c>
      <c r="CU78" s="119" t="str">
        <f ca="1">IFERROR(__xludf.DUMMYFUNCTION("""COMPUTED_VALUE"""),"")</f>
        <v/>
      </c>
      <c r="CV78" s="119" t="str">
        <f ca="1">IFERROR(__xludf.DUMMYFUNCTION("""COMPUTED_VALUE"""),"")</f>
        <v/>
      </c>
      <c r="CW78" s="119" t="str">
        <f ca="1">IFERROR(__xludf.DUMMYFUNCTION("""COMPUTED_VALUE"""),"")</f>
        <v/>
      </c>
      <c r="CX78" s="119" t="str">
        <f ca="1">IFERROR(__xludf.DUMMYFUNCTION("""COMPUTED_VALUE"""),"")</f>
        <v/>
      </c>
      <c r="CY78" s="119" t="str">
        <f ca="1">IFERROR(__xludf.DUMMYFUNCTION("""COMPUTED_VALUE"""),"")</f>
        <v/>
      </c>
      <c r="CZ78" s="119" t="str">
        <f ca="1">IFERROR(__xludf.DUMMYFUNCTION("""COMPUTED_VALUE"""),"")</f>
        <v/>
      </c>
      <c r="DA78" s="119" t="str">
        <f ca="1">IFERROR(__xludf.DUMMYFUNCTION("""COMPUTED_VALUE"""),"")</f>
        <v/>
      </c>
      <c r="DB78" s="119" t="str">
        <f ca="1">IFERROR(__xludf.DUMMYFUNCTION("""COMPUTED_VALUE"""),"")</f>
        <v/>
      </c>
      <c r="DC78" s="119" t="str">
        <f ca="1">IFERROR(__xludf.DUMMYFUNCTION("""COMPUTED_VALUE"""),"")</f>
        <v/>
      </c>
      <c r="DD78" s="119" t="str">
        <f ca="1">IFERROR(__xludf.DUMMYFUNCTION("""COMPUTED_VALUE"""),"")</f>
        <v/>
      </c>
      <c r="DE78" s="119" t="str">
        <f ca="1">IFERROR(__xludf.DUMMYFUNCTION("""COMPUTED_VALUE"""),"")</f>
        <v/>
      </c>
      <c r="DF78" s="119" t="str">
        <f ca="1">IFERROR(__xludf.DUMMYFUNCTION("""COMPUTED_VALUE"""),"")</f>
        <v/>
      </c>
      <c r="DG78" s="119" t="str">
        <f ca="1">IFERROR(__xludf.DUMMYFUNCTION("""COMPUTED_VALUE"""),"")</f>
        <v/>
      </c>
      <c r="DH78" s="119" t="str">
        <f ca="1">IFERROR(__xludf.DUMMYFUNCTION("""COMPUTED_VALUE"""),"")</f>
        <v/>
      </c>
      <c r="DI78" s="119" t="str">
        <f ca="1">IFERROR(__xludf.DUMMYFUNCTION("""COMPUTED_VALUE"""),"")</f>
        <v/>
      </c>
      <c r="DJ78" s="119" t="str">
        <f ca="1">IFERROR(__xludf.DUMMYFUNCTION("""COMPUTED_VALUE"""),"")</f>
        <v/>
      </c>
      <c r="DK78" s="119" t="str">
        <f ca="1">IFERROR(__xludf.DUMMYFUNCTION("""COMPUTED_VALUE"""),"")</f>
        <v/>
      </c>
      <c r="DL78" s="119" t="str">
        <f ca="1">IFERROR(__xludf.DUMMYFUNCTION("""COMPUTED_VALUE"""),"")</f>
        <v/>
      </c>
      <c r="DM78" s="119" t="str">
        <f ca="1">IFERROR(__xludf.DUMMYFUNCTION("""COMPUTED_VALUE"""),"")</f>
        <v/>
      </c>
      <c r="DN78" s="119" t="str">
        <f ca="1">IFERROR(__xludf.DUMMYFUNCTION("""COMPUTED_VALUE"""),"")</f>
        <v/>
      </c>
      <c r="DO78" s="119" t="str">
        <f ca="1">IFERROR(__xludf.DUMMYFUNCTION("""COMPUTED_VALUE"""),"")</f>
        <v/>
      </c>
      <c r="DP78" s="119" t="str">
        <f ca="1">IFERROR(__xludf.DUMMYFUNCTION("""COMPUTED_VALUE"""),"")</f>
        <v/>
      </c>
      <c r="DQ78" s="119" t="str">
        <f ca="1">IFERROR(__xludf.DUMMYFUNCTION("""COMPUTED_VALUE"""),"")</f>
        <v/>
      </c>
      <c r="DR78" s="119" t="str">
        <f ca="1">IFERROR(__xludf.DUMMYFUNCTION("""COMPUTED_VALUE"""),"")</f>
        <v/>
      </c>
      <c r="DS78" s="119" t="str">
        <f ca="1">IFERROR(__xludf.DUMMYFUNCTION("""COMPUTED_VALUE"""),"")</f>
        <v/>
      </c>
      <c r="DT78" s="119" t="str">
        <f ca="1">IFERROR(__xludf.DUMMYFUNCTION("""COMPUTED_VALUE"""),"")</f>
        <v/>
      </c>
      <c r="DU78" s="119" t="str">
        <f ca="1">IFERROR(__xludf.DUMMYFUNCTION("""COMPUTED_VALUE"""),"")</f>
        <v/>
      </c>
      <c r="DV78" s="119" t="str">
        <f ca="1">IFERROR(__xludf.DUMMYFUNCTION("""COMPUTED_VALUE"""),"")</f>
        <v/>
      </c>
      <c r="DW78" s="119" t="str">
        <f ca="1">IFERROR(__xludf.DUMMYFUNCTION("""COMPUTED_VALUE"""),"")</f>
        <v/>
      </c>
      <c r="DX78" s="119" t="str">
        <f ca="1">IFERROR(__xludf.DUMMYFUNCTION("""COMPUTED_VALUE"""),"")</f>
        <v/>
      </c>
      <c r="DY78" s="119" t="str">
        <f ca="1">IFERROR(__xludf.DUMMYFUNCTION("""COMPUTED_VALUE"""),"")</f>
        <v/>
      </c>
      <c r="DZ78" s="119" t="str">
        <f ca="1">IFERROR(__xludf.DUMMYFUNCTION("""COMPUTED_VALUE"""),"")</f>
        <v/>
      </c>
      <c r="EA78" s="119" t="str">
        <f ca="1">IFERROR(__xludf.DUMMYFUNCTION("""COMPUTED_VALUE"""),"")</f>
        <v/>
      </c>
      <c r="EB78" s="119" t="str">
        <f ca="1">IFERROR(__xludf.DUMMYFUNCTION("""COMPUTED_VALUE"""),"")</f>
        <v/>
      </c>
      <c r="EC78" s="119" t="str">
        <f ca="1">IFERROR(__xludf.DUMMYFUNCTION("""COMPUTED_VALUE"""),"")</f>
        <v/>
      </c>
      <c r="ED78" s="119" t="str">
        <f ca="1">IFERROR(__xludf.DUMMYFUNCTION("""COMPUTED_VALUE"""),"")</f>
        <v/>
      </c>
      <c r="EE78" s="119" t="str">
        <f ca="1">IFERROR(__xludf.DUMMYFUNCTION("""COMPUTED_VALUE"""),"")</f>
        <v/>
      </c>
      <c r="EF78" s="119" t="str">
        <f ca="1">IFERROR(__xludf.DUMMYFUNCTION("""COMPUTED_VALUE"""),"")</f>
        <v/>
      </c>
      <c r="EG78" s="119" t="str">
        <f ca="1">IFERROR(__xludf.DUMMYFUNCTION("""COMPUTED_VALUE"""),"")</f>
        <v/>
      </c>
      <c r="EH78" s="119" t="str">
        <f ca="1">IFERROR(__xludf.DUMMYFUNCTION("""COMPUTED_VALUE"""),"")</f>
        <v/>
      </c>
      <c r="EI78" s="119" t="str">
        <f ca="1">IFERROR(__xludf.DUMMYFUNCTION("""COMPUTED_VALUE"""),"")</f>
        <v/>
      </c>
      <c r="EJ78" s="119" t="str">
        <f ca="1">IFERROR(__xludf.DUMMYFUNCTION("""COMPUTED_VALUE"""),"")</f>
        <v/>
      </c>
      <c r="EK78" s="119" t="str">
        <f ca="1">IFERROR(__xludf.DUMMYFUNCTION("""COMPUTED_VALUE"""),"")</f>
        <v/>
      </c>
      <c r="EL78" s="119" t="str">
        <f ca="1">IFERROR(__xludf.DUMMYFUNCTION("""COMPUTED_VALUE"""),"")</f>
        <v/>
      </c>
      <c r="EM78" s="119" t="str">
        <f ca="1">IFERROR(__xludf.DUMMYFUNCTION("""COMPUTED_VALUE"""),"")</f>
        <v/>
      </c>
      <c r="EN78" s="119" t="str">
        <f ca="1">IFERROR(__xludf.DUMMYFUNCTION("""COMPUTED_VALUE"""),"")</f>
        <v/>
      </c>
      <c r="EO78" s="119" t="str">
        <f ca="1">IFERROR(__xludf.DUMMYFUNCTION("""COMPUTED_VALUE"""),"")</f>
        <v/>
      </c>
      <c r="EP78" s="119" t="str">
        <f ca="1">IFERROR(__xludf.DUMMYFUNCTION("""COMPUTED_VALUE"""),"")</f>
        <v/>
      </c>
      <c r="EQ78" s="119" t="str">
        <f ca="1">IFERROR(__xludf.DUMMYFUNCTION("""COMPUTED_VALUE"""),"")</f>
        <v/>
      </c>
      <c r="ER78" s="119" t="str">
        <f ca="1">IFERROR(__xludf.DUMMYFUNCTION("""COMPUTED_VALUE"""),"")</f>
        <v/>
      </c>
      <c r="ES78" s="119" t="str">
        <f ca="1">IFERROR(__xludf.DUMMYFUNCTION("""COMPUTED_VALUE"""),"")</f>
        <v/>
      </c>
      <c r="ET78" s="119" t="str">
        <f ca="1">IFERROR(__xludf.DUMMYFUNCTION("""COMPUTED_VALUE"""),"")</f>
        <v/>
      </c>
      <c r="EU78" s="119" t="str">
        <f ca="1">IFERROR(__xludf.DUMMYFUNCTION("""COMPUTED_VALUE"""),"")</f>
        <v/>
      </c>
      <c r="EV78" s="119" t="str">
        <f ca="1">IFERROR(__xludf.DUMMYFUNCTION("""COMPUTED_VALUE"""),"")</f>
        <v/>
      </c>
      <c r="EW78" s="119" t="str">
        <f ca="1">IFERROR(__xludf.DUMMYFUNCTION("""COMPUTED_VALUE"""),"")</f>
        <v/>
      </c>
      <c r="EX78" s="117" t="str">
        <f ca="1">IFERROR(__xludf.DUMMYFUNCTION("""COMPUTED_VALUE"""),"")</f>
        <v/>
      </c>
      <c r="EY78" s="117" t="str">
        <f ca="1">IFERROR(__xludf.DUMMYFUNCTION("""COMPUTED_VALUE"""),"")</f>
        <v/>
      </c>
      <c r="EZ78" s="117" t="str">
        <f ca="1">IFERROR(__xludf.DUMMYFUNCTION("""COMPUTED_VALUE"""),"")</f>
        <v/>
      </c>
      <c r="FA78" s="117" t="str">
        <f ca="1">IFERROR(__xludf.DUMMYFUNCTION("""COMPUTED_VALUE"""),"")</f>
        <v/>
      </c>
      <c r="FB78" s="117" t="str">
        <f ca="1">IFERROR(__xludf.DUMMYFUNCTION("""COMPUTED_VALUE"""),"")</f>
        <v/>
      </c>
      <c r="FC78" s="117" t="str">
        <f ca="1">IFERROR(__xludf.DUMMYFUNCTION("""COMPUTED_VALUE"""),"")</f>
        <v/>
      </c>
      <c r="FD78" s="117" t="str">
        <f ca="1">IFERROR(__xludf.DUMMYFUNCTION("""COMPUTED_VALUE"""),"")</f>
        <v/>
      </c>
      <c r="FE78" s="117" t="str">
        <f ca="1">IFERROR(__xludf.DUMMYFUNCTION("""COMPUTED_VALUE"""),"")</f>
        <v/>
      </c>
      <c r="FF78" s="117" t="str">
        <f ca="1">IFERROR(__xludf.DUMMYFUNCTION("""COMPUTED_VALUE"""),"")</f>
        <v/>
      </c>
      <c r="FG78" s="117" t="str">
        <f ca="1">IFERROR(__xludf.DUMMYFUNCTION("""COMPUTED_VALUE"""),"")</f>
        <v/>
      </c>
      <c r="FH78" s="117" t="str">
        <f ca="1">IFERROR(__xludf.DUMMYFUNCTION("""COMPUTED_VALUE"""),"")</f>
        <v/>
      </c>
      <c r="FI78" s="117" t="str">
        <f ca="1">IFERROR(__xludf.DUMMYFUNCTION("""COMPUTED_VALUE"""),"")</f>
        <v/>
      </c>
      <c r="FJ78" s="117" t="str">
        <f ca="1">IFERROR(__xludf.DUMMYFUNCTION("""COMPUTED_VALUE"""),"")</f>
        <v/>
      </c>
      <c r="FK78" s="117" t="str">
        <f ca="1">IFERROR(__xludf.DUMMYFUNCTION("""COMPUTED_VALUE"""),"")</f>
        <v/>
      </c>
      <c r="FL78" s="117" t="str">
        <f ca="1">IFERROR(__xludf.DUMMYFUNCTION("""COMPUTED_VALUE"""),"")</f>
        <v/>
      </c>
      <c r="FM78" s="117" t="str">
        <f ca="1">IFERROR(__xludf.DUMMYFUNCTION("""COMPUTED_VALUE"""),"")</f>
        <v/>
      </c>
      <c r="FN78" s="117" t="str">
        <f ca="1">IFERROR(__xludf.DUMMYFUNCTION("""COMPUTED_VALUE"""),"")</f>
        <v/>
      </c>
      <c r="FO78" s="117" t="str">
        <f ca="1">IFERROR(__xludf.DUMMYFUNCTION("""COMPUTED_VALUE"""),"")</f>
        <v/>
      </c>
    </row>
    <row r="79" spans="1:171" ht="13" x14ac:dyDescent="0.15">
      <c r="A79" s="115" t="str">
        <f ca="1">IFERROR(__xludf.DUMMYFUNCTION("""COMPUTED_VALUE"""),"")</f>
        <v/>
      </c>
      <c r="B79" s="119" t="str">
        <f ca="1">IFERROR(__xludf.DUMMYFUNCTION("""COMPUTED_VALUE"""),"")</f>
        <v/>
      </c>
      <c r="C79" s="119" t="str">
        <f ca="1">IFERROR(__xludf.DUMMYFUNCTION("""COMPUTED_VALUE"""),"")</f>
        <v/>
      </c>
      <c r="D79" s="119" t="str">
        <f ca="1">IFERROR(__xludf.DUMMYFUNCTION("""COMPUTED_VALUE"""),"")</f>
        <v/>
      </c>
      <c r="E79" s="119" t="str">
        <f ca="1">IFERROR(__xludf.DUMMYFUNCTION("""COMPUTED_VALUE"""),"")</f>
        <v/>
      </c>
      <c r="F79" s="119" t="str">
        <f ca="1">IFERROR(__xludf.DUMMYFUNCTION("""COMPUTED_VALUE"""),"")</f>
        <v/>
      </c>
      <c r="G79" s="119" t="str">
        <f ca="1">IFERROR(__xludf.DUMMYFUNCTION("""COMPUTED_VALUE"""),"")</f>
        <v/>
      </c>
      <c r="H79" s="119" t="str">
        <f ca="1">IFERROR(__xludf.DUMMYFUNCTION("""COMPUTED_VALUE"""),"")</f>
        <v/>
      </c>
      <c r="I79" s="119" t="str">
        <f ca="1">IFERROR(__xludf.DUMMYFUNCTION("""COMPUTED_VALUE"""),"")</f>
        <v/>
      </c>
      <c r="J79" s="119" t="str">
        <f ca="1">IFERROR(__xludf.DUMMYFUNCTION("""COMPUTED_VALUE"""),"")</f>
        <v/>
      </c>
      <c r="K79" s="119" t="str">
        <f ca="1">IFERROR(__xludf.DUMMYFUNCTION("""COMPUTED_VALUE"""),"")</f>
        <v/>
      </c>
      <c r="L79" s="119" t="str">
        <f ca="1">IFERROR(__xludf.DUMMYFUNCTION("""COMPUTED_VALUE"""),"")</f>
        <v/>
      </c>
      <c r="M79" s="119" t="str">
        <f ca="1">IFERROR(__xludf.DUMMYFUNCTION("""COMPUTED_VALUE"""),"")</f>
        <v/>
      </c>
      <c r="N79" s="119" t="str">
        <f ca="1">IFERROR(__xludf.DUMMYFUNCTION("""COMPUTED_VALUE"""),"")</f>
        <v/>
      </c>
      <c r="O79" s="119" t="str">
        <f ca="1">IFERROR(__xludf.DUMMYFUNCTION("""COMPUTED_VALUE"""),"")</f>
        <v/>
      </c>
      <c r="P79" s="119" t="str">
        <f ca="1">IFERROR(__xludf.DUMMYFUNCTION("""COMPUTED_VALUE"""),"")</f>
        <v/>
      </c>
      <c r="Q79" s="119" t="str">
        <f ca="1">IFERROR(__xludf.DUMMYFUNCTION("""COMPUTED_VALUE"""),"")</f>
        <v/>
      </c>
      <c r="R79" s="119" t="str">
        <f ca="1">IFERROR(__xludf.DUMMYFUNCTION("""COMPUTED_VALUE"""),"")</f>
        <v/>
      </c>
      <c r="S79" s="119" t="str">
        <f ca="1">IFERROR(__xludf.DUMMYFUNCTION("""COMPUTED_VALUE"""),"")</f>
        <v/>
      </c>
      <c r="T79" s="119" t="str">
        <f ca="1">IFERROR(__xludf.DUMMYFUNCTION("""COMPUTED_VALUE"""),"")</f>
        <v/>
      </c>
      <c r="U79" s="119" t="str">
        <f ca="1">IFERROR(__xludf.DUMMYFUNCTION("""COMPUTED_VALUE"""),"")</f>
        <v/>
      </c>
      <c r="V79" s="119" t="str">
        <f ca="1">IFERROR(__xludf.DUMMYFUNCTION("""COMPUTED_VALUE"""),"")</f>
        <v/>
      </c>
      <c r="W79" s="119" t="str">
        <f ca="1">IFERROR(__xludf.DUMMYFUNCTION("""COMPUTED_VALUE"""),"")</f>
        <v/>
      </c>
      <c r="X79" s="119" t="str">
        <f ca="1">IFERROR(__xludf.DUMMYFUNCTION("""COMPUTED_VALUE"""),"")</f>
        <v/>
      </c>
      <c r="Y79" s="119" t="str">
        <f ca="1">IFERROR(__xludf.DUMMYFUNCTION("""COMPUTED_VALUE"""),"")</f>
        <v/>
      </c>
      <c r="Z79" s="119" t="str">
        <f ca="1">IFERROR(__xludf.DUMMYFUNCTION("""COMPUTED_VALUE"""),"")</f>
        <v/>
      </c>
      <c r="AA79" s="119" t="str">
        <f ca="1">IFERROR(__xludf.DUMMYFUNCTION("""COMPUTED_VALUE"""),"")</f>
        <v/>
      </c>
      <c r="AB79" s="119" t="str">
        <f ca="1">IFERROR(__xludf.DUMMYFUNCTION("""COMPUTED_VALUE"""),"")</f>
        <v/>
      </c>
      <c r="AC79" s="119" t="str">
        <f ca="1">IFERROR(__xludf.DUMMYFUNCTION("""COMPUTED_VALUE"""),"")</f>
        <v/>
      </c>
      <c r="AD79" s="119" t="str">
        <f ca="1">IFERROR(__xludf.DUMMYFUNCTION("""COMPUTED_VALUE"""),"")</f>
        <v/>
      </c>
      <c r="AE79" s="119" t="str">
        <f ca="1">IFERROR(__xludf.DUMMYFUNCTION("""COMPUTED_VALUE"""),"")</f>
        <v/>
      </c>
      <c r="AF79" s="119" t="str">
        <f ca="1">IFERROR(__xludf.DUMMYFUNCTION("""COMPUTED_VALUE"""),"")</f>
        <v/>
      </c>
      <c r="AG79" s="119" t="str">
        <f ca="1">IFERROR(__xludf.DUMMYFUNCTION("""COMPUTED_VALUE"""),"")</f>
        <v/>
      </c>
      <c r="AH79" s="119" t="str">
        <f ca="1">IFERROR(__xludf.DUMMYFUNCTION("""COMPUTED_VALUE"""),"")</f>
        <v/>
      </c>
      <c r="AI79" s="119" t="str">
        <f ca="1">IFERROR(__xludf.DUMMYFUNCTION("""COMPUTED_VALUE"""),"")</f>
        <v/>
      </c>
      <c r="AJ79" s="119" t="str">
        <f ca="1">IFERROR(__xludf.DUMMYFUNCTION("""COMPUTED_VALUE"""),"")</f>
        <v/>
      </c>
      <c r="AK79" s="119" t="str">
        <f ca="1">IFERROR(__xludf.DUMMYFUNCTION("""COMPUTED_VALUE"""),"")</f>
        <v/>
      </c>
      <c r="AL79" s="119" t="str">
        <f ca="1">IFERROR(__xludf.DUMMYFUNCTION("""COMPUTED_VALUE"""),"")</f>
        <v/>
      </c>
      <c r="AM79" s="119" t="str">
        <f ca="1">IFERROR(__xludf.DUMMYFUNCTION("""COMPUTED_VALUE"""),"")</f>
        <v/>
      </c>
      <c r="AN79" s="119" t="str">
        <f ca="1">IFERROR(__xludf.DUMMYFUNCTION("""COMPUTED_VALUE"""),"")</f>
        <v/>
      </c>
      <c r="AO79" s="119" t="str">
        <f ca="1">IFERROR(__xludf.DUMMYFUNCTION("""COMPUTED_VALUE"""),"")</f>
        <v/>
      </c>
      <c r="AP79" s="119" t="str">
        <f ca="1">IFERROR(__xludf.DUMMYFUNCTION("""COMPUTED_VALUE"""),"")</f>
        <v/>
      </c>
      <c r="AQ79" s="119" t="str">
        <f ca="1">IFERROR(__xludf.DUMMYFUNCTION("""COMPUTED_VALUE"""),"")</f>
        <v/>
      </c>
      <c r="AR79" s="118" t="str">
        <f ca="1">IFERROR(__xludf.DUMMYFUNCTION("""COMPUTED_VALUE"""),"")</f>
        <v/>
      </c>
      <c r="AS79" s="119" t="str">
        <f ca="1">IFERROR(__xludf.DUMMYFUNCTION("""COMPUTED_VALUE"""),"")</f>
        <v/>
      </c>
      <c r="AT79" s="119" t="str">
        <f ca="1">IFERROR(__xludf.DUMMYFUNCTION("""COMPUTED_VALUE"""),"")</f>
        <v/>
      </c>
      <c r="AU79" s="119" t="str">
        <f ca="1">IFERROR(__xludf.DUMMYFUNCTION("""COMPUTED_VALUE"""),"")</f>
        <v/>
      </c>
      <c r="AV79" s="119" t="str">
        <f ca="1">IFERROR(__xludf.DUMMYFUNCTION("""COMPUTED_VALUE"""),"")</f>
        <v/>
      </c>
      <c r="AW79" s="119" t="str">
        <f ca="1">IFERROR(__xludf.DUMMYFUNCTION("""COMPUTED_VALUE"""),"")</f>
        <v/>
      </c>
      <c r="AX79" s="119" t="str">
        <f ca="1">IFERROR(__xludf.DUMMYFUNCTION("""COMPUTED_VALUE"""),"")</f>
        <v/>
      </c>
      <c r="AY79" s="119" t="str">
        <f ca="1">IFERROR(__xludf.DUMMYFUNCTION("""COMPUTED_VALUE"""),"")</f>
        <v/>
      </c>
      <c r="AZ79" s="119" t="str">
        <f ca="1">IFERROR(__xludf.DUMMYFUNCTION("""COMPUTED_VALUE"""),"")</f>
        <v/>
      </c>
      <c r="BA79" s="119" t="str">
        <f ca="1">IFERROR(__xludf.DUMMYFUNCTION("""COMPUTED_VALUE"""),"")</f>
        <v/>
      </c>
      <c r="BB79" s="119" t="str">
        <f ca="1">IFERROR(__xludf.DUMMYFUNCTION("""COMPUTED_VALUE"""),"")</f>
        <v/>
      </c>
      <c r="BC79" s="119" t="str">
        <f ca="1">IFERROR(__xludf.DUMMYFUNCTION("""COMPUTED_VALUE"""),"")</f>
        <v/>
      </c>
      <c r="BD79" s="119" t="str">
        <f ca="1">IFERROR(__xludf.DUMMYFUNCTION("""COMPUTED_VALUE"""),"")</f>
        <v/>
      </c>
      <c r="BE79" s="119" t="str">
        <f ca="1">IFERROR(__xludf.DUMMYFUNCTION("""COMPUTED_VALUE"""),"")</f>
        <v/>
      </c>
      <c r="BF79" s="119" t="str">
        <f ca="1">IFERROR(__xludf.DUMMYFUNCTION("""COMPUTED_VALUE"""),"")</f>
        <v/>
      </c>
      <c r="BG79" s="119" t="str">
        <f ca="1">IFERROR(__xludf.DUMMYFUNCTION("""COMPUTED_VALUE"""),"")</f>
        <v/>
      </c>
      <c r="BH79" s="119" t="str">
        <f ca="1">IFERROR(__xludf.DUMMYFUNCTION("""COMPUTED_VALUE"""),"")</f>
        <v/>
      </c>
      <c r="BI79" s="119" t="str">
        <f ca="1">IFERROR(__xludf.DUMMYFUNCTION("""COMPUTED_VALUE"""),"")</f>
        <v/>
      </c>
      <c r="BJ79" s="119" t="str">
        <f ca="1">IFERROR(__xludf.DUMMYFUNCTION("""COMPUTED_VALUE"""),"")</f>
        <v/>
      </c>
      <c r="BK79" s="119" t="str">
        <f ca="1">IFERROR(__xludf.DUMMYFUNCTION("""COMPUTED_VALUE"""),"")</f>
        <v/>
      </c>
      <c r="BL79" s="119" t="str">
        <f ca="1">IFERROR(__xludf.DUMMYFUNCTION("""COMPUTED_VALUE"""),"")</f>
        <v/>
      </c>
      <c r="BM79" s="119" t="str">
        <f ca="1">IFERROR(__xludf.DUMMYFUNCTION("""COMPUTED_VALUE"""),"")</f>
        <v/>
      </c>
      <c r="BN79" s="119" t="str">
        <f ca="1">IFERROR(__xludf.DUMMYFUNCTION("""COMPUTED_VALUE"""),"")</f>
        <v/>
      </c>
      <c r="BO79" s="119" t="str">
        <f ca="1">IFERROR(__xludf.DUMMYFUNCTION("""COMPUTED_VALUE"""),"")</f>
        <v/>
      </c>
      <c r="BP79" s="119" t="str">
        <f ca="1">IFERROR(__xludf.DUMMYFUNCTION("""COMPUTED_VALUE"""),"")</f>
        <v/>
      </c>
      <c r="BQ79" s="119" t="str">
        <f ca="1">IFERROR(__xludf.DUMMYFUNCTION("""COMPUTED_VALUE"""),"")</f>
        <v/>
      </c>
      <c r="BR79" s="119" t="str">
        <f ca="1">IFERROR(__xludf.DUMMYFUNCTION("""COMPUTED_VALUE"""),"")</f>
        <v/>
      </c>
      <c r="BS79" s="119" t="str">
        <f ca="1">IFERROR(__xludf.DUMMYFUNCTION("""COMPUTED_VALUE"""),"")</f>
        <v/>
      </c>
      <c r="BT79" s="119" t="str">
        <f ca="1">IFERROR(__xludf.DUMMYFUNCTION("""COMPUTED_VALUE"""),"")</f>
        <v/>
      </c>
      <c r="BU79" s="119" t="str">
        <f ca="1">IFERROR(__xludf.DUMMYFUNCTION("""COMPUTED_VALUE"""),"")</f>
        <v/>
      </c>
      <c r="BV79" s="119" t="str">
        <f ca="1">IFERROR(__xludf.DUMMYFUNCTION("""COMPUTED_VALUE"""),"")</f>
        <v/>
      </c>
      <c r="BW79" s="119" t="str">
        <f ca="1">IFERROR(__xludf.DUMMYFUNCTION("""COMPUTED_VALUE"""),"")</f>
        <v/>
      </c>
      <c r="BX79" s="119" t="str">
        <f ca="1">IFERROR(__xludf.DUMMYFUNCTION("""COMPUTED_VALUE"""),"")</f>
        <v/>
      </c>
      <c r="BY79" s="119" t="str">
        <f ca="1">IFERROR(__xludf.DUMMYFUNCTION("""COMPUTED_VALUE"""),"")</f>
        <v/>
      </c>
      <c r="BZ79" s="119" t="str">
        <f ca="1">IFERROR(__xludf.DUMMYFUNCTION("""COMPUTED_VALUE"""),"")</f>
        <v/>
      </c>
      <c r="CA79" s="119" t="str">
        <f ca="1">IFERROR(__xludf.DUMMYFUNCTION("""COMPUTED_VALUE"""),"")</f>
        <v/>
      </c>
      <c r="CB79" s="119" t="str">
        <f ca="1">IFERROR(__xludf.DUMMYFUNCTION("""COMPUTED_VALUE"""),"")</f>
        <v/>
      </c>
      <c r="CC79" s="119" t="str">
        <f ca="1">IFERROR(__xludf.DUMMYFUNCTION("""COMPUTED_VALUE"""),"")</f>
        <v/>
      </c>
      <c r="CD79" s="119" t="str">
        <f ca="1">IFERROR(__xludf.DUMMYFUNCTION("""COMPUTED_VALUE"""),"")</f>
        <v/>
      </c>
      <c r="CE79" s="119" t="str">
        <f ca="1">IFERROR(__xludf.DUMMYFUNCTION("""COMPUTED_VALUE"""),"")</f>
        <v/>
      </c>
      <c r="CF79" s="119" t="str">
        <f ca="1">IFERROR(__xludf.DUMMYFUNCTION("""COMPUTED_VALUE"""),"")</f>
        <v/>
      </c>
      <c r="CG79" s="119" t="str">
        <f ca="1">IFERROR(__xludf.DUMMYFUNCTION("""COMPUTED_VALUE"""),"")</f>
        <v/>
      </c>
      <c r="CH79" s="119" t="str">
        <f ca="1">IFERROR(__xludf.DUMMYFUNCTION("""COMPUTED_VALUE"""),"")</f>
        <v/>
      </c>
      <c r="CI79" s="119" t="str">
        <f ca="1">IFERROR(__xludf.DUMMYFUNCTION("""COMPUTED_VALUE"""),"")</f>
        <v/>
      </c>
      <c r="CJ79" s="119" t="str">
        <f ca="1">IFERROR(__xludf.DUMMYFUNCTION("""COMPUTED_VALUE"""),"")</f>
        <v/>
      </c>
      <c r="CK79" s="119" t="str">
        <f ca="1">IFERROR(__xludf.DUMMYFUNCTION("""COMPUTED_VALUE"""),"")</f>
        <v/>
      </c>
      <c r="CL79" s="119" t="str">
        <f ca="1">IFERROR(__xludf.DUMMYFUNCTION("""COMPUTED_VALUE"""),"")</f>
        <v/>
      </c>
      <c r="CM79" s="119" t="str">
        <f ca="1">IFERROR(__xludf.DUMMYFUNCTION("""COMPUTED_VALUE"""),"")</f>
        <v/>
      </c>
      <c r="CN79" s="119" t="str">
        <f ca="1">IFERROR(__xludf.DUMMYFUNCTION("""COMPUTED_VALUE"""),"")</f>
        <v/>
      </c>
      <c r="CO79" s="119" t="str">
        <f ca="1">IFERROR(__xludf.DUMMYFUNCTION("""COMPUTED_VALUE"""),"")</f>
        <v/>
      </c>
      <c r="CP79" s="119" t="str">
        <f ca="1">IFERROR(__xludf.DUMMYFUNCTION("""COMPUTED_VALUE"""),"")</f>
        <v/>
      </c>
      <c r="CQ79" s="119" t="str">
        <f ca="1">IFERROR(__xludf.DUMMYFUNCTION("""COMPUTED_VALUE"""),"")</f>
        <v/>
      </c>
      <c r="CR79" s="119" t="str">
        <f ca="1">IFERROR(__xludf.DUMMYFUNCTION("""COMPUTED_VALUE"""),"")</f>
        <v/>
      </c>
      <c r="CS79" s="119" t="str">
        <f ca="1">IFERROR(__xludf.DUMMYFUNCTION("""COMPUTED_VALUE"""),"")</f>
        <v/>
      </c>
      <c r="CT79" s="119" t="str">
        <f ca="1">IFERROR(__xludf.DUMMYFUNCTION("""COMPUTED_VALUE"""),"")</f>
        <v/>
      </c>
      <c r="CU79" s="119" t="str">
        <f ca="1">IFERROR(__xludf.DUMMYFUNCTION("""COMPUTED_VALUE"""),"")</f>
        <v/>
      </c>
      <c r="CV79" s="119" t="str">
        <f ca="1">IFERROR(__xludf.DUMMYFUNCTION("""COMPUTED_VALUE"""),"")</f>
        <v/>
      </c>
      <c r="CW79" s="119" t="str">
        <f ca="1">IFERROR(__xludf.DUMMYFUNCTION("""COMPUTED_VALUE"""),"")</f>
        <v/>
      </c>
      <c r="CX79" s="119" t="str">
        <f ca="1">IFERROR(__xludf.DUMMYFUNCTION("""COMPUTED_VALUE"""),"")</f>
        <v/>
      </c>
      <c r="CY79" s="119" t="str">
        <f ca="1">IFERROR(__xludf.DUMMYFUNCTION("""COMPUTED_VALUE"""),"")</f>
        <v/>
      </c>
      <c r="CZ79" s="119" t="str">
        <f ca="1">IFERROR(__xludf.DUMMYFUNCTION("""COMPUTED_VALUE"""),"")</f>
        <v/>
      </c>
      <c r="DA79" s="119" t="str">
        <f ca="1">IFERROR(__xludf.DUMMYFUNCTION("""COMPUTED_VALUE"""),"")</f>
        <v/>
      </c>
      <c r="DB79" s="119" t="str">
        <f ca="1">IFERROR(__xludf.DUMMYFUNCTION("""COMPUTED_VALUE"""),"")</f>
        <v/>
      </c>
      <c r="DC79" s="119" t="str">
        <f ca="1">IFERROR(__xludf.DUMMYFUNCTION("""COMPUTED_VALUE"""),"")</f>
        <v/>
      </c>
      <c r="DD79" s="119" t="str">
        <f ca="1">IFERROR(__xludf.DUMMYFUNCTION("""COMPUTED_VALUE"""),"")</f>
        <v/>
      </c>
      <c r="DE79" s="119" t="str">
        <f ca="1">IFERROR(__xludf.DUMMYFUNCTION("""COMPUTED_VALUE"""),"")</f>
        <v/>
      </c>
      <c r="DF79" s="119" t="str">
        <f ca="1">IFERROR(__xludf.DUMMYFUNCTION("""COMPUTED_VALUE"""),"")</f>
        <v/>
      </c>
      <c r="DG79" s="119" t="str">
        <f ca="1">IFERROR(__xludf.DUMMYFUNCTION("""COMPUTED_VALUE"""),"")</f>
        <v/>
      </c>
      <c r="DH79" s="119" t="str">
        <f ca="1">IFERROR(__xludf.DUMMYFUNCTION("""COMPUTED_VALUE"""),"")</f>
        <v/>
      </c>
      <c r="DI79" s="119" t="str">
        <f ca="1">IFERROR(__xludf.DUMMYFUNCTION("""COMPUTED_VALUE"""),"")</f>
        <v/>
      </c>
      <c r="DJ79" s="119" t="str">
        <f ca="1">IFERROR(__xludf.DUMMYFUNCTION("""COMPUTED_VALUE"""),"")</f>
        <v/>
      </c>
      <c r="DK79" s="119" t="str">
        <f ca="1">IFERROR(__xludf.DUMMYFUNCTION("""COMPUTED_VALUE"""),"")</f>
        <v/>
      </c>
      <c r="DL79" s="119" t="str">
        <f ca="1">IFERROR(__xludf.DUMMYFUNCTION("""COMPUTED_VALUE"""),"")</f>
        <v/>
      </c>
      <c r="DM79" s="119" t="str">
        <f ca="1">IFERROR(__xludf.DUMMYFUNCTION("""COMPUTED_VALUE"""),"")</f>
        <v/>
      </c>
      <c r="DN79" s="119" t="str">
        <f ca="1">IFERROR(__xludf.DUMMYFUNCTION("""COMPUTED_VALUE"""),"")</f>
        <v/>
      </c>
      <c r="DO79" s="119" t="str">
        <f ca="1">IFERROR(__xludf.DUMMYFUNCTION("""COMPUTED_VALUE"""),"")</f>
        <v/>
      </c>
      <c r="DP79" s="119" t="str">
        <f ca="1">IFERROR(__xludf.DUMMYFUNCTION("""COMPUTED_VALUE"""),"")</f>
        <v/>
      </c>
      <c r="DQ79" s="119" t="str">
        <f ca="1">IFERROR(__xludf.DUMMYFUNCTION("""COMPUTED_VALUE"""),"")</f>
        <v/>
      </c>
      <c r="DR79" s="119" t="str">
        <f ca="1">IFERROR(__xludf.DUMMYFUNCTION("""COMPUTED_VALUE"""),"")</f>
        <v/>
      </c>
      <c r="DS79" s="119" t="str">
        <f ca="1">IFERROR(__xludf.DUMMYFUNCTION("""COMPUTED_VALUE"""),"")</f>
        <v/>
      </c>
      <c r="DT79" s="119" t="str">
        <f ca="1">IFERROR(__xludf.DUMMYFUNCTION("""COMPUTED_VALUE"""),"")</f>
        <v/>
      </c>
      <c r="DU79" s="119" t="str">
        <f ca="1">IFERROR(__xludf.DUMMYFUNCTION("""COMPUTED_VALUE"""),"")</f>
        <v/>
      </c>
      <c r="DV79" s="119" t="str">
        <f ca="1">IFERROR(__xludf.DUMMYFUNCTION("""COMPUTED_VALUE"""),"")</f>
        <v/>
      </c>
      <c r="DW79" s="119" t="str">
        <f ca="1">IFERROR(__xludf.DUMMYFUNCTION("""COMPUTED_VALUE"""),"")</f>
        <v/>
      </c>
      <c r="DX79" s="119" t="str">
        <f ca="1">IFERROR(__xludf.DUMMYFUNCTION("""COMPUTED_VALUE"""),"")</f>
        <v/>
      </c>
      <c r="DY79" s="119" t="str">
        <f ca="1">IFERROR(__xludf.DUMMYFUNCTION("""COMPUTED_VALUE"""),"")</f>
        <v/>
      </c>
      <c r="DZ79" s="119" t="str">
        <f ca="1">IFERROR(__xludf.DUMMYFUNCTION("""COMPUTED_VALUE"""),"")</f>
        <v/>
      </c>
      <c r="EA79" s="119" t="str">
        <f ca="1">IFERROR(__xludf.DUMMYFUNCTION("""COMPUTED_VALUE"""),"")</f>
        <v/>
      </c>
      <c r="EB79" s="119" t="str">
        <f ca="1">IFERROR(__xludf.DUMMYFUNCTION("""COMPUTED_VALUE"""),"")</f>
        <v/>
      </c>
      <c r="EC79" s="119" t="str">
        <f ca="1">IFERROR(__xludf.DUMMYFUNCTION("""COMPUTED_VALUE"""),"")</f>
        <v/>
      </c>
      <c r="ED79" s="119" t="str">
        <f ca="1">IFERROR(__xludf.DUMMYFUNCTION("""COMPUTED_VALUE"""),"")</f>
        <v/>
      </c>
      <c r="EE79" s="119" t="str">
        <f ca="1">IFERROR(__xludf.DUMMYFUNCTION("""COMPUTED_VALUE"""),"")</f>
        <v/>
      </c>
      <c r="EF79" s="119" t="str">
        <f ca="1">IFERROR(__xludf.DUMMYFUNCTION("""COMPUTED_VALUE"""),"")</f>
        <v/>
      </c>
      <c r="EG79" s="119" t="str">
        <f ca="1">IFERROR(__xludf.DUMMYFUNCTION("""COMPUTED_VALUE"""),"")</f>
        <v/>
      </c>
      <c r="EH79" s="119" t="str">
        <f ca="1">IFERROR(__xludf.DUMMYFUNCTION("""COMPUTED_VALUE"""),"")</f>
        <v/>
      </c>
      <c r="EI79" s="119" t="str">
        <f ca="1">IFERROR(__xludf.DUMMYFUNCTION("""COMPUTED_VALUE"""),"")</f>
        <v/>
      </c>
      <c r="EJ79" s="119" t="str">
        <f ca="1">IFERROR(__xludf.DUMMYFUNCTION("""COMPUTED_VALUE"""),"")</f>
        <v/>
      </c>
      <c r="EK79" s="119" t="str">
        <f ca="1">IFERROR(__xludf.DUMMYFUNCTION("""COMPUTED_VALUE"""),"")</f>
        <v/>
      </c>
      <c r="EL79" s="119" t="str">
        <f ca="1">IFERROR(__xludf.DUMMYFUNCTION("""COMPUTED_VALUE"""),"")</f>
        <v/>
      </c>
      <c r="EM79" s="119" t="str">
        <f ca="1">IFERROR(__xludf.DUMMYFUNCTION("""COMPUTED_VALUE"""),"")</f>
        <v/>
      </c>
      <c r="EN79" s="119" t="str">
        <f ca="1">IFERROR(__xludf.DUMMYFUNCTION("""COMPUTED_VALUE"""),"")</f>
        <v/>
      </c>
      <c r="EO79" s="119" t="str">
        <f ca="1">IFERROR(__xludf.DUMMYFUNCTION("""COMPUTED_VALUE"""),"")</f>
        <v/>
      </c>
      <c r="EP79" s="119" t="str">
        <f ca="1">IFERROR(__xludf.DUMMYFUNCTION("""COMPUTED_VALUE"""),"")</f>
        <v/>
      </c>
      <c r="EQ79" s="119" t="str">
        <f ca="1">IFERROR(__xludf.DUMMYFUNCTION("""COMPUTED_VALUE"""),"")</f>
        <v/>
      </c>
      <c r="ER79" s="119" t="str">
        <f ca="1">IFERROR(__xludf.DUMMYFUNCTION("""COMPUTED_VALUE"""),"")</f>
        <v/>
      </c>
      <c r="ES79" s="119" t="str">
        <f ca="1">IFERROR(__xludf.DUMMYFUNCTION("""COMPUTED_VALUE"""),"")</f>
        <v/>
      </c>
      <c r="ET79" s="119" t="str">
        <f ca="1">IFERROR(__xludf.DUMMYFUNCTION("""COMPUTED_VALUE"""),"")</f>
        <v/>
      </c>
      <c r="EU79" s="119" t="str">
        <f ca="1">IFERROR(__xludf.DUMMYFUNCTION("""COMPUTED_VALUE"""),"")</f>
        <v/>
      </c>
      <c r="EV79" s="119" t="str">
        <f ca="1">IFERROR(__xludf.DUMMYFUNCTION("""COMPUTED_VALUE"""),"")</f>
        <v/>
      </c>
      <c r="EW79" s="119" t="str">
        <f ca="1">IFERROR(__xludf.DUMMYFUNCTION("""COMPUTED_VALUE"""),"")</f>
        <v/>
      </c>
      <c r="EX79" s="117" t="str">
        <f ca="1">IFERROR(__xludf.DUMMYFUNCTION("""COMPUTED_VALUE"""),"")</f>
        <v/>
      </c>
      <c r="EY79" s="117" t="str">
        <f ca="1">IFERROR(__xludf.DUMMYFUNCTION("""COMPUTED_VALUE"""),"")</f>
        <v/>
      </c>
      <c r="EZ79" s="117" t="str">
        <f ca="1">IFERROR(__xludf.DUMMYFUNCTION("""COMPUTED_VALUE"""),"")</f>
        <v/>
      </c>
      <c r="FA79" s="117" t="str">
        <f ca="1">IFERROR(__xludf.DUMMYFUNCTION("""COMPUTED_VALUE"""),"")</f>
        <v/>
      </c>
      <c r="FB79" s="117" t="str">
        <f ca="1">IFERROR(__xludf.DUMMYFUNCTION("""COMPUTED_VALUE"""),"")</f>
        <v/>
      </c>
      <c r="FC79" s="117" t="str">
        <f ca="1">IFERROR(__xludf.DUMMYFUNCTION("""COMPUTED_VALUE"""),"")</f>
        <v/>
      </c>
      <c r="FD79" s="117" t="str">
        <f ca="1">IFERROR(__xludf.DUMMYFUNCTION("""COMPUTED_VALUE"""),"")</f>
        <v/>
      </c>
      <c r="FE79" s="117" t="str">
        <f ca="1">IFERROR(__xludf.DUMMYFUNCTION("""COMPUTED_VALUE"""),"")</f>
        <v/>
      </c>
      <c r="FF79" s="117" t="str">
        <f ca="1">IFERROR(__xludf.DUMMYFUNCTION("""COMPUTED_VALUE"""),"")</f>
        <v/>
      </c>
      <c r="FG79" s="117" t="str">
        <f ca="1">IFERROR(__xludf.DUMMYFUNCTION("""COMPUTED_VALUE"""),"")</f>
        <v/>
      </c>
      <c r="FH79" s="117" t="str">
        <f ca="1">IFERROR(__xludf.DUMMYFUNCTION("""COMPUTED_VALUE"""),"")</f>
        <v/>
      </c>
      <c r="FI79" s="117" t="str">
        <f ca="1">IFERROR(__xludf.DUMMYFUNCTION("""COMPUTED_VALUE"""),"")</f>
        <v/>
      </c>
      <c r="FJ79" s="117" t="str">
        <f ca="1">IFERROR(__xludf.DUMMYFUNCTION("""COMPUTED_VALUE"""),"")</f>
        <v/>
      </c>
      <c r="FK79" s="117" t="str">
        <f ca="1">IFERROR(__xludf.DUMMYFUNCTION("""COMPUTED_VALUE"""),"")</f>
        <v/>
      </c>
      <c r="FL79" s="117" t="str">
        <f ca="1">IFERROR(__xludf.DUMMYFUNCTION("""COMPUTED_VALUE"""),"")</f>
        <v/>
      </c>
      <c r="FM79" s="117" t="str">
        <f ca="1">IFERROR(__xludf.DUMMYFUNCTION("""COMPUTED_VALUE"""),"")</f>
        <v/>
      </c>
      <c r="FN79" s="117" t="str">
        <f ca="1">IFERROR(__xludf.DUMMYFUNCTION("""COMPUTED_VALUE"""),"")</f>
        <v/>
      </c>
      <c r="FO79" s="117" t="str">
        <f ca="1">IFERROR(__xludf.DUMMYFUNCTION("""COMPUTED_VALUE"""),"")</f>
        <v/>
      </c>
    </row>
    <row r="80" spans="1:171" ht="13" x14ac:dyDescent="0.15">
      <c r="A80" s="115" t="str">
        <f ca="1">IFERROR(__xludf.DUMMYFUNCTION("""COMPUTED_VALUE"""),"")</f>
        <v/>
      </c>
      <c r="B80" s="119" t="str">
        <f ca="1">IFERROR(__xludf.DUMMYFUNCTION("""COMPUTED_VALUE"""),"")</f>
        <v/>
      </c>
      <c r="C80" s="119" t="str">
        <f ca="1">IFERROR(__xludf.DUMMYFUNCTION("""COMPUTED_VALUE"""),"")</f>
        <v/>
      </c>
      <c r="D80" s="119" t="str">
        <f ca="1">IFERROR(__xludf.DUMMYFUNCTION("""COMPUTED_VALUE"""),"")</f>
        <v/>
      </c>
      <c r="E80" s="119" t="str">
        <f ca="1">IFERROR(__xludf.DUMMYFUNCTION("""COMPUTED_VALUE"""),"")</f>
        <v/>
      </c>
      <c r="F80" s="119" t="str">
        <f ca="1">IFERROR(__xludf.DUMMYFUNCTION("""COMPUTED_VALUE"""),"")</f>
        <v/>
      </c>
      <c r="G80" s="119" t="str">
        <f ca="1">IFERROR(__xludf.DUMMYFUNCTION("""COMPUTED_VALUE"""),"")</f>
        <v/>
      </c>
      <c r="H80" s="119" t="str">
        <f ca="1">IFERROR(__xludf.DUMMYFUNCTION("""COMPUTED_VALUE"""),"")</f>
        <v/>
      </c>
      <c r="I80" s="119" t="str">
        <f ca="1">IFERROR(__xludf.DUMMYFUNCTION("""COMPUTED_VALUE"""),"")</f>
        <v/>
      </c>
      <c r="J80" s="119" t="str">
        <f ca="1">IFERROR(__xludf.DUMMYFUNCTION("""COMPUTED_VALUE"""),"")</f>
        <v/>
      </c>
      <c r="K80" s="119" t="str">
        <f ca="1">IFERROR(__xludf.DUMMYFUNCTION("""COMPUTED_VALUE"""),"")</f>
        <v/>
      </c>
      <c r="L80" s="119" t="str">
        <f ca="1">IFERROR(__xludf.DUMMYFUNCTION("""COMPUTED_VALUE"""),"")</f>
        <v/>
      </c>
      <c r="M80" s="119" t="str">
        <f ca="1">IFERROR(__xludf.DUMMYFUNCTION("""COMPUTED_VALUE"""),"")</f>
        <v/>
      </c>
      <c r="N80" s="119" t="str">
        <f ca="1">IFERROR(__xludf.DUMMYFUNCTION("""COMPUTED_VALUE"""),"")</f>
        <v/>
      </c>
      <c r="O80" s="119" t="str">
        <f ca="1">IFERROR(__xludf.DUMMYFUNCTION("""COMPUTED_VALUE"""),"")</f>
        <v/>
      </c>
      <c r="P80" s="119" t="str">
        <f ca="1">IFERROR(__xludf.DUMMYFUNCTION("""COMPUTED_VALUE"""),"")</f>
        <v/>
      </c>
      <c r="Q80" s="119" t="str">
        <f ca="1">IFERROR(__xludf.DUMMYFUNCTION("""COMPUTED_VALUE"""),"")</f>
        <v/>
      </c>
      <c r="R80" s="119" t="str">
        <f ca="1">IFERROR(__xludf.DUMMYFUNCTION("""COMPUTED_VALUE"""),"")</f>
        <v/>
      </c>
      <c r="S80" s="119" t="str">
        <f ca="1">IFERROR(__xludf.DUMMYFUNCTION("""COMPUTED_VALUE"""),"")</f>
        <v/>
      </c>
      <c r="T80" s="119" t="str">
        <f ca="1">IFERROR(__xludf.DUMMYFUNCTION("""COMPUTED_VALUE"""),"")</f>
        <v/>
      </c>
      <c r="U80" s="119" t="str">
        <f ca="1">IFERROR(__xludf.DUMMYFUNCTION("""COMPUTED_VALUE"""),"")</f>
        <v/>
      </c>
      <c r="V80" s="119" t="str">
        <f ca="1">IFERROR(__xludf.DUMMYFUNCTION("""COMPUTED_VALUE"""),"")</f>
        <v/>
      </c>
      <c r="W80" s="119" t="str">
        <f ca="1">IFERROR(__xludf.DUMMYFUNCTION("""COMPUTED_VALUE"""),"")</f>
        <v/>
      </c>
      <c r="X80" s="119" t="str">
        <f ca="1">IFERROR(__xludf.DUMMYFUNCTION("""COMPUTED_VALUE"""),"")</f>
        <v/>
      </c>
      <c r="Y80" s="119" t="str">
        <f ca="1">IFERROR(__xludf.DUMMYFUNCTION("""COMPUTED_VALUE"""),"")</f>
        <v/>
      </c>
      <c r="Z80" s="119" t="str">
        <f ca="1">IFERROR(__xludf.DUMMYFUNCTION("""COMPUTED_VALUE"""),"")</f>
        <v/>
      </c>
      <c r="AA80" s="119" t="str">
        <f ca="1">IFERROR(__xludf.DUMMYFUNCTION("""COMPUTED_VALUE"""),"")</f>
        <v/>
      </c>
      <c r="AB80" s="119" t="str">
        <f ca="1">IFERROR(__xludf.DUMMYFUNCTION("""COMPUTED_VALUE"""),"")</f>
        <v/>
      </c>
      <c r="AC80" s="119" t="str">
        <f ca="1">IFERROR(__xludf.DUMMYFUNCTION("""COMPUTED_VALUE"""),"")</f>
        <v/>
      </c>
      <c r="AD80" s="119" t="str">
        <f ca="1">IFERROR(__xludf.DUMMYFUNCTION("""COMPUTED_VALUE"""),"")</f>
        <v/>
      </c>
      <c r="AE80" s="119" t="str">
        <f ca="1">IFERROR(__xludf.DUMMYFUNCTION("""COMPUTED_VALUE"""),"")</f>
        <v/>
      </c>
      <c r="AF80" s="119" t="str">
        <f ca="1">IFERROR(__xludf.DUMMYFUNCTION("""COMPUTED_VALUE"""),"")</f>
        <v/>
      </c>
      <c r="AG80" s="119" t="str">
        <f ca="1">IFERROR(__xludf.DUMMYFUNCTION("""COMPUTED_VALUE"""),"")</f>
        <v/>
      </c>
      <c r="AH80" s="119" t="str">
        <f ca="1">IFERROR(__xludf.DUMMYFUNCTION("""COMPUTED_VALUE"""),"")</f>
        <v/>
      </c>
      <c r="AI80" s="119" t="str">
        <f ca="1">IFERROR(__xludf.DUMMYFUNCTION("""COMPUTED_VALUE"""),"")</f>
        <v/>
      </c>
      <c r="AJ80" s="119" t="str">
        <f ca="1">IFERROR(__xludf.DUMMYFUNCTION("""COMPUTED_VALUE"""),"")</f>
        <v/>
      </c>
      <c r="AK80" s="119" t="str">
        <f ca="1">IFERROR(__xludf.DUMMYFUNCTION("""COMPUTED_VALUE"""),"")</f>
        <v/>
      </c>
      <c r="AL80" s="119" t="str">
        <f ca="1">IFERROR(__xludf.DUMMYFUNCTION("""COMPUTED_VALUE"""),"")</f>
        <v/>
      </c>
      <c r="AM80" s="119" t="str">
        <f ca="1">IFERROR(__xludf.DUMMYFUNCTION("""COMPUTED_VALUE"""),"")</f>
        <v/>
      </c>
      <c r="AN80" s="119" t="str">
        <f ca="1">IFERROR(__xludf.DUMMYFUNCTION("""COMPUTED_VALUE"""),"")</f>
        <v/>
      </c>
      <c r="AO80" s="119" t="str">
        <f ca="1">IFERROR(__xludf.DUMMYFUNCTION("""COMPUTED_VALUE"""),"")</f>
        <v/>
      </c>
      <c r="AP80" s="119" t="str">
        <f ca="1">IFERROR(__xludf.DUMMYFUNCTION("""COMPUTED_VALUE"""),"")</f>
        <v/>
      </c>
      <c r="AQ80" s="119" t="str">
        <f ca="1">IFERROR(__xludf.DUMMYFUNCTION("""COMPUTED_VALUE"""),"")</f>
        <v/>
      </c>
      <c r="AR80" s="118" t="str">
        <f ca="1">IFERROR(__xludf.DUMMYFUNCTION("""COMPUTED_VALUE"""),"")</f>
        <v/>
      </c>
      <c r="AS80" s="119" t="str">
        <f ca="1">IFERROR(__xludf.DUMMYFUNCTION("""COMPUTED_VALUE"""),"")</f>
        <v/>
      </c>
      <c r="AT80" s="119" t="str">
        <f ca="1">IFERROR(__xludf.DUMMYFUNCTION("""COMPUTED_VALUE"""),"")</f>
        <v/>
      </c>
      <c r="AU80" s="119" t="str">
        <f ca="1">IFERROR(__xludf.DUMMYFUNCTION("""COMPUTED_VALUE"""),"")</f>
        <v/>
      </c>
      <c r="AV80" s="119" t="str">
        <f ca="1">IFERROR(__xludf.DUMMYFUNCTION("""COMPUTED_VALUE"""),"")</f>
        <v/>
      </c>
      <c r="AW80" s="119" t="str">
        <f ca="1">IFERROR(__xludf.DUMMYFUNCTION("""COMPUTED_VALUE"""),"")</f>
        <v/>
      </c>
      <c r="AX80" s="119" t="str">
        <f ca="1">IFERROR(__xludf.DUMMYFUNCTION("""COMPUTED_VALUE"""),"")</f>
        <v/>
      </c>
      <c r="AY80" s="119" t="str">
        <f ca="1">IFERROR(__xludf.DUMMYFUNCTION("""COMPUTED_VALUE"""),"")</f>
        <v/>
      </c>
      <c r="AZ80" s="119" t="str">
        <f ca="1">IFERROR(__xludf.DUMMYFUNCTION("""COMPUTED_VALUE"""),"")</f>
        <v/>
      </c>
      <c r="BA80" s="119" t="str">
        <f ca="1">IFERROR(__xludf.DUMMYFUNCTION("""COMPUTED_VALUE"""),"")</f>
        <v/>
      </c>
      <c r="BB80" s="119" t="str">
        <f ca="1">IFERROR(__xludf.DUMMYFUNCTION("""COMPUTED_VALUE"""),"")</f>
        <v/>
      </c>
      <c r="BC80" s="119" t="str">
        <f ca="1">IFERROR(__xludf.DUMMYFUNCTION("""COMPUTED_VALUE"""),"")</f>
        <v/>
      </c>
      <c r="BD80" s="119" t="str">
        <f ca="1">IFERROR(__xludf.DUMMYFUNCTION("""COMPUTED_VALUE"""),"")</f>
        <v/>
      </c>
      <c r="BE80" s="119" t="str">
        <f ca="1">IFERROR(__xludf.DUMMYFUNCTION("""COMPUTED_VALUE"""),"")</f>
        <v/>
      </c>
      <c r="BF80" s="119" t="str">
        <f ca="1">IFERROR(__xludf.DUMMYFUNCTION("""COMPUTED_VALUE"""),"")</f>
        <v/>
      </c>
      <c r="BG80" s="119" t="str">
        <f ca="1">IFERROR(__xludf.DUMMYFUNCTION("""COMPUTED_VALUE"""),"")</f>
        <v/>
      </c>
      <c r="BH80" s="119" t="str">
        <f ca="1">IFERROR(__xludf.DUMMYFUNCTION("""COMPUTED_VALUE"""),"")</f>
        <v/>
      </c>
      <c r="BI80" s="119" t="str">
        <f ca="1">IFERROR(__xludf.DUMMYFUNCTION("""COMPUTED_VALUE"""),"")</f>
        <v/>
      </c>
      <c r="BJ80" s="119" t="str">
        <f ca="1">IFERROR(__xludf.DUMMYFUNCTION("""COMPUTED_VALUE"""),"")</f>
        <v/>
      </c>
      <c r="BK80" s="119" t="str">
        <f ca="1">IFERROR(__xludf.DUMMYFUNCTION("""COMPUTED_VALUE"""),"")</f>
        <v/>
      </c>
      <c r="BL80" s="119" t="str">
        <f ca="1">IFERROR(__xludf.DUMMYFUNCTION("""COMPUTED_VALUE"""),"")</f>
        <v/>
      </c>
      <c r="BM80" s="119" t="str">
        <f ca="1">IFERROR(__xludf.DUMMYFUNCTION("""COMPUTED_VALUE"""),"")</f>
        <v/>
      </c>
      <c r="BN80" s="119" t="str">
        <f ca="1">IFERROR(__xludf.DUMMYFUNCTION("""COMPUTED_VALUE"""),"")</f>
        <v/>
      </c>
      <c r="BO80" s="119" t="str">
        <f ca="1">IFERROR(__xludf.DUMMYFUNCTION("""COMPUTED_VALUE"""),"")</f>
        <v/>
      </c>
      <c r="BP80" s="119" t="str">
        <f ca="1">IFERROR(__xludf.DUMMYFUNCTION("""COMPUTED_VALUE"""),"")</f>
        <v/>
      </c>
      <c r="BQ80" s="119" t="str">
        <f ca="1">IFERROR(__xludf.DUMMYFUNCTION("""COMPUTED_VALUE"""),"")</f>
        <v/>
      </c>
      <c r="BR80" s="119" t="str">
        <f ca="1">IFERROR(__xludf.DUMMYFUNCTION("""COMPUTED_VALUE"""),"")</f>
        <v/>
      </c>
      <c r="BS80" s="119" t="str">
        <f ca="1">IFERROR(__xludf.DUMMYFUNCTION("""COMPUTED_VALUE"""),"")</f>
        <v/>
      </c>
      <c r="BT80" s="119" t="str">
        <f ca="1">IFERROR(__xludf.DUMMYFUNCTION("""COMPUTED_VALUE"""),"")</f>
        <v/>
      </c>
      <c r="BU80" s="119" t="str">
        <f ca="1">IFERROR(__xludf.DUMMYFUNCTION("""COMPUTED_VALUE"""),"")</f>
        <v/>
      </c>
      <c r="BV80" s="119" t="str">
        <f ca="1">IFERROR(__xludf.DUMMYFUNCTION("""COMPUTED_VALUE"""),"")</f>
        <v/>
      </c>
      <c r="BW80" s="119" t="str">
        <f ca="1">IFERROR(__xludf.DUMMYFUNCTION("""COMPUTED_VALUE"""),"")</f>
        <v/>
      </c>
      <c r="BX80" s="119" t="str">
        <f ca="1">IFERROR(__xludf.DUMMYFUNCTION("""COMPUTED_VALUE"""),"")</f>
        <v/>
      </c>
      <c r="BY80" s="119" t="str">
        <f ca="1">IFERROR(__xludf.DUMMYFUNCTION("""COMPUTED_VALUE"""),"")</f>
        <v/>
      </c>
      <c r="BZ80" s="119" t="str">
        <f ca="1">IFERROR(__xludf.DUMMYFUNCTION("""COMPUTED_VALUE"""),"")</f>
        <v/>
      </c>
      <c r="CA80" s="119" t="str">
        <f ca="1">IFERROR(__xludf.DUMMYFUNCTION("""COMPUTED_VALUE"""),"")</f>
        <v/>
      </c>
      <c r="CB80" s="119" t="str">
        <f ca="1">IFERROR(__xludf.DUMMYFUNCTION("""COMPUTED_VALUE"""),"")</f>
        <v/>
      </c>
      <c r="CC80" s="119" t="str">
        <f ca="1">IFERROR(__xludf.DUMMYFUNCTION("""COMPUTED_VALUE"""),"")</f>
        <v/>
      </c>
      <c r="CD80" s="119" t="str">
        <f ca="1">IFERROR(__xludf.DUMMYFUNCTION("""COMPUTED_VALUE"""),"")</f>
        <v/>
      </c>
      <c r="CE80" s="119" t="str">
        <f ca="1">IFERROR(__xludf.DUMMYFUNCTION("""COMPUTED_VALUE"""),"")</f>
        <v/>
      </c>
      <c r="CF80" s="119" t="str">
        <f ca="1">IFERROR(__xludf.DUMMYFUNCTION("""COMPUTED_VALUE"""),"")</f>
        <v/>
      </c>
      <c r="CG80" s="119" t="str">
        <f ca="1">IFERROR(__xludf.DUMMYFUNCTION("""COMPUTED_VALUE"""),"")</f>
        <v/>
      </c>
      <c r="CH80" s="119" t="str">
        <f ca="1">IFERROR(__xludf.DUMMYFUNCTION("""COMPUTED_VALUE"""),"")</f>
        <v/>
      </c>
      <c r="CI80" s="119" t="str">
        <f ca="1">IFERROR(__xludf.DUMMYFUNCTION("""COMPUTED_VALUE"""),"")</f>
        <v/>
      </c>
      <c r="CJ80" s="119" t="str">
        <f ca="1">IFERROR(__xludf.DUMMYFUNCTION("""COMPUTED_VALUE"""),"")</f>
        <v/>
      </c>
      <c r="CK80" s="119" t="str">
        <f ca="1">IFERROR(__xludf.DUMMYFUNCTION("""COMPUTED_VALUE"""),"")</f>
        <v/>
      </c>
      <c r="CL80" s="119" t="str">
        <f ca="1">IFERROR(__xludf.DUMMYFUNCTION("""COMPUTED_VALUE"""),"")</f>
        <v/>
      </c>
      <c r="CM80" s="119" t="str">
        <f ca="1">IFERROR(__xludf.DUMMYFUNCTION("""COMPUTED_VALUE"""),"")</f>
        <v/>
      </c>
      <c r="CN80" s="119" t="str">
        <f ca="1">IFERROR(__xludf.DUMMYFUNCTION("""COMPUTED_VALUE"""),"")</f>
        <v/>
      </c>
      <c r="CO80" s="119" t="str">
        <f ca="1">IFERROR(__xludf.DUMMYFUNCTION("""COMPUTED_VALUE"""),"")</f>
        <v/>
      </c>
      <c r="CP80" s="119" t="str">
        <f ca="1">IFERROR(__xludf.DUMMYFUNCTION("""COMPUTED_VALUE"""),"")</f>
        <v/>
      </c>
      <c r="CQ80" s="119" t="str">
        <f ca="1">IFERROR(__xludf.DUMMYFUNCTION("""COMPUTED_VALUE"""),"")</f>
        <v/>
      </c>
      <c r="CR80" s="119" t="str">
        <f ca="1">IFERROR(__xludf.DUMMYFUNCTION("""COMPUTED_VALUE"""),"")</f>
        <v/>
      </c>
      <c r="CS80" s="119" t="str">
        <f ca="1">IFERROR(__xludf.DUMMYFUNCTION("""COMPUTED_VALUE"""),"")</f>
        <v/>
      </c>
      <c r="CT80" s="119" t="str">
        <f ca="1">IFERROR(__xludf.DUMMYFUNCTION("""COMPUTED_VALUE"""),"")</f>
        <v/>
      </c>
      <c r="CU80" s="119" t="str">
        <f ca="1">IFERROR(__xludf.DUMMYFUNCTION("""COMPUTED_VALUE"""),"")</f>
        <v/>
      </c>
      <c r="CV80" s="119" t="str">
        <f ca="1">IFERROR(__xludf.DUMMYFUNCTION("""COMPUTED_VALUE"""),"")</f>
        <v/>
      </c>
      <c r="CW80" s="119" t="str">
        <f ca="1">IFERROR(__xludf.DUMMYFUNCTION("""COMPUTED_VALUE"""),"")</f>
        <v/>
      </c>
      <c r="CX80" s="119" t="str">
        <f ca="1">IFERROR(__xludf.DUMMYFUNCTION("""COMPUTED_VALUE"""),"")</f>
        <v/>
      </c>
      <c r="CY80" s="119" t="str">
        <f ca="1">IFERROR(__xludf.DUMMYFUNCTION("""COMPUTED_VALUE"""),"")</f>
        <v/>
      </c>
      <c r="CZ80" s="119" t="str">
        <f ca="1">IFERROR(__xludf.DUMMYFUNCTION("""COMPUTED_VALUE"""),"")</f>
        <v/>
      </c>
      <c r="DA80" s="119" t="str">
        <f ca="1">IFERROR(__xludf.DUMMYFUNCTION("""COMPUTED_VALUE"""),"")</f>
        <v/>
      </c>
      <c r="DB80" s="119" t="str">
        <f ca="1">IFERROR(__xludf.DUMMYFUNCTION("""COMPUTED_VALUE"""),"")</f>
        <v/>
      </c>
      <c r="DC80" s="119" t="str">
        <f ca="1">IFERROR(__xludf.DUMMYFUNCTION("""COMPUTED_VALUE"""),"")</f>
        <v/>
      </c>
      <c r="DD80" s="119" t="str">
        <f ca="1">IFERROR(__xludf.DUMMYFUNCTION("""COMPUTED_VALUE"""),"")</f>
        <v/>
      </c>
      <c r="DE80" s="119" t="str">
        <f ca="1">IFERROR(__xludf.DUMMYFUNCTION("""COMPUTED_VALUE"""),"")</f>
        <v/>
      </c>
      <c r="DF80" s="119" t="str">
        <f ca="1">IFERROR(__xludf.DUMMYFUNCTION("""COMPUTED_VALUE"""),"")</f>
        <v/>
      </c>
      <c r="DG80" s="119" t="str">
        <f ca="1">IFERROR(__xludf.DUMMYFUNCTION("""COMPUTED_VALUE"""),"")</f>
        <v/>
      </c>
      <c r="DH80" s="119" t="str">
        <f ca="1">IFERROR(__xludf.DUMMYFUNCTION("""COMPUTED_VALUE"""),"")</f>
        <v/>
      </c>
      <c r="DI80" s="119" t="str">
        <f ca="1">IFERROR(__xludf.DUMMYFUNCTION("""COMPUTED_VALUE"""),"")</f>
        <v/>
      </c>
      <c r="DJ80" s="119" t="str">
        <f ca="1">IFERROR(__xludf.DUMMYFUNCTION("""COMPUTED_VALUE"""),"")</f>
        <v/>
      </c>
      <c r="DK80" s="119" t="str">
        <f ca="1">IFERROR(__xludf.DUMMYFUNCTION("""COMPUTED_VALUE"""),"")</f>
        <v/>
      </c>
      <c r="DL80" s="119" t="str">
        <f ca="1">IFERROR(__xludf.DUMMYFUNCTION("""COMPUTED_VALUE"""),"")</f>
        <v/>
      </c>
      <c r="DM80" s="119" t="str">
        <f ca="1">IFERROR(__xludf.DUMMYFUNCTION("""COMPUTED_VALUE"""),"")</f>
        <v/>
      </c>
      <c r="DN80" s="119" t="str">
        <f ca="1">IFERROR(__xludf.DUMMYFUNCTION("""COMPUTED_VALUE"""),"")</f>
        <v/>
      </c>
      <c r="DO80" s="119" t="str">
        <f ca="1">IFERROR(__xludf.DUMMYFUNCTION("""COMPUTED_VALUE"""),"")</f>
        <v/>
      </c>
      <c r="DP80" s="119" t="str">
        <f ca="1">IFERROR(__xludf.DUMMYFUNCTION("""COMPUTED_VALUE"""),"")</f>
        <v/>
      </c>
      <c r="DQ80" s="119" t="str">
        <f ca="1">IFERROR(__xludf.DUMMYFUNCTION("""COMPUTED_VALUE"""),"")</f>
        <v/>
      </c>
      <c r="DR80" s="119" t="str">
        <f ca="1">IFERROR(__xludf.DUMMYFUNCTION("""COMPUTED_VALUE"""),"")</f>
        <v/>
      </c>
      <c r="DS80" s="119" t="str">
        <f ca="1">IFERROR(__xludf.DUMMYFUNCTION("""COMPUTED_VALUE"""),"")</f>
        <v/>
      </c>
      <c r="DT80" s="119" t="str">
        <f ca="1">IFERROR(__xludf.DUMMYFUNCTION("""COMPUTED_VALUE"""),"")</f>
        <v/>
      </c>
      <c r="DU80" s="119" t="str">
        <f ca="1">IFERROR(__xludf.DUMMYFUNCTION("""COMPUTED_VALUE"""),"")</f>
        <v/>
      </c>
      <c r="DV80" s="119" t="str">
        <f ca="1">IFERROR(__xludf.DUMMYFUNCTION("""COMPUTED_VALUE"""),"")</f>
        <v/>
      </c>
      <c r="DW80" s="119" t="str">
        <f ca="1">IFERROR(__xludf.DUMMYFUNCTION("""COMPUTED_VALUE"""),"")</f>
        <v/>
      </c>
      <c r="DX80" s="119" t="str">
        <f ca="1">IFERROR(__xludf.DUMMYFUNCTION("""COMPUTED_VALUE"""),"")</f>
        <v/>
      </c>
      <c r="DY80" s="119" t="str">
        <f ca="1">IFERROR(__xludf.DUMMYFUNCTION("""COMPUTED_VALUE"""),"")</f>
        <v/>
      </c>
      <c r="DZ80" s="119" t="str">
        <f ca="1">IFERROR(__xludf.DUMMYFUNCTION("""COMPUTED_VALUE"""),"")</f>
        <v/>
      </c>
      <c r="EA80" s="119" t="str">
        <f ca="1">IFERROR(__xludf.DUMMYFUNCTION("""COMPUTED_VALUE"""),"")</f>
        <v/>
      </c>
      <c r="EB80" s="119" t="str">
        <f ca="1">IFERROR(__xludf.DUMMYFUNCTION("""COMPUTED_VALUE"""),"")</f>
        <v/>
      </c>
      <c r="EC80" s="119" t="str">
        <f ca="1">IFERROR(__xludf.DUMMYFUNCTION("""COMPUTED_VALUE"""),"")</f>
        <v/>
      </c>
      <c r="ED80" s="119" t="str">
        <f ca="1">IFERROR(__xludf.DUMMYFUNCTION("""COMPUTED_VALUE"""),"")</f>
        <v/>
      </c>
      <c r="EE80" s="119" t="str">
        <f ca="1">IFERROR(__xludf.DUMMYFUNCTION("""COMPUTED_VALUE"""),"")</f>
        <v/>
      </c>
      <c r="EF80" s="119" t="str">
        <f ca="1">IFERROR(__xludf.DUMMYFUNCTION("""COMPUTED_VALUE"""),"")</f>
        <v/>
      </c>
      <c r="EG80" s="119" t="str">
        <f ca="1">IFERROR(__xludf.DUMMYFUNCTION("""COMPUTED_VALUE"""),"")</f>
        <v/>
      </c>
      <c r="EH80" s="119" t="str">
        <f ca="1">IFERROR(__xludf.DUMMYFUNCTION("""COMPUTED_VALUE"""),"")</f>
        <v/>
      </c>
      <c r="EI80" s="119" t="str">
        <f ca="1">IFERROR(__xludf.DUMMYFUNCTION("""COMPUTED_VALUE"""),"")</f>
        <v/>
      </c>
      <c r="EJ80" s="119" t="str">
        <f ca="1">IFERROR(__xludf.DUMMYFUNCTION("""COMPUTED_VALUE"""),"")</f>
        <v/>
      </c>
      <c r="EK80" s="119" t="str">
        <f ca="1">IFERROR(__xludf.DUMMYFUNCTION("""COMPUTED_VALUE"""),"")</f>
        <v/>
      </c>
      <c r="EL80" s="119" t="str">
        <f ca="1">IFERROR(__xludf.DUMMYFUNCTION("""COMPUTED_VALUE"""),"")</f>
        <v/>
      </c>
      <c r="EM80" s="119" t="str">
        <f ca="1">IFERROR(__xludf.DUMMYFUNCTION("""COMPUTED_VALUE"""),"")</f>
        <v/>
      </c>
      <c r="EN80" s="119" t="str">
        <f ca="1">IFERROR(__xludf.DUMMYFUNCTION("""COMPUTED_VALUE"""),"")</f>
        <v/>
      </c>
      <c r="EO80" s="119" t="str">
        <f ca="1">IFERROR(__xludf.DUMMYFUNCTION("""COMPUTED_VALUE"""),"")</f>
        <v/>
      </c>
      <c r="EP80" s="119" t="str">
        <f ca="1">IFERROR(__xludf.DUMMYFUNCTION("""COMPUTED_VALUE"""),"")</f>
        <v/>
      </c>
      <c r="EQ80" s="119" t="str">
        <f ca="1">IFERROR(__xludf.DUMMYFUNCTION("""COMPUTED_VALUE"""),"")</f>
        <v/>
      </c>
      <c r="ER80" s="119" t="str">
        <f ca="1">IFERROR(__xludf.DUMMYFUNCTION("""COMPUTED_VALUE"""),"")</f>
        <v/>
      </c>
      <c r="ES80" s="119" t="str">
        <f ca="1">IFERROR(__xludf.DUMMYFUNCTION("""COMPUTED_VALUE"""),"")</f>
        <v/>
      </c>
      <c r="ET80" s="119" t="str">
        <f ca="1">IFERROR(__xludf.DUMMYFUNCTION("""COMPUTED_VALUE"""),"")</f>
        <v/>
      </c>
      <c r="EU80" s="119" t="str">
        <f ca="1">IFERROR(__xludf.DUMMYFUNCTION("""COMPUTED_VALUE"""),"")</f>
        <v/>
      </c>
      <c r="EV80" s="119" t="str">
        <f ca="1">IFERROR(__xludf.DUMMYFUNCTION("""COMPUTED_VALUE"""),"")</f>
        <v/>
      </c>
      <c r="EW80" s="119" t="str">
        <f ca="1">IFERROR(__xludf.DUMMYFUNCTION("""COMPUTED_VALUE"""),"")</f>
        <v/>
      </c>
      <c r="EX80" s="117" t="str">
        <f ca="1">IFERROR(__xludf.DUMMYFUNCTION("""COMPUTED_VALUE"""),"")</f>
        <v/>
      </c>
      <c r="EY80" s="117" t="str">
        <f ca="1">IFERROR(__xludf.DUMMYFUNCTION("""COMPUTED_VALUE"""),"")</f>
        <v/>
      </c>
      <c r="EZ80" s="117" t="str">
        <f ca="1">IFERROR(__xludf.DUMMYFUNCTION("""COMPUTED_VALUE"""),"")</f>
        <v/>
      </c>
      <c r="FA80" s="117" t="str">
        <f ca="1">IFERROR(__xludf.DUMMYFUNCTION("""COMPUTED_VALUE"""),"")</f>
        <v/>
      </c>
      <c r="FB80" s="117" t="str">
        <f ca="1">IFERROR(__xludf.DUMMYFUNCTION("""COMPUTED_VALUE"""),"")</f>
        <v/>
      </c>
      <c r="FC80" s="117" t="str">
        <f ca="1">IFERROR(__xludf.DUMMYFUNCTION("""COMPUTED_VALUE"""),"")</f>
        <v/>
      </c>
      <c r="FD80" s="117" t="str">
        <f ca="1">IFERROR(__xludf.DUMMYFUNCTION("""COMPUTED_VALUE"""),"")</f>
        <v/>
      </c>
      <c r="FE80" s="117" t="str">
        <f ca="1">IFERROR(__xludf.DUMMYFUNCTION("""COMPUTED_VALUE"""),"")</f>
        <v/>
      </c>
      <c r="FF80" s="117" t="str">
        <f ca="1">IFERROR(__xludf.DUMMYFUNCTION("""COMPUTED_VALUE"""),"")</f>
        <v/>
      </c>
      <c r="FG80" s="117" t="str">
        <f ca="1">IFERROR(__xludf.DUMMYFUNCTION("""COMPUTED_VALUE"""),"")</f>
        <v/>
      </c>
      <c r="FH80" s="117" t="str">
        <f ca="1">IFERROR(__xludf.DUMMYFUNCTION("""COMPUTED_VALUE"""),"")</f>
        <v/>
      </c>
      <c r="FI80" s="117" t="str">
        <f ca="1">IFERROR(__xludf.DUMMYFUNCTION("""COMPUTED_VALUE"""),"")</f>
        <v/>
      </c>
      <c r="FJ80" s="117" t="str">
        <f ca="1">IFERROR(__xludf.DUMMYFUNCTION("""COMPUTED_VALUE"""),"")</f>
        <v/>
      </c>
      <c r="FK80" s="117" t="str">
        <f ca="1">IFERROR(__xludf.DUMMYFUNCTION("""COMPUTED_VALUE"""),"")</f>
        <v/>
      </c>
      <c r="FL80" s="117" t="str">
        <f ca="1">IFERROR(__xludf.DUMMYFUNCTION("""COMPUTED_VALUE"""),"")</f>
        <v/>
      </c>
      <c r="FM80" s="117" t="str">
        <f ca="1">IFERROR(__xludf.DUMMYFUNCTION("""COMPUTED_VALUE"""),"")</f>
        <v/>
      </c>
      <c r="FN80" s="117" t="str">
        <f ca="1">IFERROR(__xludf.DUMMYFUNCTION("""COMPUTED_VALUE"""),"")</f>
        <v/>
      </c>
      <c r="FO80" s="117" t="str">
        <f ca="1">IFERROR(__xludf.DUMMYFUNCTION("""COMPUTED_VALUE"""),"")</f>
        <v/>
      </c>
    </row>
    <row r="81" spans="1:171" ht="13" x14ac:dyDescent="0.15">
      <c r="A81" s="115" t="str">
        <f ca="1">IFERROR(__xludf.DUMMYFUNCTION("""COMPUTED_VALUE"""),"")</f>
        <v/>
      </c>
      <c r="B81" s="119" t="str">
        <f ca="1">IFERROR(__xludf.DUMMYFUNCTION("""COMPUTED_VALUE"""),"")</f>
        <v/>
      </c>
      <c r="C81" s="119" t="str">
        <f ca="1">IFERROR(__xludf.DUMMYFUNCTION("""COMPUTED_VALUE"""),"")</f>
        <v/>
      </c>
      <c r="D81" s="119" t="str">
        <f ca="1">IFERROR(__xludf.DUMMYFUNCTION("""COMPUTED_VALUE"""),"")</f>
        <v/>
      </c>
      <c r="E81" s="119" t="str">
        <f ca="1">IFERROR(__xludf.DUMMYFUNCTION("""COMPUTED_VALUE"""),"")</f>
        <v/>
      </c>
      <c r="F81" s="119" t="str">
        <f ca="1">IFERROR(__xludf.DUMMYFUNCTION("""COMPUTED_VALUE"""),"")</f>
        <v/>
      </c>
      <c r="G81" s="119" t="str">
        <f ca="1">IFERROR(__xludf.DUMMYFUNCTION("""COMPUTED_VALUE"""),"")</f>
        <v/>
      </c>
      <c r="H81" s="119" t="str">
        <f ca="1">IFERROR(__xludf.DUMMYFUNCTION("""COMPUTED_VALUE"""),"")</f>
        <v/>
      </c>
      <c r="I81" s="119" t="str">
        <f ca="1">IFERROR(__xludf.DUMMYFUNCTION("""COMPUTED_VALUE"""),"")</f>
        <v/>
      </c>
      <c r="J81" s="119" t="str">
        <f ca="1">IFERROR(__xludf.DUMMYFUNCTION("""COMPUTED_VALUE"""),"")</f>
        <v/>
      </c>
      <c r="K81" s="119" t="str">
        <f ca="1">IFERROR(__xludf.DUMMYFUNCTION("""COMPUTED_VALUE"""),"")</f>
        <v/>
      </c>
      <c r="L81" s="119" t="str">
        <f ca="1">IFERROR(__xludf.DUMMYFUNCTION("""COMPUTED_VALUE"""),"")</f>
        <v/>
      </c>
      <c r="M81" s="119" t="str">
        <f ca="1">IFERROR(__xludf.DUMMYFUNCTION("""COMPUTED_VALUE"""),"")</f>
        <v/>
      </c>
      <c r="N81" s="119" t="str">
        <f ca="1">IFERROR(__xludf.DUMMYFUNCTION("""COMPUTED_VALUE"""),"")</f>
        <v/>
      </c>
      <c r="O81" s="119" t="str">
        <f ca="1">IFERROR(__xludf.DUMMYFUNCTION("""COMPUTED_VALUE"""),"")</f>
        <v/>
      </c>
      <c r="P81" s="119" t="str">
        <f ca="1">IFERROR(__xludf.DUMMYFUNCTION("""COMPUTED_VALUE"""),"")</f>
        <v/>
      </c>
      <c r="Q81" s="119" t="str">
        <f ca="1">IFERROR(__xludf.DUMMYFUNCTION("""COMPUTED_VALUE"""),"")</f>
        <v/>
      </c>
      <c r="R81" s="119" t="str">
        <f ca="1">IFERROR(__xludf.DUMMYFUNCTION("""COMPUTED_VALUE"""),"")</f>
        <v/>
      </c>
      <c r="S81" s="119" t="str">
        <f ca="1">IFERROR(__xludf.DUMMYFUNCTION("""COMPUTED_VALUE"""),"")</f>
        <v/>
      </c>
      <c r="T81" s="119" t="str">
        <f ca="1">IFERROR(__xludf.DUMMYFUNCTION("""COMPUTED_VALUE"""),"")</f>
        <v/>
      </c>
      <c r="U81" s="119" t="str">
        <f ca="1">IFERROR(__xludf.DUMMYFUNCTION("""COMPUTED_VALUE"""),"")</f>
        <v/>
      </c>
      <c r="V81" s="119" t="str">
        <f ca="1">IFERROR(__xludf.DUMMYFUNCTION("""COMPUTED_VALUE"""),"")</f>
        <v/>
      </c>
      <c r="W81" s="119" t="str">
        <f ca="1">IFERROR(__xludf.DUMMYFUNCTION("""COMPUTED_VALUE"""),"")</f>
        <v/>
      </c>
      <c r="X81" s="119" t="str">
        <f ca="1">IFERROR(__xludf.DUMMYFUNCTION("""COMPUTED_VALUE"""),"")</f>
        <v/>
      </c>
      <c r="Y81" s="119" t="str">
        <f ca="1">IFERROR(__xludf.DUMMYFUNCTION("""COMPUTED_VALUE"""),"")</f>
        <v/>
      </c>
      <c r="Z81" s="119" t="str">
        <f ca="1">IFERROR(__xludf.DUMMYFUNCTION("""COMPUTED_VALUE"""),"")</f>
        <v/>
      </c>
      <c r="AA81" s="119" t="str">
        <f ca="1">IFERROR(__xludf.DUMMYFUNCTION("""COMPUTED_VALUE"""),"")</f>
        <v/>
      </c>
      <c r="AB81" s="119" t="str">
        <f ca="1">IFERROR(__xludf.DUMMYFUNCTION("""COMPUTED_VALUE"""),"")</f>
        <v/>
      </c>
      <c r="AC81" s="119" t="str">
        <f ca="1">IFERROR(__xludf.DUMMYFUNCTION("""COMPUTED_VALUE"""),"")</f>
        <v/>
      </c>
      <c r="AD81" s="119" t="str">
        <f ca="1">IFERROR(__xludf.DUMMYFUNCTION("""COMPUTED_VALUE"""),"")</f>
        <v/>
      </c>
      <c r="AE81" s="119" t="str">
        <f ca="1">IFERROR(__xludf.DUMMYFUNCTION("""COMPUTED_VALUE"""),"")</f>
        <v/>
      </c>
      <c r="AF81" s="119" t="str">
        <f ca="1">IFERROR(__xludf.DUMMYFUNCTION("""COMPUTED_VALUE"""),"")</f>
        <v/>
      </c>
      <c r="AG81" s="119" t="str">
        <f ca="1">IFERROR(__xludf.DUMMYFUNCTION("""COMPUTED_VALUE"""),"")</f>
        <v/>
      </c>
      <c r="AH81" s="119" t="str">
        <f ca="1">IFERROR(__xludf.DUMMYFUNCTION("""COMPUTED_VALUE"""),"")</f>
        <v/>
      </c>
      <c r="AI81" s="119" t="str">
        <f ca="1">IFERROR(__xludf.DUMMYFUNCTION("""COMPUTED_VALUE"""),"")</f>
        <v/>
      </c>
      <c r="AJ81" s="119" t="str">
        <f ca="1">IFERROR(__xludf.DUMMYFUNCTION("""COMPUTED_VALUE"""),"")</f>
        <v/>
      </c>
      <c r="AK81" s="119" t="str">
        <f ca="1">IFERROR(__xludf.DUMMYFUNCTION("""COMPUTED_VALUE"""),"")</f>
        <v/>
      </c>
      <c r="AL81" s="119" t="str">
        <f ca="1">IFERROR(__xludf.DUMMYFUNCTION("""COMPUTED_VALUE"""),"")</f>
        <v/>
      </c>
      <c r="AM81" s="119" t="str">
        <f ca="1">IFERROR(__xludf.DUMMYFUNCTION("""COMPUTED_VALUE"""),"")</f>
        <v/>
      </c>
      <c r="AN81" s="119" t="str">
        <f ca="1">IFERROR(__xludf.DUMMYFUNCTION("""COMPUTED_VALUE"""),"")</f>
        <v/>
      </c>
      <c r="AO81" s="119" t="str">
        <f ca="1">IFERROR(__xludf.DUMMYFUNCTION("""COMPUTED_VALUE"""),"")</f>
        <v/>
      </c>
      <c r="AP81" s="119" t="str">
        <f ca="1">IFERROR(__xludf.DUMMYFUNCTION("""COMPUTED_VALUE"""),"")</f>
        <v/>
      </c>
      <c r="AQ81" s="119" t="str">
        <f ca="1">IFERROR(__xludf.DUMMYFUNCTION("""COMPUTED_VALUE"""),"")</f>
        <v/>
      </c>
      <c r="AR81" s="118" t="str">
        <f ca="1">IFERROR(__xludf.DUMMYFUNCTION("""COMPUTED_VALUE"""),"")</f>
        <v/>
      </c>
      <c r="AS81" s="119" t="str">
        <f ca="1">IFERROR(__xludf.DUMMYFUNCTION("""COMPUTED_VALUE"""),"")</f>
        <v/>
      </c>
      <c r="AT81" s="119" t="str">
        <f ca="1">IFERROR(__xludf.DUMMYFUNCTION("""COMPUTED_VALUE"""),"")</f>
        <v/>
      </c>
      <c r="AU81" s="119" t="str">
        <f ca="1">IFERROR(__xludf.DUMMYFUNCTION("""COMPUTED_VALUE"""),"")</f>
        <v/>
      </c>
      <c r="AV81" s="119" t="str">
        <f ca="1">IFERROR(__xludf.DUMMYFUNCTION("""COMPUTED_VALUE"""),"")</f>
        <v/>
      </c>
      <c r="AW81" s="119" t="str">
        <f ca="1">IFERROR(__xludf.DUMMYFUNCTION("""COMPUTED_VALUE"""),"")</f>
        <v/>
      </c>
      <c r="AX81" s="119" t="str">
        <f ca="1">IFERROR(__xludf.DUMMYFUNCTION("""COMPUTED_VALUE"""),"")</f>
        <v/>
      </c>
      <c r="AY81" s="119" t="str">
        <f ca="1">IFERROR(__xludf.DUMMYFUNCTION("""COMPUTED_VALUE"""),"")</f>
        <v/>
      </c>
      <c r="AZ81" s="119" t="str">
        <f ca="1">IFERROR(__xludf.DUMMYFUNCTION("""COMPUTED_VALUE"""),"")</f>
        <v/>
      </c>
      <c r="BA81" s="119" t="str">
        <f ca="1">IFERROR(__xludf.DUMMYFUNCTION("""COMPUTED_VALUE"""),"")</f>
        <v/>
      </c>
      <c r="BB81" s="119" t="str">
        <f ca="1">IFERROR(__xludf.DUMMYFUNCTION("""COMPUTED_VALUE"""),"")</f>
        <v/>
      </c>
      <c r="BC81" s="119" t="str">
        <f ca="1">IFERROR(__xludf.DUMMYFUNCTION("""COMPUTED_VALUE"""),"")</f>
        <v/>
      </c>
      <c r="BD81" s="119" t="str">
        <f ca="1">IFERROR(__xludf.DUMMYFUNCTION("""COMPUTED_VALUE"""),"")</f>
        <v/>
      </c>
      <c r="BE81" s="119" t="str">
        <f ca="1">IFERROR(__xludf.DUMMYFUNCTION("""COMPUTED_VALUE"""),"")</f>
        <v/>
      </c>
      <c r="BF81" s="119" t="str">
        <f ca="1">IFERROR(__xludf.DUMMYFUNCTION("""COMPUTED_VALUE"""),"")</f>
        <v/>
      </c>
      <c r="BG81" s="119" t="str">
        <f ca="1">IFERROR(__xludf.DUMMYFUNCTION("""COMPUTED_VALUE"""),"")</f>
        <v/>
      </c>
      <c r="BH81" s="119" t="str">
        <f ca="1">IFERROR(__xludf.DUMMYFUNCTION("""COMPUTED_VALUE"""),"")</f>
        <v/>
      </c>
      <c r="BI81" s="119" t="str">
        <f ca="1">IFERROR(__xludf.DUMMYFUNCTION("""COMPUTED_VALUE"""),"")</f>
        <v/>
      </c>
      <c r="BJ81" s="119" t="str">
        <f ca="1">IFERROR(__xludf.DUMMYFUNCTION("""COMPUTED_VALUE"""),"")</f>
        <v/>
      </c>
      <c r="BK81" s="119" t="str">
        <f ca="1">IFERROR(__xludf.DUMMYFUNCTION("""COMPUTED_VALUE"""),"")</f>
        <v/>
      </c>
      <c r="BL81" s="119" t="str">
        <f ca="1">IFERROR(__xludf.DUMMYFUNCTION("""COMPUTED_VALUE"""),"")</f>
        <v/>
      </c>
      <c r="BM81" s="119" t="str">
        <f ca="1">IFERROR(__xludf.DUMMYFUNCTION("""COMPUTED_VALUE"""),"")</f>
        <v/>
      </c>
      <c r="BN81" s="119" t="str">
        <f ca="1">IFERROR(__xludf.DUMMYFUNCTION("""COMPUTED_VALUE"""),"")</f>
        <v/>
      </c>
      <c r="BO81" s="119" t="str">
        <f ca="1">IFERROR(__xludf.DUMMYFUNCTION("""COMPUTED_VALUE"""),"")</f>
        <v/>
      </c>
      <c r="BP81" s="119" t="str">
        <f ca="1">IFERROR(__xludf.DUMMYFUNCTION("""COMPUTED_VALUE"""),"")</f>
        <v/>
      </c>
      <c r="BQ81" s="119" t="str">
        <f ca="1">IFERROR(__xludf.DUMMYFUNCTION("""COMPUTED_VALUE"""),"")</f>
        <v/>
      </c>
      <c r="BR81" s="119" t="str">
        <f ca="1">IFERROR(__xludf.DUMMYFUNCTION("""COMPUTED_VALUE"""),"")</f>
        <v/>
      </c>
      <c r="BS81" s="119" t="str">
        <f ca="1">IFERROR(__xludf.DUMMYFUNCTION("""COMPUTED_VALUE"""),"")</f>
        <v/>
      </c>
      <c r="BT81" s="119" t="str">
        <f ca="1">IFERROR(__xludf.DUMMYFUNCTION("""COMPUTED_VALUE"""),"")</f>
        <v/>
      </c>
      <c r="BU81" s="119" t="str">
        <f ca="1">IFERROR(__xludf.DUMMYFUNCTION("""COMPUTED_VALUE"""),"")</f>
        <v/>
      </c>
      <c r="BV81" s="119" t="str">
        <f ca="1">IFERROR(__xludf.DUMMYFUNCTION("""COMPUTED_VALUE"""),"")</f>
        <v/>
      </c>
      <c r="BW81" s="119" t="str">
        <f ca="1">IFERROR(__xludf.DUMMYFUNCTION("""COMPUTED_VALUE"""),"")</f>
        <v/>
      </c>
      <c r="BX81" s="119" t="str">
        <f ca="1">IFERROR(__xludf.DUMMYFUNCTION("""COMPUTED_VALUE"""),"")</f>
        <v/>
      </c>
      <c r="BY81" s="119" t="str">
        <f ca="1">IFERROR(__xludf.DUMMYFUNCTION("""COMPUTED_VALUE"""),"")</f>
        <v/>
      </c>
      <c r="BZ81" s="119" t="str">
        <f ca="1">IFERROR(__xludf.DUMMYFUNCTION("""COMPUTED_VALUE"""),"")</f>
        <v/>
      </c>
      <c r="CA81" s="119" t="str">
        <f ca="1">IFERROR(__xludf.DUMMYFUNCTION("""COMPUTED_VALUE"""),"")</f>
        <v/>
      </c>
      <c r="CB81" s="119" t="str">
        <f ca="1">IFERROR(__xludf.DUMMYFUNCTION("""COMPUTED_VALUE"""),"")</f>
        <v/>
      </c>
      <c r="CC81" s="119" t="str">
        <f ca="1">IFERROR(__xludf.DUMMYFUNCTION("""COMPUTED_VALUE"""),"")</f>
        <v/>
      </c>
      <c r="CD81" s="119" t="str">
        <f ca="1">IFERROR(__xludf.DUMMYFUNCTION("""COMPUTED_VALUE"""),"")</f>
        <v/>
      </c>
      <c r="CE81" s="119" t="str">
        <f ca="1">IFERROR(__xludf.DUMMYFUNCTION("""COMPUTED_VALUE"""),"")</f>
        <v/>
      </c>
      <c r="CF81" s="119" t="str">
        <f ca="1">IFERROR(__xludf.DUMMYFUNCTION("""COMPUTED_VALUE"""),"")</f>
        <v/>
      </c>
      <c r="CG81" s="119" t="str">
        <f ca="1">IFERROR(__xludf.DUMMYFUNCTION("""COMPUTED_VALUE"""),"")</f>
        <v/>
      </c>
      <c r="CH81" s="119" t="str">
        <f ca="1">IFERROR(__xludf.DUMMYFUNCTION("""COMPUTED_VALUE"""),"")</f>
        <v/>
      </c>
      <c r="CI81" s="119" t="str">
        <f ca="1">IFERROR(__xludf.DUMMYFUNCTION("""COMPUTED_VALUE"""),"")</f>
        <v/>
      </c>
      <c r="CJ81" s="119" t="str">
        <f ca="1">IFERROR(__xludf.DUMMYFUNCTION("""COMPUTED_VALUE"""),"")</f>
        <v/>
      </c>
      <c r="CK81" s="119" t="str">
        <f ca="1">IFERROR(__xludf.DUMMYFUNCTION("""COMPUTED_VALUE"""),"")</f>
        <v/>
      </c>
      <c r="CL81" s="119" t="str">
        <f ca="1">IFERROR(__xludf.DUMMYFUNCTION("""COMPUTED_VALUE"""),"")</f>
        <v/>
      </c>
      <c r="CM81" s="119" t="str">
        <f ca="1">IFERROR(__xludf.DUMMYFUNCTION("""COMPUTED_VALUE"""),"")</f>
        <v/>
      </c>
      <c r="CN81" s="119" t="str">
        <f ca="1">IFERROR(__xludf.DUMMYFUNCTION("""COMPUTED_VALUE"""),"")</f>
        <v/>
      </c>
      <c r="CO81" s="119" t="str">
        <f ca="1">IFERROR(__xludf.DUMMYFUNCTION("""COMPUTED_VALUE"""),"")</f>
        <v/>
      </c>
      <c r="CP81" s="119" t="str">
        <f ca="1">IFERROR(__xludf.DUMMYFUNCTION("""COMPUTED_VALUE"""),"")</f>
        <v/>
      </c>
      <c r="CQ81" s="119" t="str">
        <f ca="1">IFERROR(__xludf.DUMMYFUNCTION("""COMPUTED_VALUE"""),"")</f>
        <v/>
      </c>
      <c r="CR81" s="119" t="str">
        <f ca="1">IFERROR(__xludf.DUMMYFUNCTION("""COMPUTED_VALUE"""),"")</f>
        <v/>
      </c>
      <c r="CS81" s="119" t="str">
        <f ca="1">IFERROR(__xludf.DUMMYFUNCTION("""COMPUTED_VALUE"""),"")</f>
        <v/>
      </c>
      <c r="CT81" s="119" t="str">
        <f ca="1">IFERROR(__xludf.DUMMYFUNCTION("""COMPUTED_VALUE"""),"")</f>
        <v/>
      </c>
      <c r="CU81" s="119" t="str">
        <f ca="1">IFERROR(__xludf.DUMMYFUNCTION("""COMPUTED_VALUE"""),"")</f>
        <v/>
      </c>
      <c r="CV81" s="119" t="str">
        <f ca="1">IFERROR(__xludf.DUMMYFUNCTION("""COMPUTED_VALUE"""),"")</f>
        <v/>
      </c>
      <c r="CW81" s="119" t="str">
        <f ca="1">IFERROR(__xludf.DUMMYFUNCTION("""COMPUTED_VALUE"""),"")</f>
        <v/>
      </c>
      <c r="CX81" s="119" t="str">
        <f ca="1">IFERROR(__xludf.DUMMYFUNCTION("""COMPUTED_VALUE"""),"")</f>
        <v/>
      </c>
      <c r="CY81" s="119" t="str">
        <f ca="1">IFERROR(__xludf.DUMMYFUNCTION("""COMPUTED_VALUE"""),"")</f>
        <v/>
      </c>
      <c r="CZ81" s="119" t="str">
        <f ca="1">IFERROR(__xludf.DUMMYFUNCTION("""COMPUTED_VALUE"""),"")</f>
        <v/>
      </c>
      <c r="DA81" s="119" t="str">
        <f ca="1">IFERROR(__xludf.DUMMYFUNCTION("""COMPUTED_VALUE"""),"")</f>
        <v/>
      </c>
      <c r="DB81" s="119" t="str">
        <f ca="1">IFERROR(__xludf.DUMMYFUNCTION("""COMPUTED_VALUE"""),"")</f>
        <v/>
      </c>
      <c r="DC81" s="119" t="str">
        <f ca="1">IFERROR(__xludf.DUMMYFUNCTION("""COMPUTED_VALUE"""),"")</f>
        <v/>
      </c>
      <c r="DD81" s="119" t="str">
        <f ca="1">IFERROR(__xludf.DUMMYFUNCTION("""COMPUTED_VALUE"""),"")</f>
        <v/>
      </c>
      <c r="DE81" s="119" t="str">
        <f ca="1">IFERROR(__xludf.DUMMYFUNCTION("""COMPUTED_VALUE"""),"")</f>
        <v/>
      </c>
      <c r="DF81" s="119" t="str">
        <f ca="1">IFERROR(__xludf.DUMMYFUNCTION("""COMPUTED_VALUE"""),"")</f>
        <v/>
      </c>
      <c r="DG81" s="119" t="str">
        <f ca="1">IFERROR(__xludf.DUMMYFUNCTION("""COMPUTED_VALUE"""),"")</f>
        <v/>
      </c>
      <c r="DH81" s="119" t="str">
        <f ca="1">IFERROR(__xludf.DUMMYFUNCTION("""COMPUTED_VALUE"""),"")</f>
        <v/>
      </c>
      <c r="DI81" s="119" t="str">
        <f ca="1">IFERROR(__xludf.DUMMYFUNCTION("""COMPUTED_VALUE"""),"")</f>
        <v/>
      </c>
      <c r="DJ81" s="119" t="str">
        <f ca="1">IFERROR(__xludf.DUMMYFUNCTION("""COMPUTED_VALUE"""),"")</f>
        <v/>
      </c>
      <c r="DK81" s="119" t="str">
        <f ca="1">IFERROR(__xludf.DUMMYFUNCTION("""COMPUTED_VALUE"""),"")</f>
        <v/>
      </c>
      <c r="DL81" s="119" t="str">
        <f ca="1">IFERROR(__xludf.DUMMYFUNCTION("""COMPUTED_VALUE"""),"")</f>
        <v/>
      </c>
      <c r="DM81" s="119" t="str">
        <f ca="1">IFERROR(__xludf.DUMMYFUNCTION("""COMPUTED_VALUE"""),"")</f>
        <v/>
      </c>
      <c r="DN81" s="119" t="str">
        <f ca="1">IFERROR(__xludf.DUMMYFUNCTION("""COMPUTED_VALUE"""),"")</f>
        <v/>
      </c>
      <c r="DO81" s="119" t="str">
        <f ca="1">IFERROR(__xludf.DUMMYFUNCTION("""COMPUTED_VALUE"""),"")</f>
        <v/>
      </c>
      <c r="DP81" s="119" t="str">
        <f ca="1">IFERROR(__xludf.DUMMYFUNCTION("""COMPUTED_VALUE"""),"")</f>
        <v/>
      </c>
      <c r="DQ81" s="119" t="str">
        <f ca="1">IFERROR(__xludf.DUMMYFUNCTION("""COMPUTED_VALUE"""),"")</f>
        <v/>
      </c>
      <c r="DR81" s="119" t="str">
        <f ca="1">IFERROR(__xludf.DUMMYFUNCTION("""COMPUTED_VALUE"""),"")</f>
        <v/>
      </c>
      <c r="DS81" s="119" t="str">
        <f ca="1">IFERROR(__xludf.DUMMYFUNCTION("""COMPUTED_VALUE"""),"")</f>
        <v/>
      </c>
      <c r="DT81" s="119" t="str">
        <f ca="1">IFERROR(__xludf.DUMMYFUNCTION("""COMPUTED_VALUE"""),"")</f>
        <v/>
      </c>
      <c r="DU81" s="119" t="str">
        <f ca="1">IFERROR(__xludf.DUMMYFUNCTION("""COMPUTED_VALUE"""),"")</f>
        <v/>
      </c>
      <c r="DV81" s="119" t="str">
        <f ca="1">IFERROR(__xludf.DUMMYFUNCTION("""COMPUTED_VALUE"""),"")</f>
        <v/>
      </c>
      <c r="DW81" s="119" t="str">
        <f ca="1">IFERROR(__xludf.DUMMYFUNCTION("""COMPUTED_VALUE"""),"")</f>
        <v/>
      </c>
      <c r="DX81" s="119" t="str">
        <f ca="1">IFERROR(__xludf.DUMMYFUNCTION("""COMPUTED_VALUE"""),"")</f>
        <v/>
      </c>
      <c r="DY81" s="119" t="str">
        <f ca="1">IFERROR(__xludf.DUMMYFUNCTION("""COMPUTED_VALUE"""),"")</f>
        <v/>
      </c>
      <c r="DZ81" s="119" t="str">
        <f ca="1">IFERROR(__xludf.DUMMYFUNCTION("""COMPUTED_VALUE"""),"")</f>
        <v/>
      </c>
      <c r="EA81" s="119" t="str">
        <f ca="1">IFERROR(__xludf.DUMMYFUNCTION("""COMPUTED_VALUE"""),"")</f>
        <v/>
      </c>
      <c r="EB81" s="119" t="str">
        <f ca="1">IFERROR(__xludf.DUMMYFUNCTION("""COMPUTED_VALUE"""),"")</f>
        <v/>
      </c>
      <c r="EC81" s="119" t="str">
        <f ca="1">IFERROR(__xludf.DUMMYFUNCTION("""COMPUTED_VALUE"""),"")</f>
        <v/>
      </c>
      <c r="ED81" s="119" t="str">
        <f ca="1">IFERROR(__xludf.DUMMYFUNCTION("""COMPUTED_VALUE"""),"")</f>
        <v/>
      </c>
      <c r="EE81" s="119" t="str">
        <f ca="1">IFERROR(__xludf.DUMMYFUNCTION("""COMPUTED_VALUE"""),"")</f>
        <v/>
      </c>
      <c r="EF81" s="119" t="str">
        <f ca="1">IFERROR(__xludf.DUMMYFUNCTION("""COMPUTED_VALUE"""),"")</f>
        <v/>
      </c>
      <c r="EG81" s="119" t="str">
        <f ca="1">IFERROR(__xludf.DUMMYFUNCTION("""COMPUTED_VALUE"""),"")</f>
        <v/>
      </c>
      <c r="EH81" s="119" t="str">
        <f ca="1">IFERROR(__xludf.DUMMYFUNCTION("""COMPUTED_VALUE"""),"")</f>
        <v/>
      </c>
      <c r="EI81" s="119" t="str">
        <f ca="1">IFERROR(__xludf.DUMMYFUNCTION("""COMPUTED_VALUE"""),"")</f>
        <v/>
      </c>
      <c r="EJ81" s="119" t="str">
        <f ca="1">IFERROR(__xludf.DUMMYFUNCTION("""COMPUTED_VALUE"""),"")</f>
        <v/>
      </c>
      <c r="EK81" s="119" t="str">
        <f ca="1">IFERROR(__xludf.DUMMYFUNCTION("""COMPUTED_VALUE"""),"")</f>
        <v/>
      </c>
      <c r="EL81" s="119" t="str">
        <f ca="1">IFERROR(__xludf.DUMMYFUNCTION("""COMPUTED_VALUE"""),"")</f>
        <v/>
      </c>
      <c r="EM81" s="119" t="str">
        <f ca="1">IFERROR(__xludf.DUMMYFUNCTION("""COMPUTED_VALUE"""),"")</f>
        <v/>
      </c>
      <c r="EN81" s="119" t="str">
        <f ca="1">IFERROR(__xludf.DUMMYFUNCTION("""COMPUTED_VALUE"""),"")</f>
        <v/>
      </c>
      <c r="EO81" s="119" t="str">
        <f ca="1">IFERROR(__xludf.DUMMYFUNCTION("""COMPUTED_VALUE"""),"")</f>
        <v/>
      </c>
      <c r="EP81" s="119" t="str">
        <f ca="1">IFERROR(__xludf.DUMMYFUNCTION("""COMPUTED_VALUE"""),"")</f>
        <v/>
      </c>
      <c r="EQ81" s="119" t="str">
        <f ca="1">IFERROR(__xludf.DUMMYFUNCTION("""COMPUTED_VALUE"""),"")</f>
        <v/>
      </c>
      <c r="ER81" s="119" t="str">
        <f ca="1">IFERROR(__xludf.DUMMYFUNCTION("""COMPUTED_VALUE"""),"")</f>
        <v/>
      </c>
      <c r="ES81" s="119" t="str">
        <f ca="1">IFERROR(__xludf.DUMMYFUNCTION("""COMPUTED_VALUE"""),"")</f>
        <v/>
      </c>
      <c r="ET81" s="119" t="str">
        <f ca="1">IFERROR(__xludf.DUMMYFUNCTION("""COMPUTED_VALUE"""),"")</f>
        <v/>
      </c>
      <c r="EU81" s="119" t="str">
        <f ca="1">IFERROR(__xludf.DUMMYFUNCTION("""COMPUTED_VALUE"""),"")</f>
        <v/>
      </c>
      <c r="EV81" s="119" t="str">
        <f ca="1">IFERROR(__xludf.DUMMYFUNCTION("""COMPUTED_VALUE"""),"")</f>
        <v/>
      </c>
      <c r="EW81" s="119" t="str">
        <f ca="1">IFERROR(__xludf.DUMMYFUNCTION("""COMPUTED_VALUE"""),"")</f>
        <v/>
      </c>
      <c r="EX81" s="117" t="str">
        <f ca="1">IFERROR(__xludf.DUMMYFUNCTION("""COMPUTED_VALUE"""),"")</f>
        <v/>
      </c>
      <c r="EY81" s="117" t="str">
        <f ca="1">IFERROR(__xludf.DUMMYFUNCTION("""COMPUTED_VALUE"""),"")</f>
        <v/>
      </c>
      <c r="EZ81" s="117" t="str">
        <f ca="1">IFERROR(__xludf.DUMMYFUNCTION("""COMPUTED_VALUE"""),"")</f>
        <v/>
      </c>
      <c r="FA81" s="117" t="str">
        <f ca="1">IFERROR(__xludf.DUMMYFUNCTION("""COMPUTED_VALUE"""),"")</f>
        <v/>
      </c>
      <c r="FB81" s="117" t="str">
        <f ca="1">IFERROR(__xludf.DUMMYFUNCTION("""COMPUTED_VALUE"""),"")</f>
        <v/>
      </c>
      <c r="FC81" s="117" t="str">
        <f ca="1">IFERROR(__xludf.DUMMYFUNCTION("""COMPUTED_VALUE"""),"")</f>
        <v/>
      </c>
      <c r="FD81" s="117" t="str">
        <f ca="1">IFERROR(__xludf.DUMMYFUNCTION("""COMPUTED_VALUE"""),"")</f>
        <v/>
      </c>
      <c r="FE81" s="117" t="str">
        <f ca="1">IFERROR(__xludf.DUMMYFUNCTION("""COMPUTED_VALUE"""),"")</f>
        <v/>
      </c>
      <c r="FF81" s="117" t="str">
        <f ca="1">IFERROR(__xludf.DUMMYFUNCTION("""COMPUTED_VALUE"""),"")</f>
        <v/>
      </c>
      <c r="FG81" s="117" t="str">
        <f ca="1">IFERROR(__xludf.DUMMYFUNCTION("""COMPUTED_VALUE"""),"")</f>
        <v/>
      </c>
      <c r="FH81" s="117" t="str">
        <f ca="1">IFERROR(__xludf.DUMMYFUNCTION("""COMPUTED_VALUE"""),"")</f>
        <v/>
      </c>
      <c r="FI81" s="117" t="str">
        <f ca="1">IFERROR(__xludf.DUMMYFUNCTION("""COMPUTED_VALUE"""),"")</f>
        <v/>
      </c>
      <c r="FJ81" s="117" t="str">
        <f ca="1">IFERROR(__xludf.DUMMYFUNCTION("""COMPUTED_VALUE"""),"")</f>
        <v/>
      </c>
      <c r="FK81" s="117" t="str">
        <f ca="1">IFERROR(__xludf.DUMMYFUNCTION("""COMPUTED_VALUE"""),"")</f>
        <v/>
      </c>
      <c r="FL81" s="117" t="str">
        <f ca="1">IFERROR(__xludf.DUMMYFUNCTION("""COMPUTED_VALUE"""),"")</f>
        <v/>
      </c>
      <c r="FM81" s="117" t="str">
        <f ca="1">IFERROR(__xludf.DUMMYFUNCTION("""COMPUTED_VALUE"""),"")</f>
        <v/>
      </c>
      <c r="FN81" s="117" t="str">
        <f ca="1">IFERROR(__xludf.DUMMYFUNCTION("""COMPUTED_VALUE"""),"")</f>
        <v/>
      </c>
      <c r="FO81" s="117" t="str">
        <f ca="1">IFERROR(__xludf.DUMMYFUNCTION("""COMPUTED_VALUE"""),"")</f>
        <v/>
      </c>
    </row>
    <row r="82" spans="1:171" ht="13" x14ac:dyDescent="0.15">
      <c r="A82" s="115" t="str">
        <f ca="1">IFERROR(__xludf.DUMMYFUNCTION("""COMPUTED_VALUE"""),"")</f>
        <v/>
      </c>
      <c r="B82" s="119" t="str">
        <f ca="1">IFERROR(__xludf.DUMMYFUNCTION("""COMPUTED_VALUE"""),"")</f>
        <v/>
      </c>
      <c r="C82" s="119" t="str">
        <f ca="1">IFERROR(__xludf.DUMMYFUNCTION("""COMPUTED_VALUE"""),"")</f>
        <v/>
      </c>
      <c r="D82" s="119" t="str">
        <f ca="1">IFERROR(__xludf.DUMMYFUNCTION("""COMPUTED_VALUE"""),"")</f>
        <v/>
      </c>
      <c r="E82" s="119" t="str">
        <f ca="1">IFERROR(__xludf.DUMMYFUNCTION("""COMPUTED_VALUE"""),"")</f>
        <v/>
      </c>
      <c r="F82" s="119" t="str">
        <f ca="1">IFERROR(__xludf.DUMMYFUNCTION("""COMPUTED_VALUE"""),"")</f>
        <v/>
      </c>
      <c r="G82" s="119" t="str">
        <f ca="1">IFERROR(__xludf.DUMMYFUNCTION("""COMPUTED_VALUE"""),"")</f>
        <v/>
      </c>
      <c r="H82" s="119" t="str">
        <f ca="1">IFERROR(__xludf.DUMMYFUNCTION("""COMPUTED_VALUE"""),"")</f>
        <v/>
      </c>
      <c r="I82" s="119" t="str">
        <f ca="1">IFERROR(__xludf.DUMMYFUNCTION("""COMPUTED_VALUE"""),"")</f>
        <v/>
      </c>
      <c r="J82" s="119" t="str">
        <f ca="1">IFERROR(__xludf.DUMMYFUNCTION("""COMPUTED_VALUE"""),"")</f>
        <v/>
      </c>
      <c r="K82" s="119" t="str">
        <f ca="1">IFERROR(__xludf.DUMMYFUNCTION("""COMPUTED_VALUE"""),"")</f>
        <v/>
      </c>
      <c r="L82" s="119" t="str">
        <f ca="1">IFERROR(__xludf.DUMMYFUNCTION("""COMPUTED_VALUE"""),"")</f>
        <v/>
      </c>
      <c r="M82" s="119" t="str">
        <f ca="1">IFERROR(__xludf.DUMMYFUNCTION("""COMPUTED_VALUE"""),"")</f>
        <v/>
      </c>
      <c r="N82" s="119" t="str">
        <f ca="1">IFERROR(__xludf.DUMMYFUNCTION("""COMPUTED_VALUE"""),"")</f>
        <v/>
      </c>
      <c r="O82" s="119" t="str">
        <f ca="1">IFERROR(__xludf.DUMMYFUNCTION("""COMPUTED_VALUE"""),"")</f>
        <v/>
      </c>
      <c r="P82" s="119" t="str">
        <f ca="1">IFERROR(__xludf.DUMMYFUNCTION("""COMPUTED_VALUE"""),"")</f>
        <v/>
      </c>
      <c r="Q82" s="119" t="str">
        <f ca="1">IFERROR(__xludf.DUMMYFUNCTION("""COMPUTED_VALUE"""),"")</f>
        <v/>
      </c>
      <c r="R82" s="119" t="str">
        <f ca="1">IFERROR(__xludf.DUMMYFUNCTION("""COMPUTED_VALUE"""),"")</f>
        <v/>
      </c>
      <c r="S82" s="119" t="str">
        <f ca="1">IFERROR(__xludf.DUMMYFUNCTION("""COMPUTED_VALUE"""),"")</f>
        <v/>
      </c>
      <c r="T82" s="119" t="str">
        <f ca="1">IFERROR(__xludf.DUMMYFUNCTION("""COMPUTED_VALUE"""),"")</f>
        <v/>
      </c>
      <c r="U82" s="119" t="str">
        <f ca="1">IFERROR(__xludf.DUMMYFUNCTION("""COMPUTED_VALUE"""),"")</f>
        <v/>
      </c>
      <c r="V82" s="119" t="str">
        <f ca="1">IFERROR(__xludf.DUMMYFUNCTION("""COMPUTED_VALUE"""),"")</f>
        <v/>
      </c>
      <c r="W82" s="119" t="str">
        <f ca="1">IFERROR(__xludf.DUMMYFUNCTION("""COMPUTED_VALUE"""),"")</f>
        <v/>
      </c>
      <c r="X82" s="119" t="str">
        <f ca="1">IFERROR(__xludf.DUMMYFUNCTION("""COMPUTED_VALUE"""),"")</f>
        <v/>
      </c>
      <c r="Y82" s="119" t="str">
        <f ca="1">IFERROR(__xludf.DUMMYFUNCTION("""COMPUTED_VALUE"""),"")</f>
        <v/>
      </c>
      <c r="Z82" s="119" t="str">
        <f ca="1">IFERROR(__xludf.DUMMYFUNCTION("""COMPUTED_VALUE"""),"")</f>
        <v/>
      </c>
      <c r="AA82" s="119" t="str">
        <f ca="1">IFERROR(__xludf.DUMMYFUNCTION("""COMPUTED_VALUE"""),"")</f>
        <v/>
      </c>
      <c r="AB82" s="119" t="str">
        <f ca="1">IFERROR(__xludf.DUMMYFUNCTION("""COMPUTED_VALUE"""),"")</f>
        <v/>
      </c>
      <c r="AC82" s="119" t="str">
        <f ca="1">IFERROR(__xludf.DUMMYFUNCTION("""COMPUTED_VALUE"""),"")</f>
        <v/>
      </c>
      <c r="AD82" s="119" t="str">
        <f ca="1">IFERROR(__xludf.DUMMYFUNCTION("""COMPUTED_VALUE"""),"")</f>
        <v/>
      </c>
      <c r="AE82" s="119" t="str">
        <f ca="1">IFERROR(__xludf.DUMMYFUNCTION("""COMPUTED_VALUE"""),"")</f>
        <v/>
      </c>
      <c r="AF82" s="119" t="str">
        <f ca="1">IFERROR(__xludf.DUMMYFUNCTION("""COMPUTED_VALUE"""),"")</f>
        <v/>
      </c>
      <c r="AG82" s="119" t="str">
        <f ca="1">IFERROR(__xludf.DUMMYFUNCTION("""COMPUTED_VALUE"""),"")</f>
        <v/>
      </c>
      <c r="AH82" s="119" t="str">
        <f ca="1">IFERROR(__xludf.DUMMYFUNCTION("""COMPUTED_VALUE"""),"")</f>
        <v/>
      </c>
      <c r="AI82" s="119" t="str">
        <f ca="1">IFERROR(__xludf.DUMMYFUNCTION("""COMPUTED_VALUE"""),"")</f>
        <v/>
      </c>
      <c r="AJ82" s="119" t="str">
        <f ca="1">IFERROR(__xludf.DUMMYFUNCTION("""COMPUTED_VALUE"""),"")</f>
        <v/>
      </c>
      <c r="AK82" s="119" t="str">
        <f ca="1">IFERROR(__xludf.DUMMYFUNCTION("""COMPUTED_VALUE"""),"")</f>
        <v/>
      </c>
      <c r="AL82" s="119" t="str">
        <f ca="1">IFERROR(__xludf.DUMMYFUNCTION("""COMPUTED_VALUE"""),"")</f>
        <v/>
      </c>
      <c r="AM82" s="119" t="str">
        <f ca="1">IFERROR(__xludf.DUMMYFUNCTION("""COMPUTED_VALUE"""),"")</f>
        <v/>
      </c>
      <c r="AN82" s="119" t="str">
        <f ca="1">IFERROR(__xludf.DUMMYFUNCTION("""COMPUTED_VALUE"""),"")</f>
        <v/>
      </c>
      <c r="AO82" s="119" t="str">
        <f ca="1">IFERROR(__xludf.DUMMYFUNCTION("""COMPUTED_VALUE"""),"")</f>
        <v/>
      </c>
      <c r="AP82" s="119" t="str">
        <f ca="1">IFERROR(__xludf.DUMMYFUNCTION("""COMPUTED_VALUE"""),"")</f>
        <v/>
      </c>
      <c r="AQ82" s="119" t="str">
        <f ca="1">IFERROR(__xludf.DUMMYFUNCTION("""COMPUTED_VALUE"""),"")</f>
        <v/>
      </c>
      <c r="AR82" s="118" t="str">
        <f ca="1">IFERROR(__xludf.DUMMYFUNCTION("""COMPUTED_VALUE"""),"")</f>
        <v/>
      </c>
      <c r="AS82" s="119" t="str">
        <f ca="1">IFERROR(__xludf.DUMMYFUNCTION("""COMPUTED_VALUE"""),"")</f>
        <v/>
      </c>
      <c r="AT82" s="119" t="str">
        <f ca="1">IFERROR(__xludf.DUMMYFUNCTION("""COMPUTED_VALUE"""),"")</f>
        <v/>
      </c>
      <c r="AU82" s="119" t="str">
        <f ca="1">IFERROR(__xludf.DUMMYFUNCTION("""COMPUTED_VALUE"""),"")</f>
        <v/>
      </c>
      <c r="AV82" s="119" t="str">
        <f ca="1">IFERROR(__xludf.DUMMYFUNCTION("""COMPUTED_VALUE"""),"")</f>
        <v/>
      </c>
      <c r="AW82" s="119" t="str">
        <f ca="1">IFERROR(__xludf.DUMMYFUNCTION("""COMPUTED_VALUE"""),"")</f>
        <v/>
      </c>
      <c r="AX82" s="119" t="str">
        <f ca="1">IFERROR(__xludf.DUMMYFUNCTION("""COMPUTED_VALUE"""),"")</f>
        <v/>
      </c>
      <c r="AY82" s="119" t="str">
        <f ca="1">IFERROR(__xludf.DUMMYFUNCTION("""COMPUTED_VALUE"""),"")</f>
        <v/>
      </c>
      <c r="AZ82" s="119" t="str">
        <f ca="1">IFERROR(__xludf.DUMMYFUNCTION("""COMPUTED_VALUE"""),"")</f>
        <v/>
      </c>
      <c r="BA82" s="119" t="str">
        <f ca="1">IFERROR(__xludf.DUMMYFUNCTION("""COMPUTED_VALUE"""),"")</f>
        <v/>
      </c>
      <c r="BB82" s="119" t="str">
        <f ca="1">IFERROR(__xludf.DUMMYFUNCTION("""COMPUTED_VALUE"""),"")</f>
        <v/>
      </c>
      <c r="BC82" s="119" t="str">
        <f ca="1">IFERROR(__xludf.DUMMYFUNCTION("""COMPUTED_VALUE"""),"")</f>
        <v/>
      </c>
      <c r="BD82" s="119" t="str">
        <f ca="1">IFERROR(__xludf.DUMMYFUNCTION("""COMPUTED_VALUE"""),"")</f>
        <v/>
      </c>
      <c r="BE82" s="119" t="str">
        <f ca="1">IFERROR(__xludf.DUMMYFUNCTION("""COMPUTED_VALUE"""),"")</f>
        <v/>
      </c>
      <c r="BF82" s="119" t="str">
        <f ca="1">IFERROR(__xludf.DUMMYFUNCTION("""COMPUTED_VALUE"""),"")</f>
        <v/>
      </c>
      <c r="BG82" s="119" t="str">
        <f ca="1">IFERROR(__xludf.DUMMYFUNCTION("""COMPUTED_VALUE"""),"")</f>
        <v/>
      </c>
      <c r="BH82" s="119" t="str">
        <f ca="1">IFERROR(__xludf.DUMMYFUNCTION("""COMPUTED_VALUE"""),"")</f>
        <v/>
      </c>
      <c r="BI82" s="119" t="str">
        <f ca="1">IFERROR(__xludf.DUMMYFUNCTION("""COMPUTED_VALUE"""),"")</f>
        <v/>
      </c>
      <c r="BJ82" s="119" t="str">
        <f ca="1">IFERROR(__xludf.DUMMYFUNCTION("""COMPUTED_VALUE"""),"")</f>
        <v/>
      </c>
      <c r="BK82" s="119" t="str">
        <f ca="1">IFERROR(__xludf.DUMMYFUNCTION("""COMPUTED_VALUE"""),"")</f>
        <v/>
      </c>
      <c r="BL82" s="119" t="str">
        <f ca="1">IFERROR(__xludf.DUMMYFUNCTION("""COMPUTED_VALUE"""),"")</f>
        <v/>
      </c>
      <c r="BM82" s="119" t="str">
        <f ca="1">IFERROR(__xludf.DUMMYFUNCTION("""COMPUTED_VALUE"""),"")</f>
        <v/>
      </c>
      <c r="BN82" s="119" t="str">
        <f ca="1">IFERROR(__xludf.DUMMYFUNCTION("""COMPUTED_VALUE"""),"")</f>
        <v/>
      </c>
      <c r="BO82" s="119" t="str">
        <f ca="1">IFERROR(__xludf.DUMMYFUNCTION("""COMPUTED_VALUE"""),"")</f>
        <v/>
      </c>
      <c r="BP82" s="119" t="str">
        <f ca="1">IFERROR(__xludf.DUMMYFUNCTION("""COMPUTED_VALUE"""),"")</f>
        <v/>
      </c>
      <c r="BQ82" s="119" t="str">
        <f ca="1">IFERROR(__xludf.DUMMYFUNCTION("""COMPUTED_VALUE"""),"")</f>
        <v/>
      </c>
      <c r="BR82" s="119" t="str">
        <f ca="1">IFERROR(__xludf.DUMMYFUNCTION("""COMPUTED_VALUE"""),"")</f>
        <v/>
      </c>
      <c r="BS82" s="119" t="str">
        <f ca="1">IFERROR(__xludf.DUMMYFUNCTION("""COMPUTED_VALUE"""),"")</f>
        <v/>
      </c>
      <c r="BT82" s="119" t="str">
        <f ca="1">IFERROR(__xludf.DUMMYFUNCTION("""COMPUTED_VALUE"""),"")</f>
        <v/>
      </c>
      <c r="BU82" s="119" t="str">
        <f ca="1">IFERROR(__xludf.DUMMYFUNCTION("""COMPUTED_VALUE"""),"")</f>
        <v/>
      </c>
      <c r="BV82" s="119" t="str">
        <f ca="1">IFERROR(__xludf.DUMMYFUNCTION("""COMPUTED_VALUE"""),"")</f>
        <v/>
      </c>
      <c r="BW82" s="119" t="str">
        <f ca="1">IFERROR(__xludf.DUMMYFUNCTION("""COMPUTED_VALUE"""),"")</f>
        <v/>
      </c>
      <c r="BX82" s="119" t="str">
        <f ca="1">IFERROR(__xludf.DUMMYFUNCTION("""COMPUTED_VALUE"""),"")</f>
        <v/>
      </c>
      <c r="BY82" s="119" t="str">
        <f ca="1">IFERROR(__xludf.DUMMYFUNCTION("""COMPUTED_VALUE"""),"")</f>
        <v/>
      </c>
      <c r="BZ82" s="119" t="str">
        <f ca="1">IFERROR(__xludf.DUMMYFUNCTION("""COMPUTED_VALUE"""),"")</f>
        <v/>
      </c>
      <c r="CA82" s="119" t="str">
        <f ca="1">IFERROR(__xludf.DUMMYFUNCTION("""COMPUTED_VALUE"""),"")</f>
        <v/>
      </c>
      <c r="CB82" s="119" t="str">
        <f ca="1">IFERROR(__xludf.DUMMYFUNCTION("""COMPUTED_VALUE"""),"")</f>
        <v/>
      </c>
      <c r="CC82" s="119" t="str">
        <f ca="1">IFERROR(__xludf.DUMMYFUNCTION("""COMPUTED_VALUE"""),"")</f>
        <v/>
      </c>
      <c r="CD82" s="119" t="str">
        <f ca="1">IFERROR(__xludf.DUMMYFUNCTION("""COMPUTED_VALUE"""),"")</f>
        <v/>
      </c>
      <c r="CE82" s="119" t="str">
        <f ca="1">IFERROR(__xludf.DUMMYFUNCTION("""COMPUTED_VALUE"""),"")</f>
        <v/>
      </c>
      <c r="CF82" s="119" t="str">
        <f ca="1">IFERROR(__xludf.DUMMYFUNCTION("""COMPUTED_VALUE"""),"")</f>
        <v/>
      </c>
      <c r="CG82" s="119" t="str">
        <f ca="1">IFERROR(__xludf.DUMMYFUNCTION("""COMPUTED_VALUE"""),"")</f>
        <v/>
      </c>
      <c r="CH82" s="119" t="str">
        <f ca="1">IFERROR(__xludf.DUMMYFUNCTION("""COMPUTED_VALUE"""),"")</f>
        <v/>
      </c>
      <c r="CI82" s="119" t="str">
        <f ca="1">IFERROR(__xludf.DUMMYFUNCTION("""COMPUTED_VALUE"""),"")</f>
        <v/>
      </c>
      <c r="CJ82" s="119" t="str">
        <f ca="1">IFERROR(__xludf.DUMMYFUNCTION("""COMPUTED_VALUE"""),"")</f>
        <v/>
      </c>
      <c r="CK82" s="119" t="str">
        <f ca="1">IFERROR(__xludf.DUMMYFUNCTION("""COMPUTED_VALUE"""),"")</f>
        <v/>
      </c>
      <c r="CL82" s="119" t="str">
        <f ca="1">IFERROR(__xludf.DUMMYFUNCTION("""COMPUTED_VALUE"""),"")</f>
        <v/>
      </c>
      <c r="CM82" s="119" t="str">
        <f ca="1">IFERROR(__xludf.DUMMYFUNCTION("""COMPUTED_VALUE"""),"")</f>
        <v/>
      </c>
      <c r="CN82" s="119" t="str">
        <f ca="1">IFERROR(__xludf.DUMMYFUNCTION("""COMPUTED_VALUE"""),"")</f>
        <v/>
      </c>
      <c r="CO82" s="119" t="str">
        <f ca="1">IFERROR(__xludf.DUMMYFUNCTION("""COMPUTED_VALUE"""),"")</f>
        <v/>
      </c>
      <c r="CP82" s="119" t="str">
        <f ca="1">IFERROR(__xludf.DUMMYFUNCTION("""COMPUTED_VALUE"""),"")</f>
        <v/>
      </c>
      <c r="CQ82" s="119" t="str">
        <f ca="1">IFERROR(__xludf.DUMMYFUNCTION("""COMPUTED_VALUE"""),"")</f>
        <v/>
      </c>
      <c r="CR82" s="119" t="str">
        <f ca="1">IFERROR(__xludf.DUMMYFUNCTION("""COMPUTED_VALUE"""),"")</f>
        <v/>
      </c>
      <c r="CS82" s="119" t="str">
        <f ca="1">IFERROR(__xludf.DUMMYFUNCTION("""COMPUTED_VALUE"""),"")</f>
        <v/>
      </c>
      <c r="CT82" s="119" t="str">
        <f ca="1">IFERROR(__xludf.DUMMYFUNCTION("""COMPUTED_VALUE"""),"")</f>
        <v/>
      </c>
      <c r="CU82" s="119" t="str">
        <f ca="1">IFERROR(__xludf.DUMMYFUNCTION("""COMPUTED_VALUE"""),"")</f>
        <v/>
      </c>
      <c r="CV82" s="119" t="str">
        <f ca="1">IFERROR(__xludf.DUMMYFUNCTION("""COMPUTED_VALUE"""),"")</f>
        <v/>
      </c>
      <c r="CW82" s="119" t="str">
        <f ca="1">IFERROR(__xludf.DUMMYFUNCTION("""COMPUTED_VALUE"""),"")</f>
        <v/>
      </c>
      <c r="CX82" s="119" t="str">
        <f ca="1">IFERROR(__xludf.DUMMYFUNCTION("""COMPUTED_VALUE"""),"")</f>
        <v/>
      </c>
      <c r="CY82" s="119" t="str">
        <f ca="1">IFERROR(__xludf.DUMMYFUNCTION("""COMPUTED_VALUE"""),"")</f>
        <v/>
      </c>
      <c r="CZ82" s="119" t="str">
        <f ca="1">IFERROR(__xludf.DUMMYFUNCTION("""COMPUTED_VALUE"""),"")</f>
        <v/>
      </c>
      <c r="DA82" s="119" t="str">
        <f ca="1">IFERROR(__xludf.DUMMYFUNCTION("""COMPUTED_VALUE"""),"")</f>
        <v/>
      </c>
      <c r="DB82" s="119" t="str">
        <f ca="1">IFERROR(__xludf.DUMMYFUNCTION("""COMPUTED_VALUE"""),"")</f>
        <v/>
      </c>
      <c r="DC82" s="119" t="str">
        <f ca="1">IFERROR(__xludf.DUMMYFUNCTION("""COMPUTED_VALUE"""),"")</f>
        <v/>
      </c>
      <c r="DD82" s="119" t="str">
        <f ca="1">IFERROR(__xludf.DUMMYFUNCTION("""COMPUTED_VALUE"""),"")</f>
        <v/>
      </c>
      <c r="DE82" s="119" t="str">
        <f ca="1">IFERROR(__xludf.DUMMYFUNCTION("""COMPUTED_VALUE"""),"")</f>
        <v/>
      </c>
      <c r="DF82" s="119" t="str">
        <f ca="1">IFERROR(__xludf.DUMMYFUNCTION("""COMPUTED_VALUE"""),"")</f>
        <v/>
      </c>
      <c r="DG82" s="119" t="str">
        <f ca="1">IFERROR(__xludf.DUMMYFUNCTION("""COMPUTED_VALUE"""),"")</f>
        <v/>
      </c>
      <c r="DH82" s="119" t="str">
        <f ca="1">IFERROR(__xludf.DUMMYFUNCTION("""COMPUTED_VALUE"""),"")</f>
        <v/>
      </c>
      <c r="DI82" s="119" t="str">
        <f ca="1">IFERROR(__xludf.DUMMYFUNCTION("""COMPUTED_VALUE"""),"")</f>
        <v/>
      </c>
      <c r="DJ82" s="119" t="str">
        <f ca="1">IFERROR(__xludf.DUMMYFUNCTION("""COMPUTED_VALUE"""),"")</f>
        <v/>
      </c>
      <c r="DK82" s="119" t="str">
        <f ca="1">IFERROR(__xludf.DUMMYFUNCTION("""COMPUTED_VALUE"""),"")</f>
        <v/>
      </c>
      <c r="DL82" s="119" t="str">
        <f ca="1">IFERROR(__xludf.DUMMYFUNCTION("""COMPUTED_VALUE"""),"")</f>
        <v/>
      </c>
      <c r="DM82" s="119" t="str">
        <f ca="1">IFERROR(__xludf.DUMMYFUNCTION("""COMPUTED_VALUE"""),"")</f>
        <v/>
      </c>
      <c r="DN82" s="119" t="str">
        <f ca="1">IFERROR(__xludf.DUMMYFUNCTION("""COMPUTED_VALUE"""),"")</f>
        <v/>
      </c>
      <c r="DO82" s="119" t="str">
        <f ca="1">IFERROR(__xludf.DUMMYFUNCTION("""COMPUTED_VALUE"""),"")</f>
        <v/>
      </c>
      <c r="DP82" s="119" t="str">
        <f ca="1">IFERROR(__xludf.DUMMYFUNCTION("""COMPUTED_VALUE"""),"")</f>
        <v/>
      </c>
      <c r="DQ82" s="119" t="str">
        <f ca="1">IFERROR(__xludf.DUMMYFUNCTION("""COMPUTED_VALUE"""),"")</f>
        <v/>
      </c>
      <c r="DR82" s="119" t="str">
        <f ca="1">IFERROR(__xludf.DUMMYFUNCTION("""COMPUTED_VALUE"""),"")</f>
        <v/>
      </c>
      <c r="DS82" s="119" t="str">
        <f ca="1">IFERROR(__xludf.DUMMYFUNCTION("""COMPUTED_VALUE"""),"")</f>
        <v/>
      </c>
      <c r="DT82" s="119" t="str">
        <f ca="1">IFERROR(__xludf.DUMMYFUNCTION("""COMPUTED_VALUE"""),"")</f>
        <v/>
      </c>
      <c r="DU82" s="119" t="str">
        <f ca="1">IFERROR(__xludf.DUMMYFUNCTION("""COMPUTED_VALUE"""),"")</f>
        <v/>
      </c>
      <c r="DV82" s="119" t="str">
        <f ca="1">IFERROR(__xludf.DUMMYFUNCTION("""COMPUTED_VALUE"""),"")</f>
        <v/>
      </c>
      <c r="DW82" s="119" t="str">
        <f ca="1">IFERROR(__xludf.DUMMYFUNCTION("""COMPUTED_VALUE"""),"")</f>
        <v/>
      </c>
      <c r="DX82" s="119" t="str">
        <f ca="1">IFERROR(__xludf.DUMMYFUNCTION("""COMPUTED_VALUE"""),"")</f>
        <v/>
      </c>
      <c r="DY82" s="119" t="str">
        <f ca="1">IFERROR(__xludf.DUMMYFUNCTION("""COMPUTED_VALUE"""),"")</f>
        <v/>
      </c>
      <c r="DZ82" s="119" t="str">
        <f ca="1">IFERROR(__xludf.DUMMYFUNCTION("""COMPUTED_VALUE"""),"")</f>
        <v/>
      </c>
      <c r="EA82" s="119" t="str">
        <f ca="1">IFERROR(__xludf.DUMMYFUNCTION("""COMPUTED_VALUE"""),"")</f>
        <v/>
      </c>
      <c r="EB82" s="119" t="str">
        <f ca="1">IFERROR(__xludf.DUMMYFUNCTION("""COMPUTED_VALUE"""),"")</f>
        <v/>
      </c>
      <c r="EC82" s="119" t="str">
        <f ca="1">IFERROR(__xludf.DUMMYFUNCTION("""COMPUTED_VALUE"""),"")</f>
        <v/>
      </c>
      <c r="ED82" s="119" t="str">
        <f ca="1">IFERROR(__xludf.DUMMYFUNCTION("""COMPUTED_VALUE"""),"")</f>
        <v/>
      </c>
      <c r="EE82" s="119" t="str">
        <f ca="1">IFERROR(__xludf.DUMMYFUNCTION("""COMPUTED_VALUE"""),"")</f>
        <v/>
      </c>
      <c r="EF82" s="119" t="str">
        <f ca="1">IFERROR(__xludf.DUMMYFUNCTION("""COMPUTED_VALUE"""),"")</f>
        <v/>
      </c>
      <c r="EG82" s="119" t="str">
        <f ca="1">IFERROR(__xludf.DUMMYFUNCTION("""COMPUTED_VALUE"""),"")</f>
        <v/>
      </c>
      <c r="EH82" s="119" t="str">
        <f ca="1">IFERROR(__xludf.DUMMYFUNCTION("""COMPUTED_VALUE"""),"")</f>
        <v/>
      </c>
      <c r="EI82" s="119" t="str">
        <f ca="1">IFERROR(__xludf.DUMMYFUNCTION("""COMPUTED_VALUE"""),"")</f>
        <v/>
      </c>
      <c r="EJ82" s="119" t="str">
        <f ca="1">IFERROR(__xludf.DUMMYFUNCTION("""COMPUTED_VALUE"""),"")</f>
        <v/>
      </c>
      <c r="EK82" s="119" t="str">
        <f ca="1">IFERROR(__xludf.DUMMYFUNCTION("""COMPUTED_VALUE"""),"")</f>
        <v/>
      </c>
      <c r="EL82" s="119" t="str">
        <f ca="1">IFERROR(__xludf.DUMMYFUNCTION("""COMPUTED_VALUE"""),"")</f>
        <v/>
      </c>
      <c r="EM82" s="119" t="str">
        <f ca="1">IFERROR(__xludf.DUMMYFUNCTION("""COMPUTED_VALUE"""),"")</f>
        <v/>
      </c>
      <c r="EN82" s="119" t="str">
        <f ca="1">IFERROR(__xludf.DUMMYFUNCTION("""COMPUTED_VALUE"""),"")</f>
        <v/>
      </c>
      <c r="EO82" s="119" t="str">
        <f ca="1">IFERROR(__xludf.DUMMYFUNCTION("""COMPUTED_VALUE"""),"")</f>
        <v/>
      </c>
      <c r="EP82" s="119" t="str">
        <f ca="1">IFERROR(__xludf.DUMMYFUNCTION("""COMPUTED_VALUE"""),"")</f>
        <v/>
      </c>
      <c r="EQ82" s="119" t="str">
        <f ca="1">IFERROR(__xludf.DUMMYFUNCTION("""COMPUTED_VALUE"""),"")</f>
        <v/>
      </c>
      <c r="ER82" s="119" t="str">
        <f ca="1">IFERROR(__xludf.DUMMYFUNCTION("""COMPUTED_VALUE"""),"")</f>
        <v/>
      </c>
      <c r="ES82" s="119" t="str">
        <f ca="1">IFERROR(__xludf.DUMMYFUNCTION("""COMPUTED_VALUE"""),"")</f>
        <v/>
      </c>
      <c r="ET82" s="119" t="str">
        <f ca="1">IFERROR(__xludf.DUMMYFUNCTION("""COMPUTED_VALUE"""),"")</f>
        <v/>
      </c>
      <c r="EU82" s="119" t="str">
        <f ca="1">IFERROR(__xludf.DUMMYFUNCTION("""COMPUTED_VALUE"""),"")</f>
        <v/>
      </c>
      <c r="EV82" s="119" t="str">
        <f ca="1">IFERROR(__xludf.DUMMYFUNCTION("""COMPUTED_VALUE"""),"")</f>
        <v/>
      </c>
      <c r="EW82" s="119" t="str">
        <f ca="1">IFERROR(__xludf.DUMMYFUNCTION("""COMPUTED_VALUE"""),"")</f>
        <v/>
      </c>
      <c r="EX82" s="117" t="str">
        <f ca="1">IFERROR(__xludf.DUMMYFUNCTION("""COMPUTED_VALUE"""),"")</f>
        <v/>
      </c>
      <c r="EY82" s="117" t="str">
        <f ca="1">IFERROR(__xludf.DUMMYFUNCTION("""COMPUTED_VALUE"""),"")</f>
        <v/>
      </c>
      <c r="EZ82" s="117" t="str">
        <f ca="1">IFERROR(__xludf.DUMMYFUNCTION("""COMPUTED_VALUE"""),"")</f>
        <v/>
      </c>
      <c r="FA82" s="117" t="str">
        <f ca="1">IFERROR(__xludf.DUMMYFUNCTION("""COMPUTED_VALUE"""),"")</f>
        <v/>
      </c>
      <c r="FB82" s="117" t="str">
        <f ca="1">IFERROR(__xludf.DUMMYFUNCTION("""COMPUTED_VALUE"""),"")</f>
        <v/>
      </c>
      <c r="FC82" s="117" t="str">
        <f ca="1">IFERROR(__xludf.DUMMYFUNCTION("""COMPUTED_VALUE"""),"")</f>
        <v/>
      </c>
      <c r="FD82" s="117" t="str">
        <f ca="1">IFERROR(__xludf.DUMMYFUNCTION("""COMPUTED_VALUE"""),"")</f>
        <v/>
      </c>
      <c r="FE82" s="117" t="str">
        <f ca="1">IFERROR(__xludf.DUMMYFUNCTION("""COMPUTED_VALUE"""),"")</f>
        <v/>
      </c>
      <c r="FF82" s="117" t="str">
        <f ca="1">IFERROR(__xludf.DUMMYFUNCTION("""COMPUTED_VALUE"""),"")</f>
        <v/>
      </c>
      <c r="FG82" s="117" t="str">
        <f ca="1">IFERROR(__xludf.DUMMYFUNCTION("""COMPUTED_VALUE"""),"")</f>
        <v/>
      </c>
      <c r="FH82" s="117" t="str">
        <f ca="1">IFERROR(__xludf.DUMMYFUNCTION("""COMPUTED_VALUE"""),"")</f>
        <v/>
      </c>
      <c r="FI82" s="117" t="str">
        <f ca="1">IFERROR(__xludf.DUMMYFUNCTION("""COMPUTED_VALUE"""),"")</f>
        <v/>
      </c>
      <c r="FJ82" s="117" t="str">
        <f ca="1">IFERROR(__xludf.DUMMYFUNCTION("""COMPUTED_VALUE"""),"")</f>
        <v/>
      </c>
      <c r="FK82" s="117" t="str">
        <f ca="1">IFERROR(__xludf.DUMMYFUNCTION("""COMPUTED_VALUE"""),"")</f>
        <v/>
      </c>
      <c r="FL82" s="117" t="str">
        <f ca="1">IFERROR(__xludf.DUMMYFUNCTION("""COMPUTED_VALUE"""),"")</f>
        <v/>
      </c>
      <c r="FM82" s="117" t="str">
        <f ca="1">IFERROR(__xludf.DUMMYFUNCTION("""COMPUTED_VALUE"""),"")</f>
        <v/>
      </c>
      <c r="FN82" s="117" t="str">
        <f ca="1">IFERROR(__xludf.DUMMYFUNCTION("""COMPUTED_VALUE"""),"")</f>
        <v/>
      </c>
      <c r="FO82" s="117" t="str">
        <f ca="1">IFERROR(__xludf.DUMMYFUNCTION("""COMPUTED_VALUE"""),"")</f>
        <v/>
      </c>
    </row>
    <row r="83" spans="1:171" ht="13" x14ac:dyDescent="0.15">
      <c r="A83" s="115" t="str">
        <f ca="1">IFERROR(__xludf.DUMMYFUNCTION("""COMPUTED_VALUE"""),"")</f>
        <v/>
      </c>
      <c r="B83" s="119" t="str">
        <f ca="1">IFERROR(__xludf.DUMMYFUNCTION("""COMPUTED_VALUE"""),"")</f>
        <v/>
      </c>
      <c r="C83" s="119" t="str">
        <f ca="1">IFERROR(__xludf.DUMMYFUNCTION("""COMPUTED_VALUE"""),"")</f>
        <v/>
      </c>
      <c r="D83" s="119" t="str">
        <f ca="1">IFERROR(__xludf.DUMMYFUNCTION("""COMPUTED_VALUE"""),"")</f>
        <v/>
      </c>
      <c r="E83" s="119" t="str">
        <f ca="1">IFERROR(__xludf.DUMMYFUNCTION("""COMPUTED_VALUE"""),"")</f>
        <v/>
      </c>
      <c r="F83" s="119" t="str">
        <f ca="1">IFERROR(__xludf.DUMMYFUNCTION("""COMPUTED_VALUE"""),"")</f>
        <v/>
      </c>
      <c r="G83" s="119" t="str">
        <f ca="1">IFERROR(__xludf.DUMMYFUNCTION("""COMPUTED_VALUE"""),"")</f>
        <v/>
      </c>
      <c r="H83" s="119" t="str">
        <f ca="1">IFERROR(__xludf.DUMMYFUNCTION("""COMPUTED_VALUE"""),"")</f>
        <v/>
      </c>
      <c r="I83" s="119" t="str">
        <f ca="1">IFERROR(__xludf.DUMMYFUNCTION("""COMPUTED_VALUE"""),"")</f>
        <v/>
      </c>
      <c r="J83" s="119" t="str">
        <f ca="1">IFERROR(__xludf.DUMMYFUNCTION("""COMPUTED_VALUE"""),"")</f>
        <v/>
      </c>
      <c r="K83" s="119" t="str">
        <f ca="1">IFERROR(__xludf.DUMMYFUNCTION("""COMPUTED_VALUE"""),"")</f>
        <v/>
      </c>
      <c r="L83" s="119" t="str">
        <f ca="1">IFERROR(__xludf.DUMMYFUNCTION("""COMPUTED_VALUE"""),"")</f>
        <v/>
      </c>
      <c r="M83" s="119" t="str">
        <f ca="1">IFERROR(__xludf.DUMMYFUNCTION("""COMPUTED_VALUE"""),"")</f>
        <v/>
      </c>
      <c r="N83" s="119" t="str">
        <f ca="1">IFERROR(__xludf.DUMMYFUNCTION("""COMPUTED_VALUE"""),"")</f>
        <v/>
      </c>
      <c r="O83" s="119" t="str">
        <f ca="1">IFERROR(__xludf.DUMMYFUNCTION("""COMPUTED_VALUE"""),"")</f>
        <v/>
      </c>
      <c r="P83" s="119" t="str">
        <f ca="1">IFERROR(__xludf.DUMMYFUNCTION("""COMPUTED_VALUE"""),"")</f>
        <v/>
      </c>
      <c r="Q83" s="119" t="str">
        <f ca="1">IFERROR(__xludf.DUMMYFUNCTION("""COMPUTED_VALUE"""),"")</f>
        <v/>
      </c>
      <c r="R83" s="119" t="str">
        <f ca="1">IFERROR(__xludf.DUMMYFUNCTION("""COMPUTED_VALUE"""),"")</f>
        <v/>
      </c>
      <c r="S83" s="119" t="str">
        <f ca="1">IFERROR(__xludf.DUMMYFUNCTION("""COMPUTED_VALUE"""),"")</f>
        <v/>
      </c>
      <c r="T83" s="119" t="str">
        <f ca="1">IFERROR(__xludf.DUMMYFUNCTION("""COMPUTED_VALUE"""),"")</f>
        <v/>
      </c>
      <c r="U83" s="119" t="str">
        <f ca="1">IFERROR(__xludf.DUMMYFUNCTION("""COMPUTED_VALUE"""),"")</f>
        <v/>
      </c>
      <c r="V83" s="119" t="str">
        <f ca="1">IFERROR(__xludf.DUMMYFUNCTION("""COMPUTED_VALUE"""),"")</f>
        <v/>
      </c>
      <c r="W83" s="119" t="str">
        <f ca="1">IFERROR(__xludf.DUMMYFUNCTION("""COMPUTED_VALUE"""),"")</f>
        <v/>
      </c>
      <c r="X83" s="119" t="str">
        <f ca="1">IFERROR(__xludf.DUMMYFUNCTION("""COMPUTED_VALUE"""),"")</f>
        <v/>
      </c>
      <c r="Y83" s="119" t="str">
        <f ca="1">IFERROR(__xludf.DUMMYFUNCTION("""COMPUTED_VALUE"""),"")</f>
        <v/>
      </c>
      <c r="Z83" s="119" t="str">
        <f ca="1">IFERROR(__xludf.DUMMYFUNCTION("""COMPUTED_VALUE"""),"")</f>
        <v/>
      </c>
      <c r="AA83" s="119" t="str">
        <f ca="1">IFERROR(__xludf.DUMMYFUNCTION("""COMPUTED_VALUE"""),"")</f>
        <v/>
      </c>
      <c r="AB83" s="119" t="str">
        <f ca="1">IFERROR(__xludf.DUMMYFUNCTION("""COMPUTED_VALUE"""),"")</f>
        <v/>
      </c>
      <c r="AC83" s="119" t="str">
        <f ca="1">IFERROR(__xludf.DUMMYFUNCTION("""COMPUTED_VALUE"""),"")</f>
        <v/>
      </c>
      <c r="AD83" s="119" t="str">
        <f ca="1">IFERROR(__xludf.DUMMYFUNCTION("""COMPUTED_VALUE"""),"")</f>
        <v/>
      </c>
      <c r="AE83" s="119" t="str">
        <f ca="1">IFERROR(__xludf.DUMMYFUNCTION("""COMPUTED_VALUE"""),"")</f>
        <v/>
      </c>
      <c r="AF83" s="119" t="str">
        <f ca="1">IFERROR(__xludf.DUMMYFUNCTION("""COMPUTED_VALUE"""),"")</f>
        <v/>
      </c>
      <c r="AG83" s="119" t="str">
        <f ca="1">IFERROR(__xludf.DUMMYFUNCTION("""COMPUTED_VALUE"""),"")</f>
        <v/>
      </c>
      <c r="AH83" s="119" t="str">
        <f ca="1">IFERROR(__xludf.DUMMYFUNCTION("""COMPUTED_VALUE"""),"")</f>
        <v/>
      </c>
      <c r="AI83" s="119" t="str">
        <f ca="1">IFERROR(__xludf.DUMMYFUNCTION("""COMPUTED_VALUE"""),"")</f>
        <v/>
      </c>
      <c r="AJ83" s="119" t="str">
        <f ca="1">IFERROR(__xludf.DUMMYFUNCTION("""COMPUTED_VALUE"""),"")</f>
        <v/>
      </c>
      <c r="AK83" s="119" t="str">
        <f ca="1">IFERROR(__xludf.DUMMYFUNCTION("""COMPUTED_VALUE"""),"")</f>
        <v/>
      </c>
      <c r="AL83" s="119" t="str">
        <f ca="1">IFERROR(__xludf.DUMMYFUNCTION("""COMPUTED_VALUE"""),"")</f>
        <v/>
      </c>
      <c r="AM83" s="119" t="str">
        <f ca="1">IFERROR(__xludf.DUMMYFUNCTION("""COMPUTED_VALUE"""),"")</f>
        <v/>
      </c>
      <c r="AN83" s="119" t="str">
        <f ca="1">IFERROR(__xludf.DUMMYFUNCTION("""COMPUTED_VALUE"""),"")</f>
        <v/>
      </c>
      <c r="AO83" s="119" t="str">
        <f ca="1">IFERROR(__xludf.DUMMYFUNCTION("""COMPUTED_VALUE"""),"")</f>
        <v/>
      </c>
      <c r="AP83" s="119" t="str">
        <f ca="1">IFERROR(__xludf.DUMMYFUNCTION("""COMPUTED_VALUE"""),"")</f>
        <v/>
      </c>
      <c r="AQ83" s="119" t="str">
        <f ca="1">IFERROR(__xludf.DUMMYFUNCTION("""COMPUTED_VALUE"""),"")</f>
        <v/>
      </c>
      <c r="AR83" s="118" t="str">
        <f ca="1">IFERROR(__xludf.DUMMYFUNCTION("""COMPUTED_VALUE"""),"")</f>
        <v/>
      </c>
      <c r="AS83" s="119" t="str">
        <f ca="1">IFERROR(__xludf.DUMMYFUNCTION("""COMPUTED_VALUE"""),"")</f>
        <v/>
      </c>
      <c r="AT83" s="119" t="str">
        <f ca="1">IFERROR(__xludf.DUMMYFUNCTION("""COMPUTED_VALUE"""),"")</f>
        <v/>
      </c>
      <c r="AU83" s="119" t="str">
        <f ca="1">IFERROR(__xludf.DUMMYFUNCTION("""COMPUTED_VALUE"""),"")</f>
        <v/>
      </c>
      <c r="AV83" s="119" t="str">
        <f ca="1">IFERROR(__xludf.DUMMYFUNCTION("""COMPUTED_VALUE"""),"")</f>
        <v/>
      </c>
      <c r="AW83" s="119" t="str">
        <f ca="1">IFERROR(__xludf.DUMMYFUNCTION("""COMPUTED_VALUE"""),"")</f>
        <v/>
      </c>
      <c r="AX83" s="119" t="str">
        <f ca="1">IFERROR(__xludf.DUMMYFUNCTION("""COMPUTED_VALUE"""),"")</f>
        <v/>
      </c>
      <c r="AY83" s="119" t="str">
        <f ca="1">IFERROR(__xludf.DUMMYFUNCTION("""COMPUTED_VALUE"""),"")</f>
        <v/>
      </c>
      <c r="AZ83" s="119" t="str">
        <f ca="1">IFERROR(__xludf.DUMMYFUNCTION("""COMPUTED_VALUE"""),"")</f>
        <v/>
      </c>
      <c r="BA83" s="119" t="str">
        <f ca="1">IFERROR(__xludf.DUMMYFUNCTION("""COMPUTED_VALUE"""),"")</f>
        <v/>
      </c>
      <c r="BB83" s="119" t="str">
        <f ca="1">IFERROR(__xludf.DUMMYFUNCTION("""COMPUTED_VALUE"""),"")</f>
        <v/>
      </c>
      <c r="BC83" s="119" t="str">
        <f ca="1">IFERROR(__xludf.DUMMYFUNCTION("""COMPUTED_VALUE"""),"")</f>
        <v/>
      </c>
      <c r="BD83" s="119" t="str">
        <f ca="1">IFERROR(__xludf.DUMMYFUNCTION("""COMPUTED_VALUE"""),"")</f>
        <v/>
      </c>
      <c r="BE83" s="119" t="str">
        <f ca="1">IFERROR(__xludf.DUMMYFUNCTION("""COMPUTED_VALUE"""),"")</f>
        <v/>
      </c>
      <c r="BF83" s="119" t="str">
        <f ca="1">IFERROR(__xludf.DUMMYFUNCTION("""COMPUTED_VALUE"""),"")</f>
        <v/>
      </c>
      <c r="BG83" s="119" t="str">
        <f ca="1">IFERROR(__xludf.DUMMYFUNCTION("""COMPUTED_VALUE"""),"")</f>
        <v/>
      </c>
      <c r="BH83" s="119" t="str">
        <f ca="1">IFERROR(__xludf.DUMMYFUNCTION("""COMPUTED_VALUE"""),"")</f>
        <v/>
      </c>
      <c r="BI83" s="119" t="str">
        <f ca="1">IFERROR(__xludf.DUMMYFUNCTION("""COMPUTED_VALUE"""),"")</f>
        <v/>
      </c>
      <c r="BJ83" s="119" t="str">
        <f ca="1">IFERROR(__xludf.DUMMYFUNCTION("""COMPUTED_VALUE"""),"")</f>
        <v/>
      </c>
      <c r="BK83" s="119" t="str">
        <f ca="1">IFERROR(__xludf.DUMMYFUNCTION("""COMPUTED_VALUE"""),"")</f>
        <v/>
      </c>
      <c r="BL83" s="119" t="str">
        <f ca="1">IFERROR(__xludf.DUMMYFUNCTION("""COMPUTED_VALUE"""),"")</f>
        <v/>
      </c>
      <c r="BM83" s="119" t="str">
        <f ca="1">IFERROR(__xludf.DUMMYFUNCTION("""COMPUTED_VALUE"""),"")</f>
        <v/>
      </c>
      <c r="BN83" s="119" t="str">
        <f ca="1">IFERROR(__xludf.DUMMYFUNCTION("""COMPUTED_VALUE"""),"")</f>
        <v/>
      </c>
      <c r="BO83" s="119" t="str">
        <f ca="1">IFERROR(__xludf.DUMMYFUNCTION("""COMPUTED_VALUE"""),"")</f>
        <v/>
      </c>
      <c r="BP83" s="119" t="str">
        <f ca="1">IFERROR(__xludf.DUMMYFUNCTION("""COMPUTED_VALUE"""),"")</f>
        <v/>
      </c>
      <c r="BQ83" s="119" t="str">
        <f ca="1">IFERROR(__xludf.DUMMYFUNCTION("""COMPUTED_VALUE"""),"")</f>
        <v/>
      </c>
      <c r="BR83" s="119" t="str">
        <f ca="1">IFERROR(__xludf.DUMMYFUNCTION("""COMPUTED_VALUE"""),"")</f>
        <v/>
      </c>
      <c r="BS83" s="119" t="str">
        <f ca="1">IFERROR(__xludf.DUMMYFUNCTION("""COMPUTED_VALUE"""),"")</f>
        <v/>
      </c>
      <c r="BT83" s="119" t="str">
        <f ca="1">IFERROR(__xludf.DUMMYFUNCTION("""COMPUTED_VALUE"""),"")</f>
        <v/>
      </c>
      <c r="BU83" s="119" t="str">
        <f ca="1">IFERROR(__xludf.DUMMYFUNCTION("""COMPUTED_VALUE"""),"")</f>
        <v/>
      </c>
      <c r="BV83" s="119" t="str">
        <f ca="1">IFERROR(__xludf.DUMMYFUNCTION("""COMPUTED_VALUE"""),"")</f>
        <v/>
      </c>
      <c r="BW83" s="119" t="str">
        <f ca="1">IFERROR(__xludf.DUMMYFUNCTION("""COMPUTED_VALUE"""),"")</f>
        <v/>
      </c>
      <c r="BX83" s="119" t="str">
        <f ca="1">IFERROR(__xludf.DUMMYFUNCTION("""COMPUTED_VALUE"""),"")</f>
        <v/>
      </c>
      <c r="BY83" s="119" t="str">
        <f ca="1">IFERROR(__xludf.DUMMYFUNCTION("""COMPUTED_VALUE"""),"")</f>
        <v/>
      </c>
      <c r="BZ83" s="119" t="str">
        <f ca="1">IFERROR(__xludf.DUMMYFUNCTION("""COMPUTED_VALUE"""),"")</f>
        <v/>
      </c>
      <c r="CA83" s="119" t="str">
        <f ca="1">IFERROR(__xludf.DUMMYFUNCTION("""COMPUTED_VALUE"""),"")</f>
        <v/>
      </c>
      <c r="CB83" s="119" t="str">
        <f ca="1">IFERROR(__xludf.DUMMYFUNCTION("""COMPUTED_VALUE"""),"")</f>
        <v/>
      </c>
      <c r="CC83" s="119" t="str">
        <f ca="1">IFERROR(__xludf.DUMMYFUNCTION("""COMPUTED_VALUE"""),"")</f>
        <v/>
      </c>
      <c r="CD83" s="119" t="str">
        <f ca="1">IFERROR(__xludf.DUMMYFUNCTION("""COMPUTED_VALUE"""),"")</f>
        <v/>
      </c>
      <c r="CE83" s="119" t="str">
        <f ca="1">IFERROR(__xludf.DUMMYFUNCTION("""COMPUTED_VALUE"""),"")</f>
        <v/>
      </c>
      <c r="CF83" s="119" t="str">
        <f ca="1">IFERROR(__xludf.DUMMYFUNCTION("""COMPUTED_VALUE"""),"")</f>
        <v/>
      </c>
      <c r="CG83" s="119" t="str">
        <f ca="1">IFERROR(__xludf.DUMMYFUNCTION("""COMPUTED_VALUE"""),"")</f>
        <v/>
      </c>
      <c r="CH83" s="119" t="str">
        <f ca="1">IFERROR(__xludf.DUMMYFUNCTION("""COMPUTED_VALUE"""),"")</f>
        <v/>
      </c>
      <c r="CI83" s="119" t="str">
        <f ca="1">IFERROR(__xludf.DUMMYFUNCTION("""COMPUTED_VALUE"""),"")</f>
        <v/>
      </c>
      <c r="CJ83" s="119" t="str">
        <f ca="1">IFERROR(__xludf.DUMMYFUNCTION("""COMPUTED_VALUE"""),"")</f>
        <v/>
      </c>
      <c r="CK83" s="119" t="str">
        <f ca="1">IFERROR(__xludf.DUMMYFUNCTION("""COMPUTED_VALUE"""),"")</f>
        <v/>
      </c>
      <c r="CL83" s="119" t="str">
        <f ca="1">IFERROR(__xludf.DUMMYFUNCTION("""COMPUTED_VALUE"""),"")</f>
        <v/>
      </c>
      <c r="CM83" s="119" t="str">
        <f ca="1">IFERROR(__xludf.DUMMYFUNCTION("""COMPUTED_VALUE"""),"")</f>
        <v/>
      </c>
      <c r="CN83" s="119" t="str">
        <f ca="1">IFERROR(__xludf.DUMMYFUNCTION("""COMPUTED_VALUE"""),"")</f>
        <v/>
      </c>
      <c r="CO83" s="119" t="str">
        <f ca="1">IFERROR(__xludf.DUMMYFUNCTION("""COMPUTED_VALUE"""),"")</f>
        <v/>
      </c>
      <c r="CP83" s="119" t="str">
        <f ca="1">IFERROR(__xludf.DUMMYFUNCTION("""COMPUTED_VALUE"""),"")</f>
        <v/>
      </c>
      <c r="CQ83" s="119" t="str">
        <f ca="1">IFERROR(__xludf.DUMMYFUNCTION("""COMPUTED_VALUE"""),"")</f>
        <v/>
      </c>
      <c r="CR83" s="119" t="str">
        <f ca="1">IFERROR(__xludf.DUMMYFUNCTION("""COMPUTED_VALUE"""),"")</f>
        <v/>
      </c>
      <c r="CS83" s="119" t="str">
        <f ca="1">IFERROR(__xludf.DUMMYFUNCTION("""COMPUTED_VALUE"""),"")</f>
        <v/>
      </c>
      <c r="CT83" s="119" t="str">
        <f ca="1">IFERROR(__xludf.DUMMYFUNCTION("""COMPUTED_VALUE"""),"")</f>
        <v/>
      </c>
      <c r="CU83" s="119" t="str">
        <f ca="1">IFERROR(__xludf.DUMMYFUNCTION("""COMPUTED_VALUE"""),"")</f>
        <v/>
      </c>
      <c r="CV83" s="119" t="str">
        <f ca="1">IFERROR(__xludf.DUMMYFUNCTION("""COMPUTED_VALUE"""),"")</f>
        <v/>
      </c>
      <c r="CW83" s="119" t="str">
        <f ca="1">IFERROR(__xludf.DUMMYFUNCTION("""COMPUTED_VALUE"""),"")</f>
        <v/>
      </c>
      <c r="CX83" s="119" t="str">
        <f ca="1">IFERROR(__xludf.DUMMYFUNCTION("""COMPUTED_VALUE"""),"")</f>
        <v/>
      </c>
      <c r="CY83" s="119" t="str">
        <f ca="1">IFERROR(__xludf.DUMMYFUNCTION("""COMPUTED_VALUE"""),"")</f>
        <v/>
      </c>
      <c r="CZ83" s="119" t="str">
        <f ca="1">IFERROR(__xludf.DUMMYFUNCTION("""COMPUTED_VALUE"""),"")</f>
        <v/>
      </c>
      <c r="DA83" s="119" t="str">
        <f ca="1">IFERROR(__xludf.DUMMYFUNCTION("""COMPUTED_VALUE"""),"")</f>
        <v/>
      </c>
      <c r="DB83" s="119" t="str">
        <f ca="1">IFERROR(__xludf.DUMMYFUNCTION("""COMPUTED_VALUE"""),"")</f>
        <v/>
      </c>
      <c r="DC83" s="119" t="str">
        <f ca="1">IFERROR(__xludf.DUMMYFUNCTION("""COMPUTED_VALUE"""),"")</f>
        <v/>
      </c>
      <c r="DD83" s="119" t="str">
        <f ca="1">IFERROR(__xludf.DUMMYFUNCTION("""COMPUTED_VALUE"""),"")</f>
        <v/>
      </c>
      <c r="DE83" s="119" t="str">
        <f ca="1">IFERROR(__xludf.DUMMYFUNCTION("""COMPUTED_VALUE"""),"")</f>
        <v/>
      </c>
      <c r="DF83" s="119" t="str">
        <f ca="1">IFERROR(__xludf.DUMMYFUNCTION("""COMPUTED_VALUE"""),"")</f>
        <v/>
      </c>
      <c r="DG83" s="119" t="str">
        <f ca="1">IFERROR(__xludf.DUMMYFUNCTION("""COMPUTED_VALUE"""),"")</f>
        <v/>
      </c>
      <c r="DH83" s="119" t="str">
        <f ca="1">IFERROR(__xludf.DUMMYFUNCTION("""COMPUTED_VALUE"""),"")</f>
        <v/>
      </c>
      <c r="DI83" s="119" t="str">
        <f ca="1">IFERROR(__xludf.DUMMYFUNCTION("""COMPUTED_VALUE"""),"")</f>
        <v/>
      </c>
      <c r="DJ83" s="119" t="str">
        <f ca="1">IFERROR(__xludf.DUMMYFUNCTION("""COMPUTED_VALUE"""),"")</f>
        <v/>
      </c>
      <c r="DK83" s="119" t="str">
        <f ca="1">IFERROR(__xludf.DUMMYFUNCTION("""COMPUTED_VALUE"""),"")</f>
        <v/>
      </c>
      <c r="DL83" s="119" t="str">
        <f ca="1">IFERROR(__xludf.DUMMYFUNCTION("""COMPUTED_VALUE"""),"")</f>
        <v/>
      </c>
      <c r="DM83" s="119" t="str">
        <f ca="1">IFERROR(__xludf.DUMMYFUNCTION("""COMPUTED_VALUE"""),"")</f>
        <v/>
      </c>
      <c r="DN83" s="119" t="str">
        <f ca="1">IFERROR(__xludf.DUMMYFUNCTION("""COMPUTED_VALUE"""),"")</f>
        <v/>
      </c>
      <c r="DO83" s="119" t="str">
        <f ca="1">IFERROR(__xludf.DUMMYFUNCTION("""COMPUTED_VALUE"""),"")</f>
        <v/>
      </c>
      <c r="DP83" s="119" t="str">
        <f ca="1">IFERROR(__xludf.DUMMYFUNCTION("""COMPUTED_VALUE"""),"")</f>
        <v/>
      </c>
      <c r="DQ83" s="119" t="str">
        <f ca="1">IFERROR(__xludf.DUMMYFUNCTION("""COMPUTED_VALUE"""),"")</f>
        <v/>
      </c>
      <c r="DR83" s="119" t="str">
        <f ca="1">IFERROR(__xludf.DUMMYFUNCTION("""COMPUTED_VALUE"""),"")</f>
        <v/>
      </c>
      <c r="DS83" s="119" t="str">
        <f ca="1">IFERROR(__xludf.DUMMYFUNCTION("""COMPUTED_VALUE"""),"")</f>
        <v/>
      </c>
      <c r="DT83" s="119" t="str">
        <f ca="1">IFERROR(__xludf.DUMMYFUNCTION("""COMPUTED_VALUE"""),"")</f>
        <v/>
      </c>
      <c r="DU83" s="119" t="str">
        <f ca="1">IFERROR(__xludf.DUMMYFUNCTION("""COMPUTED_VALUE"""),"")</f>
        <v/>
      </c>
      <c r="DV83" s="119" t="str">
        <f ca="1">IFERROR(__xludf.DUMMYFUNCTION("""COMPUTED_VALUE"""),"")</f>
        <v/>
      </c>
      <c r="DW83" s="119" t="str">
        <f ca="1">IFERROR(__xludf.DUMMYFUNCTION("""COMPUTED_VALUE"""),"")</f>
        <v/>
      </c>
      <c r="DX83" s="119" t="str">
        <f ca="1">IFERROR(__xludf.DUMMYFUNCTION("""COMPUTED_VALUE"""),"")</f>
        <v/>
      </c>
      <c r="DY83" s="119" t="str">
        <f ca="1">IFERROR(__xludf.DUMMYFUNCTION("""COMPUTED_VALUE"""),"")</f>
        <v/>
      </c>
      <c r="DZ83" s="119" t="str">
        <f ca="1">IFERROR(__xludf.DUMMYFUNCTION("""COMPUTED_VALUE"""),"")</f>
        <v/>
      </c>
      <c r="EA83" s="119" t="str">
        <f ca="1">IFERROR(__xludf.DUMMYFUNCTION("""COMPUTED_VALUE"""),"")</f>
        <v/>
      </c>
      <c r="EB83" s="119" t="str">
        <f ca="1">IFERROR(__xludf.DUMMYFUNCTION("""COMPUTED_VALUE"""),"")</f>
        <v/>
      </c>
      <c r="EC83" s="119" t="str">
        <f ca="1">IFERROR(__xludf.DUMMYFUNCTION("""COMPUTED_VALUE"""),"")</f>
        <v/>
      </c>
      <c r="ED83" s="119" t="str">
        <f ca="1">IFERROR(__xludf.DUMMYFUNCTION("""COMPUTED_VALUE"""),"")</f>
        <v/>
      </c>
      <c r="EE83" s="119" t="str">
        <f ca="1">IFERROR(__xludf.DUMMYFUNCTION("""COMPUTED_VALUE"""),"")</f>
        <v/>
      </c>
      <c r="EF83" s="119" t="str">
        <f ca="1">IFERROR(__xludf.DUMMYFUNCTION("""COMPUTED_VALUE"""),"")</f>
        <v/>
      </c>
      <c r="EG83" s="119" t="str">
        <f ca="1">IFERROR(__xludf.DUMMYFUNCTION("""COMPUTED_VALUE"""),"")</f>
        <v/>
      </c>
      <c r="EH83" s="119" t="str">
        <f ca="1">IFERROR(__xludf.DUMMYFUNCTION("""COMPUTED_VALUE"""),"")</f>
        <v/>
      </c>
      <c r="EI83" s="119" t="str">
        <f ca="1">IFERROR(__xludf.DUMMYFUNCTION("""COMPUTED_VALUE"""),"")</f>
        <v/>
      </c>
      <c r="EJ83" s="119" t="str">
        <f ca="1">IFERROR(__xludf.DUMMYFUNCTION("""COMPUTED_VALUE"""),"")</f>
        <v/>
      </c>
      <c r="EK83" s="119" t="str">
        <f ca="1">IFERROR(__xludf.DUMMYFUNCTION("""COMPUTED_VALUE"""),"")</f>
        <v/>
      </c>
      <c r="EL83" s="119" t="str">
        <f ca="1">IFERROR(__xludf.DUMMYFUNCTION("""COMPUTED_VALUE"""),"")</f>
        <v/>
      </c>
      <c r="EM83" s="119" t="str">
        <f ca="1">IFERROR(__xludf.DUMMYFUNCTION("""COMPUTED_VALUE"""),"")</f>
        <v/>
      </c>
      <c r="EN83" s="119" t="str">
        <f ca="1">IFERROR(__xludf.DUMMYFUNCTION("""COMPUTED_VALUE"""),"")</f>
        <v/>
      </c>
      <c r="EO83" s="119" t="str">
        <f ca="1">IFERROR(__xludf.DUMMYFUNCTION("""COMPUTED_VALUE"""),"")</f>
        <v/>
      </c>
      <c r="EP83" s="119" t="str">
        <f ca="1">IFERROR(__xludf.DUMMYFUNCTION("""COMPUTED_VALUE"""),"")</f>
        <v/>
      </c>
      <c r="EQ83" s="119" t="str">
        <f ca="1">IFERROR(__xludf.DUMMYFUNCTION("""COMPUTED_VALUE"""),"")</f>
        <v/>
      </c>
      <c r="ER83" s="119" t="str">
        <f ca="1">IFERROR(__xludf.DUMMYFUNCTION("""COMPUTED_VALUE"""),"")</f>
        <v/>
      </c>
      <c r="ES83" s="119" t="str">
        <f ca="1">IFERROR(__xludf.DUMMYFUNCTION("""COMPUTED_VALUE"""),"")</f>
        <v/>
      </c>
      <c r="ET83" s="119" t="str">
        <f ca="1">IFERROR(__xludf.DUMMYFUNCTION("""COMPUTED_VALUE"""),"")</f>
        <v/>
      </c>
      <c r="EU83" s="119" t="str">
        <f ca="1">IFERROR(__xludf.DUMMYFUNCTION("""COMPUTED_VALUE"""),"")</f>
        <v/>
      </c>
      <c r="EV83" s="119" t="str">
        <f ca="1">IFERROR(__xludf.DUMMYFUNCTION("""COMPUTED_VALUE"""),"")</f>
        <v/>
      </c>
      <c r="EW83" s="119" t="str">
        <f ca="1">IFERROR(__xludf.DUMMYFUNCTION("""COMPUTED_VALUE"""),"")</f>
        <v/>
      </c>
      <c r="EX83" s="117" t="str">
        <f ca="1">IFERROR(__xludf.DUMMYFUNCTION("""COMPUTED_VALUE"""),"")</f>
        <v/>
      </c>
      <c r="EY83" s="117" t="str">
        <f ca="1">IFERROR(__xludf.DUMMYFUNCTION("""COMPUTED_VALUE"""),"")</f>
        <v/>
      </c>
      <c r="EZ83" s="117" t="str">
        <f ca="1">IFERROR(__xludf.DUMMYFUNCTION("""COMPUTED_VALUE"""),"")</f>
        <v/>
      </c>
      <c r="FA83" s="117" t="str">
        <f ca="1">IFERROR(__xludf.DUMMYFUNCTION("""COMPUTED_VALUE"""),"")</f>
        <v/>
      </c>
      <c r="FB83" s="117" t="str">
        <f ca="1">IFERROR(__xludf.DUMMYFUNCTION("""COMPUTED_VALUE"""),"")</f>
        <v/>
      </c>
      <c r="FC83" s="117" t="str">
        <f ca="1">IFERROR(__xludf.DUMMYFUNCTION("""COMPUTED_VALUE"""),"")</f>
        <v/>
      </c>
      <c r="FD83" s="117" t="str">
        <f ca="1">IFERROR(__xludf.DUMMYFUNCTION("""COMPUTED_VALUE"""),"")</f>
        <v/>
      </c>
      <c r="FE83" s="117" t="str">
        <f ca="1">IFERROR(__xludf.DUMMYFUNCTION("""COMPUTED_VALUE"""),"")</f>
        <v/>
      </c>
      <c r="FF83" s="117" t="str">
        <f ca="1">IFERROR(__xludf.DUMMYFUNCTION("""COMPUTED_VALUE"""),"")</f>
        <v/>
      </c>
      <c r="FG83" s="117" t="str">
        <f ca="1">IFERROR(__xludf.DUMMYFUNCTION("""COMPUTED_VALUE"""),"")</f>
        <v/>
      </c>
      <c r="FH83" s="117" t="str">
        <f ca="1">IFERROR(__xludf.DUMMYFUNCTION("""COMPUTED_VALUE"""),"")</f>
        <v/>
      </c>
      <c r="FI83" s="117" t="str">
        <f ca="1">IFERROR(__xludf.DUMMYFUNCTION("""COMPUTED_VALUE"""),"")</f>
        <v/>
      </c>
      <c r="FJ83" s="117" t="str">
        <f ca="1">IFERROR(__xludf.DUMMYFUNCTION("""COMPUTED_VALUE"""),"")</f>
        <v/>
      </c>
      <c r="FK83" s="117" t="str">
        <f ca="1">IFERROR(__xludf.DUMMYFUNCTION("""COMPUTED_VALUE"""),"")</f>
        <v/>
      </c>
      <c r="FL83" s="117" t="str">
        <f ca="1">IFERROR(__xludf.DUMMYFUNCTION("""COMPUTED_VALUE"""),"")</f>
        <v/>
      </c>
      <c r="FM83" s="117" t="str">
        <f ca="1">IFERROR(__xludf.DUMMYFUNCTION("""COMPUTED_VALUE"""),"")</f>
        <v/>
      </c>
      <c r="FN83" s="117" t="str">
        <f ca="1">IFERROR(__xludf.DUMMYFUNCTION("""COMPUTED_VALUE"""),"")</f>
        <v/>
      </c>
      <c r="FO83" s="117" t="str">
        <f ca="1">IFERROR(__xludf.DUMMYFUNCTION("""COMPUTED_VALUE"""),"")</f>
        <v/>
      </c>
    </row>
    <row r="84" spans="1:171" ht="13" x14ac:dyDescent="0.15">
      <c r="A84" s="115" t="str">
        <f ca="1">IFERROR(__xludf.DUMMYFUNCTION("""COMPUTED_VALUE"""),"")</f>
        <v/>
      </c>
      <c r="B84" s="119" t="str">
        <f ca="1">IFERROR(__xludf.DUMMYFUNCTION("""COMPUTED_VALUE"""),"")</f>
        <v/>
      </c>
      <c r="C84" s="119" t="str">
        <f ca="1">IFERROR(__xludf.DUMMYFUNCTION("""COMPUTED_VALUE"""),"")</f>
        <v/>
      </c>
      <c r="D84" s="119" t="str">
        <f ca="1">IFERROR(__xludf.DUMMYFUNCTION("""COMPUTED_VALUE"""),"")</f>
        <v/>
      </c>
      <c r="E84" s="119" t="str">
        <f ca="1">IFERROR(__xludf.DUMMYFUNCTION("""COMPUTED_VALUE"""),"")</f>
        <v/>
      </c>
      <c r="F84" s="119" t="str">
        <f ca="1">IFERROR(__xludf.DUMMYFUNCTION("""COMPUTED_VALUE"""),"")</f>
        <v/>
      </c>
      <c r="G84" s="119" t="str">
        <f ca="1">IFERROR(__xludf.DUMMYFUNCTION("""COMPUTED_VALUE"""),"")</f>
        <v/>
      </c>
      <c r="H84" s="119" t="str">
        <f ca="1">IFERROR(__xludf.DUMMYFUNCTION("""COMPUTED_VALUE"""),"")</f>
        <v/>
      </c>
      <c r="I84" s="119" t="str">
        <f ca="1">IFERROR(__xludf.DUMMYFUNCTION("""COMPUTED_VALUE"""),"")</f>
        <v/>
      </c>
      <c r="J84" s="119" t="str">
        <f ca="1">IFERROR(__xludf.DUMMYFUNCTION("""COMPUTED_VALUE"""),"")</f>
        <v/>
      </c>
      <c r="K84" s="119" t="str">
        <f ca="1">IFERROR(__xludf.DUMMYFUNCTION("""COMPUTED_VALUE"""),"")</f>
        <v/>
      </c>
      <c r="L84" s="119" t="str">
        <f ca="1">IFERROR(__xludf.DUMMYFUNCTION("""COMPUTED_VALUE"""),"")</f>
        <v/>
      </c>
      <c r="M84" s="119" t="str">
        <f ca="1">IFERROR(__xludf.DUMMYFUNCTION("""COMPUTED_VALUE"""),"")</f>
        <v/>
      </c>
      <c r="N84" s="119" t="str">
        <f ca="1">IFERROR(__xludf.DUMMYFUNCTION("""COMPUTED_VALUE"""),"")</f>
        <v/>
      </c>
      <c r="O84" s="119" t="str">
        <f ca="1">IFERROR(__xludf.DUMMYFUNCTION("""COMPUTED_VALUE"""),"")</f>
        <v/>
      </c>
      <c r="P84" s="119" t="str">
        <f ca="1">IFERROR(__xludf.DUMMYFUNCTION("""COMPUTED_VALUE"""),"")</f>
        <v/>
      </c>
      <c r="Q84" s="119" t="str">
        <f ca="1">IFERROR(__xludf.DUMMYFUNCTION("""COMPUTED_VALUE"""),"")</f>
        <v/>
      </c>
      <c r="R84" s="119" t="str">
        <f ca="1">IFERROR(__xludf.DUMMYFUNCTION("""COMPUTED_VALUE"""),"")</f>
        <v/>
      </c>
      <c r="S84" s="119" t="str">
        <f ca="1">IFERROR(__xludf.DUMMYFUNCTION("""COMPUTED_VALUE"""),"")</f>
        <v/>
      </c>
      <c r="T84" s="119" t="str">
        <f ca="1">IFERROR(__xludf.DUMMYFUNCTION("""COMPUTED_VALUE"""),"")</f>
        <v/>
      </c>
      <c r="U84" s="119" t="str">
        <f ca="1">IFERROR(__xludf.DUMMYFUNCTION("""COMPUTED_VALUE"""),"")</f>
        <v/>
      </c>
      <c r="V84" s="119" t="str">
        <f ca="1">IFERROR(__xludf.DUMMYFUNCTION("""COMPUTED_VALUE"""),"")</f>
        <v/>
      </c>
      <c r="W84" s="119" t="str">
        <f ca="1">IFERROR(__xludf.DUMMYFUNCTION("""COMPUTED_VALUE"""),"")</f>
        <v/>
      </c>
      <c r="X84" s="119" t="str">
        <f ca="1">IFERROR(__xludf.DUMMYFUNCTION("""COMPUTED_VALUE"""),"")</f>
        <v/>
      </c>
      <c r="Y84" s="119" t="str">
        <f ca="1">IFERROR(__xludf.DUMMYFUNCTION("""COMPUTED_VALUE"""),"")</f>
        <v/>
      </c>
      <c r="Z84" s="119" t="str">
        <f ca="1">IFERROR(__xludf.DUMMYFUNCTION("""COMPUTED_VALUE"""),"")</f>
        <v/>
      </c>
      <c r="AA84" s="119" t="str">
        <f ca="1">IFERROR(__xludf.DUMMYFUNCTION("""COMPUTED_VALUE"""),"")</f>
        <v/>
      </c>
      <c r="AB84" s="119" t="str">
        <f ca="1">IFERROR(__xludf.DUMMYFUNCTION("""COMPUTED_VALUE"""),"")</f>
        <v/>
      </c>
      <c r="AC84" s="119" t="str">
        <f ca="1">IFERROR(__xludf.DUMMYFUNCTION("""COMPUTED_VALUE"""),"")</f>
        <v/>
      </c>
      <c r="AD84" s="119" t="str">
        <f ca="1">IFERROR(__xludf.DUMMYFUNCTION("""COMPUTED_VALUE"""),"")</f>
        <v/>
      </c>
      <c r="AE84" s="119" t="str">
        <f ca="1">IFERROR(__xludf.DUMMYFUNCTION("""COMPUTED_VALUE"""),"")</f>
        <v/>
      </c>
      <c r="AF84" s="119" t="str">
        <f ca="1">IFERROR(__xludf.DUMMYFUNCTION("""COMPUTED_VALUE"""),"")</f>
        <v/>
      </c>
      <c r="AG84" s="119" t="str">
        <f ca="1">IFERROR(__xludf.DUMMYFUNCTION("""COMPUTED_VALUE"""),"")</f>
        <v/>
      </c>
      <c r="AH84" s="119" t="str">
        <f ca="1">IFERROR(__xludf.DUMMYFUNCTION("""COMPUTED_VALUE"""),"")</f>
        <v/>
      </c>
      <c r="AI84" s="119" t="str">
        <f ca="1">IFERROR(__xludf.DUMMYFUNCTION("""COMPUTED_VALUE"""),"")</f>
        <v/>
      </c>
      <c r="AJ84" s="119" t="str">
        <f ca="1">IFERROR(__xludf.DUMMYFUNCTION("""COMPUTED_VALUE"""),"")</f>
        <v/>
      </c>
      <c r="AK84" s="119" t="str">
        <f ca="1">IFERROR(__xludf.DUMMYFUNCTION("""COMPUTED_VALUE"""),"")</f>
        <v/>
      </c>
      <c r="AL84" s="119" t="str">
        <f ca="1">IFERROR(__xludf.DUMMYFUNCTION("""COMPUTED_VALUE"""),"")</f>
        <v/>
      </c>
      <c r="AM84" s="119" t="str">
        <f ca="1">IFERROR(__xludf.DUMMYFUNCTION("""COMPUTED_VALUE"""),"")</f>
        <v/>
      </c>
      <c r="AN84" s="119" t="str">
        <f ca="1">IFERROR(__xludf.DUMMYFUNCTION("""COMPUTED_VALUE"""),"")</f>
        <v/>
      </c>
      <c r="AO84" s="119" t="str">
        <f ca="1">IFERROR(__xludf.DUMMYFUNCTION("""COMPUTED_VALUE"""),"")</f>
        <v/>
      </c>
      <c r="AP84" s="119" t="str">
        <f ca="1">IFERROR(__xludf.DUMMYFUNCTION("""COMPUTED_VALUE"""),"")</f>
        <v/>
      </c>
      <c r="AQ84" s="119" t="str">
        <f ca="1">IFERROR(__xludf.DUMMYFUNCTION("""COMPUTED_VALUE"""),"")</f>
        <v/>
      </c>
      <c r="AR84" s="118" t="str">
        <f ca="1">IFERROR(__xludf.DUMMYFUNCTION("""COMPUTED_VALUE"""),"")</f>
        <v/>
      </c>
      <c r="AS84" s="119" t="str">
        <f ca="1">IFERROR(__xludf.DUMMYFUNCTION("""COMPUTED_VALUE"""),"")</f>
        <v/>
      </c>
      <c r="AT84" s="119" t="str">
        <f ca="1">IFERROR(__xludf.DUMMYFUNCTION("""COMPUTED_VALUE"""),"")</f>
        <v/>
      </c>
      <c r="AU84" s="119" t="str">
        <f ca="1">IFERROR(__xludf.DUMMYFUNCTION("""COMPUTED_VALUE"""),"")</f>
        <v/>
      </c>
      <c r="AV84" s="119" t="str">
        <f ca="1">IFERROR(__xludf.DUMMYFUNCTION("""COMPUTED_VALUE"""),"")</f>
        <v/>
      </c>
      <c r="AW84" s="119" t="str">
        <f ca="1">IFERROR(__xludf.DUMMYFUNCTION("""COMPUTED_VALUE"""),"")</f>
        <v/>
      </c>
      <c r="AX84" s="119" t="str">
        <f ca="1">IFERROR(__xludf.DUMMYFUNCTION("""COMPUTED_VALUE"""),"")</f>
        <v/>
      </c>
      <c r="AY84" s="119" t="str">
        <f ca="1">IFERROR(__xludf.DUMMYFUNCTION("""COMPUTED_VALUE"""),"")</f>
        <v/>
      </c>
      <c r="AZ84" s="119" t="str">
        <f ca="1">IFERROR(__xludf.DUMMYFUNCTION("""COMPUTED_VALUE"""),"")</f>
        <v/>
      </c>
      <c r="BA84" s="119" t="str">
        <f ca="1">IFERROR(__xludf.DUMMYFUNCTION("""COMPUTED_VALUE"""),"")</f>
        <v/>
      </c>
      <c r="BB84" s="119" t="str">
        <f ca="1">IFERROR(__xludf.DUMMYFUNCTION("""COMPUTED_VALUE"""),"")</f>
        <v/>
      </c>
      <c r="BC84" s="119" t="str">
        <f ca="1">IFERROR(__xludf.DUMMYFUNCTION("""COMPUTED_VALUE"""),"")</f>
        <v/>
      </c>
      <c r="BD84" s="119" t="str">
        <f ca="1">IFERROR(__xludf.DUMMYFUNCTION("""COMPUTED_VALUE"""),"")</f>
        <v/>
      </c>
      <c r="BE84" s="119" t="str">
        <f ca="1">IFERROR(__xludf.DUMMYFUNCTION("""COMPUTED_VALUE"""),"")</f>
        <v/>
      </c>
      <c r="BF84" s="119" t="str">
        <f ca="1">IFERROR(__xludf.DUMMYFUNCTION("""COMPUTED_VALUE"""),"")</f>
        <v/>
      </c>
      <c r="BG84" s="119" t="str">
        <f ca="1">IFERROR(__xludf.DUMMYFUNCTION("""COMPUTED_VALUE"""),"")</f>
        <v/>
      </c>
      <c r="BH84" s="119" t="str">
        <f ca="1">IFERROR(__xludf.DUMMYFUNCTION("""COMPUTED_VALUE"""),"")</f>
        <v/>
      </c>
      <c r="BI84" s="119" t="str">
        <f ca="1">IFERROR(__xludf.DUMMYFUNCTION("""COMPUTED_VALUE"""),"")</f>
        <v/>
      </c>
      <c r="BJ84" s="119" t="str">
        <f ca="1">IFERROR(__xludf.DUMMYFUNCTION("""COMPUTED_VALUE"""),"")</f>
        <v/>
      </c>
      <c r="BK84" s="119" t="str">
        <f ca="1">IFERROR(__xludf.DUMMYFUNCTION("""COMPUTED_VALUE"""),"")</f>
        <v/>
      </c>
      <c r="BL84" s="119" t="str">
        <f ca="1">IFERROR(__xludf.DUMMYFUNCTION("""COMPUTED_VALUE"""),"")</f>
        <v/>
      </c>
      <c r="BM84" s="119" t="str">
        <f ca="1">IFERROR(__xludf.DUMMYFUNCTION("""COMPUTED_VALUE"""),"")</f>
        <v/>
      </c>
      <c r="BN84" s="119" t="str">
        <f ca="1">IFERROR(__xludf.DUMMYFUNCTION("""COMPUTED_VALUE"""),"")</f>
        <v/>
      </c>
      <c r="BO84" s="119" t="str">
        <f ca="1">IFERROR(__xludf.DUMMYFUNCTION("""COMPUTED_VALUE"""),"")</f>
        <v/>
      </c>
      <c r="BP84" s="119" t="str">
        <f ca="1">IFERROR(__xludf.DUMMYFUNCTION("""COMPUTED_VALUE"""),"")</f>
        <v/>
      </c>
      <c r="BQ84" s="119" t="str">
        <f ca="1">IFERROR(__xludf.DUMMYFUNCTION("""COMPUTED_VALUE"""),"")</f>
        <v/>
      </c>
      <c r="BR84" s="119" t="str">
        <f ca="1">IFERROR(__xludf.DUMMYFUNCTION("""COMPUTED_VALUE"""),"")</f>
        <v/>
      </c>
      <c r="BS84" s="119" t="str">
        <f ca="1">IFERROR(__xludf.DUMMYFUNCTION("""COMPUTED_VALUE"""),"")</f>
        <v/>
      </c>
      <c r="BT84" s="119" t="str">
        <f ca="1">IFERROR(__xludf.DUMMYFUNCTION("""COMPUTED_VALUE"""),"")</f>
        <v/>
      </c>
      <c r="BU84" s="119" t="str">
        <f ca="1">IFERROR(__xludf.DUMMYFUNCTION("""COMPUTED_VALUE"""),"")</f>
        <v/>
      </c>
      <c r="BV84" s="119" t="str">
        <f ca="1">IFERROR(__xludf.DUMMYFUNCTION("""COMPUTED_VALUE"""),"")</f>
        <v/>
      </c>
      <c r="BW84" s="119" t="str">
        <f ca="1">IFERROR(__xludf.DUMMYFUNCTION("""COMPUTED_VALUE"""),"")</f>
        <v/>
      </c>
      <c r="BX84" s="119" t="str">
        <f ca="1">IFERROR(__xludf.DUMMYFUNCTION("""COMPUTED_VALUE"""),"")</f>
        <v/>
      </c>
      <c r="BY84" s="119" t="str">
        <f ca="1">IFERROR(__xludf.DUMMYFUNCTION("""COMPUTED_VALUE"""),"")</f>
        <v/>
      </c>
      <c r="BZ84" s="119" t="str">
        <f ca="1">IFERROR(__xludf.DUMMYFUNCTION("""COMPUTED_VALUE"""),"")</f>
        <v/>
      </c>
      <c r="CA84" s="119" t="str">
        <f ca="1">IFERROR(__xludf.DUMMYFUNCTION("""COMPUTED_VALUE"""),"")</f>
        <v/>
      </c>
      <c r="CB84" s="119" t="str">
        <f ca="1">IFERROR(__xludf.DUMMYFUNCTION("""COMPUTED_VALUE"""),"")</f>
        <v/>
      </c>
      <c r="CC84" s="119" t="str">
        <f ca="1">IFERROR(__xludf.DUMMYFUNCTION("""COMPUTED_VALUE"""),"")</f>
        <v/>
      </c>
      <c r="CD84" s="119" t="str">
        <f ca="1">IFERROR(__xludf.DUMMYFUNCTION("""COMPUTED_VALUE"""),"")</f>
        <v/>
      </c>
      <c r="CE84" s="119" t="str">
        <f ca="1">IFERROR(__xludf.DUMMYFUNCTION("""COMPUTED_VALUE"""),"")</f>
        <v/>
      </c>
      <c r="CF84" s="119" t="str">
        <f ca="1">IFERROR(__xludf.DUMMYFUNCTION("""COMPUTED_VALUE"""),"")</f>
        <v/>
      </c>
      <c r="CG84" s="119" t="str">
        <f ca="1">IFERROR(__xludf.DUMMYFUNCTION("""COMPUTED_VALUE"""),"")</f>
        <v/>
      </c>
      <c r="CH84" s="119" t="str">
        <f ca="1">IFERROR(__xludf.DUMMYFUNCTION("""COMPUTED_VALUE"""),"")</f>
        <v/>
      </c>
      <c r="CI84" s="119" t="str">
        <f ca="1">IFERROR(__xludf.DUMMYFUNCTION("""COMPUTED_VALUE"""),"")</f>
        <v/>
      </c>
      <c r="CJ84" s="119" t="str">
        <f ca="1">IFERROR(__xludf.DUMMYFUNCTION("""COMPUTED_VALUE"""),"")</f>
        <v/>
      </c>
      <c r="CK84" s="119" t="str">
        <f ca="1">IFERROR(__xludf.DUMMYFUNCTION("""COMPUTED_VALUE"""),"")</f>
        <v/>
      </c>
      <c r="CL84" s="119" t="str">
        <f ca="1">IFERROR(__xludf.DUMMYFUNCTION("""COMPUTED_VALUE"""),"")</f>
        <v/>
      </c>
      <c r="CM84" s="119" t="str">
        <f ca="1">IFERROR(__xludf.DUMMYFUNCTION("""COMPUTED_VALUE"""),"")</f>
        <v/>
      </c>
      <c r="CN84" s="119" t="str">
        <f ca="1">IFERROR(__xludf.DUMMYFUNCTION("""COMPUTED_VALUE"""),"")</f>
        <v/>
      </c>
      <c r="CO84" s="119" t="str">
        <f ca="1">IFERROR(__xludf.DUMMYFUNCTION("""COMPUTED_VALUE"""),"")</f>
        <v/>
      </c>
      <c r="CP84" s="119" t="str">
        <f ca="1">IFERROR(__xludf.DUMMYFUNCTION("""COMPUTED_VALUE"""),"")</f>
        <v/>
      </c>
      <c r="CQ84" s="119" t="str">
        <f ca="1">IFERROR(__xludf.DUMMYFUNCTION("""COMPUTED_VALUE"""),"")</f>
        <v/>
      </c>
      <c r="CR84" s="119" t="str">
        <f ca="1">IFERROR(__xludf.DUMMYFUNCTION("""COMPUTED_VALUE"""),"")</f>
        <v/>
      </c>
      <c r="CS84" s="119" t="str">
        <f ca="1">IFERROR(__xludf.DUMMYFUNCTION("""COMPUTED_VALUE"""),"")</f>
        <v/>
      </c>
      <c r="CT84" s="119" t="str">
        <f ca="1">IFERROR(__xludf.DUMMYFUNCTION("""COMPUTED_VALUE"""),"")</f>
        <v/>
      </c>
      <c r="CU84" s="119" t="str">
        <f ca="1">IFERROR(__xludf.DUMMYFUNCTION("""COMPUTED_VALUE"""),"")</f>
        <v/>
      </c>
      <c r="CV84" s="119" t="str">
        <f ca="1">IFERROR(__xludf.DUMMYFUNCTION("""COMPUTED_VALUE"""),"")</f>
        <v/>
      </c>
      <c r="CW84" s="119" t="str">
        <f ca="1">IFERROR(__xludf.DUMMYFUNCTION("""COMPUTED_VALUE"""),"")</f>
        <v/>
      </c>
      <c r="CX84" s="119" t="str">
        <f ca="1">IFERROR(__xludf.DUMMYFUNCTION("""COMPUTED_VALUE"""),"")</f>
        <v/>
      </c>
      <c r="CY84" s="119" t="str">
        <f ca="1">IFERROR(__xludf.DUMMYFUNCTION("""COMPUTED_VALUE"""),"")</f>
        <v/>
      </c>
      <c r="CZ84" s="119" t="str">
        <f ca="1">IFERROR(__xludf.DUMMYFUNCTION("""COMPUTED_VALUE"""),"")</f>
        <v/>
      </c>
      <c r="DA84" s="119" t="str">
        <f ca="1">IFERROR(__xludf.DUMMYFUNCTION("""COMPUTED_VALUE"""),"")</f>
        <v/>
      </c>
      <c r="DB84" s="119" t="str">
        <f ca="1">IFERROR(__xludf.DUMMYFUNCTION("""COMPUTED_VALUE"""),"")</f>
        <v/>
      </c>
      <c r="DC84" s="119" t="str">
        <f ca="1">IFERROR(__xludf.DUMMYFUNCTION("""COMPUTED_VALUE"""),"")</f>
        <v/>
      </c>
      <c r="DD84" s="119" t="str">
        <f ca="1">IFERROR(__xludf.DUMMYFUNCTION("""COMPUTED_VALUE"""),"")</f>
        <v/>
      </c>
      <c r="DE84" s="119" t="str">
        <f ca="1">IFERROR(__xludf.DUMMYFUNCTION("""COMPUTED_VALUE"""),"")</f>
        <v/>
      </c>
      <c r="DF84" s="119" t="str">
        <f ca="1">IFERROR(__xludf.DUMMYFUNCTION("""COMPUTED_VALUE"""),"")</f>
        <v/>
      </c>
      <c r="DG84" s="119" t="str">
        <f ca="1">IFERROR(__xludf.DUMMYFUNCTION("""COMPUTED_VALUE"""),"")</f>
        <v/>
      </c>
      <c r="DH84" s="119" t="str">
        <f ca="1">IFERROR(__xludf.DUMMYFUNCTION("""COMPUTED_VALUE"""),"")</f>
        <v/>
      </c>
      <c r="DI84" s="119" t="str">
        <f ca="1">IFERROR(__xludf.DUMMYFUNCTION("""COMPUTED_VALUE"""),"")</f>
        <v/>
      </c>
      <c r="DJ84" s="119" t="str">
        <f ca="1">IFERROR(__xludf.DUMMYFUNCTION("""COMPUTED_VALUE"""),"")</f>
        <v/>
      </c>
      <c r="DK84" s="119" t="str">
        <f ca="1">IFERROR(__xludf.DUMMYFUNCTION("""COMPUTED_VALUE"""),"")</f>
        <v/>
      </c>
      <c r="DL84" s="119" t="str">
        <f ca="1">IFERROR(__xludf.DUMMYFUNCTION("""COMPUTED_VALUE"""),"")</f>
        <v/>
      </c>
      <c r="DM84" s="119" t="str">
        <f ca="1">IFERROR(__xludf.DUMMYFUNCTION("""COMPUTED_VALUE"""),"")</f>
        <v/>
      </c>
      <c r="DN84" s="119" t="str">
        <f ca="1">IFERROR(__xludf.DUMMYFUNCTION("""COMPUTED_VALUE"""),"")</f>
        <v/>
      </c>
      <c r="DO84" s="119" t="str">
        <f ca="1">IFERROR(__xludf.DUMMYFUNCTION("""COMPUTED_VALUE"""),"")</f>
        <v/>
      </c>
      <c r="DP84" s="119" t="str">
        <f ca="1">IFERROR(__xludf.DUMMYFUNCTION("""COMPUTED_VALUE"""),"")</f>
        <v/>
      </c>
      <c r="DQ84" s="119" t="str">
        <f ca="1">IFERROR(__xludf.DUMMYFUNCTION("""COMPUTED_VALUE"""),"")</f>
        <v/>
      </c>
      <c r="DR84" s="119" t="str">
        <f ca="1">IFERROR(__xludf.DUMMYFUNCTION("""COMPUTED_VALUE"""),"")</f>
        <v/>
      </c>
      <c r="DS84" s="119" t="str">
        <f ca="1">IFERROR(__xludf.DUMMYFUNCTION("""COMPUTED_VALUE"""),"")</f>
        <v/>
      </c>
      <c r="DT84" s="119" t="str">
        <f ca="1">IFERROR(__xludf.DUMMYFUNCTION("""COMPUTED_VALUE"""),"")</f>
        <v/>
      </c>
      <c r="DU84" s="119" t="str">
        <f ca="1">IFERROR(__xludf.DUMMYFUNCTION("""COMPUTED_VALUE"""),"")</f>
        <v/>
      </c>
      <c r="DV84" s="119" t="str">
        <f ca="1">IFERROR(__xludf.DUMMYFUNCTION("""COMPUTED_VALUE"""),"")</f>
        <v/>
      </c>
      <c r="DW84" s="119" t="str">
        <f ca="1">IFERROR(__xludf.DUMMYFUNCTION("""COMPUTED_VALUE"""),"")</f>
        <v/>
      </c>
      <c r="DX84" s="119" t="str">
        <f ca="1">IFERROR(__xludf.DUMMYFUNCTION("""COMPUTED_VALUE"""),"")</f>
        <v/>
      </c>
      <c r="DY84" s="119" t="str">
        <f ca="1">IFERROR(__xludf.DUMMYFUNCTION("""COMPUTED_VALUE"""),"")</f>
        <v/>
      </c>
      <c r="DZ84" s="119" t="str">
        <f ca="1">IFERROR(__xludf.DUMMYFUNCTION("""COMPUTED_VALUE"""),"")</f>
        <v/>
      </c>
      <c r="EA84" s="119" t="str">
        <f ca="1">IFERROR(__xludf.DUMMYFUNCTION("""COMPUTED_VALUE"""),"")</f>
        <v/>
      </c>
      <c r="EB84" s="119" t="str">
        <f ca="1">IFERROR(__xludf.DUMMYFUNCTION("""COMPUTED_VALUE"""),"")</f>
        <v/>
      </c>
      <c r="EC84" s="119" t="str">
        <f ca="1">IFERROR(__xludf.DUMMYFUNCTION("""COMPUTED_VALUE"""),"")</f>
        <v/>
      </c>
      <c r="ED84" s="119" t="str">
        <f ca="1">IFERROR(__xludf.DUMMYFUNCTION("""COMPUTED_VALUE"""),"")</f>
        <v/>
      </c>
      <c r="EE84" s="119" t="str">
        <f ca="1">IFERROR(__xludf.DUMMYFUNCTION("""COMPUTED_VALUE"""),"")</f>
        <v/>
      </c>
      <c r="EF84" s="119" t="str">
        <f ca="1">IFERROR(__xludf.DUMMYFUNCTION("""COMPUTED_VALUE"""),"")</f>
        <v/>
      </c>
      <c r="EG84" s="119" t="str">
        <f ca="1">IFERROR(__xludf.DUMMYFUNCTION("""COMPUTED_VALUE"""),"")</f>
        <v/>
      </c>
      <c r="EH84" s="119" t="str">
        <f ca="1">IFERROR(__xludf.DUMMYFUNCTION("""COMPUTED_VALUE"""),"")</f>
        <v/>
      </c>
      <c r="EI84" s="119" t="str">
        <f ca="1">IFERROR(__xludf.DUMMYFUNCTION("""COMPUTED_VALUE"""),"")</f>
        <v/>
      </c>
      <c r="EJ84" s="119" t="str">
        <f ca="1">IFERROR(__xludf.DUMMYFUNCTION("""COMPUTED_VALUE"""),"")</f>
        <v/>
      </c>
      <c r="EK84" s="119" t="str">
        <f ca="1">IFERROR(__xludf.DUMMYFUNCTION("""COMPUTED_VALUE"""),"")</f>
        <v/>
      </c>
      <c r="EL84" s="119" t="str">
        <f ca="1">IFERROR(__xludf.DUMMYFUNCTION("""COMPUTED_VALUE"""),"")</f>
        <v/>
      </c>
      <c r="EM84" s="119" t="str">
        <f ca="1">IFERROR(__xludf.DUMMYFUNCTION("""COMPUTED_VALUE"""),"")</f>
        <v/>
      </c>
      <c r="EN84" s="119" t="str">
        <f ca="1">IFERROR(__xludf.DUMMYFUNCTION("""COMPUTED_VALUE"""),"")</f>
        <v/>
      </c>
      <c r="EO84" s="119" t="str">
        <f ca="1">IFERROR(__xludf.DUMMYFUNCTION("""COMPUTED_VALUE"""),"")</f>
        <v/>
      </c>
      <c r="EP84" s="119" t="str">
        <f ca="1">IFERROR(__xludf.DUMMYFUNCTION("""COMPUTED_VALUE"""),"")</f>
        <v/>
      </c>
      <c r="EQ84" s="119" t="str">
        <f ca="1">IFERROR(__xludf.DUMMYFUNCTION("""COMPUTED_VALUE"""),"")</f>
        <v/>
      </c>
      <c r="ER84" s="119" t="str">
        <f ca="1">IFERROR(__xludf.DUMMYFUNCTION("""COMPUTED_VALUE"""),"")</f>
        <v/>
      </c>
      <c r="ES84" s="119" t="str">
        <f ca="1">IFERROR(__xludf.DUMMYFUNCTION("""COMPUTED_VALUE"""),"")</f>
        <v/>
      </c>
      <c r="ET84" s="119" t="str">
        <f ca="1">IFERROR(__xludf.DUMMYFUNCTION("""COMPUTED_VALUE"""),"")</f>
        <v/>
      </c>
      <c r="EU84" s="119" t="str">
        <f ca="1">IFERROR(__xludf.DUMMYFUNCTION("""COMPUTED_VALUE"""),"")</f>
        <v/>
      </c>
      <c r="EV84" s="119" t="str">
        <f ca="1">IFERROR(__xludf.DUMMYFUNCTION("""COMPUTED_VALUE"""),"")</f>
        <v/>
      </c>
      <c r="EW84" s="119" t="str">
        <f ca="1">IFERROR(__xludf.DUMMYFUNCTION("""COMPUTED_VALUE"""),"")</f>
        <v/>
      </c>
      <c r="EX84" s="117" t="str">
        <f ca="1">IFERROR(__xludf.DUMMYFUNCTION("""COMPUTED_VALUE"""),"")</f>
        <v/>
      </c>
      <c r="EY84" s="117" t="str">
        <f ca="1">IFERROR(__xludf.DUMMYFUNCTION("""COMPUTED_VALUE"""),"")</f>
        <v/>
      </c>
      <c r="EZ84" s="117" t="str">
        <f ca="1">IFERROR(__xludf.DUMMYFUNCTION("""COMPUTED_VALUE"""),"")</f>
        <v/>
      </c>
      <c r="FA84" s="117" t="str">
        <f ca="1">IFERROR(__xludf.DUMMYFUNCTION("""COMPUTED_VALUE"""),"")</f>
        <v/>
      </c>
      <c r="FB84" s="117" t="str">
        <f ca="1">IFERROR(__xludf.DUMMYFUNCTION("""COMPUTED_VALUE"""),"")</f>
        <v/>
      </c>
      <c r="FC84" s="117" t="str">
        <f ca="1">IFERROR(__xludf.DUMMYFUNCTION("""COMPUTED_VALUE"""),"")</f>
        <v/>
      </c>
      <c r="FD84" s="117" t="str">
        <f ca="1">IFERROR(__xludf.DUMMYFUNCTION("""COMPUTED_VALUE"""),"")</f>
        <v/>
      </c>
      <c r="FE84" s="117" t="str">
        <f ca="1">IFERROR(__xludf.DUMMYFUNCTION("""COMPUTED_VALUE"""),"")</f>
        <v/>
      </c>
      <c r="FF84" s="117" t="str">
        <f ca="1">IFERROR(__xludf.DUMMYFUNCTION("""COMPUTED_VALUE"""),"")</f>
        <v/>
      </c>
      <c r="FG84" s="117" t="str">
        <f ca="1">IFERROR(__xludf.DUMMYFUNCTION("""COMPUTED_VALUE"""),"")</f>
        <v/>
      </c>
      <c r="FH84" s="117" t="str">
        <f ca="1">IFERROR(__xludf.DUMMYFUNCTION("""COMPUTED_VALUE"""),"")</f>
        <v/>
      </c>
      <c r="FI84" s="117" t="str">
        <f ca="1">IFERROR(__xludf.DUMMYFUNCTION("""COMPUTED_VALUE"""),"")</f>
        <v/>
      </c>
      <c r="FJ84" s="117" t="str">
        <f ca="1">IFERROR(__xludf.DUMMYFUNCTION("""COMPUTED_VALUE"""),"")</f>
        <v/>
      </c>
      <c r="FK84" s="117" t="str">
        <f ca="1">IFERROR(__xludf.DUMMYFUNCTION("""COMPUTED_VALUE"""),"")</f>
        <v/>
      </c>
      <c r="FL84" s="117" t="str">
        <f ca="1">IFERROR(__xludf.DUMMYFUNCTION("""COMPUTED_VALUE"""),"")</f>
        <v/>
      </c>
      <c r="FM84" s="117" t="str">
        <f ca="1">IFERROR(__xludf.DUMMYFUNCTION("""COMPUTED_VALUE"""),"")</f>
        <v/>
      </c>
      <c r="FN84" s="117" t="str">
        <f ca="1">IFERROR(__xludf.DUMMYFUNCTION("""COMPUTED_VALUE"""),"")</f>
        <v/>
      </c>
      <c r="FO84" s="117" t="str">
        <f ca="1">IFERROR(__xludf.DUMMYFUNCTION("""COMPUTED_VALUE"""),"")</f>
        <v/>
      </c>
    </row>
    <row r="85" spans="1:171" ht="13" x14ac:dyDescent="0.15">
      <c r="A85" s="115"/>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c r="AB85" s="119"/>
      <c r="AC85" s="119"/>
      <c r="AD85" s="119"/>
      <c r="AE85" s="119"/>
      <c r="AF85" s="119"/>
      <c r="AG85" s="119"/>
      <c r="AH85" s="119"/>
      <c r="AI85" s="119"/>
      <c r="AJ85" s="119"/>
      <c r="AK85" s="119"/>
      <c r="AL85" s="119"/>
      <c r="AM85" s="119"/>
      <c r="AN85" s="119"/>
      <c r="AO85" s="119"/>
      <c r="AP85" s="119"/>
      <c r="AQ85" s="119"/>
      <c r="AR85" s="118"/>
      <c r="AS85" s="119"/>
      <c r="AT85" s="119"/>
      <c r="AU85" s="119"/>
      <c r="AV85" s="119"/>
      <c r="AW85" s="119"/>
      <c r="AX85" s="119"/>
      <c r="AY85" s="119"/>
      <c r="AZ85" s="119"/>
      <c r="BA85" s="119"/>
      <c r="BB85" s="119"/>
      <c r="BC85" s="119"/>
      <c r="BD85" s="119"/>
      <c r="BE85" s="119"/>
      <c r="BF85" s="119"/>
      <c r="BG85" s="119"/>
      <c r="BH85" s="119"/>
      <c r="BI85" s="119"/>
      <c r="BJ85" s="119"/>
      <c r="BK85" s="119"/>
      <c r="BL85" s="119"/>
      <c r="BM85" s="119"/>
      <c r="BN85" s="119"/>
      <c r="BO85" s="119"/>
      <c r="BP85" s="119"/>
      <c r="BQ85" s="119"/>
      <c r="BR85" s="119"/>
      <c r="BS85" s="119"/>
      <c r="BT85" s="119"/>
      <c r="BU85" s="119"/>
      <c r="BV85" s="119"/>
      <c r="BW85" s="119"/>
      <c r="BX85" s="119"/>
      <c r="BY85" s="119"/>
      <c r="BZ85" s="119"/>
      <c r="CA85" s="119"/>
      <c r="CB85" s="119"/>
      <c r="CC85" s="119"/>
      <c r="CD85" s="119"/>
      <c r="CE85" s="119"/>
      <c r="CF85" s="119"/>
      <c r="CG85" s="119"/>
      <c r="CH85" s="119"/>
      <c r="CI85" s="119"/>
      <c r="CJ85" s="119"/>
      <c r="CK85" s="119"/>
      <c r="CL85" s="119"/>
      <c r="CM85" s="119"/>
      <c r="CN85" s="119"/>
      <c r="CO85" s="119"/>
      <c r="CP85" s="119"/>
      <c r="CQ85" s="119"/>
      <c r="CR85" s="119"/>
      <c r="CS85" s="119"/>
      <c r="CT85" s="119"/>
      <c r="CU85" s="119"/>
      <c r="CV85" s="119"/>
      <c r="CW85" s="119"/>
      <c r="CX85" s="119"/>
      <c r="CY85" s="119"/>
      <c r="CZ85" s="119"/>
      <c r="DA85" s="119"/>
      <c r="DB85" s="119"/>
      <c r="DC85" s="119"/>
      <c r="DD85" s="119"/>
      <c r="DE85" s="119"/>
      <c r="DF85" s="119"/>
      <c r="DG85" s="119"/>
      <c r="DH85" s="119"/>
      <c r="DI85" s="119"/>
      <c r="DJ85" s="119"/>
      <c r="DK85" s="119"/>
      <c r="DL85" s="119"/>
      <c r="DM85" s="119"/>
      <c r="DN85" s="119"/>
      <c r="DO85" s="119"/>
      <c r="DP85" s="119"/>
      <c r="DQ85" s="119"/>
      <c r="DR85" s="119"/>
      <c r="DS85" s="119"/>
      <c r="DT85" s="119"/>
      <c r="DU85" s="119"/>
      <c r="DV85" s="119"/>
      <c r="DW85" s="119"/>
      <c r="DX85" s="119"/>
      <c r="DY85" s="119"/>
      <c r="DZ85" s="119"/>
      <c r="EA85" s="119"/>
      <c r="EB85" s="119"/>
      <c r="EC85" s="119"/>
      <c r="ED85" s="119"/>
      <c r="EE85" s="119"/>
      <c r="EF85" s="119"/>
      <c r="EG85" s="119"/>
      <c r="EH85" s="119"/>
      <c r="EI85" s="119"/>
      <c r="EJ85" s="119"/>
      <c r="EK85" s="119"/>
      <c r="EL85" s="119"/>
      <c r="EM85" s="119"/>
      <c r="EN85" s="119"/>
      <c r="EO85" s="119"/>
      <c r="EP85" s="119"/>
      <c r="EQ85" s="119"/>
      <c r="ER85" s="119"/>
      <c r="ES85" s="119"/>
      <c r="ET85" s="119"/>
      <c r="EU85" s="119"/>
      <c r="EV85" s="119"/>
      <c r="EW85" s="119"/>
      <c r="EX85" s="117"/>
      <c r="EY85" s="117"/>
      <c r="EZ85" s="117"/>
      <c r="FA85" s="117"/>
      <c r="FB85" s="117"/>
      <c r="FC85" s="117"/>
      <c r="FD85" s="117"/>
      <c r="FE85" s="117"/>
      <c r="FF85" s="117"/>
      <c r="FG85" s="117"/>
      <c r="FH85" s="117"/>
      <c r="FI85" s="117"/>
      <c r="FJ85" s="117"/>
      <c r="FK85" s="117"/>
      <c r="FL85" s="117"/>
      <c r="FM85" s="117"/>
      <c r="FN85" s="117"/>
      <c r="FO85" s="117"/>
    </row>
  </sheetData>
  <hyperlinks>
    <hyperlink ref="B4" r:id="rId1" display="https://finance.yahoo.com/quote/AMZN/history?p=AMZN" xr:uid="{00000000-0004-0000-0600-000000000000}"/>
    <hyperlink ref="C4" r:id="rId2" display="https://finance.yahoo.com/quote/FB/history?p=FB" xr:uid="{00000000-0004-0000-0600-000001000000}"/>
    <hyperlink ref="D4" r:id="rId3" display="https://finance.yahoo.com/quote/TSLA/history?p=TSLA" xr:uid="{00000000-0004-0000-0600-000002000000}"/>
    <hyperlink ref="E4" r:id="rId4" display="https://finance.yahoo.com/quote/0700.HK/history?p=0700.HK" xr:uid="{00000000-0004-0000-0600-000003000000}"/>
    <hyperlink ref="F4" r:id="rId5" display="https://finance.yahoo.com/quote/0883.HK/history?p=0883.HK" xr:uid="{00000000-0004-0000-0600-000004000000}"/>
    <hyperlink ref="G4" r:id="rId6" display="https://finance.yahoo.com/quote/AAPL/history?p=AAPL" xr:uid="{00000000-0004-0000-0600-000005000000}"/>
    <hyperlink ref="H4" r:id="rId7" display="https://finance.yahoo.com/quote/BILI220318P00040000/history?p=BILI220318P00040000" xr:uid="{00000000-0004-0000-0600-000006000000}"/>
    <hyperlink ref="I4" r:id="rId8" display="https://finance.yahoo.com/quote/FB220325P00210000/history?p=FB220325P00210000" xr:uid="{00000000-0004-0000-0600-000007000000}"/>
    <hyperlink ref="J4" r:id="rId9" display="https://finance.yahoo.com/quote/BAC220325C00045000/history?p=BAC220325C00045000" xr:uid="{00000000-0004-0000-0600-000008000000}"/>
    <hyperlink ref="K4" r:id="rId10" display="https://finance.yahoo.com/quote/9698.HK/history?p=9698.HK" xr:uid="{00000000-0004-0000-0600-000009000000}"/>
    <hyperlink ref="L4" r:id="rId11" display="https://finance.yahoo.com/quote/3690.HK/history?p=3690.HK" xr:uid="{00000000-0004-0000-0600-00000A000000}"/>
    <hyperlink ref="M4" r:id="rId12" display="https://finance.yahoo.com/quote/BTC-USD/history?p=BTC-USD" xr:uid="{00000000-0004-0000-0600-00000B000000}"/>
    <hyperlink ref="N4" r:id="rId13" display="https://finance.yahoo.com/quote/NFLX/history?p=NFLX" xr:uid="{00000000-0004-0000-0600-00000C000000}"/>
    <hyperlink ref="O4" r:id="rId14" display="https://finance.yahoo.com/quote/MSFT/history?p=MSFT" xr:uid="{00000000-0004-0000-0600-00000D000000}"/>
    <hyperlink ref="P4" r:id="rId15" display="https://finance.yahoo.com/quote/BMBL/history?p=BMBL" xr:uid="{00000000-0004-0000-0600-00000E000000}"/>
    <hyperlink ref="Q4" r:id="rId16" display="https://finance.yahoo.com/quote/NUSI/history?p=NUSI" xr:uid="{00000000-0004-0000-0600-00000F000000}"/>
    <hyperlink ref="R4" r:id="rId17" display="https://finance.yahoo.com/quote/JD/history?p=JD" xr:uid="{00000000-0004-0000-0600-000010000000}"/>
    <hyperlink ref="S4" r:id="rId18" display="https://finance.yahoo.com/quote/GBTC/history?p=GBTC" xr:uid="{00000000-0004-0000-0600-000011000000}"/>
    <hyperlink ref="T4" r:id="rId19" display="https://finance.yahoo.com/quote/XPEV/history?p=XPEV" xr:uid="{00000000-0004-0000-0600-000012000000}"/>
    <hyperlink ref="U4" r:id="rId20" display="https://finance.yahoo.com/quote/MGM/history?p=MGM" xr:uid="{00000000-0004-0000-0600-000013000000}"/>
    <hyperlink ref="V4" r:id="rId21" display="https://finance.yahoo.com/quote/601168.ss/history?p=601168.ss" xr:uid="{00000000-0004-0000-0600-000014000000}"/>
    <hyperlink ref="W4" r:id="rId22" display="https://finance.yahoo.com/quote/MCD/history?p=MCD" xr:uid="{00000000-0004-0000-0600-000015000000}"/>
    <hyperlink ref="X4" r:id="rId23" display="https://finance.yahoo.com/quote/GOOG/history?p=GOOG" xr:uid="{00000000-0004-0000-0600-000016000000}"/>
    <hyperlink ref="Y4" r:id="rId24" display="https://finance.yahoo.com/quote/2318.HK/history?p=2318.HK" xr:uid="{00000000-0004-0000-0600-000017000000}"/>
    <hyperlink ref="Z4" r:id="rId25" display="https://finance.yahoo.com/quote/2269.HK/history?p=2269.HK" xr:uid="{00000000-0004-0000-0600-000018000000}"/>
    <hyperlink ref="AA4" r:id="rId26" display="https://finance.yahoo.com/quote/NET/history?p=NET" xr:uid="{00000000-0004-0000-0600-000019000000}"/>
    <hyperlink ref="AB4" r:id="rId27" display="https://finance.yahoo.com/quote/1398.HK/history?p=1398.HK" xr:uid="{00000000-0004-0000-0600-00001A000000}"/>
    <hyperlink ref="AC4" r:id="rId28" display="https://finance.yahoo.com/quote/XLE/history?p=XLE" xr:uid="{00000000-0004-0000-0600-00001B000000}"/>
    <hyperlink ref="AD4" r:id="rId29" display="https://finance.yahoo.com/quote/VYGLX/history?p=VYGLX" xr:uid="{00000000-0004-0000-0600-00001C000000}"/>
    <hyperlink ref="AE4" r:id="rId30" display="https://finance.yahoo.com/quote/600986.ss/history?p=600986.ss" xr:uid="{00000000-0004-0000-0600-00001D000000}"/>
    <hyperlink ref="AF4" r:id="rId31" display="https://finance.yahoo.com/quote/UBI.PA/history?p=UBI.PA" xr:uid="{00000000-0004-0000-0600-00001E000000}"/>
    <hyperlink ref="AG4" r:id="rId32" display="https://finance.yahoo.com/quote/2333.HK/history?p=2333.HK" xr:uid="{00000000-0004-0000-0600-00001F000000}"/>
    <hyperlink ref="AH4" r:id="rId33" display="https://finance.yahoo.com/quote/3339.HK/history?p=3339.HK" xr:uid="{00000000-0004-0000-0600-000020000000}"/>
    <hyperlink ref="AI4" r:id="rId34" display="https://finance.yahoo.com/quote/1610.HK/history?p=1610.HK" xr:uid="{00000000-0004-0000-0600-000021000000}"/>
    <hyperlink ref="AJ4" r:id="rId35" display="https://finance.yahoo.com/quote/2020.HK/history?p=2020.HK" xr:uid="{00000000-0004-0000-0600-000022000000}"/>
    <hyperlink ref="AK4" r:id="rId36" display="https://finance.yahoo.com/quote/NVDA/history?p=NVDA" xr:uid="{00000000-0004-0000-0600-000023000000}"/>
    <hyperlink ref="AL4" r:id="rId37" display="https://finance.yahoo.com/quote/1810.HK/history?p=1810.HK" xr:uid="{00000000-0004-0000-0600-000024000000}"/>
    <hyperlink ref="AM4" r:id="rId38" display="https://finance.yahoo.com/quote/BAC/history?p=BAC" xr:uid="{00000000-0004-0000-0600-000025000000}"/>
    <hyperlink ref="AN4" r:id="rId39" display="https://finance.yahoo.com/quote/BRK-B/history?p=BRK-B" xr:uid="{00000000-0004-0000-0600-000026000000}"/>
    <hyperlink ref="AO4" r:id="rId40" display="https://finance.yahoo.com/quote/SONY/history?p=SONY" xr:uid="{00000000-0004-0000-0600-000027000000}"/>
    <hyperlink ref="AP4" r:id="rId41" display="https://finance.yahoo.com/quote/ATVI/history?p=ATVI" xr:uid="{00000000-0004-0000-0600-000028000000}"/>
    <hyperlink ref="AQ4" r:id="rId42" display="https://finance.yahoo.com/quote/tcehy/history?p=tcehy" xr:uid="{00000000-0004-0000-0600-000029000000}"/>
    <hyperlink ref="AR4" r:id="rId43" display="https://www.bondsupermart.com/bsm/bond-factsheet/US023135AN60" xr:uid="{00000000-0004-0000-0600-00002A000000}"/>
    <hyperlink ref="AS4" r:id="rId44" display="https://finance.yahoo.com/quote/UVXY/history?p=UVXY" xr:uid="{00000000-0004-0000-0600-00002B000000}"/>
    <hyperlink ref="AT4" r:id="rId45" display="https://finance.yahoo.com/quote/9988.HK/history?p=9988.HK" xr:uid="{00000000-0004-0000-0600-00002C000000}"/>
    <hyperlink ref="AU4" r:id="rId46" display="https://finance.yahoo.com/quote/NTDOY/history?p=NTDOY" xr:uid="{00000000-0004-0000-0600-00002D000000}"/>
    <hyperlink ref="AV4" r:id="rId47" display="https://finance.yahoo.com/quote/DIS/history?p=DIS" xr:uid="{00000000-0004-0000-0600-00002E000000}"/>
    <hyperlink ref="AW4" r:id="rId48" display="https://finance.yahoo.com/quote/AMAT/history?p=AMAT" xr:uid="{00000000-0004-0000-0600-00002F000000}"/>
    <hyperlink ref="AX4" r:id="rId49" display="https://finance.yahoo.com/quote/6969.HK/history?p=6969.HK" xr:uid="{00000000-0004-0000-0600-000030000000}"/>
    <hyperlink ref="AY4" r:id="rId50" display="https://finance.yahoo.com/quote/RBLX/history?p=RBLX" xr:uid="{00000000-0004-0000-0600-000031000000}"/>
    <hyperlink ref="AZ4" r:id="rId51" display="https://finance.yahoo.com/quote/SPXW220218P04300000/history?p=SPXW220218P04300000" xr:uid="{00000000-0004-0000-0600-000032000000}"/>
    <hyperlink ref="BA4" r:id="rId52" display="https://finance.yahoo.com/quote/SPX220218P04220000/history?p=SPX220218P04220000" xr:uid="{00000000-0004-0000-0600-000033000000}"/>
    <hyperlink ref="BB4" r:id="rId53" display="https://finance.yahoo.com/quote/0175.HK/history?p=0175.HK" xr:uid="{00000000-0004-0000-0600-000034000000}"/>
    <hyperlink ref="BC4" r:id="rId54" display="https://finance.yahoo.com/quote/ISPO/history?p=ISPO" xr:uid="{00000000-0004-0000-0600-000035000000}"/>
    <hyperlink ref="BD4" r:id="rId55" display="https://finance.yahoo.com/quote/9961.HK/history?p=9961.HK" xr:uid="{00000000-0004-0000-0600-000036000000}"/>
    <hyperlink ref="BE4" r:id="rId56" display="https://finance.yahoo.com/quote/9999.HK/history?p=9999.HK" xr:uid="{00000000-0004-0000-0600-000037000000}"/>
    <hyperlink ref="BF4" r:id="rId57" display="https://finance.yahoo.com/quote/0909.HK/history?p=0909.HK" xr:uid="{00000000-0004-0000-0600-000038000000}"/>
    <hyperlink ref="BG4" r:id="rId58" display="https://finance.yahoo.com/quote/PANW/history?p=PANW" xr:uid="{00000000-0004-0000-0600-000039000000}"/>
    <hyperlink ref="BH4" r:id="rId59" display="https://finance.yahoo.com/quote/TEAM/history?p=TEAM" xr:uid="{00000000-0004-0000-0600-00003A000000}"/>
    <hyperlink ref="BI4" r:id="rId60" display="https://finance.yahoo.com/quote/AMGN/history?p=AMGN" xr:uid="{00000000-0004-0000-0600-00003B000000}"/>
    <hyperlink ref="BJ4" r:id="rId61" display="https://finance.yahoo.com/quote/LCID/history?p=LCID" xr:uid="{00000000-0004-0000-0600-00003C000000}"/>
    <hyperlink ref="BK4" r:id="rId62" display="https://finance.yahoo.com/quote/SNPS/history?p=SNPS" xr:uid="{00000000-0004-0000-0600-00003D000000}"/>
    <hyperlink ref="BL4" r:id="rId63" display="https://finance.yahoo.com/quote/TMUS/history?p=TMUS" xr:uid="{00000000-0004-0000-0600-00003E000000}"/>
    <hyperlink ref="BM4" r:id="rId64" display="https://finance.yahoo.com/quote/F/history?p=F" xr:uid="{00000000-0004-0000-0600-00003F000000}"/>
    <hyperlink ref="BN4" r:id="rId65" display="https://finance.yahoo.com/quote/ANPDY/history?p=ANPDY" xr:uid="{00000000-0004-0000-0600-000040000000}"/>
    <hyperlink ref="BO4" r:id="rId66" display="https://finance.yahoo.com/quote/LVMHF/history?p=LVMHF" xr:uid="{00000000-0004-0000-0600-000041000000}"/>
    <hyperlink ref="BP4" r:id="rId67" display="https://finance.yahoo.com/quote/RIVN/history?p=RIVN" xr:uid="{00000000-0004-0000-0600-000042000000}"/>
    <hyperlink ref="BQ4" r:id="rId68" display="https://finance.yahoo.com/quote/SOFI/history?p=SOFI" xr:uid="{00000000-0004-0000-0600-000043000000}"/>
    <hyperlink ref="BR4" r:id="rId69" display="https://finance.yahoo.com/quote/SOXL/history?p=SOXL" xr:uid="{00000000-0004-0000-0600-000044000000}"/>
    <hyperlink ref="BS4" r:id="rId70" display="https://finance.yahoo.com/quote/1498.HK/history?p=1498.HK" xr:uid="{00000000-0004-0000-0600-000045000000}"/>
    <hyperlink ref="BT4" r:id="rId71" display="https://finance.yahoo.com/quote/002230.SZ/history?p=002230.SZ" xr:uid="{00000000-0004-0000-0600-000046000000}"/>
    <hyperlink ref="BU4" r:id="rId72" display="https://finance.yahoo.com/quote/1109.HK/history?p=1109.HK" xr:uid="{00000000-0004-0000-0600-000047000000}"/>
    <hyperlink ref="BV4" r:id="rId73" display="https://finance.yahoo.com/quote/0941.HK/history?p=0941.HK" xr:uid="{00000000-0004-0000-0600-000048000000}"/>
    <hyperlink ref="BW4" r:id="rId74" display="https://finance.yahoo.com/quote/NU/history?p=NU" xr:uid="{00000000-0004-0000-0600-000049000000}"/>
    <hyperlink ref="BX4" r:id="rId75" display="https://finance.yahoo.com/quote/YINN/history?p=YINN" xr:uid="{00000000-0004-0000-0600-00004A000000}"/>
    <hyperlink ref="BY4" r:id="rId76" display="https://finance.yahoo.com/quote/FUTU220225C00041500/history?p=FUTU220225C00041500" xr:uid="{00000000-0004-0000-0600-00004B000000}"/>
    <hyperlink ref="BZ4" r:id="rId77" display="https://finance.yahoo.com/quote/3047.HK/history?p=3047.HK" xr:uid="{00000000-0004-0000-0600-00004C000000}"/>
    <hyperlink ref="CA4" r:id="rId78" display="https://finance.yahoo.com/quote/002665.SZ/history?p=002665.SZ" xr:uid="{00000000-0004-0000-0600-00004D000000}"/>
    <hyperlink ref="CB4" r:id="rId79" display="https://finance.yahoo.com/quote/000554.SZ/history?p=000554.SZ" xr:uid="{00000000-0004-0000-0600-00004E000000}"/>
    <hyperlink ref="CC4" r:id="rId80" display="https://finance.yahoo.com/quote/300945.SZ/history?p=300945.SZ" xr:uid="{00000000-0004-0000-0600-00004F000000}"/>
    <hyperlink ref="CD4" r:id="rId81" display="https://finance.yahoo.com/quote/601808.SS/history?p=601808.SS" xr:uid="{00000000-0004-0000-0600-000050000000}"/>
    <hyperlink ref="CE4" r:id="rId82" display="https://finance.yahoo.com/quote/300922.SZ/history?p=300922.SZ" xr:uid="{00000000-0004-0000-0600-000051000000}"/>
    <hyperlink ref="CF4" r:id="rId83" display="https://finance.yahoo.com/quote/CL=F/history?p=CL=F" xr:uid="{00000000-0004-0000-0600-000052000000}"/>
    <hyperlink ref="CG4" r:id="rId84" display="https://finance.yahoo.com/quote/300157.SZ/history?p=300157.SZ" xr:uid="{00000000-0004-0000-0600-000053000000}"/>
    <hyperlink ref="CH4" r:id="rId85" display="https://finance.yahoo.com/quote/GOLD/history?p=GOLD" xr:uid="{00000000-0004-0000-0600-000054000000}"/>
    <hyperlink ref="CI4" r:id="rId86" display="https://finance.yahoo.com/quote/SARK/history?p=SARK" xr:uid="{00000000-0004-0000-0600-000055000000}"/>
    <hyperlink ref="CJ4" r:id="rId87" display="https://finance.yahoo.com/quote/SPXL220318C00080000/history?p=SPXL220318C00080000" xr:uid="{00000000-0004-0000-0600-000056000000}"/>
    <hyperlink ref="CK4" r:id="rId88" display="https://finance.yahoo.com/quote/603967.SS/history?p=603967.SS" xr:uid="{00000000-0004-0000-0600-000057000000}"/>
    <hyperlink ref="CL4" r:id="rId89" display="https://finance.yahoo.com/quote/GOOGL/history?p=GOOGL" xr:uid="{00000000-0004-0000-0600-000058000000}"/>
    <hyperlink ref="CM4" r:id="rId90" display="https://finance.yahoo.com/quote/FTCH220318P00017500/history?p=FTCH220318P00017500" xr:uid="{00000000-0004-0000-0600-000059000000}"/>
    <hyperlink ref="CN4" r:id="rId91" display="https://finance.yahoo.com/quote/9626.HK/history?p=9626.HK" xr:uid="{00000000-0004-0000-0600-00005A000000}"/>
    <hyperlink ref="CO4" r:id="rId92" display="https://finance.yahoo.com/quote/9888.HK/history?p=9888.HK" xr:uid="{00000000-0004-0000-0600-00005B000000}"/>
    <hyperlink ref="CP4" r:id="rId93" display="https://finance.yahoo.com/quote/ARKK/history?p=ARKK" xr:uid="{00000000-0004-0000-0600-00005C000000}"/>
    <hyperlink ref="CQ4" r:id="rId94" display="https://finance.yahoo.com/quote/005930.KS/history?p=005930.KS" xr:uid="{00000000-0004-0000-0600-00005D000000}"/>
    <hyperlink ref="CR4" r:id="rId95" display="https://finance.yahoo.com/quote/SBRCY/history?p=SBRCY" xr:uid="{00000000-0004-0000-0600-00005E000000}"/>
    <hyperlink ref="CS4" r:id="rId96" display="https://finance.yahoo.com/quote/002475.SZ/history?p=002475.SZ" xr:uid="{00000000-0004-0000-0600-00005F000000}"/>
    <hyperlink ref="CT4" r:id="rId97" display="https://finance.yahoo.com/quote/2800.HK/history?p=2800.HK" xr:uid="{00000000-0004-0000-0600-000060000000}"/>
    <hyperlink ref="CU4" r:id="rId98" display="https://finance.yahoo.com/quote/GC=F/history?p=GC=F" xr:uid="{00000000-0004-0000-0600-000061000000}"/>
    <hyperlink ref="CV4" r:id="rId99" display="https://finance.yahoo.com/quote/3800.hk/history?p=3800.hk" xr:uid="{00000000-0004-0000-0600-000062000000}"/>
    <hyperlink ref="CW4" r:id="rId100" display="https://finance.yahoo.com/quote/1208.HK/history?p=1208.HK" xr:uid="{00000000-0004-0000-0600-000063000000}"/>
    <hyperlink ref="CX4" r:id="rId101" display="https://finance.yahoo.com/quote/TQQQ220311P00057500/history?p=TQQQ220311P00057500" xr:uid="{00000000-0004-0000-0600-000064000000}"/>
    <hyperlink ref="CY4" r:id="rId102" display="https://finance.yahoo.com/quote/RLX220414C00005000/history?p=RLX220414C00005000" xr:uid="{00000000-0004-0000-0600-000065000000}"/>
    <hyperlink ref="CZ4" r:id="rId103" display="https://finance.yahoo.com/quote/1024.HK/history?p=1024.HK" xr:uid="{00000000-0004-0000-0600-000066000000}"/>
    <hyperlink ref="DA4" r:id="rId104" display="https://finance.yahoo.com/quote/MARA220401P00016000/history?p=MARA220401P00016000" xr:uid="{00000000-0004-0000-0600-000067000000}"/>
    <hyperlink ref="DB4" r:id="rId105" display="https://finance.yahoo.com/quote/NU220414C00009000/history?p=NU220414C00009000" xr:uid="{00000000-0004-0000-0600-000068000000}"/>
    <hyperlink ref="DC4" r:id="rId106" display="https://finance.yahoo.com/quote/XLK/history?p=XLK" xr:uid="{00000000-0004-0000-0600-000069000000}"/>
    <hyperlink ref="DD4" r:id="rId107" display="https://finance.yahoo.com/quote/603963.SS/history?p=603963.SS" xr:uid="{00000000-0004-0000-0600-00006A000000}"/>
    <hyperlink ref="DE4" r:id="rId108" display="https://finance.yahoo.com/quote/0151.HK/history?p=0151.HK" xr:uid="{00000000-0004-0000-0600-00006B000000}"/>
    <hyperlink ref="DF4" r:id="rId109" display="https://finance.yahoo.com/quote/0001.HK/history?p=0001.HK" xr:uid="{00000000-0004-0000-0600-00006C000000}"/>
    <hyperlink ref="DG4" r:id="rId110" display="https://finance.yahoo.com/quote/000950.SZ/history?p=000950.SZ" xr:uid="{00000000-0004-0000-0600-00006D000000}"/>
    <hyperlink ref="DH4" r:id="rId111" display="https://finance.yahoo.com/quote/600661.SS/history?p=600661.SS" xr:uid="{00000000-0004-0000-0600-00006E000000}"/>
    <hyperlink ref="DI4" r:id="rId112" display="https://finance.yahoo.com/quote/WMT/history?p=WMT" xr:uid="{00000000-0004-0000-0600-00006F000000}"/>
    <hyperlink ref="DJ4" r:id="rId113" display="https://finance.yahoo.com/quote/FSR/history?p=FSR" xr:uid="{00000000-0004-0000-0600-000070000000}"/>
    <hyperlink ref="DK4" r:id="rId114" display="https://finance.yahoo.com/quote/NU220318C00005000/history?p=NU220318C00005000" xr:uid="{00000000-0004-0000-0600-000071000000}"/>
    <hyperlink ref="DL4" r:id="rId115" display="https://finance.yahoo.com/quote/6680.HK/history?p=6680.HK" xr:uid="{00000000-0004-0000-0600-000072000000}"/>
    <hyperlink ref="DM4" r:id="rId116" display="https://finance.yahoo.com/quote/LMT/history?p=LMT" xr:uid="{00000000-0004-0000-0600-000073000000}"/>
    <hyperlink ref="DN4" r:id="rId117" display="https://finance.yahoo.com/quote/ABNB/history?p=ABNB" xr:uid="{00000000-0004-0000-0600-000074000000}"/>
    <hyperlink ref="DO4" r:id="rId118" display="https://finance.yahoo.com/quote/0388.HK/history?p=0388.HK" xr:uid="{00000000-0004-0000-0600-000075000000}"/>
    <hyperlink ref="DP4" r:id="rId119" display="https://finance.yahoo.com/quote/TQQQ220408P00056000/history?p=TQQQ220408P00056000" xr:uid="{00000000-0004-0000-0600-000076000000}"/>
    <hyperlink ref="DQ4" r:id="rId120" display="https://finance.yahoo.com/quote/BABA/history?p=BABA" xr:uid="{00000000-0004-0000-0600-000077000000}"/>
    <hyperlink ref="DR4" r:id="rId121" display="https://finance.yahoo.com/quote/BILI220401P00020000/history?p=BILI220401P00020000" xr:uid="{00000000-0004-0000-0600-000078000000}"/>
    <hyperlink ref="DS4" r:id="rId122" display="https://finance.yahoo.com/quote/0708.HK/history?p=0708.HK" xr:uid="{00000000-0004-0000-0600-000079000000}"/>
    <hyperlink ref="DT4" r:id="rId123" display="https://finance.yahoo.com/quote/1898.HK/history?p=1898.HK" xr:uid="{00000000-0004-0000-0600-00007A000000}"/>
    <hyperlink ref="DU4" r:id="rId124" display="https://finance.yahoo.com/quote/PFE/history?p=PFE" xr:uid="{00000000-0004-0000-0600-00007B000000}"/>
    <hyperlink ref="DV4" r:id="rId125" display="https://finance.yahoo.com/quote/6862.HK/history?p=6862.HK" xr:uid="{00000000-0004-0000-0600-00007C000000}"/>
    <hyperlink ref="DW4" r:id="rId126" display="https://finance.yahoo.com/quote/0070.HK/history?p=0070.HK" xr:uid="{00000000-0004-0000-0600-00007D000000}"/>
    <hyperlink ref="DX4" r:id="rId127" display="https://finance.yahoo.com/quote/BITO/history?p=BITO" xr:uid="{00000000-0004-0000-0600-00007E000000}"/>
    <hyperlink ref="DY4" r:id="rId128" display="https://finance.yahoo.com/quote/TSLA220318C00005000/history?p=TSLA220318C00005000" xr:uid="{00000000-0004-0000-0600-00007F000000}"/>
    <hyperlink ref="DZ4" r:id="rId129" display="https://finance.yahoo.com/quote/NVAX/history?p=NVAX" xr:uid="{00000000-0004-0000-0600-000080000000}"/>
    <hyperlink ref="EA4" r:id="rId130" display="https://finance.yahoo.com/quote/XLRE/history?p=XLRE" xr:uid="{00000000-0004-0000-0600-000081000000}"/>
    <hyperlink ref="EB4" r:id="rId131" display="https://finance.yahoo.com/quote/XLU/history?p=XLU" xr:uid="{00000000-0004-0000-0600-000082000000}"/>
    <hyperlink ref="EC4" r:id="rId132" display="https://finance.yahoo.com/quote/XLP/history?p=XLP" xr:uid="{00000000-0004-0000-0600-000083000000}"/>
    <hyperlink ref="ED4" r:id="rId133" display="https://finance.yahoo.com/quote/XLF/history?p=XLF" xr:uid="{00000000-0004-0000-0600-000084000000}"/>
    <hyperlink ref="EE4" r:id="rId134" display="https://finance.yahoo.com/quote/XLB/history?p=XLB" xr:uid="{00000000-0004-0000-0600-000085000000}"/>
    <hyperlink ref="EF4" r:id="rId135" display="https://finance.yahoo.com/quote/XLY/history?p=XLY" xr:uid="{00000000-0004-0000-0600-000086000000}"/>
    <hyperlink ref="EG4" r:id="rId136" display="https://finance.yahoo.com/quote/XLC/history?p=XLC" xr:uid="{00000000-0004-0000-0600-000087000000}"/>
    <hyperlink ref="EH4" r:id="rId137" display="https://finance.yahoo.com/quote/XLI/history?p=XLI" xr:uid="{00000000-0004-0000-0600-000088000000}"/>
    <hyperlink ref="EI4" r:id="rId138" display="https://finance.yahoo.com/quote/XLV/history?p=XLV" xr:uid="{00000000-0004-0000-0600-000089000000}"/>
    <hyperlink ref="EJ4" r:id="rId139" display="https://finance.yahoo.com/quote/603939.SS/history?p=603939.SS" xr:uid="{00000000-0004-0000-0600-00008A000000}"/>
    <hyperlink ref="EK4" r:id="rId140" display="https://finance.yahoo.com/quote/603392.SS/history?p=603392.SS" xr:uid="{00000000-0004-0000-0600-00008B000000}"/>
    <hyperlink ref="EL4" r:id="rId141" display="https://finance.yahoo.com/quote/603538.SS/history?p=603538.SS" xr:uid="{00000000-0004-0000-0600-00008C000000}"/>
    <hyperlink ref="EM4" r:id="rId142" display="https://finance.yahoo.com/quote/688076.SS/history?p=688076.SS" xr:uid="{00000000-0004-0000-0600-00008D000000}"/>
    <hyperlink ref="EN4" r:id="rId143" display="https://finance.yahoo.com/quote/600519.SS/history?p=600519.SS" xr:uid="{00000000-0004-0000-0600-00008E000000}"/>
    <hyperlink ref="EO4" r:id="rId144" display="https://finance.yahoo.com/quote/IXHL/history?p=IXHL" xr:uid="{00000000-0004-0000-0600-00008F000000}"/>
    <hyperlink ref="EP4" r:id="rId145" display="https://finance.yahoo.com/quote/OXY220318P00065000/history?p=OXY220318P00065000" xr:uid="{00000000-0004-0000-0600-000090000000}"/>
    <hyperlink ref="EQ4" r:id="rId146" display="https://finance.yahoo.com/quote/NU220414C00006000/history?p=NU220414C00006000" xr:uid="{00000000-0004-0000-0600-000091000000}"/>
    <hyperlink ref="ER4" r:id="rId147" display="https://finance.yahoo.com/quote/ES=F/history?p=ES=F" xr:uid="{00000000-0004-0000-0600-000092000000}"/>
    <hyperlink ref="ES4" r:id="rId148" display="https://finance.yahoo.com/quote/AEP/history?p=AEP" xr:uid="{00000000-0004-0000-0600-000093000000}"/>
    <hyperlink ref="ET4" r:id="rId149" display="https://finance.yahoo.com/quote/BZ=F/history?p=BZ=F" xr:uid="{00000000-0004-0000-0600-000094000000}"/>
    <hyperlink ref="EU4" r:id="rId150" display="https://finance.yahoo.com/quote/6078.HK/history?p=6078.HK" xr:uid="{00000000-0004-0000-0600-000095000000}"/>
    <hyperlink ref="EV4" r:id="rId151" display="https://finance.yahoo.com/quote/3833.HK/history?p=3833.HK" xr:uid="{00000000-0004-0000-0600-000096000000}"/>
    <hyperlink ref="EW4" r:id="rId152" display="https://finance.yahoo.com/quote/0968.HK/history?p=0968.HK" xr:uid="{00000000-0004-0000-0600-000097000000}"/>
    <hyperlink ref="EX4" r:id="rId153" display="https://finance.yahoo.com/quote/TME/history?p=TME" xr:uid="{00000000-0004-0000-0600-000098000000}"/>
    <hyperlink ref="EY4" r:id="rId154" display="https://finance.yahoo.com/quote/BNTX/history?p=BNTX" xr:uid="{00000000-0004-0000-0600-000099000000}"/>
    <hyperlink ref="EZ4" r:id="rId155" display="https://finance.yahoo.com/quote/SI=F/history?p=SI=F" xr:uid="{00000000-0004-0000-0600-00009A000000}"/>
    <hyperlink ref="FA4" r:id="rId156" display="https://finance.yahoo.com/quote/3988.HK/history?p=3988.HK" xr:uid="{00000000-0004-0000-0600-00009B000000}"/>
    <hyperlink ref="FB4" r:id="rId157" display="https://finance.yahoo.com/quote/JPM/history?p=JPM" xr:uid="{00000000-0004-0000-0600-00009C000000}"/>
    <hyperlink ref="FC4" r:id="rId158" display="https://finance.yahoo.com/quote/002670.SZ/history?p=002670.SZ" xr:uid="{00000000-0004-0000-0600-00009D000000}"/>
    <hyperlink ref="FD4" r:id="rId159" display="https://finance.yahoo.com/quote/DVN/history?p=DVN" xr:uid="{00000000-0004-0000-0600-00009E000000}"/>
    <hyperlink ref="FE4" r:id="rId160" display="https://finance.yahoo.com/quote/OXY/history?p=OXY" xr:uid="{00000000-0004-0000-0600-00009F000000}"/>
    <hyperlink ref="FF4" r:id="rId161" display="https://finance.yahoo.com/quote/001896.SZ/history?p=001896.SZ" xr:uid="{00000000-0004-0000-0600-0000A0000000}"/>
    <hyperlink ref="FG4" r:id="rId162" display="https://finance.yahoo.com/quote/ASML/history?p=ASML" xr:uid="{00000000-0004-0000-0600-0000A1000000}"/>
    <hyperlink ref="FH4" r:id="rId163" display="https://finance.yahoo.com/quote/ABBV/history?p=ABBV" xr:uid="{00000000-0004-0000-0600-0000A2000000}"/>
    <hyperlink ref="FI4" r:id="rId164" display="https://finance.yahoo.com/quote/0346.hk/history?p=0346.hk" xr:uid="{00000000-0004-0000-0600-0000A3000000}"/>
    <hyperlink ref="FJ4" r:id="rId165" display="https://finance.yahoo.com/quote/2607.hk/history?p=2607.hk" xr:uid="{00000000-0004-0000-0600-0000A4000000}"/>
    <hyperlink ref="FK4" r:id="rId166" display="https://finance.yahoo.com/quote/000568.SZ/history?p=000568.SZ" xr:uid="{00000000-0004-0000-0600-0000A5000000}"/>
    <hyperlink ref="FL4" r:id="rId167" display="https://finance.yahoo.com/quote/ANTM/history?p=ANTM" xr:uid="{00000000-0004-0000-0600-0000A6000000}"/>
    <hyperlink ref="FM4" r:id="rId168" display="https://finance.yahoo.com/quote/NKE/history?p=NKE" xr:uid="{00000000-0004-0000-0600-0000A7000000}"/>
    <hyperlink ref="FN4" r:id="rId169" display="https://finance.yahoo.com/quote/%5ECMC200/history?p=%5ECMC200" xr:uid="{00000000-0004-0000-0600-0000A8000000}"/>
    <hyperlink ref="FO4" r:id="rId170" display="https://finance.yahoo.com/quote/SHOP/history?p=SHOP" xr:uid="{00000000-0004-0000-0600-0000A9000000}"/>
    <hyperlink ref="E5" r:id="rId171" display="http://0700.hk/" xr:uid="{00000000-0004-0000-0600-0000AA000000}"/>
    <hyperlink ref="F5" r:id="rId172" display="http://0883.hk/" xr:uid="{00000000-0004-0000-0600-0000AB000000}"/>
    <hyperlink ref="K5" r:id="rId173" display="http://9698.hk/" xr:uid="{00000000-0004-0000-0600-0000AC000000}"/>
    <hyperlink ref="L5" r:id="rId174" display="http://3690.hk/" xr:uid="{00000000-0004-0000-0600-0000AD000000}"/>
    <hyperlink ref="V5" r:id="rId175" display="http://601168.ss/" xr:uid="{00000000-0004-0000-0600-0000AE000000}"/>
    <hyperlink ref="Y5" r:id="rId176" display="http://2318.hk/" xr:uid="{00000000-0004-0000-0600-0000AF000000}"/>
    <hyperlink ref="Z5" r:id="rId177" display="http://2269.hk/" xr:uid="{00000000-0004-0000-0600-0000B0000000}"/>
    <hyperlink ref="AB5" r:id="rId178" display="http://1398.hk/" xr:uid="{00000000-0004-0000-0600-0000B1000000}"/>
    <hyperlink ref="AE5" r:id="rId179" display="http://600986.ss/" xr:uid="{00000000-0004-0000-0600-0000B2000000}"/>
    <hyperlink ref="AF5" r:id="rId180" display="http://ubi.pa/" xr:uid="{00000000-0004-0000-0600-0000B3000000}"/>
    <hyperlink ref="AG5" r:id="rId181" display="http://2333.hk/" xr:uid="{00000000-0004-0000-0600-0000B4000000}"/>
    <hyperlink ref="AH5" r:id="rId182" display="http://3339.hk/" xr:uid="{00000000-0004-0000-0600-0000B5000000}"/>
    <hyperlink ref="AI5" r:id="rId183" display="http://1610.hk/" xr:uid="{00000000-0004-0000-0600-0000B6000000}"/>
    <hyperlink ref="AJ5" r:id="rId184" display="http://2020.hk/" xr:uid="{00000000-0004-0000-0600-0000B7000000}"/>
    <hyperlink ref="AL5" r:id="rId185" display="http://1810.hk/" xr:uid="{00000000-0004-0000-0600-0000B8000000}"/>
    <hyperlink ref="AT5" r:id="rId186" display="http://9988.hk/" xr:uid="{00000000-0004-0000-0600-0000B9000000}"/>
    <hyperlink ref="AX5" r:id="rId187" display="http://6969.hk/" xr:uid="{00000000-0004-0000-0600-0000BA000000}"/>
    <hyperlink ref="BB5" r:id="rId188" display="http://0175.hk/" xr:uid="{00000000-0004-0000-0600-0000BB000000}"/>
    <hyperlink ref="BD5" r:id="rId189" display="http://9961.hk/" xr:uid="{00000000-0004-0000-0600-0000BC000000}"/>
    <hyperlink ref="BE5" r:id="rId190" display="http://9999.hk/" xr:uid="{00000000-0004-0000-0600-0000BD000000}"/>
    <hyperlink ref="BF5" r:id="rId191" display="http://0909.hk/" xr:uid="{00000000-0004-0000-0600-0000BE000000}"/>
    <hyperlink ref="BS5" r:id="rId192" display="http://1498.hk/" xr:uid="{00000000-0004-0000-0600-0000BF000000}"/>
    <hyperlink ref="BT5" r:id="rId193" display="http://002230.sz/" xr:uid="{00000000-0004-0000-0600-0000C0000000}"/>
    <hyperlink ref="BU5" r:id="rId194" display="http://1109.hk/" xr:uid="{00000000-0004-0000-0600-0000C1000000}"/>
    <hyperlink ref="BV5" r:id="rId195" display="http://0941.hk/" xr:uid="{00000000-0004-0000-0600-0000C2000000}"/>
    <hyperlink ref="BZ5" r:id="rId196" display="http://3047.hk/" xr:uid="{00000000-0004-0000-0600-0000C3000000}"/>
    <hyperlink ref="CA5" r:id="rId197" display="http://002665.sz/" xr:uid="{00000000-0004-0000-0600-0000C4000000}"/>
    <hyperlink ref="CB5" r:id="rId198" display="http://000554.sz/" xr:uid="{00000000-0004-0000-0600-0000C5000000}"/>
    <hyperlink ref="CC5" r:id="rId199" display="http://300945.sz/" xr:uid="{00000000-0004-0000-0600-0000C6000000}"/>
    <hyperlink ref="CD5" r:id="rId200" display="http://601808.ss/" xr:uid="{00000000-0004-0000-0600-0000C7000000}"/>
    <hyperlink ref="CE5" r:id="rId201" display="http://300922.sz/" xr:uid="{00000000-0004-0000-0600-0000C8000000}"/>
    <hyperlink ref="CG5" r:id="rId202" display="http://300157.sz/" xr:uid="{00000000-0004-0000-0600-0000C9000000}"/>
    <hyperlink ref="CK5" r:id="rId203" display="http://603967.ss/" xr:uid="{00000000-0004-0000-0600-0000CA000000}"/>
    <hyperlink ref="CN5" r:id="rId204" display="http://9626.hk/" xr:uid="{00000000-0004-0000-0600-0000CB000000}"/>
    <hyperlink ref="CO5" r:id="rId205" display="http://9888.hk/" xr:uid="{00000000-0004-0000-0600-0000CC000000}"/>
    <hyperlink ref="CS5" r:id="rId206" display="http://002475.sz/" xr:uid="{00000000-0004-0000-0600-0000CD000000}"/>
    <hyperlink ref="CT5" r:id="rId207" display="http://2800.hk/" xr:uid="{00000000-0004-0000-0600-0000CE000000}"/>
    <hyperlink ref="CV5" r:id="rId208" display="http://3800.hk/" xr:uid="{00000000-0004-0000-0600-0000CF000000}"/>
    <hyperlink ref="CW5" r:id="rId209" display="http://1208.hk/" xr:uid="{00000000-0004-0000-0600-0000D0000000}"/>
    <hyperlink ref="CZ5" r:id="rId210" display="http://1024.hk/" xr:uid="{00000000-0004-0000-0600-0000D1000000}"/>
    <hyperlink ref="DD5" r:id="rId211" display="http://603963.ss/" xr:uid="{00000000-0004-0000-0600-0000D2000000}"/>
    <hyperlink ref="DE5" r:id="rId212" display="http://0151.hk/" xr:uid="{00000000-0004-0000-0600-0000D3000000}"/>
    <hyperlink ref="DF5" r:id="rId213" display="http://0001.hk/" xr:uid="{00000000-0004-0000-0600-0000D4000000}"/>
    <hyperlink ref="DG5" r:id="rId214" display="http://000950.sz/" xr:uid="{00000000-0004-0000-0600-0000D5000000}"/>
    <hyperlink ref="DH5" r:id="rId215" display="http://600661.ss/" xr:uid="{00000000-0004-0000-0600-0000D6000000}"/>
    <hyperlink ref="DL5" r:id="rId216" display="http://6680.hk/" xr:uid="{00000000-0004-0000-0600-0000D7000000}"/>
    <hyperlink ref="DO5" r:id="rId217" display="http://0388.hk/" xr:uid="{00000000-0004-0000-0600-0000D8000000}"/>
    <hyperlink ref="DS5" r:id="rId218" display="http://0708.hk/" xr:uid="{00000000-0004-0000-0600-0000D9000000}"/>
    <hyperlink ref="DT5" r:id="rId219" display="http://1898.hk/" xr:uid="{00000000-0004-0000-0600-0000DA000000}"/>
    <hyperlink ref="DV5" r:id="rId220" display="http://6862.hk/" xr:uid="{00000000-0004-0000-0600-0000DB000000}"/>
    <hyperlink ref="DW5" r:id="rId221" display="http://0070.hk/" xr:uid="{00000000-0004-0000-0600-0000DC000000}"/>
    <hyperlink ref="EJ5" r:id="rId222" display="http://603939.ss/" xr:uid="{00000000-0004-0000-0600-0000DD000000}"/>
    <hyperlink ref="EK5" r:id="rId223" display="http://603392.ss/" xr:uid="{00000000-0004-0000-0600-0000DE000000}"/>
    <hyperlink ref="EL5" r:id="rId224" display="http://603538.ss/" xr:uid="{00000000-0004-0000-0600-0000DF000000}"/>
    <hyperlink ref="EM5" r:id="rId225" display="http://688076.ss/" xr:uid="{00000000-0004-0000-0600-0000E0000000}"/>
    <hyperlink ref="EN5" r:id="rId226" display="http://600519.ss/" xr:uid="{00000000-0004-0000-0600-0000E1000000}"/>
    <hyperlink ref="EU5" r:id="rId227" display="http://6078.hk/" xr:uid="{00000000-0004-0000-0600-0000E2000000}"/>
    <hyperlink ref="EV5" r:id="rId228" display="http://3833.hk/" xr:uid="{00000000-0004-0000-0600-0000E3000000}"/>
    <hyperlink ref="EW5" r:id="rId229" display="http://0968.hk/" xr:uid="{00000000-0004-0000-0600-0000E4000000}"/>
    <hyperlink ref="FA5" r:id="rId230" display="http://3988.hk/" xr:uid="{00000000-0004-0000-0600-0000E5000000}"/>
    <hyperlink ref="FC5" r:id="rId231" display="http://002670.sz/" xr:uid="{00000000-0004-0000-0600-0000E6000000}"/>
    <hyperlink ref="FF5" r:id="rId232" display="http://001896.sz/" xr:uid="{00000000-0004-0000-0600-0000E7000000}"/>
    <hyperlink ref="FI5" r:id="rId233" display="http://0346.hk/" xr:uid="{00000000-0004-0000-0600-0000E8000000}"/>
    <hyperlink ref="FJ5" r:id="rId234" display="http://2607.hk/" xr:uid="{00000000-0004-0000-0600-0000E9000000}"/>
    <hyperlink ref="FK5" r:id="rId235" display="http://000568.sz/" xr:uid="{00000000-0004-0000-0600-0000EA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outlinePr summaryBelow="0" summaryRight="0"/>
  </sheetPr>
  <dimension ref="A1:Z1000"/>
  <sheetViews>
    <sheetView workbookViewId="0">
      <pane ySplit="4" topLeftCell="A8" activePane="bottomLeft" state="frozen"/>
      <selection pane="bottomLeft" activeCell="B6" sqref="B6"/>
    </sheetView>
  </sheetViews>
  <sheetFormatPr baseColWidth="10" defaultColWidth="12.6640625" defaultRowHeight="15.75" customHeight="1" outlineLevelRow="1" outlineLevelCol="1" x14ac:dyDescent="0.15"/>
  <cols>
    <col min="1" max="1" width="7" customWidth="1"/>
    <col min="2" max="2" width="8.33203125" customWidth="1"/>
    <col min="5" max="5" width="10.83203125" customWidth="1"/>
    <col min="6" max="6" width="6.6640625" customWidth="1"/>
    <col min="7" max="7" width="7.1640625" customWidth="1"/>
    <col min="8" max="8" width="8.1640625" customWidth="1"/>
    <col min="9" max="9" width="6.83203125" customWidth="1"/>
    <col min="10" max="10" width="10.6640625" customWidth="1"/>
    <col min="11" max="11" width="1.6640625" customWidth="1" collapsed="1"/>
    <col min="12" max="12" width="9.33203125" hidden="1" customWidth="1" outlineLevel="1"/>
    <col min="13" max="13" width="14.83203125" hidden="1" customWidth="1" outlineLevel="1"/>
    <col min="14" max="15" width="12.6640625" hidden="1" outlineLevel="1"/>
    <col min="16" max="16" width="9.5" customWidth="1" collapsed="1"/>
    <col min="17" max="18" width="12.6640625" hidden="1" outlineLevel="1"/>
    <col min="19" max="19" width="8.6640625" customWidth="1" collapsed="1"/>
    <col min="20" max="21" width="12.6640625" hidden="1" outlineLevel="1"/>
    <col min="22" max="22" width="10" customWidth="1"/>
    <col min="23" max="23" width="9.6640625" customWidth="1"/>
    <col min="24" max="25" width="7.83203125" customWidth="1"/>
    <col min="26" max="26" width="7" customWidth="1"/>
  </cols>
  <sheetData>
    <row r="1" spans="1:26" ht="20" x14ac:dyDescent="0.2">
      <c r="A1" s="120" t="str">
        <f ca="1">IFERROR(__xludf.DUMMYFUNCTION("importrange(""https://docs.google.com/spreadsheets/d/1mvA960mm3QaFyRdwkfIRxhE1UQJl45QEUTnDVxtxiIE/edit?usp=sharing"",""PnLDetails!o1:an"" &amp; importrange(""https://docs.google.com/spreadsheets/d/1mvA960mm3QaFyRdwkfIRxhE1UQJl45QEUTnDVxtxiIE/edit?usp=sharing"&amp;""",""PnLDetails!ao1""))"),"Trading Record Summary")</f>
        <v>Trading Record Summary</v>
      </c>
      <c r="B1" s="43"/>
      <c r="C1" s="43"/>
      <c r="D1" s="121"/>
      <c r="E1" s="122"/>
      <c r="F1" s="43"/>
      <c r="G1" s="123" t="str">
        <f ca="1">IFERROR(__xludf.DUMMYFUNCTION("""COMPUTED_VALUE"""),"As of closing day of:")</f>
        <v>As of closing day of:</v>
      </c>
      <c r="H1" s="124">
        <f ca="1">IFERROR(__xludf.DUMMYFUNCTION("""COMPUTED_VALUE"""),44643)</f>
        <v>44643</v>
      </c>
      <c r="I1" s="42"/>
      <c r="J1" s="125"/>
      <c r="K1" s="126"/>
      <c r="L1" s="43"/>
      <c r="M1" s="43"/>
      <c r="N1" s="43"/>
      <c r="O1" s="43"/>
      <c r="P1" s="127"/>
      <c r="Q1" s="127"/>
      <c r="R1" s="127"/>
      <c r="S1" s="127"/>
      <c r="T1" s="43"/>
      <c r="U1" s="43"/>
      <c r="V1" s="11"/>
      <c r="W1" s="126"/>
      <c r="X1" s="11"/>
      <c r="Y1" s="11"/>
      <c r="Z1" s="4"/>
    </row>
    <row r="2" spans="1:26" ht="13" x14ac:dyDescent="0.15">
      <c r="A2" s="11"/>
      <c r="B2" s="11"/>
      <c r="C2" s="11"/>
      <c r="D2" s="11"/>
      <c r="E2" s="128"/>
      <c r="F2" s="11"/>
      <c r="G2" s="11"/>
      <c r="H2" s="11"/>
      <c r="I2" s="42"/>
      <c r="J2" s="125"/>
      <c r="K2" s="43"/>
      <c r="L2" s="3"/>
      <c r="M2" s="43"/>
      <c r="N2" s="43"/>
      <c r="O2" s="43"/>
      <c r="P2" s="127"/>
      <c r="Q2" s="127"/>
      <c r="R2" s="127"/>
      <c r="S2" s="127"/>
      <c r="T2" s="43"/>
      <c r="U2" s="43"/>
      <c r="V2" s="11"/>
      <c r="W2" s="126"/>
      <c r="X2" s="11"/>
      <c r="Y2" s="11"/>
      <c r="Z2" s="4"/>
    </row>
    <row r="3" spans="1:26" ht="13" x14ac:dyDescent="0.15">
      <c r="A3" s="11"/>
      <c r="B3" s="11"/>
      <c r="C3" s="11"/>
      <c r="D3" s="11"/>
      <c r="E3" s="128"/>
      <c r="F3" s="11"/>
      <c r="G3" s="11"/>
      <c r="H3" s="11"/>
      <c r="I3" s="42"/>
      <c r="J3" s="125"/>
      <c r="K3" s="43"/>
      <c r="L3" s="3"/>
      <c r="M3" s="43"/>
      <c r="N3" s="43"/>
      <c r="O3" s="43"/>
      <c r="P3" s="127"/>
      <c r="Q3" s="129"/>
      <c r="R3" s="130">
        <f ca="1">IFERROR(__xludf.DUMMYFUNCTION("""COMPUTED_VALUE"""),44643)</f>
        <v>44643</v>
      </c>
      <c r="S3" s="130">
        <f ca="1">IFERROR(__xludf.DUMMYFUNCTION("""COMPUTED_VALUE"""),44643)</f>
        <v>44643</v>
      </c>
      <c r="T3" s="130">
        <f ca="1">IFERROR(__xludf.DUMMYFUNCTION("""COMPUTED_VALUE"""),44643)</f>
        <v>44643</v>
      </c>
      <c r="U3" s="130">
        <f ca="1">IFERROR(__xludf.DUMMYFUNCTION("""COMPUTED_VALUE"""),44643)</f>
        <v>44643</v>
      </c>
      <c r="V3" s="130">
        <f ca="1">IFERROR(__xludf.DUMMYFUNCTION("""COMPUTED_VALUE"""),44643)</f>
        <v>44643</v>
      </c>
      <c r="W3" s="130">
        <f ca="1">IFERROR(__xludf.DUMMYFUNCTION("""COMPUTED_VALUE"""),44643)</f>
        <v>44643</v>
      </c>
      <c r="X3" s="11"/>
      <c r="Y3" s="11"/>
      <c r="Z3" s="4"/>
    </row>
    <row r="4" spans="1:26" ht="70" collapsed="1" x14ac:dyDescent="0.15">
      <c r="A4" s="131" t="str">
        <f ca="1">IFERROR(__xludf.DUMMYFUNCTION("""COMPUTED_VALUE"""),"Acct Total")</f>
        <v>Acct Total</v>
      </c>
      <c r="B4" s="131" t="str">
        <f ca="1">IFERROR(__xludf.DUMMYFUNCTION("""COMPUTED_VALUE"""),"Acct#")</f>
        <v>Acct#</v>
      </c>
      <c r="C4" s="49" t="str">
        <f ca="1">IFERROR(__xludf.DUMMYFUNCTION("""COMPUTED_VALUE"""),"Order #")</f>
        <v>Order #</v>
      </c>
      <c r="D4" s="131" t="str">
        <f ca="1">IFERROR(__xludf.DUMMYFUNCTION("""COMPUTED_VALUE"""),"Ticker Code")</f>
        <v>Ticker Code</v>
      </c>
      <c r="E4" s="132" t="str">
        <f ca="1">IFERROR(__xludf.DUMMYFUNCTION("""COMPUTED_VALUE"""),"Date/ Time")</f>
        <v>Date/ Time</v>
      </c>
      <c r="F4" s="133" t="str">
        <f ca="1">IFERROR(__xludf.DUMMYFUNCTION("""COMPUTED_VALUE"""),"Asset Class")</f>
        <v>Asset Class</v>
      </c>
      <c r="G4" s="134" t="str">
        <f ca="1">IFERROR(__xludf.DUMMYFUNCTION("""COMPUTED_VALUE"""),"FX Base")</f>
        <v>FX Base</v>
      </c>
      <c r="H4" s="135" t="str">
        <f ca="1">IFERROR(__xludf.DUMMYFUNCTION("""COMPUTED_VALUE"""),"Qty Executed")</f>
        <v>Qty Executed</v>
      </c>
      <c r="I4" s="136" t="str">
        <f ca="1">IFERROR(__xludf.DUMMYFUNCTION("""COMPUTED_VALUE"""),"FX Exe to HKD")</f>
        <v>FX Exe to HKD</v>
      </c>
      <c r="J4" s="137" t="str">
        <f ca="1">IFERROR(__xludf.DUMMYFUNCTION("""COMPUTED_VALUE"""),"Executed price (Local Currency) - Trade day")</f>
        <v>Executed price (Local Currency) - Trade day</v>
      </c>
      <c r="K4" s="43" t="str">
        <f ca="1">IFERROR(__xludf.DUMMYFUNCTION("""COMPUTED_VALUE"""),".")</f>
        <v>.</v>
      </c>
      <c r="L4" s="138" t="str">
        <f ca="1">IFERROR(__xludf.DUMMYFUNCTION("""COMPUTED_VALUE"""),"Closing price (Lcl) - Value day")</f>
        <v>Closing price (Lcl) - Value day</v>
      </c>
      <c r="M4" s="43" t="str">
        <f ca="1">IFERROR(__xludf.DUMMYFUNCTION("""COMPUTED_VALUE"""),"Key-Statistics")</f>
        <v>Key-Statistics</v>
      </c>
      <c r="N4" s="43" t="str">
        <f ca="1">IFERROR(__xludf.DUMMYFUNCTION("""COMPUTED_VALUE"""),".")</f>
        <v>.</v>
      </c>
      <c r="O4" s="43" t="str">
        <f ca="1">IFERROR(__xludf.DUMMYFUNCTION("""COMPUTED_VALUE"""),".")</f>
        <v>.</v>
      </c>
      <c r="P4" s="139" t="str">
        <f ca="1">IFERROR(__xludf.DUMMYFUNCTION("""COMPUTED_VALUE"""),"Executed Value (HKD)")</f>
        <v>Executed Value (HKD)</v>
      </c>
      <c r="Q4" s="3"/>
      <c r="R4" s="138" t="str">
        <f ca="1">IFERROR(__xludf.DUMMYFUNCTION("""COMPUTED_VALUE"""),"Closing price (Lcl) - Value day")</f>
        <v>Closing price (Lcl) - Value day</v>
      </c>
      <c r="S4" s="139" t="str">
        <f ca="1">IFERROR(__xludf.DUMMYFUNCTION("""COMPUTED_VALUE"""),"End of Day Value (HKD)")</f>
        <v>End of Day Value (HKD)</v>
      </c>
      <c r="T4" s="140" t="str">
        <f ca="1">IFERROR(__xludf.DUMMYFUNCTION("""COMPUTED_VALUE"""),"# of Sec")</f>
        <v># of Sec</v>
      </c>
      <c r="U4" s="140" t="str">
        <f ca="1">IFERROR(__xludf.DUMMYFUNCTION("""COMPUTED_VALUE"""),"Last Sec")</f>
        <v>Last Sec</v>
      </c>
      <c r="V4" s="141" t="str">
        <f ca="1">IFERROR(__xludf.DUMMYFUNCTION("""COMPUTED_VALUE"""),"Cumulative EOD Value (HKD)")</f>
        <v>Cumulative EOD Value (HKD)</v>
      </c>
      <c r="W4" s="142" t="str">
        <f ca="1">IFERROR(__xludf.DUMMYFUNCTION("""COMPUTED_VALUE"""),"AuM")</f>
        <v>AuM</v>
      </c>
      <c r="X4" s="137" t="str">
        <f ca="1">IFERROR(__xludf.DUMMYFUNCTION("""COMPUTED_VALUE"""),"Post-Trade Ava Margin Balance")</f>
        <v>Post-Trade Ava Margin Balance</v>
      </c>
      <c r="Y4" s="137" t="str">
        <f ca="1">IFERROR(__xludf.DUMMYFUNCTION("""COMPUTED_VALUE"""),"Post-Trade Margin Loan Balance")</f>
        <v>Post-Trade Margin Loan Balance</v>
      </c>
      <c r="Z4" s="143" t="str">
        <f ca="1">IFERROR(__xludf.DUMMYFUNCTION("""COMPUTED_VALUE"""),"PnL in %")</f>
        <v>PnL in %</v>
      </c>
    </row>
    <row r="5" spans="1:26" ht="13" hidden="1" outlineLevel="1" x14ac:dyDescent="0.15">
      <c r="A5" s="43"/>
      <c r="B5" s="43"/>
      <c r="C5" s="43"/>
      <c r="D5" s="43"/>
      <c r="E5" s="122"/>
      <c r="F5" s="43"/>
      <c r="G5" s="43"/>
      <c r="H5" s="11"/>
      <c r="I5" s="43"/>
      <c r="J5" s="43"/>
      <c r="K5" s="43"/>
      <c r="L5" s="43"/>
      <c r="M5" s="43"/>
      <c r="N5" s="43"/>
      <c r="O5" s="43"/>
      <c r="P5" s="127"/>
      <c r="Q5" s="127"/>
      <c r="R5" s="127"/>
      <c r="S5" s="127"/>
      <c r="T5" s="11"/>
      <c r="U5" s="11"/>
      <c r="V5" s="144"/>
      <c r="W5" s="145"/>
      <c r="X5" s="11"/>
      <c r="Y5" s="11"/>
      <c r="Z5" s="4"/>
    </row>
    <row r="6" spans="1:26" ht="13" hidden="1" outlineLevel="1" x14ac:dyDescent="0.15">
      <c r="A6" s="43"/>
      <c r="B6" s="43"/>
      <c r="C6" s="43"/>
      <c r="D6" s="43"/>
      <c r="E6" s="122"/>
      <c r="F6" s="43"/>
      <c r="G6" s="43"/>
      <c r="H6" s="11"/>
      <c r="I6" s="43"/>
      <c r="J6" s="43"/>
      <c r="K6" s="43"/>
      <c r="L6" s="43"/>
      <c r="M6" s="43"/>
      <c r="N6" s="43"/>
      <c r="O6" s="43"/>
      <c r="P6" s="127"/>
      <c r="Q6" s="127"/>
      <c r="R6" s="127"/>
      <c r="S6" s="127"/>
      <c r="T6" s="43"/>
      <c r="U6" s="43"/>
      <c r="V6" s="144"/>
      <c r="W6" s="145"/>
      <c r="X6" s="11"/>
      <c r="Y6" s="11"/>
      <c r="Z6" s="4"/>
    </row>
    <row r="7" spans="1:26" ht="13" hidden="1" outlineLevel="1" x14ac:dyDescent="0.15">
      <c r="A7" s="43"/>
      <c r="B7" s="43"/>
      <c r="C7" s="43"/>
      <c r="D7" s="43"/>
      <c r="E7" s="122"/>
      <c r="F7" s="43"/>
      <c r="G7" s="43"/>
      <c r="H7" s="11"/>
      <c r="I7" s="43"/>
      <c r="J7" s="43"/>
      <c r="K7" s="43"/>
      <c r="L7" s="125" t="str">
        <f ca="1">IFERROR(__xludf.DUMMYFUNCTION("""COMPUTED_VALUE"""),"")</f>
        <v/>
      </c>
      <c r="M7" s="3" t="str">
        <f ca="1">IFERROR(__xludf.DUMMYFUNCTION("""COMPUTED_VALUE"""),"")</f>
        <v/>
      </c>
      <c r="N7" s="43"/>
      <c r="O7" s="43"/>
      <c r="P7" s="127" t="str">
        <f ca="1">IFERROR(__xludf.DUMMYFUNCTION("""COMPUTED_VALUE"""),"")</f>
        <v/>
      </c>
      <c r="Q7" s="127"/>
      <c r="R7" s="127"/>
      <c r="S7" s="127" t="str">
        <f ca="1">IFERROR(__xludf.DUMMYFUNCTION("""COMPUTED_VALUE"""),"")</f>
        <v/>
      </c>
      <c r="T7" s="43" t="str">
        <f ca="1">IFERROR(__xludf.DUMMYFUNCTION("""COMPUTED_VALUE"""),"")</f>
        <v/>
      </c>
      <c r="U7" s="43" t="str">
        <f ca="1">IFERROR(__xludf.DUMMYFUNCTION("""COMPUTED_VALUE"""),"")</f>
        <v/>
      </c>
      <c r="V7" s="144" t="str">
        <f ca="1">IFERROR(__xludf.DUMMYFUNCTION("""COMPUTED_VALUE"""),"")</f>
        <v/>
      </c>
      <c r="W7" s="145"/>
      <c r="X7" s="11"/>
      <c r="Y7" s="11"/>
      <c r="Z7" s="4"/>
    </row>
    <row r="8" spans="1:26" ht="13" x14ac:dyDescent="0.15">
      <c r="A8" s="43" t="str">
        <f ca="1">IFERROR(__xludf.DUMMYFUNCTION("""COMPUTED_VALUE"""),"")</f>
        <v/>
      </c>
      <c r="B8" s="43" t="str">
        <f ca="1">IFERROR(__xludf.DUMMYFUNCTION("""COMPUTED_VALUE"""),"14626")</f>
        <v>14626</v>
      </c>
      <c r="C8" s="146">
        <f ca="1">IFERROR(__xludf.DUMMYFUNCTION("""COMPUTED_VALUE"""),44597000092)</f>
        <v>44597000092</v>
      </c>
      <c r="D8" s="43" t="str">
        <f ca="1">IFERROR(__xludf.DUMMYFUNCTION("""COMPUTED_VALUE"""),"Cash")</f>
        <v>Cash</v>
      </c>
      <c r="E8" s="147">
        <f ca="1">IFERROR(__xludf.DUMMYFUNCTION("""COMPUTED_VALUE"""),44597)</f>
        <v>44597</v>
      </c>
      <c r="F8" s="43" t="str">
        <f ca="1">IFERROR(__xludf.DUMMYFUNCTION("""COMPUTED_VALUE"""),"Cash")</f>
        <v>Cash</v>
      </c>
      <c r="G8" s="43" t="str">
        <f ca="1">IFERROR(__xludf.DUMMYFUNCTION("""COMPUTED_VALUE"""),"HKD")</f>
        <v>HKD</v>
      </c>
      <c r="H8" s="11" t="str">
        <f ca="1">IFERROR(__xludf.DUMMYFUNCTION("""COMPUTED_VALUE"""),"")</f>
        <v/>
      </c>
      <c r="I8" s="148">
        <f ca="1">IFERROR(__xludf.DUMMYFUNCTION("""COMPUTED_VALUE"""),1)</f>
        <v>1</v>
      </c>
      <c r="J8" s="108">
        <f ca="1">IFERROR(__xludf.DUMMYFUNCTION("""COMPUTED_VALUE"""),1)</f>
        <v>1</v>
      </c>
      <c r="K8" s="43"/>
      <c r="L8" s="149">
        <f ca="1">IFERROR(__xludf.DUMMYFUNCTION("""COMPUTED_VALUE"""),1)</f>
        <v>1</v>
      </c>
      <c r="M8" s="3" t="str">
        <f ca="1">IFERROR(__xludf.DUMMYFUNCTION("""COMPUTED_VALUE"""),"")</f>
        <v/>
      </c>
      <c r="N8" s="43"/>
      <c r="O8" s="43"/>
      <c r="P8" s="150">
        <f ca="1">IFERROR(__xludf.DUMMYFUNCTION("""COMPUTED_VALUE"""),500000)</f>
        <v>500000</v>
      </c>
      <c r="Q8" s="151"/>
      <c r="R8" s="152">
        <f ca="1">IFERROR(__xludf.DUMMYFUNCTION("""COMPUTED_VALUE"""),1)</f>
        <v>1</v>
      </c>
      <c r="S8" s="127" t="str">
        <f ca="1">IFERROR(__xludf.DUMMYFUNCTION("""COMPUTED_VALUE"""),"")</f>
        <v/>
      </c>
      <c r="T8" s="108">
        <f ca="1">IFERROR(__xludf.DUMMYFUNCTION("""COMPUTED_VALUE"""),1)</f>
        <v>1</v>
      </c>
      <c r="U8" s="108">
        <f ca="1">IFERROR(__xludf.DUMMYFUNCTION("""COMPUTED_VALUE"""),1)</f>
        <v>1</v>
      </c>
      <c r="V8" s="153">
        <f ca="1">IFERROR(__xludf.DUMMYFUNCTION("""COMPUTED_VALUE"""),500000)</f>
        <v>500000</v>
      </c>
      <c r="W8" s="145" t="str">
        <f ca="1">IFERROR(__xludf.DUMMYFUNCTION("""COMPUTED_VALUE"""),"")</f>
        <v/>
      </c>
      <c r="X8" s="11" t="str">
        <f ca="1">IFERROR(__xludf.DUMMYFUNCTION("""COMPUTED_VALUE"""),"")</f>
        <v/>
      </c>
      <c r="Y8" s="11" t="str">
        <f ca="1">IFERROR(__xludf.DUMMYFUNCTION("""COMPUTED_VALUE"""),"")</f>
        <v/>
      </c>
      <c r="Z8" s="4" t="str">
        <f ca="1">IFERROR(__xludf.DUMMYFUNCTION("""COMPUTED_VALUE"""),"")</f>
        <v/>
      </c>
    </row>
    <row r="9" spans="1:26" ht="13" x14ac:dyDescent="0.15">
      <c r="A9" s="43" t="str">
        <f ca="1">IFERROR(__xludf.DUMMYFUNCTION("""COMPUTED_VALUE"""),"")</f>
        <v/>
      </c>
      <c r="B9" s="43" t="str">
        <f ca="1">IFERROR(__xludf.DUMMYFUNCTION("""COMPUTED_VALUE"""),"14626")</f>
        <v>14626</v>
      </c>
      <c r="C9" s="146">
        <f ca="1">IFERROR(__xludf.DUMMYFUNCTION("""COMPUTED_VALUE"""),44617000350)</f>
        <v>44617000350</v>
      </c>
      <c r="D9" s="43" t="str">
        <f ca="1">IFERROR(__xludf.DUMMYFUNCTION("""COMPUTED_VALUE"""),"AAPL")</f>
        <v>AAPL</v>
      </c>
      <c r="E9" s="147">
        <f ca="1">IFERROR(__xludf.DUMMYFUNCTION("""COMPUTED_VALUE"""),44617)</f>
        <v>44617</v>
      </c>
      <c r="F9" s="43" t="str">
        <f ca="1">IFERROR(__xludf.DUMMYFUNCTION("""COMPUTED_VALUE"""),"Stock")</f>
        <v>Stock</v>
      </c>
      <c r="G9" s="43" t="str">
        <f ca="1">IFERROR(__xludf.DUMMYFUNCTION("""COMPUTED_VALUE"""),"USD")</f>
        <v>USD</v>
      </c>
      <c r="H9" s="154">
        <f ca="1">IFERROR(__xludf.DUMMYFUNCTION("""COMPUTED_VALUE"""),0)</f>
        <v>0</v>
      </c>
      <c r="I9" s="148">
        <f ca="1">IFERROR(__xludf.DUMMYFUNCTION("""COMPUTED_VALUE"""),7.808395)</f>
        <v>7.808395</v>
      </c>
      <c r="J9" s="149">
        <f ca="1">IFERROR(__xludf.DUMMYFUNCTION("""COMPUTED_VALUE"""),0)</f>
        <v>0</v>
      </c>
      <c r="K9" s="43"/>
      <c r="L9" s="149">
        <f ca="1">IFERROR(__xludf.DUMMYFUNCTION("""COMPUTED_VALUE"""),168.82)</f>
        <v>168.82</v>
      </c>
      <c r="M9" s="155" t="str">
        <f ca="1">IFERROR(__xludf.DUMMYFUNCTION("""COMPUTED_VALUE"""),"Equity Key Stats")</f>
        <v>Equity Key Stats</v>
      </c>
      <c r="N9" s="43"/>
      <c r="O9" s="43"/>
      <c r="P9" s="150">
        <f ca="1">IFERROR(__xludf.DUMMYFUNCTION("""COMPUTED_VALUE"""),0)</f>
        <v>0</v>
      </c>
      <c r="Q9" s="151"/>
      <c r="R9" s="152">
        <f ca="1">IFERROR(__xludf.DUMMYFUNCTION("""COMPUTED_VALUE"""),170.21)</f>
        <v>170.21</v>
      </c>
      <c r="S9" s="150">
        <f ca="1">IFERROR(__xludf.DUMMYFUNCTION("""COMPUTED_VALUE"""),0)</f>
        <v>0</v>
      </c>
      <c r="T9" s="108">
        <f ca="1">IFERROR(__xludf.DUMMYFUNCTION("""COMPUTED_VALUE"""),2)</f>
        <v>2</v>
      </c>
      <c r="U9" s="108" t="str">
        <f ca="1">IFERROR(__xludf.DUMMYFUNCTION("""COMPUTED_VALUE"""),"")</f>
        <v/>
      </c>
      <c r="V9" s="153" t="str">
        <f ca="1">IFERROR(__xludf.DUMMYFUNCTION("""COMPUTED_VALUE"""),"")</f>
        <v/>
      </c>
      <c r="W9" s="145" t="str">
        <f ca="1">IFERROR(__xludf.DUMMYFUNCTION("""COMPUTED_VALUE"""),"")</f>
        <v/>
      </c>
      <c r="X9" s="11" t="str">
        <f ca="1">IFERROR(__xludf.DUMMYFUNCTION("""COMPUTED_VALUE"""),"")</f>
        <v/>
      </c>
      <c r="Y9" s="11" t="str">
        <f ca="1">IFERROR(__xludf.DUMMYFUNCTION("""COMPUTED_VALUE"""),"")</f>
        <v/>
      </c>
      <c r="Z9" s="4" t="str">
        <f ca="1">IFERROR(__xludf.DUMMYFUNCTION("""COMPUTED_VALUE"""),"")</f>
        <v/>
      </c>
    </row>
    <row r="10" spans="1:26" ht="13" x14ac:dyDescent="0.15">
      <c r="A10" s="43" t="str">
        <f ca="1">IFERROR(__xludf.DUMMYFUNCTION("""COMPUTED_VALUE"""),"")</f>
        <v/>
      </c>
      <c r="B10" s="43" t="str">
        <f ca="1">IFERROR(__xludf.DUMMYFUNCTION("""COMPUTED_VALUE"""),"14626")</f>
        <v>14626</v>
      </c>
      <c r="C10" s="146">
        <f ca="1">IFERROR(__xludf.DUMMYFUNCTION("""COMPUTED_VALUE"""),44617000353)</f>
        <v>44617000353</v>
      </c>
      <c r="D10" s="43" t="str">
        <f ca="1">IFERROR(__xludf.DUMMYFUNCTION("""COMPUTED_VALUE"""),"TSLA")</f>
        <v>TSLA</v>
      </c>
      <c r="E10" s="147">
        <f ca="1">IFERROR(__xludf.DUMMYFUNCTION("""COMPUTED_VALUE"""),44617)</f>
        <v>44617</v>
      </c>
      <c r="F10" s="43" t="str">
        <f ca="1">IFERROR(__xludf.DUMMYFUNCTION("""COMPUTED_VALUE"""),"Stock")</f>
        <v>Stock</v>
      </c>
      <c r="G10" s="43" t="str">
        <f ca="1">IFERROR(__xludf.DUMMYFUNCTION("""COMPUTED_VALUE"""),"USD")</f>
        <v>USD</v>
      </c>
      <c r="H10" s="154">
        <f ca="1">IFERROR(__xludf.DUMMYFUNCTION("""COMPUTED_VALUE"""),0)</f>
        <v>0</v>
      </c>
      <c r="I10" s="148">
        <f ca="1">IFERROR(__xludf.DUMMYFUNCTION("""COMPUTED_VALUE"""),7.808395)</f>
        <v>7.808395</v>
      </c>
      <c r="J10" s="149">
        <f ca="1">IFERROR(__xludf.DUMMYFUNCTION("""COMPUTED_VALUE"""),0)</f>
        <v>0</v>
      </c>
      <c r="K10" s="43"/>
      <c r="L10" s="149">
        <f ca="1">IFERROR(__xludf.DUMMYFUNCTION("""COMPUTED_VALUE"""),993.98)</f>
        <v>993.98</v>
      </c>
      <c r="M10" s="155" t="str">
        <f ca="1">IFERROR(__xludf.DUMMYFUNCTION("""COMPUTED_VALUE"""),"Equity Key Stats")</f>
        <v>Equity Key Stats</v>
      </c>
      <c r="N10" s="43"/>
      <c r="O10" s="43"/>
      <c r="P10" s="150">
        <f ca="1">IFERROR(__xludf.DUMMYFUNCTION("""COMPUTED_VALUE"""),0)</f>
        <v>0</v>
      </c>
      <c r="Q10" s="151"/>
      <c r="R10" s="152">
        <f ca="1">IFERROR(__xludf.DUMMYFUNCTION("""COMPUTED_VALUE"""),999.11)</f>
        <v>999.11</v>
      </c>
      <c r="S10" s="150">
        <f ca="1">IFERROR(__xludf.DUMMYFUNCTION("""COMPUTED_VALUE"""),0)</f>
        <v>0</v>
      </c>
      <c r="T10" s="108">
        <f ca="1">IFERROR(__xludf.DUMMYFUNCTION("""COMPUTED_VALUE"""),4)</f>
        <v>4</v>
      </c>
      <c r="U10" s="43" t="str">
        <f ca="1">IFERROR(__xludf.DUMMYFUNCTION("""COMPUTED_VALUE"""),"")</f>
        <v/>
      </c>
      <c r="V10" s="144" t="str">
        <f ca="1">IFERROR(__xludf.DUMMYFUNCTION("""COMPUTED_VALUE"""),"")</f>
        <v/>
      </c>
      <c r="W10" s="145" t="str">
        <f ca="1">IFERROR(__xludf.DUMMYFUNCTION("""COMPUTED_VALUE"""),"")</f>
        <v/>
      </c>
      <c r="X10" s="11" t="str">
        <f ca="1">IFERROR(__xludf.DUMMYFUNCTION("""COMPUTED_VALUE"""),"")</f>
        <v/>
      </c>
      <c r="Y10" s="11" t="str">
        <f ca="1">IFERROR(__xludf.DUMMYFUNCTION("""COMPUTED_VALUE"""),"")</f>
        <v/>
      </c>
      <c r="Z10" s="4" t="str">
        <f ca="1">IFERROR(__xludf.DUMMYFUNCTION("""COMPUTED_VALUE"""),"")</f>
        <v/>
      </c>
    </row>
    <row r="11" spans="1:26" ht="13" x14ac:dyDescent="0.15">
      <c r="A11" s="43" t="str">
        <f ca="1">IFERROR(__xludf.DUMMYFUNCTION("""COMPUTED_VALUE"""),"")</f>
        <v/>
      </c>
      <c r="B11" s="43" t="str">
        <f ca="1">IFERROR(__xludf.DUMMYFUNCTION("""COMPUTED_VALUE"""),"14626")</f>
        <v>14626</v>
      </c>
      <c r="C11" s="146">
        <f ca="1">IFERROR(__xludf.DUMMYFUNCTION("""COMPUTED_VALUE"""),44620000379)</f>
        <v>44620000379</v>
      </c>
      <c r="D11" s="43" t="str">
        <f ca="1">IFERROR(__xludf.DUMMYFUNCTION("""COMPUTED_VALUE"""),"TSLA")</f>
        <v>TSLA</v>
      </c>
      <c r="E11" s="147">
        <f ca="1">IFERROR(__xludf.DUMMYFUNCTION("""COMPUTED_VALUE"""),44620)</f>
        <v>44620</v>
      </c>
      <c r="F11" s="43" t="str">
        <f ca="1">IFERROR(__xludf.DUMMYFUNCTION("""COMPUTED_VALUE"""),"Stock")</f>
        <v>Stock</v>
      </c>
      <c r="G11" s="43" t="str">
        <f ca="1">IFERROR(__xludf.DUMMYFUNCTION("""COMPUTED_VALUE"""),"USD")</f>
        <v>USD</v>
      </c>
      <c r="H11" s="154">
        <f ca="1">IFERROR(__xludf.DUMMYFUNCTION("""COMPUTED_VALUE"""),0)</f>
        <v>0</v>
      </c>
      <c r="I11" s="148">
        <f ca="1">IFERROR(__xludf.DUMMYFUNCTION("""COMPUTED_VALUE"""),7.81345)</f>
        <v>7.8134499999999996</v>
      </c>
      <c r="J11" s="149">
        <f ca="1">IFERROR(__xludf.DUMMYFUNCTION("""COMPUTED_VALUE"""),0)</f>
        <v>0</v>
      </c>
      <c r="K11" s="43"/>
      <c r="L11" s="149">
        <f ca="1">IFERROR(__xludf.DUMMYFUNCTION("""COMPUTED_VALUE"""),993.98)</f>
        <v>993.98</v>
      </c>
      <c r="M11" s="155" t="str">
        <f ca="1">IFERROR(__xludf.DUMMYFUNCTION("""COMPUTED_VALUE"""),"Equity Key Stats")</f>
        <v>Equity Key Stats</v>
      </c>
      <c r="N11" s="43"/>
      <c r="O11" s="43"/>
      <c r="P11" s="150">
        <f ca="1">IFERROR(__xludf.DUMMYFUNCTION("""COMPUTED_VALUE"""),0)</f>
        <v>0</v>
      </c>
      <c r="Q11" s="151"/>
      <c r="R11" s="152">
        <f ca="1">IFERROR(__xludf.DUMMYFUNCTION("""COMPUTED_VALUE"""),999.11)</f>
        <v>999.11</v>
      </c>
      <c r="S11" s="150">
        <f ca="1">IFERROR(__xludf.DUMMYFUNCTION("""COMPUTED_VALUE"""),0)</f>
        <v>0</v>
      </c>
      <c r="T11" s="108">
        <f ca="1">IFERROR(__xludf.DUMMYFUNCTION("""COMPUTED_VALUE"""),4)</f>
        <v>4</v>
      </c>
      <c r="U11" s="108" t="str">
        <f ca="1">IFERROR(__xludf.DUMMYFUNCTION("""COMPUTED_VALUE"""),"")</f>
        <v/>
      </c>
      <c r="V11" s="153" t="str">
        <f ca="1">IFERROR(__xludf.DUMMYFUNCTION("""COMPUTED_VALUE"""),"")</f>
        <v/>
      </c>
      <c r="W11" s="145" t="str">
        <f ca="1">IFERROR(__xludf.DUMMYFUNCTION("""COMPUTED_VALUE"""),"")</f>
        <v/>
      </c>
      <c r="X11" s="11" t="str">
        <f ca="1">IFERROR(__xludf.DUMMYFUNCTION("""COMPUTED_VALUE"""),"")</f>
        <v/>
      </c>
      <c r="Y11" s="11" t="str">
        <f ca="1">IFERROR(__xludf.DUMMYFUNCTION("""COMPUTED_VALUE"""),"")</f>
        <v/>
      </c>
      <c r="Z11" s="4" t="str">
        <f ca="1">IFERROR(__xludf.DUMMYFUNCTION("""COMPUTED_VALUE"""),"")</f>
        <v/>
      </c>
    </row>
    <row r="12" spans="1:26" ht="13" x14ac:dyDescent="0.15">
      <c r="A12" s="43" t="str">
        <f ca="1">IFERROR(__xludf.DUMMYFUNCTION("""COMPUTED_VALUE"""),"")</f>
        <v/>
      </c>
      <c r="B12" s="43" t="str">
        <f ca="1">IFERROR(__xludf.DUMMYFUNCTION("""COMPUTED_VALUE"""),"14626")</f>
        <v>14626</v>
      </c>
      <c r="C12" s="146">
        <f ca="1">IFERROR(__xludf.DUMMYFUNCTION("""COMPUTED_VALUE"""),44621000392)</f>
        <v>44621000392</v>
      </c>
      <c r="D12" s="43" t="str">
        <f ca="1">IFERROR(__xludf.DUMMYFUNCTION("""COMPUTED_VALUE"""),"GC=F")</f>
        <v>GC=F</v>
      </c>
      <c r="E12" s="147">
        <f ca="1">IFERROR(__xludf.DUMMYFUNCTION("""COMPUTED_VALUE"""),44621)</f>
        <v>44621</v>
      </c>
      <c r="F12" s="43" t="str">
        <f ca="1">IFERROR(__xludf.DUMMYFUNCTION("""COMPUTED_VALUE"""),"Stock")</f>
        <v>Stock</v>
      </c>
      <c r="G12" s="43" t="str">
        <f ca="1">IFERROR(__xludf.DUMMYFUNCTION("""COMPUTED_VALUE"""),"USD")</f>
        <v>USD</v>
      </c>
      <c r="H12" s="156">
        <f ca="1">IFERROR(__xludf.DUMMYFUNCTION("""COMPUTED_VALUE"""),-10)</f>
        <v>-10</v>
      </c>
      <c r="I12" s="148">
        <f ca="1">IFERROR(__xludf.DUMMYFUNCTION("""COMPUTED_VALUE"""),7.815805)</f>
        <v>7.8158050000000001</v>
      </c>
      <c r="J12" s="149">
        <f ca="1">IFERROR(__xludf.DUMMYFUNCTION("""COMPUTED_VALUE"""),1944)</f>
        <v>1944</v>
      </c>
      <c r="K12" s="43"/>
      <c r="L12" s="149">
        <f ca="1">IFERROR(__xludf.DUMMYFUNCTION("""COMPUTED_VALUE"""),1917.9)</f>
        <v>1917.9</v>
      </c>
      <c r="M12" s="155" t="str">
        <f ca="1">IFERROR(__xludf.DUMMYFUNCTION("""COMPUTED_VALUE"""),"Equity Key Stats")</f>
        <v>Equity Key Stats</v>
      </c>
      <c r="N12" s="43"/>
      <c r="O12" s="43"/>
      <c r="P12" s="150">
        <f ca="1">IFERROR(__xludf.DUMMYFUNCTION("""COMPUTED_VALUE"""),151939.2492)</f>
        <v>151939.24919999999</v>
      </c>
      <c r="Q12" s="151"/>
      <c r="R12" s="152">
        <f ca="1">IFERROR(__xludf.DUMMYFUNCTION("""COMPUTED_VALUE"""),1947.3)</f>
        <v>1947.3</v>
      </c>
      <c r="S12" s="157">
        <f ca="1">IFERROR(__xludf.DUMMYFUNCTION("""COMPUTED_VALUE"""),-152197.170765)</f>
        <v>-152197.17076499999</v>
      </c>
      <c r="T12" s="108">
        <f ca="1">IFERROR(__xludf.DUMMYFUNCTION("""COMPUTED_VALUE"""),1)</f>
        <v>1</v>
      </c>
      <c r="U12" s="108">
        <f ca="1">IFERROR(__xludf.DUMMYFUNCTION("""COMPUTED_VALUE"""),1)</f>
        <v>1</v>
      </c>
      <c r="V12" s="153">
        <f ca="1">IFERROR(__xludf.DUMMYFUNCTION("""COMPUTED_VALUE"""),-257.921564999967)</f>
        <v>-257.92156499996702</v>
      </c>
      <c r="W12" s="145" t="str">
        <f ca="1">IFERROR(__xludf.DUMMYFUNCTION("""COMPUTED_VALUE"""),"")</f>
        <v/>
      </c>
      <c r="X12" s="11" t="str">
        <f ca="1">IFERROR(__xludf.DUMMYFUNCTION("""COMPUTED_VALUE"""),"")</f>
        <v/>
      </c>
      <c r="Y12" s="11" t="str">
        <f ca="1">IFERROR(__xludf.DUMMYFUNCTION("""COMPUTED_VALUE"""),"")</f>
        <v/>
      </c>
      <c r="Z12" s="4" t="str">
        <f ca="1">IFERROR(__xludf.DUMMYFUNCTION("""COMPUTED_VALUE"""),"")</f>
        <v/>
      </c>
    </row>
    <row r="13" spans="1:26" ht="13" x14ac:dyDescent="0.15">
      <c r="A13" s="43" t="str">
        <f ca="1">IFERROR(__xludf.DUMMYFUNCTION("""COMPUTED_VALUE"""),"")</f>
        <v/>
      </c>
      <c r="B13" s="43" t="str">
        <f ca="1">IFERROR(__xludf.DUMMYFUNCTION("""COMPUTED_VALUE"""),"14626")</f>
        <v>14626</v>
      </c>
      <c r="C13" s="146">
        <f ca="1">IFERROR(__xludf.DUMMYFUNCTION("""COMPUTED_VALUE"""),44637000669)</f>
        <v>44637000669</v>
      </c>
      <c r="D13" s="43" t="str">
        <f ca="1">IFERROR(__xludf.DUMMYFUNCTION("""COMPUTED_VALUE"""),"CL=F")</f>
        <v>CL=F</v>
      </c>
      <c r="E13" s="147">
        <f ca="1">IFERROR(__xludf.DUMMYFUNCTION("""COMPUTED_VALUE"""),44637)</f>
        <v>44637</v>
      </c>
      <c r="F13" s="43" t="str">
        <f ca="1">IFERROR(__xludf.DUMMYFUNCTION("""COMPUTED_VALUE"""),"Stock")</f>
        <v>Stock</v>
      </c>
      <c r="G13" s="43" t="str">
        <f ca="1">IFERROR(__xludf.DUMMYFUNCTION("""COMPUTED_VALUE"""),"USD")</f>
        <v>USD</v>
      </c>
      <c r="H13" s="154">
        <f ca="1">IFERROR(__xludf.DUMMYFUNCTION("""COMPUTED_VALUE"""),100)</f>
        <v>100</v>
      </c>
      <c r="I13" s="148">
        <f ca="1">IFERROR(__xludf.DUMMYFUNCTION("""COMPUTED_VALUE"""),7.81854)</f>
        <v>7.8185399999999996</v>
      </c>
      <c r="J13" s="149">
        <f ca="1">IFERROR(__xludf.DUMMYFUNCTION("""COMPUTED_VALUE"""),103.36)</f>
        <v>103.36</v>
      </c>
      <c r="K13" s="43"/>
      <c r="L13" s="149">
        <f ca="1">IFERROR(__xludf.DUMMYFUNCTION("""COMPUTED_VALUE"""),111.3)</f>
        <v>111.3</v>
      </c>
      <c r="M13" s="155" t="str">
        <f ca="1">IFERROR(__xludf.DUMMYFUNCTION("""COMPUTED_VALUE"""),"Equity Key Stats")</f>
        <v>Equity Key Stats</v>
      </c>
      <c r="N13" s="43"/>
      <c r="O13" s="43"/>
      <c r="P13" s="157">
        <f ca="1">IFERROR(__xludf.DUMMYFUNCTION("""COMPUTED_VALUE"""),-80812.4294399999)</f>
        <v>-80812.429439999905</v>
      </c>
      <c r="Q13" s="151"/>
      <c r="R13" s="152">
        <f ca="1">IFERROR(__xludf.DUMMYFUNCTION("""COMPUTED_VALUE"""),115.83)</f>
        <v>115.83</v>
      </c>
      <c r="S13" s="150">
        <f ca="1">IFERROR(__xludf.DUMMYFUNCTION("""COMPUTED_VALUE"""),90562.1488199999)</f>
        <v>90562.1488199999</v>
      </c>
      <c r="T13" s="108">
        <f ca="1">IFERROR(__xludf.DUMMYFUNCTION("""COMPUTED_VALUE"""),2)</f>
        <v>2</v>
      </c>
      <c r="U13" s="108" t="str">
        <f ca="1">IFERROR(__xludf.DUMMYFUNCTION("""COMPUTED_VALUE"""),"")</f>
        <v/>
      </c>
      <c r="V13" s="158" t="str">
        <f ca="1">IFERROR(__xludf.DUMMYFUNCTION("""COMPUTED_VALUE"""),"")</f>
        <v/>
      </c>
      <c r="W13" s="145" t="str">
        <f ca="1">IFERROR(__xludf.DUMMYFUNCTION("""COMPUTED_VALUE"""),"")</f>
        <v/>
      </c>
      <c r="X13" s="11" t="str">
        <f ca="1">IFERROR(__xludf.DUMMYFUNCTION("""COMPUTED_VALUE"""),"")</f>
        <v/>
      </c>
      <c r="Y13" s="11" t="str">
        <f ca="1">IFERROR(__xludf.DUMMYFUNCTION("""COMPUTED_VALUE"""),"")</f>
        <v/>
      </c>
      <c r="Z13" s="4" t="str">
        <f ca="1">IFERROR(__xludf.DUMMYFUNCTION("""COMPUTED_VALUE"""),"")</f>
        <v/>
      </c>
    </row>
    <row r="14" spans="1:26" ht="13" x14ac:dyDescent="0.15">
      <c r="A14" s="43" t="str">
        <f ca="1">IFERROR(__xludf.DUMMYFUNCTION("""COMPUTED_VALUE"""),"")</f>
        <v/>
      </c>
      <c r="B14" s="43" t="str">
        <f ca="1">IFERROR(__xludf.DUMMYFUNCTION("""COMPUTED_VALUE"""),"14626")</f>
        <v>14626</v>
      </c>
      <c r="C14" s="146">
        <f ca="1">IFERROR(__xludf.DUMMYFUNCTION("""COMPUTED_VALUE"""),44637000670)</f>
        <v>44637000670</v>
      </c>
      <c r="D14" s="43" t="str">
        <f ca="1">IFERROR(__xludf.DUMMYFUNCTION("""COMPUTED_VALUE"""),"SI=F")</f>
        <v>SI=F</v>
      </c>
      <c r="E14" s="147">
        <f ca="1">IFERROR(__xludf.DUMMYFUNCTION("""COMPUTED_VALUE"""),44637)</f>
        <v>44637</v>
      </c>
      <c r="F14" s="43" t="str">
        <f ca="1">IFERROR(__xludf.DUMMYFUNCTION("""COMPUTED_VALUE"""),"Stock")</f>
        <v>Stock</v>
      </c>
      <c r="G14" s="43" t="str">
        <f ca="1">IFERROR(__xludf.DUMMYFUNCTION("""COMPUTED_VALUE"""),"USD")</f>
        <v>USD</v>
      </c>
      <c r="H14" s="154">
        <f ca="1">IFERROR(__xludf.DUMMYFUNCTION("""COMPUTED_VALUE"""),100)</f>
        <v>100</v>
      </c>
      <c r="I14" s="148">
        <f ca="1">IFERROR(__xludf.DUMMYFUNCTION("""COMPUTED_VALUE"""),7.81854)</f>
        <v>7.8185399999999996</v>
      </c>
      <c r="J14" s="149">
        <f ca="1">IFERROR(__xludf.DUMMYFUNCTION("""COMPUTED_VALUE"""),25.455)</f>
        <v>25.454999999999998</v>
      </c>
      <c r="K14" s="43"/>
      <c r="L14" s="149">
        <f ca="1">IFERROR(__xludf.DUMMYFUNCTION("""COMPUTED_VALUE"""),24.82)</f>
        <v>24.82</v>
      </c>
      <c r="M14" s="155" t="str">
        <f ca="1">IFERROR(__xludf.DUMMYFUNCTION("""COMPUTED_VALUE"""),"Equity Key Stats")</f>
        <v>Equity Key Stats</v>
      </c>
      <c r="N14" s="43"/>
      <c r="O14" s="43"/>
      <c r="P14" s="157">
        <f ca="1">IFERROR(__xludf.DUMMYFUNCTION("""COMPUTED_VALUE"""),-19902.0935699999)</f>
        <v>-19902.093569999899</v>
      </c>
      <c r="Q14" s="151"/>
      <c r="R14" s="152">
        <f ca="1">IFERROR(__xludf.DUMMYFUNCTION("""COMPUTED_VALUE"""),25.355)</f>
        <v>25.355</v>
      </c>
      <c r="S14" s="150">
        <f ca="1">IFERROR(__xludf.DUMMYFUNCTION("""COMPUTED_VALUE"""),19823.90817)</f>
        <v>19823.908169999999</v>
      </c>
      <c r="T14" s="108">
        <f ca="1">IFERROR(__xludf.DUMMYFUNCTION("""COMPUTED_VALUE"""),1)</f>
        <v>1</v>
      </c>
      <c r="U14" s="108">
        <f ca="1">IFERROR(__xludf.DUMMYFUNCTION("""COMPUTED_VALUE"""),1)</f>
        <v>1</v>
      </c>
      <c r="V14" s="153">
        <f ca="1">IFERROR(__xludf.DUMMYFUNCTION("""COMPUTED_VALUE"""),-78.1853999999984)</f>
        <v>-78.185399999998396</v>
      </c>
      <c r="W14" s="44" t="str">
        <f ca="1">IFERROR(__xludf.DUMMYFUNCTION("""COMPUTED_VALUE"""),"")</f>
        <v/>
      </c>
      <c r="X14" s="154" t="str">
        <f ca="1">IFERROR(__xludf.DUMMYFUNCTION("""COMPUTED_VALUE"""),"")</f>
        <v/>
      </c>
      <c r="Y14" s="154" t="str">
        <f ca="1">IFERROR(__xludf.DUMMYFUNCTION("""COMPUTED_VALUE"""),"")</f>
        <v/>
      </c>
      <c r="Z14" s="159" t="str">
        <f ca="1">IFERROR(__xludf.DUMMYFUNCTION("""COMPUTED_VALUE"""),"")</f>
        <v/>
      </c>
    </row>
    <row r="15" spans="1:26" ht="13" x14ac:dyDescent="0.15">
      <c r="A15" s="43" t="str">
        <f ca="1">IFERROR(__xludf.DUMMYFUNCTION("""COMPUTED_VALUE"""),"")</f>
        <v/>
      </c>
      <c r="B15" s="43" t="str">
        <f ca="1">IFERROR(__xludf.DUMMYFUNCTION("""COMPUTED_VALUE"""),"14626")</f>
        <v>14626</v>
      </c>
      <c r="C15" s="146">
        <f ca="1">IFERROR(__xludf.DUMMYFUNCTION("""COMPUTED_VALUE"""),44638000689)</f>
        <v>44638000689</v>
      </c>
      <c r="D15" s="43" t="str">
        <f ca="1">IFERROR(__xludf.DUMMYFUNCTION("""COMPUTED_VALUE"""),"OXY")</f>
        <v>OXY</v>
      </c>
      <c r="E15" s="147">
        <f ca="1">IFERROR(__xludf.DUMMYFUNCTION("""COMPUTED_VALUE"""),44638)</f>
        <v>44638</v>
      </c>
      <c r="F15" s="43" t="str">
        <f ca="1">IFERROR(__xludf.DUMMYFUNCTION("""COMPUTED_VALUE"""),"Stock")</f>
        <v>Stock</v>
      </c>
      <c r="G15" s="43" t="str">
        <f ca="1">IFERROR(__xludf.DUMMYFUNCTION("""COMPUTED_VALUE"""),"USD")</f>
        <v>USD</v>
      </c>
      <c r="H15" s="11">
        <f ca="1">IFERROR(__xludf.DUMMYFUNCTION("""COMPUTED_VALUE"""),0)</f>
        <v>0</v>
      </c>
      <c r="I15" s="148">
        <f ca="1">IFERROR(__xludf.DUMMYFUNCTION("""COMPUTED_VALUE"""),7.82495)</f>
        <v>7.8249500000000003</v>
      </c>
      <c r="J15" s="149">
        <f ca="1">IFERROR(__xludf.DUMMYFUNCTION("""COMPUTED_VALUE"""),0)</f>
        <v>0</v>
      </c>
      <c r="K15" s="43"/>
      <c r="L15" s="149">
        <f ca="1">IFERROR(__xludf.DUMMYFUNCTION("""COMPUTED_VALUE"""),59.64)</f>
        <v>59.64</v>
      </c>
      <c r="M15" s="160" t="str">
        <f ca="1">IFERROR(__xludf.DUMMYFUNCTION("""COMPUTED_VALUE"""),"Equity Key Stats")</f>
        <v>Equity Key Stats</v>
      </c>
      <c r="N15" s="43"/>
      <c r="O15" s="43"/>
      <c r="P15" s="150">
        <f ca="1">IFERROR(__xludf.DUMMYFUNCTION("""COMPUTED_VALUE"""),0)</f>
        <v>0</v>
      </c>
      <c r="Q15" s="151"/>
      <c r="R15" s="152">
        <f ca="1">IFERROR(__xludf.DUMMYFUNCTION("""COMPUTED_VALUE"""),59.84)</f>
        <v>59.84</v>
      </c>
      <c r="S15" s="127">
        <f ca="1">IFERROR(__xludf.DUMMYFUNCTION("""COMPUTED_VALUE"""),0)</f>
        <v>0</v>
      </c>
      <c r="T15" s="108">
        <f ca="1">IFERROR(__xludf.DUMMYFUNCTION("""COMPUTED_VALUE"""),2)</f>
        <v>2</v>
      </c>
      <c r="U15" s="108" t="str">
        <f ca="1">IFERROR(__xludf.DUMMYFUNCTION("""COMPUTED_VALUE"""),"")</f>
        <v/>
      </c>
      <c r="V15" s="153" t="str">
        <f ca="1">IFERROR(__xludf.DUMMYFUNCTION("""COMPUTED_VALUE"""),"")</f>
        <v/>
      </c>
      <c r="W15" s="44" t="str">
        <f ca="1">IFERROR(__xludf.DUMMYFUNCTION("""COMPUTED_VALUE"""),"")</f>
        <v/>
      </c>
      <c r="X15" s="154" t="str">
        <f ca="1">IFERROR(__xludf.DUMMYFUNCTION("""COMPUTED_VALUE"""),"")</f>
        <v/>
      </c>
      <c r="Y15" s="154" t="str">
        <f ca="1">IFERROR(__xludf.DUMMYFUNCTION("""COMPUTED_VALUE"""),"")</f>
        <v/>
      </c>
      <c r="Z15" s="159" t="str">
        <f ca="1">IFERROR(__xludf.DUMMYFUNCTION("""COMPUTED_VALUE"""),"")</f>
        <v/>
      </c>
    </row>
    <row r="16" spans="1:26" ht="13" x14ac:dyDescent="0.15">
      <c r="A16" s="43" t="str">
        <f ca="1">IFERROR(__xludf.DUMMYFUNCTION("""COMPUTED_VALUE"""),"")</f>
        <v/>
      </c>
      <c r="B16" s="43" t="str">
        <f ca="1">IFERROR(__xludf.DUMMYFUNCTION("""COMPUTED_VALUE"""),"14626")</f>
        <v>14626</v>
      </c>
      <c r="C16" s="146">
        <f ca="1">IFERROR(__xludf.DUMMYFUNCTION("""COMPUTED_VALUE"""),44638000706)</f>
        <v>44638000706</v>
      </c>
      <c r="D16" s="43" t="str">
        <f ca="1">IFERROR(__xludf.DUMMYFUNCTION("""COMPUTED_VALUE"""),"ABBV")</f>
        <v>ABBV</v>
      </c>
      <c r="E16" s="147">
        <f ca="1">IFERROR(__xludf.DUMMYFUNCTION("""COMPUTED_VALUE"""),44638)</f>
        <v>44638</v>
      </c>
      <c r="F16" s="43" t="str">
        <f ca="1">IFERROR(__xludf.DUMMYFUNCTION("""COMPUTED_VALUE"""),"Stock")</f>
        <v>Stock</v>
      </c>
      <c r="G16" s="43" t="str">
        <f ca="1">IFERROR(__xludf.DUMMYFUNCTION("""COMPUTED_VALUE"""),"USD")</f>
        <v>USD</v>
      </c>
      <c r="H16" s="11" t="str">
        <f ca="1">IFERROR(__xludf.DUMMYFUNCTION("""COMPUTED_VALUE"""),"")</f>
        <v/>
      </c>
      <c r="I16" s="148">
        <f ca="1">IFERROR(__xludf.DUMMYFUNCTION("""COMPUTED_VALUE"""),7.82495)</f>
        <v>7.8249500000000003</v>
      </c>
      <c r="J16" s="149">
        <f ca="1">IFERROR(__xludf.DUMMYFUNCTION("""COMPUTED_VALUE"""),159.2)</f>
        <v>159.19999999999999</v>
      </c>
      <c r="K16" s="43"/>
      <c r="L16" s="149">
        <f ca="1">IFERROR(__xludf.DUMMYFUNCTION("""COMPUTED_VALUE"""),160.01)</f>
        <v>160.01</v>
      </c>
      <c r="M16" s="160" t="str">
        <f ca="1">IFERROR(__xludf.DUMMYFUNCTION("""COMPUTED_VALUE"""),"Equity Key Stats")</f>
        <v>Equity Key Stats</v>
      </c>
      <c r="N16" s="43"/>
      <c r="O16" s="43"/>
      <c r="P16" s="150">
        <f ca="1">IFERROR(__xludf.DUMMYFUNCTION("""COMPUTED_VALUE"""),0)</f>
        <v>0</v>
      </c>
      <c r="Q16" s="151"/>
      <c r="R16" s="152">
        <f ca="1">IFERROR(__xludf.DUMMYFUNCTION("""COMPUTED_VALUE"""),158.42)</f>
        <v>158.41999999999999</v>
      </c>
      <c r="S16" s="127">
        <f ca="1">IFERROR(__xludf.DUMMYFUNCTION("""COMPUTED_VALUE"""),0)</f>
        <v>0</v>
      </c>
      <c r="T16" s="108">
        <f ca="1">IFERROR(__xludf.DUMMYFUNCTION("""COMPUTED_VALUE"""),1)</f>
        <v>1</v>
      </c>
      <c r="U16" s="108">
        <f ca="1">IFERROR(__xludf.DUMMYFUNCTION("""COMPUTED_VALUE"""),1)</f>
        <v>1</v>
      </c>
      <c r="V16" s="153">
        <f ca="1">IFERROR(__xludf.DUMMYFUNCTION("""COMPUTED_VALUE"""),0)</f>
        <v>0</v>
      </c>
      <c r="W16" s="44" t="str">
        <f ca="1">IFERROR(__xludf.DUMMYFUNCTION("""COMPUTED_VALUE"""),"")</f>
        <v/>
      </c>
      <c r="X16" s="154" t="str">
        <f ca="1">IFERROR(__xludf.DUMMYFUNCTION("""COMPUTED_VALUE"""),"")</f>
        <v/>
      </c>
      <c r="Y16" s="154" t="str">
        <f ca="1">IFERROR(__xludf.DUMMYFUNCTION("""COMPUTED_VALUE"""),"")</f>
        <v/>
      </c>
      <c r="Z16" s="159" t="str">
        <f ca="1">IFERROR(__xludf.DUMMYFUNCTION("""COMPUTED_VALUE"""),"")</f>
        <v/>
      </c>
    </row>
    <row r="17" spans="1:26" ht="13" x14ac:dyDescent="0.15">
      <c r="A17" s="43" t="str">
        <f ca="1">IFERROR(__xludf.DUMMYFUNCTION("""COMPUTED_VALUE"""),"")</f>
        <v/>
      </c>
      <c r="B17" s="43" t="str">
        <f ca="1">IFERROR(__xludf.DUMMYFUNCTION("""COMPUTED_VALUE"""),"14626")</f>
        <v>14626</v>
      </c>
      <c r="C17" s="146">
        <f ca="1">IFERROR(__xludf.DUMMYFUNCTION("""COMPUTED_VALUE"""),44638000707)</f>
        <v>44638000707</v>
      </c>
      <c r="D17" s="43" t="str">
        <f ca="1">IFERROR(__xludf.DUMMYFUNCTION("""COMPUTED_VALUE"""),"AAPL")</f>
        <v>AAPL</v>
      </c>
      <c r="E17" s="147">
        <f ca="1">IFERROR(__xludf.DUMMYFUNCTION("""COMPUTED_VALUE"""),44638)</f>
        <v>44638</v>
      </c>
      <c r="F17" s="43" t="str">
        <f ca="1">IFERROR(__xludf.DUMMYFUNCTION("""COMPUTED_VALUE"""),"Stock")</f>
        <v>Stock</v>
      </c>
      <c r="G17" s="43" t="str">
        <f ca="1">IFERROR(__xludf.DUMMYFUNCTION("""COMPUTED_VALUE"""),"USD")</f>
        <v>USD</v>
      </c>
      <c r="H17" s="11" t="str">
        <f ca="1">IFERROR(__xludf.DUMMYFUNCTION("""COMPUTED_VALUE"""),"")</f>
        <v/>
      </c>
      <c r="I17" s="148">
        <f ca="1">IFERROR(__xludf.DUMMYFUNCTION("""COMPUTED_VALUE"""),7.82495)</f>
        <v>7.8249500000000003</v>
      </c>
      <c r="J17" s="149">
        <f ca="1">IFERROR(__xludf.DUMMYFUNCTION("""COMPUTED_VALUE"""),163.98)</f>
        <v>163.98</v>
      </c>
      <c r="K17" s="43"/>
      <c r="L17" s="149">
        <f ca="1">IFERROR(__xludf.DUMMYFUNCTION("""COMPUTED_VALUE"""),168.82)</f>
        <v>168.82</v>
      </c>
      <c r="M17" s="160" t="str">
        <f ca="1">IFERROR(__xludf.DUMMYFUNCTION("""COMPUTED_VALUE"""),"Equity Key Stats")</f>
        <v>Equity Key Stats</v>
      </c>
      <c r="N17" s="43"/>
      <c r="O17" s="43"/>
      <c r="P17" s="150">
        <f ca="1">IFERROR(__xludf.DUMMYFUNCTION("""COMPUTED_VALUE"""),0)</f>
        <v>0</v>
      </c>
      <c r="Q17" s="151"/>
      <c r="R17" s="152">
        <f ca="1">IFERROR(__xludf.DUMMYFUNCTION("""COMPUTED_VALUE"""),170.21)</f>
        <v>170.21</v>
      </c>
      <c r="S17" s="127">
        <f ca="1">IFERROR(__xludf.DUMMYFUNCTION("""COMPUTED_VALUE"""),0)</f>
        <v>0</v>
      </c>
      <c r="T17" s="108">
        <f ca="1">IFERROR(__xludf.DUMMYFUNCTION("""COMPUTED_VALUE"""),2)</f>
        <v>2</v>
      </c>
      <c r="U17" s="108">
        <f ca="1">IFERROR(__xludf.DUMMYFUNCTION("""COMPUTED_VALUE"""),1)</f>
        <v>1</v>
      </c>
      <c r="V17" s="153">
        <f ca="1">IFERROR(__xludf.DUMMYFUNCTION("""COMPUTED_VALUE"""),0)</f>
        <v>0</v>
      </c>
      <c r="W17" s="44" t="str">
        <f ca="1">IFERROR(__xludf.DUMMYFUNCTION("""COMPUTED_VALUE"""),"")</f>
        <v/>
      </c>
      <c r="X17" s="154" t="str">
        <f ca="1">IFERROR(__xludf.DUMMYFUNCTION("""COMPUTED_VALUE"""),"")</f>
        <v/>
      </c>
      <c r="Y17" s="154" t="str">
        <f ca="1">IFERROR(__xludf.DUMMYFUNCTION("""COMPUTED_VALUE"""),"")</f>
        <v/>
      </c>
      <c r="Z17" s="159" t="str">
        <f ca="1">IFERROR(__xludf.DUMMYFUNCTION("""COMPUTED_VALUE"""),"")</f>
        <v/>
      </c>
    </row>
    <row r="18" spans="1:26" ht="13" x14ac:dyDescent="0.15">
      <c r="A18" s="43" t="str">
        <f ca="1">IFERROR(__xludf.DUMMYFUNCTION("""COMPUTED_VALUE"""),"")</f>
        <v/>
      </c>
      <c r="B18" s="43" t="str">
        <f ca="1">IFERROR(__xludf.DUMMYFUNCTION("""COMPUTED_VALUE"""),"14626")</f>
        <v>14626</v>
      </c>
      <c r="C18" s="146">
        <f ca="1">IFERROR(__xludf.DUMMYFUNCTION("""COMPUTED_VALUE"""),44638000708)</f>
        <v>44638000708</v>
      </c>
      <c r="D18" s="43" t="str">
        <f ca="1">IFERROR(__xludf.DUMMYFUNCTION("""COMPUTED_VALUE"""),"MSFT")</f>
        <v>MSFT</v>
      </c>
      <c r="E18" s="147">
        <f ca="1">IFERROR(__xludf.DUMMYFUNCTION("""COMPUTED_VALUE"""),44638)</f>
        <v>44638</v>
      </c>
      <c r="F18" s="43" t="str">
        <f ca="1">IFERROR(__xludf.DUMMYFUNCTION("""COMPUTED_VALUE"""),"Stock")</f>
        <v>Stock</v>
      </c>
      <c r="G18" s="43" t="str">
        <f ca="1">IFERROR(__xludf.DUMMYFUNCTION("""COMPUTED_VALUE"""),"USD")</f>
        <v>USD</v>
      </c>
      <c r="H18" s="11" t="str">
        <f ca="1">IFERROR(__xludf.DUMMYFUNCTION("""COMPUTED_VALUE"""),"")</f>
        <v/>
      </c>
      <c r="I18" s="148">
        <f ca="1">IFERROR(__xludf.DUMMYFUNCTION("""COMPUTED_VALUE"""),7.82495)</f>
        <v>7.8249500000000003</v>
      </c>
      <c r="J18" s="149">
        <f ca="1">IFERROR(__xludf.DUMMYFUNCTION("""COMPUTED_VALUE"""),300.43)</f>
        <v>300.43</v>
      </c>
      <c r="K18" s="43"/>
      <c r="L18" s="149">
        <f ca="1">IFERROR(__xludf.DUMMYFUNCTION("""COMPUTED_VALUE"""),304.06)</f>
        <v>304.06</v>
      </c>
      <c r="M18" s="160" t="str">
        <f ca="1">IFERROR(__xludf.DUMMYFUNCTION("""COMPUTED_VALUE"""),"Equity Key Stats")</f>
        <v>Equity Key Stats</v>
      </c>
      <c r="N18" s="43"/>
      <c r="O18" s="43"/>
      <c r="P18" s="150">
        <f ca="1">IFERROR(__xludf.DUMMYFUNCTION("""COMPUTED_VALUE"""),0)</f>
        <v>0</v>
      </c>
      <c r="Q18" s="151"/>
      <c r="R18" s="152">
        <f ca="1">IFERROR(__xludf.DUMMYFUNCTION("""COMPUTED_VALUE"""),299.49)</f>
        <v>299.49</v>
      </c>
      <c r="S18" s="127">
        <f ca="1">IFERROR(__xludf.DUMMYFUNCTION("""COMPUTED_VALUE"""),0)</f>
        <v>0</v>
      </c>
      <c r="T18" s="108">
        <f ca="1">IFERROR(__xludf.DUMMYFUNCTION("""COMPUTED_VALUE"""),3)</f>
        <v>3</v>
      </c>
      <c r="U18" s="108" t="str">
        <f ca="1">IFERROR(__xludf.DUMMYFUNCTION("""COMPUTED_VALUE"""),"")</f>
        <v/>
      </c>
      <c r="V18" s="153" t="str">
        <f ca="1">IFERROR(__xludf.DUMMYFUNCTION("""COMPUTED_VALUE"""),"")</f>
        <v/>
      </c>
      <c r="W18" s="145" t="str">
        <f ca="1">IFERROR(__xludf.DUMMYFUNCTION("""COMPUTED_VALUE"""),"")</f>
        <v/>
      </c>
      <c r="X18" s="11" t="str">
        <f ca="1">IFERROR(__xludf.DUMMYFUNCTION("""COMPUTED_VALUE"""),"")</f>
        <v/>
      </c>
      <c r="Y18" s="11" t="str">
        <f ca="1">IFERROR(__xludf.DUMMYFUNCTION("""COMPUTED_VALUE"""),"")</f>
        <v/>
      </c>
      <c r="Z18" s="4" t="str">
        <f ca="1">IFERROR(__xludf.DUMMYFUNCTION("""COMPUTED_VALUE"""),"")</f>
        <v/>
      </c>
    </row>
    <row r="19" spans="1:26" ht="13" x14ac:dyDescent="0.15">
      <c r="A19" s="43" t="str">
        <f ca="1">IFERROR(__xludf.DUMMYFUNCTION("""COMPUTED_VALUE"""),"")</f>
        <v/>
      </c>
      <c r="B19" s="43" t="str">
        <f ca="1">IFERROR(__xludf.DUMMYFUNCTION("""COMPUTED_VALUE"""),"14626")</f>
        <v>14626</v>
      </c>
      <c r="C19" s="146">
        <f ca="1">IFERROR(__xludf.DUMMYFUNCTION("""COMPUTED_VALUE"""),44638000709)</f>
        <v>44638000709</v>
      </c>
      <c r="D19" s="43" t="str">
        <f ca="1">IFERROR(__xludf.DUMMYFUNCTION("""COMPUTED_VALUE"""),"AMZN")</f>
        <v>AMZN</v>
      </c>
      <c r="E19" s="147">
        <f ca="1">IFERROR(__xludf.DUMMYFUNCTION("""COMPUTED_VALUE"""),44638)</f>
        <v>44638</v>
      </c>
      <c r="F19" s="43" t="str">
        <f ca="1">IFERROR(__xludf.DUMMYFUNCTION("""COMPUTED_VALUE"""),"Stock")</f>
        <v>Stock</v>
      </c>
      <c r="G19" s="43" t="str">
        <f ca="1">IFERROR(__xludf.DUMMYFUNCTION("""COMPUTED_VALUE"""),"USD")</f>
        <v>USD</v>
      </c>
      <c r="H19" s="154" t="str">
        <f ca="1">IFERROR(__xludf.DUMMYFUNCTION("""COMPUTED_VALUE"""),"")</f>
        <v/>
      </c>
      <c r="I19" s="148">
        <f ca="1">IFERROR(__xludf.DUMMYFUNCTION("""COMPUTED_VALUE"""),7.82495)</f>
        <v>7.8249500000000003</v>
      </c>
      <c r="J19" s="149">
        <f ca="1">IFERROR(__xludf.DUMMYFUNCTION("""COMPUTED_VALUE"""),3225.01)</f>
        <v>3225.01</v>
      </c>
      <c r="K19" s="43"/>
      <c r="L19" s="149">
        <f ca="1">IFERROR(__xludf.DUMMYFUNCTION("""COMPUTED_VALUE"""),3297.78)</f>
        <v>3297.78</v>
      </c>
      <c r="M19" s="155" t="str">
        <f ca="1">IFERROR(__xludf.DUMMYFUNCTION("""COMPUTED_VALUE"""),"Equity Key Stats")</f>
        <v>Equity Key Stats</v>
      </c>
      <c r="N19" s="43"/>
      <c r="O19" s="43"/>
      <c r="P19" s="157">
        <f ca="1">IFERROR(__xludf.DUMMYFUNCTION("""COMPUTED_VALUE"""),0)</f>
        <v>0</v>
      </c>
      <c r="Q19" s="151"/>
      <c r="R19" s="152">
        <f ca="1">IFERROR(__xludf.DUMMYFUNCTION("""COMPUTED_VALUE"""),3268.16)</f>
        <v>3268.16</v>
      </c>
      <c r="S19" s="150">
        <f ca="1">IFERROR(__xludf.DUMMYFUNCTION("""COMPUTED_VALUE"""),0)</f>
        <v>0</v>
      </c>
      <c r="T19" s="108">
        <f ca="1">IFERROR(__xludf.DUMMYFUNCTION("""COMPUTED_VALUE"""),1)</f>
        <v>1</v>
      </c>
      <c r="U19" s="108">
        <f ca="1">IFERROR(__xludf.DUMMYFUNCTION("""COMPUTED_VALUE"""),1)</f>
        <v>1</v>
      </c>
      <c r="V19" s="158">
        <f ca="1">IFERROR(__xludf.DUMMYFUNCTION("""COMPUTED_VALUE"""),0)</f>
        <v>0</v>
      </c>
      <c r="W19" s="145" t="str">
        <f ca="1">IFERROR(__xludf.DUMMYFUNCTION("""COMPUTED_VALUE"""),"")</f>
        <v/>
      </c>
      <c r="X19" s="11" t="str">
        <f ca="1">IFERROR(__xludf.DUMMYFUNCTION("""COMPUTED_VALUE"""),"")</f>
        <v/>
      </c>
      <c r="Y19" s="11" t="str">
        <f ca="1">IFERROR(__xludf.DUMMYFUNCTION("""COMPUTED_VALUE"""),"")</f>
        <v/>
      </c>
      <c r="Z19" s="4" t="str">
        <f ca="1">IFERROR(__xludf.DUMMYFUNCTION("""COMPUTED_VALUE"""),"")</f>
        <v/>
      </c>
    </row>
    <row r="20" spans="1:26" ht="13" x14ac:dyDescent="0.15">
      <c r="A20" s="43" t="str">
        <f ca="1">IFERROR(__xludf.DUMMYFUNCTION("""COMPUTED_VALUE"""),"")</f>
        <v/>
      </c>
      <c r="B20" s="43" t="str">
        <f ca="1">IFERROR(__xludf.DUMMYFUNCTION("""COMPUTED_VALUE"""),"14626")</f>
        <v>14626</v>
      </c>
      <c r="C20" s="146">
        <f ca="1">IFERROR(__xludf.DUMMYFUNCTION("""COMPUTED_VALUE"""),44641000719)</f>
        <v>44641000719</v>
      </c>
      <c r="D20" s="43" t="str">
        <f ca="1">IFERROR(__xludf.DUMMYFUNCTION("""COMPUTED_VALUE"""),"^CMC200")</f>
        <v>^CMC200</v>
      </c>
      <c r="E20" s="147">
        <f ca="1">IFERROR(__xludf.DUMMYFUNCTION("""COMPUTED_VALUE"""),44641)</f>
        <v>44641</v>
      </c>
      <c r="F20" s="43" t="str">
        <f ca="1">IFERROR(__xludf.DUMMYFUNCTION("""COMPUTED_VALUE"""),"Stock")</f>
        <v>Stock</v>
      </c>
      <c r="G20" s="43" t="str">
        <f ca="1">IFERROR(__xludf.DUMMYFUNCTION("""COMPUTED_VALUE"""),"USD")</f>
        <v>USD</v>
      </c>
      <c r="H20" s="154" t="str">
        <f ca="1">IFERROR(__xludf.DUMMYFUNCTION("""COMPUTED_VALUE"""),"")</f>
        <v/>
      </c>
      <c r="I20" s="148">
        <f ca="1">IFERROR(__xludf.DUMMYFUNCTION("""COMPUTED_VALUE"""),7.82545)</f>
        <v>7.82545</v>
      </c>
      <c r="J20" s="149">
        <f ca="1">IFERROR(__xludf.DUMMYFUNCTION("""COMPUTED_VALUE"""),941.89)</f>
        <v>941.89</v>
      </c>
      <c r="K20" s="43"/>
      <c r="L20" s="149">
        <f ca="1">IFERROR(__xludf.DUMMYFUNCTION("""COMPUTED_VALUE"""),964.34)</f>
        <v>964.34</v>
      </c>
      <c r="M20" s="155" t="str">
        <f ca="1">IFERROR(__xludf.DUMMYFUNCTION("""COMPUTED_VALUE"""),"Equity Key Stats")</f>
        <v>Equity Key Stats</v>
      </c>
      <c r="N20" s="43"/>
      <c r="O20" s="43"/>
      <c r="P20" s="157">
        <f ca="1">IFERROR(__xludf.DUMMYFUNCTION("""COMPUTED_VALUE"""),0)</f>
        <v>0</v>
      </c>
      <c r="Q20" s="151"/>
      <c r="R20" s="152">
        <f ca="1">IFERROR(__xludf.DUMMYFUNCTION("""COMPUTED_VALUE"""),990.82)</f>
        <v>990.82</v>
      </c>
      <c r="S20" s="150">
        <f ca="1">IFERROR(__xludf.DUMMYFUNCTION("""COMPUTED_VALUE"""),0)</f>
        <v>0</v>
      </c>
      <c r="T20" s="108">
        <f ca="1">IFERROR(__xludf.DUMMYFUNCTION("""COMPUTED_VALUE"""),1)</f>
        <v>1</v>
      </c>
      <c r="U20" s="43">
        <f ca="1">IFERROR(__xludf.DUMMYFUNCTION("""COMPUTED_VALUE"""),1)</f>
        <v>1</v>
      </c>
      <c r="V20" s="144">
        <f ca="1">IFERROR(__xludf.DUMMYFUNCTION("""COMPUTED_VALUE"""),0)</f>
        <v>0</v>
      </c>
      <c r="W20" s="145" t="str">
        <f ca="1">IFERROR(__xludf.DUMMYFUNCTION("""COMPUTED_VALUE"""),"")</f>
        <v/>
      </c>
      <c r="X20" s="11" t="str">
        <f ca="1">IFERROR(__xludf.DUMMYFUNCTION("""COMPUTED_VALUE"""),"")</f>
        <v/>
      </c>
      <c r="Y20" s="11" t="str">
        <f ca="1">IFERROR(__xludf.DUMMYFUNCTION("""COMPUTED_VALUE"""),"")</f>
        <v/>
      </c>
      <c r="Z20" s="4" t="str">
        <f ca="1">IFERROR(__xludf.DUMMYFUNCTION("""COMPUTED_VALUE"""),"")</f>
        <v/>
      </c>
    </row>
    <row r="21" spans="1:26" ht="13" x14ac:dyDescent="0.15">
      <c r="A21" s="43" t="str">
        <f ca="1">IFERROR(__xludf.DUMMYFUNCTION("""COMPUTED_VALUE"""),"")</f>
        <v/>
      </c>
      <c r="B21" s="43" t="str">
        <f ca="1">IFERROR(__xludf.DUMMYFUNCTION("""COMPUTED_VALUE"""),"14626")</f>
        <v>14626</v>
      </c>
      <c r="C21" s="146">
        <f ca="1">IFERROR(__xludf.DUMMYFUNCTION("""COMPUTED_VALUE"""),44641000720)</f>
        <v>44641000720</v>
      </c>
      <c r="D21" s="43" t="str">
        <f ca="1">IFERROR(__xludf.DUMMYFUNCTION("""COMPUTED_VALUE"""),"SHOP")</f>
        <v>SHOP</v>
      </c>
      <c r="E21" s="147">
        <f ca="1">IFERROR(__xludf.DUMMYFUNCTION("""COMPUTED_VALUE"""),44641)</f>
        <v>44641</v>
      </c>
      <c r="F21" s="43" t="str">
        <f ca="1">IFERROR(__xludf.DUMMYFUNCTION("""COMPUTED_VALUE"""),"Stock")</f>
        <v>Stock</v>
      </c>
      <c r="G21" s="43" t="str">
        <f ca="1">IFERROR(__xludf.DUMMYFUNCTION("""COMPUTED_VALUE"""),"USD")</f>
        <v>USD</v>
      </c>
      <c r="H21" s="156" t="str">
        <f ca="1">IFERROR(__xludf.DUMMYFUNCTION("""COMPUTED_VALUE"""),"")</f>
        <v/>
      </c>
      <c r="I21" s="148">
        <f ca="1">IFERROR(__xludf.DUMMYFUNCTION("""COMPUTED_VALUE"""),7.82545)</f>
        <v>7.82545</v>
      </c>
      <c r="J21" s="149">
        <f ca="1">IFERROR(__xludf.DUMMYFUNCTION("""COMPUTED_VALUE"""),683.45)</f>
        <v>683.45</v>
      </c>
      <c r="K21" s="43"/>
      <c r="L21" s="149">
        <f ca="1">IFERROR(__xludf.DUMMYFUNCTION("""COMPUTED_VALUE"""),727.01)</f>
        <v>727.01</v>
      </c>
      <c r="M21" s="155" t="str">
        <f ca="1">IFERROR(__xludf.DUMMYFUNCTION("""COMPUTED_VALUE"""),"Equity Key Stats")</f>
        <v>Equity Key Stats</v>
      </c>
      <c r="N21" s="43"/>
      <c r="O21" s="43"/>
      <c r="P21" s="150">
        <f ca="1">IFERROR(__xludf.DUMMYFUNCTION("""COMPUTED_VALUE"""),0)</f>
        <v>0</v>
      </c>
      <c r="Q21" s="151"/>
      <c r="R21" s="152">
        <f ca="1">IFERROR(__xludf.DUMMYFUNCTION("""COMPUTED_VALUE"""),703.59)</f>
        <v>703.59</v>
      </c>
      <c r="S21" s="157">
        <f ca="1">IFERROR(__xludf.DUMMYFUNCTION("""COMPUTED_VALUE"""),0)</f>
        <v>0</v>
      </c>
      <c r="T21" s="108">
        <f ca="1">IFERROR(__xludf.DUMMYFUNCTION("""COMPUTED_VALUE"""),1)</f>
        <v>1</v>
      </c>
      <c r="U21" s="43">
        <f ca="1">IFERROR(__xludf.DUMMYFUNCTION("""COMPUTED_VALUE"""),1)</f>
        <v>1</v>
      </c>
      <c r="V21" s="144">
        <f ca="1">IFERROR(__xludf.DUMMYFUNCTION("""COMPUTED_VALUE"""),0)</f>
        <v>0</v>
      </c>
      <c r="W21" s="145" t="str">
        <f ca="1">IFERROR(__xludf.DUMMYFUNCTION("""COMPUTED_VALUE"""),"")</f>
        <v/>
      </c>
      <c r="X21" s="11" t="str">
        <f ca="1">IFERROR(__xludf.DUMMYFUNCTION("""COMPUTED_VALUE"""),"")</f>
        <v/>
      </c>
      <c r="Y21" s="11" t="str">
        <f ca="1">IFERROR(__xludf.DUMMYFUNCTION("""COMPUTED_VALUE"""),"")</f>
        <v/>
      </c>
      <c r="Z21" s="4" t="str">
        <f ca="1">IFERROR(__xludf.DUMMYFUNCTION("""COMPUTED_VALUE"""),"")</f>
        <v/>
      </c>
    </row>
    <row r="22" spans="1:26" ht="13" x14ac:dyDescent="0.15">
      <c r="A22" s="43" t="str">
        <f ca="1">IFERROR(__xludf.DUMMYFUNCTION("""COMPUTED_VALUE"""),"")</f>
        <v/>
      </c>
      <c r="B22" s="43" t="str">
        <f ca="1">IFERROR(__xludf.DUMMYFUNCTION("""COMPUTED_VALUE"""),"14626")</f>
        <v>14626</v>
      </c>
      <c r="C22" s="146">
        <f ca="1">IFERROR(__xludf.DUMMYFUNCTION("""COMPUTED_VALUE"""),44641000725)</f>
        <v>44641000725</v>
      </c>
      <c r="D22" s="43" t="str">
        <f ca="1">IFERROR(__xludf.DUMMYFUNCTION("""COMPUTED_VALUE"""),"^N225")</f>
        <v>^N225</v>
      </c>
      <c r="E22" s="147">
        <f ca="1">IFERROR(__xludf.DUMMYFUNCTION("""COMPUTED_VALUE"""),44641)</f>
        <v>44641</v>
      </c>
      <c r="F22" s="43" t="str">
        <f ca="1">IFERROR(__xludf.DUMMYFUNCTION("""COMPUTED_VALUE"""),"Stock")</f>
        <v>Stock</v>
      </c>
      <c r="G22" s="43" t="str">
        <f ca="1">IFERROR(__xludf.DUMMYFUNCTION("""COMPUTED_VALUE"""),"JPY")</f>
        <v>JPY</v>
      </c>
      <c r="H22" s="154" t="str">
        <f ca="1">IFERROR(__xludf.DUMMYFUNCTION("""COMPUTED_VALUE"""),"")</f>
        <v/>
      </c>
      <c r="I22" s="148">
        <f ca="1">IFERROR(__xludf.DUMMYFUNCTION("""COMPUTED_VALUE"""),0.06541815)</f>
        <v>6.5418149999999994E-2</v>
      </c>
      <c r="J22" s="149">
        <f ca="1">IFERROR(__xludf.DUMMYFUNCTION("""COMPUTED_VALUE"""),27222.93)</f>
        <v>27222.93</v>
      </c>
      <c r="K22" s="43"/>
      <c r="L22" s="149">
        <f ca="1">IFERROR(__xludf.DUMMYFUNCTION("""COMPUTED_VALUE"""),27779.11)</f>
        <v>27779.11</v>
      </c>
      <c r="M22" s="155" t="str">
        <f ca="1">IFERROR(__xludf.DUMMYFUNCTION("""COMPUTED_VALUE"""),"Equity Key Stats")</f>
        <v>Equity Key Stats</v>
      </c>
      <c r="N22" s="43"/>
      <c r="O22" s="43"/>
      <c r="P22" s="157">
        <f ca="1">IFERROR(__xludf.DUMMYFUNCTION("""COMPUTED_VALUE"""),0)</f>
        <v>0</v>
      </c>
      <c r="Q22" s="151"/>
      <c r="R22" s="152">
        <f ca="1">IFERROR(__xludf.DUMMYFUNCTION("""COMPUTED_VALUE"""),27698.63)</f>
        <v>27698.63</v>
      </c>
      <c r="S22" s="150">
        <f ca="1">IFERROR(__xludf.DUMMYFUNCTION("""COMPUTED_VALUE"""),0)</f>
        <v>0</v>
      </c>
      <c r="T22" s="108">
        <f ca="1">IFERROR(__xludf.DUMMYFUNCTION("""COMPUTED_VALUE"""),1)</f>
        <v>1</v>
      </c>
      <c r="U22" s="108">
        <f ca="1">IFERROR(__xludf.DUMMYFUNCTION("""COMPUTED_VALUE"""),1)</f>
        <v>1</v>
      </c>
      <c r="V22" s="153">
        <f ca="1">IFERROR(__xludf.DUMMYFUNCTION("""COMPUTED_VALUE"""),0)</f>
        <v>0</v>
      </c>
      <c r="W22" s="145" t="str">
        <f ca="1">IFERROR(__xludf.DUMMYFUNCTION("""COMPUTED_VALUE"""),"")</f>
        <v/>
      </c>
      <c r="X22" s="11" t="str">
        <f ca="1">IFERROR(__xludf.DUMMYFUNCTION("""COMPUTED_VALUE"""),"")</f>
        <v/>
      </c>
      <c r="Y22" s="11" t="str">
        <f ca="1">IFERROR(__xludf.DUMMYFUNCTION("""COMPUTED_VALUE"""),"")</f>
        <v/>
      </c>
      <c r="Z22" s="4" t="str">
        <f ca="1">IFERROR(__xludf.DUMMYFUNCTION("""COMPUTED_VALUE"""),"")</f>
        <v/>
      </c>
    </row>
    <row r="23" spans="1:26" ht="13" x14ac:dyDescent="0.15">
      <c r="A23" s="43" t="str">
        <f ca="1">IFERROR(__xludf.DUMMYFUNCTION("""COMPUTED_VALUE"""),"")</f>
        <v/>
      </c>
      <c r="B23" s="43" t="str">
        <f ca="1">IFERROR(__xludf.DUMMYFUNCTION("""COMPUTED_VALUE"""),"14626")</f>
        <v>14626</v>
      </c>
      <c r="C23" s="146">
        <f ca="1">IFERROR(__xludf.DUMMYFUNCTION("""COMPUTED_VALUE"""),44641000726)</f>
        <v>44641000726</v>
      </c>
      <c r="D23" s="43" t="str">
        <f ca="1">IFERROR(__xludf.DUMMYFUNCTION("""COMPUTED_VALUE"""),"PFE")</f>
        <v>PFE</v>
      </c>
      <c r="E23" s="147">
        <f ca="1">IFERROR(__xludf.DUMMYFUNCTION("""COMPUTED_VALUE"""),44641)</f>
        <v>44641</v>
      </c>
      <c r="F23" s="43" t="str">
        <f ca="1">IFERROR(__xludf.DUMMYFUNCTION("""COMPUTED_VALUE"""),"Stock")</f>
        <v>Stock</v>
      </c>
      <c r="G23" s="43" t="str">
        <f ca="1">IFERROR(__xludf.DUMMYFUNCTION("""COMPUTED_VALUE"""),"USD")</f>
        <v>USD</v>
      </c>
      <c r="H23" s="154">
        <f ca="1">IFERROR(__xludf.DUMMYFUNCTION("""COMPUTED_VALUE"""),1000)</f>
        <v>1000</v>
      </c>
      <c r="I23" s="148">
        <f ca="1">IFERROR(__xludf.DUMMYFUNCTION("""COMPUTED_VALUE"""),7.82545)</f>
        <v>7.82545</v>
      </c>
      <c r="J23" s="149">
        <f ca="1">IFERROR(__xludf.DUMMYFUNCTION("""COMPUTED_VALUE"""),54.19)</f>
        <v>54.19</v>
      </c>
      <c r="K23" s="43"/>
      <c r="L23" s="149">
        <f ca="1">IFERROR(__xludf.DUMMYFUNCTION("""COMPUTED_VALUE"""),53.04)</f>
        <v>53.04</v>
      </c>
      <c r="M23" s="155" t="str">
        <f ca="1">IFERROR(__xludf.DUMMYFUNCTION("""COMPUTED_VALUE"""),"Equity Key Stats")</f>
        <v>Equity Key Stats</v>
      </c>
      <c r="N23" s="43"/>
      <c r="O23" s="43"/>
      <c r="P23" s="157">
        <f ca="1">IFERROR(__xludf.DUMMYFUNCTION("""COMPUTED_VALUE"""),-424061.1355)</f>
        <v>-424061.13549999997</v>
      </c>
      <c r="Q23" s="151"/>
      <c r="R23" s="152">
        <f ca="1">IFERROR(__xludf.DUMMYFUNCTION("""COMPUTED_VALUE"""),52.19)</f>
        <v>52.19</v>
      </c>
      <c r="S23" s="150">
        <f ca="1">IFERROR(__xludf.DUMMYFUNCTION("""COMPUTED_VALUE"""),408410.235499999)</f>
        <v>408410.23549999902</v>
      </c>
      <c r="T23" s="108">
        <f ca="1">IFERROR(__xludf.DUMMYFUNCTION("""COMPUTED_VALUE"""),2)</f>
        <v>2</v>
      </c>
      <c r="U23" s="108" t="str">
        <f ca="1">IFERROR(__xludf.DUMMYFUNCTION("""COMPUTED_VALUE"""),"")</f>
        <v/>
      </c>
      <c r="V23" s="153" t="str">
        <f ca="1">IFERROR(__xludf.DUMMYFUNCTION("""COMPUTED_VALUE"""),"")</f>
        <v/>
      </c>
      <c r="W23" s="145" t="str">
        <f ca="1">IFERROR(__xludf.DUMMYFUNCTION("""COMPUTED_VALUE"""),"")</f>
        <v/>
      </c>
      <c r="X23" s="11" t="str">
        <f ca="1">IFERROR(__xludf.DUMMYFUNCTION("""COMPUTED_VALUE"""),"")</f>
        <v/>
      </c>
      <c r="Y23" s="11" t="str">
        <f ca="1">IFERROR(__xludf.DUMMYFUNCTION("""COMPUTED_VALUE"""),"")</f>
        <v/>
      </c>
      <c r="Z23" s="4" t="str">
        <f ca="1">IFERROR(__xludf.DUMMYFUNCTION("""COMPUTED_VALUE"""),"")</f>
        <v/>
      </c>
    </row>
    <row r="24" spans="1:26" ht="13" x14ac:dyDescent="0.15">
      <c r="A24" s="43" t="str">
        <f ca="1">IFERROR(__xludf.DUMMYFUNCTION("""COMPUTED_VALUE"""),"")</f>
        <v/>
      </c>
      <c r="B24" s="43" t="str">
        <f ca="1">IFERROR(__xludf.DUMMYFUNCTION("""COMPUTED_VALUE"""),"14626")</f>
        <v>14626</v>
      </c>
      <c r="C24" s="146">
        <f ca="1">IFERROR(__xludf.DUMMYFUNCTION("""COMPUTED_VALUE"""),44641000727)</f>
        <v>44641000727</v>
      </c>
      <c r="D24" s="43" t="str">
        <f ca="1">IFERROR(__xludf.DUMMYFUNCTION("""COMPUTED_VALUE"""),"LUNA1-USD")</f>
        <v>LUNA1-USD</v>
      </c>
      <c r="E24" s="147">
        <f ca="1">IFERROR(__xludf.DUMMYFUNCTION("""COMPUTED_VALUE"""),44641)</f>
        <v>44641</v>
      </c>
      <c r="F24" s="43" t="str">
        <f ca="1">IFERROR(__xludf.DUMMYFUNCTION("""COMPUTED_VALUE"""),"Stock")</f>
        <v>Stock</v>
      </c>
      <c r="G24" s="43" t="str">
        <f ca="1">IFERROR(__xludf.DUMMYFUNCTION("""COMPUTED_VALUE"""),"USD")</f>
        <v>USD</v>
      </c>
      <c r="H24" s="154" t="str">
        <f ca="1">IFERROR(__xludf.DUMMYFUNCTION("""COMPUTED_VALUE"""),"")</f>
        <v/>
      </c>
      <c r="I24" s="148">
        <f ca="1">IFERROR(__xludf.DUMMYFUNCTION("""COMPUTED_VALUE"""),7.82545)</f>
        <v>7.82545</v>
      </c>
      <c r="J24" s="149">
        <f ca="1">IFERROR(__xludf.DUMMYFUNCTION("""COMPUTED_VALUE"""),94.99)</f>
        <v>94.99</v>
      </c>
      <c r="K24" s="43"/>
      <c r="L24" s="149">
        <f ca="1">IFERROR(__xludf.DUMMYFUNCTION("""COMPUTED_VALUE"""),92.62)</f>
        <v>92.62</v>
      </c>
      <c r="M24" s="155" t="str">
        <f ca="1">IFERROR(__xludf.DUMMYFUNCTION("""COMPUTED_VALUE"""),"Equity Key Stats")</f>
        <v>Equity Key Stats</v>
      </c>
      <c r="N24" s="43"/>
      <c r="O24" s="43"/>
      <c r="P24" s="157">
        <f ca="1">IFERROR(__xludf.DUMMYFUNCTION("""COMPUTED_VALUE"""),0)</f>
        <v>0</v>
      </c>
      <c r="Q24" s="151"/>
      <c r="R24" s="152">
        <f ca="1">IFERROR(__xludf.DUMMYFUNCTION("""COMPUTED_VALUE"""),95.3)</f>
        <v>95.3</v>
      </c>
      <c r="S24" s="150">
        <f ca="1">IFERROR(__xludf.DUMMYFUNCTION("""COMPUTED_VALUE"""),0)</f>
        <v>0</v>
      </c>
      <c r="T24" s="108">
        <f ca="1">IFERROR(__xludf.DUMMYFUNCTION("""COMPUTED_VALUE"""),1)</f>
        <v>1</v>
      </c>
      <c r="U24" s="108">
        <f ca="1">IFERROR(__xludf.DUMMYFUNCTION("""COMPUTED_VALUE"""),1)</f>
        <v>1</v>
      </c>
      <c r="V24" s="153">
        <f ca="1">IFERROR(__xludf.DUMMYFUNCTION("""COMPUTED_VALUE"""),0)</f>
        <v>0</v>
      </c>
      <c r="W24" s="145" t="str">
        <f ca="1">IFERROR(__xludf.DUMMYFUNCTION("""COMPUTED_VALUE"""),"")</f>
        <v/>
      </c>
      <c r="X24" s="11" t="str">
        <f ca="1">IFERROR(__xludf.DUMMYFUNCTION("""COMPUTED_VALUE"""),"")</f>
        <v/>
      </c>
      <c r="Y24" s="11" t="str">
        <f ca="1">IFERROR(__xludf.DUMMYFUNCTION("""COMPUTED_VALUE"""),"")</f>
        <v/>
      </c>
      <c r="Z24" s="4" t="str">
        <f ca="1">IFERROR(__xludf.DUMMYFUNCTION("""COMPUTED_VALUE"""),"")</f>
        <v/>
      </c>
    </row>
    <row r="25" spans="1:26" ht="13" x14ac:dyDescent="0.15">
      <c r="A25" s="43" t="str">
        <f ca="1">IFERROR(__xludf.DUMMYFUNCTION("""COMPUTED_VALUE"""),"")</f>
        <v/>
      </c>
      <c r="B25" s="43" t="str">
        <f ca="1">IFERROR(__xludf.DUMMYFUNCTION("""COMPUTED_VALUE"""),"14626")</f>
        <v>14626</v>
      </c>
      <c r="C25" s="146">
        <f ca="1">IFERROR(__xludf.DUMMYFUNCTION("""COMPUTED_VALUE"""),44641000728)</f>
        <v>44641000728</v>
      </c>
      <c r="D25" s="43" t="str">
        <f ca="1">IFERROR(__xludf.DUMMYFUNCTION("""COMPUTED_VALUE"""),"NFLX")</f>
        <v>NFLX</v>
      </c>
      <c r="E25" s="147">
        <f ca="1">IFERROR(__xludf.DUMMYFUNCTION("""COMPUTED_VALUE"""),44641)</f>
        <v>44641</v>
      </c>
      <c r="F25" s="43" t="str">
        <f ca="1">IFERROR(__xludf.DUMMYFUNCTION("""COMPUTED_VALUE"""),"Stock")</f>
        <v>Stock</v>
      </c>
      <c r="G25" s="43" t="str">
        <f ca="1">IFERROR(__xludf.DUMMYFUNCTION("""COMPUTED_VALUE"""),"USD")</f>
        <v>USD</v>
      </c>
      <c r="H25" s="154" t="str">
        <f ca="1">IFERROR(__xludf.DUMMYFUNCTION("""COMPUTED_VALUE"""),"")</f>
        <v/>
      </c>
      <c r="I25" s="148">
        <f ca="1">IFERROR(__xludf.DUMMYFUNCTION("""COMPUTED_VALUE"""),7.82545)</f>
        <v>7.82545</v>
      </c>
      <c r="J25" s="149">
        <f ca="1">IFERROR(__xludf.DUMMYFUNCTION("""COMPUTED_VALUE"""),374.59)</f>
        <v>374.59</v>
      </c>
      <c r="K25" s="43"/>
      <c r="L25" s="149">
        <f ca="1">IFERROR(__xludf.DUMMYFUNCTION("""COMPUTED_VALUE"""),382.92)</f>
        <v>382.92</v>
      </c>
      <c r="M25" s="155" t="str">
        <f ca="1">IFERROR(__xludf.DUMMYFUNCTION("""COMPUTED_VALUE"""),"Equity Key Stats")</f>
        <v>Equity Key Stats</v>
      </c>
      <c r="N25" s="43"/>
      <c r="O25" s="43"/>
      <c r="P25" s="157">
        <f ca="1">IFERROR(__xludf.DUMMYFUNCTION("""COMPUTED_VALUE"""),0)</f>
        <v>0</v>
      </c>
      <c r="Q25" s="151"/>
      <c r="R25" s="152">
        <f ca="1">IFERROR(__xludf.DUMMYFUNCTION("""COMPUTED_VALUE"""),374.49)</f>
        <v>374.49</v>
      </c>
      <c r="S25" s="150">
        <f ca="1">IFERROR(__xludf.DUMMYFUNCTION("""COMPUTED_VALUE"""),0)</f>
        <v>0</v>
      </c>
      <c r="T25" s="108">
        <f ca="1">IFERROR(__xludf.DUMMYFUNCTION("""COMPUTED_VALUE"""),1)</f>
        <v>1</v>
      </c>
      <c r="U25" s="108">
        <f ca="1">IFERROR(__xludf.DUMMYFUNCTION("""COMPUTED_VALUE"""),1)</f>
        <v>1</v>
      </c>
      <c r="V25" s="158">
        <f ca="1">IFERROR(__xludf.DUMMYFUNCTION("""COMPUTED_VALUE"""),0)</f>
        <v>0</v>
      </c>
      <c r="W25" s="145" t="str">
        <f ca="1">IFERROR(__xludf.DUMMYFUNCTION("""COMPUTED_VALUE"""),"")</f>
        <v/>
      </c>
      <c r="X25" s="11" t="str">
        <f ca="1">IFERROR(__xludf.DUMMYFUNCTION("""COMPUTED_VALUE"""),"")</f>
        <v/>
      </c>
      <c r="Y25" s="11" t="str">
        <f ca="1">IFERROR(__xludf.DUMMYFUNCTION("""COMPUTED_VALUE"""),"")</f>
        <v/>
      </c>
      <c r="Z25" s="4" t="str">
        <f ca="1">IFERROR(__xludf.DUMMYFUNCTION("""COMPUTED_VALUE"""),"")</f>
        <v/>
      </c>
    </row>
    <row r="26" spans="1:26" ht="13" x14ac:dyDescent="0.15">
      <c r="A26" s="43" t="str">
        <f ca="1">IFERROR(__xludf.DUMMYFUNCTION("""COMPUTED_VALUE"""),"")</f>
        <v/>
      </c>
      <c r="B26" s="43" t="str">
        <f ca="1">IFERROR(__xludf.DUMMYFUNCTION("""COMPUTED_VALUE"""),"14626")</f>
        <v>14626</v>
      </c>
      <c r="C26" s="146">
        <f ca="1">IFERROR(__xludf.DUMMYFUNCTION("""COMPUTED_VALUE"""),44641000730)</f>
        <v>44641000730</v>
      </c>
      <c r="D26" s="43" t="str">
        <f ca="1">IFERROR(__xludf.DUMMYFUNCTION("""COMPUTED_VALUE"""),"NVDA")</f>
        <v>NVDA</v>
      </c>
      <c r="E26" s="147">
        <f ca="1">IFERROR(__xludf.DUMMYFUNCTION("""COMPUTED_VALUE"""),44641)</f>
        <v>44641</v>
      </c>
      <c r="F26" s="43" t="str">
        <f ca="1">IFERROR(__xludf.DUMMYFUNCTION("""COMPUTED_VALUE"""),"Stock")</f>
        <v>Stock</v>
      </c>
      <c r="G26" s="43" t="str">
        <f ca="1">IFERROR(__xludf.DUMMYFUNCTION("""COMPUTED_VALUE"""),"USD")</f>
        <v>USD</v>
      </c>
      <c r="H26" s="154" t="str">
        <f ca="1">IFERROR(__xludf.DUMMYFUNCTION("""COMPUTED_VALUE"""),"")</f>
        <v/>
      </c>
      <c r="I26" s="148">
        <f ca="1">IFERROR(__xludf.DUMMYFUNCTION("""COMPUTED_VALUE"""),7.82545)</f>
        <v>7.82545</v>
      </c>
      <c r="J26" s="149">
        <f ca="1">IFERROR(__xludf.DUMMYFUNCTION("""COMPUTED_VALUE"""),267.34)</f>
        <v>267.33999999999997</v>
      </c>
      <c r="K26" s="43"/>
      <c r="L26" s="149">
        <f ca="1">IFERROR(__xludf.DUMMYFUNCTION("""COMPUTED_VALUE"""),265.24)</f>
        <v>265.24</v>
      </c>
      <c r="M26" s="155" t="str">
        <f ca="1">IFERROR(__xludf.DUMMYFUNCTION("""COMPUTED_VALUE"""),"Equity Key Stats")</f>
        <v>Equity Key Stats</v>
      </c>
      <c r="N26" s="43"/>
      <c r="O26" s="43"/>
      <c r="P26" s="157">
        <f ca="1">IFERROR(__xludf.DUMMYFUNCTION("""COMPUTED_VALUE"""),0)</f>
        <v>0</v>
      </c>
      <c r="Q26" s="151"/>
      <c r="R26" s="152">
        <f ca="1">IFERROR(__xludf.DUMMYFUNCTION("""COMPUTED_VALUE"""),256.34)</f>
        <v>256.33999999999997</v>
      </c>
      <c r="S26" s="150">
        <f ca="1">IFERROR(__xludf.DUMMYFUNCTION("""COMPUTED_VALUE"""),0)</f>
        <v>0</v>
      </c>
      <c r="T26" s="108">
        <f ca="1">IFERROR(__xludf.DUMMYFUNCTION("""COMPUTED_VALUE"""),1)</f>
        <v>1</v>
      </c>
      <c r="U26" s="108">
        <f ca="1">IFERROR(__xludf.DUMMYFUNCTION("""COMPUTED_VALUE"""),1)</f>
        <v>1</v>
      </c>
      <c r="V26" s="153">
        <f ca="1">IFERROR(__xludf.DUMMYFUNCTION("""COMPUTED_VALUE"""),0)</f>
        <v>0</v>
      </c>
      <c r="W26" s="145" t="str">
        <f ca="1">IFERROR(__xludf.DUMMYFUNCTION("""COMPUTED_VALUE"""),"")</f>
        <v/>
      </c>
      <c r="X26" s="11" t="str">
        <f ca="1">IFERROR(__xludf.DUMMYFUNCTION("""COMPUTED_VALUE"""),"")</f>
        <v/>
      </c>
      <c r="Y26" s="11" t="str">
        <f ca="1">IFERROR(__xludf.DUMMYFUNCTION("""COMPUTED_VALUE"""),"")</f>
        <v/>
      </c>
      <c r="Z26" s="4" t="str">
        <f ca="1">IFERROR(__xludf.DUMMYFUNCTION("""COMPUTED_VALUE"""),"")</f>
        <v/>
      </c>
    </row>
    <row r="27" spans="1:26" ht="13" x14ac:dyDescent="0.15">
      <c r="A27" s="43" t="str">
        <f ca="1">IFERROR(__xludf.DUMMYFUNCTION("""COMPUTED_VALUE"""),"")</f>
        <v/>
      </c>
      <c r="B27" s="43" t="str">
        <f ca="1">IFERROR(__xludf.DUMMYFUNCTION("""COMPUTED_VALUE"""),"14626")</f>
        <v>14626</v>
      </c>
      <c r="C27" s="146">
        <f ca="1">IFERROR(__xludf.DUMMYFUNCTION("""COMPUTED_VALUE"""),44641000741)</f>
        <v>44641000741</v>
      </c>
      <c r="D27" s="43" t="str">
        <f ca="1">IFERROR(__xludf.DUMMYFUNCTION("""COMPUTED_VALUE"""),"CL=F")</f>
        <v>CL=F</v>
      </c>
      <c r="E27" s="147">
        <f ca="1">IFERROR(__xludf.DUMMYFUNCTION("""COMPUTED_VALUE"""),44641)</f>
        <v>44641</v>
      </c>
      <c r="F27" s="43" t="str">
        <f ca="1">IFERROR(__xludf.DUMMYFUNCTION("""COMPUTED_VALUE"""),"Stock")</f>
        <v>Stock</v>
      </c>
      <c r="G27" s="43" t="str">
        <f ca="1">IFERROR(__xludf.DUMMYFUNCTION("""COMPUTED_VALUE"""),"USD")</f>
        <v>USD</v>
      </c>
      <c r="H27" s="154" t="str">
        <f ca="1">IFERROR(__xludf.DUMMYFUNCTION("""COMPUTED_VALUE"""),"")</f>
        <v/>
      </c>
      <c r="I27" s="148">
        <f ca="1">IFERROR(__xludf.DUMMYFUNCTION("""COMPUTED_VALUE"""),7.82545)</f>
        <v>7.82545</v>
      </c>
      <c r="J27" s="149">
        <f ca="1">IFERROR(__xludf.DUMMYFUNCTION("""COMPUTED_VALUE"""),114.16)</f>
        <v>114.16</v>
      </c>
      <c r="K27" s="43"/>
      <c r="L27" s="149">
        <f ca="1">IFERROR(__xludf.DUMMYFUNCTION("""COMPUTED_VALUE"""),111.3)</f>
        <v>111.3</v>
      </c>
      <c r="M27" s="155" t="str">
        <f ca="1">IFERROR(__xludf.DUMMYFUNCTION("""COMPUTED_VALUE"""),"Equity Key Stats")</f>
        <v>Equity Key Stats</v>
      </c>
      <c r="N27" s="43"/>
      <c r="O27" s="43"/>
      <c r="P27" s="157">
        <f ca="1">IFERROR(__xludf.DUMMYFUNCTION("""COMPUTED_VALUE"""),0)</f>
        <v>0</v>
      </c>
      <c r="Q27" s="151"/>
      <c r="R27" s="152">
        <f ca="1">IFERROR(__xludf.DUMMYFUNCTION("""COMPUTED_VALUE"""),115.83)</f>
        <v>115.83</v>
      </c>
      <c r="S27" s="150">
        <f ca="1">IFERROR(__xludf.DUMMYFUNCTION("""COMPUTED_VALUE"""),0)</f>
        <v>0</v>
      </c>
      <c r="T27" s="108">
        <f ca="1">IFERROR(__xludf.DUMMYFUNCTION("""COMPUTED_VALUE"""),2)</f>
        <v>2</v>
      </c>
      <c r="U27" s="108">
        <f ca="1">IFERROR(__xludf.DUMMYFUNCTION("""COMPUTED_VALUE"""),1)</f>
        <v>1</v>
      </c>
      <c r="V27" s="153">
        <f ca="1">IFERROR(__xludf.DUMMYFUNCTION("""COMPUTED_VALUE"""),9749.71937999999)</f>
        <v>9749.7193799999895</v>
      </c>
      <c r="W27" s="145" t="str">
        <f ca="1">IFERROR(__xludf.DUMMYFUNCTION("""COMPUTED_VALUE"""),"")</f>
        <v/>
      </c>
      <c r="X27" s="11" t="str">
        <f ca="1">IFERROR(__xludf.DUMMYFUNCTION("""COMPUTED_VALUE"""),"")</f>
        <v/>
      </c>
      <c r="Y27" s="11" t="str">
        <f ca="1">IFERROR(__xludf.DUMMYFUNCTION("""COMPUTED_VALUE"""),"")</f>
        <v/>
      </c>
      <c r="Z27" s="4" t="str">
        <f ca="1">IFERROR(__xludf.DUMMYFUNCTION("""COMPUTED_VALUE"""),"")</f>
        <v/>
      </c>
    </row>
    <row r="28" spans="1:26" ht="13" x14ac:dyDescent="0.15">
      <c r="A28" s="43" t="str">
        <f ca="1">IFERROR(__xludf.DUMMYFUNCTION("""COMPUTED_VALUE"""),"")</f>
        <v/>
      </c>
      <c r="B28" s="43" t="str">
        <f ca="1">IFERROR(__xludf.DUMMYFUNCTION("""COMPUTED_VALUE"""),"14626")</f>
        <v>14626</v>
      </c>
      <c r="C28" s="146">
        <f ca="1">IFERROR(__xludf.DUMMYFUNCTION("""COMPUTED_VALUE"""),44641000742)</f>
        <v>44641000742</v>
      </c>
      <c r="D28" s="43" t="str">
        <f ca="1">IFERROR(__xludf.DUMMYFUNCTION("""COMPUTED_VALUE"""),"NKE")</f>
        <v>NKE</v>
      </c>
      <c r="E28" s="147">
        <f ca="1">IFERROR(__xludf.DUMMYFUNCTION("""COMPUTED_VALUE"""),44641)</f>
        <v>44641</v>
      </c>
      <c r="F28" s="43" t="str">
        <f ca="1">IFERROR(__xludf.DUMMYFUNCTION("""COMPUTED_VALUE"""),"Stock")</f>
        <v>Stock</v>
      </c>
      <c r="G28" s="43" t="str">
        <f ca="1">IFERROR(__xludf.DUMMYFUNCTION("""COMPUTED_VALUE"""),"USD")</f>
        <v>USD</v>
      </c>
      <c r="H28" s="154" t="str">
        <f ca="1">IFERROR(__xludf.DUMMYFUNCTION("""COMPUTED_VALUE"""),"")</f>
        <v/>
      </c>
      <c r="I28" s="148">
        <f ca="1">IFERROR(__xludf.DUMMYFUNCTION("""COMPUTED_VALUE"""),7.82545)</f>
        <v>7.82545</v>
      </c>
      <c r="J28" s="149">
        <f ca="1">IFERROR(__xludf.DUMMYFUNCTION("""COMPUTED_VALUE"""),130.19)</f>
        <v>130.19</v>
      </c>
      <c r="K28" s="43"/>
      <c r="L28" s="149">
        <f ca="1">IFERROR(__xludf.DUMMYFUNCTION("""COMPUTED_VALUE"""),133.09)</f>
        <v>133.09</v>
      </c>
      <c r="M28" s="155" t="str">
        <f ca="1">IFERROR(__xludf.DUMMYFUNCTION("""COMPUTED_VALUE"""),"Equity Key Stats")</f>
        <v>Equity Key Stats</v>
      </c>
      <c r="N28" s="43"/>
      <c r="O28" s="43"/>
      <c r="P28" s="157">
        <f ca="1">IFERROR(__xludf.DUMMYFUNCTION("""COMPUTED_VALUE"""),0)</f>
        <v>0</v>
      </c>
      <c r="Q28" s="151"/>
      <c r="R28" s="152">
        <f ca="1">IFERROR(__xludf.DUMMYFUNCTION("""COMPUTED_VALUE"""),133)</f>
        <v>133</v>
      </c>
      <c r="S28" s="150">
        <f ca="1">IFERROR(__xludf.DUMMYFUNCTION("""COMPUTED_VALUE"""),0)</f>
        <v>0</v>
      </c>
      <c r="T28" s="108">
        <f ca="1">IFERROR(__xludf.DUMMYFUNCTION("""COMPUTED_VALUE"""),1)</f>
        <v>1</v>
      </c>
      <c r="U28" s="108">
        <f ca="1">IFERROR(__xludf.DUMMYFUNCTION("""COMPUTED_VALUE"""),1)</f>
        <v>1</v>
      </c>
      <c r="V28" s="153">
        <f ca="1">IFERROR(__xludf.DUMMYFUNCTION("""COMPUTED_VALUE"""),0)</f>
        <v>0</v>
      </c>
      <c r="W28" s="145" t="str">
        <f ca="1">IFERROR(__xludf.DUMMYFUNCTION("""COMPUTED_VALUE"""),"")</f>
        <v/>
      </c>
      <c r="X28" s="11" t="str">
        <f ca="1">IFERROR(__xludf.DUMMYFUNCTION("""COMPUTED_VALUE"""),"")</f>
        <v/>
      </c>
      <c r="Y28" s="11" t="str">
        <f ca="1">IFERROR(__xludf.DUMMYFUNCTION("""COMPUTED_VALUE"""),"")</f>
        <v/>
      </c>
      <c r="Z28" s="4" t="str">
        <f ca="1">IFERROR(__xludf.DUMMYFUNCTION("""COMPUTED_VALUE"""),"")</f>
        <v/>
      </c>
    </row>
    <row r="29" spans="1:26" ht="13" x14ac:dyDescent="0.15">
      <c r="A29" s="43" t="str">
        <f ca="1">IFERROR(__xludf.DUMMYFUNCTION("""COMPUTED_VALUE"""),"")</f>
        <v/>
      </c>
      <c r="B29" s="43" t="str">
        <f ca="1">IFERROR(__xludf.DUMMYFUNCTION("""COMPUTED_VALUE"""),"14626")</f>
        <v>14626</v>
      </c>
      <c r="C29" s="146">
        <f ca="1">IFERROR(__xludf.DUMMYFUNCTION("""COMPUTED_VALUE"""),44641000743)</f>
        <v>44641000743</v>
      </c>
      <c r="D29" s="43" t="str">
        <f ca="1">IFERROR(__xludf.DUMMYFUNCTION("""COMPUTED_VALUE"""),"DIDI")</f>
        <v>DIDI</v>
      </c>
      <c r="E29" s="147">
        <f ca="1">IFERROR(__xludf.DUMMYFUNCTION("""COMPUTED_VALUE"""),44641)</f>
        <v>44641</v>
      </c>
      <c r="F29" s="43" t="str">
        <f ca="1">IFERROR(__xludf.DUMMYFUNCTION("""COMPUTED_VALUE"""),"Stock")</f>
        <v>Stock</v>
      </c>
      <c r="G29" s="43" t="str">
        <f ca="1">IFERROR(__xludf.DUMMYFUNCTION("""COMPUTED_VALUE"""),"USD")</f>
        <v>USD</v>
      </c>
      <c r="H29" s="154">
        <f ca="1">IFERROR(__xludf.DUMMYFUNCTION("""COMPUTED_VALUE"""),500)</f>
        <v>500</v>
      </c>
      <c r="I29" s="148">
        <f ca="1">IFERROR(__xludf.DUMMYFUNCTION("""COMPUTED_VALUE"""),7.82545)</f>
        <v>7.82545</v>
      </c>
      <c r="J29" s="149">
        <f ca="1">IFERROR(__xludf.DUMMYFUNCTION("""COMPUTED_VALUE"""),4.16)</f>
        <v>4.16</v>
      </c>
      <c r="K29" s="43"/>
      <c r="L29" s="149">
        <f ca="1">IFERROR(__xludf.DUMMYFUNCTION("""COMPUTED_VALUE"""),4)</f>
        <v>4</v>
      </c>
      <c r="M29" s="155" t="str">
        <f ca="1">IFERROR(__xludf.DUMMYFUNCTION("""COMPUTED_VALUE"""),"Equity Key Stats")</f>
        <v>Equity Key Stats</v>
      </c>
      <c r="N29" s="43"/>
      <c r="O29" s="43"/>
      <c r="P29" s="157">
        <f ca="1">IFERROR(__xludf.DUMMYFUNCTION("""COMPUTED_VALUE"""),-16276.936)</f>
        <v>-16276.936</v>
      </c>
      <c r="Q29" s="151"/>
      <c r="R29" s="152">
        <f ca="1">IFERROR(__xludf.DUMMYFUNCTION("""COMPUTED_VALUE"""),3.81)</f>
        <v>3.81</v>
      </c>
      <c r="S29" s="150">
        <f ca="1">IFERROR(__xludf.DUMMYFUNCTION("""COMPUTED_VALUE"""),14907.48225)</f>
        <v>14907.482249999999</v>
      </c>
      <c r="T29" s="108">
        <f ca="1">IFERROR(__xludf.DUMMYFUNCTION("""COMPUTED_VALUE"""),1)</f>
        <v>1</v>
      </c>
      <c r="U29" s="108">
        <f ca="1">IFERROR(__xludf.DUMMYFUNCTION("""COMPUTED_VALUE"""),1)</f>
        <v>1</v>
      </c>
      <c r="V29" s="153">
        <f ca="1">IFERROR(__xludf.DUMMYFUNCTION("""COMPUTED_VALUE"""),-1369.45375)</f>
        <v>-1369.4537499999999</v>
      </c>
      <c r="W29" s="145" t="str">
        <f ca="1">IFERROR(__xludf.DUMMYFUNCTION("""COMPUTED_VALUE"""),"")</f>
        <v/>
      </c>
      <c r="X29" s="11" t="str">
        <f ca="1">IFERROR(__xludf.DUMMYFUNCTION("""COMPUTED_VALUE"""),"")</f>
        <v/>
      </c>
      <c r="Y29" s="11" t="str">
        <f ca="1">IFERROR(__xludf.DUMMYFUNCTION("""COMPUTED_VALUE"""),"")</f>
        <v/>
      </c>
      <c r="Z29" s="4" t="str">
        <f ca="1">IFERROR(__xludf.DUMMYFUNCTION("""COMPUTED_VALUE"""),"")</f>
        <v/>
      </c>
    </row>
    <row r="30" spans="1:26" ht="13" x14ac:dyDescent="0.15">
      <c r="A30" s="43" t="str">
        <f ca="1">IFERROR(__xludf.DUMMYFUNCTION("""COMPUTED_VALUE"""),"")</f>
        <v/>
      </c>
      <c r="B30" s="43" t="str">
        <f ca="1">IFERROR(__xludf.DUMMYFUNCTION("""COMPUTED_VALUE"""),"14626")</f>
        <v>14626</v>
      </c>
      <c r="C30" s="146">
        <f ca="1">IFERROR(__xludf.DUMMYFUNCTION("""COMPUTED_VALUE"""),44641000744)</f>
        <v>44641000744</v>
      </c>
      <c r="D30" s="161" t="str">
        <f ca="1">IFERROR(__xludf.DUMMYFUNCTION("""COMPUTED_VALUE"""),"0700.HK")</f>
        <v>0700.HK</v>
      </c>
      <c r="E30" s="147">
        <f ca="1">IFERROR(__xludf.DUMMYFUNCTION("""COMPUTED_VALUE"""),44641)</f>
        <v>44641</v>
      </c>
      <c r="F30" s="43" t="str">
        <f ca="1">IFERROR(__xludf.DUMMYFUNCTION("""COMPUTED_VALUE"""),"Stock")</f>
        <v>Stock</v>
      </c>
      <c r="G30" s="43" t="str">
        <f ca="1">IFERROR(__xludf.DUMMYFUNCTION("""COMPUTED_VALUE"""),"HKD")</f>
        <v>HKD</v>
      </c>
      <c r="H30" s="154" t="str">
        <f ca="1">IFERROR(__xludf.DUMMYFUNCTION("""COMPUTED_VALUE"""),"")</f>
        <v/>
      </c>
      <c r="I30" s="148">
        <f ca="1">IFERROR(__xludf.DUMMYFUNCTION("""COMPUTED_VALUE"""),1)</f>
        <v>1</v>
      </c>
      <c r="J30" s="149">
        <f ca="1">IFERROR(__xludf.DUMMYFUNCTION("""COMPUTED_VALUE"""),372.4)</f>
        <v>372.4</v>
      </c>
      <c r="K30" s="43"/>
      <c r="L30" s="149">
        <f ca="1">IFERROR(__xludf.DUMMYFUNCTION("""COMPUTED_VALUE"""),388)</f>
        <v>388</v>
      </c>
      <c r="M30" s="155" t="str">
        <f ca="1">IFERROR(__xludf.DUMMYFUNCTION("""COMPUTED_VALUE"""),"Equity Key Stats")</f>
        <v>Equity Key Stats</v>
      </c>
      <c r="N30" s="43"/>
      <c r="O30" s="43"/>
      <c r="P30" s="157">
        <f ca="1">IFERROR(__xludf.DUMMYFUNCTION("""COMPUTED_VALUE"""),0)</f>
        <v>0</v>
      </c>
      <c r="Q30" s="151"/>
      <c r="R30" s="152">
        <f ca="1">IFERROR(__xludf.DUMMYFUNCTION("""COMPUTED_VALUE"""),389)</f>
        <v>389</v>
      </c>
      <c r="S30" s="150">
        <f ca="1">IFERROR(__xludf.DUMMYFUNCTION("""COMPUTED_VALUE"""),0)</f>
        <v>0</v>
      </c>
      <c r="T30" s="108">
        <f ca="1">IFERROR(__xludf.DUMMYFUNCTION("""COMPUTED_VALUE"""),1)</f>
        <v>1</v>
      </c>
      <c r="U30" s="108">
        <f ca="1">IFERROR(__xludf.DUMMYFUNCTION("""COMPUTED_VALUE"""),1)</f>
        <v>1</v>
      </c>
      <c r="V30" s="153">
        <f ca="1">IFERROR(__xludf.DUMMYFUNCTION("""COMPUTED_VALUE"""),0)</f>
        <v>0</v>
      </c>
      <c r="W30" s="145" t="str">
        <f ca="1">IFERROR(__xludf.DUMMYFUNCTION("""COMPUTED_VALUE"""),"")</f>
        <v/>
      </c>
      <c r="X30" s="11" t="str">
        <f ca="1">IFERROR(__xludf.DUMMYFUNCTION("""COMPUTED_VALUE"""),"")</f>
        <v/>
      </c>
      <c r="Y30" s="11" t="str">
        <f ca="1">IFERROR(__xludf.DUMMYFUNCTION("""COMPUTED_VALUE"""),"")</f>
        <v/>
      </c>
      <c r="Z30" s="4" t="str">
        <f ca="1">IFERROR(__xludf.DUMMYFUNCTION("""COMPUTED_VALUE"""),"")</f>
        <v/>
      </c>
    </row>
    <row r="31" spans="1:26" ht="13" x14ac:dyDescent="0.15">
      <c r="A31" s="43" t="str">
        <f ca="1">IFERROR(__xludf.DUMMYFUNCTION("""COMPUTED_VALUE"""),"")</f>
        <v/>
      </c>
      <c r="B31" s="43" t="str">
        <f ca="1">IFERROR(__xludf.DUMMYFUNCTION("""COMPUTED_VALUE"""),"14626")</f>
        <v>14626</v>
      </c>
      <c r="C31" s="146">
        <f ca="1">IFERROR(__xludf.DUMMYFUNCTION("""COMPUTED_VALUE"""),44641000745)</f>
        <v>44641000745</v>
      </c>
      <c r="D31" s="43" t="str">
        <f ca="1">IFERROR(__xludf.DUMMYFUNCTION("""COMPUTED_VALUE"""),"GOOG")</f>
        <v>GOOG</v>
      </c>
      <c r="E31" s="147">
        <f ca="1">IFERROR(__xludf.DUMMYFUNCTION("""COMPUTED_VALUE"""),44641)</f>
        <v>44641</v>
      </c>
      <c r="F31" s="43" t="str">
        <f ca="1">IFERROR(__xludf.DUMMYFUNCTION("""COMPUTED_VALUE"""),"Stock")</f>
        <v>Stock</v>
      </c>
      <c r="G31" s="43" t="str">
        <f ca="1">IFERROR(__xludf.DUMMYFUNCTION("""COMPUTED_VALUE"""),"USD")</f>
        <v>USD</v>
      </c>
      <c r="H31" s="154" t="str">
        <f ca="1">IFERROR(__xludf.DUMMYFUNCTION("""COMPUTED_VALUE"""),"")</f>
        <v/>
      </c>
      <c r="I31" s="148">
        <f ca="1">IFERROR(__xludf.DUMMYFUNCTION("""COMPUTED_VALUE"""),7.82545)</f>
        <v>7.82545</v>
      </c>
      <c r="J31" s="149">
        <f ca="1">IFERROR(__xludf.DUMMYFUNCTION("""COMPUTED_VALUE"""),2729.57)</f>
        <v>2729.57</v>
      </c>
      <c r="K31" s="43"/>
      <c r="L31" s="149">
        <f ca="1">IFERROR(__xludf.DUMMYFUNCTION("""COMPUTED_VALUE"""),2805.55)</f>
        <v>2805.55</v>
      </c>
      <c r="M31" s="155" t="str">
        <f ca="1">IFERROR(__xludf.DUMMYFUNCTION("""COMPUTED_VALUE"""),"Equity Key Stats")</f>
        <v>Equity Key Stats</v>
      </c>
      <c r="N31" s="43"/>
      <c r="O31" s="43"/>
      <c r="P31" s="157">
        <f ca="1">IFERROR(__xludf.DUMMYFUNCTION("""COMPUTED_VALUE"""),0)</f>
        <v>0</v>
      </c>
      <c r="Q31" s="151"/>
      <c r="R31" s="152">
        <f ca="1">IFERROR(__xludf.DUMMYFUNCTION("""COMPUTED_VALUE"""),2770.07)</f>
        <v>2770.07</v>
      </c>
      <c r="S31" s="150">
        <f ca="1">IFERROR(__xludf.DUMMYFUNCTION("""COMPUTED_VALUE"""),0)</f>
        <v>0</v>
      </c>
      <c r="T31" s="108">
        <f ca="1">IFERROR(__xludf.DUMMYFUNCTION("""COMPUTED_VALUE"""),3)</f>
        <v>3</v>
      </c>
      <c r="U31" s="108" t="str">
        <f ca="1">IFERROR(__xludf.DUMMYFUNCTION("""COMPUTED_VALUE"""),"")</f>
        <v/>
      </c>
      <c r="V31" s="153" t="str">
        <f ca="1">IFERROR(__xludf.DUMMYFUNCTION("""COMPUTED_VALUE"""),"")</f>
        <v/>
      </c>
      <c r="W31" s="145" t="str">
        <f ca="1">IFERROR(__xludf.DUMMYFUNCTION("""COMPUTED_VALUE"""),"")</f>
        <v/>
      </c>
      <c r="X31" s="11" t="str">
        <f ca="1">IFERROR(__xludf.DUMMYFUNCTION("""COMPUTED_VALUE"""),"")</f>
        <v/>
      </c>
      <c r="Y31" s="11" t="str">
        <f ca="1">IFERROR(__xludf.DUMMYFUNCTION("""COMPUTED_VALUE"""),"")</f>
        <v/>
      </c>
      <c r="Z31" s="4" t="str">
        <f ca="1">IFERROR(__xludf.DUMMYFUNCTION("""COMPUTED_VALUE"""),"")</f>
        <v/>
      </c>
    </row>
    <row r="32" spans="1:26" ht="13" x14ac:dyDescent="0.15">
      <c r="A32" s="43" t="str">
        <f ca="1">IFERROR(__xludf.DUMMYFUNCTION("""COMPUTED_VALUE"""),"")</f>
        <v/>
      </c>
      <c r="B32" s="43" t="str">
        <f ca="1">IFERROR(__xludf.DUMMYFUNCTION("""COMPUTED_VALUE"""),"14626")</f>
        <v>14626</v>
      </c>
      <c r="C32" s="146">
        <f ca="1">IFERROR(__xludf.DUMMYFUNCTION("""COMPUTED_VALUE"""),44641000746)</f>
        <v>44641000746</v>
      </c>
      <c r="D32" s="43" t="str">
        <f ca="1">IFERROR(__xludf.DUMMYFUNCTION("""COMPUTED_VALUE"""),"FB")</f>
        <v>FB</v>
      </c>
      <c r="E32" s="147">
        <f ca="1">IFERROR(__xludf.DUMMYFUNCTION("""COMPUTED_VALUE"""),44641)</f>
        <v>44641</v>
      </c>
      <c r="F32" s="43" t="str">
        <f ca="1">IFERROR(__xludf.DUMMYFUNCTION("""COMPUTED_VALUE"""),"Stock")</f>
        <v>Stock</v>
      </c>
      <c r="G32" s="43" t="str">
        <f ca="1">IFERROR(__xludf.DUMMYFUNCTION("""COMPUTED_VALUE"""),"USD")</f>
        <v>USD</v>
      </c>
      <c r="H32" s="154" t="str">
        <f ca="1">IFERROR(__xludf.DUMMYFUNCTION("""COMPUTED_VALUE"""),"")</f>
        <v/>
      </c>
      <c r="I32" s="148">
        <f ca="1">IFERROR(__xludf.DUMMYFUNCTION("""COMPUTED_VALUE"""),7.82545)</f>
        <v>7.82545</v>
      </c>
      <c r="J32" s="149">
        <f ca="1">IFERROR(__xludf.DUMMYFUNCTION("""COMPUTED_VALUE"""),211.49)</f>
        <v>211.49</v>
      </c>
      <c r="K32" s="43"/>
      <c r="L32" s="149">
        <f ca="1">IFERROR(__xludf.DUMMYFUNCTION("""COMPUTED_VALUE"""),216.65)</f>
        <v>216.65</v>
      </c>
      <c r="M32" s="155" t="str">
        <f ca="1">IFERROR(__xludf.DUMMYFUNCTION("""COMPUTED_VALUE"""),"Equity Key Stats")</f>
        <v>Equity Key Stats</v>
      </c>
      <c r="N32" s="43"/>
      <c r="O32" s="43"/>
      <c r="P32" s="157">
        <f ca="1">IFERROR(__xludf.DUMMYFUNCTION("""COMPUTED_VALUE"""),0)</f>
        <v>0</v>
      </c>
      <c r="Q32" s="151"/>
      <c r="R32" s="152">
        <f ca="1">IFERROR(__xludf.DUMMYFUNCTION("""COMPUTED_VALUE"""),213.46)</f>
        <v>213.46</v>
      </c>
      <c r="S32" s="150">
        <f ca="1">IFERROR(__xludf.DUMMYFUNCTION("""COMPUTED_VALUE"""),0)</f>
        <v>0</v>
      </c>
      <c r="T32" s="108">
        <f ca="1">IFERROR(__xludf.DUMMYFUNCTION("""COMPUTED_VALUE"""),2)</f>
        <v>2</v>
      </c>
      <c r="U32" s="43" t="str">
        <f ca="1">IFERROR(__xludf.DUMMYFUNCTION("""COMPUTED_VALUE"""),"")</f>
        <v/>
      </c>
      <c r="V32" s="144" t="str">
        <f ca="1">IFERROR(__xludf.DUMMYFUNCTION("""COMPUTED_VALUE"""),"")</f>
        <v/>
      </c>
      <c r="W32" s="145" t="str">
        <f ca="1">IFERROR(__xludf.DUMMYFUNCTION("""COMPUTED_VALUE"""),"")</f>
        <v/>
      </c>
      <c r="X32" s="11" t="str">
        <f ca="1">IFERROR(__xludf.DUMMYFUNCTION("""COMPUTED_VALUE"""),"")</f>
        <v/>
      </c>
      <c r="Y32" s="11" t="str">
        <f ca="1">IFERROR(__xludf.DUMMYFUNCTION("""COMPUTED_VALUE"""),"")</f>
        <v/>
      </c>
      <c r="Z32" s="4" t="str">
        <f ca="1">IFERROR(__xludf.DUMMYFUNCTION("""COMPUTED_VALUE"""),"")</f>
        <v/>
      </c>
    </row>
    <row r="33" spans="1:26" ht="13" x14ac:dyDescent="0.15">
      <c r="A33" s="43" t="str">
        <f ca="1">IFERROR(__xludf.DUMMYFUNCTION("""COMPUTED_VALUE"""),"")</f>
        <v/>
      </c>
      <c r="B33" s="43" t="str">
        <f ca="1">IFERROR(__xludf.DUMMYFUNCTION("""COMPUTED_VALUE"""),"14626")</f>
        <v>14626</v>
      </c>
      <c r="C33" s="146">
        <f ca="1">IFERROR(__xludf.DUMMYFUNCTION("""COMPUTED_VALUE"""),44641000747)</f>
        <v>44641000747</v>
      </c>
      <c r="D33" s="43" t="str">
        <f ca="1">IFERROR(__xludf.DUMMYFUNCTION("""COMPUTED_VALUE"""),"MSFT")</f>
        <v>MSFT</v>
      </c>
      <c r="E33" s="147">
        <f ca="1">IFERROR(__xludf.DUMMYFUNCTION("""COMPUTED_VALUE"""),44641)</f>
        <v>44641</v>
      </c>
      <c r="F33" s="43" t="str">
        <f ca="1">IFERROR(__xludf.DUMMYFUNCTION("""COMPUTED_VALUE"""),"Stock")</f>
        <v>Stock</v>
      </c>
      <c r="G33" s="43" t="str">
        <f ca="1">IFERROR(__xludf.DUMMYFUNCTION("""COMPUTED_VALUE"""),"USD")</f>
        <v>USD</v>
      </c>
      <c r="H33" s="154" t="str">
        <f ca="1">IFERROR(__xludf.DUMMYFUNCTION("""COMPUTED_VALUE"""),"")</f>
        <v/>
      </c>
      <c r="I33" s="148">
        <f ca="1">IFERROR(__xludf.DUMMYFUNCTION("""COMPUTED_VALUE"""),7.82545)</f>
        <v>7.82545</v>
      </c>
      <c r="J33" s="149">
        <f ca="1">IFERROR(__xludf.DUMMYFUNCTION("""COMPUTED_VALUE"""),299.16)</f>
        <v>299.16000000000003</v>
      </c>
      <c r="K33" s="43"/>
      <c r="L33" s="149">
        <f ca="1">IFERROR(__xludf.DUMMYFUNCTION("""COMPUTED_VALUE"""),304.06)</f>
        <v>304.06</v>
      </c>
      <c r="M33" s="155" t="str">
        <f ca="1">IFERROR(__xludf.DUMMYFUNCTION("""COMPUTED_VALUE"""),"Equity Key Stats")</f>
        <v>Equity Key Stats</v>
      </c>
      <c r="N33" s="43"/>
      <c r="O33" s="43"/>
      <c r="P33" s="157">
        <f ca="1">IFERROR(__xludf.DUMMYFUNCTION("""COMPUTED_VALUE"""),0)</f>
        <v>0</v>
      </c>
      <c r="Q33" s="151"/>
      <c r="R33" s="152">
        <f ca="1">IFERROR(__xludf.DUMMYFUNCTION("""COMPUTED_VALUE"""),299.49)</f>
        <v>299.49</v>
      </c>
      <c r="S33" s="150">
        <f ca="1">IFERROR(__xludf.DUMMYFUNCTION("""COMPUTED_VALUE"""),0)</f>
        <v>0</v>
      </c>
      <c r="T33" s="108">
        <f ca="1">IFERROR(__xludf.DUMMYFUNCTION("""COMPUTED_VALUE"""),3)</f>
        <v>3</v>
      </c>
      <c r="U33" s="108" t="str">
        <f ca="1">IFERROR(__xludf.DUMMYFUNCTION("""COMPUTED_VALUE"""),"")</f>
        <v/>
      </c>
      <c r="V33" s="153" t="str">
        <f ca="1">IFERROR(__xludf.DUMMYFUNCTION("""COMPUTED_VALUE"""),"")</f>
        <v/>
      </c>
      <c r="W33" s="44" t="str">
        <f ca="1">IFERROR(__xludf.DUMMYFUNCTION("""COMPUTED_VALUE"""),"")</f>
        <v/>
      </c>
      <c r="X33" s="156" t="str">
        <f ca="1">IFERROR(__xludf.DUMMYFUNCTION("""COMPUTED_VALUE"""),"")</f>
        <v/>
      </c>
      <c r="Y33" s="154" t="str">
        <f ca="1">IFERROR(__xludf.DUMMYFUNCTION("""COMPUTED_VALUE"""),"")</f>
        <v/>
      </c>
      <c r="Z33" s="159" t="str">
        <f ca="1">IFERROR(__xludf.DUMMYFUNCTION("""COMPUTED_VALUE"""),"")</f>
        <v/>
      </c>
    </row>
    <row r="34" spans="1:26" ht="13" x14ac:dyDescent="0.15">
      <c r="A34" s="43" t="str">
        <f ca="1">IFERROR(__xludf.DUMMYFUNCTION("""COMPUTED_VALUE"""),"")</f>
        <v/>
      </c>
      <c r="B34" s="43" t="str">
        <f ca="1">IFERROR(__xludf.DUMMYFUNCTION("""COMPUTED_VALUE"""),"14626")</f>
        <v>14626</v>
      </c>
      <c r="C34" s="146">
        <f ca="1">IFERROR(__xludf.DUMMYFUNCTION("""COMPUTED_VALUE"""),44641000748)</f>
        <v>44641000748</v>
      </c>
      <c r="D34" s="43" t="str">
        <f ca="1">IFERROR(__xludf.DUMMYFUNCTION("""COMPUTED_VALUE"""),"TSLA")</f>
        <v>TSLA</v>
      </c>
      <c r="E34" s="147">
        <f ca="1">IFERROR(__xludf.DUMMYFUNCTION("""COMPUTED_VALUE"""),44641)</f>
        <v>44641</v>
      </c>
      <c r="F34" s="43" t="str">
        <f ca="1">IFERROR(__xludf.DUMMYFUNCTION("""COMPUTED_VALUE"""),"Stock")</f>
        <v>Stock</v>
      </c>
      <c r="G34" s="43" t="str">
        <f ca="1">IFERROR(__xludf.DUMMYFUNCTION("""COMPUTED_VALUE"""),"USD")</f>
        <v>USD</v>
      </c>
      <c r="H34" s="11" t="str">
        <f ca="1">IFERROR(__xludf.DUMMYFUNCTION("""COMPUTED_VALUE"""),"")</f>
        <v/>
      </c>
      <c r="I34" s="148">
        <f ca="1">IFERROR(__xludf.DUMMYFUNCTION("""COMPUTED_VALUE"""),7.82545)</f>
        <v>7.82545</v>
      </c>
      <c r="J34" s="149">
        <f ca="1">IFERROR(__xludf.DUMMYFUNCTION("""COMPUTED_VALUE"""),921.16)</f>
        <v>921.16</v>
      </c>
      <c r="K34" s="43"/>
      <c r="L34" s="149">
        <f ca="1">IFERROR(__xludf.DUMMYFUNCTION("""COMPUTED_VALUE"""),993.98)</f>
        <v>993.98</v>
      </c>
      <c r="M34" s="160" t="str">
        <f ca="1">IFERROR(__xludf.DUMMYFUNCTION("""COMPUTED_VALUE"""),"Equity Key Stats")</f>
        <v>Equity Key Stats</v>
      </c>
      <c r="N34" s="43"/>
      <c r="O34" s="43"/>
      <c r="P34" s="150">
        <f ca="1">IFERROR(__xludf.DUMMYFUNCTION("""COMPUTED_VALUE"""),0)</f>
        <v>0</v>
      </c>
      <c r="Q34" s="151"/>
      <c r="R34" s="152">
        <f ca="1">IFERROR(__xludf.DUMMYFUNCTION("""COMPUTED_VALUE"""),999.11)</f>
        <v>999.11</v>
      </c>
      <c r="S34" s="127">
        <f ca="1">IFERROR(__xludf.DUMMYFUNCTION("""COMPUTED_VALUE"""),0)</f>
        <v>0</v>
      </c>
      <c r="T34" s="108">
        <f ca="1">IFERROR(__xludf.DUMMYFUNCTION("""COMPUTED_VALUE"""),4)</f>
        <v>4</v>
      </c>
      <c r="U34" s="108" t="str">
        <f ca="1">IFERROR(__xludf.DUMMYFUNCTION("""COMPUTED_VALUE"""),"")</f>
        <v/>
      </c>
      <c r="V34" s="153" t="str">
        <f ca="1">IFERROR(__xludf.DUMMYFUNCTION("""COMPUTED_VALUE"""),"")</f>
        <v/>
      </c>
      <c r="W34" s="145" t="str">
        <f ca="1">IFERROR(__xludf.DUMMYFUNCTION("""COMPUTED_VALUE"""),"")</f>
        <v/>
      </c>
      <c r="X34" s="11" t="str">
        <f ca="1">IFERROR(__xludf.DUMMYFUNCTION("""COMPUTED_VALUE"""),"")</f>
        <v/>
      </c>
      <c r="Y34" s="11" t="str">
        <f ca="1">IFERROR(__xludf.DUMMYFUNCTION("""COMPUTED_VALUE"""),"")</f>
        <v/>
      </c>
      <c r="Z34" s="4" t="str">
        <f ca="1">IFERROR(__xludf.DUMMYFUNCTION("""COMPUTED_VALUE"""),"")</f>
        <v/>
      </c>
    </row>
    <row r="35" spans="1:26" ht="13" x14ac:dyDescent="0.15">
      <c r="A35" s="43" t="str">
        <f ca="1">IFERROR(__xludf.DUMMYFUNCTION("""COMPUTED_VALUE"""),"")</f>
        <v/>
      </c>
      <c r="B35" s="43" t="str">
        <f ca="1">IFERROR(__xludf.DUMMYFUNCTION("""COMPUTED_VALUE"""),"14626")</f>
        <v>14626</v>
      </c>
      <c r="C35" s="146">
        <f ca="1">IFERROR(__xludf.DUMMYFUNCTION("""COMPUTED_VALUE"""),44641000749)</f>
        <v>44641000749</v>
      </c>
      <c r="D35" s="43" t="str">
        <f ca="1">IFERROR(__xludf.DUMMYFUNCTION("""COMPUTED_VALUE"""),"F")</f>
        <v>F</v>
      </c>
      <c r="E35" s="147">
        <f ca="1">IFERROR(__xludf.DUMMYFUNCTION("""COMPUTED_VALUE"""),44641)</f>
        <v>44641</v>
      </c>
      <c r="F35" s="43" t="str">
        <f ca="1">IFERROR(__xludf.DUMMYFUNCTION("""COMPUTED_VALUE"""),"Stock")</f>
        <v>Stock</v>
      </c>
      <c r="G35" s="43" t="str">
        <f ca="1">IFERROR(__xludf.DUMMYFUNCTION("""COMPUTED_VALUE"""),"USD")</f>
        <v>USD</v>
      </c>
      <c r="H35" s="154" t="str">
        <f ca="1">IFERROR(__xludf.DUMMYFUNCTION("""COMPUTED_VALUE"""),"")</f>
        <v/>
      </c>
      <c r="I35" s="148">
        <f ca="1">IFERROR(__xludf.DUMMYFUNCTION("""COMPUTED_VALUE"""),7.82545)</f>
        <v>7.82545</v>
      </c>
      <c r="J35" s="149">
        <f ca="1">IFERROR(__xludf.DUMMYFUNCTION("""COMPUTED_VALUE"""),16.48)</f>
        <v>16.48</v>
      </c>
      <c r="K35" s="43"/>
      <c r="L35" s="149">
        <f ca="1">IFERROR(__xludf.DUMMYFUNCTION("""COMPUTED_VALUE"""),17.09)</f>
        <v>17.09</v>
      </c>
      <c r="M35" s="155" t="str">
        <f ca="1">IFERROR(__xludf.DUMMYFUNCTION("""COMPUTED_VALUE"""),"Equity Key Stats")</f>
        <v>Equity Key Stats</v>
      </c>
      <c r="N35" s="43"/>
      <c r="O35" s="43"/>
      <c r="P35" s="150">
        <f ca="1">IFERROR(__xludf.DUMMYFUNCTION("""COMPUTED_VALUE"""),0)</f>
        <v>0</v>
      </c>
      <c r="Q35" s="151"/>
      <c r="R35" s="152">
        <f ca="1">IFERROR(__xludf.DUMMYFUNCTION("""COMPUTED_VALUE"""),16.68)</f>
        <v>16.68</v>
      </c>
      <c r="S35" s="150">
        <f ca="1">IFERROR(__xludf.DUMMYFUNCTION("""COMPUTED_VALUE"""),0)</f>
        <v>0</v>
      </c>
      <c r="T35" s="108">
        <f ca="1">IFERROR(__xludf.DUMMYFUNCTION("""COMPUTED_VALUE"""),2)</f>
        <v>2</v>
      </c>
      <c r="U35" s="43" t="str">
        <f ca="1">IFERROR(__xludf.DUMMYFUNCTION("""COMPUTED_VALUE"""),"")</f>
        <v/>
      </c>
      <c r="V35" s="144" t="str">
        <f ca="1">IFERROR(__xludf.DUMMYFUNCTION("""COMPUTED_VALUE"""),"")</f>
        <v/>
      </c>
      <c r="W35" s="145" t="str">
        <f ca="1">IFERROR(__xludf.DUMMYFUNCTION("""COMPUTED_VALUE"""),"")</f>
        <v/>
      </c>
      <c r="X35" s="11" t="str">
        <f ca="1">IFERROR(__xludf.DUMMYFUNCTION("""COMPUTED_VALUE"""),"")</f>
        <v/>
      </c>
      <c r="Y35" s="11" t="str">
        <f ca="1">IFERROR(__xludf.DUMMYFUNCTION("""COMPUTED_VALUE"""),"")</f>
        <v/>
      </c>
      <c r="Z35" s="4" t="str">
        <f ca="1">IFERROR(__xludf.DUMMYFUNCTION("""COMPUTED_VALUE"""),"")</f>
        <v/>
      </c>
    </row>
    <row r="36" spans="1:26" ht="13" x14ac:dyDescent="0.15">
      <c r="A36" s="43" t="str">
        <f ca="1">IFERROR(__xludf.DUMMYFUNCTION("""COMPUTED_VALUE"""),"")</f>
        <v/>
      </c>
      <c r="B36" s="43" t="str">
        <f ca="1">IFERROR(__xludf.DUMMYFUNCTION("""COMPUTED_VALUE"""),"14626")</f>
        <v>14626</v>
      </c>
      <c r="C36" s="146">
        <f ca="1">IFERROR(__xludf.DUMMYFUNCTION("""COMPUTED_VALUE"""),44641000750)</f>
        <v>44641000750</v>
      </c>
      <c r="D36" s="43" t="str">
        <f ca="1">IFERROR(__xludf.DUMMYFUNCTION("""COMPUTED_VALUE"""),"BA")</f>
        <v>BA</v>
      </c>
      <c r="E36" s="147">
        <f ca="1">IFERROR(__xludf.DUMMYFUNCTION("""COMPUTED_VALUE"""),44641)</f>
        <v>44641</v>
      </c>
      <c r="F36" s="43" t="str">
        <f ca="1">IFERROR(__xludf.DUMMYFUNCTION("""COMPUTED_VALUE"""),"Stock")</f>
        <v>Stock</v>
      </c>
      <c r="G36" s="43" t="str">
        <f ca="1">IFERROR(__xludf.DUMMYFUNCTION("""COMPUTED_VALUE"""),"USD")</f>
        <v>USD</v>
      </c>
      <c r="H36" s="154" t="str">
        <f ca="1">IFERROR(__xludf.DUMMYFUNCTION("""COMPUTED_VALUE"""),"")</f>
        <v/>
      </c>
      <c r="I36" s="148">
        <f ca="1">IFERROR(__xludf.DUMMYFUNCTION("""COMPUTED_VALUE"""),7.82545)</f>
        <v>7.82545</v>
      </c>
      <c r="J36" s="149">
        <f ca="1">IFERROR(__xludf.DUMMYFUNCTION("""COMPUTED_VALUE"""),185.9)</f>
        <v>185.9</v>
      </c>
      <c r="K36" s="43"/>
      <c r="L36" s="149">
        <f ca="1">IFERROR(__xludf.DUMMYFUNCTION("""COMPUTED_VALUE"""),191.04)</f>
        <v>191.04</v>
      </c>
      <c r="M36" s="155" t="str">
        <f ca="1">IFERROR(__xludf.DUMMYFUNCTION("""COMPUTED_VALUE"""),"Equity Key Stats")</f>
        <v>Equity Key Stats</v>
      </c>
      <c r="N36" s="43"/>
      <c r="O36" s="43"/>
      <c r="P36" s="157">
        <f ca="1">IFERROR(__xludf.DUMMYFUNCTION("""COMPUTED_VALUE"""),0)</f>
        <v>0</v>
      </c>
      <c r="Q36" s="151"/>
      <c r="R36" s="152">
        <f ca="1">IFERROR(__xludf.DUMMYFUNCTION("""COMPUTED_VALUE"""),186.04)</f>
        <v>186.04</v>
      </c>
      <c r="S36" s="150">
        <f ca="1">IFERROR(__xludf.DUMMYFUNCTION("""COMPUTED_VALUE"""),0)</f>
        <v>0</v>
      </c>
      <c r="T36" s="108">
        <f ca="1">IFERROR(__xludf.DUMMYFUNCTION("""COMPUTED_VALUE"""),2)</f>
        <v>2</v>
      </c>
      <c r="U36" s="43" t="str">
        <f ca="1">IFERROR(__xludf.DUMMYFUNCTION("""COMPUTED_VALUE"""),"")</f>
        <v/>
      </c>
      <c r="V36" s="144" t="str">
        <f ca="1">IFERROR(__xludf.DUMMYFUNCTION("""COMPUTED_VALUE"""),"")</f>
        <v/>
      </c>
      <c r="W36" s="145" t="str">
        <f ca="1">IFERROR(__xludf.DUMMYFUNCTION("""COMPUTED_VALUE"""),"")</f>
        <v/>
      </c>
      <c r="X36" s="11" t="str">
        <f ca="1">IFERROR(__xludf.DUMMYFUNCTION("""COMPUTED_VALUE"""),"")</f>
        <v/>
      </c>
      <c r="Y36" s="11" t="str">
        <f ca="1">IFERROR(__xludf.DUMMYFUNCTION("""COMPUTED_VALUE"""),"")</f>
        <v/>
      </c>
      <c r="Z36" s="4" t="str">
        <f ca="1">IFERROR(__xludf.DUMMYFUNCTION("""COMPUTED_VALUE"""),"")</f>
        <v/>
      </c>
    </row>
    <row r="37" spans="1:26" ht="13" x14ac:dyDescent="0.15">
      <c r="A37" s="43" t="str">
        <f ca="1">IFERROR(__xludf.DUMMYFUNCTION("""COMPUTED_VALUE"""),"")</f>
        <v/>
      </c>
      <c r="B37" s="43" t="str">
        <f ca="1">IFERROR(__xludf.DUMMYFUNCTION("""COMPUTED_VALUE"""),"14626")</f>
        <v>14626</v>
      </c>
      <c r="C37" s="146">
        <f ca="1">IFERROR(__xludf.DUMMYFUNCTION("""COMPUTED_VALUE"""),44641000751)</f>
        <v>44641000751</v>
      </c>
      <c r="D37" s="43" t="str">
        <f ca="1">IFERROR(__xludf.DUMMYFUNCTION("""COMPUTED_VALUE"""),"MMM")</f>
        <v>MMM</v>
      </c>
      <c r="E37" s="147">
        <f ca="1">IFERROR(__xludf.DUMMYFUNCTION("""COMPUTED_VALUE"""),44641)</f>
        <v>44641</v>
      </c>
      <c r="F37" s="43" t="str">
        <f ca="1">IFERROR(__xludf.DUMMYFUNCTION("""COMPUTED_VALUE"""),"Stock")</f>
        <v>Stock</v>
      </c>
      <c r="G37" s="43" t="str">
        <f ca="1">IFERROR(__xludf.DUMMYFUNCTION("""COMPUTED_VALUE"""),"USD")</f>
        <v>USD</v>
      </c>
      <c r="H37" s="154" t="str">
        <f ca="1">IFERROR(__xludf.DUMMYFUNCTION("""COMPUTED_VALUE"""),"")</f>
        <v/>
      </c>
      <c r="I37" s="148">
        <f ca="1">IFERROR(__xludf.DUMMYFUNCTION("""COMPUTED_VALUE"""),7.82545)</f>
        <v>7.82545</v>
      </c>
      <c r="J37" s="149">
        <f ca="1">IFERROR(__xludf.DUMMYFUNCTION("""COMPUTED_VALUE"""),148.58)</f>
        <v>148.58000000000001</v>
      </c>
      <c r="K37" s="43"/>
      <c r="L37" s="149">
        <f ca="1">IFERROR(__xludf.DUMMYFUNCTION("""COMPUTED_VALUE"""),149.94)</f>
        <v>149.94</v>
      </c>
      <c r="M37" s="155" t="str">
        <f ca="1">IFERROR(__xludf.DUMMYFUNCTION("""COMPUTED_VALUE"""),"Equity Key Stats")</f>
        <v>Equity Key Stats</v>
      </c>
      <c r="N37" s="43"/>
      <c r="O37" s="43"/>
      <c r="P37" s="157">
        <f ca="1">IFERROR(__xludf.DUMMYFUNCTION("""COMPUTED_VALUE"""),0)</f>
        <v>0</v>
      </c>
      <c r="Q37" s="151"/>
      <c r="R37" s="152">
        <f ca="1">IFERROR(__xludf.DUMMYFUNCTION("""COMPUTED_VALUE"""),147.68)</f>
        <v>147.68</v>
      </c>
      <c r="S37" s="150">
        <f ca="1">IFERROR(__xludf.DUMMYFUNCTION("""COMPUTED_VALUE"""),0)</f>
        <v>0</v>
      </c>
      <c r="T37" s="108">
        <f ca="1">IFERROR(__xludf.DUMMYFUNCTION("""COMPUTED_VALUE"""),1)</f>
        <v>1</v>
      </c>
      <c r="U37" s="43">
        <f ca="1">IFERROR(__xludf.DUMMYFUNCTION("""COMPUTED_VALUE"""),1)</f>
        <v>1</v>
      </c>
      <c r="V37" s="144">
        <f ca="1">IFERROR(__xludf.DUMMYFUNCTION("""COMPUTED_VALUE"""),0)</f>
        <v>0</v>
      </c>
      <c r="W37" s="145" t="str">
        <f ca="1">IFERROR(__xludf.DUMMYFUNCTION("""COMPUTED_VALUE"""),"")</f>
        <v/>
      </c>
      <c r="X37" s="11" t="str">
        <f ca="1">IFERROR(__xludf.DUMMYFUNCTION("""COMPUTED_VALUE"""),"")</f>
        <v/>
      </c>
      <c r="Y37" s="11" t="str">
        <f ca="1">IFERROR(__xludf.DUMMYFUNCTION("""COMPUTED_VALUE"""),"")</f>
        <v/>
      </c>
      <c r="Z37" s="4" t="str">
        <f ca="1">IFERROR(__xludf.DUMMYFUNCTION("""COMPUTED_VALUE"""),"")</f>
        <v/>
      </c>
    </row>
    <row r="38" spans="1:26" ht="13" x14ac:dyDescent="0.15">
      <c r="A38" s="43" t="str">
        <f ca="1">IFERROR(__xludf.DUMMYFUNCTION("""COMPUTED_VALUE"""),"")</f>
        <v/>
      </c>
      <c r="B38" s="43" t="str">
        <f ca="1">IFERROR(__xludf.DUMMYFUNCTION("""COMPUTED_VALUE"""),"14626")</f>
        <v>14626</v>
      </c>
      <c r="C38" s="146">
        <f ca="1">IFERROR(__xludf.DUMMYFUNCTION("""COMPUTED_VALUE"""),44641000752)</f>
        <v>44641000752</v>
      </c>
      <c r="D38" s="43" t="str">
        <f ca="1">IFERROR(__xludf.DUMMYFUNCTION("""COMPUTED_VALUE"""),"AMC")</f>
        <v>AMC</v>
      </c>
      <c r="E38" s="147">
        <f ca="1">IFERROR(__xludf.DUMMYFUNCTION("""COMPUTED_VALUE"""),44641)</f>
        <v>44641</v>
      </c>
      <c r="F38" s="43" t="str">
        <f ca="1">IFERROR(__xludf.DUMMYFUNCTION("""COMPUTED_VALUE"""),"Stock")</f>
        <v>Stock</v>
      </c>
      <c r="G38" s="43" t="str">
        <f ca="1">IFERROR(__xludf.DUMMYFUNCTION("""COMPUTED_VALUE"""),"USD")</f>
        <v>USD</v>
      </c>
      <c r="H38" s="154" t="str">
        <f ca="1">IFERROR(__xludf.DUMMYFUNCTION("""COMPUTED_VALUE"""),"")</f>
        <v/>
      </c>
      <c r="I38" s="148">
        <f ca="1">IFERROR(__xludf.DUMMYFUNCTION("""COMPUTED_VALUE"""),7.82545)</f>
        <v>7.82545</v>
      </c>
      <c r="J38" s="149">
        <f ca="1">IFERROR(__xludf.DUMMYFUNCTION("""COMPUTED_VALUE"""),15.86)</f>
        <v>15.86</v>
      </c>
      <c r="K38" s="43"/>
      <c r="L38" s="149">
        <f ca="1">IFERROR(__xludf.DUMMYFUNCTION("""COMPUTED_VALUE"""),18.26)</f>
        <v>18.260000000000002</v>
      </c>
      <c r="M38" s="155" t="str">
        <f ca="1">IFERROR(__xludf.DUMMYFUNCTION("""COMPUTED_VALUE"""),"Equity Key Stats")</f>
        <v>Equity Key Stats</v>
      </c>
      <c r="N38" s="43"/>
      <c r="O38" s="43"/>
      <c r="P38" s="157">
        <f ca="1">IFERROR(__xludf.DUMMYFUNCTION("""COMPUTED_VALUE"""),0)</f>
        <v>0</v>
      </c>
      <c r="Q38" s="151"/>
      <c r="R38" s="152">
        <f ca="1">IFERROR(__xludf.DUMMYFUNCTION("""COMPUTED_VALUE"""),20.74)</f>
        <v>20.74</v>
      </c>
      <c r="S38" s="150">
        <f ca="1">IFERROR(__xludf.DUMMYFUNCTION("""COMPUTED_VALUE"""),0)</f>
        <v>0</v>
      </c>
      <c r="T38" s="108">
        <f ca="1">IFERROR(__xludf.DUMMYFUNCTION("""COMPUTED_VALUE"""),1)</f>
        <v>1</v>
      </c>
      <c r="U38" s="43">
        <f ca="1">IFERROR(__xludf.DUMMYFUNCTION("""COMPUTED_VALUE"""),1)</f>
        <v>1</v>
      </c>
      <c r="V38" s="144">
        <f ca="1">IFERROR(__xludf.DUMMYFUNCTION("""COMPUTED_VALUE"""),0)</f>
        <v>0</v>
      </c>
      <c r="W38" s="145" t="str">
        <f ca="1">IFERROR(__xludf.DUMMYFUNCTION("""COMPUTED_VALUE"""),"")</f>
        <v/>
      </c>
      <c r="X38" s="11" t="str">
        <f ca="1">IFERROR(__xludf.DUMMYFUNCTION("""COMPUTED_VALUE"""),"")</f>
        <v/>
      </c>
      <c r="Y38" s="11" t="str">
        <f ca="1">IFERROR(__xludf.DUMMYFUNCTION("""COMPUTED_VALUE"""),"")</f>
        <v/>
      </c>
      <c r="Z38" s="4" t="str">
        <f ca="1">IFERROR(__xludf.DUMMYFUNCTION("""COMPUTED_VALUE"""),"")</f>
        <v/>
      </c>
    </row>
    <row r="39" spans="1:26" ht="13" x14ac:dyDescent="0.15">
      <c r="A39" s="43" t="str">
        <f ca="1">IFERROR(__xludf.DUMMYFUNCTION("""COMPUTED_VALUE"""),"")</f>
        <v/>
      </c>
      <c r="B39" s="43" t="str">
        <f ca="1">IFERROR(__xludf.DUMMYFUNCTION("""COMPUTED_VALUE"""),"14626")</f>
        <v>14626</v>
      </c>
      <c r="C39" s="146">
        <f ca="1">IFERROR(__xludf.DUMMYFUNCTION("""COMPUTED_VALUE"""),44642000775)</f>
        <v>44642000775</v>
      </c>
      <c r="D39" s="43" t="str">
        <f ca="1">IFERROR(__xludf.DUMMYFUNCTION("""COMPUTED_VALUE"""),"MSFT")</f>
        <v>MSFT</v>
      </c>
      <c r="E39" s="147">
        <f ca="1">IFERROR(__xludf.DUMMYFUNCTION("""COMPUTED_VALUE"""),44642)</f>
        <v>44642</v>
      </c>
      <c r="F39" s="43" t="str">
        <f ca="1">IFERROR(__xludf.DUMMYFUNCTION("""COMPUTED_VALUE"""),"Stock")</f>
        <v>Stock</v>
      </c>
      <c r="G39" s="43" t="str">
        <f ca="1">IFERROR(__xludf.DUMMYFUNCTION("""COMPUTED_VALUE"""),"USD")</f>
        <v>USD</v>
      </c>
      <c r="H39" s="156" t="str">
        <f ca="1">IFERROR(__xludf.DUMMYFUNCTION("""COMPUTED_VALUE"""),"")</f>
        <v/>
      </c>
      <c r="I39" s="148">
        <f ca="1">IFERROR(__xludf.DUMMYFUNCTION("""COMPUTED_VALUE"""),7.82695)</f>
        <v>7.8269500000000001</v>
      </c>
      <c r="J39" s="149">
        <f ca="1">IFERROR(__xludf.DUMMYFUNCTION("""COMPUTED_VALUE"""),304.06)</f>
        <v>304.06</v>
      </c>
      <c r="K39" s="43"/>
      <c r="L39" s="149">
        <f ca="1">IFERROR(__xludf.DUMMYFUNCTION("""COMPUTED_VALUE"""),304.06)</f>
        <v>304.06</v>
      </c>
      <c r="M39" s="155" t="str">
        <f ca="1">IFERROR(__xludf.DUMMYFUNCTION("""COMPUTED_VALUE"""),"Equity Key Stats")</f>
        <v>Equity Key Stats</v>
      </c>
      <c r="N39" s="43"/>
      <c r="O39" s="43"/>
      <c r="P39" s="150">
        <f ca="1">IFERROR(__xludf.DUMMYFUNCTION("""COMPUTED_VALUE"""),0)</f>
        <v>0</v>
      </c>
      <c r="Q39" s="151"/>
      <c r="R39" s="152">
        <f ca="1">IFERROR(__xludf.DUMMYFUNCTION("""COMPUTED_VALUE"""),299.49)</f>
        <v>299.49</v>
      </c>
      <c r="S39" s="157">
        <f ca="1">IFERROR(__xludf.DUMMYFUNCTION("""COMPUTED_VALUE"""),0)</f>
        <v>0</v>
      </c>
      <c r="T39" s="108">
        <f ca="1">IFERROR(__xludf.DUMMYFUNCTION("""COMPUTED_VALUE"""),3)</f>
        <v>3</v>
      </c>
      <c r="U39" s="108">
        <f ca="1">IFERROR(__xludf.DUMMYFUNCTION("""COMPUTED_VALUE"""),1)</f>
        <v>1</v>
      </c>
      <c r="V39" s="153">
        <f ca="1">IFERROR(__xludf.DUMMYFUNCTION("""COMPUTED_VALUE"""),0)</f>
        <v>0</v>
      </c>
      <c r="W39" s="145" t="str">
        <f ca="1">IFERROR(__xludf.DUMMYFUNCTION("""COMPUTED_VALUE"""),"")</f>
        <v/>
      </c>
      <c r="X39" s="11" t="str">
        <f ca="1">IFERROR(__xludf.DUMMYFUNCTION("""COMPUTED_VALUE"""),"")</f>
        <v/>
      </c>
      <c r="Y39" s="11" t="str">
        <f ca="1">IFERROR(__xludf.DUMMYFUNCTION("""COMPUTED_VALUE"""),"")</f>
        <v/>
      </c>
      <c r="Z39" s="4" t="str">
        <f ca="1">IFERROR(__xludf.DUMMYFUNCTION("""COMPUTED_VALUE"""),"")</f>
        <v/>
      </c>
    </row>
    <row r="40" spans="1:26" ht="13" x14ac:dyDescent="0.15">
      <c r="A40" s="43" t="str">
        <f ca="1">IFERROR(__xludf.DUMMYFUNCTION("""COMPUTED_VALUE"""),"")</f>
        <v/>
      </c>
      <c r="B40" s="43" t="str">
        <f ca="1">IFERROR(__xludf.DUMMYFUNCTION("""COMPUTED_VALUE"""),"14626")</f>
        <v>14626</v>
      </c>
      <c r="C40" s="146">
        <f ca="1">IFERROR(__xludf.DUMMYFUNCTION("""COMPUTED_VALUE"""),44642000776)</f>
        <v>44642000776</v>
      </c>
      <c r="D40" s="43" t="str">
        <f ca="1">IFERROR(__xludf.DUMMYFUNCTION("""COMPUTED_VALUE"""),"FB")</f>
        <v>FB</v>
      </c>
      <c r="E40" s="147">
        <f ca="1">IFERROR(__xludf.DUMMYFUNCTION("""COMPUTED_VALUE"""),44642)</f>
        <v>44642</v>
      </c>
      <c r="F40" s="43" t="str">
        <f ca="1">IFERROR(__xludf.DUMMYFUNCTION("""COMPUTED_VALUE"""),"Stock")</f>
        <v>Stock</v>
      </c>
      <c r="G40" s="43" t="str">
        <f ca="1">IFERROR(__xludf.DUMMYFUNCTION("""COMPUTED_VALUE"""),"USD")</f>
        <v>USD</v>
      </c>
      <c r="H40" s="154" t="str">
        <f ca="1">IFERROR(__xludf.DUMMYFUNCTION("""COMPUTED_VALUE"""),"")</f>
        <v/>
      </c>
      <c r="I40" s="148">
        <f ca="1">IFERROR(__xludf.DUMMYFUNCTION("""COMPUTED_VALUE"""),7.82695)</f>
        <v>7.8269500000000001</v>
      </c>
      <c r="J40" s="149">
        <f ca="1">IFERROR(__xludf.DUMMYFUNCTION("""COMPUTED_VALUE"""),216.65)</f>
        <v>216.65</v>
      </c>
      <c r="K40" s="43"/>
      <c r="L40" s="149">
        <f ca="1">IFERROR(__xludf.DUMMYFUNCTION("""COMPUTED_VALUE"""),216.65)</f>
        <v>216.65</v>
      </c>
      <c r="M40" s="155" t="str">
        <f ca="1">IFERROR(__xludf.DUMMYFUNCTION("""COMPUTED_VALUE"""),"Equity Key Stats")</f>
        <v>Equity Key Stats</v>
      </c>
      <c r="N40" s="43"/>
      <c r="O40" s="43"/>
      <c r="P40" s="157">
        <f ca="1">IFERROR(__xludf.DUMMYFUNCTION("""COMPUTED_VALUE"""),0)</f>
        <v>0</v>
      </c>
      <c r="Q40" s="151"/>
      <c r="R40" s="152">
        <f ca="1">IFERROR(__xludf.DUMMYFUNCTION("""COMPUTED_VALUE"""),213.46)</f>
        <v>213.46</v>
      </c>
      <c r="S40" s="150">
        <f ca="1">IFERROR(__xludf.DUMMYFUNCTION("""COMPUTED_VALUE"""),0)</f>
        <v>0</v>
      </c>
      <c r="T40" s="108">
        <f ca="1">IFERROR(__xludf.DUMMYFUNCTION("""COMPUTED_VALUE"""),2)</f>
        <v>2</v>
      </c>
      <c r="U40" s="108">
        <f ca="1">IFERROR(__xludf.DUMMYFUNCTION("""COMPUTED_VALUE"""),1)</f>
        <v>1</v>
      </c>
      <c r="V40" s="153">
        <f ca="1">IFERROR(__xludf.DUMMYFUNCTION("""COMPUTED_VALUE"""),0)</f>
        <v>0</v>
      </c>
      <c r="W40" s="145" t="str">
        <f ca="1">IFERROR(__xludf.DUMMYFUNCTION("""COMPUTED_VALUE"""),"")</f>
        <v/>
      </c>
      <c r="X40" s="11" t="str">
        <f ca="1">IFERROR(__xludf.DUMMYFUNCTION("""COMPUTED_VALUE"""),"")</f>
        <v/>
      </c>
      <c r="Y40" s="11" t="str">
        <f ca="1">IFERROR(__xludf.DUMMYFUNCTION("""COMPUTED_VALUE"""),"")</f>
        <v/>
      </c>
      <c r="Z40" s="4" t="str">
        <f ca="1">IFERROR(__xludf.DUMMYFUNCTION("""COMPUTED_VALUE"""),"")</f>
        <v/>
      </c>
    </row>
    <row r="41" spans="1:26" ht="13" x14ac:dyDescent="0.15">
      <c r="A41" s="43" t="str">
        <f ca="1">IFERROR(__xludf.DUMMYFUNCTION("""COMPUTED_VALUE"""),"")</f>
        <v/>
      </c>
      <c r="B41" s="43" t="str">
        <f ca="1">IFERROR(__xludf.DUMMYFUNCTION("""COMPUTED_VALUE"""),"14626")</f>
        <v>14626</v>
      </c>
      <c r="C41" s="146">
        <f ca="1">IFERROR(__xludf.DUMMYFUNCTION("""COMPUTED_VALUE"""),44642000777)</f>
        <v>44642000777</v>
      </c>
      <c r="D41" s="43" t="str">
        <f ca="1">IFERROR(__xludf.DUMMYFUNCTION("""COMPUTED_VALUE"""),"GOOG")</f>
        <v>GOOG</v>
      </c>
      <c r="E41" s="147">
        <f ca="1">IFERROR(__xludf.DUMMYFUNCTION("""COMPUTED_VALUE"""),44642)</f>
        <v>44642</v>
      </c>
      <c r="F41" s="43" t="str">
        <f ca="1">IFERROR(__xludf.DUMMYFUNCTION("""COMPUTED_VALUE"""),"Stock")</f>
        <v>Stock</v>
      </c>
      <c r="G41" s="43" t="str">
        <f ca="1">IFERROR(__xludf.DUMMYFUNCTION("""COMPUTED_VALUE"""),"USD")</f>
        <v>USD</v>
      </c>
      <c r="H41" s="156" t="str">
        <f ca="1">IFERROR(__xludf.DUMMYFUNCTION("""COMPUTED_VALUE"""),"")</f>
        <v/>
      </c>
      <c r="I41" s="148">
        <f ca="1">IFERROR(__xludf.DUMMYFUNCTION("""COMPUTED_VALUE"""),7.82695)</f>
        <v>7.8269500000000001</v>
      </c>
      <c r="J41" s="149">
        <f ca="1">IFERROR(__xludf.DUMMYFUNCTION("""COMPUTED_VALUE"""),2805.55)</f>
        <v>2805.55</v>
      </c>
      <c r="K41" s="43"/>
      <c r="L41" s="149">
        <f ca="1">IFERROR(__xludf.DUMMYFUNCTION("""COMPUTED_VALUE"""),2805.55)</f>
        <v>2805.55</v>
      </c>
      <c r="M41" s="155" t="str">
        <f ca="1">IFERROR(__xludf.DUMMYFUNCTION("""COMPUTED_VALUE"""),"Equity Key Stats")</f>
        <v>Equity Key Stats</v>
      </c>
      <c r="N41" s="43"/>
      <c r="O41" s="43"/>
      <c r="P41" s="150">
        <f ca="1">IFERROR(__xludf.DUMMYFUNCTION("""COMPUTED_VALUE"""),0)</f>
        <v>0</v>
      </c>
      <c r="Q41" s="151"/>
      <c r="R41" s="152">
        <f ca="1">IFERROR(__xludf.DUMMYFUNCTION("""COMPUTED_VALUE"""),2770.07)</f>
        <v>2770.07</v>
      </c>
      <c r="S41" s="157">
        <f ca="1">IFERROR(__xludf.DUMMYFUNCTION("""COMPUTED_VALUE"""),0)</f>
        <v>0</v>
      </c>
      <c r="T41" s="108">
        <f ca="1">IFERROR(__xludf.DUMMYFUNCTION("""COMPUTED_VALUE"""),3)</f>
        <v>3</v>
      </c>
      <c r="U41" s="108" t="str">
        <f ca="1">IFERROR(__xludf.DUMMYFUNCTION("""COMPUTED_VALUE"""),"")</f>
        <v/>
      </c>
      <c r="V41" s="158" t="str">
        <f ca="1">IFERROR(__xludf.DUMMYFUNCTION("""COMPUTED_VALUE"""),"")</f>
        <v/>
      </c>
      <c r="W41" s="44" t="str">
        <f ca="1">IFERROR(__xludf.DUMMYFUNCTION("""COMPUTED_VALUE"""),"")</f>
        <v/>
      </c>
      <c r="X41" s="154" t="str">
        <f ca="1">IFERROR(__xludf.DUMMYFUNCTION("""COMPUTED_VALUE"""),"")</f>
        <v/>
      </c>
      <c r="Y41" s="154" t="str">
        <f ca="1">IFERROR(__xludf.DUMMYFUNCTION("""COMPUTED_VALUE"""),"")</f>
        <v/>
      </c>
      <c r="Z41" s="162" t="str">
        <f ca="1">IFERROR(__xludf.DUMMYFUNCTION("""COMPUTED_VALUE"""),"")</f>
        <v/>
      </c>
    </row>
    <row r="42" spans="1:26" ht="13" x14ac:dyDescent="0.15">
      <c r="A42" s="43" t="str">
        <f ca="1">IFERROR(__xludf.DUMMYFUNCTION("""COMPUTED_VALUE"""),"")</f>
        <v/>
      </c>
      <c r="B42" s="43" t="str">
        <f ca="1">IFERROR(__xludf.DUMMYFUNCTION("""COMPUTED_VALUE"""),"14626")</f>
        <v>14626</v>
      </c>
      <c r="C42" s="146">
        <f ca="1">IFERROR(__xludf.DUMMYFUNCTION("""COMPUTED_VALUE"""),44642000778)</f>
        <v>44642000778</v>
      </c>
      <c r="D42" s="43" t="str">
        <f ca="1">IFERROR(__xludf.DUMMYFUNCTION("""COMPUTED_VALUE"""),"TSLA")</f>
        <v>TSLA</v>
      </c>
      <c r="E42" s="147">
        <f ca="1">IFERROR(__xludf.DUMMYFUNCTION("""COMPUTED_VALUE"""),44642)</f>
        <v>44642</v>
      </c>
      <c r="F42" s="43" t="str">
        <f ca="1">IFERROR(__xludf.DUMMYFUNCTION("""COMPUTED_VALUE"""),"Stock")</f>
        <v>Stock</v>
      </c>
      <c r="G42" s="43" t="str">
        <f ca="1">IFERROR(__xludf.DUMMYFUNCTION("""COMPUTED_VALUE"""),"USD")</f>
        <v>USD</v>
      </c>
      <c r="H42" s="11" t="str">
        <f ca="1">IFERROR(__xludf.DUMMYFUNCTION("""COMPUTED_VALUE"""),"")</f>
        <v/>
      </c>
      <c r="I42" s="148">
        <f ca="1">IFERROR(__xludf.DUMMYFUNCTION("""COMPUTED_VALUE"""),7.82695)</f>
        <v>7.8269500000000001</v>
      </c>
      <c r="J42" s="149">
        <f ca="1">IFERROR(__xludf.DUMMYFUNCTION("""COMPUTED_VALUE"""),993.98)</f>
        <v>993.98</v>
      </c>
      <c r="K42" s="43"/>
      <c r="L42" s="149">
        <f ca="1">IFERROR(__xludf.DUMMYFUNCTION("""COMPUTED_VALUE"""),993.98)</f>
        <v>993.98</v>
      </c>
      <c r="M42" s="160" t="str">
        <f ca="1">IFERROR(__xludf.DUMMYFUNCTION("""COMPUTED_VALUE"""),"Equity Key Stats")</f>
        <v>Equity Key Stats</v>
      </c>
      <c r="N42" s="43"/>
      <c r="O42" s="43"/>
      <c r="P42" s="150">
        <f ca="1">IFERROR(__xludf.DUMMYFUNCTION("""COMPUTED_VALUE"""),0)</f>
        <v>0</v>
      </c>
      <c r="Q42" s="151"/>
      <c r="R42" s="152">
        <f ca="1">IFERROR(__xludf.DUMMYFUNCTION("""COMPUTED_VALUE"""),999.11)</f>
        <v>999.11</v>
      </c>
      <c r="S42" s="127">
        <f ca="1">IFERROR(__xludf.DUMMYFUNCTION("""COMPUTED_VALUE"""),0)</f>
        <v>0</v>
      </c>
      <c r="T42" s="108">
        <f ca="1">IFERROR(__xludf.DUMMYFUNCTION("""COMPUTED_VALUE"""),4)</f>
        <v>4</v>
      </c>
      <c r="U42" s="108">
        <f ca="1">IFERROR(__xludf.DUMMYFUNCTION("""COMPUTED_VALUE"""),1)</f>
        <v>1</v>
      </c>
      <c r="V42" s="153">
        <f ca="1">IFERROR(__xludf.DUMMYFUNCTION("""COMPUTED_VALUE"""),0)</f>
        <v>0</v>
      </c>
      <c r="W42" s="44" t="str">
        <f ca="1">IFERROR(__xludf.DUMMYFUNCTION("""COMPUTED_VALUE"""),"")</f>
        <v/>
      </c>
      <c r="X42" s="154" t="str">
        <f ca="1">IFERROR(__xludf.DUMMYFUNCTION("""COMPUTED_VALUE"""),"")</f>
        <v/>
      </c>
      <c r="Y42" s="154" t="str">
        <f ca="1">IFERROR(__xludf.DUMMYFUNCTION("""COMPUTED_VALUE"""),"")</f>
        <v/>
      </c>
      <c r="Z42" s="159" t="str">
        <f ca="1">IFERROR(__xludf.DUMMYFUNCTION("""COMPUTED_VALUE"""),"")</f>
        <v/>
      </c>
    </row>
    <row r="43" spans="1:26" ht="13" x14ac:dyDescent="0.15">
      <c r="A43" s="43" t="str">
        <f ca="1">IFERROR(__xludf.DUMMYFUNCTION("""COMPUTED_VALUE"""),"")</f>
        <v/>
      </c>
      <c r="B43" s="43" t="str">
        <f ca="1">IFERROR(__xludf.DUMMYFUNCTION("""COMPUTED_VALUE"""),"14626")</f>
        <v>14626</v>
      </c>
      <c r="C43" s="146">
        <f ca="1">IFERROR(__xludf.DUMMYFUNCTION("""COMPUTED_VALUE"""),44642000779)</f>
        <v>44642000779</v>
      </c>
      <c r="D43" s="43" t="str">
        <f ca="1">IFERROR(__xludf.DUMMYFUNCTION("""COMPUTED_VALUE"""),"F")</f>
        <v>F</v>
      </c>
      <c r="E43" s="147">
        <f ca="1">IFERROR(__xludf.DUMMYFUNCTION("""COMPUTED_VALUE"""),44642)</f>
        <v>44642</v>
      </c>
      <c r="F43" s="43" t="str">
        <f ca="1">IFERROR(__xludf.DUMMYFUNCTION("""COMPUTED_VALUE"""),"Stock")</f>
        <v>Stock</v>
      </c>
      <c r="G43" s="43" t="str">
        <f ca="1">IFERROR(__xludf.DUMMYFUNCTION("""COMPUTED_VALUE"""),"USD")</f>
        <v>USD</v>
      </c>
      <c r="H43" s="11">
        <f ca="1">IFERROR(__xludf.DUMMYFUNCTION("""COMPUTED_VALUE"""),-100)</f>
        <v>-100</v>
      </c>
      <c r="I43" s="148">
        <f ca="1">IFERROR(__xludf.DUMMYFUNCTION("""COMPUTED_VALUE"""),7.82695)</f>
        <v>7.8269500000000001</v>
      </c>
      <c r="J43" s="149">
        <f ca="1">IFERROR(__xludf.DUMMYFUNCTION("""COMPUTED_VALUE"""),17.09)</f>
        <v>17.09</v>
      </c>
      <c r="K43" s="43"/>
      <c r="L43" s="149">
        <f ca="1">IFERROR(__xludf.DUMMYFUNCTION("""COMPUTED_VALUE"""),17.09)</f>
        <v>17.09</v>
      </c>
      <c r="M43" s="160" t="str">
        <f ca="1">IFERROR(__xludf.DUMMYFUNCTION("""COMPUTED_VALUE"""),"Equity Key Stats")</f>
        <v>Equity Key Stats</v>
      </c>
      <c r="N43" s="43"/>
      <c r="O43" s="43"/>
      <c r="P43" s="150">
        <f ca="1">IFERROR(__xludf.DUMMYFUNCTION("""COMPUTED_VALUE"""),13376.25755)</f>
        <v>13376.25755</v>
      </c>
      <c r="Q43" s="151"/>
      <c r="R43" s="152">
        <f ca="1">IFERROR(__xludf.DUMMYFUNCTION("""COMPUTED_VALUE"""),16.68)</f>
        <v>16.68</v>
      </c>
      <c r="S43" s="127">
        <f ca="1">IFERROR(__xludf.DUMMYFUNCTION("""COMPUTED_VALUE"""),-13055.3526)</f>
        <v>-13055.3526</v>
      </c>
      <c r="T43" s="108">
        <f ca="1">IFERROR(__xludf.DUMMYFUNCTION("""COMPUTED_VALUE"""),2)</f>
        <v>2</v>
      </c>
      <c r="U43" s="108">
        <f ca="1">IFERROR(__xludf.DUMMYFUNCTION("""COMPUTED_VALUE"""),1)</f>
        <v>1</v>
      </c>
      <c r="V43" s="153">
        <f ca="1">IFERROR(__xludf.DUMMYFUNCTION("""COMPUTED_VALUE"""),320.90495)</f>
        <v>320.90494999999999</v>
      </c>
      <c r="W43" s="44" t="str">
        <f ca="1">IFERROR(__xludf.DUMMYFUNCTION("""COMPUTED_VALUE"""),"")</f>
        <v/>
      </c>
      <c r="X43" s="154" t="str">
        <f ca="1">IFERROR(__xludf.DUMMYFUNCTION("""COMPUTED_VALUE"""),"")</f>
        <v/>
      </c>
      <c r="Y43" s="154" t="str">
        <f ca="1">IFERROR(__xludf.DUMMYFUNCTION("""COMPUTED_VALUE"""),"")</f>
        <v/>
      </c>
      <c r="Z43" s="159" t="str">
        <f ca="1">IFERROR(__xludf.DUMMYFUNCTION("""COMPUTED_VALUE"""),"")</f>
        <v/>
      </c>
    </row>
    <row r="44" spans="1:26" ht="13" x14ac:dyDescent="0.15">
      <c r="A44" s="43" t="str">
        <f ca="1">IFERROR(__xludf.DUMMYFUNCTION("""COMPUTED_VALUE"""),"")</f>
        <v/>
      </c>
      <c r="B44" s="43" t="str">
        <f ca="1">IFERROR(__xludf.DUMMYFUNCTION("""COMPUTED_VALUE"""),"14626")</f>
        <v>14626</v>
      </c>
      <c r="C44" s="146">
        <f ca="1">IFERROR(__xludf.DUMMYFUNCTION("""COMPUTED_VALUE"""),44642000780)</f>
        <v>44642000780</v>
      </c>
      <c r="D44" s="43" t="str">
        <f ca="1">IFERROR(__xludf.DUMMYFUNCTION("""COMPUTED_VALUE"""),"BA")</f>
        <v>BA</v>
      </c>
      <c r="E44" s="147">
        <f ca="1">IFERROR(__xludf.DUMMYFUNCTION("""COMPUTED_VALUE"""),44642)</f>
        <v>44642</v>
      </c>
      <c r="F44" s="43" t="str">
        <f ca="1">IFERROR(__xludf.DUMMYFUNCTION("""COMPUTED_VALUE"""),"Stock")</f>
        <v>Stock</v>
      </c>
      <c r="G44" s="43" t="str">
        <f ca="1">IFERROR(__xludf.DUMMYFUNCTION("""COMPUTED_VALUE"""),"USD")</f>
        <v>USD</v>
      </c>
      <c r="H44" s="11" t="str">
        <f ca="1">IFERROR(__xludf.DUMMYFUNCTION("""COMPUTED_VALUE"""),"")</f>
        <v/>
      </c>
      <c r="I44" s="148">
        <f ca="1">IFERROR(__xludf.DUMMYFUNCTION("""COMPUTED_VALUE"""),7.82695)</f>
        <v>7.8269500000000001</v>
      </c>
      <c r="J44" s="149">
        <f ca="1">IFERROR(__xludf.DUMMYFUNCTION("""COMPUTED_VALUE"""),191.04)</f>
        <v>191.04</v>
      </c>
      <c r="K44" s="43"/>
      <c r="L44" s="149">
        <f ca="1">IFERROR(__xludf.DUMMYFUNCTION("""COMPUTED_VALUE"""),191.04)</f>
        <v>191.04</v>
      </c>
      <c r="M44" s="160" t="str">
        <f ca="1">IFERROR(__xludf.DUMMYFUNCTION("""COMPUTED_VALUE"""),"Equity Key Stats")</f>
        <v>Equity Key Stats</v>
      </c>
      <c r="N44" s="43"/>
      <c r="O44" s="43"/>
      <c r="P44" s="150">
        <f ca="1">IFERROR(__xludf.DUMMYFUNCTION("""COMPUTED_VALUE"""),0)</f>
        <v>0</v>
      </c>
      <c r="Q44" s="151"/>
      <c r="R44" s="152">
        <f ca="1">IFERROR(__xludf.DUMMYFUNCTION("""COMPUTED_VALUE"""),186.04)</f>
        <v>186.04</v>
      </c>
      <c r="S44" s="127">
        <f ca="1">IFERROR(__xludf.DUMMYFUNCTION("""COMPUTED_VALUE"""),0)</f>
        <v>0</v>
      </c>
      <c r="T44" s="108">
        <f ca="1">IFERROR(__xludf.DUMMYFUNCTION("""COMPUTED_VALUE"""),2)</f>
        <v>2</v>
      </c>
      <c r="U44" s="108">
        <f ca="1">IFERROR(__xludf.DUMMYFUNCTION("""COMPUTED_VALUE"""),1)</f>
        <v>1</v>
      </c>
      <c r="V44" s="153">
        <f ca="1">IFERROR(__xludf.DUMMYFUNCTION("""COMPUTED_VALUE"""),0)</f>
        <v>0</v>
      </c>
      <c r="W44" s="44" t="str">
        <f ca="1">IFERROR(__xludf.DUMMYFUNCTION("""COMPUTED_VALUE"""),"")</f>
        <v/>
      </c>
      <c r="X44" s="154" t="str">
        <f ca="1">IFERROR(__xludf.DUMMYFUNCTION("""COMPUTED_VALUE"""),"")</f>
        <v/>
      </c>
      <c r="Y44" s="154" t="str">
        <f ca="1">IFERROR(__xludf.DUMMYFUNCTION("""COMPUTED_VALUE"""),"")</f>
        <v/>
      </c>
      <c r="Z44" s="159" t="str">
        <f ca="1">IFERROR(__xludf.DUMMYFUNCTION("""COMPUTED_VALUE"""),"")</f>
        <v/>
      </c>
    </row>
    <row r="45" spans="1:26" ht="13" x14ac:dyDescent="0.15">
      <c r="A45" s="43" t="str">
        <f ca="1">IFERROR(__xludf.DUMMYFUNCTION("""COMPUTED_VALUE"""),"")</f>
        <v/>
      </c>
      <c r="B45" s="43" t="str">
        <f ca="1">IFERROR(__xludf.DUMMYFUNCTION("""COMPUTED_VALUE"""),"14626")</f>
        <v>14626</v>
      </c>
      <c r="C45" s="146">
        <f ca="1">IFERROR(__xludf.DUMMYFUNCTION("""COMPUTED_VALUE"""),44642000781)</f>
        <v>44642000781</v>
      </c>
      <c r="D45" s="43" t="str">
        <f ca="1">IFERROR(__xludf.DUMMYFUNCTION("""COMPUTED_VALUE"""),"BRK-B")</f>
        <v>BRK-B</v>
      </c>
      <c r="E45" s="147">
        <f ca="1">IFERROR(__xludf.DUMMYFUNCTION("""COMPUTED_VALUE"""),44642)</f>
        <v>44642</v>
      </c>
      <c r="F45" s="43" t="str">
        <f ca="1">IFERROR(__xludf.DUMMYFUNCTION("""COMPUTED_VALUE"""),"Stock")</f>
        <v>Stock</v>
      </c>
      <c r="G45" s="43" t="str">
        <f ca="1">IFERROR(__xludf.DUMMYFUNCTION("""COMPUTED_VALUE"""),"USD")</f>
        <v>USD</v>
      </c>
      <c r="H45" s="11" t="str">
        <f ca="1">IFERROR(__xludf.DUMMYFUNCTION("""COMPUTED_VALUE"""),"")</f>
        <v/>
      </c>
      <c r="I45" s="148">
        <f ca="1">IFERROR(__xludf.DUMMYFUNCTION("""COMPUTED_VALUE"""),7.82695)</f>
        <v>7.8269500000000001</v>
      </c>
      <c r="J45" s="149">
        <f ca="1">IFERROR(__xludf.DUMMYFUNCTION("""COMPUTED_VALUE"""),349.93)</f>
        <v>349.93</v>
      </c>
      <c r="K45" s="43"/>
      <c r="L45" s="149">
        <f ca="1">IFERROR(__xludf.DUMMYFUNCTION("""COMPUTED_VALUE"""),349.93)</f>
        <v>349.93</v>
      </c>
      <c r="M45" s="160" t="str">
        <f ca="1">IFERROR(__xludf.DUMMYFUNCTION("""COMPUTED_VALUE"""),"Equity Key Stats")</f>
        <v>Equity Key Stats</v>
      </c>
      <c r="N45" s="43"/>
      <c r="O45" s="43"/>
      <c r="P45" s="150">
        <f ca="1">IFERROR(__xludf.DUMMYFUNCTION("""COMPUTED_VALUE"""),0)</f>
        <v>0</v>
      </c>
      <c r="Q45" s="151"/>
      <c r="R45" s="152">
        <f ca="1">IFERROR(__xludf.DUMMYFUNCTION("""COMPUTED_VALUE"""),348.16)</f>
        <v>348.16</v>
      </c>
      <c r="S45" s="127">
        <f ca="1">IFERROR(__xludf.DUMMYFUNCTION("""COMPUTED_VALUE"""),0)</f>
        <v>0</v>
      </c>
      <c r="T45" s="108">
        <f ca="1">IFERROR(__xludf.DUMMYFUNCTION("""COMPUTED_VALUE"""),1)</f>
        <v>1</v>
      </c>
      <c r="U45" s="108">
        <f ca="1">IFERROR(__xludf.DUMMYFUNCTION("""COMPUTED_VALUE"""),1)</f>
        <v>1</v>
      </c>
      <c r="V45" s="153">
        <f ca="1">IFERROR(__xludf.DUMMYFUNCTION("""COMPUTED_VALUE"""),0)</f>
        <v>0</v>
      </c>
      <c r="W45" s="145" t="str">
        <f ca="1">IFERROR(__xludf.DUMMYFUNCTION("""COMPUTED_VALUE"""),"")</f>
        <v/>
      </c>
      <c r="X45" s="11" t="str">
        <f ca="1">IFERROR(__xludf.DUMMYFUNCTION("""COMPUTED_VALUE"""),"")</f>
        <v/>
      </c>
      <c r="Y45" s="11" t="str">
        <f ca="1">IFERROR(__xludf.DUMMYFUNCTION("""COMPUTED_VALUE"""),"")</f>
        <v/>
      </c>
      <c r="Z45" s="4" t="str">
        <f ca="1">IFERROR(__xludf.DUMMYFUNCTION("""COMPUTED_VALUE"""),"")</f>
        <v/>
      </c>
    </row>
    <row r="46" spans="1:26" ht="13" x14ac:dyDescent="0.15">
      <c r="A46" s="43" t="str">
        <f ca="1">IFERROR(__xludf.DUMMYFUNCTION("""COMPUTED_VALUE"""),"")</f>
        <v/>
      </c>
      <c r="B46" s="43" t="str">
        <f ca="1">IFERROR(__xludf.DUMMYFUNCTION("""COMPUTED_VALUE"""),"14626")</f>
        <v>14626</v>
      </c>
      <c r="C46" s="146">
        <f ca="1">IFERROR(__xludf.DUMMYFUNCTION("""COMPUTED_VALUE"""),44642000782)</f>
        <v>44642000782</v>
      </c>
      <c r="D46" s="43" t="str">
        <f ca="1">IFERROR(__xludf.DUMMYFUNCTION("""COMPUTED_VALUE"""),"OXY")</f>
        <v>OXY</v>
      </c>
      <c r="E46" s="147">
        <f ca="1">IFERROR(__xludf.DUMMYFUNCTION("""COMPUTED_VALUE"""),44642)</f>
        <v>44642</v>
      </c>
      <c r="F46" s="43" t="str">
        <f ca="1">IFERROR(__xludf.DUMMYFUNCTION("""COMPUTED_VALUE"""),"Stock")</f>
        <v>Stock</v>
      </c>
      <c r="G46" s="43" t="str">
        <f ca="1">IFERROR(__xludf.DUMMYFUNCTION("""COMPUTED_VALUE"""),"USD")</f>
        <v>USD</v>
      </c>
      <c r="H46" s="154" t="str">
        <f ca="1">IFERROR(__xludf.DUMMYFUNCTION("""COMPUTED_VALUE"""),"")</f>
        <v/>
      </c>
      <c r="I46" s="148">
        <f ca="1">IFERROR(__xludf.DUMMYFUNCTION("""COMPUTED_VALUE"""),7.82695)</f>
        <v>7.8269500000000001</v>
      </c>
      <c r="J46" s="149">
        <f ca="1">IFERROR(__xludf.DUMMYFUNCTION("""COMPUTED_VALUE"""),59.64)</f>
        <v>59.64</v>
      </c>
      <c r="K46" s="43"/>
      <c r="L46" s="149">
        <f ca="1">IFERROR(__xludf.DUMMYFUNCTION("""COMPUTED_VALUE"""),59.64)</f>
        <v>59.64</v>
      </c>
      <c r="M46" s="160" t="str">
        <f ca="1">IFERROR(__xludf.DUMMYFUNCTION("""COMPUTED_VALUE"""),"Equity Key Stats")</f>
        <v>Equity Key Stats</v>
      </c>
      <c r="N46" s="43"/>
      <c r="O46" s="43"/>
      <c r="P46" s="157">
        <f ca="1">IFERROR(__xludf.DUMMYFUNCTION("""COMPUTED_VALUE"""),0)</f>
        <v>0</v>
      </c>
      <c r="Q46" s="151"/>
      <c r="R46" s="152">
        <f ca="1">IFERROR(__xludf.DUMMYFUNCTION("""COMPUTED_VALUE"""),59.84)</f>
        <v>59.84</v>
      </c>
      <c r="S46" s="150">
        <f ca="1">IFERROR(__xludf.DUMMYFUNCTION("""COMPUTED_VALUE"""),0)</f>
        <v>0</v>
      </c>
      <c r="T46" s="108">
        <f ca="1">IFERROR(__xludf.DUMMYFUNCTION("""COMPUTED_VALUE"""),2)</f>
        <v>2</v>
      </c>
      <c r="U46" s="108">
        <f ca="1">IFERROR(__xludf.DUMMYFUNCTION("""COMPUTED_VALUE"""),1)</f>
        <v>1</v>
      </c>
      <c r="V46" s="153">
        <f ca="1">IFERROR(__xludf.DUMMYFUNCTION("""COMPUTED_VALUE"""),0)</f>
        <v>0</v>
      </c>
      <c r="W46" s="145" t="str">
        <f ca="1">IFERROR(__xludf.DUMMYFUNCTION("""COMPUTED_VALUE"""),"")</f>
        <v/>
      </c>
      <c r="X46" s="11" t="str">
        <f ca="1">IFERROR(__xludf.DUMMYFUNCTION("""COMPUTED_VALUE"""),"")</f>
        <v/>
      </c>
      <c r="Y46" s="11" t="str">
        <f ca="1">IFERROR(__xludf.DUMMYFUNCTION("""COMPUTED_VALUE"""),"")</f>
        <v/>
      </c>
      <c r="Z46" s="4" t="str">
        <f ca="1">IFERROR(__xludf.DUMMYFUNCTION("""COMPUTED_VALUE"""),"")</f>
        <v/>
      </c>
    </row>
    <row r="47" spans="1:26" ht="13" x14ac:dyDescent="0.15">
      <c r="A47" s="43" t="str">
        <f ca="1">IFERROR(__xludf.DUMMYFUNCTION("""COMPUTED_VALUE"""),"")</f>
        <v/>
      </c>
      <c r="B47" s="43" t="str">
        <f ca="1">IFERROR(__xludf.DUMMYFUNCTION("""COMPUTED_VALUE"""),"14626")</f>
        <v>14626</v>
      </c>
      <c r="C47" s="146">
        <f ca="1">IFERROR(__xludf.DUMMYFUNCTION("""COMPUTED_VALUE"""),44642000783)</f>
        <v>44642000783</v>
      </c>
      <c r="D47" s="43" t="str">
        <f ca="1">IFERROR(__xludf.DUMMYFUNCTION("""COMPUTED_VALUE"""),"PFE")</f>
        <v>PFE</v>
      </c>
      <c r="E47" s="147">
        <f ca="1">IFERROR(__xludf.DUMMYFUNCTION("""COMPUTED_VALUE"""),44642)</f>
        <v>44642</v>
      </c>
      <c r="F47" s="43" t="str">
        <f ca="1">IFERROR(__xludf.DUMMYFUNCTION("""COMPUTED_VALUE"""),"Stock")</f>
        <v>Stock</v>
      </c>
      <c r="G47" s="43" t="str">
        <f ca="1">IFERROR(__xludf.DUMMYFUNCTION("""COMPUTED_VALUE"""),"USD")</f>
        <v>USD</v>
      </c>
      <c r="H47" s="154" t="str">
        <f ca="1">IFERROR(__xludf.DUMMYFUNCTION("""COMPUTED_VALUE"""),"")</f>
        <v/>
      </c>
      <c r="I47" s="148">
        <f ca="1">IFERROR(__xludf.DUMMYFUNCTION("""COMPUTED_VALUE"""),7.82695)</f>
        <v>7.8269500000000001</v>
      </c>
      <c r="J47" s="149">
        <f ca="1">IFERROR(__xludf.DUMMYFUNCTION("""COMPUTED_VALUE"""),53.04)</f>
        <v>53.04</v>
      </c>
      <c r="K47" s="43"/>
      <c r="L47" s="149">
        <f ca="1">IFERROR(__xludf.DUMMYFUNCTION("""COMPUTED_VALUE"""),53.04)</f>
        <v>53.04</v>
      </c>
      <c r="M47" s="155" t="str">
        <f ca="1">IFERROR(__xludf.DUMMYFUNCTION("""COMPUTED_VALUE"""),"Equity Key Stats")</f>
        <v>Equity Key Stats</v>
      </c>
      <c r="N47" s="43"/>
      <c r="O47" s="43"/>
      <c r="P47" s="157">
        <f ca="1">IFERROR(__xludf.DUMMYFUNCTION("""COMPUTED_VALUE"""),0)</f>
        <v>0</v>
      </c>
      <c r="Q47" s="151"/>
      <c r="R47" s="152">
        <f ca="1">IFERROR(__xludf.DUMMYFUNCTION("""COMPUTED_VALUE"""),52.19)</f>
        <v>52.19</v>
      </c>
      <c r="S47" s="150">
        <f ca="1">IFERROR(__xludf.DUMMYFUNCTION("""COMPUTED_VALUE"""),0)</f>
        <v>0</v>
      </c>
      <c r="T47" s="108">
        <f ca="1">IFERROR(__xludf.DUMMYFUNCTION("""COMPUTED_VALUE"""),2)</f>
        <v>2</v>
      </c>
      <c r="U47" s="108">
        <f ca="1">IFERROR(__xludf.DUMMYFUNCTION("""COMPUTED_VALUE"""),1)</f>
        <v>1</v>
      </c>
      <c r="V47" s="158">
        <f ca="1">IFERROR(__xludf.DUMMYFUNCTION("""COMPUTED_VALUE"""),-15650.9)</f>
        <v>-15650.9</v>
      </c>
      <c r="W47" s="145" t="str">
        <f ca="1">IFERROR(__xludf.DUMMYFUNCTION("""COMPUTED_VALUE"""),"")</f>
        <v/>
      </c>
      <c r="X47" s="11" t="str">
        <f ca="1">IFERROR(__xludf.DUMMYFUNCTION("""COMPUTED_VALUE"""),"")</f>
        <v/>
      </c>
      <c r="Y47" s="11" t="str">
        <f ca="1">IFERROR(__xludf.DUMMYFUNCTION("""COMPUTED_VALUE"""),"")</f>
        <v/>
      </c>
      <c r="Z47" s="4" t="str">
        <f ca="1">IFERROR(__xludf.DUMMYFUNCTION("""COMPUTED_VALUE"""),"")</f>
        <v/>
      </c>
    </row>
    <row r="48" spans="1:26" ht="13" x14ac:dyDescent="0.15">
      <c r="A48" s="43" t="str">
        <f ca="1">IFERROR(__xludf.DUMMYFUNCTION("""COMPUTED_VALUE"""),"14626")</f>
        <v>14626</v>
      </c>
      <c r="B48" s="43" t="str">
        <f ca="1">IFERROR(__xludf.DUMMYFUNCTION("""COMPUTED_VALUE"""),"14626")</f>
        <v>14626</v>
      </c>
      <c r="C48" s="146">
        <f ca="1">IFERROR(__xludf.DUMMYFUNCTION("""COMPUTED_VALUE"""),44642000784)</f>
        <v>44642000784</v>
      </c>
      <c r="D48" s="43" t="str">
        <f ca="1">IFERROR(__xludf.DUMMYFUNCTION("""COMPUTED_VALUE"""),"GOOG")</f>
        <v>GOOG</v>
      </c>
      <c r="E48" s="147">
        <f ca="1">IFERROR(__xludf.DUMMYFUNCTION("""COMPUTED_VALUE"""),44642)</f>
        <v>44642</v>
      </c>
      <c r="F48" s="43" t="str">
        <f ca="1">IFERROR(__xludf.DUMMYFUNCTION("""COMPUTED_VALUE"""),"Stock")</f>
        <v>Stock</v>
      </c>
      <c r="G48" s="43" t="str">
        <f ca="1">IFERROR(__xludf.DUMMYFUNCTION("""COMPUTED_VALUE"""),"USD")</f>
        <v>USD</v>
      </c>
      <c r="H48" s="154" t="str">
        <f ca="1">IFERROR(__xludf.DUMMYFUNCTION("""COMPUTED_VALUE"""),"")</f>
        <v/>
      </c>
      <c r="I48" s="148">
        <f ca="1">IFERROR(__xludf.DUMMYFUNCTION("""COMPUTED_VALUE"""),7.82695)</f>
        <v>7.8269500000000001</v>
      </c>
      <c r="J48" s="149">
        <f ca="1">IFERROR(__xludf.DUMMYFUNCTION("""COMPUTED_VALUE"""),2805.55)</f>
        <v>2805.55</v>
      </c>
      <c r="K48" s="43"/>
      <c r="L48" s="149">
        <f ca="1">IFERROR(__xludf.DUMMYFUNCTION("""COMPUTED_VALUE"""),2805.55)</f>
        <v>2805.55</v>
      </c>
      <c r="M48" s="155" t="str">
        <f ca="1">IFERROR(__xludf.DUMMYFUNCTION("""COMPUTED_VALUE"""),"Equity Key Stats")</f>
        <v>Equity Key Stats</v>
      </c>
      <c r="N48" s="43"/>
      <c r="O48" s="43"/>
      <c r="P48" s="157">
        <f ca="1">IFERROR(__xludf.DUMMYFUNCTION("""COMPUTED_VALUE"""),0)</f>
        <v>0</v>
      </c>
      <c r="Q48" s="151"/>
      <c r="R48" s="151">
        <f ca="1">IFERROR(__xludf.DUMMYFUNCTION("""COMPUTED_VALUE"""),2770.07)</f>
        <v>2770.07</v>
      </c>
      <c r="S48" s="150">
        <f ca="1">IFERROR(__xludf.DUMMYFUNCTION("""COMPUTED_VALUE"""),0)</f>
        <v>0</v>
      </c>
      <c r="T48" s="108">
        <f ca="1">IFERROR(__xludf.DUMMYFUNCTION("""COMPUTED_VALUE"""),3)</f>
        <v>3</v>
      </c>
      <c r="U48" s="108">
        <f ca="1">IFERROR(__xludf.DUMMYFUNCTION("""COMPUTED_VALUE"""),1)</f>
        <v>1</v>
      </c>
      <c r="V48" s="158">
        <f ca="1">IFERROR(__xludf.DUMMYFUNCTION("""COMPUTED_VALUE"""),0)</f>
        <v>0</v>
      </c>
      <c r="W48" s="145">
        <f ca="1">IFERROR(__xludf.DUMMYFUNCTION("""COMPUTED_VALUE"""),492714.163614999)</f>
        <v>492714.16361499898</v>
      </c>
      <c r="X48" s="11">
        <f ca="1">IFERROR(__xludf.DUMMYFUNCTION("""COMPUTED_VALUE"""),-206368.101259999)</f>
        <v>-206368.10125999901</v>
      </c>
      <c r="Y48" s="11">
        <f ca="1">IFERROR(__xludf.DUMMYFUNCTION("""COMPUTED_VALUE"""),206368.101259999)</f>
        <v>206368.10125999901</v>
      </c>
      <c r="Z48" s="4">
        <f ca="1">IFERROR(__xludf.DUMMYFUNCTION("""COMPUTED_VALUE"""),-0.01457167277)</f>
        <v>-1.457167277E-2</v>
      </c>
    </row>
    <row r="49" spans="1:26" ht="13" x14ac:dyDescent="0.15">
      <c r="A49" s="43" t="str">
        <f ca="1">IFERROR(__xludf.DUMMYFUNCTION("""COMPUTED_VALUE"""),"18111")</f>
        <v>18111</v>
      </c>
      <c r="B49" s="43" t="str">
        <f ca="1">IFERROR(__xludf.DUMMYFUNCTION("""COMPUTED_VALUE"""),"18111")</f>
        <v>18111</v>
      </c>
      <c r="C49" s="146">
        <f ca="1">IFERROR(__xludf.DUMMYFUNCTION("""COMPUTED_VALUE"""),44597000112)</f>
        <v>44597000112</v>
      </c>
      <c r="D49" s="43" t="str">
        <f ca="1">IFERROR(__xludf.DUMMYFUNCTION("""COMPUTED_VALUE"""),"Cash")</f>
        <v>Cash</v>
      </c>
      <c r="E49" s="147">
        <f ca="1">IFERROR(__xludf.DUMMYFUNCTION("""COMPUTED_VALUE"""),44597)</f>
        <v>44597</v>
      </c>
      <c r="F49" s="43" t="str">
        <f ca="1">IFERROR(__xludf.DUMMYFUNCTION("""COMPUTED_VALUE"""),"Cash")</f>
        <v>Cash</v>
      </c>
      <c r="G49" s="43" t="str">
        <f ca="1">IFERROR(__xludf.DUMMYFUNCTION("""COMPUTED_VALUE"""),"HKD")</f>
        <v>HKD</v>
      </c>
      <c r="H49" s="154" t="str">
        <f ca="1">IFERROR(__xludf.DUMMYFUNCTION("""COMPUTED_VALUE"""),"")</f>
        <v/>
      </c>
      <c r="I49" s="148">
        <f ca="1">IFERROR(__xludf.DUMMYFUNCTION("""COMPUTED_VALUE"""),1)</f>
        <v>1</v>
      </c>
      <c r="J49" s="149">
        <f ca="1">IFERROR(__xludf.DUMMYFUNCTION("""COMPUTED_VALUE"""),1)</f>
        <v>1</v>
      </c>
      <c r="K49" s="43"/>
      <c r="L49" s="149">
        <f ca="1">IFERROR(__xludf.DUMMYFUNCTION("""COMPUTED_VALUE"""),1)</f>
        <v>1</v>
      </c>
      <c r="M49" s="155" t="str">
        <f ca="1">IFERROR(__xludf.DUMMYFUNCTION("""COMPUTED_VALUE"""),"")</f>
        <v/>
      </c>
      <c r="N49" s="43"/>
      <c r="O49" s="43"/>
      <c r="P49" s="157">
        <f ca="1">IFERROR(__xludf.DUMMYFUNCTION("""COMPUTED_VALUE"""),500000)</f>
        <v>500000</v>
      </c>
      <c r="Q49" s="151"/>
      <c r="R49" s="152">
        <f ca="1">IFERROR(__xludf.DUMMYFUNCTION("""COMPUTED_VALUE"""),1)</f>
        <v>1</v>
      </c>
      <c r="S49" s="150" t="str">
        <f ca="1">IFERROR(__xludf.DUMMYFUNCTION("""COMPUTED_VALUE"""),"")</f>
        <v/>
      </c>
      <c r="T49" s="108">
        <f ca="1">IFERROR(__xludf.DUMMYFUNCTION("""COMPUTED_VALUE"""),1)</f>
        <v>1</v>
      </c>
      <c r="U49" s="108">
        <f ca="1">IFERROR(__xludf.DUMMYFUNCTION("""COMPUTED_VALUE"""),1)</f>
        <v>1</v>
      </c>
      <c r="V49" s="153">
        <f ca="1">IFERROR(__xludf.DUMMYFUNCTION("""COMPUTED_VALUE"""),500000)</f>
        <v>500000</v>
      </c>
      <c r="W49" s="145">
        <f ca="1">IFERROR(__xludf.DUMMYFUNCTION("""COMPUTED_VALUE"""),500000)</f>
        <v>500000</v>
      </c>
      <c r="X49" s="11">
        <f ca="1">IFERROR(__xludf.DUMMYFUNCTION("""COMPUTED_VALUE"""),500000)</f>
        <v>500000</v>
      </c>
      <c r="Y49" s="11">
        <f ca="1">IFERROR(__xludf.DUMMYFUNCTION("""COMPUTED_VALUE"""),0)</f>
        <v>0</v>
      </c>
      <c r="Z49" s="4">
        <f ca="1">IFERROR(__xludf.DUMMYFUNCTION("""COMPUTED_VALUE"""),0)</f>
        <v>0</v>
      </c>
    </row>
    <row r="50" spans="1:26" ht="13" x14ac:dyDescent="0.15">
      <c r="A50" s="43" t="str">
        <f ca="1">IFERROR(__xludf.DUMMYFUNCTION("""COMPUTED_VALUE"""),"18649")</f>
        <v>18649</v>
      </c>
      <c r="B50" s="43" t="str">
        <f ca="1">IFERROR(__xludf.DUMMYFUNCTION("""COMPUTED_VALUE"""),"18649")</f>
        <v>18649</v>
      </c>
      <c r="C50" s="146">
        <f ca="1">IFERROR(__xludf.DUMMYFUNCTION("""COMPUTED_VALUE"""),44597000102)</f>
        <v>44597000102</v>
      </c>
      <c r="D50" s="43" t="str">
        <f ca="1">IFERROR(__xludf.DUMMYFUNCTION("""COMPUTED_VALUE"""),"Cash")</f>
        <v>Cash</v>
      </c>
      <c r="E50" s="147">
        <f ca="1">IFERROR(__xludf.DUMMYFUNCTION("""COMPUTED_VALUE"""),44597)</f>
        <v>44597</v>
      </c>
      <c r="F50" s="43" t="str">
        <f ca="1">IFERROR(__xludf.DUMMYFUNCTION("""COMPUTED_VALUE"""),"Cash")</f>
        <v>Cash</v>
      </c>
      <c r="G50" s="43" t="str">
        <f ca="1">IFERROR(__xludf.DUMMYFUNCTION("""COMPUTED_VALUE"""),"HKD")</f>
        <v>HKD</v>
      </c>
      <c r="H50" s="154" t="str">
        <f ca="1">IFERROR(__xludf.DUMMYFUNCTION("""COMPUTED_VALUE"""),"")</f>
        <v/>
      </c>
      <c r="I50" s="148">
        <f ca="1">IFERROR(__xludf.DUMMYFUNCTION("""COMPUTED_VALUE"""),1)</f>
        <v>1</v>
      </c>
      <c r="J50" s="149">
        <f ca="1">IFERROR(__xludf.DUMMYFUNCTION("""COMPUTED_VALUE"""),1)</f>
        <v>1</v>
      </c>
      <c r="K50" s="43"/>
      <c r="L50" s="149">
        <f ca="1">IFERROR(__xludf.DUMMYFUNCTION("""COMPUTED_VALUE"""),1)</f>
        <v>1</v>
      </c>
      <c r="M50" s="155" t="str">
        <f ca="1">IFERROR(__xludf.DUMMYFUNCTION("""COMPUTED_VALUE"""),"")</f>
        <v/>
      </c>
      <c r="N50" s="43"/>
      <c r="O50" s="43"/>
      <c r="P50" s="150">
        <f ca="1">IFERROR(__xludf.DUMMYFUNCTION("""COMPUTED_VALUE"""),500000)</f>
        <v>500000</v>
      </c>
      <c r="Q50" s="151"/>
      <c r="R50" s="152">
        <f ca="1">IFERROR(__xludf.DUMMYFUNCTION("""COMPUTED_VALUE"""),1)</f>
        <v>1</v>
      </c>
      <c r="S50" s="150" t="str">
        <f ca="1">IFERROR(__xludf.DUMMYFUNCTION("""COMPUTED_VALUE"""),"")</f>
        <v/>
      </c>
      <c r="T50" s="108">
        <f ca="1">IFERROR(__xludf.DUMMYFUNCTION("""COMPUTED_VALUE"""),1)</f>
        <v>1</v>
      </c>
      <c r="U50" s="43">
        <f ca="1">IFERROR(__xludf.DUMMYFUNCTION("""COMPUTED_VALUE"""),1)</f>
        <v>1</v>
      </c>
      <c r="V50" s="144">
        <f ca="1">IFERROR(__xludf.DUMMYFUNCTION("""COMPUTED_VALUE"""),500000)</f>
        <v>500000</v>
      </c>
      <c r="W50" s="145">
        <f ca="1">IFERROR(__xludf.DUMMYFUNCTION("""COMPUTED_VALUE"""),500000)</f>
        <v>500000</v>
      </c>
      <c r="X50" s="11">
        <f ca="1">IFERROR(__xludf.DUMMYFUNCTION("""COMPUTED_VALUE"""),500000)</f>
        <v>500000</v>
      </c>
      <c r="Y50" s="11">
        <f ca="1">IFERROR(__xludf.DUMMYFUNCTION("""COMPUTED_VALUE"""),0)</f>
        <v>0</v>
      </c>
      <c r="Z50" s="4">
        <f ca="1">IFERROR(__xludf.DUMMYFUNCTION("""COMPUTED_VALUE"""),0)</f>
        <v>0</v>
      </c>
    </row>
    <row r="51" spans="1:26" ht="13" x14ac:dyDescent="0.15">
      <c r="A51" s="43" t="str">
        <f ca="1">IFERROR(__xludf.DUMMYFUNCTION("""COMPUTED_VALUE"""),"18874")</f>
        <v>18874</v>
      </c>
      <c r="B51" s="43" t="str">
        <f ca="1">IFERROR(__xludf.DUMMYFUNCTION("""COMPUTED_VALUE"""),"18874")</f>
        <v>18874</v>
      </c>
      <c r="C51" s="146">
        <f ca="1">IFERROR(__xludf.DUMMYFUNCTION("""COMPUTED_VALUE"""),44597000125)</f>
        <v>44597000125</v>
      </c>
      <c r="D51" s="43" t="str">
        <f ca="1">IFERROR(__xludf.DUMMYFUNCTION("""COMPUTED_VALUE"""),"Cash")</f>
        <v>Cash</v>
      </c>
      <c r="E51" s="147">
        <f ca="1">IFERROR(__xludf.DUMMYFUNCTION("""COMPUTED_VALUE"""),44597)</f>
        <v>44597</v>
      </c>
      <c r="F51" s="43" t="str">
        <f ca="1">IFERROR(__xludf.DUMMYFUNCTION("""COMPUTED_VALUE"""),"Cash")</f>
        <v>Cash</v>
      </c>
      <c r="G51" s="43" t="str">
        <f ca="1">IFERROR(__xludf.DUMMYFUNCTION("""COMPUTED_VALUE"""),"HKD")</f>
        <v>HKD</v>
      </c>
      <c r="H51" s="154" t="str">
        <f ca="1">IFERROR(__xludf.DUMMYFUNCTION("""COMPUTED_VALUE"""),"")</f>
        <v/>
      </c>
      <c r="I51" s="148">
        <f ca="1">IFERROR(__xludf.DUMMYFUNCTION("""COMPUTED_VALUE"""),1)</f>
        <v>1</v>
      </c>
      <c r="J51" s="149">
        <f ca="1">IFERROR(__xludf.DUMMYFUNCTION("""COMPUTED_VALUE"""),1)</f>
        <v>1</v>
      </c>
      <c r="K51" s="43"/>
      <c r="L51" s="149">
        <f ca="1">IFERROR(__xludf.DUMMYFUNCTION("""COMPUTED_VALUE"""),1)</f>
        <v>1</v>
      </c>
      <c r="M51" s="155" t="str">
        <f ca="1">IFERROR(__xludf.DUMMYFUNCTION("""COMPUTED_VALUE"""),"")</f>
        <v/>
      </c>
      <c r="N51" s="43"/>
      <c r="O51" s="43"/>
      <c r="P51" s="157">
        <f ca="1">IFERROR(__xludf.DUMMYFUNCTION("""COMPUTED_VALUE"""),500000)</f>
        <v>500000</v>
      </c>
      <c r="Q51" s="151"/>
      <c r="R51" s="152">
        <f ca="1">IFERROR(__xludf.DUMMYFUNCTION("""COMPUTED_VALUE"""),1)</f>
        <v>1</v>
      </c>
      <c r="S51" s="150" t="str">
        <f ca="1">IFERROR(__xludf.DUMMYFUNCTION("""COMPUTED_VALUE"""),"")</f>
        <v/>
      </c>
      <c r="T51" s="108">
        <f ca="1">IFERROR(__xludf.DUMMYFUNCTION("""COMPUTED_VALUE"""),1)</f>
        <v>1</v>
      </c>
      <c r="U51" s="108">
        <f ca="1">IFERROR(__xludf.DUMMYFUNCTION("""COMPUTED_VALUE"""),1)</f>
        <v>1</v>
      </c>
      <c r="V51" s="153">
        <f ca="1">IFERROR(__xludf.DUMMYFUNCTION("""COMPUTED_VALUE"""),500000)</f>
        <v>500000</v>
      </c>
      <c r="W51" s="44">
        <f ca="1">IFERROR(__xludf.DUMMYFUNCTION("""COMPUTED_VALUE"""),500000)</f>
        <v>500000</v>
      </c>
      <c r="X51" s="154">
        <f ca="1">IFERROR(__xludf.DUMMYFUNCTION("""COMPUTED_VALUE"""),500000)</f>
        <v>500000</v>
      </c>
      <c r="Y51" s="154">
        <f ca="1">IFERROR(__xludf.DUMMYFUNCTION("""COMPUTED_VALUE"""),0)</f>
        <v>0</v>
      </c>
      <c r="Z51" s="162">
        <f ca="1">IFERROR(__xludf.DUMMYFUNCTION("""COMPUTED_VALUE"""),0)</f>
        <v>0</v>
      </c>
    </row>
    <row r="52" spans="1:26" ht="13" x14ac:dyDescent="0.15">
      <c r="A52" s="43" t="str">
        <f ca="1">IFERROR(__xludf.DUMMYFUNCTION("""COMPUTED_VALUE"""),"")</f>
        <v/>
      </c>
      <c r="B52" s="43" t="str">
        <f ca="1">IFERROR(__xludf.DUMMYFUNCTION("""COMPUTED_VALUE"""),"24442")</f>
        <v>24442</v>
      </c>
      <c r="C52" s="146">
        <f ca="1">IFERROR(__xludf.DUMMYFUNCTION("""COMPUTED_VALUE"""),44597000090)</f>
        <v>44597000090</v>
      </c>
      <c r="D52" s="43" t="str">
        <f ca="1">IFERROR(__xludf.DUMMYFUNCTION("""COMPUTED_VALUE"""),"Cash")</f>
        <v>Cash</v>
      </c>
      <c r="E52" s="147">
        <f ca="1">IFERROR(__xludf.DUMMYFUNCTION("""COMPUTED_VALUE"""),44597)</f>
        <v>44597</v>
      </c>
      <c r="F52" s="43" t="str">
        <f ca="1">IFERROR(__xludf.DUMMYFUNCTION("""COMPUTED_VALUE"""),"Cash")</f>
        <v>Cash</v>
      </c>
      <c r="G52" s="43" t="str">
        <f ca="1">IFERROR(__xludf.DUMMYFUNCTION("""COMPUTED_VALUE"""),"HKD")</f>
        <v>HKD</v>
      </c>
      <c r="H52" s="11" t="str">
        <f ca="1">IFERROR(__xludf.DUMMYFUNCTION("""COMPUTED_VALUE"""),"")</f>
        <v/>
      </c>
      <c r="I52" s="148">
        <f ca="1">IFERROR(__xludf.DUMMYFUNCTION("""COMPUTED_VALUE"""),1)</f>
        <v>1</v>
      </c>
      <c r="J52" s="108">
        <f ca="1">IFERROR(__xludf.DUMMYFUNCTION("""COMPUTED_VALUE"""),1)</f>
        <v>1</v>
      </c>
      <c r="K52" s="43"/>
      <c r="L52" s="149">
        <f ca="1">IFERROR(__xludf.DUMMYFUNCTION("""COMPUTED_VALUE"""),1)</f>
        <v>1</v>
      </c>
      <c r="M52" s="3" t="str">
        <f ca="1">IFERROR(__xludf.DUMMYFUNCTION("""COMPUTED_VALUE"""),"")</f>
        <v/>
      </c>
      <c r="N52" s="43"/>
      <c r="O52" s="43"/>
      <c r="P52" s="150">
        <f ca="1">IFERROR(__xludf.DUMMYFUNCTION("""COMPUTED_VALUE"""),500000)</f>
        <v>500000</v>
      </c>
      <c r="Q52" s="151"/>
      <c r="R52" s="152">
        <f ca="1">IFERROR(__xludf.DUMMYFUNCTION("""COMPUTED_VALUE"""),1)</f>
        <v>1</v>
      </c>
      <c r="S52" s="127" t="str">
        <f ca="1">IFERROR(__xludf.DUMMYFUNCTION("""COMPUTED_VALUE"""),"")</f>
        <v/>
      </c>
      <c r="T52" s="108">
        <f ca="1">IFERROR(__xludf.DUMMYFUNCTION("""COMPUTED_VALUE"""),1)</f>
        <v>1</v>
      </c>
      <c r="U52" s="108">
        <f ca="1">IFERROR(__xludf.DUMMYFUNCTION("""COMPUTED_VALUE"""),1)</f>
        <v>1</v>
      </c>
      <c r="V52" s="153">
        <f ca="1">IFERROR(__xludf.DUMMYFUNCTION("""COMPUTED_VALUE"""),500000)</f>
        <v>500000</v>
      </c>
      <c r="W52" s="44" t="str">
        <f ca="1">IFERROR(__xludf.DUMMYFUNCTION("""COMPUTED_VALUE"""),"")</f>
        <v/>
      </c>
      <c r="X52" s="154" t="str">
        <f ca="1">IFERROR(__xludf.DUMMYFUNCTION("""COMPUTED_VALUE"""),"")</f>
        <v/>
      </c>
      <c r="Y52" s="154" t="str">
        <f ca="1">IFERROR(__xludf.DUMMYFUNCTION("""COMPUTED_VALUE"""),"")</f>
        <v/>
      </c>
      <c r="Z52" s="159" t="str">
        <f ca="1">IFERROR(__xludf.DUMMYFUNCTION("""COMPUTED_VALUE"""),"")</f>
        <v/>
      </c>
    </row>
    <row r="53" spans="1:26" ht="13" x14ac:dyDescent="0.15">
      <c r="A53" s="43" t="str">
        <f ca="1">IFERROR(__xludf.DUMMYFUNCTION("""COMPUTED_VALUE"""),"")</f>
        <v/>
      </c>
      <c r="B53" s="43" t="str">
        <f ca="1">IFERROR(__xludf.DUMMYFUNCTION("""COMPUTED_VALUE"""),"24442")</f>
        <v>24442</v>
      </c>
      <c r="C53" s="146">
        <f ca="1">IFERROR(__xludf.DUMMYFUNCTION("""COMPUTED_VALUE"""),44620000373)</f>
        <v>44620000373</v>
      </c>
      <c r="D53" s="43" t="str">
        <f ca="1">IFERROR(__xludf.DUMMYFUNCTION("""COMPUTED_VALUE"""),"005930.KS")</f>
        <v>005930.KS</v>
      </c>
      <c r="E53" s="147">
        <f ca="1">IFERROR(__xludf.DUMMYFUNCTION("""COMPUTED_VALUE"""),44620)</f>
        <v>44620</v>
      </c>
      <c r="F53" s="43" t="str">
        <f ca="1">IFERROR(__xludf.DUMMYFUNCTION("""COMPUTED_VALUE"""),"Stock")</f>
        <v>Stock</v>
      </c>
      <c r="G53" s="43" t="str">
        <f ca="1">IFERROR(__xludf.DUMMYFUNCTION("""COMPUTED_VALUE"""),"KRW")</f>
        <v>KRW</v>
      </c>
      <c r="H53" s="11">
        <f ca="1">IFERROR(__xludf.DUMMYFUNCTION("""COMPUTED_VALUE"""),100)</f>
        <v>100</v>
      </c>
      <c r="I53" s="148">
        <f ca="1">IFERROR(__xludf.DUMMYFUNCTION("""COMPUTED_VALUE"""),0.006503313)</f>
        <v>6.5033130000000001E-3</v>
      </c>
      <c r="J53" s="149">
        <f ca="1">IFERROR(__xludf.DUMMYFUNCTION("""COMPUTED_VALUE"""),72100)</f>
        <v>72100</v>
      </c>
      <c r="K53" s="43"/>
      <c r="L53" s="149">
        <f ca="1">IFERROR(__xludf.DUMMYFUNCTION("""COMPUTED_VALUE"""),70800)</f>
        <v>70800</v>
      </c>
      <c r="M53" s="160" t="str">
        <f ca="1">IFERROR(__xludf.DUMMYFUNCTION("""COMPUTED_VALUE"""),"Equity Key Stats")</f>
        <v>Equity Key Stats</v>
      </c>
      <c r="N53" s="43"/>
      <c r="O53" s="43"/>
      <c r="P53" s="150">
        <f ca="1">IFERROR(__xludf.DUMMYFUNCTION("""COMPUTED_VALUE"""),-46888.88673)</f>
        <v>-46888.886729999998</v>
      </c>
      <c r="Q53" s="151"/>
      <c r="R53" s="152">
        <f ca="1">IFERROR(__xludf.DUMMYFUNCTION("""COMPUTED_VALUE"""),69900)</f>
        <v>69900</v>
      </c>
      <c r="S53" s="127">
        <f ca="1">IFERROR(__xludf.DUMMYFUNCTION("""COMPUTED_VALUE"""),45458.15787)</f>
        <v>45458.157870000003</v>
      </c>
      <c r="T53" s="108">
        <f ca="1">IFERROR(__xludf.DUMMYFUNCTION("""COMPUTED_VALUE"""),1)</f>
        <v>1</v>
      </c>
      <c r="U53" s="108">
        <f ca="1">IFERROR(__xludf.DUMMYFUNCTION("""COMPUTED_VALUE"""),1)</f>
        <v>1</v>
      </c>
      <c r="V53" s="153">
        <f ca="1">IFERROR(__xludf.DUMMYFUNCTION("""COMPUTED_VALUE"""),-1430.72886)</f>
        <v>-1430.7288599999999</v>
      </c>
      <c r="W53" s="44" t="str">
        <f ca="1">IFERROR(__xludf.DUMMYFUNCTION("""COMPUTED_VALUE"""),"")</f>
        <v/>
      </c>
      <c r="X53" s="154" t="str">
        <f ca="1">IFERROR(__xludf.DUMMYFUNCTION("""COMPUTED_VALUE"""),"")</f>
        <v/>
      </c>
      <c r="Y53" s="154" t="str">
        <f ca="1">IFERROR(__xludf.DUMMYFUNCTION("""COMPUTED_VALUE"""),"")</f>
        <v/>
      </c>
      <c r="Z53" s="159" t="str">
        <f ca="1">IFERROR(__xludf.DUMMYFUNCTION("""COMPUTED_VALUE"""),"")</f>
        <v/>
      </c>
    </row>
    <row r="54" spans="1:26" ht="13" x14ac:dyDescent="0.15">
      <c r="A54" s="43" t="str">
        <f ca="1">IFERROR(__xludf.DUMMYFUNCTION("""COMPUTED_VALUE"""),"")</f>
        <v/>
      </c>
      <c r="B54" s="43" t="str">
        <f ca="1">IFERROR(__xludf.DUMMYFUNCTION("""COMPUTED_VALUE"""),"24442")</f>
        <v>24442</v>
      </c>
      <c r="C54" s="146">
        <f ca="1">IFERROR(__xludf.DUMMYFUNCTION("""COMPUTED_VALUE"""),44627000445)</f>
        <v>44627000445</v>
      </c>
      <c r="D54" s="43" t="str">
        <f ca="1">IFERROR(__xludf.DUMMYFUNCTION("""COMPUTED_VALUE"""),"XLK")</f>
        <v>XLK</v>
      </c>
      <c r="E54" s="147">
        <f ca="1">IFERROR(__xludf.DUMMYFUNCTION("""COMPUTED_VALUE"""),44627)</f>
        <v>44627</v>
      </c>
      <c r="F54" s="43" t="str">
        <f ca="1">IFERROR(__xludf.DUMMYFUNCTION("""COMPUTED_VALUE"""),"Stock")</f>
        <v>Stock</v>
      </c>
      <c r="G54" s="43" t="str">
        <f ca="1">IFERROR(__xludf.DUMMYFUNCTION("""COMPUTED_VALUE"""),"USD")</f>
        <v>USD</v>
      </c>
      <c r="H54" s="11">
        <f ca="1">IFERROR(__xludf.DUMMYFUNCTION("""COMPUTED_VALUE"""),100)</f>
        <v>100</v>
      </c>
      <c r="I54" s="148">
        <f ca="1">IFERROR(__xludf.DUMMYFUNCTION("""COMPUTED_VALUE"""),7.81855)</f>
        <v>7.8185500000000001</v>
      </c>
      <c r="J54" s="149">
        <f ca="1">IFERROR(__xludf.DUMMYFUNCTION("""COMPUTED_VALUE"""),144.27)</f>
        <v>144.27000000000001</v>
      </c>
      <c r="K54" s="43"/>
      <c r="L54" s="149">
        <f ca="1">IFERROR(__xludf.DUMMYFUNCTION("""COMPUTED_VALUE"""),156.71)</f>
        <v>156.71</v>
      </c>
      <c r="M54" s="160" t="str">
        <f ca="1">IFERROR(__xludf.DUMMYFUNCTION("""COMPUTED_VALUE"""),"Equity Key Stats")</f>
        <v>Equity Key Stats</v>
      </c>
      <c r="N54" s="43"/>
      <c r="O54" s="43"/>
      <c r="P54" s="150">
        <f ca="1">IFERROR(__xludf.DUMMYFUNCTION("""COMPUTED_VALUE"""),-112798.22085)</f>
        <v>-112798.22085</v>
      </c>
      <c r="Q54" s="151"/>
      <c r="R54" s="152">
        <f ca="1">IFERROR(__xludf.DUMMYFUNCTION("""COMPUTED_VALUE"""),154.3)</f>
        <v>154.30000000000001</v>
      </c>
      <c r="S54" s="127">
        <f ca="1">IFERROR(__xludf.DUMMYFUNCTION("""COMPUTED_VALUE"""),120640.2265)</f>
        <v>120640.2265</v>
      </c>
      <c r="T54" s="108">
        <f ca="1">IFERROR(__xludf.DUMMYFUNCTION("""COMPUTED_VALUE"""),3)</f>
        <v>3</v>
      </c>
      <c r="U54" s="108" t="str">
        <f ca="1">IFERROR(__xludf.DUMMYFUNCTION("""COMPUTED_VALUE"""),"")</f>
        <v/>
      </c>
      <c r="V54" s="153" t="str">
        <f ca="1">IFERROR(__xludf.DUMMYFUNCTION("""COMPUTED_VALUE"""),"")</f>
        <v/>
      </c>
      <c r="W54" s="44" t="str">
        <f ca="1">IFERROR(__xludf.DUMMYFUNCTION("""COMPUTED_VALUE"""),"")</f>
        <v/>
      </c>
      <c r="X54" s="154" t="str">
        <f ca="1">IFERROR(__xludf.DUMMYFUNCTION("""COMPUTED_VALUE"""),"")</f>
        <v/>
      </c>
      <c r="Y54" s="154" t="str">
        <f ca="1">IFERROR(__xludf.DUMMYFUNCTION("""COMPUTED_VALUE"""),"")</f>
        <v/>
      </c>
      <c r="Z54" s="159" t="str">
        <f ca="1">IFERROR(__xludf.DUMMYFUNCTION("""COMPUTED_VALUE"""),"")</f>
        <v/>
      </c>
    </row>
    <row r="55" spans="1:26" ht="13" x14ac:dyDescent="0.15">
      <c r="A55" s="43" t="str">
        <f ca="1">IFERROR(__xludf.DUMMYFUNCTION("""COMPUTED_VALUE"""),"")</f>
        <v/>
      </c>
      <c r="B55" s="43" t="str">
        <f ca="1">IFERROR(__xludf.DUMMYFUNCTION("""COMPUTED_VALUE"""),"24442")</f>
        <v>24442</v>
      </c>
      <c r="C55" s="146">
        <f ca="1">IFERROR(__xludf.DUMMYFUNCTION("""COMPUTED_VALUE"""),44628000484)</f>
        <v>44628000484</v>
      </c>
      <c r="D55" s="43" t="str">
        <f ca="1">IFERROR(__xludf.DUMMYFUNCTION("""COMPUTED_VALUE"""),"XLK")</f>
        <v>XLK</v>
      </c>
      <c r="E55" s="147">
        <f ca="1">IFERROR(__xludf.DUMMYFUNCTION("""COMPUTED_VALUE"""),44628)</f>
        <v>44628</v>
      </c>
      <c r="F55" s="43" t="str">
        <f ca="1">IFERROR(__xludf.DUMMYFUNCTION("""COMPUTED_VALUE"""),"Stock")</f>
        <v>Stock</v>
      </c>
      <c r="G55" s="43" t="str">
        <f ca="1">IFERROR(__xludf.DUMMYFUNCTION("""COMPUTED_VALUE"""),"USD")</f>
        <v>USD</v>
      </c>
      <c r="H55" s="11">
        <f ca="1">IFERROR(__xludf.DUMMYFUNCTION("""COMPUTED_VALUE"""),-100)</f>
        <v>-100</v>
      </c>
      <c r="I55" s="148">
        <f ca="1">IFERROR(__xludf.DUMMYFUNCTION("""COMPUTED_VALUE"""),7.818975)</f>
        <v>7.818975</v>
      </c>
      <c r="J55" s="149">
        <f ca="1">IFERROR(__xludf.DUMMYFUNCTION("""COMPUTED_VALUE"""),143.57)</f>
        <v>143.57</v>
      </c>
      <c r="K55" s="43"/>
      <c r="L55" s="149">
        <f ca="1">IFERROR(__xludf.DUMMYFUNCTION("""COMPUTED_VALUE"""),156.71)</f>
        <v>156.71</v>
      </c>
      <c r="M55" s="160" t="str">
        <f ca="1">IFERROR(__xludf.DUMMYFUNCTION("""COMPUTED_VALUE"""),"Equity Key Stats")</f>
        <v>Equity Key Stats</v>
      </c>
      <c r="N55" s="43"/>
      <c r="O55" s="43"/>
      <c r="P55" s="150">
        <f ca="1">IFERROR(__xludf.DUMMYFUNCTION("""COMPUTED_VALUE"""),112257.024075)</f>
        <v>112257.02407499999</v>
      </c>
      <c r="Q55" s="151"/>
      <c r="R55" s="152">
        <f ca="1">IFERROR(__xludf.DUMMYFUNCTION("""COMPUTED_VALUE"""),154.3)</f>
        <v>154.30000000000001</v>
      </c>
      <c r="S55" s="127">
        <f ca="1">IFERROR(__xludf.DUMMYFUNCTION("""COMPUTED_VALUE"""),-120646.78425)</f>
        <v>-120646.78425</v>
      </c>
      <c r="T55" s="108">
        <f ca="1">IFERROR(__xludf.DUMMYFUNCTION("""COMPUTED_VALUE"""),3)</f>
        <v>3</v>
      </c>
      <c r="U55" s="108" t="str">
        <f ca="1">IFERROR(__xludf.DUMMYFUNCTION("""COMPUTED_VALUE"""),"")</f>
        <v/>
      </c>
      <c r="V55" s="153" t="str">
        <f ca="1">IFERROR(__xludf.DUMMYFUNCTION("""COMPUTED_VALUE"""),"")</f>
        <v/>
      </c>
      <c r="W55" s="145" t="str">
        <f ca="1">IFERROR(__xludf.DUMMYFUNCTION("""COMPUTED_VALUE"""),"")</f>
        <v/>
      </c>
      <c r="X55" s="11" t="str">
        <f ca="1">IFERROR(__xludf.DUMMYFUNCTION("""COMPUTED_VALUE"""),"")</f>
        <v/>
      </c>
      <c r="Y55" s="11" t="str">
        <f ca="1">IFERROR(__xludf.DUMMYFUNCTION("""COMPUTED_VALUE"""),"")</f>
        <v/>
      </c>
      <c r="Z55" s="4" t="str">
        <f ca="1">IFERROR(__xludf.DUMMYFUNCTION("""COMPUTED_VALUE"""),"")</f>
        <v/>
      </c>
    </row>
    <row r="56" spans="1:26" ht="13" x14ac:dyDescent="0.15">
      <c r="A56" s="43" t="str">
        <f ca="1">IFERROR(__xludf.DUMMYFUNCTION("""COMPUTED_VALUE"""),"")</f>
        <v/>
      </c>
      <c r="B56" s="43" t="str">
        <f ca="1">IFERROR(__xludf.DUMMYFUNCTION("""COMPUTED_VALUE"""),"24442")</f>
        <v>24442</v>
      </c>
      <c r="C56" s="146">
        <f ca="1">IFERROR(__xludf.DUMMYFUNCTION("""COMPUTED_VALUE"""),44634000578)</f>
        <v>44634000578</v>
      </c>
      <c r="D56" s="43" t="str">
        <f ca="1">IFERROR(__xludf.DUMMYFUNCTION("""COMPUTED_VALUE"""),"XLRE")</f>
        <v>XLRE</v>
      </c>
      <c r="E56" s="147">
        <f ca="1">IFERROR(__xludf.DUMMYFUNCTION("""COMPUTED_VALUE"""),44634)</f>
        <v>44634</v>
      </c>
      <c r="F56" s="43" t="str">
        <f ca="1">IFERROR(__xludf.DUMMYFUNCTION("""COMPUTED_VALUE"""),"Stock")</f>
        <v>Stock</v>
      </c>
      <c r="G56" s="43" t="str">
        <f ca="1">IFERROR(__xludf.DUMMYFUNCTION("""COMPUTED_VALUE"""),"USD")</f>
        <v>USD</v>
      </c>
      <c r="H56" s="154">
        <f ca="1">IFERROR(__xludf.DUMMYFUNCTION("""COMPUTED_VALUE"""),159)</f>
        <v>159</v>
      </c>
      <c r="I56" s="148">
        <f ca="1">IFERROR(__xludf.DUMMYFUNCTION("""COMPUTED_VALUE"""),7.82925)</f>
        <v>7.82925</v>
      </c>
      <c r="J56" s="149">
        <f ca="1">IFERROR(__xludf.DUMMYFUNCTION("""COMPUTED_VALUE"""),45.59)</f>
        <v>45.59</v>
      </c>
      <c r="K56" s="43"/>
      <c r="L56" s="149">
        <f ca="1">IFERROR(__xludf.DUMMYFUNCTION("""COMPUTED_VALUE"""),46.75)</f>
        <v>46.75</v>
      </c>
      <c r="M56" s="155" t="str">
        <f ca="1">IFERROR(__xludf.DUMMYFUNCTION("""COMPUTED_VALUE"""),"Equity Key Stats")</f>
        <v>Equity Key Stats</v>
      </c>
      <c r="N56" s="43"/>
      <c r="O56" s="43"/>
      <c r="P56" s="157">
        <f ca="1">IFERROR(__xludf.DUMMYFUNCTION("""COMPUTED_VALUE"""),-56752.7456925)</f>
        <v>-56752.745692500001</v>
      </c>
      <c r="Q56" s="151"/>
      <c r="R56" s="152">
        <f ca="1">IFERROR(__xludf.DUMMYFUNCTION("""COMPUTED_VALUE"""),46.22)</f>
        <v>46.22</v>
      </c>
      <c r="S56" s="150">
        <f ca="1">IFERROR(__xludf.DUMMYFUNCTION("""COMPUTED_VALUE"""),57537.001665)</f>
        <v>57537.001665000003</v>
      </c>
      <c r="T56" s="108">
        <f ca="1">IFERROR(__xludf.DUMMYFUNCTION("""COMPUTED_VALUE"""),1)</f>
        <v>1</v>
      </c>
      <c r="U56" s="108">
        <f ca="1">IFERROR(__xludf.DUMMYFUNCTION("""COMPUTED_VALUE"""),1)</f>
        <v>1</v>
      </c>
      <c r="V56" s="158">
        <f ca="1">IFERROR(__xludf.DUMMYFUNCTION("""COMPUTED_VALUE"""),784.255972499995)</f>
        <v>784.25597249999498</v>
      </c>
      <c r="W56" s="145" t="str">
        <f ca="1">IFERROR(__xludf.DUMMYFUNCTION("""COMPUTED_VALUE"""),"")</f>
        <v/>
      </c>
      <c r="X56" s="11" t="str">
        <f ca="1">IFERROR(__xludf.DUMMYFUNCTION("""COMPUTED_VALUE"""),"")</f>
        <v/>
      </c>
      <c r="Y56" s="11" t="str">
        <f ca="1">IFERROR(__xludf.DUMMYFUNCTION("""COMPUTED_VALUE"""),"")</f>
        <v/>
      </c>
      <c r="Z56" s="4" t="str">
        <f ca="1">IFERROR(__xludf.DUMMYFUNCTION("""COMPUTED_VALUE"""),"")</f>
        <v/>
      </c>
    </row>
    <row r="57" spans="1:26" ht="13" x14ac:dyDescent="0.15">
      <c r="A57" s="43" t="str">
        <f ca="1">IFERROR(__xludf.DUMMYFUNCTION("""COMPUTED_VALUE"""),"")</f>
        <v/>
      </c>
      <c r="B57" s="43" t="str">
        <f ca="1">IFERROR(__xludf.DUMMYFUNCTION("""COMPUTED_VALUE"""),"24442")</f>
        <v>24442</v>
      </c>
      <c r="C57" s="146">
        <f ca="1">IFERROR(__xludf.DUMMYFUNCTION("""COMPUTED_VALUE"""),44634000579)</f>
        <v>44634000579</v>
      </c>
      <c r="D57" s="43" t="str">
        <f ca="1">IFERROR(__xludf.DUMMYFUNCTION("""COMPUTED_VALUE"""),"XLU")</f>
        <v>XLU</v>
      </c>
      <c r="E57" s="147">
        <f ca="1">IFERROR(__xludf.DUMMYFUNCTION("""COMPUTED_VALUE"""),44634)</f>
        <v>44634</v>
      </c>
      <c r="F57" s="43" t="str">
        <f ca="1">IFERROR(__xludf.DUMMYFUNCTION("""COMPUTED_VALUE"""),"Stock")</f>
        <v>Stock</v>
      </c>
      <c r="G57" s="43" t="str">
        <f ca="1">IFERROR(__xludf.DUMMYFUNCTION("""COMPUTED_VALUE"""),"USD")</f>
        <v>USD</v>
      </c>
      <c r="H57" s="154">
        <f ca="1">IFERROR(__xludf.DUMMYFUNCTION("""COMPUTED_VALUE"""),112)</f>
        <v>112</v>
      </c>
      <c r="I57" s="148">
        <f ca="1">IFERROR(__xludf.DUMMYFUNCTION("""COMPUTED_VALUE"""),7.82925)</f>
        <v>7.82925</v>
      </c>
      <c r="J57" s="149">
        <f ca="1">IFERROR(__xludf.DUMMYFUNCTION("""COMPUTED_VALUE"""),70.35)</f>
        <v>70.349999999999994</v>
      </c>
      <c r="K57" s="43"/>
      <c r="L57" s="149">
        <f ca="1">IFERROR(__xludf.DUMMYFUNCTION("""COMPUTED_VALUE"""),70.91)</f>
        <v>70.91</v>
      </c>
      <c r="M57" s="155" t="str">
        <f ca="1">IFERROR(__xludf.DUMMYFUNCTION("""COMPUTED_VALUE"""),"Equity Key Stats")</f>
        <v>Equity Key Stats</v>
      </c>
      <c r="N57" s="43"/>
      <c r="O57" s="43"/>
      <c r="P57" s="157">
        <f ca="1">IFERROR(__xludf.DUMMYFUNCTION("""COMPUTED_VALUE"""),-61688.2265999999)</f>
        <v>-61688.2265999999</v>
      </c>
      <c r="Q57" s="151"/>
      <c r="R57" s="152">
        <f ca="1">IFERROR(__xludf.DUMMYFUNCTION("""COMPUTED_VALUE"""),71.01)</f>
        <v>71.010000000000005</v>
      </c>
      <c r="S57" s="150">
        <f ca="1">IFERROR(__xludf.DUMMYFUNCTION("""COMPUTED_VALUE"""),62266.96476)</f>
        <v>62266.964760000003</v>
      </c>
      <c r="T57" s="108">
        <f ca="1">IFERROR(__xludf.DUMMYFUNCTION("""COMPUTED_VALUE"""),1)</f>
        <v>1</v>
      </c>
      <c r="U57" s="108">
        <f ca="1">IFERROR(__xludf.DUMMYFUNCTION("""COMPUTED_VALUE"""),1)</f>
        <v>1</v>
      </c>
      <c r="V57" s="158">
        <f ca="1">IFERROR(__xludf.DUMMYFUNCTION("""COMPUTED_VALUE"""),578.738160000008)</f>
        <v>578.73816000000795</v>
      </c>
      <c r="W57" s="145" t="str">
        <f ca="1">IFERROR(__xludf.DUMMYFUNCTION("""COMPUTED_VALUE"""),"")</f>
        <v/>
      </c>
      <c r="X57" s="11" t="str">
        <f ca="1">IFERROR(__xludf.DUMMYFUNCTION("""COMPUTED_VALUE"""),"")</f>
        <v/>
      </c>
      <c r="Y57" s="11" t="str">
        <f ca="1">IFERROR(__xludf.DUMMYFUNCTION("""COMPUTED_VALUE"""),"")</f>
        <v/>
      </c>
      <c r="Z57" s="4" t="str">
        <f ca="1">IFERROR(__xludf.DUMMYFUNCTION("""COMPUTED_VALUE"""),"")</f>
        <v/>
      </c>
    </row>
    <row r="58" spans="1:26" ht="13" x14ac:dyDescent="0.15">
      <c r="A58" s="43" t="str">
        <f ca="1">IFERROR(__xludf.DUMMYFUNCTION("""COMPUTED_VALUE"""),"")</f>
        <v/>
      </c>
      <c r="B58" s="43" t="str">
        <f ca="1">IFERROR(__xludf.DUMMYFUNCTION("""COMPUTED_VALUE"""),"24442")</f>
        <v>24442</v>
      </c>
      <c r="C58" s="146">
        <f ca="1">IFERROR(__xludf.DUMMYFUNCTION("""COMPUTED_VALUE"""),44634000580)</f>
        <v>44634000580</v>
      </c>
      <c r="D58" s="43" t="str">
        <f ca="1">IFERROR(__xludf.DUMMYFUNCTION("""COMPUTED_VALUE"""),"XLP")</f>
        <v>XLP</v>
      </c>
      <c r="E58" s="147">
        <f ca="1">IFERROR(__xludf.DUMMYFUNCTION("""COMPUTED_VALUE"""),44634)</f>
        <v>44634</v>
      </c>
      <c r="F58" s="43" t="str">
        <f ca="1">IFERROR(__xludf.DUMMYFUNCTION("""COMPUTED_VALUE"""),"Stock")</f>
        <v>Stock</v>
      </c>
      <c r="G58" s="43" t="str">
        <f ca="1">IFERROR(__xludf.DUMMYFUNCTION("""COMPUTED_VALUE"""),"USD")</f>
        <v>USD</v>
      </c>
      <c r="H58" s="154">
        <f ca="1">IFERROR(__xludf.DUMMYFUNCTION("""COMPUTED_VALUE"""),190)</f>
        <v>190</v>
      </c>
      <c r="I58" s="148">
        <f ca="1">IFERROR(__xludf.DUMMYFUNCTION("""COMPUTED_VALUE"""),7.82925)</f>
        <v>7.82925</v>
      </c>
      <c r="J58" s="149">
        <f ca="1">IFERROR(__xludf.DUMMYFUNCTION("""COMPUTED_VALUE"""),71.82)</f>
        <v>71.819999999999993</v>
      </c>
      <c r="K58" s="43"/>
      <c r="L58" s="149">
        <f ca="1">IFERROR(__xludf.DUMMYFUNCTION("""COMPUTED_VALUE"""),74.5)</f>
        <v>74.5</v>
      </c>
      <c r="M58" s="155" t="str">
        <f ca="1">IFERROR(__xludf.DUMMYFUNCTION("""COMPUTED_VALUE"""),"Equity Key Stats")</f>
        <v>Equity Key Stats</v>
      </c>
      <c r="N58" s="43"/>
      <c r="O58" s="43"/>
      <c r="P58" s="157">
        <f ca="1">IFERROR(__xludf.DUMMYFUNCTION("""COMPUTED_VALUE"""),-106836.37965)</f>
        <v>-106836.37965</v>
      </c>
      <c r="Q58" s="151"/>
      <c r="R58" s="152">
        <f ca="1">IFERROR(__xludf.DUMMYFUNCTION("""COMPUTED_VALUE"""),73.9)</f>
        <v>73.900000000000006</v>
      </c>
      <c r="S58" s="150">
        <f ca="1">IFERROR(__xludf.DUMMYFUNCTION("""COMPUTED_VALUE"""),109930.49925)</f>
        <v>109930.49924999999</v>
      </c>
      <c r="T58" s="108">
        <f ca="1">IFERROR(__xludf.DUMMYFUNCTION("""COMPUTED_VALUE"""),1)</f>
        <v>1</v>
      </c>
      <c r="U58" s="108">
        <f ca="1">IFERROR(__xludf.DUMMYFUNCTION("""COMPUTED_VALUE"""),1)</f>
        <v>1</v>
      </c>
      <c r="V58" s="158">
        <f ca="1">IFERROR(__xludf.DUMMYFUNCTION("""COMPUTED_VALUE"""),3094.11960000002)</f>
        <v>3094.11960000002</v>
      </c>
      <c r="W58" s="145" t="str">
        <f ca="1">IFERROR(__xludf.DUMMYFUNCTION("""COMPUTED_VALUE"""),"")</f>
        <v/>
      </c>
      <c r="X58" s="11" t="str">
        <f ca="1">IFERROR(__xludf.DUMMYFUNCTION("""COMPUTED_VALUE"""),"")</f>
        <v/>
      </c>
      <c r="Y58" s="11" t="str">
        <f ca="1">IFERROR(__xludf.DUMMYFUNCTION("""COMPUTED_VALUE"""),"")</f>
        <v/>
      </c>
      <c r="Z58" s="4" t="str">
        <f ca="1">IFERROR(__xludf.DUMMYFUNCTION("""COMPUTED_VALUE"""),"")</f>
        <v/>
      </c>
    </row>
    <row r="59" spans="1:26" ht="13" x14ac:dyDescent="0.15">
      <c r="A59" s="43" t="str">
        <f ca="1">IFERROR(__xludf.DUMMYFUNCTION("""COMPUTED_VALUE"""),"")</f>
        <v/>
      </c>
      <c r="B59" s="43" t="str">
        <f ca="1">IFERROR(__xludf.DUMMYFUNCTION("""COMPUTED_VALUE"""),"24442")</f>
        <v>24442</v>
      </c>
      <c r="C59" s="146">
        <f ca="1">IFERROR(__xludf.DUMMYFUNCTION("""COMPUTED_VALUE"""),44634000581)</f>
        <v>44634000581</v>
      </c>
      <c r="D59" s="43" t="str">
        <f ca="1">IFERROR(__xludf.DUMMYFUNCTION("""COMPUTED_VALUE"""),"XLE")</f>
        <v>XLE</v>
      </c>
      <c r="E59" s="147">
        <f ca="1">IFERROR(__xludf.DUMMYFUNCTION("""COMPUTED_VALUE"""),44634)</f>
        <v>44634</v>
      </c>
      <c r="F59" s="43" t="str">
        <f ca="1">IFERROR(__xludf.DUMMYFUNCTION("""COMPUTED_VALUE"""),"Stock")</f>
        <v>Stock</v>
      </c>
      <c r="G59" s="43" t="str">
        <f ca="1">IFERROR(__xludf.DUMMYFUNCTION("""COMPUTED_VALUE"""),"USD")</f>
        <v>USD</v>
      </c>
      <c r="H59" s="11">
        <f ca="1">IFERROR(__xludf.DUMMYFUNCTION("""COMPUTED_VALUE"""),19)</f>
        <v>19</v>
      </c>
      <c r="I59" s="148">
        <f ca="1">IFERROR(__xludf.DUMMYFUNCTION("""COMPUTED_VALUE"""),7.82925)</f>
        <v>7.82925</v>
      </c>
      <c r="J59" s="149">
        <f ca="1">IFERROR(__xludf.DUMMYFUNCTION("""COMPUTED_VALUE"""),74.55)</f>
        <v>74.55</v>
      </c>
      <c r="K59" s="43"/>
      <c r="L59" s="149">
        <f ca="1">IFERROR(__xludf.DUMMYFUNCTION("""COMPUTED_VALUE"""),75.57)</f>
        <v>75.569999999999993</v>
      </c>
      <c r="M59" s="155" t="str">
        <f ca="1">IFERROR(__xludf.DUMMYFUNCTION("""COMPUTED_VALUE"""),"Equity Key Stats")</f>
        <v>Equity Key Stats</v>
      </c>
      <c r="N59" s="43"/>
      <c r="O59" s="43"/>
      <c r="P59" s="150">
        <f ca="1">IFERROR(__xludf.DUMMYFUNCTION("""COMPUTED_VALUE"""),-11089.7411625)</f>
        <v>-11089.7411625</v>
      </c>
      <c r="Q59" s="151"/>
      <c r="R59" s="152">
        <f ca="1">IFERROR(__xludf.DUMMYFUNCTION("""COMPUTED_VALUE"""),76.87)</f>
        <v>76.87</v>
      </c>
      <c r="S59" s="150">
        <f ca="1">IFERROR(__xludf.DUMMYFUNCTION("""COMPUTED_VALUE"""),11434.8545025)</f>
        <v>11434.8545025</v>
      </c>
      <c r="T59" s="108">
        <f ca="1">IFERROR(__xludf.DUMMYFUNCTION("""COMPUTED_VALUE"""),1)</f>
        <v>1</v>
      </c>
      <c r="U59" s="108">
        <f ca="1">IFERROR(__xludf.DUMMYFUNCTION("""COMPUTED_VALUE"""),1)</f>
        <v>1</v>
      </c>
      <c r="V59" s="153">
        <f ca="1">IFERROR(__xludf.DUMMYFUNCTION("""COMPUTED_VALUE"""),345.113339999999)</f>
        <v>345.11333999999903</v>
      </c>
      <c r="W59" s="44" t="str">
        <f ca="1">IFERROR(__xludf.DUMMYFUNCTION("""COMPUTED_VALUE"""),"")</f>
        <v/>
      </c>
      <c r="X59" s="156" t="str">
        <f ca="1">IFERROR(__xludf.DUMMYFUNCTION("""COMPUTED_VALUE"""),"")</f>
        <v/>
      </c>
      <c r="Y59" s="154" t="str">
        <f ca="1">IFERROR(__xludf.DUMMYFUNCTION("""COMPUTED_VALUE"""),"")</f>
        <v/>
      </c>
      <c r="Z59" s="162" t="str">
        <f ca="1">IFERROR(__xludf.DUMMYFUNCTION("""COMPUTED_VALUE"""),"")</f>
        <v/>
      </c>
    </row>
    <row r="60" spans="1:26" ht="13" x14ac:dyDescent="0.15">
      <c r="A60" s="43" t="str">
        <f ca="1">IFERROR(__xludf.DUMMYFUNCTION("""COMPUTED_VALUE"""),"")</f>
        <v/>
      </c>
      <c r="B60" s="43" t="str">
        <f ca="1">IFERROR(__xludf.DUMMYFUNCTION("""COMPUTED_VALUE"""),"24442")</f>
        <v>24442</v>
      </c>
      <c r="C60" s="146">
        <f ca="1">IFERROR(__xludf.DUMMYFUNCTION("""COMPUTED_VALUE"""),44634000582)</f>
        <v>44634000582</v>
      </c>
      <c r="D60" s="43" t="str">
        <f ca="1">IFERROR(__xludf.DUMMYFUNCTION("""COMPUTED_VALUE"""),"XLF")</f>
        <v>XLF</v>
      </c>
      <c r="E60" s="147">
        <f ca="1">IFERROR(__xludf.DUMMYFUNCTION("""COMPUTED_VALUE"""),44634)</f>
        <v>44634</v>
      </c>
      <c r="F60" s="43" t="str">
        <f ca="1">IFERROR(__xludf.DUMMYFUNCTION("""COMPUTED_VALUE"""),"Stock")</f>
        <v>Stock</v>
      </c>
      <c r="G60" s="43" t="str">
        <f ca="1">IFERROR(__xludf.DUMMYFUNCTION("""COMPUTED_VALUE"""),"USD")</f>
        <v>USD</v>
      </c>
      <c r="H60" s="11">
        <f ca="1">IFERROR(__xludf.DUMMYFUNCTION("""COMPUTED_VALUE"""),70)</f>
        <v>70</v>
      </c>
      <c r="I60" s="148">
        <f ca="1">IFERROR(__xludf.DUMMYFUNCTION("""COMPUTED_VALUE"""),7.82925)</f>
        <v>7.82925</v>
      </c>
      <c r="J60" s="149">
        <f ca="1">IFERROR(__xludf.DUMMYFUNCTION("""COMPUTED_VALUE"""),36.86)</f>
        <v>36.86</v>
      </c>
      <c r="K60" s="43"/>
      <c r="L60" s="149">
        <f ca="1">IFERROR(__xludf.DUMMYFUNCTION("""COMPUTED_VALUE"""),39.44)</f>
        <v>39.44</v>
      </c>
      <c r="M60" s="160" t="str">
        <f ca="1">IFERROR(__xludf.DUMMYFUNCTION("""COMPUTED_VALUE"""),"Equity Key Stats")</f>
        <v>Equity Key Stats</v>
      </c>
      <c r="N60" s="43"/>
      <c r="O60" s="43"/>
      <c r="P60" s="150">
        <f ca="1">IFERROR(__xludf.DUMMYFUNCTION("""COMPUTED_VALUE"""),-20201.03085)</f>
        <v>-20201.030849999999</v>
      </c>
      <c r="Q60" s="151"/>
      <c r="R60" s="152">
        <f ca="1">IFERROR(__xludf.DUMMYFUNCTION("""COMPUTED_VALUE"""),38.71)</f>
        <v>38.71</v>
      </c>
      <c r="S60" s="127">
        <f ca="1">IFERROR(__xludf.DUMMYFUNCTION("""COMPUTED_VALUE"""),21214.918725)</f>
        <v>21214.918725</v>
      </c>
      <c r="T60" s="108">
        <f ca="1">IFERROR(__xludf.DUMMYFUNCTION("""COMPUTED_VALUE"""),1)</f>
        <v>1</v>
      </c>
      <c r="U60" s="108">
        <f ca="1">IFERROR(__xludf.DUMMYFUNCTION("""COMPUTED_VALUE"""),1)</f>
        <v>1</v>
      </c>
      <c r="V60" s="153">
        <f ca="1">IFERROR(__xludf.DUMMYFUNCTION("""COMPUTED_VALUE"""),1013.887875)</f>
        <v>1013.887875</v>
      </c>
      <c r="W60" s="44" t="str">
        <f ca="1">IFERROR(__xludf.DUMMYFUNCTION("""COMPUTED_VALUE"""),"")</f>
        <v/>
      </c>
      <c r="X60" s="154" t="str">
        <f ca="1">IFERROR(__xludf.DUMMYFUNCTION("""COMPUTED_VALUE"""),"")</f>
        <v/>
      </c>
      <c r="Y60" s="154" t="str">
        <f ca="1">IFERROR(__xludf.DUMMYFUNCTION("""COMPUTED_VALUE"""),"")</f>
        <v/>
      </c>
      <c r="Z60" s="159" t="str">
        <f ca="1">IFERROR(__xludf.DUMMYFUNCTION("""COMPUTED_VALUE"""),"")</f>
        <v/>
      </c>
    </row>
    <row r="61" spans="1:26" ht="13" x14ac:dyDescent="0.15">
      <c r="A61" s="43" t="str">
        <f ca="1">IFERROR(__xludf.DUMMYFUNCTION("""COMPUTED_VALUE"""),"")</f>
        <v/>
      </c>
      <c r="B61" s="43" t="str">
        <f ca="1">IFERROR(__xludf.DUMMYFUNCTION("""COMPUTED_VALUE"""),"24442")</f>
        <v>24442</v>
      </c>
      <c r="C61" s="146">
        <f ca="1">IFERROR(__xludf.DUMMYFUNCTION("""COMPUTED_VALUE"""),44634000583)</f>
        <v>44634000583</v>
      </c>
      <c r="D61" s="43" t="str">
        <f ca="1">IFERROR(__xludf.DUMMYFUNCTION("""COMPUTED_VALUE"""),"XLB")</f>
        <v>XLB</v>
      </c>
      <c r="E61" s="147">
        <f ca="1">IFERROR(__xludf.DUMMYFUNCTION("""COMPUTED_VALUE"""),44634)</f>
        <v>44634</v>
      </c>
      <c r="F61" s="43" t="str">
        <f ca="1">IFERROR(__xludf.DUMMYFUNCTION("""COMPUTED_VALUE"""),"Stock")</f>
        <v>Stock</v>
      </c>
      <c r="G61" s="43" t="str">
        <f ca="1">IFERROR(__xludf.DUMMYFUNCTION("""COMPUTED_VALUE"""),"USD")</f>
        <v>USD</v>
      </c>
      <c r="H61" s="11">
        <f ca="1">IFERROR(__xludf.DUMMYFUNCTION("""COMPUTED_VALUE"""),45)</f>
        <v>45</v>
      </c>
      <c r="I61" s="148">
        <f ca="1">IFERROR(__xludf.DUMMYFUNCTION("""COMPUTED_VALUE"""),7.82925)</f>
        <v>7.82925</v>
      </c>
      <c r="J61" s="149">
        <f ca="1">IFERROR(__xludf.DUMMYFUNCTION("""COMPUTED_VALUE"""),81.73)</f>
        <v>81.73</v>
      </c>
      <c r="K61" s="43"/>
      <c r="L61" s="149">
        <f ca="1">IFERROR(__xludf.DUMMYFUNCTION("""COMPUTED_VALUE"""),86.96)</f>
        <v>86.96</v>
      </c>
      <c r="M61" s="160" t="str">
        <f ca="1">IFERROR(__xludf.DUMMYFUNCTION("""COMPUTED_VALUE"""),"Equity Key Stats")</f>
        <v>Equity Key Stats</v>
      </c>
      <c r="N61" s="43"/>
      <c r="O61" s="43"/>
      <c r="P61" s="150">
        <f ca="1">IFERROR(__xludf.DUMMYFUNCTION("""COMPUTED_VALUE"""),-28794.8071125)</f>
        <v>-28794.807112499999</v>
      </c>
      <c r="Q61" s="151"/>
      <c r="R61" s="152">
        <f ca="1">IFERROR(__xludf.DUMMYFUNCTION("""COMPUTED_VALUE"""),86.56)</f>
        <v>86.56</v>
      </c>
      <c r="S61" s="127">
        <f ca="1">IFERROR(__xludf.DUMMYFUNCTION("""COMPUTED_VALUE"""),30496.4946)</f>
        <v>30496.494600000002</v>
      </c>
      <c r="T61" s="108">
        <f ca="1">IFERROR(__xludf.DUMMYFUNCTION("""COMPUTED_VALUE"""),1)</f>
        <v>1</v>
      </c>
      <c r="U61" s="108">
        <f ca="1">IFERROR(__xludf.DUMMYFUNCTION("""COMPUTED_VALUE"""),1)</f>
        <v>1</v>
      </c>
      <c r="V61" s="153">
        <f ca="1">IFERROR(__xludf.DUMMYFUNCTION("""COMPUTED_VALUE"""),1701.68748749999)</f>
        <v>1701.6874874999901</v>
      </c>
      <c r="W61" s="44" t="str">
        <f ca="1">IFERROR(__xludf.DUMMYFUNCTION("""COMPUTED_VALUE"""),"")</f>
        <v/>
      </c>
      <c r="X61" s="154" t="str">
        <f ca="1">IFERROR(__xludf.DUMMYFUNCTION("""COMPUTED_VALUE"""),"")</f>
        <v/>
      </c>
      <c r="Y61" s="154" t="str">
        <f ca="1">IFERROR(__xludf.DUMMYFUNCTION("""COMPUTED_VALUE"""),"")</f>
        <v/>
      </c>
      <c r="Z61" s="159" t="str">
        <f ca="1">IFERROR(__xludf.DUMMYFUNCTION("""COMPUTED_VALUE"""),"")</f>
        <v/>
      </c>
    </row>
    <row r="62" spans="1:26" ht="13" x14ac:dyDescent="0.15">
      <c r="A62" s="43" t="str">
        <f ca="1">IFERROR(__xludf.DUMMYFUNCTION("""COMPUTED_VALUE"""),"")</f>
        <v/>
      </c>
      <c r="B62" s="43" t="str">
        <f ca="1">IFERROR(__xludf.DUMMYFUNCTION("""COMPUTED_VALUE"""),"24442")</f>
        <v>24442</v>
      </c>
      <c r="C62" s="146">
        <f ca="1">IFERROR(__xludf.DUMMYFUNCTION("""COMPUTED_VALUE"""),44634000584)</f>
        <v>44634000584</v>
      </c>
      <c r="D62" s="43" t="str">
        <f ca="1">IFERROR(__xludf.DUMMYFUNCTION("""COMPUTED_VALUE"""),"XLY")</f>
        <v>XLY</v>
      </c>
      <c r="E62" s="147">
        <f ca="1">IFERROR(__xludf.DUMMYFUNCTION("""COMPUTED_VALUE"""),44634)</f>
        <v>44634</v>
      </c>
      <c r="F62" s="43" t="str">
        <f ca="1">IFERROR(__xludf.DUMMYFUNCTION("""COMPUTED_VALUE"""),"Stock")</f>
        <v>Stock</v>
      </c>
      <c r="G62" s="43" t="str">
        <f ca="1">IFERROR(__xludf.DUMMYFUNCTION("""COMPUTED_VALUE"""),"USD")</f>
        <v>USD</v>
      </c>
      <c r="H62" s="11">
        <f ca="1">IFERROR(__xludf.DUMMYFUNCTION("""COMPUTED_VALUE"""),26)</f>
        <v>26</v>
      </c>
      <c r="I62" s="148">
        <f ca="1">IFERROR(__xludf.DUMMYFUNCTION("""COMPUTED_VALUE"""),7.82925)</f>
        <v>7.82925</v>
      </c>
      <c r="J62" s="149">
        <f ca="1">IFERROR(__xludf.DUMMYFUNCTION("""COMPUTED_VALUE"""),163.94)</f>
        <v>163.94</v>
      </c>
      <c r="K62" s="43"/>
      <c r="L62" s="149">
        <f ca="1">IFERROR(__xludf.DUMMYFUNCTION("""COMPUTED_VALUE"""),184.55)</f>
        <v>184.55</v>
      </c>
      <c r="M62" s="160" t="str">
        <f ca="1">IFERROR(__xludf.DUMMYFUNCTION("""COMPUTED_VALUE"""),"Equity Key Stats")</f>
        <v>Equity Key Stats</v>
      </c>
      <c r="N62" s="43"/>
      <c r="O62" s="43"/>
      <c r="P62" s="150">
        <f ca="1">IFERROR(__xludf.DUMMYFUNCTION("""COMPUTED_VALUE"""),-33371.70837)</f>
        <v>-33371.70837</v>
      </c>
      <c r="Q62" s="151"/>
      <c r="R62" s="152">
        <f ca="1">IFERROR(__xludf.DUMMYFUNCTION("""COMPUTED_VALUE"""),182.26)</f>
        <v>182.26</v>
      </c>
      <c r="S62" s="127">
        <f ca="1">IFERROR(__xludf.DUMMYFUNCTION("""COMPUTED_VALUE"""),37100.9367299999)</f>
        <v>37100.936729999899</v>
      </c>
      <c r="T62" s="108">
        <f ca="1">IFERROR(__xludf.DUMMYFUNCTION("""COMPUTED_VALUE"""),1)</f>
        <v>1</v>
      </c>
      <c r="U62" s="108">
        <f ca="1">IFERROR(__xludf.DUMMYFUNCTION("""COMPUTED_VALUE"""),1)</f>
        <v>1</v>
      </c>
      <c r="V62" s="153">
        <f ca="1">IFERROR(__xludf.DUMMYFUNCTION("""COMPUTED_VALUE"""),3729.22835999999)</f>
        <v>3729.2283599999901</v>
      </c>
      <c r="W62" s="145" t="str">
        <f ca="1">IFERROR(__xludf.DUMMYFUNCTION("""COMPUTED_VALUE"""),"")</f>
        <v/>
      </c>
      <c r="X62" s="11" t="str">
        <f ca="1">IFERROR(__xludf.DUMMYFUNCTION("""COMPUTED_VALUE"""),"")</f>
        <v/>
      </c>
      <c r="Y62" s="11" t="str">
        <f ca="1">IFERROR(__xludf.DUMMYFUNCTION("""COMPUTED_VALUE"""),"")</f>
        <v/>
      </c>
      <c r="Z62" s="4" t="str">
        <f ca="1">IFERROR(__xludf.DUMMYFUNCTION("""COMPUTED_VALUE"""),"")</f>
        <v/>
      </c>
    </row>
    <row r="63" spans="1:26" ht="13" x14ac:dyDescent="0.15">
      <c r="A63" s="43" t="str">
        <f ca="1">IFERROR(__xludf.DUMMYFUNCTION("""COMPUTED_VALUE"""),"")</f>
        <v/>
      </c>
      <c r="B63" s="43" t="str">
        <f ca="1">IFERROR(__xludf.DUMMYFUNCTION("""COMPUTED_VALUE"""),"24442")</f>
        <v>24442</v>
      </c>
      <c r="C63" s="146">
        <f ca="1">IFERROR(__xludf.DUMMYFUNCTION("""COMPUTED_VALUE"""),44634000585)</f>
        <v>44634000585</v>
      </c>
      <c r="D63" s="163" t="str">
        <f ca="1">IFERROR(__xludf.DUMMYFUNCTION("""COMPUTED_VALUE"""),"XLC")</f>
        <v>XLC</v>
      </c>
      <c r="E63" s="147">
        <f ca="1">IFERROR(__xludf.DUMMYFUNCTION("""COMPUTED_VALUE"""),44634)</f>
        <v>44634</v>
      </c>
      <c r="F63" s="43" t="str">
        <f ca="1">IFERROR(__xludf.DUMMYFUNCTION("""COMPUTED_VALUE"""),"Stock")</f>
        <v>Stock</v>
      </c>
      <c r="G63" s="43" t="str">
        <f ca="1">IFERROR(__xludf.DUMMYFUNCTION("""COMPUTED_VALUE"""),"USD")</f>
        <v>USD</v>
      </c>
      <c r="H63" s="154">
        <f ca="1">IFERROR(__xludf.DUMMYFUNCTION("""COMPUTED_VALUE"""),72)</f>
        <v>72</v>
      </c>
      <c r="I63" s="148">
        <f ca="1">IFERROR(__xludf.DUMMYFUNCTION("""COMPUTED_VALUE"""),7.82925)</f>
        <v>7.82925</v>
      </c>
      <c r="J63" s="149">
        <f ca="1">IFERROR(__xludf.DUMMYFUNCTION("""COMPUTED_VALUE"""),63.62)</f>
        <v>63.62</v>
      </c>
      <c r="K63" s="43"/>
      <c r="L63" s="149">
        <f ca="1">IFERROR(__xludf.DUMMYFUNCTION("""COMPUTED_VALUE"""),68.68)</f>
        <v>68.680000000000007</v>
      </c>
      <c r="M63" s="155" t="str">
        <f ca="1">IFERROR(__xludf.DUMMYFUNCTION("""COMPUTED_VALUE"""),"Equity Key Stats")</f>
        <v>Equity Key Stats</v>
      </c>
      <c r="N63" s="43"/>
      <c r="O63" s="43"/>
      <c r="P63" s="157">
        <f ca="1">IFERROR(__xludf.DUMMYFUNCTION("""COMPUTED_VALUE"""),-35862.97572)</f>
        <v>-35862.975720000002</v>
      </c>
      <c r="Q63" s="151"/>
      <c r="R63" s="152">
        <f ca="1">IFERROR(__xludf.DUMMYFUNCTION("""COMPUTED_VALUE"""),67.74)</f>
        <v>67.739999999999995</v>
      </c>
      <c r="S63" s="150">
        <f ca="1">IFERROR(__xludf.DUMMYFUNCTION("""COMPUTED_VALUE"""),38185.44444)</f>
        <v>38185.444439999999</v>
      </c>
      <c r="T63" s="108">
        <f ca="1">IFERROR(__xludf.DUMMYFUNCTION("""COMPUTED_VALUE"""),1)</f>
        <v>1</v>
      </c>
      <c r="U63" s="108">
        <f ca="1">IFERROR(__xludf.DUMMYFUNCTION("""COMPUTED_VALUE"""),1)</f>
        <v>1</v>
      </c>
      <c r="V63" s="158">
        <f ca="1">IFERROR(__xludf.DUMMYFUNCTION("""COMPUTED_VALUE"""),2322.46871999999)</f>
        <v>2322.4687199999898</v>
      </c>
      <c r="W63" s="145" t="str">
        <f ca="1">IFERROR(__xludf.DUMMYFUNCTION("""COMPUTED_VALUE"""),"")</f>
        <v/>
      </c>
      <c r="X63" s="11" t="str">
        <f ca="1">IFERROR(__xludf.DUMMYFUNCTION("""COMPUTED_VALUE"""),"")</f>
        <v/>
      </c>
      <c r="Y63" s="11" t="str">
        <f ca="1">IFERROR(__xludf.DUMMYFUNCTION("""COMPUTED_VALUE"""),"")</f>
        <v/>
      </c>
      <c r="Z63" s="4" t="str">
        <f ca="1">IFERROR(__xludf.DUMMYFUNCTION("""COMPUTED_VALUE"""),"")</f>
        <v/>
      </c>
    </row>
    <row r="64" spans="1:26" ht="13" x14ac:dyDescent="0.15">
      <c r="A64" s="43" t="str">
        <f ca="1">IFERROR(__xludf.DUMMYFUNCTION("""COMPUTED_VALUE"""),"")</f>
        <v/>
      </c>
      <c r="B64" s="43" t="str">
        <f ca="1">IFERROR(__xludf.DUMMYFUNCTION("""COMPUTED_VALUE"""),"24442")</f>
        <v>24442</v>
      </c>
      <c r="C64" s="146">
        <f ca="1">IFERROR(__xludf.DUMMYFUNCTION("""COMPUTED_VALUE"""),44634000586)</f>
        <v>44634000586</v>
      </c>
      <c r="D64" s="43" t="str">
        <f ca="1">IFERROR(__xludf.DUMMYFUNCTION("""COMPUTED_VALUE"""),"XLK")</f>
        <v>XLK</v>
      </c>
      <c r="E64" s="147">
        <f ca="1">IFERROR(__xludf.DUMMYFUNCTION("""COMPUTED_VALUE"""),44634)</f>
        <v>44634</v>
      </c>
      <c r="F64" s="43" t="str">
        <f ca="1">IFERROR(__xludf.DUMMYFUNCTION("""COMPUTED_VALUE"""),"Stock")</f>
        <v>Stock</v>
      </c>
      <c r="G64" s="43" t="str">
        <f ca="1">IFERROR(__xludf.DUMMYFUNCTION("""COMPUTED_VALUE"""),"USD")</f>
        <v>USD</v>
      </c>
      <c r="H64" s="154">
        <f ca="1">IFERROR(__xludf.DUMMYFUNCTION("""COMPUTED_VALUE"""),39)</f>
        <v>39</v>
      </c>
      <c r="I64" s="148">
        <f ca="1">IFERROR(__xludf.DUMMYFUNCTION("""COMPUTED_VALUE"""),7.82925)</f>
        <v>7.82925</v>
      </c>
      <c r="J64" s="149">
        <f ca="1">IFERROR(__xludf.DUMMYFUNCTION("""COMPUTED_VALUE"""),141.39)</f>
        <v>141.38999999999999</v>
      </c>
      <c r="K64" s="43"/>
      <c r="L64" s="149">
        <f ca="1">IFERROR(__xludf.DUMMYFUNCTION("""COMPUTED_VALUE"""),156.71)</f>
        <v>156.71</v>
      </c>
      <c r="M64" s="155" t="str">
        <f ca="1">IFERROR(__xludf.DUMMYFUNCTION("""COMPUTED_VALUE"""),"Equity Key Stats")</f>
        <v>Equity Key Stats</v>
      </c>
      <c r="N64" s="43"/>
      <c r="O64" s="43"/>
      <c r="P64" s="157">
        <f ca="1">IFERROR(__xludf.DUMMYFUNCTION("""COMPUTED_VALUE"""),-43172.1286425)</f>
        <v>-43172.1286425</v>
      </c>
      <c r="Q64" s="151"/>
      <c r="R64" s="152">
        <f ca="1">IFERROR(__xludf.DUMMYFUNCTION("""COMPUTED_VALUE"""),154.3)</f>
        <v>154.30000000000001</v>
      </c>
      <c r="S64" s="150">
        <f ca="1">IFERROR(__xludf.DUMMYFUNCTION("""COMPUTED_VALUE"""),47114.077725)</f>
        <v>47114.077725000003</v>
      </c>
      <c r="T64" s="108">
        <f ca="1">IFERROR(__xludf.DUMMYFUNCTION("""COMPUTED_VALUE"""),3)</f>
        <v>3</v>
      </c>
      <c r="U64" s="43">
        <f ca="1">IFERROR(__xludf.DUMMYFUNCTION("""COMPUTED_VALUE"""),1)</f>
        <v>1</v>
      </c>
      <c r="V64" s="144">
        <f ca="1">IFERROR(__xludf.DUMMYFUNCTION("""COMPUTED_VALUE"""),3394.19455749999)</f>
        <v>3394.19455749999</v>
      </c>
      <c r="W64" s="145" t="str">
        <f ca="1">IFERROR(__xludf.DUMMYFUNCTION("""COMPUTED_VALUE"""),"")</f>
        <v/>
      </c>
      <c r="X64" s="11" t="str">
        <f ca="1">IFERROR(__xludf.DUMMYFUNCTION("""COMPUTED_VALUE"""),"")</f>
        <v/>
      </c>
      <c r="Y64" s="11" t="str">
        <f ca="1">IFERROR(__xludf.DUMMYFUNCTION("""COMPUTED_VALUE"""),"")</f>
        <v/>
      </c>
      <c r="Z64" s="4" t="str">
        <f ca="1">IFERROR(__xludf.DUMMYFUNCTION("""COMPUTED_VALUE"""),"")</f>
        <v/>
      </c>
    </row>
    <row r="65" spans="1:26" ht="13" x14ac:dyDescent="0.15">
      <c r="A65" s="43" t="str">
        <f ca="1">IFERROR(__xludf.DUMMYFUNCTION("""COMPUTED_VALUE"""),"")</f>
        <v/>
      </c>
      <c r="B65" s="43" t="str">
        <f ca="1">IFERROR(__xludf.DUMMYFUNCTION("""COMPUTED_VALUE"""),"24442")</f>
        <v>24442</v>
      </c>
      <c r="C65" s="146">
        <f ca="1">IFERROR(__xludf.DUMMYFUNCTION("""COMPUTED_VALUE"""),44634000587)</f>
        <v>44634000587</v>
      </c>
      <c r="D65" s="43" t="str">
        <f ca="1">IFERROR(__xludf.DUMMYFUNCTION("""COMPUTED_VALUE"""),"XLI")</f>
        <v>XLI</v>
      </c>
      <c r="E65" s="147">
        <f ca="1">IFERROR(__xludf.DUMMYFUNCTION("""COMPUTED_VALUE"""),44634)</f>
        <v>44634</v>
      </c>
      <c r="F65" s="43" t="str">
        <f ca="1">IFERROR(__xludf.DUMMYFUNCTION("""COMPUTED_VALUE"""),"Stock")</f>
        <v>Stock</v>
      </c>
      <c r="G65" s="43" t="str">
        <f ca="1">IFERROR(__xludf.DUMMYFUNCTION("""COMPUTED_VALUE"""),"USD")</f>
        <v>USD</v>
      </c>
      <c r="H65" s="11">
        <f ca="1">IFERROR(__xludf.DUMMYFUNCTION("""COMPUTED_VALUE"""),59)</f>
        <v>59</v>
      </c>
      <c r="I65" s="148">
        <f ca="1">IFERROR(__xludf.DUMMYFUNCTION("""COMPUTED_VALUE"""),7.82925)</f>
        <v>7.82925</v>
      </c>
      <c r="J65" s="149">
        <f ca="1">IFERROR(__xludf.DUMMYFUNCTION("""COMPUTED_VALUE"""),98.27)</f>
        <v>98.27</v>
      </c>
      <c r="K65" s="43"/>
      <c r="L65" s="149">
        <f ca="1">IFERROR(__xludf.DUMMYFUNCTION("""COMPUTED_VALUE"""),103.29)</f>
        <v>103.29</v>
      </c>
      <c r="M65" s="155" t="str">
        <f ca="1">IFERROR(__xludf.DUMMYFUNCTION("""COMPUTED_VALUE"""),"Equity Key Stats")</f>
        <v>Equity Key Stats</v>
      </c>
      <c r="N65" s="43"/>
      <c r="O65" s="43"/>
      <c r="P65" s="150">
        <f ca="1">IFERROR(__xludf.DUMMYFUNCTION("""COMPUTED_VALUE"""),-45393.4434524999)</f>
        <v>-45393.443452499901</v>
      </c>
      <c r="Q65" s="151"/>
      <c r="R65" s="152">
        <f ca="1">IFERROR(__xludf.DUMMYFUNCTION("""COMPUTED_VALUE"""),102.3)</f>
        <v>102.3</v>
      </c>
      <c r="S65" s="150">
        <f ca="1">IFERROR(__xludf.DUMMYFUNCTION("""COMPUTED_VALUE"""),47255.004225)</f>
        <v>47255.004224999997</v>
      </c>
      <c r="T65" s="108">
        <f ca="1">IFERROR(__xludf.DUMMYFUNCTION("""COMPUTED_VALUE"""),1)</f>
        <v>1</v>
      </c>
      <c r="U65" s="108">
        <f ca="1">IFERROR(__xludf.DUMMYFUNCTION("""COMPUTED_VALUE"""),1)</f>
        <v>1</v>
      </c>
      <c r="V65" s="153">
        <f ca="1">IFERROR(__xludf.DUMMYFUNCTION("""COMPUTED_VALUE"""),1861.5607725)</f>
        <v>1861.5607725</v>
      </c>
      <c r="W65" s="145" t="str">
        <f ca="1">IFERROR(__xludf.DUMMYFUNCTION("""COMPUTED_VALUE"""),"")</f>
        <v/>
      </c>
      <c r="X65" s="11" t="str">
        <f ca="1">IFERROR(__xludf.DUMMYFUNCTION("""COMPUTED_VALUE"""),"")</f>
        <v/>
      </c>
      <c r="Y65" s="11" t="str">
        <f ca="1">IFERROR(__xludf.DUMMYFUNCTION("""COMPUTED_VALUE"""),"")</f>
        <v/>
      </c>
      <c r="Z65" s="4" t="str">
        <f ca="1">IFERROR(__xludf.DUMMYFUNCTION("""COMPUTED_VALUE"""),"")</f>
        <v/>
      </c>
    </row>
    <row r="66" spans="1:26" ht="13" x14ac:dyDescent="0.15">
      <c r="A66" s="43" t="str">
        <f ca="1">IFERROR(__xludf.DUMMYFUNCTION("""COMPUTED_VALUE"""),"")</f>
        <v/>
      </c>
      <c r="B66" s="43" t="str">
        <f ca="1">IFERROR(__xludf.DUMMYFUNCTION("""COMPUTED_VALUE"""),"24442")</f>
        <v>24442</v>
      </c>
      <c r="C66" s="146">
        <f ca="1">IFERROR(__xludf.DUMMYFUNCTION("""COMPUTED_VALUE"""),44634000588)</f>
        <v>44634000588</v>
      </c>
      <c r="D66" s="43" t="str">
        <f ca="1">IFERROR(__xludf.DUMMYFUNCTION("""COMPUTED_VALUE"""),"XLV")</f>
        <v>XLV</v>
      </c>
      <c r="E66" s="147">
        <f ca="1">IFERROR(__xludf.DUMMYFUNCTION("""COMPUTED_VALUE"""),44634)</f>
        <v>44634</v>
      </c>
      <c r="F66" s="43" t="str">
        <f ca="1">IFERROR(__xludf.DUMMYFUNCTION("""COMPUTED_VALUE"""),"Stock")</f>
        <v>Stock</v>
      </c>
      <c r="G66" s="43" t="str">
        <f ca="1">IFERROR(__xludf.DUMMYFUNCTION("""COMPUTED_VALUE"""),"USD")</f>
        <v>USD</v>
      </c>
      <c r="H66" s="156">
        <f ca="1">IFERROR(__xludf.DUMMYFUNCTION("""COMPUTED_VALUE"""),48)</f>
        <v>48</v>
      </c>
      <c r="I66" s="148">
        <f ca="1">IFERROR(__xludf.DUMMYFUNCTION("""COMPUTED_VALUE"""),7.82925)</f>
        <v>7.82925</v>
      </c>
      <c r="J66" s="149">
        <f ca="1">IFERROR(__xludf.DUMMYFUNCTION("""COMPUTED_VALUE"""),129.85)</f>
        <v>129.85</v>
      </c>
      <c r="K66" s="43"/>
      <c r="L66" s="149">
        <f ca="1">IFERROR(__xludf.DUMMYFUNCTION("""COMPUTED_VALUE"""),136.49)</f>
        <v>136.49</v>
      </c>
      <c r="M66" s="155" t="str">
        <f ca="1">IFERROR(__xludf.DUMMYFUNCTION("""COMPUTED_VALUE"""),"Equity Key Stats")</f>
        <v>Equity Key Stats</v>
      </c>
      <c r="N66" s="43"/>
      <c r="O66" s="43"/>
      <c r="P66" s="150">
        <f ca="1">IFERROR(__xludf.DUMMYFUNCTION("""COMPUTED_VALUE"""),-48798.1493999999)</f>
        <v>-48798.1493999999</v>
      </c>
      <c r="Q66" s="151"/>
      <c r="R66" s="152">
        <f ca="1">IFERROR(__xludf.DUMMYFUNCTION("""COMPUTED_VALUE"""),134.04)</f>
        <v>134.04</v>
      </c>
      <c r="S66" s="157">
        <f ca="1">IFERROR(__xludf.DUMMYFUNCTION("""COMPUTED_VALUE"""),50372.7681599999)</f>
        <v>50372.768159999898</v>
      </c>
      <c r="T66" s="108">
        <f ca="1">IFERROR(__xludf.DUMMYFUNCTION("""COMPUTED_VALUE"""),2)</f>
        <v>2</v>
      </c>
      <c r="U66" s="108" t="str">
        <f ca="1">IFERROR(__xludf.DUMMYFUNCTION("""COMPUTED_VALUE"""),"")</f>
        <v/>
      </c>
      <c r="V66" s="153" t="str">
        <f ca="1">IFERROR(__xludf.DUMMYFUNCTION("""COMPUTED_VALUE"""),"")</f>
        <v/>
      </c>
      <c r="W66" s="44" t="str">
        <f ca="1">IFERROR(__xludf.DUMMYFUNCTION("""COMPUTED_VALUE"""),"")</f>
        <v/>
      </c>
      <c r="X66" s="154" t="str">
        <f ca="1">IFERROR(__xludf.DUMMYFUNCTION("""COMPUTED_VALUE"""),"")</f>
        <v/>
      </c>
      <c r="Y66" s="154" t="str">
        <f ca="1">IFERROR(__xludf.DUMMYFUNCTION("""COMPUTED_VALUE"""),"")</f>
        <v/>
      </c>
      <c r="Z66" s="159" t="str">
        <f ca="1">IFERROR(__xludf.DUMMYFUNCTION("""COMPUTED_VALUE"""),"")</f>
        <v/>
      </c>
    </row>
    <row r="67" spans="1:26" ht="13" x14ac:dyDescent="0.15">
      <c r="A67" s="43" t="str">
        <f ca="1">IFERROR(__xludf.DUMMYFUNCTION("""COMPUTED_VALUE"""),"24442")</f>
        <v>24442</v>
      </c>
      <c r="B67" s="43" t="str">
        <f ca="1">IFERROR(__xludf.DUMMYFUNCTION("""COMPUTED_VALUE"""),"24442")</f>
        <v>24442</v>
      </c>
      <c r="C67" s="146">
        <f ca="1">IFERROR(__xludf.DUMMYFUNCTION("""COMPUTED_VALUE"""),44634000589)</f>
        <v>44634000589</v>
      </c>
      <c r="D67" s="43" t="str">
        <f ca="1">IFERROR(__xludf.DUMMYFUNCTION("""COMPUTED_VALUE"""),"XLV")</f>
        <v>XLV</v>
      </c>
      <c r="E67" s="147">
        <f ca="1">IFERROR(__xludf.DUMMYFUNCTION("""COMPUTED_VALUE"""),44634)</f>
        <v>44634</v>
      </c>
      <c r="F67" s="43" t="str">
        <f ca="1">IFERROR(__xludf.DUMMYFUNCTION("""COMPUTED_VALUE"""),"Stock")</f>
        <v>Stock</v>
      </c>
      <c r="G67" s="43" t="str">
        <f ca="1">IFERROR(__xludf.DUMMYFUNCTION("""COMPUTED_VALUE"""),"USD")</f>
        <v>USD</v>
      </c>
      <c r="H67" s="11">
        <f ca="1">IFERROR(__xludf.DUMMYFUNCTION("""COMPUTED_VALUE"""),48)</f>
        <v>48</v>
      </c>
      <c r="I67" s="148">
        <f ca="1">IFERROR(__xludf.DUMMYFUNCTION("""COMPUTED_VALUE"""),7.82925)</f>
        <v>7.82925</v>
      </c>
      <c r="J67" s="149">
        <f ca="1">IFERROR(__xludf.DUMMYFUNCTION("""COMPUTED_VALUE"""),129.85)</f>
        <v>129.85</v>
      </c>
      <c r="K67" s="43"/>
      <c r="L67" s="149">
        <f ca="1">IFERROR(__xludf.DUMMYFUNCTION("""COMPUTED_VALUE"""),136.49)</f>
        <v>136.49</v>
      </c>
      <c r="M67" s="160" t="str">
        <f ca="1">IFERROR(__xludf.DUMMYFUNCTION("""COMPUTED_VALUE"""),"Equity Key Stats")</f>
        <v>Equity Key Stats</v>
      </c>
      <c r="N67" s="43"/>
      <c r="O67" s="43"/>
      <c r="P67" s="150">
        <f ca="1">IFERROR(__xludf.DUMMYFUNCTION("""COMPUTED_VALUE"""),-48798.1493999999)</f>
        <v>-48798.1493999999</v>
      </c>
      <c r="Q67" s="151"/>
      <c r="R67" s="152">
        <f ca="1">IFERROR(__xludf.DUMMYFUNCTION("""COMPUTED_VALUE"""),134.04)</f>
        <v>134.04</v>
      </c>
      <c r="S67" s="127">
        <f ca="1">IFERROR(__xludf.DUMMYFUNCTION("""COMPUTED_VALUE"""),50372.7681599999)</f>
        <v>50372.768159999898</v>
      </c>
      <c r="T67" s="108">
        <f ca="1">IFERROR(__xludf.DUMMYFUNCTION("""COMPUTED_VALUE"""),2)</f>
        <v>2</v>
      </c>
      <c r="U67" s="108">
        <f ca="1">IFERROR(__xludf.DUMMYFUNCTION("""COMPUTED_VALUE"""),1)</f>
        <v>1</v>
      </c>
      <c r="V67" s="153">
        <f ca="1">IFERROR(__xludf.DUMMYFUNCTION("""COMPUTED_VALUE"""),3149.23751999999)</f>
        <v>3149.2375199999901</v>
      </c>
      <c r="W67" s="44">
        <f ca="1">IFERROR(__xludf.DUMMYFUNCTION("""COMPUTED_VALUE"""),520543.763505)</f>
        <v>520543.76350499998</v>
      </c>
      <c r="X67" s="154">
        <f ca="1">IFERROR(__xludf.DUMMYFUNCTION("""COMPUTED_VALUE"""),-88189.5695575001)</f>
        <v>-88189.569557500101</v>
      </c>
      <c r="Y67" s="154">
        <f ca="1">IFERROR(__xludf.DUMMYFUNCTION("""COMPUTED_VALUE"""),88189.5695575001)</f>
        <v>88189.569557500101</v>
      </c>
      <c r="Z67" s="159">
        <f ca="1">IFERROR(__xludf.DUMMYFUNCTION("""COMPUTED_VALUE"""),0.0410875270100001)</f>
        <v>4.1087527010000097E-2</v>
      </c>
    </row>
    <row r="68" spans="1:26" ht="13" x14ac:dyDescent="0.15">
      <c r="A68" s="43" t="str">
        <f ca="1">IFERROR(__xludf.DUMMYFUNCTION("""COMPUTED_VALUE"""),"")</f>
        <v/>
      </c>
      <c r="B68" s="43" t="str">
        <f ca="1">IFERROR(__xludf.DUMMYFUNCTION("""COMPUTED_VALUE"""),"32312")</f>
        <v>32312</v>
      </c>
      <c r="C68" s="146">
        <f ca="1">IFERROR(__xludf.DUMMYFUNCTION("""COMPUTED_VALUE"""),44597000070)</f>
        <v>44597000070</v>
      </c>
      <c r="D68" s="43" t="str">
        <f ca="1">IFERROR(__xludf.DUMMYFUNCTION("""COMPUTED_VALUE"""),"Cash")</f>
        <v>Cash</v>
      </c>
      <c r="E68" s="147">
        <f ca="1">IFERROR(__xludf.DUMMYFUNCTION("""COMPUTED_VALUE"""),44597)</f>
        <v>44597</v>
      </c>
      <c r="F68" s="43" t="str">
        <f ca="1">IFERROR(__xludf.DUMMYFUNCTION("""COMPUTED_VALUE"""),"Cash")</f>
        <v>Cash</v>
      </c>
      <c r="G68" s="43" t="str">
        <f ca="1">IFERROR(__xludf.DUMMYFUNCTION("""COMPUTED_VALUE"""),"HKD")</f>
        <v>HKD</v>
      </c>
      <c r="H68" s="11" t="str">
        <f ca="1">IFERROR(__xludf.DUMMYFUNCTION("""COMPUTED_VALUE"""),"")</f>
        <v/>
      </c>
      <c r="I68" s="148">
        <f ca="1">IFERROR(__xludf.DUMMYFUNCTION("""COMPUTED_VALUE"""),1)</f>
        <v>1</v>
      </c>
      <c r="J68" s="108">
        <f ca="1">IFERROR(__xludf.DUMMYFUNCTION("""COMPUTED_VALUE"""),1)</f>
        <v>1</v>
      </c>
      <c r="K68" s="43"/>
      <c r="L68" s="149">
        <f ca="1">IFERROR(__xludf.DUMMYFUNCTION("""COMPUTED_VALUE"""),1)</f>
        <v>1</v>
      </c>
      <c r="M68" s="3" t="str">
        <f ca="1">IFERROR(__xludf.DUMMYFUNCTION("""COMPUTED_VALUE"""),"")</f>
        <v/>
      </c>
      <c r="N68" s="43"/>
      <c r="O68" s="43"/>
      <c r="P68" s="150">
        <f ca="1">IFERROR(__xludf.DUMMYFUNCTION("""COMPUTED_VALUE"""),500000)</f>
        <v>500000</v>
      </c>
      <c r="Q68" s="151"/>
      <c r="R68" s="152">
        <f ca="1">IFERROR(__xludf.DUMMYFUNCTION("""COMPUTED_VALUE"""),1)</f>
        <v>1</v>
      </c>
      <c r="S68" s="127" t="str">
        <f ca="1">IFERROR(__xludf.DUMMYFUNCTION("""COMPUTED_VALUE"""),"")</f>
        <v/>
      </c>
      <c r="T68" s="108">
        <f ca="1">IFERROR(__xludf.DUMMYFUNCTION("""COMPUTED_VALUE"""),1)</f>
        <v>1</v>
      </c>
      <c r="U68" s="108">
        <f ca="1">IFERROR(__xludf.DUMMYFUNCTION("""COMPUTED_VALUE"""),1)</f>
        <v>1</v>
      </c>
      <c r="V68" s="153">
        <f ca="1">IFERROR(__xludf.DUMMYFUNCTION("""COMPUTED_VALUE"""),500000)</f>
        <v>500000</v>
      </c>
      <c r="W68" s="145" t="str">
        <f ca="1">IFERROR(__xludf.DUMMYFUNCTION("""COMPUTED_VALUE"""),"")</f>
        <v/>
      </c>
      <c r="X68" s="11" t="str">
        <f ca="1">IFERROR(__xludf.DUMMYFUNCTION("""COMPUTED_VALUE"""),"")</f>
        <v/>
      </c>
      <c r="Y68" s="11" t="str">
        <f ca="1">IFERROR(__xludf.DUMMYFUNCTION("""COMPUTED_VALUE"""),"")</f>
        <v/>
      </c>
      <c r="Z68" s="4" t="str">
        <f ca="1">IFERROR(__xludf.DUMMYFUNCTION("""COMPUTED_VALUE"""),"")</f>
        <v/>
      </c>
    </row>
    <row r="69" spans="1:26" ht="13" x14ac:dyDescent="0.15">
      <c r="A69" s="43" t="str">
        <f ca="1">IFERROR(__xludf.DUMMYFUNCTION("""COMPUTED_VALUE"""),"")</f>
        <v/>
      </c>
      <c r="B69" s="43" t="str">
        <f ca="1">IFERROR(__xludf.DUMMYFUNCTION("""COMPUTED_VALUE"""),"32312")</f>
        <v>32312</v>
      </c>
      <c r="C69" s="146">
        <f ca="1">IFERROR(__xludf.DUMMYFUNCTION("""COMPUTED_VALUE"""),44608000229)</f>
        <v>44608000229</v>
      </c>
      <c r="D69" s="43" t="str">
        <f ca="1">IFERROR(__xludf.DUMMYFUNCTION("""COMPUTED_VALUE"""),"TSLA")</f>
        <v>TSLA</v>
      </c>
      <c r="E69" s="147">
        <f ca="1">IFERROR(__xludf.DUMMYFUNCTION("""COMPUTED_VALUE"""),44608)</f>
        <v>44608</v>
      </c>
      <c r="F69" s="43" t="str">
        <f ca="1">IFERROR(__xludf.DUMMYFUNCTION("""COMPUTED_VALUE"""),"Stock")</f>
        <v>Stock</v>
      </c>
      <c r="G69" s="43" t="str">
        <f ca="1">IFERROR(__xludf.DUMMYFUNCTION("""COMPUTED_VALUE"""),"USD")</f>
        <v>USD</v>
      </c>
      <c r="H69" s="154">
        <f ca="1">IFERROR(__xludf.DUMMYFUNCTION("""COMPUTED_VALUE"""),0)</f>
        <v>0</v>
      </c>
      <c r="I69" s="148">
        <f ca="1">IFERROR(__xludf.DUMMYFUNCTION("""COMPUTED_VALUE"""),7.8005)</f>
        <v>7.8005000000000004</v>
      </c>
      <c r="J69" s="149">
        <f ca="1">IFERROR(__xludf.DUMMYFUNCTION("""COMPUTED_VALUE"""),0)</f>
        <v>0</v>
      </c>
      <c r="K69" s="43"/>
      <c r="L69" s="149">
        <f ca="1">IFERROR(__xludf.DUMMYFUNCTION("""COMPUTED_VALUE"""),993.98)</f>
        <v>993.98</v>
      </c>
      <c r="M69" s="155" t="str">
        <f ca="1">IFERROR(__xludf.DUMMYFUNCTION("""COMPUTED_VALUE"""),"Equity Key Stats")</f>
        <v>Equity Key Stats</v>
      </c>
      <c r="N69" s="43"/>
      <c r="O69" s="43"/>
      <c r="P69" s="157">
        <f ca="1">IFERROR(__xludf.DUMMYFUNCTION("""COMPUTED_VALUE"""),0)</f>
        <v>0</v>
      </c>
      <c r="Q69" s="151"/>
      <c r="R69" s="152">
        <f ca="1">IFERROR(__xludf.DUMMYFUNCTION("""COMPUTED_VALUE"""),999.11)</f>
        <v>999.11</v>
      </c>
      <c r="S69" s="150">
        <f ca="1">IFERROR(__xludf.DUMMYFUNCTION("""COMPUTED_VALUE"""),0)</f>
        <v>0</v>
      </c>
      <c r="T69" s="108">
        <f ca="1">IFERROR(__xludf.DUMMYFUNCTION("""COMPUTED_VALUE"""),4)</f>
        <v>4</v>
      </c>
      <c r="U69" s="43" t="str">
        <f ca="1">IFERROR(__xludf.DUMMYFUNCTION("""COMPUTED_VALUE"""),"")</f>
        <v/>
      </c>
      <c r="V69" s="144" t="str">
        <f ca="1">IFERROR(__xludf.DUMMYFUNCTION("""COMPUTED_VALUE"""),"")</f>
        <v/>
      </c>
      <c r="W69" s="145" t="str">
        <f ca="1">IFERROR(__xludf.DUMMYFUNCTION("""COMPUTED_VALUE"""),"")</f>
        <v/>
      </c>
      <c r="X69" s="11" t="str">
        <f ca="1">IFERROR(__xludf.DUMMYFUNCTION("""COMPUTED_VALUE"""),"")</f>
        <v/>
      </c>
      <c r="Y69" s="11" t="str">
        <f ca="1">IFERROR(__xludf.DUMMYFUNCTION("""COMPUTED_VALUE"""),"")</f>
        <v/>
      </c>
      <c r="Z69" s="4" t="str">
        <f ca="1">IFERROR(__xludf.DUMMYFUNCTION("""COMPUTED_VALUE"""),"")</f>
        <v/>
      </c>
    </row>
    <row r="70" spans="1:26" ht="13" x14ac:dyDescent="0.15">
      <c r="A70" s="43" t="str">
        <f ca="1">IFERROR(__xludf.DUMMYFUNCTION("""COMPUTED_VALUE"""),"")</f>
        <v/>
      </c>
      <c r="B70" s="43" t="str">
        <f ca="1">IFERROR(__xludf.DUMMYFUNCTION("""COMPUTED_VALUE"""),"32312")</f>
        <v>32312</v>
      </c>
      <c r="C70" s="146">
        <f ca="1">IFERROR(__xludf.DUMMYFUNCTION("""COMPUTED_VALUE"""),44609000242)</f>
        <v>44609000242</v>
      </c>
      <c r="D70" s="43" t="str">
        <f ca="1">IFERROR(__xludf.DUMMYFUNCTION("""COMPUTED_VALUE"""),"TSLA")</f>
        <v>TSLA</v>
      </c>
      <c r="E70" s="147">
        <f ca="1">IFERROR(__xludf.DUMMYFUNCTION("""COMPUTED_VALUE"""),44609)</f>
        <v>44609</v>
      </c>
      <c r="F70" s="43" t="str">
        <f ca="1">IFERROR(__xludf.DUMMYFUNCTION("""COMPUTED_VALUE"""),"Stock")</f>
        <v>Stock</v>
      </c>
      <c r="G70" s="43" t="str">
        <f ca="1">IFERROR(__xludf.DUMMYFUNCTION("""COMPUTED_VALUE"""),"USD")</f>
        <v>USD</v>
      </c>
      <c r="H70" s="154">
        <f ca="1">IFERROR(__xludf.DUMMYFUNCTION("""COMPUTED_VALUE"""),18)</f>
        <v>18</v>
      </c>
      <c r="I70" s="148">
        <f ca="1">IFERROR(__xludf.DUMMYFUNCTION("""COMPUTED_VALUE"""),7.799115)</f>
        <v>7.7991149999999996</v>
      </c>
      <c r="J70" s="149">
        <f ca="1">IFERROR(__xludf.DUMMYFUNCTION("""COMPUTED_VALUE"""),876.35)</f>
        <v>876.35</v>
      </c>
      <c r="K70" s="43"/>
      <c r="L70" s="149">
        <f ca="1">IFERROR(__xludf.DUMMYFUNCTION("""COMPUTED_VALUE"""),993.98)</f>
        <v>993.98</v>
      </c>
      <c r="M70" s="155" t="str">
        <f ca="1">IFERROR(__xludf.DUMMYFUNCTION("""COMPUTED_VALUE"""),"Equity Key Stats")</f>
        <v>Equity Key Stats</v>
      </c>
      <c r="N70" s="43"/>
      <c r="O70" s="43"/>
      <c r="P70" s="157">
        <f ca="1">IFERROR(__xludf.DUMMYFUNCTION("""COMPUTED_VALUE"""),-123025.579744499)</f>
        <v>-123025.579744499</v>
      </c>
      <c r="Q70" s="151"/>
      <c r="R70" s="152">
        <f ca="1">IFERROR(__xludf.DUMMYFUNCTION("""COMPUTED_VALUE"""),999.11)</f>
        <v>999.11</v>
      </c>
      <c r="S70" s="150">
        <f ca="1">IFERROR(__xludf.DUMMYFUNCTION("""COMPUTED_VALUE"""),140259.128177699)</f>
        <v>140259.12817769899</v>
      </c>
      <c r="T70" s="108">
        <f ca="1">IFERROR(__xludf.DUMMYFUNCTION("""COMPUTED_VALUE"""),4)</f>
        <v>4</v>
      </c>
      <c r="U70" s="108" t="str">
        <f ca="1">IFERROR(__xludf.DUMMYFUNCTION("""COMPUTED_VALUE"""),"")</f>
        <v/>
      </c>
      <c r="V70" s="158" t="str">
        <f ca="1">IFERROR(__xludf.DUMMYFUNCTION("""COMPUTED_VALUE"""),"")</f>
        <v/>
      </c>
      <c r="W70" s="145" t="str">
        <f ca="1">IFERROR(__xludf.DUMMYFUNCTION("""COMPUTED_VALUE"""),"")</f>
        <v/>
      </c>
      <c r="X70" s="11" t="str">
        <f ca="1">IFERROR(__xludf.DUMMYFUNCTION("""COMPUTED_VALUE"""),"")</f>
        <v/>
      </c>
      <c r="Y70" s="11" t="str">
        <f ca="1">IFERROR(__xludf.DUMMYFUNCTION("""COMPUTED_VALUE"""),"")</f>
        <v/>
      </c>
      <c r="Z70" s="4" t="str">
        <f ca="1">IFERROR(__xludf.DUMMYFUNCTION("""COMPUTED_VALUE"""),"")</f>
        <v/>
      </c>
    </row>
    <row r="71" spans="1:26" ht="13" x14ac:dyDescent="0.15">
      <c r="A71" s="43" t="str">
        <f ca="1">IFERROR(__xludf.DUMMYFUNCTION("""COMPUTED_VALUE"""),"")</f>
        <v/>
      </c>
      <c r="B71" s="43" t="str">
        <f ca="1">IFERROR(__xludf.DUMMYFUNCTION("""COMPUTED_VALUE"""),"32312")</f>
        <v>32312</v>
      </c>
      <c r="C71" s="146">
        <f ca="1">IFERROR(__xludf.DUMMYFUNCTION("""COMPUTED_VALUE"""),44610000273)</f>
        <v>44610000273</v>
      </c>
      <c r="D71" s="43" t="str">
        <f ca="1">IFERROR(__xludf.DUMMYFUNCTION("""COMPUTED_VALUE"""),"ANPDY")</f>
        <v>ANPDY</v>
      </c>
      <c r="E71" s="147">
        <f ca="1">IFERROR(__xludf.DUMMYFUNCTION("""COMPUTED_VALUE"""),44610)</f>
        <v>44610</v>
      </c>
      <c r="F71" s="43" t="str">
        <f ca="1">IFERROR(__xludf.DUMMYFUNCTION("""COMPUTED_VALUE"""),"Stock")</f>
        <v>Stock</v>
      </c>
      <c r="G71" s="43" t="str">
        <f ca="1">IFERROR(__xludf.DUMMYFUNCTION("""COMPUTED_VALUE"""),"USD")</f>
        <v>USD</v>
      </c>
      <c r="H71" s="154">
        <f ca="1">IFERROR(__xludf.DUMMYFUNCTION("""COMPUTED_VALUE"""),30)</f>
        <v>30</v>
      </c>
      <c r="I71" s="148">
        <f ca="1">IFERROR(__xludf.DUMMYFUNCTION("""COMPUTED_VALUE"""),7.80051)</f>
        <v>7.8005100000000001</v>
      </c>
      <c r="J71" s="149">
        <f ca="1">IFERROR(__xludf.DUMMYFUNCTION("""COMPUTED_VALUE"""),397.5)</f>
        <v>397.5</v>
      </c>
      <c r="K71" s="43"/>
      <c r="L71" s="149">
        <f ca="1">IFERROR(__xludf.DUMMYFUNCTION("""COMPUTED_VALUE"""),339.95)</f>
        <v>339.95</v>
      </c>
      <c r="M71" s="155" t="str">
        <f ca="1">IFERROR(__xludf.DUMMYFUNCTION("""COMPUTED_VALUE"""),"Equity Key Stats")</f>
        <v>Equity Key Stats</v>
      </c>
      <c r="N71" s="43"/>
      <c r="O71" s="43"/>
      <c r="P71" s="157">
        <f ca="1">IFERROR(__xludf.DUMMYFUNCTION("""COMPUTED_VALUE"""),-93021.08175)</f>
        <v>-93021.081749999998</v>
      </c>
      <c r="Q71" s="151"/>
      <c r="R71" s="152">
        <f ca="1">IFERROR(__xludf.DUMMYFUNCTION("""COMPUTED_VALUE"""),308.83)</f>
        <v>308.83</v>
      </c>
      <c r="S71" s="150">
        <f ca="1">IFERROR(__xludf.DUMMYFUNCTION("""COMPUTED_VALUE"""),72270.9450989999)</f>
        <v>72270.945098999902</v>
      </c>
      <c r="T71" s="108">
        <f ca="1">IFERROR(__xludf.DUMMYFUNCTION("""COMPUTED_VALUE"""),2)</f>
        <v>2</v>
      </c>
      <c r="U71" s="108" t="str">
        <f ca="1">IFERROR(__xludf.DUMMYFUNCTION("""COMPUTED_VALUE"""),"")</f>
        <v/>
      </c>
      <c r="V71" s="158" t="str">
        <f ca="1">IFERROR(__xludf.DUMMYFUNCTION("""COMPUTED_VALUE"""),"")</f>
        <v/>
      </c>
      <c r="W71" s="145" t="str">
        <f ca="1">IFERROR(__xludf.DUMMYFUNCTION("""COMPUTED_VALUE"""),"")</f>
        <v/>
      </c>
      <c r="X71" s="11" t="str">
        <f ca="1">IFERROR(__xludf.DUMMYFUNCTION("""COMPUTED_VALUE"""),"")</f>
        <v/>
      </c>
      <c r="Y71" s="11" t="str">
        <f ca="1">IFERROR(__xludf.DUMMYFUNCTION("""COMPUTED_VALUE"""),"")</f>
        <v/>
      </c>
      <c r="Z71" s="4" t="str">
        <f ca="1">IFERROR(__xludf.DUMMYFUNCTION("""COMPUTED_VALUE"""),"")</f>
        <v/>
      </c>
    </row>
    <row r="72" spans="1:26" ht="13" x14ac:dyDescent="0.15">
      <c r="A72" s="43" t="str">
        <f ca="1">IFERROR(__xludf.DUMMYFUNCTION("""COMPUTED_VALUE"""),"")</f>
        <v/>
      </c>
      <c r="B72" s="43" t="str">
        <f ca="1">IFERROR(__xludf.DUMMYFUNCTION("""COMPUTED_VALUE"""),"32312")</f>
        <v>32312</v>
      </c>
      <c r="C72" s="146">
        <f ca="1">IFERROR(__xludf.DUMMYFUNCTION("""COMPUTED_VALUE"""),44616000335)</f>
        <v>44616000335</v>
      </c>
      <c r="D72" s="43" t="str">
        <f ca="1">IFERROR(__xludf.DUMMYFUNCTION("""COMPUTED_VALUE"""),"GOLD")</f>
        <v>GOLD</v>
      </c>
      <c r="E72" s="147">
        <f ca="1">IFERROR(__xludf.DUMMYFUNCTION("""COMPUTED_VALUE"""),44616)</f>
        <v>44616</v>
      </c>
      <c r="F72" s="43" t="str">
        <f ca="1">IFERROR(__xludf.DUMMYFUNCTION("""COMPUTED_VALUE"""),"Stock")</f>
        <v>Stock</v>
      </c>
      <c r="G72" s="43" t="str">
        <f ca="1">IFERROR(__xludf.DUMMYFUNCTION("""COMPUTED_VALUE"""),"USD")</f>
        <v>USD</v>
      </c>
      <c r="H72" s="154">
        <f ca="1">IFERROR(__xludf.DUMMYFUNCTION("""COMPUTED_VALUE"""),888)</f>
        <v>888</v>
      </c>
      <c r="I72" s="148">
        <f ca="1">IFERROR(__xludf.DUMMYFUNCTION("""COMPUTED_VALUE"""),7.80775)</f>
        <v>7.8077500000000004</v>
      </c>
      <c r="J72" s="149">
        <f ca="1">IFERROR(__xludf.DUMMYFUNCTION("""COMPUTED_VALUE"""),22.54)</f>
        <v>22.54</v>
      </c>
      <c r="K72" s="43"/>
      <c r="L72" s="149">
        <f ca="1">IFERROR(__xludf.DUMMYFUNCTION("""COMPUTED_VALUE"""),24.23)</f>
        <v>24.23</v>
      </c>
      <c r="M72" s="155" t="str">
        <f ca="1">IFERROR(__xludf.DUMMYFUNCTION("""COMPUTED_VALUE"""),"Equity Key Stats")</f>
        <v>Equity Key Stats</v>
      </c>
      <c r="N72" s="43"/>
      <c r="O72" s="43"/>
      <c r="P72" s="157">
        <f ca="1">IFERROR(__xludf.DUMMYFUNCTION("""COMPUTED_VALUE"""),-156276.176279999)</f>
        <v>-156276.176279999</v>
      </c>
      <c r="Q72" s="151"/>
      <c r="R72" s="152">
        <f ca="1">IFERROR(__xludf.DUMMYFUNCTION("""COMPUTED_VALUE"""),24.57)</f>
        <v>24.57</v>
      </c>
      <c r="S72" s="150">
        <f ca="1">IFERROR(__xludf.DUMMYFUNCTION("""COMPUTED_VALUE"""),170350.73874)</f>
        <v>170350.73874</v>
      </c>
      <c r="T72" s="108">
        <f ca="1">IFERROR(__xludf.DUMMYFUNCTION("""COMPUTED_VALUE"""),2)</f>
        <v>2</v>
      </c>
      <c r="U72" s="108" t="str">
        <f ca="1">IFERROR(__xludf.DUMMYFUNCTION("""COMPUTED_VALUE"""),"")</f>
        <v/>
      </c>
      <c r="V72" s="158" t="str">
        <f ca="1">IFERROR(__xludf.DUMMYFUNCTION("""COMPUTED_VALUE"""),"")</f>
        <v/>
      </c>
      <c r="W72" s="145" t="str">
        <f ca="1">IFERROR(__xludf.DUMMYFUNCTION("""COMPUTED_VALUE"""),"")</f>
        <v/>
      </c>
      <c r="X72" s="11" t="str">
        <f ca="1">IFERROR(__xludf.DUMMYFUNCTION("""COMPUTED_VALUE"""),"")</f>
        <v/>
      </c>
      <c r="Y72" s="11" t="str">
        <f ca="1">IFERROR(__xludf.DUMMYFUNCTION("""COMPUTED_VALUE"""),"")</f>
        <v/>
      </c>
      <c r="Z72" s="4" t="str">
        <f ca="1">IFERROR(__xludf.DUMMYFUNCTION("""COMPUTED_VALUE"""),"")</f>
        <v/>
      </c>
    </row>
    <row r="73" spans="1:26" ht="13" x14ac:dyDescent="0.15">
      <c r="A73" s="43" t="str">
        <f ca="1">IFERROR(__xludf.DUMMYFUNCTION("""COMPUTED_VALUE"""),"")</f>
        <v/>
      </c>
      <c r="B73" s="43" t="str">
        <f ca="1">IFERROR(__xludf.DUMMYFUNCTION("""COMPUTED_VALUE"""),"32312")</f>
        <v>32312</v>
      </c>
      <c r="C73" s="146">
        <f ca="1">IFERROR(__xludf.DUMMYFUNCTION("""COMPUTED_VALUE"""),44623000419)</f>
        <v>44623000419</v>
      </c>
      <c r="D73" s="163" t="str">
        <f ca="1">IFERROR(__xludf.DUMMYFUNCTION("""COMPUTED_VALUE"""),"GOLD")</f>
        <v>GOLD</v>
      </c>
      <c r="E73" s="147">
        <f ca="1">IFERROR(__xludf.DUMMYFUNCTION("""COMPUTED_VALUE"""),44623)</f>
        <v>44623</v>
      </c>
      <c r="F73" s="43" t="str">
        <f ca="1">IFERROR(__xludf.DUMMYFUNCTION("""COMPUTED_VALUE"""),"Stock")</f>
        <v>Stock</v>
      </c>
      <c r="G73" s="43" t="str">
        <f ca="1">IFERROR(__xludf.DUMMYFUNCTION("""COMPUTED_VALUE"""),"USD")</f>
        <v>USD</v>
      </c>
      <c r="H73" s="154">
        <f ca="1">IFERROR(__xludf.DUMMYFUNCTION("""COMPUTED_VALUE"""),-388)</f>
        <v>-388</v>
      </c>
      <c r="I73" s="148">
        <f ca="1">IFERROR(__xludf.DUMMYFUNCTION("""COMPUTED_VALUE"""),7.81585)</f>
        <v>7.8158500000000002</v>
      </c>
      <c r="J73" s="149">
        <f ca="1">IFERROR(__xludf.DUMMYFUNCTION("""COMPUTED_VALUE"""),23.57)</f>
        <v>23.57</v>
      </c>
      <c r="K73" s="43"/>
      <c r="L73" s="149">
        <f ca="1">IFERROR(__xludf.DUMMYFUNCTION("""COMPUTED_VALUE"""),24.23)</f>
        <v>24.23</v>
      </c>
      <c r="M73" s="155" t="str">
        <f ca="1">IFERROR(__xludf.DUMMYFUNCTION("""COMPUTED_VALUE"""),"Equity Key Stats")</f>
        <v>Equity Key Stats</v>
      </c>
      <c r="N73" s="43"/>
      <c r="O73" s="43"/>
      <c r="P73" s="157">
        <f ca="1">IFERROR(__xludf.DUMMYFUNCTION("""COMPUTED_VALUE"""),71477.198786)</f>
        <v>71477.198785999994</v>
      </c>
      <c r="Q73" s="151"/>
      <c r="R73" s="152">
        <f ca="1">IFERROR(__xludf.DUMMYFUNCTION("""COMPUTED_VALUE"""),24.57)</f>
        <v>24.57</v>
      </c>
      <c r="S73" s="150">
        <f ca="1">IFERROR(__xludf.DUMMYFUNCTION("""COMPUTED_VALUE"""),-74509.748586)</f>
        <v>-74509.748586000002</v>
      </c>
      <c r="T73" s="108">
        <f ca="1">IFERROR(__xludf.DUMMYFUNCTION("""COMPUTED_VALUE"""),2)</f>
        <v>2</v>
      </c>
      <c r="U73" s="108">
        <f ca="1">IFERROR(__xludf.DUMMYFUNCTION("""COMPUTED_VALUE"""),1)</f>
        <v>1</v>
      </c>
      <c r="V73" s="153">
        <f ca="1">IFERROR(__xludf.DUMMYFUNCTION("""COMPUTED_VALUE"""),11042.01266)</f>
        <v>11042.01266</v>
      </c>
      <c r="W73" s="44" t="str">
        <f ca="1">IFERROR(__xludf.DUMMYFUNCTION("""COMPUTED_VALUE"""),"")</f>
        <v/>
      </c>
      <c r="X73" s="154" t="str">
        <f ca="1">IFERROR(__xludf.DUMMYFUNCTION("""COMPUTED_VALUE"""),"")</f>
        <v/>
      </c>
      <c r="Y73" s="154" t="str">
        <f ca="1">IFERROR(__xludf.DUMMYFUNCTION("""COMPUTED_VALUE"""),"")</f>
        <v/>
      </c>
      <c r="Z73" s="162" t="str">
        <f ca="1">IFERROR(__xludf.DUMMYFUNCTION("""COMPUTED_VALUE"""),"")</f>
        <v/>
      </c>
    </row>
    <row r="74" spans="1:26" ht="13" x14ac:dyDescent="0.15">
      <c r="A74" s="43" t="str">
        <f ca="1">IFERROR(__xludf.DUMMYFUNCTION("""COMPUTED_VALUE"""),"")</f>
        <v/>
      </c>
      <c r="B74" s="43" t="str">
        <f ca="1">IFERROR(__xludf.DUMMYFUNCTION("""COMPUTED_VALUE"""),"32312")</f>
        <v>32312</v>
      </c>
      <c r="C74" s="146">
        <f ca="1">IFERROR(__xludf.DUMMYFUNCTION("""COMPUTED_VALUE"""),44624000440)</f>
        <v>44624000440</v>
      </c>
      <c r="D74" s="43" t="str">
        <f ca="1">IFERROR(__xludf.DUMMYFUNCTION("""COMPUTED_VALUE"""),"TSLA")</f>
        <v>TSLA</v>
      </c>
      <c r="E74" s="147">
        <f ca="1">IFERROR(__xludf.DUMMYFUNCTION("""COMPUTED_VALUE"""),44624)</f>
        <v>44624</v>
      </c>
      <c r="F74" s="43" t="str">
        <f ca="1">IFERROR(__xludf.DUMMYFUNCTION("""COMPUTED_VALUE"""),"Stock")</f>
        <v>Stock</v>
      </c>
      <c r="G74" s="43" t="str">
        <f ca="1">IFERROR(__xludf.DUMMYFUNCTION("""COMPUTED_VALUE"""),"USD")</f>
        <v>USD</v>
      </c>
      <c r="H74" s="11">
        <f ca="1">IFERROR(__xludf.DUMMYFUNCTION("""COMPUTED_VALUE"""),18)</f>
        <v>18</v>
      </c>
      <c r="I74" s="148">
        <f ca="1">IFERROR(__xludf.DUMMYFUNCTION("""COMPUTED_VALUE"""),7.81428)</f>
        <v>7.8142800000000001</v>
      </c>
      <c r="J74" s="149">
        <f ca="1">IFERROR(__xludf.DUMMYFUNCTION("""COMPUTED_VALUE"""),838.29)</f>
        <v>838.29</v>
      </c>
      <c r="K74" s="43"/>
      <c r="L74" s="149">
        <f ca="1">IFERROR(__xludf.DUMMYFUNCTION("""COMPUTED_VALUE"""),993.98)</f>
        <v>993.98</v>
      </c>
      <c r="M74" s="160" t="str">
        <f ca="1">IFERROR(__xludf.DUMMYFUNCTION("""COMPUTED_VALUE"""),"Equity Key Stats")</f>
        <v>Equity Key Stats</v>
      </c>
      <c r="N74" s="43"/>
      <c r="O74" s="43"/>
      <c r="P74" s="150">
        <f ca="1">IFERROR(__xludf.DUMMYFUNCTION("""COMPUTED_VALUE"""),-117911.390061599)</f>
        <v>-117911.390061599</v>
      </c>
      <c r="Q74" s="151"/>
      <c r="R74" s="152">
        <f ca="1">IFERROR(__xludf.DUMMYFUNCTION("""COMPUTED_VALUE"""),999.11)</f>
        <v>999.11</v>
      </c>
      <c r="S74" s="127">
        <f ca="1">IFERROR(__xludf.DUMMYFUNCTION("""COMPUTED_VALUE"""),140531.8552344)</f>
        <v>140531.85523439999</v>
      </c>
      <c r="T74" s="108">
        <f ca="1">IFERROR(__xludf.DUMMYFUNCTION("""COMPUTED_VALUE"""),4)</f>
        <v>4</v>
      </c>
      <c r="U74" s="108" t="str">
        <f ca="1">IFERROR(__xludf.DUMMYFUNCTION("""COMPUTED_VALUE"""),"")</f>
        <v/>
      </c>
      <c r="V74" s="153" t="str">
        <f ca="1">IFERROR(__xludf.DUMMYFUNCTION("""COMPUTED_VALUE"""),"")</f>
        <v/>
      </c>
      <c r="W74" s="145" t="str">
        <f ca="1">IFERROR(__xludf.DUMMYFUNCTION("""COMPUTED_VALUE"""),"")</f>
        <v/>
      </c>
      <c r="X74" s="11" t="str">
        <f ca="1">IFERROR(__xludf.DUMMYFUNCTION("""COMPUTED_VALUE"""),"")</f>
        <v/>
      </c>
      <c r="Y74" s="11" t="str">
        <f ca="1">IFERROR(__xludf.DUMMYFUNCTION("""COMPUTED_VALUE"""),"")</f>
        <v/>
      </c>
      <c r="Z74" s="4" t="str">
        <f ca="1">IFERROR(__xludf.DUMMYFUNCTION("""COMPUTED_VALUE"""),"")</f>
        <v/>
      </c>
    </row>
    <row r="75" spans="1:26" ht="13" x14ac:dyDescent="0.15">
      <c r="A75" s="43" t="str">
        <f ca="1">IFERROR(__xludf.DUMMYFUNCTION("""COMPUTED_VALUE"""),"")</f>
        <v/>
      </c>
      <c r="B75" s="43" t="str">
        <f ca="1">IFERROR(__xludf.DUMMYFUNCTION("""COMPUTED_VALUE"""),"32312")</f>
        <v>32312</v>
      </c>
      <c r="C75" s="146">
        <f ca="1">IFERROR(__xludf.DUMMYFUNCTION("""COMPUTED_VALUE"""),44629000499)</f>
        <v>44629000499</v>
      </c>
      <c r="D75" s="43" t="str">
        <f ca="1">IFERROR(__xludf.DUMMYFUNCTION("""COMPUTED_VALUE"""),"ANPDY")</f>
        <v>ANPDY</v>
      </c>
      <c r="E75" s="147">
        <f ca="1">IFERROR(__xludf.DUMMYFUNCTION("""COMPUTED_VALUE"""),44629)</f>
        <v>44629</v>
      </c>
      <c r="F75" s="43" t="str">
        <f ca="1">IFERROR(__xludf.DUMMYFUNCTION("""COMPUTED_VALUE"""),"Stock")</f>
        <v>Stock</v>
      </c>
      <c r="G75" s="43" t="str">
        <f ca="1">IFERROR(__xludf.DUMMYFUNCTION("""COMPUTED_VALUE"""),"USD")</f>
        <v>USD</v>
      </c>
      <c r="H75" s="154">
        <f ca="1">IFERROR(__xludf.DUMMYFUNCTION("""COMPUTED_VALUE"""),-30)</f>
        <v>-30</v>
      </c>
      <c r="I75" s="148">
        <f ca="1">IFERROR(__xludf.DUMMYFUNCTION("""COMPUTED_VALUE"""),7.81935)</f>
        <v>7.81935</v>
      </c>
      <c r="J75" s="149">
        <f ca="1">IFERROR(__xludf.DUMMYFUNCTION("""COMPUTED_VALUE"""),314.05)</f>
        <v>314.05</v>
      </c>
      <c r="K75" s="43"/>
      <c r="L75" s="149">
        <f ca="1">IFERROR(__xludf.DUMMYFUNCTION("""COMPUTED_VALUE"""),339.95)</f>
        <v>339.95</v>
      </c>
      <c r="M75" s="155" t="str">
        <f ca="1">IFERROR(__xludf.DUMMYFUNCTION("""COMPUTED_VALUE"""),"Equity Key Stats")</f>
        <v>Equity Key Stats</v>
      </c>
      <c r="N75" s="43"/>
      <c r="O75" s="43"/>
      <c r="P75" s="157">
        <f ca="1">IFERROR(__xludf.DUMMYFUNCTION("""COMPUTED_VALUE"""),73670.006025)</f>
        <v>73670.006024999995</v>
      </c>
      <c r="Q75" s="151"/>
      <c r="R75" s="152">
        <f ca="1">IFERROR(__xludf.DUMMYFUNCTION("""COMPUTED_VALUE"""),308.83)</f>
        <v>308.83</v>
      </c>
      <c r="S75" s="150">
        <f ca="1">IFERROR(__xludf.DUMMYFUNCTION("""COMPUTED_VALUE"""),-72445.495815)</f>
        <v>-72445.495815000002</v>
      </c>
      <c r="T75" s="108">
        <f ca="1">IFERROR(__xludf.DUMMYFUNCTION("""COMPUTED_VALUE"""),2)</f>
        <v>2</v>
      </c>
      <c r="U75" s="108">
        <f ca="1">IFERROR(__xludf.DUMMYFUNCTION("""COMPUTED_VALUE"""),1)</f>
        <v>1</v>
      </c>
      <c r="V75" s="153">
        <f ca="1">IFERROR(__xludf.DUMMYFUNCTION("""COMPUTED_VALUE"""),-19525.626441)</f>
        <v>-19525.626441</v>
      </c>
      <c r="W75" s="145" t="str">
        <f ca="1">IFERROR(__xludf.DUMMYFUNCTION("""COMPUTED_VALUE"""),"")</f>
        <v/>
      </c>
      <c r="X75" s="11" t="str">
        <f ca="1">IFERROR(__xludf.DUMMYFUNCTION("""COMPUTED_VALUE"""),"")</f>
        <v/>
      </c>
      <c r="Y75" s="11" t="str">
        <f ca="1">IFERROR(__xludf.DUMMYFUNCTION("""COMPUTED_VALUE"""),"")</f>
        <v/>
      </c>
      <c r="Z75" s="4" t="str">
        <f ca="1">IFERROR(__xludf.DUMMYFUNCTION("""COMPUTED_VALUE"""),"")</f>
        <v/>
      </c>
    </row>
    <row r="76" spans="1:26" ht="13" x14ac:dyDescent="0.15">
      <c r="A76" s="43" t="str">
        <f ca="1">IFERROR(__xludf.DUMMYFUNCTION("""COMPUTED_VALUE"""),"32312")</f>
        <v>32312</v>
      </c>
      <c r="B76" s="43" t="str">
        <f ca="1">IFERROR(__xludf.DUMMYFUNCTION("""COMPUTED_VALUE"""),"32312")</f>
        <v>32312</v>
      </c>
      <c r="C76" s="146">
        <f ca="1">IFERROR(__xludf.DUMMYFUNCTION("""COMPUTED_VALUE"""),44641000772)</f>
        <v>44641000772</v>
      </c>
      <c r="D76" s="43" t="str">
        <f ca="1">IFERROR(__xludf.DUMMYFUNCTION("""COMPUTED_VALUE"""),"TSLA")</f>
        <v>TSLA</v>
      </c>
      <c r="E76" s="147">
        <f ca="1">IFERROR(__xludf.DUMMYFUNCTION("""COMPUTED_VALUE"""),44641)</f>
        <v>44641</v>
      </c>
      <c r="F76" s="43" t="str">
        <f ca="1">IFERROR(__xludf.DUMMYFUNCTION("""COMPUTED_VALUE"""),"Stock")</f>
        <v>Stock</v>
      </c>
      <c r="G76" s="43" t="str">
        <f ca="1">IFERROR(__xludf.DUMMYFUNCTION("""COMPUTED_VALUE"""),"USD")</f>
        <v>USD</v>
      </c>
      <c r="H76" s="154">
        <f ca="1">IFERROR(__xludf.DUMMYFUNCTION("""COMPUTED_VALUE"""),-36)</f>
        <v>-36</v>
      </c>
      <c r="I76" s="148">
        <f ca="1">IFERROR(__xludf.DUMMYFUNCTION("""COMPUTED_VALUE"""),7.82545)</f>
        <v>7.82545</v>
      </c>
      <c r="J76" s="149">
        <f ca="1">IFERROR(__xludf.DUMMYFUNCTION("""COMPUTED_VALUE"""),921.16)</f>
        <v>921.16</v>
      </c>
      <c r="K76" s="43"/>
      <c r="L76" s="149">
        <f ca="1">IFERROR(__xludf.DUMMYFUNCTION("""COMPUTED_VALUE"""),993.98)</f>
        <v>993.98</v>
      </c>
      <c r="M76" s="155" t="str">
        <f ca="1">IFERROR(__xludf.DUMMYFUNCTION("""COMPUTED_VALUE"""),"Equity Key Stats")</f>
        <v>Equity Key Stats</v>
      </c>
      <c r="N76" s="43"/>
      <c r="O76" s="43"/>
      <c r="P76" s="150">
        <f ca="1">IFERROR(__xludf.DUMMYFUNCTION("""COMPUTED_VALUE"""),259505.694792)</f>
        <v>259505.69479199999</v>
      </c>
      <c r="Q76" s="151"/>
      <c r="R76" s="152">
        <f ca="1">IFERROR(__xludf.DUMMYFUNCTION("""COMPUTED_VALUE"""),999.11)</f>
        <v>999.11</v>
      </c>
      <c r="S76" s="150">
        <f ca="1">IFERROR(__xludf.DUMMYFUNCTION("""COMPUTED_VALUE"""),-281465.472582)</f>
        <v>-281465.47258200002</v>
      </c>
      <c r="T76" s="108">
        <f ca="1">IFERROR(__xludf.DUMMYFUNCTION("""COMPUTED_VALUE"""),4)</f>
        <v>4</v>
      </c>
      <c r="U76" s="108">
        <f ca="1">IFERROR(__xludf.DUMMYFUNCTION("""COMPUTED_VALUE"""),1)</f>
        <v>1</v>
      </c>
      <c r="V76" s="153">
        <f ca="1">IFERROR(__xludf.DUMMYFUNCTION("""COMPUTED_VALUE"""),17894.235816)</f>
        <v>17894.235816</v>
      </c>
      <c r="W76" s="44">
        <f ca="1">IFERROR(__xludf.DUMMYFUNCTION("""COMPUTED_VALUE"""),509410.622035)</f>
        <v>509410.62203500001</v>
      </c>
      <c r="X76" s="154">
        <f ca="1">IFERROR(__xludf.DUMMYFUNCTION("""COMPUTED_VALUE"""),414418.6717669)</f>
        <v>414418.67176689999</v>
      </c>
      <c r="Y76" s="154">
        <f ca="1">IFERROR(__xludf.DUMMYFUNCTION("""COMPUTED_VALUE"""),0)</f>
        <v>0</v>
      </c>
      <c r="Z76" s="159">
        <f ca="1">IFERROR(__xludf.DUMMYFUNCTION("""COMPUTED_VALUE"""),0.0188212440699999)</f>
        <v>1.8821244069999899E-2</v>
      </c>
    </row>
    <row r="77" spans="1:26" ht="13" x14ac:dyDescent="0.15">
      <c r="A77" s="43" t="str">
        <f ca="1">IFERROR(__xludf.DUMMYFUNCTION("""COMPUTED_VALUE"""),"32582")</f>
        <v>32582</v>
      </c>
      <c r="B77" s="43" t="str">
        <f ca="1">IFERROR(__xludf.DUMMYFUNCTION("""COMPUTED_VALUE"""),"32582")</f>
        <v>32582</v>
      </c>
      <c r="C77" s="146">
        <f ca="1">IFERROR(__xludf.DUMMYFUNCTION("""COMPUTED_VALUE"""),44597000084)</f>
        <v>44597000084</v>
      </c>
      <c r="D77" s="43" t="str">
        <f ca="1">IFERROR(__xludf.DUMMYFUNCTION("""COMPUTED_VALUE"""),"Cash")</f>
        <v>Cash</v>
      </c>
      <c r="E77" s="147">
        <f ca="1">IFERROR(__xludf.DUMMYFUNCTION("""COMPUTED_VALUE"""),44597)</f>
        <v>44597</v>
      </c>
      <c r="F77" s="43" t="str">
        <f ca="1">IFERROR(__xludf.DUMMYFUNCTION("""COMPUTED_VALUE"""),"Cash")</f>
        <v>Cash</v>
      </c>
      <c r="G77" s="43" t="str">
        <f ca="1">IFERROR(__xludf.DUMMYFUNCTION("""COMPUTED_VALUE"""),"HKD")</f>
        <v>HKD</v>
      </c>
      <c r="H77" s="11" t="str">
        <f ca="1">IFERROR(__xludf.DUMMYFUNCTION("""COMPUTED_VALUE"""),"")</f>
        <v/>
      </c>
      <c r="I77" s="148">
        <f ca="1">IFERROR(__xludf.DUMMYFUNCTION("""COMPUTED_VALUE"""),1)</f>
        <v>1</v>
      </c>
      <c r="J77" s="108">
        <f ca="1">IFERROR(__xludf.DUMMYFUNCTION("""COMPUTED_VALUE"""),1)</f>
        <v>1</v>
      </c>
      <c r="K77" s="43"/>
      <c r="L77" s="149">
        <f ca="1">IFERROR(__xludf.DUMMYFUNCTION("""COMPUTED_VALUE"""),1)</f>
        <v>1</v>
      </c>
      <c r="M77" s="3" t="str">
        <f ca="1">IFERROR(__xludf.DUMMYFUNCTION("""COMPUTED_VALUE"""),"")</f>
        <v/>
      </c>
      <c r="N77" s="43"/>
      <c r="O77" s="43"/>
      <c r="P77" s="150">
        <f ca="1">IFERROR(__xludf.DUMMYFUNCTION("""COMPUTED_VALUE"""),500000)</f>
        <v>500000</v>
      </c>
      <c r="Q77" s="151"/>
      <c r="R77" s="152">
        <f ca="1">IFERROR(__xludf.DUMMYFUNCTION("""COMPUTED_VALUE"""),1)</f>
        <v>1</v>
      </c>
      <c r="S77" s="127" t="str">
        <f ca="1">IFERROR(__xludf.DUMMYFUNCTION("""COMPUTED_VALUE"""),"")</f>
        <v/>
      </c>
      <c r="T77" s="108">
        <f ca="1">IFERROR(__xludf.DUMMYFUNCTION("""COMPUTED_VALUE"""),1)</f>
        <v>1</v>
      </c>
      <c r="U77" s="108">
        <f ca="1">IFERROR(__xludf.DUMMYFUNCTION("""COMPUTED_VALUE"""),1)</f>
        <v>1</v>
      </c>
      <c r="V77" s="153">
        <f ca="1">IFERROR(__xludf.DUMMYFUNCTION("""COMPUTED_VALUE"""),500000)</f>
        <v>500000</v>
      </c>
      <c r="W77" s="145">
        <f ca="1">IFERROR(__xludf.DUMMYFUNCTION("""COMPUTED_VALUE"""),500000)</f>
        <v>500000</v>
      </c>
      <c r="X77" s="11">
        <f ca="1">IFERROR(__xludf.DUMMYFUNCTION("""COMPUTED_VALUE"""),500000)</f>
        <v>500000</v>
      </c>
      <c r="Y77" s="11">
        <f ca="1">IFERROR(__xludf.DUMMYFUNCTION("""COMPUTED_VALUE"""),0)</f>
        <v>0</v>
      </c>
      <c r="Z77" s="4">
        <f ca="1">IFERROR(__xludf.DUMMYFUNCTION("""COMPUTED_VALUE"""),0)</f>
        <v>0</v>
      </c>
    </row>
    <row r="78" spans="1:26" ht="13" x14ac:dyDescent="0.15">
      <c r="A78" s="43" t="str">
        <f ca="1">IFERROR(__xludf.DUMMYFUNCTION("""COMPUTED_VALUE"""),"33050")</f>
        <v>33050</v>
      </c>
      <c r="B78" s="43" t="str">
        <f ca="1">IFERROR(__xludf.DUMMYFUNCTION("""COMPUTED_VALUE"""),"33050")</f>
        <v>33050</v>
      </c>
      <c r="C78" s="146">
        <f ca="1">IFERROR(__xludf.DUMMYFUNCTION("""COMPUTED_VALUE"""),44597000062)</f>
        <v>44597000062</v>
      </c>
      <c r="D78" s="43" t="str">
        <f ca="1">IFERROR(__xludf.DUMMYFUNCTION("""COMPUTED_VALUE"""),"Cash")</f>
        <v>Cash</v>
      </c>
      <c r="E78" s="147">
        <f ca="1">IFERROR(__xludf.DUMMYFUNCTION("""COMPUTED_VALUE"""),44597)</f>
        <v>44597</v>
      </c>
      <c r="F78" s="43" t="str">
        <f ca="1">IFERROR(__xludf.DUMMYFUNCTION("""COMPUTED_VALUE"""),"Cash")</f>
        <v>Cash</v>
      </c>
      <c r="G78" s="43" t="str">
        <f ca="1">IFERROR(__xludf.DUMMYFUNCTION("""COMPUTED_VALUE"""),"HKD")</f>
        <v>HKD</v>
      </c>
      <c r="H78" s="154" t="str">
        <f ca="1">IFERROR(__xludf.DUMMYFUNCTION("""COMPUTED_VALUE"""),"")</f>
        <v/>
      </c>
      <c r="I78" s="148">
        <f ca="1">IFERROR(__xludf.DUMMYFUNCTION("""COMPUTED_VALUE"""),1)</f>
        <v>1</v>
      </c>
      <c r="J78" s="149">
        <f ca="1">IFERROR(__xludf.DUMMYFUNCTION("""COMPUTED_VALUE"""),1)</f>
        <v>1</v>
      </c>
      <c r="K78" s="43"/>
      <c r="L78" s="149">
        <f ca="1">IFERROR(__xludf.DUMMYFUNCTION("""COMPUTED_VALUE"""),1)</f>
        <v>1</v>
      </c>
      <c r="M78" s="155" t="str">
        <f ca="1">IFERROR(__xludf.DUMMYFUNCTION("""COMPUTED_VALUE"""),"")</f>
        <v/>
      </c>
      <c r="N78" s="43"/>
      <c r="O78" s="43"/>
      <c r="P78" s="150">
        <f ca="1">IFERROR(__xludf.DUMMYFUNCTION("""COMPUTED_VALUE"""),500000)</f>
        <v>500000</v>
      </c>
      <c r="Q78" s="151"/>
      <c r="R78" s="152">
        <f ca="1">IFERROR(__xludf.DUMMYFUNCTION("""COMPUTED_VALUE"""),1)</f>
        <v>1</v>
      </c>
      <c r="S78" s="150" t="str">
        <f ca="1">IFERROR(__xludf.DUMMYFUNCTION("""COMPUTED_VALUE"""),"")</f>
        <v/>
      </c>
      <c r="T78" s="108">
        <f ca="1">IFERROR(__xludf.DUMMYFUNCTION("""COMPUTED_VALUE"""),1)</f>
        <v>1</v>
      </c>
      <c r="U78" s="43">
        <f ca="1">IFERROR(__xludf.DUMMYFUNCTION("""COMPUTED_VALUE"""),1)</f>
        <v>1</v>
      </c>
      <c r="V78" s="144">
        <f ca="1">IFERROR(__xludf.DUMMYFUNCTION("""COMPUTED_VALUE"""),500000)</f>
        <v>500000</v>
      </c>
      <c r="W78" s="145">
        <f ca="1">IFERROR(__xludf.DUMMYFUNCTION("""COMPUTED_VALUE"""),500000)</f>
        <v>500000</v>
      </c>
      <c r="X78" s="11">
        <f ca="1">IFERROR(__xludf.DUMMYFUNCTION("""COMPUTED_VALUE"""),500000)</f>
        <v>500000</v>
      </c>
      <c r="Y78" s="11">
        <f ca="1">IFERROR(__xludf.DUMMYFUNCTION("""COMPUTED_VALUE"""),0)</f>
        <v>0</v>
      </c>
      <c r="Z78" s="4">
        <f ca="1">IFERROR(__xludf.DUMMYFUNCTION("""COMPUTED_VALUE"""),0)</f>
        <v>0</v>
      </c>
    </row>
    <row r="79" spans="1:26" ht="13" x14ac:dyDescent="0.15">
      <c r="A79" s="43" t="str">
        <f ca="1">IFERROR(__xludf.DUMMYFUNCTION("""COMPUTED_VALUE"""),"34857")</f>
        <v>34857</v>
      </c>
      <c r="B79" s="43" t="str">
        <f ca="1">IFERROR(__xludf.DUMMYFUNCTION("""COMPUTED_VALUE"""),"34857")</f>
        <v>34857</v>
      </c>
      <c r="C79" s="146">
        <f ca="1">IFERROR(__xludf.DUMMYFUNCTION("""COMPUTED_VALUE"""),44597000039)</f>
        <v>44597000039</v>
      </c>
      <c r="D79" s="43" t="str">
        <f ca="1">IFERROR(__xludf.DUMMYFUNCTION("""COMPUTED_VALUE"""),"Cash")</f>
        <v>Cash</v>
      </c>
      <c r="E79" s="147">
        <f ca="1">IFERROR(__xludf.DUMMYFUNCTION("""COMPUTED_VALUE"""),44597)</f>
        <v>44597</v>
      </c>
      <c r="F79" s="43" t="str">
        <f ca="1">IFERROR(__xludf.DUMMYFUNCTION("""COMPUTED_VALUE"""),"Cash")</f>
        <v>Cash</v>
      </c>
      <c r="G79" s="43" t="str">
        <f ca="1">IFERROR(__xludf.DUMMYFUNCTION("""COMPUTED_VALUE"""),"HKD")</f>
        <v>HKD</v>
      </c>
      <c r="H79" s="154" t="str">
        <f ca="1">IFERROR(__xludf.DUMMYFUNCTION("""COMPUTED_VALUE"""),"")</f>
        <v/>
      </c>
      <c r="I79" s="148">
        <f ca="1">IFERROR(__xludf.DUMMYFUNCTION("""COMPUTED_VALUE"""),1)</f>
        <v>1</v>
      </c>
      <c r="J79" s="149">
        <f ca="1">IFERROR(__xludf.DUMMYFUNCTION("""COMPUTED_VALUE"""),1)</f>
        <v>1</v>
      </c>
      <c r="K79" s="43"/>
      <c r="L79" s="149">
        <f ca="1">IFERROR(__xludf.DUMMYFUNCTION("""COMPUTED_VALUE"""),1)</f>
        <v>1</v>
      </c>
      <c r="M79" s="155" t="str">
        <f ca="1">IFERROR(__xludf.DUMMYFUNCTION("""COMPUTED_VALUE"""),"")</f>
        <v/>
      </c>
      <c r="N79" s="43"/>
      <c r="O79" s="43"/>
      <c r="P79" s="157">
        <f ca="1">IFERROR(__xludf.DUMMYFUNCTION("""COMPUTED_VALUE"""),500000)</f>
        <v>500000</v>
      </c>
      <c r="Q79" s="151"/>
      <c r="R79" s="152">
        <f ca="1">IFERROR(__xludf.DUMMYFUNCTION("""COMPUTED_VALUE"""),1)</f>
        <v>1</v>
      </c>
      <c r="S79" s="150" t="str">
        <f ca="1">IFERROR(__xludf.DUMMYFUNCTION("""COMPUTED_VALUE"""),"")</f>
        <v/>
      </c>
      <c r="T79" s="108">
        <f ca="1">IFERROR(__xludf.DUMMYFUNCTION("""COMPUTED_VALUE"""),1)</f>
        <v>1</v>
      </c>
      <c r="U79" s="43">
        <f ca="1">IFERROR(__xludf.DUMMYFUNCTION("""COMPUTED_VALUE"""),1)</f>
        <v>1</v>
      </c>
      <c r="V79" s="144">
        <f ca="1">IFERROR(__xludf.DUMMYFUNCTION("""COMPUTED_VALUE"""),500000)</f>
        <v>500000</v>
      </c>
      <c r="W79" s="145">
        <f ca="1">IFERROR(__xludf.DUMMYFUNCTION("""COMPUTED_VALUE"""),500000)</f>
        <v>500000</v>
      </c>
      <c r="X79" s="11">
        <f ca="1">IFERROR(__xludf.DUMMYFUNCTION("""COMPUTED_VALUE"""),500000)</f>
        <v>500000</v>
      </c>
      <c r="Y79" s="11">
        <f ca="1">IFERROR(__xludf.DUMMYFUNCTION("""COMPUTED_VALUE"""),0)</f>
        <v>0</v>
      </c>
      <c r="Z79" s="4">
        <f ca="1">IFERROR(__xludf.DUMMYFUNCTION("""COMPUTED_VALUE"""),0)</f>
        <v>0</v>
      </c>
    </row>
    <row r="80" spans="1:26" ht="13" x14ac:dyDescent="0.15">
      <c r="A80" s="43" t="str">
        <f ca="1">IFERROR(__xludf.DUMMYFUNCTION("""COMPUTED_VALUE"""),"")</f>
        <v/>
      </c>
      <c r="B80" s="43" t="str">
        <f ca="1">IFERROR(__xludf.DUMMYFUNCTION("""COMPUTED_VALUE"""),"35577")</f>
        <v>35577</v>
      </c>
      <c r="C80" s="146">
        <f ca="1">IFERROR(__xludf.DUMMYFUNCTION("""COMPUTED_VALUE"""),44597000048)</f>
        <v>44597000048</v>
      </c>
      <c r="D80" s="43" t="str">
        <f ca="1">IFERROR(__xludf.DUMMYFUNCTION("""COMPUTED_VALUE"""),"Cash")</f>
        <v>Cash</v>
      </c>
      <c r="E80" s="147">
        <f ca="1">IFERROR(__xludf.DUMMYFUNCTION("""COMPUTED_VALUE"""),44597)</f>
        <v>44597</v>
      </c>
      <c r="F80" s="43" t="str">
        <f ca="1">IFERROR(__xludf.DUMMYFUNCTION("""COMPUTED_VALUE"""),"Cash")</f>
        <v>Cash</v>
      </c>
      <c r="G80" s="43" t="str">
        <f ca="1">IFERROR(__xludf.DUMMYFUNCTION("""COMPUTED_VALUE"""),"HKD")</f>
        <v>HKD</v>
      </c>
      <c r="H80" s="154" t="str">
        <f ca="1">IFERROR(__xludf.DUMMYFUNCTION("""COMPUTED_VALUE"""),"")</f>
        <v/>
      </c>
      <c r="I80" s="148">
        <f ca="1">IFERROR(__xludf.DUMMYFUNCTION("""COMPUTED_VALUE"""),1)</f>
        <v>1</v>
      </c>
      <c r="J80" s="149">
        <f ca="1">IFERROR(__xludf.DUMMYFUNCTION("""COMPUTED_VALUE"""),1)</f>
        <v>1</v>
      </c>
      <c r="K80" s="43"/>
      <c r="L80" s="149">
        <f ca="1">IFERROR(__xludf.DUMMYFUNCTION("""COMPUTED_VALUE"""),1)</f>
        <v>1</v>
      </c>
      <c r="M80" s="155" t="str">
        <f ca="1">IFERROR(__xludf.DUMMYFUNCTION("""COMPUTED_VALUE"""),"")</f>
        <v/>
      </c>
      <c r="N80" s="43"/>
      <c r="O80" s="43"/>
      <c r="P80" s="157">
        <f ca="1">IFERROR(__xludf.DUMMYFUNCTION("""COMPUTED_VALUE"""),500000)</f>
        <v>500000</v>
      </c>
      <c r="Q80" s="151"/>
      <c r="R80" s="152">
        <f ca="1">IFERROR(__xludf.DUMMYFUNCTION("""COMPUTED_VALUE"""),1)</f>
        <v>1</v>
      </c>
      <c r="S80" s="150" t="str">
        <f ca="1">IFERROR(__xludf.DUMMYFUNCTION("""COMPUTED_VALUE"""),"")</f>
        <v/>
      </c>
      <c r="T80" s="108">
        <f ca="1">IFERROR(__xludf.DUMMYFUNCTION("""COMPUTED_VALUE"""),1)</f>
        <v>1</v>
      </c>
      <c r="U80" s="43">
        <f ca="1">IFERROR(__xludf.DUMMYFUNCTION("""COMPUTED_VALUE"""),1)</f>
        <v>1</v>
      </c>
      <c r="V80" s="144">
        <f ca="1">IFERROR(__xludf.DUMMYFUNCTION("""COMPUTED_VALUE"""),500000)</f>
        <v>500000</v>
      </c>
      <c r="W80" s="145" t="str">
        <f ca="1">IFERROR(__xludf.DUMMYFUNCTION("""COMPUTED_VALUE"""),"")</f>
        <v/>
      </c>
      <c r="X80" s="11" t="str">
        <f ca="1">IFERROR(__xludf.DUMMYFUNCTION("""COMPUTED_VALUE"""),"")</f>
        <v/>
      </c>
      <c r="Y80" s="11" t="str">
        <f ca="1">IFERROR(__xludf.DUMMYFUNCTION("""COMPUTED_VALUE"""),"")</f>
        <v/>
      </c>
      <c r="Z80" s="4" t="str">
        <f ca="1">IFERROR(__xludf.DUMMYFUNCTION("""COMPUTED_VALUE"""),"")</f>
        <v/>
      </c>
    </row>
    <row r="81" spans="1:26" ht="13" x14ac:dyDescent="0.15">
      <c r="A81" s="43" t="str">
        <f ca="1">IFERROR(__xludf.DUMMYFUNCTION("""COMPUTED_VALUE"""),"")</f>
        <v/>
      </c>
      <c r="B81" s="43" t="str">
        <f ca="1">IFERROR(__xludf.DUMMYFUNCTION("""COMPUTED_VALUE"""),"35577")</f>
        <v>35577</v>
      </c>
      <c r="C81" s="146">
        <f ca="1">IFERROR(__xludf.DUMMYFUNCTION("""COMPUTED_VALUE"""),44606000177)</f>
        <v>44606000177</v>
      </c>
      <c r="D81" s="43" t="str">
        <f ca="1">IFERROR(__xludf.DUMMYFUNCTION("""COMPUTED_VALUE"""),"1m")</f>
        <v>1m</v>
      </c>
      <c r="E81" s="147">
        <f ca="1">IFERROR(__xludf.DUMMYFUNCTION("""COMPUTED_VALUE"""),44606)</f>
        <v>44606</v>
      </c>
      <c r="F81" s="43" t="str">
        <f ca="1">IFERROR(__xludf.DUMMYFUNCTION("""COMPUTED_VALUE"""),"Time Deposit")</f>
        <v>Time Deposit</v>
      </c>
      <c r="G81" s="43" t="str">
        <f ca="1">IFERROR(__xludf.DUMMYFUNCTION("""COMPUTED_VALUE"""),"HKD")</f>
        <v>HKD</v>
      </c>
      <c r="H81" s="154">
        <f ca="1">IFERROR(__xludf.DUMMYFUNCTION("""COMPUTED_VALUE"""),50000)</f>
        <v>50000</v>
      </c>
      <c r="I81" s="148">
        <f ca="1">IFERROR(__xludf.DUMMYFUNCTION("""COMPUTED_VALUE"""),1)</f>
        <v>1</v>
      </c>
      <c r="J81" s="149">
        <f ca="1">IFERROR(__xludf.DUMMYFUNCTION("""COMPUTED_VALUE"""),1)</f>
        <v>1</v>
      </c>
      <c r="K81" s="43"/>
      <c r="L81" s="149">
        <f ca="1">IFERROR(__xludf.DUMMYFUNCTION("""COMPUTED_VALUE"""),1)</f>
        <v>1</v>
      </c>
      <c r="M81" s="155" t="str">
        <f ca="1">IFERROR(__xludf.DUMMYFUNCTION("""COMPUTED_VALUE"""),"")</f>
        <v/>
      </c>
      <c r="N81" s="43"/>
      <c r="O81" s="43"/>
      <c r="P81" s="157">
        <f ca="1">IFERROR(__xludf.DUMMYFUNCTION("""COMPUTED_VALUE"""),-50000)</f>
        <v>-50000</v>
      </c>
      <c r="Q81" s="151"/>
      <c r="R81" s="152">
        <f ca="1">IFERROR(__xludf.DUMMYFUNCTION("""COMPUTED_VALUE"""),1)</f>
        <v>1</v>
      </c>
      <c r="S81" s="150">
        <f ca="1">IFERROR(__xludf.DUMMYFUNCTION("""COMPUTED_VALUE"""),50000)</f>
        <v>50000</v>
      </c>
      <c r="T81" s="108">
        <f ca="1">IFERROR(__xludf.DUMMYFUNCTION("""COMPUTED_VALUE"""),1)</f>
        <v>1</v>
      </c>
      <c r="U81" s="43">
        <f ca="1">IFERROR(__xludf.DUMMYFUNCTION("""COMPUTED_VALUE"""),1)</f>
        <v>1</v>
      </c>
      <c r="V81" s="144">
        <f ca="1">IFERROR(__xludf.DUMMYFUNCTION("""COMPUTED_VALUE"""),0)</f>
        <v>0</v>
      </c>
      <c r="W81" s="145" t="str">
        <f ca="1">IFERROR(__xludf.DUMMYFUNCTION("""COMPUTED_VALUE"""),"")</f>
        <v/>
      </c>
      <c r="X81" s="11" t="str">
        <f ca="1">IFERROR(__xludf.DUMMYFUNCTION("""COMPUTED_VALUE"""),"")</f>
        <v/>
      </c>
      <c r="Y81" s="11" t="str">
        <f ca="1">IFERROR(__xludf.DUMMYFUNCTION("""COMPUTED_VALUE"""),"")</f>
        <v/>
      </c>
      <c r="Z81" s="4" t="str">
        <f ca="1">IFERROR(__xludf.DUMMYFUNCTION("""COMPUTED_VALUE"""),"")</f>
        <v/>
      </c>
    </row>
    <row r="82" spans="1:26" ht="13" x14ac:dyDescent="0.15">
      <c r="A82" s="43" t="str">
        <f ca="1">IFERROR(__xludf.DUMMYFUNCTION("""COMPUTED_VALUE"""),"")</f>
        <v/>
      </c>
      <c r="B82" s="43" t="str">
        <f ca="1">IFERROR(__xludf.DUMMYFUNCTION("""COMPUTED_VALUE"""),"35577")</f>
        <v>35577</v>
      </c>
      <c r="C82" s="146">
        <f ca="1">IFERROR(__xludf.DUMMYFUNCTION("""COMPUTED_VALUE"""),44606000178)</f>
        <v>44606000178</v>
      </c>
      <c r="D82" s="43" t="str">
        <f ca="1">IFERROR(__xludf.DUMMYFUNCTION("""COMPUTED_VALUE"""),"VYGLX")</f>
        <v>VYGLX</v>
      </c>
      <c r="E82" s="147">
        <f ca="1">IFERROR(__xludf.DUMMYFUNCTION("""COMPUTED_VALUE"""),44606)</f>
        <v>44606</v>
      </c>
      <c r="F82" s="43" t="str">
        <f ca="1">IFERROR(__xludf.DUMMYFUNCTION("""COMPUTED_VALUE"""),"Stock")</f>
        <v>Stock</v>
      </c>
      <c r="G82" s="43" t="str">
        <f ca="1">IFERROR(__xludf.DUMMYFUNCTION("""COMPUTED_VALUE"""),"USD")</f>
        <v>USD</v>
      </c>
      <c r="H82" s="156">
        <f ca="1">IFERROR(__xludf.DUMMYFUNCTION("""COMPUTED_VALUE"""),300)</f>
        <v>300</v>
      </c>
      <c r="I82" s="148">
        <f ca="1">IFERROR(__xludf.DUMMYFUNCTION("""COMPUTED_VALUE"""),7.802945)</f>
        <v>7.8029450000000002</v>
      </c>
      <c r="J82" s="149">
        <f ca="1">IFERROR(__xludf.DUMMYFUNCTION("""COMPUTED_VALUE"""),12.28)</f>
        <v>12.28</v>
      </c>
      <c r="K82" s="43"/>
      <c r="L82" s="149">
        <f ca="1">IFERROR(__xludf.DUMMYFUNCTION("""COMPUTED_VALUE"""),12.18)</f>
        <v>12.18</v>
      </c>
      <c r="M82" s="155" t="str">
        <f ca="1">IFERROR(__xludf.DUMMYFUNCTION("""COMPUTED_VALUE"""),"Equity Key Stats")</f>
        <v>Equity Key Stats</v>
      </c>
      <c r="N82" s="43"/>
      <c r="O82" s="43"/>
      <c r="P82" s="150">
        <f ca="1">IFERROR(__xludf.DUMMYFUNCTION("""COMPUTED_VALUE"""),-28746.0493799999)</f>
        <v>-28746.049379999899</v>
      </c>
      <c r="Q82" s="151"/>
      <c r="R82" s="152">
        <f ca="1">IFERROR(__xludf.DUMMYFUNCTION("""COMPUTED_VALUE"""),12.09)</f>
        <v>12.09</v>
      </c>
      <c r="S82" s="157">
        <f ca="1">IFERROR(__xludf.DUMMYFUNCTION("""COMPUTED_VALUE"""),28301.281515)</f>
        <v>28301.281514999999</v>
      </c>
      <c r="T82" s="108">
        <f ca="1">IFERROR(__xludf.DUMMYFUNCTION("""COMPUTED_VALUE"""),1)</f>
        <v>1</v>
      </c>
      <c r="U82" s="108">
        <f ca="1">IFERROR(__xludf.DUMMYFUNCTION("""COMPUTED_VALUE"""),1)</f>
        <v>1</v>
      </c>
      <c r="V82" s="153">
        <f ca="1">IFERROR(__xludf.DUMMYFUNCTION("""COMPUTED_VALUE"""),-444.767864999998)</f>
        <v>-444.76786499999798</v>
      </c>
      <c r="W82" s="145" t="str">
        <f ca="1">IFERROR(__xludf.DUMMYFUNCTION("""COMPUTED_VALUE"""),"")</f>
        <v/>
      </c>
      <c r="X82" s="11" t="str">
        <f ca="1">IFERROR(__xludf.DUMMYFUNCTION("""COMPUTED_VALUE"""),"")</f>
        <v/>
      </c>
      <c r="Y82" s="11" t="str">
        <f ca="1">IFERROR(__xludf.DUMMYFUNCTION("""COMPUTED_VALUE"""),"")</f>
        <v/>
      </c>
      <c r="Z82" s="4" t="str">
        <f ca="1">IFERROR(__xludf.DUMMYFUNCTION("""COMPUTED_VALUE"""),"")</f>
        <v/>
      </c>
    </row>
    <row r="83" spans="1:26" ht="13" x14ac:dyDescent="0.15">
      <c r="A83" s="43" t="str">
        <f ca="1">IFERROR(__xludf.DUMMYFUNCTION("""COMPUTED_VALUE"""),"")</f>
        <v/>
      </c>
      <c r="B83" s="43" t="str">
        <f ca="1">IFERROR(__xludf.DUMMYFUNCTION("""COMPUTED_VALUE"""),"35577")</f>
        <v>35577</v>
      </c>
      <c r="C83" s="146">
        <f ca="1">IFERROR(__xludf.DUMMYFUNCTION("""COMPUTED_VALUE"""),44607000207)</f>
        <v>44607000207</v>
      </c>
      <c r="D83" s="43" t="str">
        <f ca="1">IFERROR(__xludf.DUMMYFUNCTION("""COMPUTED_VALUE"""),"US023135AN60")</f>
        <v>US023135AN60</v>
      </c>
      <c r="E83" s="147">
        <f ca="1">IFERROR(__xludf.DUMMYFUNCTION("""COMPUTED_VALUE"""),44607)</f>
        <v>44607</v>
      </c>
      <c r="F83" s="43" t="str">
        <f ca="1">IFERROR(__xludf.DUMMYFUNCTION("""COMPUTED_VALUE"""),"Bond")</f>
        <v>Bond</v>
      </c>
      <c r="G83" s="43" t="str">
        <f ca="1">IFERROR(__xludf.DUMMYFUNCTION("""COMPUTED_VALUE"""),"USD")</f>
        <v>USD</v>
      </c>
      <c r="H83" s="154">
        <f ca="1">IFERROR(__xludf.DUMMYFUNCTION("""COMPUTED_VALUE"""),3)</f>
        <v>3</v>
      </c>
      <c r="I83" s="148">
        <f ca="1">IFERROR(__xludf.DUMMYFUNCTION("""COMPUTED_VALUE"""),7.801355)</f>
        <v>7.801355</v>
      </c>
      <c r="J83" s="149">
        <f ca="1">IFERROR(__xludf.DUMMYFUNCTION("""COMPUTED_VALUE"""),104.957)</f>
        <v>104.95699999999999</v>
      </c>
      <c r="K83" s="43"/>
      <c r="L83" s="149">
        <f ca="1">IFERROR(__xludf.DUMMYFUNCTION("""COMPUTED_VALUE"""),104.004)</f>
        <v>104.004</v>
      </c>
      <c r="M83" s="155" t="str">
        <f ca="1">IFERROR(__xludf.DUMMYFUNCTION("""COMPUTED_VALUE"""),"Bond Fact Sheet")</f>
        <v>Bond Fact Sheet</v>
      </c>
      <c r="N83" s="43"/>
      <c r="O83" s="43"/>
      <c r="P83" s="157">
        <f ca="1">IFERROR(__xludf.DUMMYFUNCTION("""COMPUTED_VALUE"""),-2456.42045020499)</f>
        <v>-2456.4204502049902</v>
      </c>
      <c r="Q83" s="151"/>
      <c r="R83" s="152">
        <f ca="1">IFERROR(__xludf.DUMMYFUNCTION("""COMPUTED_VALUE"""),103.4525)</f>
        <v>103.4525</v>
      </c>
      <c r="S83" s="150">
        <f ca="1">IFERROR(__xludf.DUMMYFUNCTION("""COMPUTED_VALUE"""),2421.2090344125)</f>
        <v>2421.2090344124999</v>
      </c>
      <c r="T83" s="108">
        <f ca="1">IFERROR(__xludf.DUMMYFUNCTION("""COMPUTED_VALUE"""),1)</f>
        <v>1</v>
      </c>
      <c r="U83" s="108">
        <f ca="1">IFERROR(__xludf.DUMMYFUNCTION("""COMPUTED_VALUE"""),1)</f>
        <v>1</v>
      </c>
      <c r="V83" s="153">
        <f ca="1">IFERROR(__xludf.DUMMYFUNCTION("""COMPUTED_VALUE"""),-35.2114157924997)</f>
        <v>-35.2114157924997</v>
      </c>
      <c r="W83" s="145" t="str">
        <f ca="1">IFERROR(__xludf.DUMMYFUNCTION("""COMPUTED_VALUE"""),"")</f>
        <v/>
      </c>
      <c r="X83" s="11" t="str">
        <f ca="1">IFERROR(__xludf.DUMMYFUNCTION("""COMPUTED_VALUE"""),"")</f>
        <v/>
      </c>
      <c r="Y83" s="11" t="str">
        <f ca="1">IFERROR(__xludf.DUMMYFUNCTION("""COMPUTED_VALUE"""),"")</f>
        <v/>
      </c>
      <c r="Z83" s="4" t="str">
        <f ca="1">IFERROR(__xludf.DUMMYFUNCTION("""COMPUTED_VALUE"""),"")</f>
        <v/>
      </c>
    </row>
    <row r="84" spans="1:26" ht="13" x14ac:dyDescent="0.15">
      <c r="A84" s="43" t="str">
        <f ca="1">IFERROR(__xludf.DUMMYFUNCTION("""COMPUTED_VALUE"""),"")</f>
        <v/>
      </c>
      <c r="B84" s="43" t="str">
        <f ca="1">IFERROR(__xludf.DUMMYFUNCTION("""COMPUTED_VALUE"""),"35577")</f>
        <v>35577</v>
      </c>
      <c r="C84" s="146">
        <f ca="1">IFERROR(__xludf.DUMMYFUNCTION("""COMPUTED_VALUE"""),44627000468)</f>
        <v>44627000468</v>
      </c>
      <c r="D84" s="43" t="str">
        <f ca="1">IFERROR(__xludf.DUMMYFUNCTION("""COMPUTED_VALUE"""),"AAPL")</f>
        <v>AAPL</v>
      </c>
      <c r="E84" s="147">
        <f ca="1">IFERROR(__xludf.DUMMYFUNCTION("""COMPUTED_VALUE"""),44627)</f>
        <v>44627</v>
      </c>
      <c r="F84" s="43" t="str">
        <f ca="1">IFERROR(__xludf.DUMMYFUNCTION("""COMPUTED_VALUE"""),"Stock")</f>
        <v>Stock</v>
      </c>
      <c r="G84" s="43" t="str">
        <f ca="1">IFERROR(__xludf.DUMMYFUNCTION("""COMPUTED_VALUE"""),"USD")</f>
        <v>USD</v>
      </c>
      <c r="H84" s="156">
        <f ca="1">IFERROR(__xludf.DUMMYFUNCTION("""COMPUTED_VALUE"""),11)</f>
        <v>11</v>
      </c>
      <c r="I84" s="148">
        <f ca="1">IFERROR(__xludf.DUMMYFUNCTION("""COMPUTED_VALUE"""),7.81855)</f>
        <v>7.8185500000000001</v>
      </c>
      <c r="J84" s="149">
        <f ca="1">IFERROR(__xludf.DUMMYFUNCTION("""COMPUTED_VALUE"""),159.3)</f>
        <v>159.30000000000001</v>
      </c>
      <c r="K84" s="43"/>
      <c r="L84" s="149">
        <f ca="1">IFERROR(__xludf.DUMMYFUNCTION("""COMPUTED_VALUE"""),168.82)</f>
        <v>168.82</v>
      </c>
      <c r="M84" s="155" t="str">
        <f ca="1">IFERROR(__xludf.DUMMYFUNCTION("""COMPUTED_VALUE"""),"Equity Key Stats")</f>
        <v>Equity Key Stats</v>
      </c>
      <c r="N84" s="43"/>
      <c r="O84" s="43"/>
      <c r="P84" s="150">
        <f ca="1">IFERROR(__xludf.DUMMYFUNCTION("""COMPUTED_VALUE"""),-13700.445165)</f>
        <v>-13700.445164999999</v>
      </c>
      <c r="Q84" s="151"/>
      <c r="R84" s="152">
        <f ca="1">IFERROR(__xludf.DUMMYFUNCTION("""COMPUTED_VALUE"""),170.21)</f>
        <v>170.21</v>
      </c>
      <c r="S84" s="157">
        <f ca="1">IFERROR(__xludf.DUMMYFUNCTION("""COMPUTED_VALUE"""),14638.7493505)</f>
        <v>14638.7493505</v>
      </c>
      <c r="T84" s="108">
        <f ca="1">IFERROR(__xludf.DUMMYFUNCTION("""COMPUTED_VALUE"""),2)</f>
        <v>2</v>
      </c>
      <c r="U84" s="108" t="str">
        <f ca="1">IFERROR(__xludf.DUMMYFUNCTION("""COMPUTED_VALUE"""),"")</f>
        <v/>
      </c>
      <c r="V84" s="158" t="str">
        <f ca="1">IFERROR(__xludf.DUMMYFUNCTION("""COMPUTED_VALUE"""),"")</f>
        <v/>
      </c>
      <c r="W84" s="44" t="str">
        <f ca="1">IFERROR(__xludf.DUMMYFUNCTION("""COMPUTED_VALUE"""),"")</f>
        <v/>
      </c>
      <c r="X84" s="154" t="str">
        <f ca="1">IFERROR(__xludf.DUMMYFUNCTION("""COMPUTED_VALUE"""),"")</f>
        <v/>
      </c>
      <c r="Y84" s="154" t="str">
        <f ca="1">IFERROR(__xludf.DUMMYFUNCTION("""COMPUTED_VALUE"""),"")</f>
        <v/>
      </c>
      <c r="Z84" s="162" t="str">
        <f ca="1">IFERROR(__xludf.DUMMYFUNCTION("""COMPUTED_VALUE"""),"")</f>
        <v/>
      </c>
    </row>
    <row r="85" spans="1:26" ht="13" x14ac:dyDescent="0.15">
      <c r="A85" s="43" t="str">
        <f ca="1">IFERROR(__xludf.DUMMYFUNCTION("""COMPUTED_VALUE"""),"")</f>
        <v/>
      </c>
      <c r="B85" s="43" t="str">
        <f ca="1">IFERROR(__xludf.DUMMYFUNCTION("""COMPUTED_VALUE"""),"35577")</f>
        <v>35577</v>
      </c>
      <c r="C85" s="146">
        <f ca="1">IFERROR(__xludf.DUMMYFUNCTION("""COMPUTED_VALUE"""),44627000469)</f>
        <v>44627000469</v>
      </c>
      <c r="D85" s="43" t="str">
        <f ca="1">IFERROR(__xludf.DUMMYFUNCTION("""COMPUTED_VALUE"""),"WMT")</f>
        <v>WMT</v>
      </c>
      <c r="E85" s="147">
        <f ca="1">IFERROR(__xludf.DUMMYFUNCTION("""COMPUTED_VALUE"""),44627)</f>
        <v>44627</v>
      </c>
      <c r="F85" s="43" t="str">
        <f ca="1">IFERROR(__xludf.DUMMYFUNCTION("""COMPUTED_VALUE"""),"Stock")</f>
        <v>Stock</v>
      </c>
      <c r="G85" s="43" t="str">
        <f ca="1">IFERROR(__xludf.DUMMYFUNCTION("""COMPUTED_VALUE"""),"USD")</f>
        <v>USD</v>
      </c>
      <c r="H85" s="11">
        <f ca="1">IFERROR(__xludf.DUMMYFUNCTION("""COMPUTED_VALUE"""),0)</f>
        <v>0</v>
      </c>
      <c r="I85" s="148">
        <f ca="1">IFERROR(__xludf.DUMMYFUNCTION("""COMPUTED_VALUE"""),7.81855)</f>
        <v>7.8185500000000001</v>
      </c>
      <c r="J85" s="149">
        <f ca="1">IFERROR(__xludf.DUMMYFUNCTION("""COMPUTED_VALUE"""),0)</f>
        <v>0</v>
      </c>
      <c r="K85" s="43"/>
      <c r="L85" s="149">
        <f ca="1">IFERROR(__xludf.DUMMYFUNCTION("""COMPUTED_VALUE"""),143.8)</f>
        <v>143.80000000000001</v>
      </c>
      <c r="M85" s="160" t="str">
        <f ca="1">IFERROR(__xludf.DUMMYFUNCTION("""COMPUTED_VALUE"""),"Equity Key Stats")</f>
        <v>Equity Key Stats</v>
      </c>
      <c r="N85" s="43"/>
      <c r="O85" s="43"/>
      <c r="P85" s="150">
        <f ca="1">IFERROR(__xludf.DUMMYFUNCTION("""COMPUTED_VALUE"""),0)</f>
        <v>0</v>
      </c>
      <c r="Q85" s="151"/>
      <c r="R85" s="152">
        <f ca="1">IFERROR(__xludf.DUMMYFUNCTION("""COMPUTED_VALUE"""),141.95)</f>
        <v>141.94999999999999</v>
      </c>
      <c r="S85" s="127">
        <f ca="1">IFERROR(__xludf.DUMMYFUNCTION("""COMPUTED_VALUE"""),0)</f>
        <v>0</v>
      </c>
      <c r="T85" s="108">
        <f ca="1">IFERROR(__xludf.DUMMYFUNCTION("""COMPUTED_VALUE"""),2)</f>
        <v>2</v>
      </c>
      <c r="U85" s="108" t="str">
        <f ca="1">IFERROR(__xludf.DUMMYFUNCTION("""COMPUTED_VALUE"""),"")</f>
        <v/>
      </c>
      <c r="V85" s="153" t="str">
        <f ca="1">IFERROR(__xludf.DUMMYFUNCTION("""COMPUTED_VALUE"""),"")</f>
        <v/>
      </c>
      <c r="W85" s="44" t="str">
        <f ca="1">IFERROR(__xludf.DUMMYFUNCTION("""COMPUTED_VALUE"""),"")</f>
        <v/>
      </c>
      <c r="X85" s="154" t="str">
        <f ca="1">IFERROR(__xludf.DUMMYFUNCTION("""COMPUTED_VALUE"""),"")</f>
        <v/>
      </c>
      <c r="Y85" s="154" t="str">
        <f ca="1">IFERROR(__xludf.DUMMYFUNCTION("""COMPUTED_VALUE"""),"")</f>
        <v/>
      </c>
      <c r="Z85" s="159" t="str">
        <f ca="1">IFERROR(__xludf.DUMMYFUNCTION("""COMPUTED_VALUE"""),"")</f>
        <v/>
      </c>
    </row>
    <row r="86" spans="1:26" ht="13" x14ac:dyDescent="0.15">
      <c r="A86" s="43" t="str">
        <f ca="1">IFERROR(__xludf.DUMMYFUNCTION("""COMPUTED_VALUE"""),"")</f>
        <v/>
      </c>
      <c r="B86" s="43" t="str">
        <f ca="1">IFERROR(__xludf.DUMMYFUNCTION("""COMPUTED_VALUE"""),"35577")</f>
        <v>35577</v>
      </c>
      <c r="C86" s="146">
        <f ca="1">IFERROR(__xludf.DUMMYFUNCTION("""COMPUTED_VALUE"""),44628000476)</f>
        <v>44628000476</v>
      </c>
      <c r="D86" s="43" t="str">
        <f ca="1">IFERROR(__xludf.DUMMYFUNCTION("""COMPUTED_VALUE"""),"WMT")</f>
        <v>WMT</v>
      </c>
      <c r="E86" s="147">
        <f ca="1">IFERROR(__xludf.DUMMYFUNCTION("""COMPUTED_VALUE"""),44628)</f>
        <v>44628</v>
      </c>
      <c r="F86" s="43" t="str">
        <f ca="1">IFERROR(__xludf.DUMMYFUNCTION("""COMPUTED_VALUE"""),"Stock")</f>
        <v>Stock</v>
      </c>
      <c r="G86" s="43" t="str">
        <f ca="1">IFERROR(__xludf.DUMMYFUNCTION("""COMPUTED_VALUE"""),"USD")</f>
        <v>USD</v>
      </c>
      <c r="H86" s="11">
        <f ca="1">IFERROR(__xludf.DUMMYFUNCTION("""COMPUTED_VALUE"""),13)</f>
        <v>13</v>
      </c>
      <c r="I86" s="148">
        <f ca="1">IFERROR(__xludf.DUMMYFUNCTION("""COMPUTED_VALUE"""),7.818975)</f>
        <v>7.818975</v>
      </c>
      <c r="J86" s="149">
        <f ca="1">IFERROR(__xludf.DUMMYFUNCTION("""COMPUTED_VALUE"""),138.74)</f>
        <v>138.74</v>
      </c>
      <c r="K86" s="43"/>
      <c r="L86" s="149">
        <f ca="1">IFERROR(__xludf.DUMMYFUNCTION("""COMPUTED_VALUE"""),143.8)</f>
        <v>143.80000000000001</v>
      </c>
      <c r="M86" s="160" t="str">
        <f ca="1">IFERROR(__xludf.DUMMYFUNCTION("""COMPUTED_VALUE"""),"Equity Key Stats")</f>
        <v>Equity Key Stats</v>
      </c>
      <c r="N86" s="43"/>
      <c r="O86" s="43"/>
      <c r="P86" s="150">
        <f ca="1">IFERROR(__xludf.DUMMYFUNCTION("""COMPUTED_VALUE"""),-14102.4596895)</f>
        <v>-14102.4596895</v>
      </c>
      <c r="Q86" s="151"/>
      <c r="R86" s="152">
        <f ca="1">IFERROR(__xludf.DUMMYFUNCTION("""COMPUTED_VALUE"""),141.95)</f>
        <v>141.94999999999999</v>
      </c>
      <c r="S86" s="127">
        <f ca="1">IFERROR(__xludf.DUMMYFUNCTION("""COMPUTED_VALUE"""),14428.74551625)</f>
        <v>14428.745516249999</v>
      </c>
      <c r="T86" s="108">
        <f ca="1">IFERROR(__xludf.DUMMYFUNCTION("""COMPUTED_VALUE"""),2)</f>
        <v>2</v>
      </c>
      <c r="U86" s="108">
        <f ca="1">IFERROR(__xludf.DUMMYFUNCTION("""COMPUTED_VALUE"""),1)</f>
        <v>1</v>
      </c>
      <c r="V86" s="153">
        <f ca="1">IFERROR(__xludf.DUMMYFUNCTION("""COMPUTED_VALUE"""),326.285826749997)</f>
        <v>326.285826749997</v>
      </c>
      <c r="W86" s="145" t="str">
        <f ca="1">IFERROR(__xludf.DUMMYFUNCTION("""COMPUTED_VALUE"""),"")</f>
        <v/>
      </c>
      <c r="X86" s="11" t="str">
        <f ca="1">IFERROR(__xludf.DUMMYFUNCTION("""COMPUTED_VALUE"""),"")</f>
        <v/>
      </c>
      <c r="Y86" s="11" t="str">
        <f ca="1">IFERROR(__xludf.DUMMYFUNCTION("""COMPUTED_VALUE"""),"")</f>
        <v/>
      </c>
      <c r="Z86" s="4" t="str">
        <f ca="1">IFERROR(__xludf.DUMMYFUNCTION("""COMPUTED_VALUE"""),"")</f>
        <v/>
      </c>
    </row>
    <row r="87" spans="1:26" ht="13" x14ac:dyDescent="0.15">
      <c r="A87" s="43" t="str">
        <f ca="1">IFERROR(__xludf.DUMMYFUNCTION("""COMPUTED_VALUE"""),"35577")</f>
        <v>35577</v>
      </c>
      <c r="B87" s="43" t="str">
        <f ca="1">IFERROR(__xludf.DUMMYFUNCTION("""COMPUTED_VALUE"""),"35577")</f>
        <v>35577</v>
      </c>
      <c r="C87" s="146">
        <f ca="1">IFERROR(__xludf.DUMMYFUNCTION("""COMPUTED_VALUE"""),44642000796)</f>
        <v>44642000796</v>
      </c>
      <c r="D87" s="163" t="str">
        <f ca="1">IFERROR(__xludf.DUMMYFUNCTION("""COMPUTED_VALUE"""),"AAPL")</f>
        <v>AAPL</v>
      </c>
      <c r="E87" s="147">
        <f ca="1">IFERROR(__xludf.DUMMYFUNCTION("""COMPUTED_VALUE"""),44642)</f>
        <v>44642</v>
      </c>
      <c r="F87" s="43" t="str">
        <f ca="1">IFERROR(__xludf.DUMMYFUNCTION("""COMPUTED_VALUE"""),"Stock")</f>
        <v>Stock</v>
      </c>
      <c r="G87" s="43" t="str">
        <f ca="1">IFERROR(__xludf.DUMMYFUNCTION("""COMPUTED_VALUE"""),"USD")</f>
        <v>USD</v>
      </c>
      <c r="H87" s="154">
        <f ca="1">IFERROR(__xludf.DUMMYFUNCTION("""COMPUTED_VALUE"""),0)</f>
        <v>0</v>
      </c>
      <c r="I87" s="148">
        <f ca="1">IFERROR(__xludf.DUMMYFUNCTION("""COMPUTED_VALUE"""),7.82695)</f>
        <v>7.8269500000000001</v>
      </c>
      <c r="J87" s="149">
        <f ca="1">IFERROR(__xludf.DUMMYFUNCTION("""COMPUTED_VALUE"""),0)</f>
        <v>0</v>
      </c>
      <c r="K87" s="43"/>
      <c r="L87" s="149">
        <f ca="1">IFERROR(__xludf.DUMMYFUNCTION("""COMPUTED_VALUE"""),168.82)</f>
        <v>168.82</v>
      </c>
      <c r="M87" s="155" t="str">
        <f ca="1">IFERROR(__xludf.DUMMYFUNCTION("""COMPUTED_VALUE"""),"Equity Key Stats")</f>
        <v>Equity Key Stats</v>
      </c>
      <c r="N87" s="43"/>
      <c r="O87" s="43"/>
      <c r="P87" s="157">
        <f ca="1">IFERROR(__xludf.DUMMYFUNCTION("""COMPUTED_VALUE"""),0)</f>
        <v>0</v>
      </c>
      <c r="Q87" s="151"/>
      <c r="R87" s="152">
        <f ca="1">IFERROR(__xludf.DUMMYFUNCTION("""COMPUTED_VALUE"""),170.21)</f>
        <v>170.21</v>
      </c>
      <c r="S87" s="150">
        <f ca="1">IFERROR(__xludf.DUMMYFUNCTION("""COMPUTED_VALUE"""),0)</f>
        <v>0</v>
      </c>
      <c r="T87" s="108">
        <f ca="1">IFERROR(__xludf.DUMMYFUNCTION("""COMPUTED_VALUE"""),2)</f>
        <v>2</v>
      </c>
      <c r="U87" s="108">
        <f ca="1">IFERROR(__xludf.DUMMYFUNCTION("""COMPUTED_VALUE"""),1)</f>
        <v>1</v>
      </c>
      <c r="V87" s="158">
        <f ca="1">IFERROR(__xludf.DUMMYFUNCTION("""COMPUTED_VALUE"""),938.304185499999)</f>
        <v>938.30418549999899</v>
      </c>
      <c r="W87" s="44">
        <f ca="1">IFERROR(__xludf.DUMMYFUNCTION("""COMPUTED_VALUE"""),500784.610731457)</f>
        <v>500784.61073145701</v>
      </c>
      <c r="X87" s="154">
        <f ca="1">IFERROR(__xludf.DUMMYFUNCTION("""COMPUTED_VALUE"""),368886.84126345)</f>
        <v>368886.84126344998</v>
      </c>
      <c r="Y87" s="154">
        <f ca="1">IFERROR(__xludf.DUMMYFUNCTION("""COMPUTED_VALUE"""),0)</f>
        <v>0</v>
      </c>
      <c r="Z87" s="162">
        <f ca="1">IFERROR(__xludf.DUMMYFUNCTION("""COMPUTED_VALUE"""),0.00156922146291504)</f>
        <v>1.5692214629150401E-3</v>
      </c>
    </row>
    <row r="88" spans="1:26" ht="13" x14ac:dyDescent="0.15">
      <c r="A88" s="43" t="str">
        <f ca="1">IFERROR(__xludf.DUMMYFUNCTION("""COMPUTED_VALUE"""),"35702")</f>
        <v>35702</v>
      </c>
      <c r="B88" s="43" t="str">
        <f ca="1">IFERROR(__xludf.DUMMYFUNCTION("""COMPUTED_VALUE"""),"35702")</f>
        <v>35702</v>
      </c>
      <c r="C88" s="146">
        <f ca="1">IFERROR(__xludf.DUMMYFUNCTION("""COMPUTED_VALUE"""),44597000031)</f>
        <v>44597000031</v>
      </c>
      <c r="D88" s="43" t="str">
        <f ca="1">IFERROR(__xludf.DUMMYFUNCTION("""COMPUTED_VALUE"""),"Cash")</f>
        <v>Cash</v>
      </c>
      <c r="E88" s="147">
        <f ca="1">IFERROR(__xludf.DUMMYFUNCTION("""COMPUTED_VALUE"""),44597)</f>
        <v>44597</v>
      </c>
      <c r="F88" s="43" t="str">
        <f ca="1">IFERROR(__xludf.DUMMYFUNCTION("""COMPUTED_VALUE"""),"Cash")</f>
        <v>Cash</v>
      </c>
      <c r="G88" s="43" t="str">
        <f ca="1">IFERROR(__xludf.DUMMYFUNCTION("""COMPUTED_VALUE"""),"HKD")</f>
        <v>HKD</v>
      </c>
      <c r="H88" s="11" t="str">
        <f ca="1">IFERROR(__xludf.DUMMYFUNCTION("""COMPUTED_VALUE"""),"")</f>
        <v/>
      </c>
      <c r="I88" s="148">
        <f ca="1">IFERROR(__xludf.DUMMYFUNCTION("""COMPUTED_VALUE"""),1)</f>
        <v>1</v>
      </c>
      <c r="J88" s="108">
        <f ca="1">IFERROR(__xludf.DUMMYFUNCTION("""COMPUTED_VALUE"""),1)</f>
        <v>1</v>
      </c>
      <c r="K88" s="43"/>
      <c r="L88" s="149">
        <f ca="1">IFERROR(__xludf.DUMMYFUNCTION("""COMPUTED_VALUE"""),1)</f>
        <v>1</v>
      </c>
      <c r="M88" s="3" t="str">
        <f ca="1">IFERROR(__xludf.DUMMYFUNCTION("""COMPUTED_VALUE"""),"")</f>
        <v/>
      </c>
      <c r="N88" s="43"/>
      <c r="O88" s="43"/>
      <c r="P88" s="150">
        <f ca="1">IFERROR(__xludf.DUMMYFUNCTION("""COMPUTED_VALUE"""),500000)</f>
        <v>500000</v>
      </c>
      <c r="Q88" s="151"/>
      <c r="R88" s="152">
        <f ca="1">IFERROR(__xludf.DUMMYFUNCTION("""COMPUTED_VALUE"""),1)</f>
        <v>1</v>
      </c>
      <c r="S88" s="127" t="str">
        <f ca="1">IFERROR(__xludf.DUMMYFUNCTION("""COMPUTED_VALUE"""),"")</f>
        <v/>
      </c>
      <c r="T88" s="108">
        <f ca="1">IFERROR(__xludf.DUMMYFUNCTION("""COMPUTED_VALUE"""),1)</f>
        <v>1</v>
      </c>
      <c r="U88" s="108">
        <f ca="1">IFERROR(__xludf.DUMMYFUNCTION("""COMPUTED_VALUE"""),1)</f>
        <v>1</v>
      </c>
      <c r="V88" s="153">
        <f ca="1">IFERROR(__xludf.DUMMYFUNCTION("""COMPUTED_VALUE"""),500000)</f>
        <v>500000</v>
      </c>
      <c r="W88" s="145">
        <f ca="1">IFERROR(__xludf.DUMMYFUNCTION("""COMPUTED_VALUE"""),500000)</f>
        <v>500000</v>
      </c>
      <c r="X88" s="11">
        <f ca="1">IFERROR(__xludf.DUMMYFUNCTION("""COMPUTED_VALUE"""),500000)</f>
        <v>500000</v>
      </c>
      <c r="Y88" s="11">
        <f ca="1">IFERROR(__xludf.DUMMYFUNCTION("""COMPUTED_VALUE"""),0)</f>
        <v>0</v>
      </c>
      <c r="Z88" s="4">
        <f ca="1">IFERROR(__xludf.DUMMYFUNCTION("""COMPUTED_VALUE"""),0)</f>
        <v>0</v>
      </c>
    </row>
    <row r="89" spans="1:26" ht="13" x14ac:dyDescent="0.15">
      <c r="A89" s="43" t="str">
        <f ca="1">IFERROR(__xludf.DUMMYFUNCTION("""COMPUTED_VALUE"""),"35792")</f>
        <v>35792</v>
      </c>
      <c r="B89" s="43" t="str">
        <f ca="1">IFERROR(__xludf.DUMMYFUNCTION("""COMPUTED_VALUE"""),"35792")</f>
        <v>35792</v>
      </c>
      <c r="C89" s="146">
        <f ca="1">IFERROR(__xludf.DUMMYFUNCTION("""COMPUTED_VALUE"""),44597000071)</f>
        <v>44597000071</v>
      </c>
      <c r="D89" s="163" t="str">
        <f ca="1">IFERROR(__xludf.DUMMYFUNCTION("""COMPUTED_VALUE"""),"Cash")</f>
        <v>Cash</v>
      </c>
      <c r="E89" s="147">
        <f ca="1">IFERROR(__xludf.DUMMYFUNCTION("""COMPUTED_VALUE"""),44597)</f>
        <v>44597</v>
      </c>
      <c r="F89" s="43" t="str">
        <f ca="1">IFERROR(__xludf.DUMMYFUNCTION("""COMPUTED_VALUE"""),"Cash")</f>
        <v>Cash</v>
      </c>
      <c r="G89" s="43" t="str">
        <f ca="1">IFERROR(__xludf.DUMMYFUNCTION("""COMPUTED_VALUE"""),"HKD")</f>
        <v>HKD</v>
      </c>
      <c r="H89" s="154" t="str">
        <f ca="1">IFERROR(__xludf.DUMMYFUNCTION("""COMPUTED_VALUE"""),"")</f>
        <v/>
      </c>
      <c r="I89" s="148">
        <f ca="1">IFERROR(__xludf.DUMMYFUNCTION("""COMPUTED_VALUE"""),1)</f>
        <v>1</v>
      </c>
      <c r="J89" s="149">
        <f ca="1">IFERROR(__xludf.DUMMYFUNCTION("""COMPUTED_VALUE"""),1)</f>
        <v>1</v>
      </c>
      <c r="K89" s="43"/>
      <c r="L89" s="149">
        <f ca="1">IFERROR(__xludf.DUMMYFUNCTION("""COMPUTED_VALUE"""),1)</f>
        <v>1</v>
      </c>
      <c r="M89" s="155" t="str">
        <f ca="1">IFERROR(__xludf.DUMMYFUNCTION("""COMPUTED_VALUE"""),"")</f>
        <v/>
      </c>
      <c r="N89" s="43"/>
      <c r="O89" s="43"/>
      <c r="P89" s="157">
        <f ca="1">IFERROR(__xludf.DUMMYFUNCTION("""COMPUTED_VALUE"""),500000)</f>
        <v>500000</v>
      </c>
      <c r="Q89" s="151"/>
      <c r="R89" s="152">
        <f ca="1">IFERROR(__xludf.DUMMYFUNCTION("""COMPUTED_VALUE"""),1)</f>
        <v>1</v>
      </c>
      <c r="S89" s="150" t="str">
        <f ca="1">IFERROR(__xludf.DUMMYFUNCTION("""COMPUTED_VALUE"""),"")</f>
        <v/>
      </c>
      <c r="T89" s="108">
        <f ca="1">IFERROR(__xludf.DUMMYFUNCTION("""COMPUTED_VALUE"""),1)</f>
        <v>1</v>
      </c>
      <c r="U89" s="108">
        <f ca="1">IFERROR(__xludf.DUMMYFUNCTION("""COMPUTED_VALUE"""),1)</f>
        <v>1</v>
      </c>
      <c r="V89" s="153">
        <f ca="1">IFERROR(__xludf.DUMMYFUNCTION("""COMPUTED_VALUE"""),500000)</f>
        <v>500000</v>
      </c>
      <c r="W89" s="44">
        <f ca="1">IFERROR(__xludf.DUMMYFUNCTION("""COMPUTED_VALUE"""),500000)</f>
        <v>500000</v>
      </c>
      <c r="X89" s="154">
        <f ca="1">IFERROR(__xludf.DUMMYFUNCTION("""COMPUTED_VALUE"""),500000)</f>
        <v>500000</v>
      </c>
      <c r="Y89" s="154">
        <f ca="1">IFERROR(__xludf.DUMMYFUNCTION("""COMPUTED_VALUE"""),0)</f>
        <v>0</v>
      </c>
      <c r="Z89" s="159">
        <f ca="1">IFERROR(__xludf.DUMMYFUNCTION("""COMPUTED_VALUE"""),0)</f>
        <v>0</v>
      </c>
    </row>
    <row r="90" spans="1:26" ht="13" x14ac:dyDescent="0.15">
      <c r="A90" s="43" t="str">
        <f ca="1">IFERROR(__xludf.DUMMYFUNCTION("""COMPUTED_VALUE"""),"36196")</f>
        <v>36196</v>
      </c>
      <c r="B90" s="43" t="str">
        <f ca="1">IFERROR(__xludf.DUMMYFUNCTION("""COMPUTED_VALUE"""),"36196")</f>
        <v>36196</v>
      </c>
      <c r="C90" s="146">
        <f ca="1">IFERROR(__xludf.DUMMYFUNCTION("""COMPUTED_VALUE"""),44597000119)</f>
        <v>44597000119</v>
      </c>
      <c r="D90" s="43" t="str">
        <f ca="1">IFERROR(__xludf.DUMMYFUNCTION("""COMPUTED_VALUE"""),"Cash")</f>
        <v>Cash</v>
      </c>
      <c r="E90" s="147">
        <f ca="1">IFERROR(__xludf.DUMMYFUNCTION("""COMPUTED_VALUE"""),44597)</f>
        <v>44597</v>
      </c>
      <c r="F90" s="43" t="str">
        <f ca="1">IFERROR(__xludf.DUMMYFUNCTION("""COMPUTED_VALUE"""),"Cash")</f>
        <v>Cash</v>
      </c>
      <c r="G90" s="43" t="str">
        <f ca="1">IFERROR(__xludf.DUMMYFUNCTION("""COMPUTED_VALUE"""),"HKD")</f>
        <v>HKD</v>
      </c>
      <c r="H90" s="11" t="str">
        <f ca="1">IFERROR(__xludf.DUMMYFUNCTION("""COMPUTED_VALUE"""),"")</f>
        <v/>
      </c>
      <c r="I90" s="148">
        <f ca="1">IFERROR(__xludf.DUMMYFUNCTION("""COMPUTED_VALUE"""),1)</f>
        <v>1</v>
      </c>
      <c r="J90" s="108">
        <f ca="1">IFERROR(__xludf.DUMMYFUNCTION("""COMPUTED_VALUE"""),1)</f>
        <v>1</v>
      </c>
      <c r="K90" s="43"/>
      <c r="L90" s="149">
        <f ca="1">IFERROR(__xludf.DUMMYFUNCTION("""COMPUTED_VALUE"""),1)</f>
        <v>1</v>
      </c>
      <c r="M90" s="3" t="str">
        <f ca="1">IFERROR(__xludf.DUMMYFUNCTION("""COMPUTED_VALUE"""),"")</f>
        <v/>
      </c>
      <c r="N90" s="43"/>
      <c r="O90" s="43"/>
      <c r="P90" s="150">
        <f ca="1">IFERROR(__xludf.DUMMYFUNCTION("""COMPUTED_VALUE"""),500000)</f>
        <v>500000</v>
      </c>
      <c r="Q90" s="151"/>
      <c r="R90" s="152">
        <f ca="1">IFERROR(__xludf.DUMMYFUNCTION("""COMPUTED_VALUE"""),1)</f>
        <v>1</v>
      </c>
      <c r="S90" s="127" t="str">
        <f ca="1">IFERROR(__xludf.DUMMYFUNCTION("""COMPUTED_VALUE"""),"")</f>
        <v/>
      </c>
      <c r="T90" s="108">
        <f ca="1">IFERROR(__xludf.DUMMYFUNCTION("""COMPUTED_VALUE"""),1)</f>
        <v>1</v>
      </c>
      <c r="U90" s="108">
        <f ca="1">IFERROR(__xludf.DUMMYFUNCTION("""COMPUTED_VALUE"""),1)</f>
        <v>1</v>
      </c>
      <c r="V90" s="153">
        <f ca="1">IFERROR(__xludf.DUMMYFUNCTION("""COMPUTED_VALUE"""),500000)</f>
        <v>500000</v>
      </c>
      <c r="W90" s="145">
        <f ca="1">IFERROR(__xludf.DUMMYFUNCTION("""COMPUTED_VALUE"""),500000)</f>
        <v>500000</v>
      </c>
      <c r="X90" s="11">
        <f ca="1">IFERROR(__xludf.DUMMYFUNCTION("""COMPUTED_VALUE"""),500000)</f>
        <v>500000</v>
      </c>
      <c r="Y90" s="11">
        <f ca="1">IFERROR(__xludf.DUMMYFUNCTION("""COMPUTED_VALUE"""),0)</f>
        <v>0</v>
      </c>
      <c r="Z90" s="4">
        <f ca="1">IFERROR(__xludf.DUMMYFUNCTION("""COMPUTED_VALUE"""),0)</f>
        <v>0</v>
      </c>
    </row>
    <row r="91" spans="1:26" ht="13" x14ac:dyDescent="0.15">
      <c r="A91" s="43" t="str">
        <f ca="1">IFERROR(__xludf.DUMMYFUNCTION("""COMPUTED_VALUE"""),"")</f>
        <v/>
      </c>
      <c r="B91" s="43" t="str">
        <f ca="1">IFERROR(__xludf.DUMMYFUNCTION("""COMPUTED_VALUE"""),"36221")</f>
        <v>36221</v>
      </c>
      <c r="C91" s="146">
        <f ca="1">IFERROR(__xludf.DUMMYFUNCTION("""COMPUTED_VALUE"""),44597000118)</f>
        <v>44597000118</v>
      </c>
      <c r="D91" s="43" t="str">
        <f ca="1">IFERROR(__xludf.DUMMYFUNCTION("""COMPUTED_VALUE"""),"Cash")</f>
        <v>Cash</v>
      </c>
      <c r="E91" s="147">
        <f ca="1">IFERROR(__xludf.DUMMYFUNCTION("""COMPUTED_VALUE"""),44597)</f>
        <v>44597</v>
      </c>
      <c r="F91" s="43" t="str">
        <f ca="1">IFERROR(__xludf.DUMMYFUNCTION("""COMPUTED_VALUE"""),"Cash")</f>
        <v>Cash</v>
      </c>
      <c r="G91" s="43" t="str">
        <f ca="1">IFERROR(__xludf.DUMMYFUNCTION("""COMPUTED_VALUE"""),"HKD")</f>
        <v>HKD</v>
      </c>
      <c r="H91" s="154" t="str">
        <f ca="1">IFERROR(__xludf.DUMMYFUNCTION("""COMPUTED_VALUE"""),"")</f>
        <v/>
      </c>
      <c r="I91" s="148">
        <f ca="1">IFERROR(__xludf.DUMMYFUNCTION("""COMPUTED_VALUE"""),1)</f>
        <v>1</v>
      </c>
      <c r="J91" s="149">
        <f ca="1">IFERROR(__xludf.DUMMYFUNCTION("""COMPUTED_VALUE"""),1)</f>
        <v>1</v>
      </c>
      <c r="K91" s="43"/>
      <c r="L91" s="149">
        <f ca="1">IFERROR(__xludf.DUMMYFUNCTION("""COMPUTED_VALUE"""),1)</f>
        <v>1</v>
      </c>
      <c r="M91" s="155" t="str">
        <f ca="1">IFERROR(__xludf.DUMMYFUNCTION("""COMPUTED_VALUE"""),"")</f>
        <v/>
      </c>
      <c r="N91" s="43"/>
      <c r="O91" s="43"/>
      <c r="P91" s="157">
        <f ca="1">IFERROR(__xludf.DUMMYFUNCTION("""COMPUTED_VALUE"""),500000)</f>
        <v>500000</v>
      </c>
      <c r="Q91" s="151"/>
      <c r="R91" s="152">
        <f ca="1">IFERROR(__xludf.DUMMYFUNCTION("""COMPUTED_VALUE"""),1)</f>
        <v>1</v>
      </c>
      <c r="S91" s="150" t="str">
        <f ca="1">IFERROR(__xludf.DUMMYFUNCTION("""COMPUTED_VALUE"""),"")</f>
        <v/>
      </c>
      <c r="T91" s="108">
        <f ca="1">IFERROR(__xludf.DUMMYFUNCTION("""COMPUTED_VALUE"""),1)</f>
        <v>1</v>
      </c>
      <c r="U91" s="108">
        <f ca="1">IFERROR(__xludf.DUMMYFUNCTION("""COMPUTED_VALUE"""),1)</f>
        <v>1</v>
      </c>
      <c r="V91" s="158">
        <f ca="1">IFERROR(__xludf.DUMMYFUNCTION("""COMPUTED_VALUE"""),500000)</f>
        <v>500000</v>
      </c>
      <c r="W91" s="145" t="str">
        <f ca="1">IFERROR(__xludf.DUMMYFUNCTION("""COMPUTED_VALUE"""),"")</f>
        <v/>
      </c>
      <c r="X91" s="11" t="str">
        <f ca="1">IFERROR(__xludf.DUMMYFUNCTION("""COMPUTED_VALUE"""),"")</f>
        <v/>
      </c>
      <c r="Y91" s="11" t="str">
        <f ca="1">IFERROR(__xludf.DUMMYFUNCTION("""COMPUTED_VALUE"""),"")</f>
        <v/>
      </c>
      <c r="Z91" s="4" t="str">
        <f ca="1">IFERROR(__xludf.DUMMYFUNCTION("""COMPUTED_VALUE"""),"")</f>
        <v/>
      </c>
    </row>
    <row r="92" spans="1:26" ht="13" x14ac:dyDescent="0.15">
      <c r="A92" s="43" t="str">
        <f ca="1">IFERROR(__xludf.DUMMYFUNCTION("""COMPUTED_VALUE"""),"")</f>
        <v/>
      </c>
      <c r="B92" s="43" t="str">
        <f ca="1">IFERROR(__xludf.DUMMYFUNCTION("""COMPUTED_VALUE"""),"36221")</f>
        <v>36221</v>
      </c>
      <c r="C92" s="146">
        <f ca="1">IFERROR(__xludf.DUMMYFUNCTION("""COMPUTED_VALUE"""),44607000197)</f>
        <v>44607000197</v>
      </c>
      <c r="D92" s="163" t="str">
        <f ca="1">IFERROR(__xludf.DUMMYFUNCTION("""COMPUTED_VALUE"""),"NVDA")</f>
        <v>NVDA</v>
      </c>
      <c r="E92" s="147">
        <f ca="1">IFERROR(__xludf.DUMMYFUNCTION("""COMPUTED_VALUE"""),44607)</f>
        <v>44607</v>
      </c>
      <c r="F92" s="43" t="str">
        <f ca="1">IFERROR(__xludf.DUMMYFUNCTION("""COMPUTED_VALUE"""),"Stock")</f>
        <v>Stock</v>
      </c>
      <c r="G92" s="43" t="str">
        <f ca="1">IFERROR(__xludf.DUMMYFUNCTION("""COMPUTED_VALUE"""),"USD")</f>
        <v>USD</v>
      </c>
      <c r="H92" s="154">
        <f ca="1">IFERROR(__xludf.DUMMYFUNCTION("""COMPUTED_VALUE"""),100)</f>
        <v>100</v>
      </c>
      <c r="I92" s="148">
        <f ca="1">IFERROR(__xludf.DUMMYFUNCTION("""COMPUTED_VALUE"""),7.801355)</f>
        <v>7.801355</v>
      </c>
      <c r="J92" s="149">
        <f ca="1">IFERROR(__xludf.DUMMYFUNCTION("""COMPUTED_VALUE"""),264.95)</f>
        <v>264.95</v>
      </c>
      <c r="K92" s="43"/>
      <c r="L92" s="149">
        <f ca="1">IFERROR(__xludf.DUMMYFUNCTION("""COMPUTED_VALUE"""),265.24)</f>
        <v>265.24</v>
      </c>
      <c r="M92" s="155" t="str">
        <f ca="1">IFERROR(__xludf.DUMMYFUNCTION("""COMPUTED_VALUE"""),"Equity Key Stats")</f>
        <v>Equity Key Stats</v>
      </c>
      <c r="N92" s="43"/>
      <c r="O92" s="43"/>
      <c r="P92" s="157">
        <f ca="1">IFERROR(__xludf.DUMMYFUNCTION("""COMPUTED_VALUE"""),-206696.900724999)</f>
        <v>-206696.900724999</v>
      </c>
      <c r="Q92" s="151"/>
      <c r="R92" s="152">
        <f ca="1">IFERROR(__xludf.DUMMYFUNCTION("""COMPUTED_VALUE"""),256.34)</f>
        <v>256.33999999999997</v>
      </c>
      <c r="S92" s="150">
        <f ca="1">IFERROR(__xludf.DUMMYFUNCTION("""COMPUTED_VALUE"""),199979.93407)</f>
        <v>199979.93406999999</v>
      </c>
      <c r="T92" s="108">
        <f ca="1">IFERROR(__xludf.DUMMYFUNCTION("""COMPUTED_VALUE"""),1)</f>
        <v>1</v>
      </c>
      <c r="U92" s="43">
        <f ca="1">IFERROR(__xludf.DUMMYFUNCTION("""COMPUTED_VALUE"""),1)</f>
        <v>1</v>
      </c>
      <c r="V92" s="144">
        <f ca="1">IFERROR(__xludf.DUMMYFUNCTION("""COMPUTED_VALUE"""),-6716.96665499999)</f>
        <v>-6716.9666549999902</v>
      </c>
      <c r="W92" s="145" t="str">
        <f ca="1">IFERROR(__xludf.DUMMYFUNCTION("""COMPUTED_VALUE"""),"")</f>
        <v/>
      </c>
      <c r="X92" s="11" t="str">
        <f ca="1">IFERROR(__xludf.DUMMYFUNCTION("""COMPUTED_VALUE"""),"")</f>
        <v/>
      </c>
      <c r="Y92" s="11" t="str">
        <f ca="1">IFERROR(__xludf.DUMMYFUNCTION("""COMPUTED_VALUE"""),"")</f>
        <v/>
      </c>
      <c r="Z92" s="4" t="str">
        <f ca="1">IFERROR(__xludf.DUMMYFUNCTION("""COMPUTED_VALUE"""),"")</f>
        <v/>
      </c>
    </row>
    <row r="93" spans="1:26" ht="13" x14ac:dyDescent="0.15">
      <c r="A93" s="43" t="str">
        <f ca="1">IFERROR(__xludf.DUMMYFUNCTION("""COMPUTED_VALUE"""),"")</f>
        <v/>
      </c>
      <c r="B93" s="43" t="str">
        <f ca="1">IFERROR(__xludf.DUMMYFUNCTION("""COMPUTED_VALUE"""),"36221")</f>
        <v>36221</v>
      </c>
      <c r="C93" s="146">
        <f ca="1">IFERROR(__xludf.DUMMYFUNCTION("""COMPUTED_VALUE"""),44607000201)</f>
        <v>44607000201</v>
      </c>
      <c r="D93" s="163" t="str">
        <f ca="1">IFERROR(__xludf.DUMMYFUNCTION("""COMPUTED_VALUE"""),"SONY")</f>
        <v>SONY</v>
      </c>
      <c r="E93" s="147">
        <f ca="1">IFERROR(__xludf.DUMMYFUNCTION("""COMPUTED_VALUE"""),44607)</f>
        <v>44607</v>
      </c>
      <c r="F93" s="43" t="str">
        <f ca="1">IFERROR(__xludf.DUMMYFUNCTION("""COMPUTED_VALUE"""),"Stock")</f>
        <v>Stock</v>
      </c>
      <c r="G93" s="43" t="str">
        <f ca="1">IFERROR(__xludf.DUMMYFUNCTION("""COMPUTED_VALUE"""),"USD")</f>
        <v>USD</v>
      </c>
      <c r="H93" s="154">
        <f ca="1">IFERROR(__xludf.DUMMYFUNCTION("""COMPUTED_VALUE"""),400)</f>
        <v>400</v>
      </c>
      <c r="I93" s="148">
        <f ca="1">IFERROR(__xludf.DUMMYFUNCTION("""COMPUTED_VALUE"""),7.801355)</f>
        <v>7.801355</v>
      </c>
      <c r="J93" s="149">
        <f ca="1">IFERROR(__xludf.DUMMYFUNCTION("""COMPUTED_VALUE"""),108.46)</f>
        <v>108.46</v>
      </c>
      <c r="K93" s="43"/>
      <c r="L93" s="149">
        <f ca="1">IFERROR(__xludf.DUMMYFUNCTION("""COMPUTED_VALUE"""),105.73)</f>
        <v>105.73</v>
      </c>
      <c r="M93" s="155" t="str">
        <f ca="1">IFERROR(__xludf.DUMMYFUNCTION("""COMPUTED_VALUE"""),"Equity Key Stats")</f>
        <v>Equity Key Stats</v>
      </c>
      <c r="N93" s="43"/>
      <c r="O93" s="43"/>
      <c r="P93" s="150">
        <f ca="1">IFERROR(__xludf.DUMMYFUNCTION("""COMPUTED_VALUE"""),-338453.98532)</f>
        <v>-338453.98531999998</v>
      </c>
      <c r="Q93" s="151"/>
      <c r="R93" s="152">
        <f ca="1">IFERROR(__xludf.DUMMYFUNCTION("""COMPUTED_VALUE"""),104.15)</f>
        <v>104.15</v>
      </c>
      <c r="S93" s="150">
        <f ca="1">IFERROR(__xludf.DUMMYFUNCTION("""COMPUTED_VALUE"""),325004.4493)</f>
        <v>325004.44929999998</v>
      </c>
      <c r="T93" s="108">
        <f ca="1">IFERROR(__xludf.DUMMYFUNCTION("""COMPUTED_VALUE"""),1)</f>
        <v>1</v>
      </c>
      <c r="U93" s="108">
        <f ca="1">IFERROR(__xludf.DUMMYFUNCTION("""COMPUTED_VALUE"""),1)</f>
        <v>1</v>
      </c>
      <c r="V93" s="153">
        <f ca="1">IFERROR(__xludf.DUMMYFUNCTION("""COMPUTED_VALUE"""),-13449.5360199999)</f>
        <v>-13449.5360199999</v>
      </c>
      <c r="W93" s="145" t="str">
        <f ca="1">IFERROR(__xludf.DUMMYFUNCTION("""COMPUTED_VALUE"""),"")</f>
        <v/>
      </c>
      <c r="X93" s="11" t="str">
        <f ca="1">IFERROR(__xludf.DUMMYFUNCTION("""COMPUTED_VALUE"""),"")</f>
        <v/>
      </c>
      <c r="Y93" s="11" t="str">
        <f ca="1">IFERROR(__xludf.DUMMYFUNCTION("""COMPUTED_VALUE"""),"")</f>
        <v/>
      </c>
      <c r="Z93" s="4" t="str">
        <f ca="1">IFERROR(__xludf.DUMMYFUNCTION("""COMPUTED_VALUE"""),"")</f>
        <v/>
      </c>
    </row>
    <row r="94" spans="1:26" ht="13" x14ac:dyDescent="0.15">
      <c r="A94" s="43" t="str">
        <f ca="1">IFERROR(__xludf.DUMMYFUNCTION("""COMPUTED_VALUE"""),"")</f>
        <v/>
      </c>
      <c r="B94" s="43" t="str">
        <f ca="1">IFERROR(__xludf.DUMMYFUNCTION("""COMPUTED_VALUE"""),"36221")</f>
        <v>36221</v>
      </c>
      <c r="C94" s="146">
        <f ca="1">IFERROR(__xludf.DUMMYFUNCTION("""COMPUTED_VALUE"""),44607000202)</f>
        <v>44607000202</v>
      </c>
      <c r="D94" s="163" t="str">
        <f ca="1">IFERROR(__xludf.DUMMYFUNCTION("""COMPUTED_VALUE"""),"ATVI")</f>
        <v>ATVI</v>
      </c>
      <c r="E94" s="147">
        <f ca="1">IFERROR(__xludf.DUMMYFUNCTION("""COMPUTED_VALUE"""),44607)</f>
        <v>44607</v>
      </c>
      <c r="F94" s="43" t="str">
        <f ca="1">IFERROR(__xludf.DUMMYFUNCTION("""COMPUTED_VALUE"""),"Stock")</f>
        <v>Stock</v>
      </c>
      <c r="G94" s="43" t="str">
        <f ca="1">IFERROR(__xludf.DUMMYFUNCTION("""COMPUTED_VALUE"""),"USD")</f>
        <v>USD</v>
      </c>
      <c r="H94" s="154">
        <f ca="1">IFERROR(__xludf.DUMMYFUNCTION("""COMPUTED_VALUE"""),200)</f>
        <v>200</v>
      </c>
      <c r="I94" s="148">
        <f ca="1">IFERROR(__xludf.DUMMYFUNCTION("""COMPUTED_VALUE"""),7.801355)</f>
        <v>7.801355</v>
      </c>
      <c r="J94" s="149">
        <f ca="1">IFERROR(__xludf.DUMMYFUNCTION("""COMPUTED_VALUE"""),81.52)</f>
        <v>81.52</v>
      </c>
      <c r="K94" s="43"/>
      <c r="L94" s="149">
        <f ca="1">IFERROR(__xludf.DUMMYFUNCTION("""COMPUTED_VALUE"""),79.3)</f>
        <v>79.3</v>
      </c>
      <c r="M94" s="155" t="str">
        <f ca="1">IFERROR(__xludf.DUMMYFUNCTION("""COMPUTED_VALUE"""),"Equity Key Stats")</f>
        <v>Equity Key Stats</v>
      </c>
      <c r="N94" s="43"/>
      <c r="O94" s="43"/>
      <c r="P94" s="157">
        <f ca="1">IFERROR(__xludf.DUMMYFUNCTION("""COMPUTED_VALUE"""),-127193.291919999)</f>
        <v>-127193.291919999</v>
      </c>
      <c r="Q94" s="151"/>
      <c r="R94" s="152">
        <f ca="1">IFERROR(__xludf.DUMMYFUNCTION("""COMPUTED_VALUE"""),79.07)</f>
        <v>79.069999999999993</v>
      </c>
      <c r="S94" s="150">
        <f ca="1">IFERROR(__xludf.DUMMYFUNCTION("""COMPUTED_VALUE"""),123370.627969999)</f>
        <v>123370.627969999</v>
      </c>
      <c r="T94" s="108">
        <f ca="1">IFERROR(__xludf.DUMMYFUNCTION("""COMPUTED_VALUE"""),1)</f>
        <v>1</v>
      </c>
      <c r="U94" s="108">
        <f ca="1">IFERROR(__xludf.DUMMYFUNCTION("""COMPUTED_VALUE"""),1)</f>
        <v>1</v>
      </c>
      <c r="V94" s="158">
        <f ca="1">IFERROR(__xludf.DUMMYFUNCTION("""COMPUTED_VALUE"""),-3822.66395)</f>
        <v>-3822.6639500000001</v>
      </c>
      <c r="W94" s="145" t="str">
        <f ca="1">IFERROR(__xludf.DUMMYFUNCTION("""COMPUTED_VALUE"""),"")</f>
        <v/>
      </c>
      <c r="X94" s="11" t="str">
        <f ca="1">IFERROR(__xludf.DUMMYFUNCTION("""COMPUTED_VALUE"""),"")</f>
        <v/>
      </c>
      <c r="Y94" s="11" t="str">
        <f ca="1">IFERROR(__xludf.DUMMYFUNCTION("""COMPUTED_VALUE"""),"")</f>
        <v/>
      </c>
      <c r="Z94" s="4" t="str">
        <f ca="1">IFERROR(__xludf.DUMMYFUNCTION("""COMPUTED_VALUE"""),"")</f>
        <v/>
      </c>
    </row>
    <row r="95" spans="1:26" ht="13" x14ac:dyDescent="0.15">
      <c r="A95" s="43" t="str">
        <f ca="1">IFERROR(__xludf.DUMMYFUNCTION("""COMPUTED_VALUE"""),"36221")</f>
        <v>36221</v>
      </c>
      <c r="B95" s="43" t="str">
        <f ca="1">IFERROR(__xludf.DUMMYFUNCTION("""COMPUTED_VALUE"""),"36221")</f>
        <v>36221</v>
      </c>
      <c r="C95" s="146">
        <f ca="1">IFERROR(__xludf.DUMMYFUNCTION("""COMPUTED_VALUE"""),44607000205)</f>
        <v>44607000205</v>
      </c>
      <c r="D95" s="163" t="str">
        <f ca="1">IFERROR(__xludf.DUMMYFUNCTION("""COMPUTED_VALUE"""),"tcehy")</f>
        <v>tcehy</v>
      </c>
      <c r="E95" s="147">
        <f ca="1">IFERROR(__xludf.DUMMYFUNCTION("""COMPUTED_VALUE"""),44607)</f>
        <v>44607</v>
      </c>
      <c r="F95" s="43" t="str">
        <f ca="1">IFERROR(__xludf.DUMMYFUNCTION("""COMPUTED_VALUE"""),"Stock")</f>
        <v>Stock</v>
      </c>
      <c r="G95" s="43" t="str">
        <f ca="1">IFERROR(__xludf.DUMMYFUNCTION("""COMPUTED_VALUE"""),"USD")</f>
        <v>USD</v>
      </c>
      <c r="H95" s="154" t="str">
        <f ca="1">IFERROR(__xludf.DUMMYFUNCTION("""COMPUTED_VALUE"""),"")</f>
        <v/>
      </c>
      <c r="I95" s="148">
        <f ca="1">IFERROR(__xludf.DUMMYFUNCTION("""COMPUTED_VALUE"""),7.801355)</f>
        <v>7.801355</v>
      </c>
      <c r="J95" s="149">
        <f ca="1">IFERROR(__xludf.DUMMYFUNCTION("""COMPUTED_VALUE"""),61.07)</f>
        <v>61.07</v>
      </c>
      <c r="K95" s="43"/>
      <c r="L95" s="149">
        <f ca="1">IFERROR(__xludf.DUMMYFUNCTION("""COMPUTED_VALUE"""),50.61)</f>
        <v>50.61</v>
      </c>
      <c r="M95" s="155" t="str">
        <f ca="1">IFERROR(__xludf.DUMMYFUNCTION("""COMPUTED_VALUE"""),"Equity Key Stats")</f>
        <v>Equity Key Stats</v>
      </c>
      <c r="N95" s="43"/>
      <c r="O95" s="43"/>
      <c r="P95" s="157">
        <f ca="1">IFERROR(__xludf.DUMMYFUNCTION("""COMPUTED_VALUE"""),0)</f>
        <v>0</v>
      </c>
      <c r="Q95" s="151"/>
      <c r="R95" s="152">
        <f ca="1">IFERROR(__xludf.DUMMYFUNCTION("""COMPUTED_VALUE"""),47.86)</f>
        <v>47.86</v>
      </c>
      <c r="S95" s="150">
        <f ca="1">IFERROR(__xludf.DUMMYFUNCTION("""COMPUTED_VALUE"""),0)</f>
        <v>0</v>
      </c>
      <c r="T95" s="108">
        <f ca="1">IFERROR(__xludf.DUMMYFUNCTION("""COMPUTED_VALUE"""),1)</f>
        <v>1</v>
      </c>
      <c r="U95" s="108">
        <f ca="1">IFERROR(__xludf.DUMMYFUNCTION("""COMPUTED_VALUE"""),1)</f>
        <v>1</v>
      </c>
      <c r="V95" s="158">
        <f ca="1">IFERROR(__xludf.DUMMYFUNCTION("""COMPUTED_VALUE"""),0)</f>
        <v>0</v>
      </c>
      <c r="W95" s="145">
        <f ca="1">IFERROR(__xludf.DUMMYFUNCTION("""COMPUTED_VALUE"""),476010.833375)</f>
        <v>476010.83337499999</v>
      </c>
      <c r="X95" s="11">
        <f ca="1">IFERROR(__xludf.DUMMYFUNCTION("""COMPUTED_VALUE"""),-172344.177964999)</f>
        <v>-172344.17796499899</v>
      </c>
      <c r="Y95" s="11">
        <f ca="1">IFERROR(__xludf.DUMMYFUNCTION("""COMPUTED_VALUE"""),172344.177964999)</f>
        <v>172344.17796499899</v>
      </c>
      <c r="Z95" s="4">
        <f ca="1">IFERROR(__xludf.DUMMYFUNCTION("""COMPUTED_VALUE"""),-0.0479783332499998)</f>
        <v>-4.7978333249999797E-2</v>
      </c>
    </row>
    <row r="96" spans="1:26" ht="13" x14ac:dyDescent="0.15">
      <c r="A96" s="43" t="str">
        <f ca="1">IFERROR(__xludf.DUMMYFUNCTION("""COMPUTED_VALUE"""),"")</f>
        <v/>
      </c>
      <c r="B96" s="43" t="str">
        <f ca="1">IFERROR(__xludf.DUMMYFUNCTION("""COMPUTED_VALUE"""),"36242")</f>
        <v>36242</v>
      </c>
      <c r="C96" s="146">
        <f ca="1">IFERROR(__xludf.DUMMYFUNCTION("""COMPUTED_VALUE"""),44597000123)</f>
        <v>44597000123</v>
      </c>
      <c r="D96" s="43" t="str">
        <f ca="1">IFERROR(__xludf.DUMMYFUNCTION("""COMPUTED_VALUE"""),"Cash")</f>
        <v>Cash</v>
      </c>
      <c r="E96" s="147">
        <f ca="1">IFERROR(__xludf.DUMMYFUNCTION("""COMPUTED_VALUE"""),44597)</f>
        <v>44597</v>
      </c>
      <c r="F96" s="43" t="str">
        <f ca="1">IFERROR(__xludf.DUMMYFUNCTION("""COMPUTED_VALUE"""),"Cash")</f>
        <v>Cash</v>
      </c>
      <c r="G96" s="43" t="str">
        <f ca="1">IFERROR(__xludf.DUMMYFUNCTION("""COMPUTED_VALUE"""),"HKD")</f>
        <v>HKD</v>
      </c>
      <c r="H96" s="154" t="str">
        <f ca="1">IFERROR(__xludf.DUMMYFUNCTION("""COMPUTED_VALUE"""),"")</f>
        <v/>
      </c>
      <c r="I96" s="148">
        <f ca="1">IFERROR(__xludf.DUMMYFUNCTION("""COMPUTED_VALUE"""),1)</f>
        <v>1</v>
      </c>
      <c r="J96" s="149">
        <f ca="1">IFERROR(__xludf.DUMMYFUNCTION("""COMPUTED_VALUE"""),1)</f>
        <v>1</v>
      </c>
      <c r="K96" s="43"/>
      <c r="L96" s="149">
        <f ca="1">IFERROR(__xludf.DUMMYFUNCTION("""COMPUTED_VALUE"""),1)</f>
        <v>1</v>
      </c>
      <c r="M96" s="155" t="str">
        <f ca="1">IFERROR(__xludf.DUMMYFUNCTION("""COMPUTED_VALUE"""),"")</f>
        <v/>
      </c>
      <c r="N96" s="43"/>
      <c r="O96" s="43"/>
      <c r="P96" s="157">
        <f ca="1">IFERROR(__xludf.DUMMYFUNCTION("""COMPUTED_VALUE"""),500000)</f>
        <v>500000</v>
      </c>
      <c r="Q96" s="151"/>
      <c r="R96" s="152">
        <f ca="1">IFERROR(__xludf.DUMMYFUNCTION("""COMPUTED_VALUE"""),1)</f>
        <v>1</v>
      </c>
      <c r="S96" s="150" t="str">
        <f ca="1">IFERROR(__xludf.DUMMYFUNCTION("""COMPUTED_VALUE"""),"")</f>
        <v/>
      </c>
      <c r="T96" s="108">
        <f ca="1">IFERROR(__xludf.DUMMYFUNCTION("""COMPUTED_VALUE"""),1)</f>
        <v>1</v>
      </c>
      <c r="U96" s="108">
        <f ca="1">IFERROR(__xludf.DUMMYFUNCTION("""COMPUTED_VALUE"""),1)</f>
        <v>1</v>
      </c>
      <c r="V96" s="153">
        <f ca="1">IFERROR(__xludf.DUMMYFUNCTION("""COMPUTED_VALUE"""),500000)</f>
        <v>500000</v>
      </c>
      <c r="W96" s="44" t="str">
        <f ca="1">IFERROR(__xludf.DUMMYFUNCTION("""COMPUTED_VALUE"""),"")</f>
        <v/>
      </c>
      <c r="X96" s="154" t="str">
        <f ca="1">IFERROR(__xludf.DUMMYFUNCTION("""COMPUTED_VALUE"""),"")</f>
        <v/>
      </c>
      <c r="Y96" s="154" t="str">
        <f ca="1">IFERROR(__xludf.DUMMYFUNCTION("""COMPUTED_VALUE"""),"")</f>
        <v/>
      </c>
      <c r="Z96" s="162" t="str">
        <f ca="1">IFERROR(__xludf.DUMMYFUNCTION("""COMPUTED_VALUE"""),"")</f>
        <v/>
      </c>
    </row>
    <row r="97" spans="1:26" ht="13" x14ac:dyDescent="0.15">
      <c r="A97" s="43" t="str">
        <f ca="1">IFERROR(__xludf.DUMMYFUNCTION("""COMPUTED_VALUE"""),"36242")</f>
        <v>36242</v>
      </c>
      <c r="B97" s="43" t="str">
        <f ca="1">IFERROR(__xludf.DUMMYFUNCTION("""COMPUTED_VALUE"""),"36242")</f>
        <v>36242</v>
      </c>
      <c r="C97" s="146">
        <f ca="1">IFERROR(__xludf.DUMMYFUNCTION("""COMPUTED_VALUE"""),44643000806)</f>
        <v>44643000806</v>
      </c>
      <c r="D97" s="43" t="str">
        <f ca="1">IFERROR(__xludf.DUMMYFUNCTION("""COMPUTED_VALUE"""),"BA")</f>
        <v>BA</v>
      </c>
      <c r="E97" s="147">
        <f ca="1">IFERROR(__xludf.DUMMYFUNCTION("""COMPUTED_VALUE"""),44643)</f>
        <v>44643</v>
      </c>
      <c r="F97" s="43" t="str">
        <f ca="1">IFERROR(__xludf.DUMMYFUNCTION("""COMPUTED_VALUE"""),"Stock")</f>
        <v>Stock</v>
      </c>
      <c r="G97" s="43" t="str">
        <f ca="1">IFERROR(__xludf.DUMMYFUNCTION("""COMPUTED_VALUE"""),"USD")</f>
        <v>USD</v>
      </c>
      <c r="H97" s="11">
        <f ca="1">IFERROR(__xludf.DUMMYFUNCTION("""COMPUTED_VALUE"""),0)</f>
        <v>0</v>
      </c>
      <c r="I97" s="148">
        <f ca="1">IFERROR(__xludf.DUMMYFUNCTION("""COMPUTED_VALUE"""),7.823645)</f>
        <v>7.823645</v>
      </c>
      <c r="J97" s="149">
        <f ca="1">IFERROR(__xludf.DUMMYFUNCTION("""COMPUTED_VALUE"""),0)</f>
        <v>0</v>
      </c>
      <c r="K97" s="43"/>
      <c r="L97" s="149">
        <f ca="1">IFERROR(__xludf.DUMMYFUNCTION("""COMPUTED_VALUE"""),191.04)</f>
        <v>191.04</v>
      </c>
      <c r="M97" s="160" t="str">
        <f ca="1">IFERROR(__xludf.DUMMYFUNCTION("""COMPUTED_VALUE"""),"Equity Key Stats")</f>
        <v>Equity Key Stats</v>
      </c>
      <c r="N97" s="43"/>
      <c r="O97" s="43"/>
      <c r="P97" s="150">
        <f ca="1">IFERROR(__xludf.DUMMYFUNCTION("""COMPUTED_VALUE"""),0)</f>
        <v>0</v>
      </c>
      <c r="Q97" s="151"/>
      <c r="R97" s="152">
        <f ca="1">IFERROR(__xludf.DUMMYFUNCTION("""COMPUTED_VALUE"""),186.04)</f>
        <v>186.04</v>
      </c>
      <c r="S97" s="127">
        <f ca="1">IFERROR(__xludf.DUMMYFUNCTION("""COMPUTED_VALUE"""),0)</f>
        <v>0</v>
      </c>
      <c r="T97" s="108">
        <f ca="1">IFERROR(__xludf.DUMMYFUNCTION("""COMPUTED_VALUE"""),1)</f>
        <v>1</v>
      </c>
      <c r="U97" s="108">
        <f ca="1">IFERROR(__xludf.DUMMYFUNCTION("""COMPUTED_VALUE"""),1)</f>
        <v>1</v>
      </c>
      <c r="V97" s="153">
        <f ca="1">IFERROR(__xludf.DUMMYFUNCTION("""COMPUTED_VALUE"""),0)</f>
        <v>0</v>
      </c>
      <c r="W97" s="44">
        <f ca="1">IFERROR(__xludf.DUMMYFUNCTION("""COMPUTED_VALUE"""),500000)</f>
        <v>500000</v>
      </c>
      <c r="X97" s="154">
        <f ca="1">IFERROR(__xludf.DUMMYFUNCTION("""COMPUTED_VALUE"""),500000)</f>
        <v>500000</v>
      </c>
      <c r="Y97" s="154">
        <f ca="1">IFERROR(__xludf.DUMMYFUNCTION("""COMPUTED_VALUE"""),0)</f>
        <v>0</v>
      </c>
      <c r="Z97" s="159">
        <f ca="1">IFERROR(__xludf.DUMMYFUNCTION("""COMPUTED_VALUE"""),0)</f>
        <v>0</v>
      </c>
    </row>
    <row r="98" spans="1:26" ht="13" x14ac:dyDescent="0.15">
      <c r="A98" s="43" t="str">
        <f ca="1">IFERROR(__xludf.DUMMYFUNCTION("""COMPUTED_VALUE"""),"")</f>
        <v/>
      </c>
      <c r="B98" s="43" t="str">
        <f ca="1">IFERROR(__xludf.DUMMYFUNCTION("""COMPUTED_VALUE"""),"36252")</f>
        <v>36252</v>
      </c>
      <c r="C98" s="146">
        <f ca="1">IFERROR(__xludf.DUMMYFUNCTION("""COMPUTED_VALUE"""),44597000037)</f>
        <v>44597000037</v>
      </c>
      <c r="D98" s="43" t="str">
        <f ca="1">IFERROR(__xludf.DUMMYFUNCTION("""COMPUTED_VALUE"""),"Cash")</f>
        <v>Cash</v>
      </c>
      <c r="E98" s="147">
        <f ca="1">IFERROR(__xludf.DUMMYFUNCTION("""COMPUTED_VALUE"""),44597)</f>
        <v>44597</v>
      </c>
      <c r="F98" s="43" t="str">
        <f ca="1">IFERROR(__xludf.DUMMYFUNCTION("""COMPUTED_VALUE"""),"Cash")</f>
        <v>Cash</v>
      </c>
      <c r="G98" s="43" t="str">
        <f ca="1">IFERROR(__xludf.DUMMYFUNCTION("""COMPUTED_VALUE"""),"HKD")</f>
        <v>HKD</v>
      </c>
      <c r="H98" s="11" t="str">
        <f ca="1">IFERROR(__xludf.DUMMYFUNCTION("""COMPUTED_VALUE"""),"")</f>
        <v/>
      </c>
      <c r="I98" s="148">
        <f ca="1">IFERROR(__xludf.DUMMYFUNCTION("""COMPUTED_VALUE"""),1)</f>
        <v>1</v>
      </c>
      <c r="J98" s="108">
        <f ca="1">IFERROR(__xludf.DUMMYFUNCTION("""COMPUTED_VALUE"""),1)</f>
        <v>1</v>
      </c>
      <c r="K98" s="43"/>
      <c r="L98" s="149">
        <f ca="1">IFERROR(__xludf.DUMMYFUNCTION("""COMPUTED_VALUE"""),1)</f>
        <v>1</v>
      </c>
      <c r="M98" s="3" t="str">
        <f ca="1">IFERROR(__xludf.DUMMYFUNCTION("""COMPUTED_VALUE"""),"")</f>
        <v/>
      </c>
      <c r="N98" s="43"/>
      <c r="O98" s="43"/>
      <c r="P98" s="150">
        <f ca="1">IFERROR(__xludf.DUMMYFUNCTION("""COMPUTED_VALUE"""),500000)</f>
        <v>500000</v>
      </c>
      <c r="Q98" s="151"/>
      <c r="R98" s="152">
        <f ca="1">IFERROR(__xludf.DUMMYFUNCTION("""COMPUTED_VALUE"""),1)</f>
        <v>1</v>
      </c>
      <c r="S98" s="127" t="str">
        <f ca="1">IFERROR(__xludf.DUMMYFUNCTION("""COMPUTED_VALUE"""),"")</f>
        <v/>
      </c>
      <c r="T98" s="108">
        <f ca="1">IFERROR(__xludf.DUMMYFUNCTION("""COMPUTED_VALUE"""),1)</f>
        <v>1</v>
      </c>
      <c r="U98" s="108">
        <f ca="1">IFERROR(__xludf.DUMMYFUNCTION("""COMPUTED_VALUE"""),1)</f>
        <v>1</v>
      </c>
      <c r="V98" s="153">
        <f ca="1">IFERROR(__xludf.DUMMYFUNCTION("""COMPUTED_VALUE"""),500000)</f>
        <v>500000</v>
      </c>
      <c r="W98" s="44" t="str">
        <f ca="1">IFERROR(__xludf.DUMMYFUNCTION("""COMPUTED_VALUE"""),"")</f>
        <v/>
      </c>
      <c r="X98" s="154" t="str">
        <f ca="1">IFERROR(__xludf.DUMMYFUNCTION("""COMPUTED_VALUE"""),"")</f>
        <v/>
      </c>
      <c r="Y98" s="154" t="str">
        <f ca="1">IFERROR(__xludf.DUMMYFUNCTION("""COMPUTED_VALUE"""),"")</f>
        <v/>
      </c>
      <c r="Z98" s="159" t="str">
        <f ca="1">IFERROR(__xludf.DUMMYFUNCTION("""COMPUTED_VALUE"""),"")</f>
        <v/>
      </c>
    </row>
    <row r="99" spans="1:26" ht="13" x14ac:dyDescent="0.15">
      <c r="A99" s="43" t="str">
        <f ca="1">IFERROR(__xludf.DUMMYFUNCTION("""COMPUTED_VALUE"""),"")</f>
        <v/>
      </c>
      <c r="B99" s="43" t="str">
        <f ca="1">IFERROR(__xludf.DUMMYFUNCTION("""COMPUTED_VALUE"""),"36252")</f>
        <v>36252</v>
      </c>
      <c r="C99" s="146">
        <f ca="1">IFERROR(__xludf.DUMMYFUNCTION("""COMPUTED_VALUE"""),44639000715)</f>
        <v>44639000715</v>
      </c>
      <c r="D99" s="161" t="str">
        <f ca="1">IFERROR(__xludf.DUMMYFUNCTION("""COMPUTED_VALUE"""),"2318.hk")</f>
        <v>2318.hk</v>
      </c>
      <c r="E99" s="147">
        <f ca="1">IFERROR(__xludf.DUMMYFUNCTION("""COMPUTED_VALUE"""),44639)</f>
        <v>44639</v>
      </c>
      <c r="F99" s="43" t="str">
        <f ca="1">IFERROR(__xludf.DUMMYFUNCTION("""COMPUTED_VALUE"""),"Stock")</f>
        <v>Stock</v>
      </c>
      <c r="G99" s="43" t="str">
        <f ca="1">IFERROR(__xludf.DUMMYFUNCTION("""COMPUTED_VALUE"""),"HKD")</f>
        <v>HKD</v>
      </c>
      <c r="H99" s="11">
        <f ca="1">IFERROR(__xludf.DUMMYFUNCTION("""COMPUTED_VALUE"""),1600)</f>
        <v>1600</v>
      </c>
      <c r="I99" s="148">
        <f ca="1">IFERROR(__xludf.DUMMYFUNCTION("""COMPUTED_VALUE"""),1)</f>
        <v>1</v>
      </c>
      <c r="J99" s="149">
        <f ca="1">IFERROR(__xludf.DUMMYFUNCTION("""COMPUTED_VALUE"""),54.7)</f>
        <v>54.7</v>
      </c>
      <c r="K99" s="43"/>
      <c r="L99" s="149">
        <f ca="1">IFERROR(__xludf.DUMMYFUNCTION("""COMPUTED_VALUE"""),55.9)</f>
        <v>55.9</v>
      </c>
      <c r="M99" s="160" t="str">
        <f ca="1">IFERROR(__xludf.DUMMYFUNCTION("""COMPUTED_VALUE"""),"Equity Key Stats")</f>
        <v>Equity Key Stats</v>
      </c>
      <c r="N99" s="43"/>
      <c r="O99" s="43"/>
      <c r="P99" s="150">
        <f ca="1">IFERROR(__xludf.DUMMYFUNCTION("""COMPUTED_VALUE"""),-87520)</f>
        <v>-87520</v>
      </c>
      <c r="Q99" s="151"/>
      <c r="R99" s="152">
        <f ca="1">IFERROR(__xludf.DUMMYFUNCTION("""COMPUTED_VALUE"""),56.7)</f>
        <v>56.7</v>
      </c>
      <c r="S99" s="127">
        <f ca="1">IFERROR(__xludf.DUMMYFUNCTION("""COMPUTED_VALUE"""),90720)</f>
        <v>90720</v>
      </c>
      <c r="T99" s="108">
        <f ca="1">IFERROR(__xludf.DUMMYFUNCTION("""COMPUTED_VALUE"""),1)</f>
        <v>1</v>
      </c>
      <c r="U99" s="108">
        <f ca="1">IFERROR(__xludf.DUMMYFUNCTION("""COMPUTED_VALUE"""),1)</f>
        <v>1</v>
      </c>
      <c r="V99" s="153">
        <f ca="1">IFERROR(__xludf.DUMMYFUNCTION("""COMPUTED_VALUE"""),3200)</f>
        <v>3200</v>
      </c>
      <c r="W99" s="44" t="str">
        <f ca="1">IFERROR(__xludf.DUMMYFUNCTION("""COMPUTED_VALUE"""),"")</f>
        <v/>
      </c>
      <c r="X99" s="154" t="str">
        <f ca="1">IFERROR(__xludf.DUMMYFUNCTION("""COMPUTED_VALUE"""),"")</f>
        <v/>
      </c>
      <c r="Y99" s="154" t="str">
        <f ca="1">IFERROR(__xludf.DUMMYFUNCTION("""COMPUTED_VALUE"""),"")</f>
        <v/>
      </c>
      <c r="Z99" s="159" t="str">
        <f ca="1">IFERROR(__xludf.DUMMYFUNCTION("""COMPUTED_VALUE"""),"")</f>
        <v/>
      </c>
    </row>
    <row r="100" spans="1:26" ht="13" x14ac:dyDescent="0.15">
      <c r="A100" s="43" t="str">
        <f ca="1">IFERROR(__xludf.DUMMYFUNCTION("""COMPUTED_VALUE"""),"")</f>
        <v/>
      </c>
      <c r="B100" s="43" t="str">
        <f ca="1">IFERROR(__xludf.DUMMYFUNCTION("""COMPUTED_VALUE"""),"36252")</f>
        <v>36252</v>
      </c>
      <c r="C100" s="146">
        <f ca="1">IFERROR(__xludf.DUMMYFUNCTION("""COMPUTED_VALUE"""),44641000710)</f>
        <v>44641000710</v>
      </c>
      <c r="D100" s="161" t="str">
        <f ca="1">IFERROR(__xludf.DUMMYFUNCTION("""COMPUTED_VALUE"""),"0346.hk")</f>
        <v>0346.hk</v>
      </c>
      <c r="E100" s="147">
        <f ca="1">IFERROR(__xludf.DUMMYFUNCTION("""COMPUTED_VALUE"""),44641)</f>
        <v>44641</v>
      </c>
      <c r="F100" s="43" t="str">
        <f ca="1">IFERROR(__xludf.DUMMYFUNCTION("""COMPUTED_VALUE"""),"Stock")</f>
        <v>Stock</v>
      </c>
      <c r="G100" s="43" t="str">
        <f ca="1">IFERROR(__xludf.DUMMYFUNCTION("""COMPUTED_VALUE"""),"HKD")</f>
        <v>HKD</v>
      </c>
      <c r="H100" s="11">
        <f ca="1">IFERROR(__xludf.DUMMYFUNCTION("""COMPUTED_VALUE"""),500000)</f>
        <v>500000</v>
      </c>
      <c r="I100" s="148">
        <f ca="1">IFERROR(__xludf.DUMMYFUNCTION("""COMPUTED_VALUE"""),1)</f>
        <v>1</v>
      </c>
      <c r="J100" s="149">
        <f ca="1">IFERROR(__xludf.DUMMYFUNCTION("""COMPUTED_VALUE"""),0.064)</f>
        <v>6.4000000000000001E-2</v>
      </c>
      <c r="K100" s="43"/>
      <c r="L100" s="149">
        <f ca="1">IFERROR(__xludf.DUMMYFUNCTION("""COMPUTED_VALUE"""),0.065)</f>
        <v>6.5000000000000002E-2</v>
      </c>
      <c r="M100" s="160" t="str">
        <f ca="1">IFERROR(__xludf.DUMMYFUNCTION("""COMPUTED_VALUE"""),"Equity Key Stats")</f>
        <v>Equity Key Stats</v>
      </c>
      <c r="N100" s="43"/>
      <c r="O100" s="43"/>
      <c r="P100" s="150">
        <f ca="1">IFERROR(__xludf.DUMMYFUNCTION("""COMPUTED_VALUE"""),-32000)</f>
        <v>-32000</v>
      </c>
      <c r="Q100" s="151"/>
      <c r="R100" s="152">
        <f ca="1">IFERROR(__xludf.DUMMYFUNCTION("""COMPUTED_VALUE"""),0.065)</f>
        <v>6.5000000000000002E-2</v>
      </c>
      <c r="S100" s="127">
        <f ca="1">IFERROR(__xludf.DUMMYFUNCTION("""COMPUTED_VALUE"""),32500)</f>
        <v>32500</v>
      </c>
      <c r="T100" s="108">
        <f ca="1">IFERROR(__xludf.DUMMYFUNCTION("""COMPUTED_VALUE"""),1)</f>
        <v>1</v>
      </c>
      <c r="U100" s="108">
        <f ca="1">IFERROR(__xludf.DUMMYFUNCTION("""COMPUTED_VALUE"""),1)</f>
        <v>1</v>
      </c>
      <c r="V100" s="153">
        <f ca="1">IFERROR(__xludf.DUMMYFUNCTION("""COMPUTED_VALUE"""),500)</f>
        <v>500</v>
      </c>
      <c r="W100" s="44" t="str">
        <f ca="1">IFERROR(__xludf.DUMMYFUNCTION("""COMPUTED_VALUE"""),"")</f>
        <v/>
      </c>
      <c r="X100" s="154" t="str">
        <f ca="1">IFERROR(__xludf.DUMMYFUNCTION("""COMPUTED_VALUE"""),"")</f>
        <v/>
      </c>
      <c r="Y100" s="154" t="str">
        <f ca="1">IFERROR(__xludf.DUMMYFUNCTION("""COMPUTED_VALUE"""),"")</f>
        <v/>
      </c>
      <c r="Z100" s="159" t="str">
        <f ca="1">IFERROR(__xludf.DUMMYFUNCTION("""COMPUTED_VALUE"""),"")</f>
        <v/>
      </c>
    </row>
    <row r="101" spans="1:26" ht="13" x14ac:dyDescent="0.15">
      <c r="A101" s="43" t="str">
        <f ca="1">IFERROR(__xludf.DUMMYFUNCTION("""COMPUTED_VALUE"""),"36252")</f>
        <v>36252</v>
      </c>
      <c r="B101" s="43" t="str">
        <f ca="1">IFERROR(__xludf.DUMMYFUNCTION("""COMPUTED_VALUE"""),"36252")</f>
        <v>36252</v>
      </c>
      <c r="C101" s="146">
        <f ca="1">IFERROR(__xludf.DUMMYFUNCTION("""COMPUTED_VALUE"""),44641000711)</f>
        <v>44641000711</v>
      </c>
      <c r="D101" s="161" t="str">
        <f ca="1">IFERROR(__xludf.DUMMYFUNCTION("""COMPUTED_VALUE"""),"2607.hk")</f>
        <v>2607.hk</v>
      </c>
      <c r="E101" s="147">
        <f ca="1">IFERROR(__xludf.DUMMYFUNCTION("""COMPUTED_VALUE"""),44641)</f>
        <v>44641</v>
      </c>
      <c r="F101" s="43" t="str">
        <f ca="1">IFERROR(__xludf.DUMMYFUNCTION("""COMPUTED_VALUE"""),"Stock")</f>
        <v>Stock</v>
      </c>
      <c r="G101" s="43" t="str">
        <f ca="1">IFERROR(__xludf.DUMMYFUNCTION("""COMPUTED_VALUE"""),"HKD")</f>
        <v>HKD</v>
      </c>
      <c r="H101" s="11">
        <f ca="1">IFERROR(__xludf.DUMMYFUNCTION("""COMPUTED_VALUE"""),11000)</f>
        <v>11000</v>
      </c>
      <c r="I101" s="148">
        <f ca="1">IFERROR(__xludf.DUMMYFUNCTION("""COMPUTED_VALUE"""),1)</f>
        <v>1</v>
      </c>
      <c r="J101" s="149">
        <f ca="1">IFERROR(__xludf.DUMMYFUNCTION("""COMPUTED_VALUE"""),16.58)</f>
        <v>16.579999999999998</v>
      </c>
      <c r="K101" s="43"/>
      <c r="L101" s="149">
        <f ca="1">IFERROR(__xludf.DUMMYFUNCTION("""COMPUTED_VALUE"""),15.52)</f>
        <v>15.52</v>
      </c>
      <c r="M101" s="160" t="str">
        <f ca="1">IFERROR(__xludf.DUMMYFUNCTION("""COMPUTED_VALUE"""),"Equity Key Stats")</f>
        <v>Equity Key Stats</v>
      </c>
      <c r="N101" s="43"/>
      <c r="O101" s="43"/>
      <c r="P101" s="150">
        <f ca="1">IFERROR(__xludf.DUMMYFUNCTION("""COMPUTED_VALUE"""),-182379.999999999)</f>
        <v>-182379.99999999901</v>
      </c>
      <c r="Q101" s="151"/>
      <c r="R101" s="152">
        <f ca="1">IFERROR(__xludf.DUMMYFUNCTION("""COMPUTED_VALUE"""),15.38)</f>
        <v>15.38</v>
      </c>
      <c r="S101" s="127">
        <f ca="1">IFERROR(__xludf.DUMMYFUNCTION("""COMPUTED_VALUE"""),169180)</f>
        <v>169180</v>
      </c>
      <c r="T101" s="108">
        <f ca="1">IFERROR(__xludf.DUMMYFUNCTION("""COMPUTED_VALUE"""),1)</f>
        <v>1</v>
      </c>
      <c r="U101" s="108">
        <f ca="1">IFERROR(__xludf.DUMMYFUNCTION("""COMPUTED_VALUE"""),1)</f>
        <v>1</v>
      </c>
      <c r="V101" s="153">
        <f ca="1">IFERROR(__xludf.DUMMYFUNCTION("""COMPUTED_VALUE"""),-13199.9999999999)</f>
        <v>-13199.9999999999</v>
      </c>
      <c r="W101" s="145">
        <f ca="1">IFERROR(__xludf.DUMMYFUNCTION("""COMPUTED_VALUE"""),490500)</f>
        <v>490500</v>
      </c>
      <c r="X101" s="11">
        <f ca="1">IFERROR(__xludf.DUMMYFUNCTION("""COMPUTED_VALUE"""),198100)</f>
        <v>198100</v>
      </c>
      <c r="Y101" s="11">
        <f ca="1">IFERROR(__xludf.DUMMYFUNCTION("""COMPUTED_VALUE"""),0)</f>
        <v>0</v>
      </c>
      <c r="Z101" s="4">
        <f ca="1">IFERROR(__xludf.DUMMYFUNCTION("""COMPUTED_VALUE"""),-0.019)</f>
        <v>-1.9E-2</v>
      </c>
    </row>
    <row r="102" spans="1:26" ht="13" x14ac:dyDescent="0.15">
      <c r="A102" s="43" t="str">
        <f ca="1">IFERROR(__xludf.DUMMYFUNCTION("""COMPUTED_VALUE"""),"")</f>
        <v/>
      </c>
      <c r="B102" s="43" t="str">
        <f ca="1">IFERROR(__xludf.DUMMYFUNCTION("""COMPUTED_VALUE"""),"36460")</f>
        <v>36460</v>
      </c>
      <c r="C102" s="146">
        <f ca="1">IFERROR(__xludf.DUMMYFUNCTION("""COMPUTED_VALUE"""),44597000063)</f>
        <v>44597000063</v>
      </c>
      <c r="D102" s="163" t="str">
        <f ca="1">IFERROR(__xludf.DUMMYFUNCTION("""COMPUTED_VALUE"""),"Cash")</f>
        <v>Cash</v>
      </c>
      <c r="E102" s="147">
        <f ca="1">IFERROR(__xludf.DUMMYFUNCTION("""COMPUTED_VALUE"""),44597)</f>
        <v>44597</v>
      </c>
      <c r="F102" s="43" t="str">
        <f ca="1">IFERROR(__xludf.DUMMYFUNCTION("""COMPUTED_VALUE"""),"Cash")</f>
        <v>Cash</v>
      </c>
      <c r="G102" s="43" t="str">
        <f ca="1">IFERROR(__xludf.DUMMYFUNCTION("""COMPUTED_VALUE"""),"HKD")</f>
        <v>HKD</v>
      </c>
      <c r="H102" s="154" t="str">
        <f ca="1">IFERROR(__xludf.DUMMYFUNCTION("""COMPUTED_VALUE"""),"")</f>
        <v/>
      </c>
      <c r="I102" s="148">
        <f ca="1">IFERROR(__xludf.DUMMYFUNCTION("""COMPUTED_VALUE"""),1)</f>
        <v>1</v>
      </c>
      <c r="J102" s="149">
        <f ca="1">IFERROR(__xludf.DUMMYFUNCTION("""COMPUTED_VALUE"""),1)</f>
        <v>1</v>
      </c>
      <c r="K102" s="43"/>
      <c r="L102" s="149">
        <f ca="1">IFERROR(__xludf.DUMMYFUNCTION("""COMPUTED_VALUE"""),1)</f>
        <v>1</v>
      </c>
      <c r="M102" s="155" t="str">
        <f ca="1">IFERROR(__xludf.DUMMYFUNCTION("""COMPUTED_VALUE"""),"")</f>
        <v/>
      </c>
      <c r="N102" s="43"/>
      <c r="O102" s="43"/>
      <c r="P102" s="150">
        <f ca="1">IFERROR(__xludf.DUMMYFUNCTION("""COMPUTED_VALUE"""),500000)</f>
        <v>500000</v>
      </c>
      <c r="Q102" s="151"/>
      <c r="R102" s="152">
        <f ca="1">IFERROR(__xludf.DUMMYFUNCTION("""COMPUTED_VALUE"""),1)</f>
        <v>1</v>
      </c>
      <c r="S102" s="150" t="str">
        <f ca="1">IFERROR(__xludf.DUMMYFUNCTION("""COMPUTED_VALUE"""),"")</f>
        <v/>
      </c>
      <c r="T102" s="108">
        <f ca="1">IFERROR(__xludf.DUMMYFUNCTION("""COMPUTED_VALUE"""),1)</f>
        <v>1</v>
      </c>
      <c r="U102" s="43">
        <f ca="1">IFERROR(__xludf.DUMMYFUNCTION("""COMPUTED_VALUE"""),1)</f>
        <v>1</v>
      </c>
      <c r="V102" s="144">
        <f ca="1">IFERROR(__xludf.DUMMYFUNCTION("""COMPUTED_VALUE"""),500000)</f>
        <v>500000</v>
      </c>
      <c r="W102" s="145" t="str">
        <f ca="1">IFERROR(__xludf.DUMMYFUNCTION("""COMPUTED_VALUE"""),"")</f>
        <v/>
      </c>
      <c r="X102" s="11" t="str">
        <f ca="1">IFERROR(__xludf.DUMMYFUNCTION("""COMPUTED_VALUE"""),"")</f>
        <v/>
      </c>
      <c r="Y102" s="11" t="str">
        <f ca="1">IFERROR(__xludf.DUMMYFUNCTION("""COMPUTED_VALUE"""),"")</f>
        <v/>
      </c>
      <c r="Z102" s="4" t="str">
        <f ca="1">IFERROR(__xludf.DUMMYFUNCTION("""COMPUTED_VALUE"""),"")</f>
        <v/>
      </c>
    </row>
    <row r="103" spans="1:26" ht="13" x14ac:dyDescent="0.15">
      <c r="A103" s="43" t="str">
        <f ca="1">IFERROR(__xludf.DUMMYFUNCTION("""COMPUTED_VALUE"""),"")</f>
        <v/>
      </c>
      <c r="B103" s="43" t="str">
        <f ca="1">IFERROR(__xludf.DUMMYFUNCTION("""COMPUTED_VALUE"""),"36460")</f>
        <v>36460</v>
      </c>
      <c r="C103" s="146">
        <f ca="1">IFERROR(__xludf.DUMMYFUNCTION("""COMPUTED_VALUE"""),44613000265)</f>
        <v>44613000265</v>
      </c>
      <c r="D103" s="163" t="str">
        <f ca="1">IFERROR(__xludf.DUMMYFUNCTION("""COMPUTED_VALUE"""),"0700.HK")</f>
        <v>0700.HK</v>
      </c>
      <c r="E103" s="147">
        <f ca="1">IFERROR(__xludf.DUMMYFUNCTION("""COMPUTED_VALUE"""),44613)</f>
        <v>44613</v>
      </c>
      <c r="F103" s="43" t="str">
        <f ca="1">IFERROR(__xludf.DUMMYFUNCTION("""COMPUTED_VALUE"""),"Stock")</f>
        <v>Stock</v>
      </c>
      <c r="G103" s="43" t="str">
        <f ca="1">IFERROR(__xludf.DUMMYFUNCTION("""COMPUTED_VALUE"""),"HKD")</f>
        <v>HKD</v>
      </c>
      <c r="H103" s="154">
        <f ca="1">IFERROR(__xludf.DUMMYFUNCTION("""COMPUTED_VALUE"""),200)</f>
        <v>200</v>
      </c>
      <c r="I103" s="148">
        <f ca="1">IFERROR(__xludf.DUMMYFUNCTION("""COMPUTED_VALUE"""),1)</f>
        <v>1</v>
      </c>
      <c r="J103" s="149">
        <f ca="1">IFERROR(__xludf.DUMMYFUNCTION("""COMPUTED_VALUE"""),470)</f>
        <v>470</v>
      </c>
      <c r="K103" s="43"/>
      <c r="L103" s="149">
        <f ca="1">IFERROR(__xludf.DUMMYFUNCTION("""COMPUTED_VALUE"""),388)</f>
        <v>388</v>
      </c>
      <c r="M103" s="155" t="str">
        <f ca="1">IFERROR(__xludf.DUMMYFUNCTION("""COMPUTED_VALUE"""),"Equity Key Stats")</f>
        <v>Equity Key Stats</v>
      </c>
      <c r="N103" s="43"/>
      <c r="O103" s="43"/>
      <c r="P103" s="157">
        <f ca="1">IFERROR(__xludf.DUMMYFUNCTION("""COMPUTED_VALUE"""),-94000)</f>
        <v>-94000</v>
      </c>
      <c r="Q103" s="151"/>
      <c r="R103" s="152">
        <f ca="1">IFERROR(__xludf.DUMMYFUNCTION("""COMPUTED_VALUE"""),389)</f>
        <v>389</v>
      </c>
      <c r="S103" s="150">
        <f ca="1">IFERROR(__xludf.DUMMYFUNCTION("""COMPUTED_VALUE"""),77800)</f>
        <v>77800</v>
      </c>
      <c r="T103" s="108">
        <f ca="1">IFERROR(__xludf.DUMMYFUNCTION("""COMPUTED_VALUE"""),2)</f>
        <v>2</v>
      </c>
      <c r="U103" s="43" t="str">
        <f ca="1">IFERROR(__xludf.DUMMYFUNCTION("""COMPUTED_VALUE"""),"")</f>
        <v/>
      </c>
      <c r="V103" s="144" t="str">
        <f ca="1">IFERROR(__xludf.DUMMYFUNCTION("""COMPUTED_VALUE"""),"")</f>
        <v/>
      </c>
      <c r="W103" s="145" t="str">
        <f ca="1">IFERROR(__xludf.DUMMYFUNCTION("""COMPUTED_VALUE"""),"")</f>
        <v/>
      </c>
      <c r="X103" s="11" t="str">
        <f ca="1">IFERROR(__xludf.DUMMYFUNCTION("""COMPUTED_VALUE"""),"")</f>
        <v/>
      </c>
      <c r="Y103" s="11" t="str">
        <f ca="1">IFERROR(__xludf.DUMMYFUNCTION("""COMPUTED_VALUE"""),"")</f>
        <v/>
      </c>
      <c r="Z103" s="4" t="str">
        <f ca="1">IFERROR(__xludf.DUMMYFUNCTION("""COMPUTED_VALUE"""),"")</f>
        <v/>
      </c>
    </row>
    <row r="104" spans="1:26" ht="13" x14ac:dyDescent="0.15">
      <c r="A104" s="43" t="str">
        <f ca="1">IFERROR(__xludf.DUMMYFUNCTION("""COMPUTED_VALUE"""),"")</f>
        <v/>
      </c>
      <c r="B104" s="43" t="str">
        <f ca="1">IFERROR(__xludf.DUMMYFUNCTION("""COMPUTED_VALUE"""),"36460")</f>
        <v>36460</v>
      </c>
      <c r="C104" s="146">
        <f ca="1">IFERROR(__xludf.DUMMYFUNCTION("""COMPUTED_VALUE"""),44616000316)</f>
        <v>44616000316</v>
      </c>
      <c r="D104" s="163" t="str">
        <f ca="1">IFERROR(__xludf.DUMMYFUNCTION("""COMPUTED_VALUE"""),"TSLA")</f>
        <v>TSLA</v>
      </c>
      <c r="E104" s="147">
        <f ca="1">IFERROR(__xludf.DUMMYFUNCTION("""COMPUTED_VALUE"""),44616)</f>
        <v>44616</v>
      </c>
      <c r="F104" s="43" t="str">
        <f ca="1">IFERROR(__xludf.DUMMYFUNCTION("""COMPUTED_VALUE"""),"Stock")</f>
        <v>Stock</v>
      </c>
      <c r="G104" s="43" t="str">
        <f ca="1">IFERROR(__xludf.DUMMYFUNCTION("""COMPUTED_VALUE"""),"USD")</f>
        <v>USD</v>
      </c>
      <c r="H104" s="154">
        <f ca="1">IFERROR(__xludf.DUMMYFUNCTION("""COMPUTED_VALUE"""),100)</f>
        <v>100</v>
      </c>
      <c r="I104" s="148">
        <f ca="1">IFERROR(__xludf.DUMMYFUNCTION("""COMPUTED_VALUE"""),7.80775)</f>
        <v>7.8077500000000004</v>
      </c>
      <c r="J104" s="149">
        <f ca="1">IFERROR(__xludf.DUMMYFUNCTION("""COMPUTED_VALUE"""),800.77)</f>
        <v>800.77</v>
      </c>
      <c r="K104" s="43"/>
      <c r="L104" s="149">
        <f ca="1">IFERROR(__xludf.DUMMYFUNCTION("""COMPUTED_VALUE"""),993.98)</f>
        <v>993.98</v>
      </c>
      <c r="M104" s="155" t="str">
        <f ca="1">IFERROR(__xludf.DUMMYFUNCTION("""COMPUTED_VALUE"""),"Equity Key Stats")</f>
        <v>Equity Key Stats</v>
      </c>
      <c r="N104" s="43"/>
      <c r="O104" s="43"/>
      <c r="P104" s="157">
        <f ca="1">IFERROR(__xludf.DUMMYFUNCTION("""COMPUTED_VALUE"""),-625221.19675)</f>
        <v>-625221.19675</v>
      </c>
      <c r="Q104" s="151"/>
      <c r="R104" s="152">
        <f ca="1">IFERROR(__xludf.DUMMYFUNCTION("""COMPUTED_VALUE"""),999.11)</f>
        <v>999.11</v>
      </c>
      <c r="S104" s="150">
        <f ca="1">IFERROR(__xludf.DUMMYFUNCTION("""COMPUTED_VALUE"""),780080.11025)</f>
        <v>780080.11025000003</v>
      </c>
      <c r="T104" s="108">
        <f ca="1">IFERROR(__xludf.DUMMYFUNCTION("""COMPUTED_VALUE"""),2)</f>
        <v>2</v>
      </c>
      <c r="U104" s="43" t="str">
        <f ca="1">IFERROR(__xludf.DUMMYFUNCTION("""COMPUTED_VALUE"""),"")</f>
        <v/>
      </c>
      <c r="V104" s="144" t="str">
        <f ca="1">IFERROR(__xludf.DUMMYFUNCTION("""COMPUTED_VALUE"""),"")</f>
        <v/>
      </c>
      <c r="W104" s="145" t="str">
        <f ca="1">IFERROR(__xludf.DUMMYFUNCTION("""COMPUTED_VALUE"""),"")</f>
        <v/>
      </c>
      <c r="X104" s="11" t="str">
        <f ca="1">IFERROR(__xludf.DUMMYFUNCTION("""COMPUTED_VALUE"""),"")</f>
        <v/>
      </c>
      <c r="Y104" s="11" t="str">
        <f ca="1">IFERROR(__xludf.DUMMYFUNCTION("""COMPUTED_VALUE"""),"")</f>
        <v/>
      </c>
      <c r="Z104" s="4" t="str">
        <f ca="1">IFERROR(__xludf.DUMMYFUNCTION("""COMPUTED_VALUE"""),"")</f>
        <v/>
      </c>
    </row>
    <row r="105" spans="1:26" ht="13" x14ac:dyDescent="0.15">
      <c r="A105" s="43" t="str">
        <f ca="1">IFERROR(__xludf.DUMMYFUNCTION("""COMPUTED_VALUE"""),"")</f>
        <v/>
      </c>
      <c r="B105" s="43" t="str">
        <f ca="1">IFERROR(__xludf.DUMMYFUNCTION("""COMPUTED_VALUE"""),"36460")</f>
        <v>36460</v>
      </c>
      <c r="C105" s="146">
        <f ca="1">IFERROR(__xludf.DUMMYFUNCTION("""COMPUTED_VALUE"""),44616000325)</f>
        <v>44616000325</v>
      </c>
      <c r="D105" s="163" t="str">
        <f ca="1">IFERROR(__xludf.DUMMYFUNCTION("""COMPUTED_VALUE"""),"CL=F")</f>
        <v>CL=F</v>
      </c>
      <c r="E105" s="147">
        <f ca="1">IFERROR(__xludf.DUMMYFUNCTION("""COMPUTED_VALUE"""),44616)</f>
        <v>44616</v>
      </c>
      <c r="F105" s="43" t="str">
        <f ca="1">IFERROR(__xludf.DUMMYFUNCTION("""COMPUTED_VALUE"""),"Stock")</f>
        <v>Stock</v>
      </c>
      <c r="G105" s="43" t="str">
        <f ca="1">IFERROR(__xludf.DUMMYFUNCTION("""COMPUTED_VALUE"""),"USD")</f>
        <v>USD</v>
      </c>
      <c r="H105" s="154" t="str">
        <f ca="1">IFERROR(__xludf.DUMMYFUNCTION("""COMPUTED_VALUE"""),"")</f>
        <v/>
      </c>
      <c r="I105" s="148">
        <f ca="1">IFERROR(__xludf.DUMMYFUNCTION("""COMPUTED_VALUE"""),7.80775)</f>
        <v>7.8077500000000004</v>
      </c>
      <c r="J105" s="149">
        <f ca="1">IFERROR(__xludf.DUMMYFUNCTION("""COMPUTED_VALUE"""),92.81)</f>
        <v>92.81</v>
      </c>
      <c r="K105" s="43"/>
      <c r="L105" s="149">
        <f ca="1">IFERROR(__xludf.DUMMYFUNCTION("""COMPUTED_VALUE"""),111.3)</f>
        <v>111.3</v>
      </c>
      <c r="M105" s="155" t="str">
        <f ca="1">IFERROR(__xludf.DUMMYFUNCTION("""COMPUTED_VALUE"""),"Equity Key Stats")</f>
        <v>Equity Key Stats</v>
      </c>
      <c r="N105" s="43"/>
      <c r="O105" s="43"/>
      <c r="P105" s="157">
        <f ca="1">IFERROR(__xludf.DUMMYFUNCTION("""COMPUTED_VALUE"""),0)</f>
        <v>0</v>
      </c>
      <c r="Q105" s="151"/>
      <c r="R105" s="152">
        <f ca="1">IFERROR(__xludf.DUMMYFUNCTION("""COMPUTED_VALUE"""),115.83)</f>
        <v>115.83</v>
      </c>
      <c r="S105" s="150">
        <f ca="1">IFERROR(__xludf.DUMMYFUNCTION("""COMPUTED_VALUE"""),0)</f>
        <v>0</v>
      </c>
      <c r="T105" s="108">
        <f ca="1">IFERROR(__xludf.DUMMYFUNCTION("""COMPUTED_VALUE"""),1)</f>
        <v>1</v>
      </c>
      <c r="U105" s="43">
        <f ca="1">IFERROR(__xludf.DUMMYFUNCTION("""COMPUTED_VALUE"""),1)</f>
        <v>1</v>
      </c>
      <c r="V105" s="144">
        <f ca="1">IFERROR(__xludf.DUMMYFUNCTION("""COMPUTED_VALUE"""),0)</f>
        <v>0</v>
      </c>
      <c r="W105" s="145" t="str">
        <f ca="1">IFERROR(__xludf.DUMMYFUNCTION("""COMPUTED_VALUE"""),"")</f>
        <v/>
      </c>
      <c r="X105" s="11" t="str">
        <f ca="1">IFERROR(__xludf.DUMMYFUNCTION("""COMPUTED_VALUE"""),"")</f>
        <v/>
      </c>
      <c r="Y105" s="11" t="str">
        <f ca="1">IFERROR(__xludf.DUMMYFUNCTION("""COMPUTED_VALUE"""),"")</f>
        <v/>
      </c>
      <c r="Z105" s="4" t="str">
        <f ca="1">IFERROR(__xludf.DUMMYFUNCTION("""COMPUTED_VALUE"""),"")</f>
        <v/>
      </c>
    </row>
    <row r="106" spans="1:26" ht="13" x14ac:dyDescent="0.15">
      <c r="A106" s="43" t="str">
        <f ca="1">IFERROR(__xludf.DUMMYFUNCTION("""COMPUTED_VALUE"""),"")</f>
        <v/>
      </c>
      <c r="B106" s="43" t="str">
        <f ca="1">IFERROR(__xludf.DUMMYFUNCTION("""COMPUTED_VALUE"""),"36460")</f>
        <v>36460</v>
      </c>
      <c r="C106" s="146">
        <f ca="1">IFERROR(__xludf.DUMMYFUNCTION("""COMPUTED_VALUE"""),44620000376)</f>
        <v>44620000376</v>
      </c>
      <c r="D106" s="163" t="str">
        <f ca="1">IFERROR(__xludf.DUMMYFUNCTION("""COMPUTED_VALUE"""),"TSLA")</f>
        <v>TSLA</v>
      </c>
      <c r="E106" s="147">
        <f ca="1">IFERROR(__xludf.DUMMYFUNCTION("""COMPUTED_VALUE"""),44620)</f>
        <v>44620</v>
      </c>
      <c r="F106" s="43" t="str">
        <f ca="1">IFERROR(__xludf.DUMMYFUNCTION("""COMPUTED_VALUE"""),"Stock")</f>
        <v>Stock</v>
      </c>
      <c r="G106" s="43" t="str">
        <f ca="1">IFERROR(__xludf.DUMMYFUNCTION("""COMPUTED_VALUE"""),"USD")</f>
        <v>USD</v>
      </c>
      <c r="H106" s="154">
        <f ca="1">IFERROR(__xludf.DUMMYFUNCTION("""COMPUTED_VALUE"""),-80)</f>
        <v>-80</v>
      </c>
      <c r="I106" s="148">
        <f ca="1">IFERROR(__xludf.DUMMYFUNCTION("""COMPUTED_VALUE"""),7.81345)</f>
        <v>7.8134499999999996</v>
      </c>
      <c r="J106" s="149">
        <f ca="1">IFERROR(__xludf.DUMMYFUNCTION("""COMPUTED_VALUE"""),870.43)</f>
        <v>870.43</v>
      </c>
      <c r="K106" s="43"/>
      <c r="L106" s="149">
        <f ca="1">IFERROR(__xludf.DUMMYFUNCTION("""COMPUTED_VALUE"""),993.98)</f>
        <v>993.98</v>
      </c>
      <c r="M106" s="155" t="str">
        <f ca="1">IFERROR(__xludf.DUMMYFUNCTION("""COMPUTED_VALUE"""),"Equity Key Stats")</f>
        <v>Equity Key Stats</v>
      </c>
      <c r="N106" s="43"/>
      <c r="O106" s="43"/>
      <c r="P106" s="157">
        <f ca="1">IFERROR(__xludf.DUMMYFUNCTION("""COMPUTED_VALUE"""),544084.902679999)</f>
        <v>544084.90267999901</v>
      </c>
      <c r="Q106" s="151"/>
      <c r="R106" s="152">
        <f ca="1">IFERROR(__xludf.DUMMYFUNCTION("""COMPUTED_VALUE"""),999.11)</f>
        <v>999.11</v>
      </c>
      <c r="S106" s="150">
        <f ca="1">IFERROR(__xludf.DUMMYFUNCTION("""COMPUTED_VALUE"""),-624519.68236)</f>
        <v>-624519.68235999998</v>
      </c>
      <c r="T106" s="108">
        <f ca="1">IFERROR(__xludf.DUMMYFUNCTION("""COMPUTED_VALUE"""),2)</f>
        <v>2</v>
      </c>
      <c r="U106" s="43">
        <f ca="1">IFERROR(__xludf.DUMMYFUNCTION("""COMPUTED_VALUE"""),1)</f>
        <v>1</v>
      </c>
      <c r="V106" s="144">
        <f ca="1">IFERROR(__xludf.DUMMYFUNCTION("""COMPUTED_VALUE"""),74424.1338200001)</f>
        <v>74424.133820000105</v>
      </c>
      <c r="W106" s="145" t="str">
        <f ca="1">IFERROR(__xludf.DUMMYFUNCTION("""COMPUTED_VALUE"""),"")</f>
        <v/>
      </c>
      <c r="X106" s="11" t="str">
        <f ca="1">IFERROR(__xludf.DUMMYFUNCTION("""COMPUTED_VALUE"""),"")</f>
        <v/>
      </c>
      <c r="Y106" s="11" t="str">
        <f ca="1">IFERROR(__xludf.DUMMYFUNCTION("""COMPUTED_VALUE"""),"")</f>
        <v/>
      </c>
      <c r="Z106" s="4" t="str">
        <f ca="1">IFERROR(__xludf.DUMMYFUNCTION("""COMPUTED_VALUE"""),"")</f>
        <v/>
      </c>
    </row>
    <row r="107" spans="1:26" ht="13" x14ac:dyDescent="0.15">
      <c r="A107" s="43" t="str">
        <f ca="1">IFERROR(__xludf.DUMMYFUNCTION("""COMPUTED_VALUE"""),"")</f>
        <v/>
      </c>
      <c r="B107" s="43" t="str">
        <f ca="1">IFERROR(__xludf.DUMMYFUNCTION("""COMPUTED_VALUE"""),"36460")</f>
        <v>36460</v>
      </c>
      <c r="C107" s="146">
        <f ca="1">IFERROR(__xludf.DUMMYFUNCTION("""COMPUTED_VALUE"""),44643000802)</f>
        <v>44643000802</v>
      </c>
      <c r="D107" s="163" t="str">
        <f ca="1">IFERROR(__xludf.DUMMYFUNCTION("""COMPUTED_VALUE"""),"0700.HK")</f>
        <v>0700.HK</v>
      </c>
      <c r="E107" s="147">
        <f ca="1">IFERROR(__xludf.DUMMYFUNCTION("""COMPUTED_VALUE"""),44643)</f>
        <v>44643</v>
      </c>
      <c r="F107" s="43" t="str">
        <f ca="1">IFERROR(__xludf.DUMMYFUNCTION("""COMPUTED_VALUE"""),"Stock")</f>
        <v>Stock</v>
      </c>
      <c r="G107" s="43" t="str">
        <f ca="1">IFERROR(__xludf.DUMMYFUNCTION("""COMPUTED_VALUE"""),"HKD")</f>
        <v>HKD</v>
      </c>
      <c r="H107" s="154">
        <f ca="1">IFERROR(__xludf.DUMMYFUNCTION("""COMPUTED_VALUE"""),-150)</f>
        <v>-150</v>
      </c>
      <c r="I107" s="148">
        <f ca="1">IFERROR(__xludf.DUMMYFUNCTION("""COMPUTED_VALUE"""),1)</f>
        <v>1</v>
      </c>
      <c r="J107" s="149">
        <f ca="1">IFERROR(__xludf.DUMMYFUNCTION("""COMPUTED_VALUE"""),389)</f>
        <v>389</v>
      </c>
      <c r="K107" s="43"/>
      <c r="L107" s="149">
        <f ca="1">IFERROR(__xludf.DUMMYFUNCTION("""COMPUTED_VALUE"""),388)</f>
        <v>388</v>
      </c>
      <c r="M107" s="155" t="str">
        <f ca="1">IFERROR(__xludf.DUMMYFUNCTION("""COMPUTED_VALUE"""),"Equity Key Stats")</f>
        <v>Equity Key Stats</v>
      </c>
      <c r="N107" s="43"/>
      <c r="O107" s="43"/>
      <c r="P107" s="150">
        <f ca="1">IFERROR(__xludf.DUMMYFUNCTION("""COMPUTED_VALUE"""),58350)</f>
        <v>58350</v>
      </c>
      <c r="Q107" s="151"/>
      <c r="R107" s="152">
        <f ca="1">IFERROR(__xludf.DUMMYFUNCTION("""COMPUTED_VALUE"""),389)</f>
        <v>389</v>
      </c>
      <c r="S107" s="150">
        <f ca="1">IFERROR(__xludf.DUMMYFUNCTION("""COMPUTED_VALUE"""),-58350)</f>
        <v>-58350</v>
      </c>
      <c r="T107" s="108">
        <f ca="1">IFERROR(__xludf.DUMMYFUNCTION("""COMPUTED_VALUE"""),2)</f>
        <v>2</v>
      </c>
      <c r="U107" s="43">
        <f ca="1">IFERROR(__xludf.DUMMYFUNCTION("""COMPUTED_VALUE"""),1)</f>
        <v>1</v>
      </c>
      <c r="V107" s="144">
        <f ca="1">IFERROR(__xludf.DUMMYFUNCTION("""COMPUTED_VALUE"""),-16200)</f>
        <v>-16200</v>
      </c>
      <c r="W107" s="145" t="str">
        <f ca="1">IFERROR(__xludf.DUMMYFUNCTION("""COMPUTED_VALUE"""),"")</f>
        <v/>
      </c>
      <c r="X107" s="11" t="str">
        <f ca="1">IFERROR(__xludf.DUMMYFUNCTION("""COMPUTED_VALUE"""),"")</f>
        <v/>
      </c>
      <c r="Y107" s="11" t="str">
        <f ca="1">IFERROR(__xludf.DUMMYFUNCTION("""COMPUTED_VALUE"""),"")</f>
        <v/>
      </c>
      <c r="Z107" s="4" t="str">
        <f ca="1">IFERROR(__xludf.DUMMYFUNCTION("""COMPUTED_VALUE"""),"")</f>
        <v/>
      </c>
    </row>
    <row r="108" spans="1:26" ht="13" x14ac:dyDescent="0.15">
      <c r="A108" s="43" t="str">
        <f ca="1">IFERROR(__xludf.DUMMYFUNCTION("""COMPUTED_VALUE"""),"36460")</f>
        <v>36460</v>
      </c>
      <c r="B108" s="43" t="str">
        <f ca="1">IFERROR(__xludf.DUMMYFUNCTION("""COMPUTED_VALUE"""),"36460")</f>
        <v>36460</v>
      </c>
      <c r="C108" s="146">
        <f ca="1">IFERROR(__xludf.DUMMYFUNCTION("""COMPUTED_VALUE"""),44643000803)</f>
        <v>44643000803</v>
      </c>
      <c r="D108" s="163" t="str">
        <f ca="1">IFERROR(__xludf.DUMMYFUNCTION("""COMPUTED_VALUE"""),"F220325C00010000")</f>
        <v>F220325C00010000</v>
      </c>
      <c r="E108" s="147">
        <f ca="1">IFERROR(__xludf.DUMMYFUNCTION("""COMPUTED_VALUE"""),44643)</f>
        <v>44643</v>
      </c>
      <c r="F108" s="43" t="str">
        <f ca="1">IFERROR(__xludf.DUMMYFUNCTION("""COMPUTED_VALUE"""),"Option")</f>
        <v>Option</v>
      </c>
      <c r="G108" s="43" t="str">
        <f ca="1">IFERROR(__xludf.DUMMYFUNCTION("""COMPUTED_VALUE"""),"USD")</f>
        <v>USD</v>
      </c>
      <c r="H108" s="154">
        <f ca="1">IFERROR(__xludf.DUMMYFUNCTION("""COMPUTED_VALUE"""),1)</f>
        <v>1</v>
      </c>
      <c r="I108" s="148">
        <f ca="1">IFERROR(__xludf.DUMMYFUNCTION("""COMPUTED_VALUE"""),7.823645)</f>
        <v>7.823645</v>
      </c>
      <c r="J108" s="149">
        <f ca="1">IFERROR(__xludf.DUMMYFUNCTION("""COMPUTED_VALUE"""),6.65)</f>
        <v>6.65</v>
      </c>
      <c r="K108" s="43"/>
      <c r="L108" s="149" t="str">
        <f ca="1">IFERROR(__xludf.DUMMYFUNCTION("""COMPUTED_VALUE"""),"")</f>
        <v/>
      </c>
      <c r="M108" s="155" t="str">
        <f ca="1">IFERROR(__xludf.DUMMYFUNCTION("""COMPUTED_VALUE"""),"")</f>
        <v/>
      </c>
      <c r="N108" s="43"/>
      <c r="O108" s="43"/>
      <c r="P108" s="157">
        <f ca="1">IFERROR(__xludf.DUMMYFUNCTION("""COMPUTED_VALUE"""),-5202.723925)</f>
        <v>-5202.7239250000002</v>
      </c>
      <c r="Q108" s="151"/>
      <c r="R108" s="152">
        <f ca="1">IFERROR(__xludf.DUMMYFUNCTION("""COMPUTED_VALUE"""),6.65)</f>
        <v>6.65</v>
      </c>
      <c r="S108" s="150">
        <f ca="1">IFERROR(__xludf.DUMMYFUNCTION("""COMPUTED_VALUE"""),5202.723925)</f>
        <v>5202.7239250000002</v>
      </c>
      <c r="T108" s="108">
        <f ca="1">IFERROR(__xludf.DUMMYFUNCTION("""COMPUTED_VALUE"""),1)</f>
        <v>1</v>
      </c>
      <c r="U108" s="43">
        <f ca="1">IFERROR(__xludf.DUMMYFUNCTION("""COMPUTED_VALUE"""),1)</f>
        <v>1</v>
      </c>
      <c r="V108" s="144">
        <f ca="1">IFERROR(__xludf.DUMMYFUNCTION("""COMPUTED_VALUE"""),0)</f>
        <v>0</v>
      </c>
      <c r="W108" s="145">
        <f ca="1">IFERROR(__xludf.DUMMYFUNCTION("""COMPUTED_VALUE"""),558224.13382)</f>
        <v>558224.13381999999</v>
      </c>
      <c r="X108" s="11">
        <f ca="1">IFERROR(__xludf.DUMMYFUNCTION("""COMPUTED_VALUE"""),378010.982004999)</f>
        <v>378010.98200499901</v>
      </c>
      <c r="Y108" s="11">
        <f ca="1">IFERROR(__xludf.DUMMYFUNCTION("""COMPUTED_VALUE"""),0)</f>
        <v>0</v>
      </c>
      <c r="Z108" s="4">
        <f ca="1">IFERROR(__xludf.DUMMYFUNCTION("""COMPUTED_VALUE"""),0.11644826764)</f>
        <v>0.11644826764000001</v>
      </c>
    </row>
    <row r="109" spans="1:26" ht="13" x14ac:dyDescent="0.15">
      <c r="A109" s="43" t="str">
        <f ca="1">IFERROR(__xludf.DUMMYFUNCTION("""COMPUTED_VALUE"""),"36560")</f>
        <v>36560</v>
      </c>
      <c r="B109" s="43" t="str">
        <f ca="1">IFERROR(__xludf.DUMMYFUNCTION("""COMPUTED_VALUE"""),"36560")</f>
        <v>36560</v>
      </c>
      <c r="C109" s="146">
        <f ca="1">IFERROR(__xludf.DUMMYFUNCTION("""COMPUTED_VALUE"""),44597000096)</f>
        <v>44597000096</v>
      </c>
      <c r="D109" s="163" t="str">
        <f ca="1">IFERROR(__xludf.DUMMYFUNCTION("""COMPUTED_VALUE"""),"Cash")</f>
        <v>Cash</v>
      </c>
      <c r="E109" s="147">
        <f ca="1">IFERROR(__xludf.DUMMYFUNCTION("""COMPUTED_VALUE"""),44597)</f>
        <v>44597</v>
      </c>
      <c r="F109" s="43" t="str">
        <f ca="1">IFERROR(__xludf.DUMMYFUNCTION("""COMPUTED_VALUE"""),"Cash")</f>
        <v>Cash</v>
      </c>
      <c r="G109" s="43" t="str">
        <f ca="1">IFERROR(__xludf.DUMMYFUNCTION("""COMPUTED_VALUE"""),"HKD")</f>
        <v>HKD</v>
      </c>
      <c r="H109" s="154" t="str">
        <f ca="1">IFERROR(__xludf.DUMMYFUNCTION("""COMPUTED_VALUE"""),"")</f>
        <v/>
      </c>
      <c r="I109" s="148">
        <f ca="1">IFERROR(__xludf.DUMMYFUNCTION("""COMPUTED_VALUE"""),1)</f>
        <v>1</v>
      </c>
      <c r="J109" s="149">
        <f ca="1">IFERROR(__xludf.DUMMYFUNCTION("""COMPUTED_VALUE"""),1)</f>
        <v>1</v>
      </c>
      <c r="K109" s="43"/>
      <c r="L109" s="149">
        <f ca="1">IFERROR(__xludf.DUMMYFUNCTION("""COMPUTED_VALUE"""),1)</f>
        <v>1</v>
      </c>
      <c r="M109" s="155" t="str">
        <f ca="1">IFERROR(__xludf.DUMMYFUNCTION("""COMPUTED_VALUE"""),"")</f>
        <v/>
      </c>
      <c r="N109" s="43"/>
      <c r="O109" s="43"/>
      <c r="P109" s="157">
        <f ca="1">IFERROR(__xludf.DUMMYFUNCTION("""COMPUTED_VALUE"""),500000)</f>
        <v>500000</v>
      </c>
      <c r="Q109" s="151"/>
      <c r="R109" s="152">
        <f ca="1">IFERROR(__xludf.DUMMYFUNCTION("""COMPUTED_VALUE"""),1)</f>
        <v>1</v>
      </c>
      <c r="S109" s="150" t="str">
        <f ca="1">IFERROR(__xludf.DUMMYFUNCTION("""COMPUTED_VALUE"""),"")</f>
        <v/>
      </c>
      <c r="T109" s="108">
        <f ca="1">IFERROR(__xludf.DUMMYFUNCTION("""COMPUTED_VALUE"""),1)</f>
        <v>1</v>
      </c>
      <c r="U109" s="43">
        <f ca="1">IFERROR(__xludf.DUMMYFUNCTION("""COMPUTED_VALUE"""),1)</f>
        <v>1</v>
      </c>
      <c r="V109" s="144">
        <f ca="1">IFERROR(__xludf.DUMMYFUNCTION("""COMPUTED_VALUE"""),500000)</f>
        <v>500000</v>
      </c>
      <c r="W109" s="145">
        <f ca="1">IFERROR(__xludf.DUMMYFUNCTION("""COMPUTED_VALUE"""),500000)</f>
        <v>500000</v>
      </c>
      <c r="X109" s="11">
        <f ca="1">IFERROR(__xludf.DUMMYFUNCTION("""COMPUTED_VALUE"""),500000)</f>
        <v>500000</v>
      </c>
      <c r="Y109" s="11">
        <f ca="1">IFERROR(__xludf.DUMMYFUNCTION("""COMPUTED_VALUE"""),0)</f>
        <v>0</v>
      </c>
      <c r="Z109" s="4">
        <f ca="1">IFERROR(__xludf.DUMMYFUNCTION("""COMPUTED_VALUE"""),0)</f>
        <v>0</v>
      </c>
    </row>
    <row r="110" spans="1:26" ht="13" x14ac:dyDescent="0.15">
      <c r="A110" s="43" t="str">
        <f ca="1">IFERROR(__xludf.DUMMYFUNCTION("""COMPUTED_VALUE"""),"")</f>
        <v/>
      </c>
      <c r="B110" s="43" t="str">
        <f ca="1">IFERROR(__xludf.DUMMYFUNCTION("""COMPUTED_VALUE"""),"36903")</f>
        <v>36903</v>
      </c>
      <c r="C110" s="146">
        <f ca="1">IFERROR(__xludf.DUMMYFUNCTION("""COMPUTED_VALUE"""),44597000027)</f>
        <v>44597000027</v>
      </c>
      <c r="D110" s="163" t="str">
        <f ca="1">IFERROR(__xludf.DUMMYFUNCTION("""COMPUTED_VALUE"""),"Cash")</f>
        <v>Cash</v>
      </c>
      <c r="E110" s="147">
        <f ca="1">IFERROR(__xludf.DUMMYFUNCTION("""COMPUTED_VALUE"""),44597)</f>
        <v>44597</v>
      </c>
      <c r="F110" s="43" t="str">
        <f ca="1">IFERROR(__xludf.DUMMYFUNCTION("""COMPUTED_VALUE"""),"Cash")</f>
        <v>Cash</v>
      </c>
      <c r="G110" s="43" t="str">
        <f ca="1">IFERROR(__xludf.DUMMYFUNCTION("""COMPUTED_VALUE"""),"HKD")</f>
        <v>HKD</v>
      </c>
      <c r="H110" s="154" t="str">
        <f ca="1">IFERROR(__xludf.DUMMYFUNCTION("""COMPUTED_VALUE"""),"")</f>
        <v/>
      </c>
      <c r="I110" s="148">
        <f ca="1">IFERROR(__xludf.DUMMYFUNCTION("""COMPUTED_VALUE"""),1)</f>
        <v>1</v>
      </c>
      <c r="J110" s="149">
        <f ca="1">IFERROR(__xludf.DUMMYFUNCTION("""COMPUTED_VALUE"""),1)</f>
        <v>1</v>
      </c>
      <c r="K110" s="43"/>
      <c r="L110" s="149">
        <f ca="1">IFERROR(__xludf.DUMMYFUNCTION("""COMPUTED_VALUE"""),1)</f>
        <v>1</v>
      </c>
      <c r="M110" s="155" t="str">
        <f ca="1">IFERROR(__xludf.DUMMYFUNCTION("""COMPUTED_VALUE"""),"")</f>
        <v/>
      </c>
      <c r="N110" s="43"/>
      <c r="O110" s="43"/>
      <c r="P110" s="157">
        <f ca="1">IFERROR(__xludf.DUMMYFUNCTION("""COMPUTED_VALUE"""),500000)</f>
        <v>500000</v>
      </c>
      <c r="Q110" s="151"/>
      <c r="R110" s="152">
        <f ca="1">IFERROR(__xludf.DUMMYFUNCTION("""COMPUTED_VALUE"""),1)</f>
        <v>1</v>
      </c>
      <c r="S110" s="150" t="str">
        <f ca="1">IFERROR(__xludf.DUMMYFUNCTION("""COMPUTED_VALUE"""),"")</f>
        <v/>
      </c>
      <c r="T110" s="108">
        <f ca="1">IFERROR(__xludf.DUMMYFUNCTION("""COMPUTED_VALUE"""),1)</f>
        <v>1</v>
      </c>
      <c r="U110" s="43">
        <f ca="1">IFERROR(__xludf.DUMMYFUNCTION("""COMPUTED_VALUE"""),1)</f>
        <v>1</v>
      </c>
      <c r="V110" s="144">
        <f ca="1">IFERROR(__xludf.DUMMYFUNCTION("""COMPUTED_VALUE"""),500000)</f>
        <v>500000</v>
      </c>
      <c r="W110" s="145" t="str">
        <f ca="1">IFERROR(__xludf.DUMMYFUNCTION("""COMPUTED_VALUE"""),"")</f>
        <v/>
      </c>
      <c r="X110" s="11" t="str">
        <f ca="1">IFERROR(__xludf.DUMMYFUNCTION("""COMPUTED_VALUE"""),"")</f>
        <v/>
      </c>
      <c r="Y110" s="11" t="str">
        <f ca="1">IFERROR(__xludf.DUMMYFUNCTION("""COMPUTED_VALUE"""),"")</f>
        <v/>
      </c>
      <c r="Z110" s="4" t="str">
        <f ca="1">IFERROR(__xludf.DUMMYFUNCTION("""COMPUTED_VALUE"""),"")</f>
        <v/>
      </c>
    </row>
    <row r="111" spans="1:26" ht="13" x14ac:dyDescent="0.15">
      <c r="A111" s="43" t="str">
        <f ca="1">IFERROR(__xludf.DUMMYFUNCTION("""COMPUTED_VALUE"""),"")</f>
        <v/>
      </c>
      <c r="B111" s="43" t="str">
        <f ca="1">IFERROR(__xludf.DUMMYFUNCTION("""COMPUTED_VALUE"""),"36903")</f>
        <v>36903</v>
      </c>
      <c r="C111" s="146">
        <f ca="1">IFERROR(__xludf.DUMMYFUNCTION("""COMPUTED_VALUE"""),44599000128)</f>
        <v>44599000128</v>
      </c>
      <c r="D111" s="163" t="str">
        <f ca="1">IFERROR(__xludf.DUMMYFUNCTION("""COMPUTED_VALUE"""),"FB")</f>
        <v>FB</v>
      </c>
      <c r="E111" s="147">
        <f ca="1">IFERROR(__xludf.DUMMYFUNCTION("""COMPUTED_VALUE"""),44599)</f>
        <v>44599</v>
      </c>
      <c r="F111" s="43" t="str">
        <f ca="1">IFERROR(__xludf.DUMMYFUNCTION("""COMPUTED_VALUE"""),"Stock")</f>
        <v>Stock</v>
      </c>
      <c r="G111" s="43" t="str">
        <f ca="1">IFERROR(__xludf.DUMMYFUNCTION("""COMPUTED_VALUE"""),"USD")</f>
        <v>USD</v>
      </c>
      <c r="H111" s="154">
        <f ca="1">IFERROR(__xludf.DUMMYFUNCTION("""COMPUTED_VALUE"""),50)</f>
        <v>50</v>
      </c>
      <c r="I111" s="148">
        <f ca="1">IFERROR(__xludf.DUMMYFUNCTION("""COMPUTED_VALUE"""),7.79205)</f>
        <v>7.7920499999999997</v>
      </c>
      <c r="J111" s="149">
        <f ca="1">IFERROR(__xludf.DUMMYFUNCTION("""COMPUTED_VALUE"""),224.91)</f>
        <v>224.91</v>
      </c>
      <c r="K111" s="43"/>
      <c r="L111" s="149">
        <f ca="1">IFERROR(__xludf.DUMMYFUNCTION("""COMPUTED_VALUE"""),216.65)</f>
        <v>216.65</v>
      </c>
      <c r="M111" s="155" t="str">
        <f ca="1">IFERROR(__xludf.DUMMYFUNCTION("""COMPUTED_VALUE"""),"Equity Key Stats")</f>
        <v>Equity Key Stats</v>
      </c>
      <c r="N111" s="43"/>
      <c r="O111" s="43"/>
      <c r="P111" s="157">
        <f ca="1">IFERROR(__xludf.DUMMYFUNCTION("""COMPUTED_VALUE"""),-87625.4982749999)</f>
        <v>-87625.498274999904</v>
      </c>
      <c r="Q111" s="151"/>
      <c r="R111" s="152">
        <f ca="1">IFERROR(__xludf.DUMMYFUNCTION("""COMPUTED_VALUE"""),213.46)</f>
        <v>213.46</v>
      </c>
      <c r="S111" s="150">
        <f ca="1">IFERROR(__xludf.DUMMYFUNCTION("""COMPUTED_VALUE"""),83164.54965)</f>
        <v>83164.549650000001</v>
      </c>
      <c r="T111" s="108">
        <f ca="1">IFERROR(__xludf.DUMMYFUNCTION("""COMPUTED_VALUE"""),2)</f>
        <v>2</v>
      </c>
      <c r="U111" s="43" t="str">
        <f ca="1">IFERROR(__xludf.DUMMYFUNCTION("""COMPUTED_VALUE"""),"")</f>
        <v/>
      </c>
      <c r="V111" s="144" t="str">
        <f ca="1">IFERROR(__xludf.DUMMYFUNCTION("""COMPUTED_VALUE"""),"")</f>
        <v/>
      </c>
      <c r="W111" s="145" t="str">
        <f ca="1">IFERROR(__xludf.DUMMYFUNCTION("""COMPUTED_VALUE"""),"")</f>
        <v/>
      </c>
      <c r="X111" s="11" t="str">
        <f ca="1">IFERROR(__xludf.DUMMYFUNCTION("""COMPUTED_VALUE"""),"")</f>
        <v/>
      </c>
      <c r="Y111" s="11" t="str">
        <f ca="1">IFERROR(__xludf.DUMMYFUNCTION("""COMPUTED_VALUE"""),"")</f>
        <v/>
      </c>
      <c r="Z111" s="4" t="str">
        <f ca="1">IFERROR(__xludf.DUMMYFUNCTION("""COMPUTED_VALUE"""),"")</f>
        <v/>
      </c>
    </row>
    <row r="112" spans="1:26" ht="13" x14ac:dyDescent="0.15">
      <c r="A112" s="43" t="str">
        <f ca="1">IFERROR(__xludf.DUMMYFUNCTION("""COMPUTED_VALUE"""),"")</f>
        <v/>
      </c>
      <c r="B112" s="43" t="str">
        <f ca="1">IFERROR(__xludf.DUMMYFUNCTION("""COMPUTED_VALUE"""),"36903")</f>
        <v>36903</v>
      </c>
      <c r="C112" s="146">
        <f ca="1">IFERROR(__xludf.DUMMYFUNCTION("""COMPUTED_VALUE"""),44601000145)</f>
        <v>44601000145</v>
      </c>
      <c r="D112" s="163" t="str">
        <f ca="1">IFERROR(__xludf.DUMMYFUNCTION("""COMPUTED_VALUE"""),"FB")</f>
        <v>FB</v>
      </c>
      <c r="E112" s="147">
        <f ca="1">IFERROR(__xludf.DUMMYFUNCTION("""COMPUTED_VALUE"""),44601)</f>
        <v>44601</v>
      </c>
      <c r="F112" s="43" t="str">
        <f ca="1">IFERROR(__xludf.DUMMYFUNCTION("""COMPUTED_VALUE"""),"Stock")</f>
        <v>Stock</v>
      </c>
      <c r="G112" s="43" t="str">
        <f ca="1">IFERROR(__xludf.DUMMYFUNCTION("""COMPUTED_VALUE"""),"USD")</f>
        <v>USD</v>
      </c>
      <c r="H112" s="154">
        <f ca="1">IFERROR(__xludf.DUMMYFUNCTION("""COMPUTED_VALUE"""),80)</f>
        <v>80</v>
      </c>
      <c r="I112" s="148">
        <f ca="1">IFERROR(__xludf.DUMMYFUNCTION("""COMPUTED_VALUE"""),7.79135)</f>
        <v>7.7913500000000004</v>
      </c>
      <c r="J112" s="149">
        <f ca="1">IFERROR(__xludf.DUMMYFUNCTION("""COMPUTED_VALUE"""),232)</f>
        <v>232</v>
      </c>
      <c r="K112" s="43"/>
      <c r="L112" s="149">
        <f ca="1">IFERROR(__xludf.DUMMYFUNCTION("""COMPUTED_VALUE"""),216.65)</f>
        <v>216.65</v>
      </c>
      <c r="M112" s="155" t="str">
        <f ca="1">IFERROR(__xludf.DUMMYFUNCTION("""COMPUTED_VALUE"""),"Equity Key Stats")</f>
        <v>Equity Key Stats</v>
      </c>
      <c r="N112" s="43"/>
      <c r="O112" s="43"/>
      <c r="P112" s="150">
        <f ca="1">IFERROR(__xludf.DUMMYFUNCTION("""COMPUTED_VALUE"""),-144607.456)</f>
        <v>-144607.45600000001</v>
      </c>
      <c r="Q112" s="151"/>
      <c r="R112" s="152">
        <f ca="1">IFERROR(__xludf.DUMMYFUNCTION("""COMPUTED_VALUE"""),213.46)</f>
        <v>213.46</v>
      </c>
      <c r="S112" s="150">
        <f ca="1">IFERROR(__xludf.DUMMYFUNCTION("""COMPUTED_VALUE"""),133051.32568)</f>
        <v>133051.32568000001</v>
      </c>
      <c r="T112" s="108">
        <f ca="1">IFERROR(__xludf.DUMMYFUNCTION("""COMPUTED_VALUE"""),2)</f>
        <v>2</v>
      </c>
      <c r="U112" s="43">
        <f ca="1">IFERROR(__xludf.DUMMYFUNCTION("""COMPUTED_VALUE"""),1)</f>
        <v>1</v>
      </c>
      <c r="V112" s="144">
        <f ca="1">IFERROR(__xludf.DUMMYFUNCTION("""COMPUTED_VALUE"""),-16017.0789449999)</f>
        <v>-16017.078944999899</v>
      </c>
      <c r="W112" s="145" t="str">
        <f ca="1">IFERROR(__xludf.DUMMYFUNCTION("""COMPUTED_VALUE"""),"")</f>
        <v/>
      </c>
      <c r="X112" s="11" t="str">
        <f ca="1">IFERROR(__xludf.DUMMYFUNCTION("""COMPUTED_VALUE"""),"")</f>
        <v/>
      </c>
      <c r="Y112" s="11" t="str">
        <f ca="1">IFERROR(__xludf.DUMMYFUNCTION("""COMPUTED_VALUE"""),"")</f>
        <v/>
      </c>
      <c r="Z112" s="4" t="str">
        <f ca="1">IFERROR(__xludf.DUMMYFUNCTION("""COMPUTED_VALUE"""),"")</f>
        <v/>
      </c>
    </row>
    <row r="113" spans="1:26" ht="13" x14ac:dyDescent="0.15">
      <c r="A113" s="43" t="str">
        <f ca="1">IFERROR(__xludf.DUMMYFUNCTION("""COMPUTED_VALUE"""),"")</f>
        <v/>
      </c>
      <c r="B113" s="43" t="str">
        <f ca="1">IFERROR(__xludf.DUMMYFUNCTION("""COMPUTED_VALUE"""),"36903")</f>
        <v>36903</v>
      </c>
      <c r="C113" s="146">
        <f ca="1">IFERROR(__xludf.DUMMYFUNCTION("""COMPUTED_VALUE"""),44601000146)</f>
        <v>44601000146</v>
      </c>
      <c r="D113" s="163" t="str">
        <f ca="1">IFERROR(__xludf.DUMMYFUNCTION("""COMPUTED_VALUE"""),"BMBL")</f>
        <v>BMBL</v>
      </c>
      <c r="E113" s="147">
        <f ca="1">IFERROR(__xludf.DUMMYFUNCTION("""COMPUTED_VALUE"""),44601)</f>
        <v>44601</v>
      </c>
      <c r="F113" s="43" t="str">
        <f ca="1">IFERROR(__xludf.DUMMYFUNCTION("""COMPUTED_VALUE"""),"Stock")</f>
        <v>Stock</v>
      </c>
      <c r="G113" s="43" t="str">
        <f ca="1">IFERROR(__xludf.DUMMYFUNCTION("""COMPUTED_VALUE"""),"USD")</f>
        <v>USD</v>
      </c>
      <c r="H113" s="154">
        <f ca="1">IFERROR(__xludf.DUMMYFUNCTION("""COMPUTED_VALUE"""),500)</f>
        <v>500</v>
      </c>
      <c r="I113" s="148">
        <f ca="1">IFERROR(__xludf.DUMMYFUNCTION("""COMPUTED_VALUE"""),7.79135)</f>
        <v>7.7913500000000004</v>
      </c>
      <c r="J113" s="149">
        <f ca="1">IFERROR(__xludf.DUMMYFUNCTION("""COMPUTED_VALUE"""),29.59)</f>
        <v>29.59</v>
      </c>
      <c r="K113" s="43"/>
      <c r="L113" s="149">
        <f ca="1">IFERROR(__xludf.DUMMYFUNCTION("""COMPUTED_VALUE"""),28.58)</f>
        <v>28.58</v>
      </c>
      <c r="M113" s="155" t="str">
        <f ca="1">IFERROR(__xludf.DUMMYFUNCTION("""COMPUTED_VALUE"""),"Equity Key Stats")</f>
        <v>Equity Key Stats</v>
      </c>
      <c r="N113" s="43"/>
      <c r="O113" s="43"/>
      <c r="P113" s="157">
        <f ca="1">IFERROR(__xludf.DUMMYFUNCTION("""COMPUTED_VALUE"""),-115273.02325)</f>
        <v>-115273.02325</v>
      </c>
      <c r="Q113" s="151"/>
      <c r="R113" s="152">
        <f ca="1">IFERROR(__xludf.DUMMYFUNCTION("""COMPUTED_VALUE"""),28.31)</f>
        <v>28.31</v>
      </c>
      <c r="S113" s="150">
        <f ca="1">IFERROR(__xludf.DUMMYFUNCTION("""COMPUTED_VALUE"""),110286.55925)</f>
        <v>110286.55925000001</v>
      </c>
      <c r="T113" s="108">
        <f ca="1">IFERROR(__xludf.DUMMYFUNCTION("""COMPUTED_VALUE"""),1)</f>
        <v>1</v>
      </c>
      <c r="U113" s="43">
        <f ca="1">IFERROR(__xludf.DUMMYFUNCTION("""COMPUTED_VALUE"""),1)</f>
        <v>1</v>
      </c>
      <c r="V113" s="144">
        <f ca="1">IFERROR(__xludf.DUMMYFUNCTION("""COMPUTED_VALUE"""),-4986.46399999999)</f>
        <v>-4986.4639999999899</v>
      </c>
      <c r="W113" s="145" t="str">
        <f ca="1">IFERROR(__xludf.DUMMYFUNCTION("""COMPUTED_VALUE"""),"")</f>
        <v/>
      </c>
      <c r="X113" s="11" t="str">
        <f ca="1">IFERROR(__xludf.DUMMYFUNCTION("""COMPUTED_VALUE"""),"")</f>
        <v/>
      </c>
      <c r="Y113" s="11" t="str">
        <f ca="1">IFERROR(__xludf.DUMMYFUNCTION("""COMPUTED_VALUE"""),"")</f>
        <v/>
      </c>
      <c r="Z113" s="4" t="str">
        <f ca="1">IFERROR(__xludf.DUMMYFUNCTION("""COMPUTED_VALUE"""),"")</f>
        <v/>
      </c>
    </row>
    <row r="114" spans="1:26" ht="13" x14ac:dyDescent="0.15">
      <c r="A114" s="43" t="str">
        <f ca="1">IFERROR(__xludf.DUMMYFUNCTION("""COMPUTED_VALUE"""),"")</f>
        <v/>
      </c>
      <c r="B114" s="43" t="str">
        <f ca="1">IFERROR(__xludf.DUMMYFUNCTION("""COMPUTED_VALUE"""),"36903")</f>
        <v>36903</v>
      </c>
      <c r="C114" s="146">
        <f ca="1">IFERROR(__xludf.DUMMYFUNCTION("""COMPUTED_VALUE"""),44601000147)</f>
        <v>44601000147</v>
      </c>
      <c r="D114" s="163" t="str">
        <f ca="1">IFERROR(__xludf.DUMMYFUNCTION("""COMPUTED_VALUE"""),"NUSI")</f>
        <v>NUSI</v>
      </c>
      <c r="E114" s="147">
        <f ca="1">IFERROR(__xludf.DUMMYFUNCTION("""COMPUTED_VALUE"""),44601)</f>
        <v>44601</v>
      </c>
      <c r="F114" s="43" t="str">
        <f ca="1">IFERROR(__xludf.DUMMYFUNCTION("""COMPUTED_VALUE"""),"Stock")</f>
        <v>Stock</v>
      </c>
      <c r="G114" s="43" t="str">
        <f ca="1">IFERROR(__xludf.DUMMYFUNCTION("""COMPUTED_VALUE"""),"USD")</f>
        <v>USD</v>
      </c>
      <c r="H114" s="154">
        <f ca="1">IFERROR(__xludf.DUMMYFUNCTION("""COMPUTED_VALUE"""),400)</f>
        <v>400</v>
      </c>
      <c r="I114" s="148">
        <f ca="1">IFERROR(__xludf.DUMMYFUNCTION("""COMPUTED_VALUE"""),7.79135)</f>
        <v>7.7913500000000004</v>
      </c>
      <c r="J114" s="149">
        <f ca="1">IFERROR(__xludf.DUMMYFUNCTION("""COMPUTED_VALUE"""),25.76)</f>
        <v>25.76</v>
      </c>
      <c r="K114" s="43"/>
      <c r="L114" s="149">
        <f ca="1">IFERROR(__xludf.DUMMYFUNCTION("""COMPUTED_VALUE"""),24.76)</f>
        <v>24.76</v>
      </c>
      <c r="M114" s="155" t="str">
        <f ca="1">IFERROR(__xludf.DUMMYFUNCTION("""COMPUTED_VALUE"""),"Equity Key Stats")</f>
        <v>Equity Key Stats</v>
      </c>
      <c r="N114" s="43"/>
      <c r="O114" s="43"/>
      <c r="P114" s="150">
        <f ca="1">IFERROR(__xludf.DUMMYFUNCTION("""COMPUTED_VALUE"""),-80282.0704)</f>
        <v>-80282.070399999997</v>
      </c>
      <c r="Q114" s="151"/>
      <c r="R114" s="152">
        <f ca="1">IFERROR(__xludf.DUMMYFUNCTION("""COMPUTED_VALUE"""),24.54)</f>
        <v>24.54</v>
      </c>
      <c r="S114" s="150">
        <f ca="1">IFERROR(__xludf.DUMMYFUNCTION("""COMPUTED_VALUE"""),76479.8916)</f>
        <v>76479.891600000003</v>
      </c>
      <c r="T114" s="108">
        <f ca="1">IFERROR(__xludf.DUMMYFUNCTION("""COMPUTED_VALUE"""),1)</f>
        <v>1</v>
      </c>
      <c r="U114" s="43">
        <f ca="1">IFERROR(__xludf.DUMMYFUNCTION("""COMPUTED_VALUE"""),1)</f>
        <v>1</v>
      </c>
      <c r="V114" s="144">
        <f ca="1">IFERROR(__xludf.DUMMYFUNCTION("""COMPUTED_VALUE"""),-3802.17879999999)</f>
        <v>-3802.1787999999901</v>
      </c>
      <c r="W114" s="145" t="str">
        <f ca="1">IFERROR(__xludf.DUMMYFUNCTION("""COMPUTED_VALUE"""),"")</f>
        <v/>
      </c>
      <c r="X114" s="11" t="str">
        <f ca="1">IFERROR(__xludf.DUMMYFUNCTION("""COMPUTED_VALUE"""),"")</f>
        <v/>
      </c>
      <c r="Y114" s="11" t="str">
        <f ca="1">IFERROR(__xludf.DUMMYFUNCTION("""COMPUTED_VALUE"""),"")</f>
        <v/>
      </c>
      <c r="Z114" s="4" t="str">
        <f ca="1">IFERROR(__xludf.DUMMYFUNCTION("""COMPUTED_VALUE"""),"")</f>
        <v/>
      </c>
    </row>
    <row r="115" spans="1:26" ht="13" x14ac:dyDescent="0.15">
      <c r="A115" s="43" t="str">
        <f ca="1">IFERROR(__xludf.DUMMYFUNCTION("""COMPUTED_VALUE"""),"36903")</f>
        <v>36903</v>
      </c>
      <c r="B115" s="43" t="str">
        <f ca="1">IFERROR(__xludf.DUMMYFUNCTION("""COMPUTED_VALUE"""),"36903")</f>
        <v>36903</v>
      </c>
      <c r="C115" s="146">
        <f ca="1">IFERROR(__xludf.DUMMYFUNCTION("""COMPUTED_VALUE"""),44634000552)</f>
        <v>44634000552</v>
      </c>
      <c r="D115" s="163" t="str">
        <f ca="1">IFERROR(__xludf.DUMMYFUNCTION("""COMPUTED_VALUE"""),"0388.HK")</f>
        <v>0388.HK</v>
      </c>
      <c r="E115" s="147">
        <f ca="1">IFERROR(__xludf.DUMMYFUNCTION("""COMPUTED_VALUE"""),44634)</f>
        <v>44634</v>
      </c>
      <c r="F115" s="43" t="str">
        <f ca="1">IFERROR(__xludf.DUMMYFUNCTION("""COMPUTED_VALUE"""),"Stock")</f>
        <v>Stock</v>
      </c>
      <c r="G115" s="43" t="str">
        <f ca="1">IFERROR(__xludf.DUMMYFUNCTION("""COMPUTED_VALUE"""),"HKD")</f>
        <v>HKD</v>
      </c>
      <c r="H115" s="154">
        <f ca="1">IFERROR(__xludf.DUMMYFUNCTION("""COMPUTED_VALUE"""),100)</f>
        <v>100</v>
      </c>
      <c r="I115" s="148">
        <f ca="1">IFERROR(__xludf.DUMMYFUNCTION("""COMPUTED_VALUE"""),1)</f>
        <v>1</v>
      </c>
      <c r="J115" s="149">
        <f ca="1">IFERROR(__xludf.DUMMYFUNCTION("""COMPUTED_VALUE"""),333.4)</f>
        <v>333.4</v>
      </c>
      <c r="K115" s="43"/>
      <c r="L115" s="149">
        <f ca="1">IFERROR(__xludf.DUMMYFUNCTION("""COMPUTED_VALUE"""),380)</f>
        <v>380</v>
      </c>
      <c r="M115" s="155" t="str">
        <f ca="1">IFERROR(__xludf.DUMMYFUNCTION("""COMPUTED_VALUE"""),"Equity Key Stats")</f>
        <v>Equity Key Stats</v>
      </c>
      <c r="N115" s="43"/>
      <c r="O115" s="43"/>
      <c r="P115" s="150">
        <f ca="1">IFERROR(__xludf.DUMMYFUNCTION("""COMPUTED_VALUE"""),-33340)</f>
        <v>-33340</v>
      </c>
      <c r="Q115" s="151"/>
      <c r="R115" s="152">
        <f ca="1">IFERROR(__xludf.DUMMYFUNCTION("""COMPUTED_VALUE"""),382.8)</f>
        <v>382.8</v>
      </c>
      <c r="S115" s="150">
        <f ca="1">IFERROR(__xludf.DUMMYFUNCTION("""COMPUTED_VALUE"""),38280)</f>
        <v>38280</v>
      </c>
      <c r="T115" s="108">
        <f ca="1">IFERROR(__xludf.DUMMYFUNCTION("""COMPUTED_VALUE"""),1)</f>
        <v>1</v>
      </c>
      <c r="U115" s="43">
        <f ca="1">IFERROR(__xludf.DUMMYFUNCTION("""COMPUTED_VALUE"""),1)</f>
        <v>1</v>
      </c>
      <c r="V115" s="144">
        <f ca="1">IFERROR(__xludf.DUMMYFUNCTION("""COMPUTED_VALUE"""),4940)</f>
        <v>4940</v>
      </c>
      <c r="W115" s="145">
        <f ca="1">IFERROR(__xludf.DUMMYFUNCTION("""COMPUTED_VALUE"""),480134.278255)</f>
        <v>480134.27825500001</v>
      </c>
      <c r="X115" s="11">
        <f ca="1">IFERROR(__xludf.DUMMYFUNCTION("""COMPUTED_VALUE"""),38871.9520749999)</f>
        <v>38871.952074999899</v>
      </c>
      <c r="Y115" s="11">
        <f ca="1">IFERROR(__xludf.DUMMYFUNCTION("""COMPUTED_VALUE"""),0)</f>
        <v>0</v>
      </c>
      <c r="Z115" s="4">
        <f ca="1">IFERROR(__xludf.DUMMYFUNCTION("""COMPUTED_VALUE"""),-0.0397314434899999)</f>
        <v>-3.97314434899999E-2</v>
      </c>
    </row>
    <row r="116" spans="1:26" ht="13" x14ac:dyDescent="0.15">
      <c r="A116" s="43" t="str">
        <f ca="1">IFERROR(__xludf.DUMMYFUNCTION("""COMPUTED_VALUE"""),"")</f>
        <v/>
      </c>
      <c r="B116" s="43" t="str">
        <f ca="1">IFERROR(__xludf.DUMMYFUNCTION("""COMPUTED_VALUE"""),"37198")</f>
        <v>37198</v>
      </c>
      <c r="C116" s="146">
        <f ca="1">IFERROR(__xludf.DUMMYFUNCTION("""COMPUTED_VALUE"""),44597000073)</f>
        <v>44597000073</v>
      </c>
      <c r="D116" s="163" t="str">
        <f ca="1">IFERROR(__xludf.DUMMYFUNCTION("""COMPUTED_VALUE"""),"Cash")</f>
        <v>Cash</v>
      </c>
      <c r="E116" s="147">
        <f ca="1">IFERROR(__xludf.DUMMYFUNCTION("""COMPUTED_VALUE"""),44597)</f>
        <v>44597</v>
      </c>
      <c r="F116" s="43" t="str">
        <f ca="1">IFERROR(__xludf.DUMMYFUNCTION("""COMPUTED_VALUE"""),"Cash")</f>
        <v>Cash</v>
      </c>
      <c r="G116" s="43" t="str">
        <f ca="1">IFERROR(__xludf.DUMMYFUNCTION("""COMPUTED_VALUE"""),"HKD")</f>
        <v>HKD</v>
      </c>
      <c r="H116" s="154" t="str">
        <f ca="1">IFERROR(__xludf.DUMMYFUNCTION("""COMPUTED_VALUE"""),"")</f>
        <v/>
      </c>
      <c r="I116" s="148">
        <f ca="1">IFERROR(__xludf.DUMMYFUNCTION("""COMPUTED_VALUE"""),1)</f>
        <v>1</v>
      </c>
      <c r="J116" s="149">
        <f ca="1">IFERROR(__xludf.DUMMYFUNCTION("""COMPUTED_VALUE"""),1)</f>
        <v>1</v>
      </c>
      <c r="K116" s="43"/>
      <c r="L116" s="149">
        <f ca="1">IFERROR(__xludf.DUMMYFUNCTION("""COMPUTED_VALUE"""),1)</f>
        <v>1</v>
      </c>
      <c r="M116" s="155" t="str">
        <f ca="1">IFERROR(__xludf.DUMMYFUNCTION("""COMPUTED_VALUE"""),"")</f>
        <v/>
      </c>
      <c r="N116" s="43"/>
      <c r="O116" s="43"/>
      <c r="P116" s="150">
        <f ca="1">IFERROR(__xludf.DUMMYFUNCTION("""COMPUTED_VALUE"""),500000)</f>
        <v>500000</v>
      </c>
      <c r="Q116" s="151"/>
      <c r="R116" s="152">
        <f ca="1">IFERROR(__xludf.DUMMYFUNCTION("""COMPUTED_VALUE"""),1)</f>
        <v>1</v>
      </c>
      <c r="S116" s="150" t="str">
        <f ca="1">IFERROR(__xludf.DUMMYFUNCTION("""COMPUTED_VALUE"""),"")</f>
        <v/>
      </c>
      <c r="T116" s="108">
        <f ca="1">IFERROR(__xludf.DUMMYFUNCTION("""COMPUTED_VALUE"""),1)</f>
        <v>1</v>
      </c>
      <c r="U116" s="43">
        <f ca="1">IFERROR(__xludf.DUMMYFUNCTION("""COMPUTED_VALUE"""),1)</f>
        <v>1</v>
      </c>
      <c r="V116" s="144">
        <f ca="1">IFERROR(__xludf.DUMMYFUNCTION("""COMPUTED_VALUE"""),500000)</f>
        <v>500000</v>
      </c>
      <c r="W116" s="145" t="str">
        <f ca="1">IFERROR(__xludf.DUMMYFUNCTION("""COMPUTED_VALUE"""),"")</f>
        <v/>
      </c>
      <c r="X116" s="11" t="str">
        <f ca="1">IFERROR(__xludf.DUMMYFUNCTION("""COMPUTED_VALUE"""),"")</f>
        <v/>
      </c>
      <c r="Y116" s="11" t="str">
        <f ca="1">IFERROR(__xludf.DUMMYFUNCTION("""COMPUTED_VALUE"""),"")</f>
        <v/>
      </c>
      <c r="Z116" s="4" t="str">
        <f ca="1">IFERROR(__xludf.DUMMYFUNCTION("""COMPUTED_VALUE"""),"")</f>
        <v/>
      </c>
    </row>
    <row r="117" spans="1:26" ht="13" x14ac:dyDescent="0.15">
      <c r="A117" s="43" t="str">
        <f ca="1">IFERROR(__xludf.DUMMYFUNCTION("""COMPUTED_VALUE"""),"")</f>
        <v/>
      </c>
      <c r="B117" s="43" t="str">
        <f ca="1">IFERROR(__xludf.DUMMYFUNCTION("""COMPUTED_VALUE"""),"37198")</f>
        <v>37198</v>
      </c>
      <c r="C117" s="146">
        <f ca="1">IFERROR(__xludf.DUMMYFUNCTION("""COMPUTED_VALUE"""),44637000662)</f>
        <v>44637000662</v>
      </c>
      <c r="D117" s="163" t="str">
        <f ca="1">IFERROR(__xludf.DUMMYFUNCTION("""COMPUTED_VALUE"""),"TME")</f>
        <v>TME</v>
      </c>
      <c r="E117" s="147">
        <f ca="1">IFERROR(__xludf.DUMMYFUNCTION("""COMPUTED_VALUE"""),44637)</f>
        <v>44637</v>
      </c>
      <c r="F117" s="43" t="str">
        <f ca="1">IFERROR(__xludf.DUMMYFUNCTION("""COMPUTED_VALUE"""),"Stock")</f>
        <v>Stock</v>
      </c>
      <c r="G117" s="43" t="str">
        <f ca="1">IFERROR(__xludf.DUMMYFUNCTION("""COMPUTED_VALUE"""),"USD")</f>
        <v>USD</v>
      </c>
      <c r="H117" s="154">
        <f ca="1">IFERROR(__xludf.DUMMYFUNCTION("""COMPUTED_VALUE"""),200)</f>
        <v>200</v>
      </c>
      <c r="I117" s="148">
        <f ca="1">IFERROR(__xludf.DUMMYFUNCTION("""COMPUTED_VALUE"""),7.81854)</f>
        <v>7.8185399999999996</v>
      </c>
      <c r="J117" s="149">
        <f ca="1">IFERROR(__xludf.DUMMYFUNCTION("""COMPUTED_VALUE"""),4.19)</f>
        <v>4.1900000000000004</v>
      </c>
      <c r="K117" s="43"/>
      <c r="L117" s="149">
        <f ca="1">IFERROR(__xludf.DUMMYFUNCTION("""COMPUTED_VALUE"""),5.1)</f>
        <v>5.0999999999999996</v>
      </c>
      <c r="M117" s="155" t="str">
        <f ca="1">IFERROR(__xludf.DUMMYFUNCTION("""COMPUTED_VALUE"""),"Equity Key Stats")</f>
        <v>Equity Key Stats</v>
      </c>
      <c r="N117" s="43"/>
      <c r="O117" s="43"/>
      <c r="P117" s="150">
        <f ca="1">IFERROR(__xludf.DUMMYFUNCTION("""COMPUTED_VALUE"""),-6551.93652)</f>
        <v>-6551.9365200000002</v>
      </c>
      <c r="Q117" s="151"/>
      <c r="R117" s="152">
        <f ca="1">IFERROR(__xludf.DUMMYFUNCTION("""COMPUTED_VALUE"""),5.37)</f>
        <v>5.37</v>
      </c>
      <c r="S117" s="150">
        <f ca="1">IFERROR(__xludf.DUMMYFUNCTION("""COMPUTED_VALUE"""),8397.11196)</f>
        <v>8397.1119600000002</v>
      </c>
      <c r="T117" s="108">
        <f ca="1">IFERROR(__xludf.DUMMYFUNCTION("""COMPUTED_VALUE"""),1)</f>
        <v>1</v>
      </c>
      <c r="U117" s="43">
        <f ca="1">IFERROR(__xludf.DUMMYFUNCTION("""COMPUTED_VALUE"""),1)</f>
        <v>1</v>
      </c>
      <c r="V117" s="144">
        <f ca="1">IFERROR(__xludf.DUMMYFUNCTION("""COMPUTED_VALUE"""),1845.17544)</f>
        <v>1845.17544</v>
      </c>
      <c r="W117" s="145" t="str">
        <f ca="1">IFERROR(__xludf.DUMMYFUNCTION("""COMPUTED_VALUE"""),"")</f>
        <v/>
      </c>
      <c r="X117" s="11" t="str">
        <f ca="1">IFERROR(__xludf.DUMMYFUNCTION("""COMPUTED_VALUE"""),"")</f>
        <v/>
      </c>
      <c r="Y117" s="11" t="str">
        <f ca="1">IFERROR(__xludf.DUMMYFUNCTION("""COMPUTED_VALUE"""),"")</f>
        <v/>
      </c>
      <c r="Z117" s="4" t="str">
        <f ca="1">IFERROR(__xludf.DUMMYFUNCTION("""COMPUTED_VALUE"""),"")</f>
        <v/>
      </c>
    </row>
    <row r="118" spans="1:26" ht="13" x14ac:dyDescent="0.15">
      <c r="A118" s="43" t="str">
        <f ca="1">IFERROR(__xludf.DUMMYFUNCTION("""COMPUTED_VALUE"""),"")</f>
        <v/>
      </c>
      <c r="B118" s="43" t="str">
        <f ca="1">IFERROR(__xludf.DUMMYFUNCTION("""COMPUTED_VALUE"""),"37198")</f>
        <v>37198</v>
      </c>
      <c r="C118" s="146">
        <f ca="1">IFERROR(__xludf.DUMMYFUNCTION("""COMPUTED_VALUE"""),44637000663)</f>
        <v>44637000663</v>
      </c>
      <c r="D118" s="163" t="str">
        <f ca="1">IFERROR(__xludf.DUMMYFUNCTION("""COMPUTED_VALUE"""),"BNTX")</f>
        <v>BNTX</v>
      </c>
      <c r="E118" s="147">
        <f ca="1">IFERROR(__xludf.DUMMYFUNCTION("""COMPUTED_VALUE"""),44637)</f>
        <v>44637</v>
      </c>
      <c r="F118" s="43" t="str">
        <f ca="1">IFERROR(__xludf.DUMMYFUNCTION("""COMPUTED_VALUE"""),"Stock")</f>
        <v>Stock</v>
      </c>
      <c r="G118" s="43" t="str">
        <f ca="1">IFERROR(__xludf.DUMMYFUNCTION("""COMPUTED_VALUE"""),"USD")</f>
        <v>USD</v>
      </c>
      <c r="H118" s="154">
        <f ca="1">IFERROR(__xludf.DUMMYFUNCTION("""COMPUTED_VALUE"""),0)</f>
        <v>0</v>
      </c>
      <c r="I118" s="148">
        <f ca="1">IFERROR(__xludf.DUMMYFUNCTION("""COMPUTED_VALUE"""),7.81854)</f>
        <v>7.8185399999999996</v>
      </c>
      <c r="J118" s="149">
        <f ca="1">IFERROR(__xludf.DUMMYFUNCTION("""COMPUTED_VALUE"""),0)</f>
        <v>0</v>
      </c>
      <c r="K118" s="43"/>
      <c r="L118" s="149">
        <f ca="1">IFERROR(__xludf.DUMMYFUNCTION("""COMPUTED_VALUE"""),174.63)</f>
        <v>174.63</v>
      </c>
      <c r="M118" s="155" t="str">
        <f ca="1">IFERROR(__xludf.DUMMYFUNCTION("""COMPUTED_VALUE"""),"Equity Key Stats")</f>
        <v>Equity Key Stats</v>
      </c>
      <c r="N118" s="43"/>
      <c r="O118" s="43"/>
      <c r="P118" s="150">
        <f ca="1">IFERROR(__xludf.DUMMYFUNCTION("""COMPUTED_VALUE"""),0)</f>
        <v>0</v>
      </c>
      <c r="Q118" s="151"/>
      <c r="R118" s="152">
        <f ca="1">IFERROR(__xludf.DUMMYFUNCTION("""COMPUTED_VALUE"""),166.33)</f>
        <v>166.33</v>
      </c>
      <c r="S118" s="150">
        <f ca="1">IFERROR(__xludf.DUMMYFUNCTION("""COMPUTED_VALUE"""),0)</f>
        <v>0</v>
      </c>
      <c r="T118" s="108">
        <f ca="1">IFERROR(__xludf.DUMMYFUNCTION("""COMPUTED_VALUE"""),2)</f>
        <v>2</v>
      </c>
      <c r="U118" s="108" t="str">
        <f ca="1">IFERROR(__xludf.DUMMYFUNCTION("""COMPUTED_VALUE"""),"")</f>
        <v/>
      </c>
      <c r="V118" s="158" t="str">
        <f ca="1">IFERROR(__xludf.DUMMYFUNCTION("""COMPUTED_VALUE"""),"")</f>
        <v/>
      </c>
      <c r="W118" s="145" t="str">
        <f ca="1">IFERROR(__xludf.DUMMYFUNCTION("""COMPUTED_VALUE"""),"")</f>
        <v/>
      </c>
      <c r="X118" s="11" t="str">
        <f ca="1">IFERROR(__xludf.DUMMYFUNCTION("""COMPUTED_VALUE"""),"")</f>
        <v/>
      </c>
      <c r="Y118" s="11" t="str">
        <f ca="1">IFERROR(__xludf.DUMMYFUNCTION("""COMPUTED_VALUE"""),"")</f>
        <v/>
      </c>
      <c r="Z118" s="4" t="str">
        <f ca="1">IFERROR(__xludf.DUMMYFUNCTION("""COMPUTED_VALUE"""),"")</f>
        <v/>
      </c>
    </row>
    <row r="119" spans="1:26" ht="13" x14ac:dyDescent="0.15">
      <c r="A119" s="43" t="str">
        <f ca="1">IFERROR(__xludf.DUMMYFUNCTION("""COMPUTED_VALUE"""),"")</f>
        <v/>
      </c>
      <c r="B119" s="43" t="str">
        <f ca="1">IFERROR(__xludf.DUMMYFUNCTION("""COMPUTED_VALUE"""),"37198")</f>
        <v>37198</v>
      </c>
      <c r="C119" s="146">
        <f ca="1">IFERROR(__xludf.DUMMYFUNCTION("""COMPUTED_VALUE"""),44638000686)</f>
        <v>44638000686</v>
      </c>
      <c r="D119" s="163" t="str">
        <f ca="1">IFERROR(__xludf.DUMMYFUNCTION("""COMPUTED_VALUE"""),"BNTX")</f>
        <v>BNTX</v>
      </c>
      <c r="E119" s="147">
        <f ca="1">IFERROR(__xludf.DUMMYFUNCTION("""COMPUTED_VALUE"""),44638)</f>
        <v>44638</v>
      </c>
      <c r="F119" s="43" t="str">
        <f ca="1">IFERROR(__xludf.DUMMYFUNCTION("""COMPUTED_VALUE"""),"Stock")</f>
        <v>Stock</v>
      </c>
      <c r="G119" s="43" t="str">
        <f ca="1">IFERROR(__xludf.DUMMYFUNCTION("""COMPUTED_VALUE"""),"USD")</f>
        <v>USD</v>
      </c>
      <c r="H119" s="156">
        <f ca="1">IFERROR(__xludf.DUMMYFUNCTION("""COMPUTED_VALUE"""),0)</f>
        <v>0</v>
      </c>
      <c r="I119" s="148">
        <f ca="1">IFERROR(__xludf.DUMMYFUNCTION("""COMPUTED_VALUE"""),7.82495)</f>
        <v>7.8249500000000003</v>
      </c>
      <c r="J119" s="149">
        <f ca="1">IFERROR(__xludf.DUMMYFUNCTION("""COMPUTED_VALUE"""),0)</f>
        <v>0</v>
      </c>
      <c r="K119" s="43"/>
      <c r="L119" s="149">
        <f ca="1">IFERROR(__xludf.DUMMYFUNCTION("""COMPUTED_VALUE"""),174.63)</f>
        <v>174.63</v>
      </c>
      <c r="M119" s="155" t="str">
        <f ca="1">IFERROR(__xludf.DUMMYFUNCTION("""COMPUTED_VALUE"""),"Equity Key Stats")</f>
        <v>Equity Key Stats</v>
      </c>
      <c r="N119" s="43"/>
      <c r="O119" s="43"/>
      <c r="P119" s="150">
        <f ca="1">IFERROR(__xludf.DUMMYFUNCTION("""COMPUTED_VALUE"""),0)</f>
        <v>0</v>
      </c>
      <c r="Q119" s="151"/>
      <c r="R119" s="152">
        <f ca="1">IFERROR(__xludf.DUMMYFUNCTION("""COMPUTED_VALUE"""),166.33)</f>
        <v>166.33</v>
      </c>
      <c r="S119" s="157">
        <f ca="1">IFERROR(__xludf.DUMMYFUNCTION("""COMPUTED_VALUE"""),0)</f>
        <v>0</v>
      </c>
      <c r="T119" s="108">
        <f ca="1">IFERROR(__xludf.DUMMYFUNCTION("""COMPUTED_VALUE"""),2)</f>
        <v>2</v>
      </c>
      <c r="U119" s="108">
        <f ca="1">IFERROR(__xludf.DUMMYFUNCTION("""COMPUTED_VALUE"""),1)</f>
        <v>1</v>
      </c>
      <c r="V119" s="158">
        <f ca="1">IFERROR(__xludf.DUMMYFUNCTION("""COMPUTED_VALUE"""),0)</f>
        <v>0</v>
      </c>
      <c r="W119" s="145" t="str">
        <f ca="1">IFERROR(__xludf.DUMMYFUNCTION("""COMPUTED_VALUE"""),"")</f>
        <v/>
      </c>
      <c r="X119" s="11" t="str">
        <f ca="1">IFERROR(__xludf.DUMMYFUNCTION("""COMPUTED_VALUE"""),"")</f>
        <v/>
      </c>
      <c r="Y119" s="11" t="str">
        <f ca="1">IFERROR(__xludf.DUMMYFUNCTION("""COMPUTED_VALUE"""),"")</f>
        <v/>
      </c>
      <c r="Z119" s="4" t="str">
        <f ca="1">IFERROR(__xludf.DUMMYFUNCTION("""COMPUTED_VALUE"""),"")</f>
        <v/>
      </c>
    </row>
    <row r="120" spans="1:26" ht="13" x14ac:dyDescent="0.15">
      <c r="A120" s="43" t="str">
        <f ca="1">IFERROR(__xludf.DUMMYFUNCTION("""COMPUTED_VALUE"""),"")</f>
        <v/>
      </c>
      <c r="B120" s="43" t="str">
        <f ca="1">IFERROR(__xludf.DUMMYFUNCTION("""COMPUTED_VALUE"""),"37198")</f>
        <v>37198</v>
      </c>
      <c r="C120" s="146">
        <f ca="1">IFERROR(__xludf.DUMMYFUNCTION("""COMPUTED_VALUE"""),44638000687)</f>
        <v>44638000687</v>
      </c>
      <c r="D120" s="163" t="str">
        <f ca="1">IFERROR(__xludf.DUMMYFUNCTION("""COMPUTED_VALUE"""),"DVN")</f>
        <v>DVN</v>
      </c>
      <c r="E120" s="147">
        <f ca="1">IFERROR(__xludf.DUMMYFUNCTION("""COMPUTED_VALUE"""),44638)</f>
        <v>44638</v>
      </c>
      <c r="F120" s="43" t="str">
        <f ca="1">IFERROR(__xludf.DUMMYFUNCTION("""COMPUTED_VALUE"""),"Stock")</f>
        <v>Stock</v>
      </c>
      <c r="G120" s="43" t="str">
        <f ca="1">IFERROR(__xludf.DUMMYFUNCTION("""COMPUTED_VALUE"""),"USD")</f>
        <v>USD</v>
      </c>
      <c r="H120" s="156">
        <f ca="1">IFERROR(__xludf.DUMMYFUNCTION("""COMPUTED_VALUE"""),0)</f>
        <v>0</v>
      </c>
      <c r="I120" s="148">
        <f ca="1">IFERROR(__xludf.DUMMYFUNCTION("""COMPUTED_VALUE"""),7.82495)</f>
        <v>7.8249500000000003</v>
      </c>
      <c r="J120" s="149">
        <f ca="1">IFERROR(__xludf.DUMMYFUNCTION("""COMPUTED_VALUE"""),0)</f>
        <v>0</v>
      </c>
      <c r="K120" s="43"/>
      <c r="L120" s="149">
        <f ca="1">IFERROR(__xludf.DUMMYFUNCTION("""COMPUTED_VALUE"""),60.63)</f>
        <v>60.63</v>
      </c>
      <c r="M120" s="155" t="str">
        <f ca="1">IFERROR(__xludf.DUMMYFUNCTION("""COMPUTED_VALUE"""),"Equity Key Stats")</f>
        <v>Equity Key Stats</v>
      </c>
      <c r="N120" s="43"/>
      <c r="O120" s="43"/>
      <c r="P120" s="150">
        <f ca="1">IFERROR(__xludf.DUMMYFUNCTION("""COMPUTED_VALUE"""),0)</f>
        <v>0</v>
      </c>
      <c r="Q120" s="151"/>
      <c r="R120" s="152">
        <f ca="1">IFERROR(__xludf.DUMMYFUNCTION("""COMPUTED_VALUE"""),61.67)</f>
        <v>61.67</v>
      </c>
      <c r="S120" s="157">
        <f ca="1">IFERROR(__xludf.DUMMYFUNCTION("""COMPUTED_VALUE"""),0)</f>
        <v>0</v>
      </c>
      <c r="T120" s="108">
        <f ca="1">IFERROR(__xludf.DUMMYFUNCTION("""COMPUTED_VALUE"""),1)</f>
        <v>1</v>
      </c>
      <c r="U120" s="43">
        <f ca="1">IFERROR(__xludf.DUMMYFUNCTION("""COMPUTED_VALUE"""),1)</f>
        <v>1</v>
      </c>
      <c r="V120" s="144">
        <f ca="1">IFERROR(__xludf.DUMMYFUNCTION("""COMPUTED_VALUE"""),0)</f>
        <v>0</v>
      </c>
      <c r="W120" s="145" t="str">
        <f ca="1">IFERROR(__xludf.DUMMYFUNCTION("""COMPUTED_VALUE"""),"")</f>
        <v/>
      </c>
      <c r="X120" s="11" t="str">
        <f ca="1">IFERROR(__xludf.DUMMYFUNCTION("""COMPUTED_VALUE"""),"")</f>
        <v/>
      </c>
      <c r="Y120" s="11" t="str">
        <f ca="1">IFERROR(__xludf.DUMMYFUNCTION("""COMPUTED_VALUE"""),"")</f>
        <v/>
      </c>
      <c r="Z120" s="4" t="str">
        <f ca="1">IFERROR(__xludf.DUMMYFUNCTION("""COMPUTED_VALUE"""),"")</f>
        <v/>
      </c>
    </row>
    <row r="121" spans="1:26" ht="13" x14ac:dyDescent="0.15">
      <c r="A121" s="43" t="str">
        <f ca="1">IFERROR(__xludf.DUMMYFUNCTION("""COMPUTED_VALUE"""),"37198")</f>
        <v>37198</v>
      </c>
      <c r="B121" s="43" t="str">
        <f ca="1">IFERROR(__xludf.DUMMYFUNCTION("""COMPUTED_VALUE"""),"37198")</f>
        <v>37198</v>
      </c>
      <c r="C121" s="146">
        <f ca="1">IFERROR(__xludf.DUMMYFUNCTION("""COMPUTED_VALUE"""),44638000688)</f>
        <v>44638000688</v>
      </c>
      <c r="D121" s="163" t="str">
        <f ca="1">IFERROR(__xludf.DUMMYFUNCTION("""COMPUTED_VALUE"""),"CL=F")</f>
        <v>CL=F</v>
      </c>
      <c r="E121" s="147">
        <f ca="1">IFERROR(__xludf.DUMMYFUNCTION("""COMPUTED_VALUE"""),44638)</f>
        <v>44638</v>
      </c>
      <c r="F121" s="43" t="str">
        <f ca="1">IFERROR(__xludf.DUMMYFUNCTION("""COMPUTED_VALUE"""),"Stock")</f>
        <v>Stock</v>
      </c>
      <c r="G121" s="43" t="str">
        <f ca="1">IFERROR(__xludf.DUMMYFUNCTION("""COMPUTED_VALUE"""),"USD")</f>
        <v>USD</v>
      </c>
      <c r="H121" s="154">
        <f ca="1">IFERROR(__xludf.DUMMYFUNCTION("""COMPUTED_VALUE"""),50)</f>
        <v>50</v>
      </c>
      <c r="I121" s="148">
        <f ca="1">IFERROR(__xludf.DUMMYFUNCTION("""COMPUTED_VALUE"""),7.82495)</f>
        <v>7.8249500000000003</v>
      </c>
      <c r="J121" s="149">
        <f ca="1">IFERROR(__xludf.DUMMYFUNCTION("""COMPUTED_VALUE"""),105.1)</f>
        <v>105.1</v>
      </c>
      <c r="K121" s="43"/>
      <c r="L121" s="149">
        <f ca="1">IFERROR(__xludf.DUMMYFUNCTION("""COMPUTED_VALUE"""),111.3)</f>
        <v>111.3</v>
      </c>
      <c r="M121" s="155" t="str">
        <f ca="1">IFERROR(__xludf.DUMMYFUNCTION("""COMPUTED_VALUE"""),"Equity Key Stats")</f>
        <v>Equity Key Stats</v>
      </c>
      <c r="N121" s="43"/>
      <c r="O121" s="43"/>
      <c r="P121" s="157">
        <f ca="1">IFERROR(__xludf.DUMMYFUNCTION("""COMPUTED_VALUE"""),-41120.11225)</f>
        <v>-41120.112249999998</v>
      </c>
      <c r="Q121" s="151"/>
      <c r="R121" s="152">
        <f ca="1">IFERROR(__xludf.DUMMYFUNCTION("""COMPUTED_VALUE"""),115.83)</f>
        <v>115.83</v>
      </c>
      <c r="S121" s="150">
        <f ca="1">IFERROR(__xludf.DUMMYFUNCTION("""COMPUTED_VALUE"""),45318.197925)</f>
        <v>45318.197925</v>
      </c>
      <c r="T121" s="108">
        <f ca="1">IFERROR(__xludf.DUMMYFUNCTION("""COMPUTED_VALUE"""),1)</f>
        <v>1</v>
      </c>
      <c r="U121" s="43">
        <f ca="1">IFERROR(__xludf.DUMMYFUNCTION("""COMPUTED_VALUE"""),1)</f>
        <v>1</v>
      </c>
      <c r="V121" s="144">
        <f ca="1">IFERROR(__xludf.DUMMYFUNCTION("""COMPUTED_VALUE"""),4198.085675)</f>
        <v>4198.0856750000003</v>
      </c>
      <c r="W121" s="145">
        <f ca="1">IFERROR(__xludf.DUMMYFUNCTION("""COMPUTED_VALUE"""),506043.261115)</f>
        <v>506043.261115</v>
      </c>
      <c r="X121" s="11">
        <f ca="1">IFERROR(__xludf.DUMMYFUNCTION("""COMPUTED_VALUE"""),452327.95123)</f>
        <v>452327.95123000001</v>
      </c>
      <c r="Y121" s="11">
        <f ca="1">IFERROR(__xludf.DUMMYFUNCTION("""COMPUTED_VALUE"""),0)</f>
        <v>0</v>
      </c>
      <c r="Z121" s="4">
        <f ca="1">IFERROR(__xludf.DUMMYFUNCTION("""COMPUTED_VALUE"""),0.0120865222299999)</f>
        <v>1.20865222299999E-2</v>
      </c>
    </row>
    <row r="122" spans="1:26" ht="13" x14ac:dyDescent="0.15">
      <c r="A122" s="43" t="str">
        <f ca="1">IFERROR(__xludf.DUMMYFUNCTION("""COMPUTED_VALUE"""),"")</f>
        <v/>
      </c>
      <c r="B122" s="43" t="str">
        <f ca="1">IFERROR(__xludf.DUMMYFUNCTION("""COMPUTED_VALUE"""),"37400")</f>
        <v>37400</v>
      </c>
      <c r="C122" s="146">
        <f ca="1">IFERROR(__xludf.DUMMYFUNCTION("""COMPUTED_VALUE"""),44597000101)</f>
        <v>44597000101</v>
      </c>
      <c r="D122" s="163" t="str">
        <f ca="1">IFERROR(__xludf.DUMMYFUNCTION("""COMPUTED_VALUE"""),"Cash")</f>
        <v>Cash</v>
      </c>
      <c r="E122" s="147">
        <f ca="1">IFERROR(__xludf.DUMMYFUNCTION("""COMPUTED_VALUE"""),44597)</f>
        <v>44597</v>
      </c>
      <c r="F122" s="43" t="str">
        <f ca="1">IFERROR(__xludf.DUMMYFUNCTION("""COMPUTED_VALUE"""),"Cash")</f>
        <v>Cash</v>
      </c>
      <c r="G122" s="43" t="str">
        <f ca="1">IFERROR(__xludf.DUMMYFUNCTION("""COMPUTED_VALUE"""),"HKD")</f>
        <v>HKD</v>
      </c>
      <c r="H122" s="154" t="str">
        <f ca="1">IFERROR(__xludf.DUMMYFUNCTION("""COMPUTED_VALUE"""),"")</f>
        <v/>
      </c>
      <c r="I122" s="148">
        <f ca="1">IFERROR(__xludf.DUMMYFUNCTION("""COMPUTED_VALUE"""),1)</f>
        <v>1</v>
      </c>
      <c r="J122" s="149">
        <f ca="1">IFERROR(__xludf.DUMMYFUNCTION("""COMPUTED_VALUE"""),1)</f>
        <v>1</v>
      </c>
      <c r="K122" s="43"/>
      <c r="L122" s="149">
        <f ca="1">IFERROR(__xludf.DUMMYFUNCTION("""COMPUTED_VALUE"""),1)</f>
        <v>1</v>
      </c>
      <c r="M122" s="155" t="str">
        <f ca="1">IFERROR(__xludf.DUMMYFUNCTION("""COMPUTED_VALUE"""),"")</f>
        <v/>
      </c>
      <c r="N122" s="43"/>
      <c r="O122" s="43"/>
      <c r="P122" s="157">
        <f ca="1">IFERROR(__xludf.DUMMYFUNCTION("""COMPUTED_VALUE"""),500000)</f>
        <v>500000</v>
      </c>
      <c r="Q122" s="151"/>
      <c r="R122" s="152">
        <f ca="1">IFERROR(__xludf.DUMMYFUNCTION("""COMPUTED_VALUE"""),1)</f>
        <v>1</v>
      </c>
      <c r="S122" s="150" t="str">
        <f ca="1">IFERROR(__xludf.DUMMYFUNCTION("""COMPUTED_VALUE"""),"")</f>
        <v/>
      </c>
      <c r="T122" s="108">
        <f ca="1">IFERROR(__xludf.DUMMYFUNCTION("""COMPUTED_VALUE"""),1)</f>
        <v>1</v>
      </c>
      <c r="U122" s="108">
        <f ca="1">IFERROR(__xludf.DUMMYFUNCTION("""COMPUTED_VALUE"""),1)</f>
        <v>1</v>
      </c>
      <c r="V122" s="153">
        <f ca="1">IFERROR(__xludf.DUMMYFUNCTION("""COMPUTED_VALUE"""),500000)</f>
        <v>500000</v>
      </c>
      <c r="W122" s="145" t="str">
        <f ca="1">IFERROR(__xludf.DUMMYFUNCTION("""COMPUTED_VALUE"""),"")</f>
        <v/>
      </c>
      <c r="X122" s="11" t="str">
        <f ca="1">IFERROR(__xludf.DUMMYFUNCTION("""COMPUTED_VALUE"""),"")</f>
        <v/>
      </c>
      <c r="Y122" s="11" t="str">
        <f ca="1">IFERROR(__xludf.DUMMYFUNCTION("""COMPUTED_VALUE"""),"")</f>
        <v/>
      </c>
      <c r="Z122" s="4" t="str">
        <f ca="1">IFERROR(__xludf.DUMMYFUNCTION("""COMPUTED_VALUE"""),"")</f>
        <v/>
      </c>
    </row>
    <row r="123" spans="1:26" ht="13" x14ac:dyDescent="0.15">
      <c r="A123" s="43" t="str">
        <f ca="1">IFERROR(__xludf.DUMMYFUNCTION("""COMPUTED_VALUE"""),"")</f>
        <v/>
      </c>
      <c r="B123" s="43" t="str">
        <f ca="1">IFERROR(__xludf.DUMMYFUNCTION("""COMPUTED_VALUE"""),"37400")</f>
        <v>37400</v>
      </c>
      <c r="C123" s="146">
        <f ca="1">IFERROR(__xludf.DUMMYFUNCTION("""COMPUTED_VALUE"""),44608000228)</f>
        <v>44608000228</v>
      </c>
      <c r="D123" s="163" t="str">
        <f ca="1">IFERROR(__xludf.DUMMYFUNCTION("""COMPUTED_VALUE"""),"TSLA")</f>
        <v>TSLA</v>
      </c>
      <c r="E123" s="147">
        <f ca="1">IFERROR(__xludf.DUMMYFUNCTION("""COMPUTED_VALUE"""),44608)</f>
        <v>44608</v>
      </c>
      <c r="F123" s="43" t="str">
        <f ca="1">IFERROR(__xludf.DUMMYFUNCTION("""COMPUTED_VALUE"""),"Stock")</f>
        <v>Stock</v>
      </c>
      <c r="G123" s="43" t="str">
        <f ca="1">IFERROR(__xludf.DUMMYFUNCTION("""COMPUTED_VALUE"""),"USD")</f>
        <v>USD</v>
      </c>
      <c r="H123" s="154">
        <f ca="1">IFERROR(__xludf.DUMMYFUNCTION("""COMPUTED_VALUE"""),0)</f>
        <v>0</v>
      </c>
      <c r="I123" s="148">
        <f ca="1">IFERROR(__xludf.DUMMYFUNCTION("""COMPUTED_VALUE"""),7.8005)</f>
        <v>7.8005000000000004</v>
      </c>
      <c r="J123" s="149">
        <f ca="1">IFERROR(__xludf.DUMMYFUNCTION("""COMPUTED_VALUE"""),0)</f>
        <v>0</v>
      </c>
      <c r="K123" s="43"/>
      <c r="L123" s="149">
        <f ca="1">IFERROR(__xludf.DUMMYFUNCTION("""COMPUTED_VALUE"""),993.98)</f>
        <v>993.98</v>
      </c>
      <c r="M123" s="155" t="str">
        <f ca="1">IFERROR(__xludf.DUMMYFUNCTION("""COMPUTED_VALUE"""),"Equity Key Stats")</f>
        <v>Equity Key Stats</v>
      </c>
      <c r="N123" s="43"/>
      <c r="O123" s="43"/>
      <c r="P123" s="157">
        <f ca="1">IFERROR(__xludf.DUMMYFUNCTION("""COMPUTED_VALUE"""),0)</f>
        <v>0</v>
      </c>
      <c r="Q123" s="151"/>
      <c r="R123" s="152">
        <f ca="1">IFERROR(__xludf.DUMMYFUNCTION("""COMPUTED_VALUE"""),999.11)</f>
        <v>999.11</v>
      </c>
      <c r="S123" s="150">
        <f ca="1">IFERROR(__xludf.DUMMYFUNCTION("""COMPUTED_VALUE"""),0)</f>
        <v>0</v>
      </c>
      <c r="T123" s="108">
        <f ca="1">IFERROR(__xludf.DUMMYFUNCTION("""COMPUTED_VALUE"""),4)</f>
        <v>4</v>
      </c>
      <c r="U123" s="108" t="str">
        <f ca="1">IFERROR(__xludf.DUMMYFUNCTION("""COMPUTED_VALUE"""),"")</f>
        <v/>
      </c>
      <c r="V123" s="153" t="str">
        <f ca="1">IFERROR(__xludf.DUMMYFUNCTION("""COMPUTED_VALUE"""),"")</f>
        <v/>
      </c>
      <c r="W123" s="145" t="str">
        <f ca="1">IFERROR(__xludf.DUMMYFUNCTION("""COMPUTED_VALUE"""),"")</f>
        <v/>
      </c>
      <c r="X123" s="11" t="str">
        <f ca="1">IFERROR(__xludf.DUMMYFUNCTION("""COMPUTED_VALUE"""),"")</f>
        <v/>
      </c>
      <c r="Y123" s="11" t="str">
        <f ca="1">IFERROR(__xludf.DUMMYFUNCTION("""COMPUTED_VALUE"""),"")</f>
        <v/>
      </c>
      <c r="Z123" s="4" t="str">
        <f ca="1">IFERROR(__xludf.DUMMYFUNCTION("""COMPUTED_VALUE"""),"")</f>
        <v/>
      </c>
    </row>
    <row r="124" spans="1:26" ht="13" x14ac:dyDescent="0.15">
      <c r="A124" s="43" t="str">
        <f ca="1">IFERROR(__xludf.DUMMYFUNCTION("""COMPUTED_VALUE"""),"")</f>
        <v/>
      </c>
      <c r="B124" s="43" t="str">
        <f ca="1">IFERROR(__xludf.DUMMYFUNCTION("""COMPUTED_VALUE"""),"37400")</f>
        <v>37400</v>
      </c>
      <c r="C124" s="146">
        <f ca="1">IFERROR(__xludf.DUMMYFUNCTION("""COMPUTED_VALUE"""),44609000240)</f>
        <v>44609000240</v>
      </c>
      <c r="D124" s="43" t="str">
        <f ca="1">IFERROR(__xludf.DUMMYFUNCTION("""COMPUTED_VALUE"""),"TSLA")</f>
        <v>TSLA</v>
      </c>
      <c r="E124" s="147">
        <f ca="1">IFERROR(__xludf.DUMMYFUNCTION("""COMPUTED_VALUE"""),44609)</f>
        <v>44609</v>
      </c>
      <c r="F124" s="43" t="str">
        <f ca="1">IFERROR(__xludf.DUMMYFUNCTION("""COMPUTED_VALUE"""),"Stock")</f>
        <v>Stock</v>
      </c>
      <c r="G124" s="43" t="str">
        <f ca="1">IFERROR(__xludf.DUMMYFUNCTION("""COMPUTED_VALUE"""),"USD")</f>
        <v>USD</v>
      </c>
      <c r="H124" s="154">
        <f ca="1">IFERROR(__xludf.DUMMYFUNCTION("""COMPUTED_VALUE"""),18)</f>
        <v>18</v>
      </c>
      <c r="I124" s="148">
        <f ca="1">IFERROR(__xludf.DUMMYFUNCTION("""COMPUTED_VALUE"""),7.799115)</f>
        <v>7.7991149999999996</v>
      </c>
      <c r="J124" s="149">
        <f ca="1">IFERROR(__xludf.DUMMYFUNCTION("""COMPUTED_VALUE"""),876.35)</f>
        <v>876.35</v>
      </c>
      <c r="K124" s="43"/>
      <c r="L124" s="149">
        <f ca="1">IFERROR(__xludf.DUMMYFUNCTION("""COMPUTED_VALUE"""),993.98)</f>
        <v>993.98</v>
      </c>
      <c r="M124" s="155" t="str">
        <f ca="1">IFERROR(__xludf.DUMMYFUNCTION("""COMPUTED_VALUE"""),"Equity Key Stats")</f>
        <v>Equity Key Stats</v>
      </c>
      <c r="N124" s="43"/>
      <c r="O124" s="43"/>
      <c r="P124" s="157">
        <f ca="1">IFERROR(__xludf.DUMMYFUNCTION("""COMPUTED_VALUE"""),-123025.579744499)</f>
        <v>-123025.579744499</v>
      </c>
      <c r="Q124" s="151"/>
      <c r="R124" s="152">
        <f ca="1">IFERROR(__xludf.DUMMYFUNCTION("""COMPUTED_VALUE"""),999.11)</f>
        <v>999.11</v>
      </c>
      <c r="S124" s="150">
        <f ca="1">IFERROR(__xludf.DUMMYFUNCTION("""COMPUTED_VALUE"""),140259.128177699)</f>
        <v>140259.12817769899</v>
      </c>
      <c r="T124" s="108">
        <f ca="1">IFERROR(__xludf.DUMMYFUNCTION("""COMPUTED_VALUE"""),4)</f>
        <v>4</v>
      </c>
      <c r="U124" s="108" t="str">
        <f ca="1">IFERROR(__xludf.DUMMYFUNCTION("""COMPUTED_VALUE"""),"")</f>
        <v/>
      </c>
      <c r="V124" s="153" t="str">
        <f ca="1">IFERROR(__xludf.DUMMYFUNCTION("""COMPUTED_VALUE"""),"")</f>
        <v/>
      </c>
      <c r="W124" s="145" t="str">
        <f ca="1">IFERROR(__xludf.DUMMYFUNCTION("""COMPUTED_VALUE"""),"")</f>
        <v/>
      </c>
      <c r="X124" s="11" t="str">
        <f ca="1">IFERROR(__xludf.DUMMYFUNCTION("""COMPUTED_VALUE"""),"")</f>
        <v/>
      </c>
      <c r="Y124" s="11" t="str">
        <f ca="1">IFERROR(__xludf.DUMMYFUNCTION("""COMPUTED_VALUE"""),"")</f>
        <v/>
      </c>
      <c r="Z124" s="4" t="str">
        <f ca="1">IFERROR(__xludf.DUMMYFUNCTION("""COMPUTED_VALUE"""),"")</f>
        <v/>
      </c>
    </row>
    <row r="125" spans="1:26" ht="13" x14ac:dyDescent="0.15">
      <c r="A125" s="43" t="str">
        <f ca="1">IFERROR(__xludf.DUMMYFUNCTION("""COMPUTED_VALUE"""),"")</f>
        <v/>
      </c>
      <c r="B125" s="43" t="str">
        <f ca="1">IFERROR(__xludf.DUMMYFUNCTION("""COMPUTED_VALUE"""),"37400")</f>
        <v>37400</v>
      </c>
      <c r="C125" s="146">
        <f ca="1">IFERROR(__xludf.DUMMYFUNCTION("""COMPUTED_VALUE"""),44610000272)</f>
        <v>44610000272</v>
      </c>
      <c r="D125" s="163" t="str">
        <f ca="1">IFERROR(__xludf.DUMMYFUNCTION("""COMPUTED_VALUE"""),"ANPDY")</f>
        <v>ANPDY</v>
      </c>
      <c r="E125" s="147">
        <f ca="1">IFERROR(__xludf.DUMMYFUNCTION("""COMPUTED_VALUE"""),44610)</f>
        <v>44610</v>
      </c>
      <c r="F125" s="43" t="str">
        <f ca="1">IFERROR(__xludf.DUMMYFUNCTION("""COMPUTED_VALUE"""),"Stock")</f>
        <v>Stock</v>
      </c>
      <c r="G125" s="43" t="str">
        <f ca="1">IFERROR(__xludf.DUMMYFUNCTION("""COMPUTED_VALUE"""),"USD")</f>
        <v>USD</v>
      </c>
      <c r="H125" s="154">
        <f ca="1">IFERROR(__xludf.DUMMYFUNCTION("""COMPUTED_VALUE"""),30)</f>
        <v>30</v>
      </c>
      <c r="I125" s="148">
        <f ca="1">IFERROR(__xludf.DUMMYFUNCTION("""COMPUTED_VALUE"""),7.80051)</f>
        <v>7.8005100000000001</v>
      </c>
      <c r="J125" s="149">
        <f ca="1">IFERROR(__xludf.DUMMYFUNCTION("""COMPUTED_VALUE"""),397.5)</f>
        <v>397.5</v>
      </c>
      <c r="K125" s="43"/>
      <c r="L125" s="149">
        <f ca="1">IFERROR(__xludf.DUMMYFUNCTION("""COMPUTED_VALUE"""),339.95)</f>
        <v>339.95</v>
      </c>
      <c r="M125" s="155" t="str">
        <f ca="1">IFERROR(__xludf.DUMMYFUNCTION("""COMPUTED_VALUE"""),"Equity Key Stats")</f>
        <v>Equity Key Stats</v>
      </c>
      <c r="N125" s="43"/>
      <c r="O125" s="43"/>
      <c r="P125" s="157">
        <f ca="1">IFERROR(__xludf.DUMMYFUNCTION("""COMPUTED_VALUE"""),-93021.08175)</f>
        <v>-93021.081749999998</v>
      </c>
      <c r="Q125" s="151"/>
      <c r="R125" s="152">
        <f ca="1">IFERROR(__xludf.DUMMYFUNCTION("""COMPUTED_VALUE"""),308.83)</f>
        <v>308.83</v>
      </c>
      <c r="S125" s="150">
        <f ca="1">IFERROR(__xludf.DUMMYFUNCTION("""COMPUTED_VALUE"""),72270.9450989999)</f>
        <v>72270.945098999902</v>
      </c>
      <c r="T125" s="108">
        <f ca="1">IFERROR(__xludf.DUMMYFUNCTION("""COMPUTED_VALUE"""),2)</f>
        <v>2</v>
      </c>
      <c r="U125" s="108" t="str">
        <f ca="1">IFERROR(__xludf.DUMMYFUNCTION("""COMPUTED_VALUE"""),"")</f>
        <v/>
      </c>
      <c r="V125" s="153" t="str">
        <f ca="1">IFERROR(__xludf.DUMMYFUNCTION("""COMPUTED_VALUE"""),"")</f>
        <v/>
      </c>
      <c r="W125" s="145" t="str">
        <f ca="1">IFERROR(__xludf.DUMMYFUNCTION("""COMPUTED_VALUE"""),"")</f>
        <v/>
      </c>
      <c r="X125" s="11" t="str">
        <f ca="1">IFERROR(__xludf.DUMMYFUNCTION("""COMPUTED_VALUE"""),"")</f>
        <v/>
      </c>
      <c r="Y125" s="11" t="str">
        <f ca="1">IFERROR(__xludf.DUMMYFUNCTION("""COMPUTED_VALUE"""),"")</f>
        <v/>
      </c>
      <c r="Z125" s="4" t="str">
        <f ca="1">IFERROR(__xludf.DUMMYFUNCTION("""COMPUTED_VALUE"""),"")</f>
        <v/>
      </c>
    </row>
    <row r="126" spans="1:26" ht="13" x14ac:dyDescent="0.15">
      <c r="A126" s="43" t="str">
        <f ca="1">IFERROR(__xludf.DUMMYFUNCTION("""COMPUTED_VALUE"""),"")</f>
        <v/>
      </c>
      <c r="B126" s="43" t="str">
        <f ca="1">IFERROR(__xludf.DUMMYFUNCTION("""COMPUTED_VALUE"""),"37400")</f>
        <v>37400</v>
      </c>
      <c r="C126" s="146">
        <f ca="1">IFERROR(__xludf.DUMMYFUNCTION("""COMPUTED_VALUE"""),44616000337)</f>
        <v>44616000337</v>
      </c>
      <c r="D126" s="163" t="str">
        <f ca="1">IFERROR(__xludf.DUMMYFUNCTION("""COMPUTED_VALUE"""),"GOLD")</f>
        <v>GOLD</v>
      </c>
      <c r="E126" s="147">
        <f ca="1">IFERROR(__xludf.DUMMYFUNCTION("""COMPUTED_VALUE"""),44616)</f>
        <v>44616</v>
      </c>
      <c r="F126" s="43" t="str">
        <f ca="1">IFERROR(__xludf.DUMMYFUNCTION("""COMPUTED_VALUE"""),"Stock")</f>
        <v>Stock</v>
      </c>
      <c r="G126" s="43" t="str">
        <f ca="1">IFERROR(__xludf.DUMMYFUNCTION("""COMPUTED_VALUE"""),"USD")</f>
        <v>USD</v>
      </c>
      <c r="H126" s="156">
        <f ca="1">IFERROR(__xludf.DUMMYFUNCTION("""COMPUTED_VALUE"""),888)</f>
        <v>888</v>
      </c>
      <c r="I126" s="148">
        <f ca="1">IFERROR(__xludf.DUMMYFUNCTION("""COMPUTED_VALUE"""),7.80775)</f>
        <v>7.8077500000000004</v>
      </c>
      <c r="J126" s="149">
        <f ca="1">IFERROR(__xludf.DUMMYFUNCTION("""COMPUTED_VALUE"""),22.54)</f>
        <v>22.54</v>
      </c>
      <c r="K126" s="43"/>
      <c r="L126" s="149">
        <f ca="1">IFERROR(__xludf.DUMMYFUNCTION("""COMPUTED_VALUE"""),24.23)</f>
        <v>24.23</v>
      </c>
      <c r="M126" s="155" t="str">
        <f ca="1">IFERROR(__xludf.DUMMYFUNCTION("""COMPUTED_VALUE"""),"Equity Key Stats")</f>
        <v>Equity Key Stats</v>
      </c>
      <c r="N126" s="43"/>
      <c r="O126" s="43"/>
      <c r="P126" s="150">
        <f ca="1">IFERROR(__xludf.DUMMYFUNCTION("""COMPUTED_VALUE"""),-156276.176279999)</f>
        <v>-156276.176279999</v>
      </c>
      <c r="Q126" s="151"/>
      <c r="R126" s="152">
        <f ca="1">IFERROR(__xludf.DUMMYFUNCTION("""COMPUTED_VALUE"""),24.57)</f>
        <v>24.57</v>
      </c>
      <c r="S126" s="157">
        <f ca="1">IFERROR(__xludf.DUMMYFUNCTION("""COMPUTED_VALUE"""),170350.73874)</f>
        <v>170350.73874</v>
      </c>
      <c r="T126" s="108">
        <f ca="1">IFERROR(__xludf.DUMMYFUNCTION("""COMPUTED_VALUE"""),2)</f>
        <v>2</v>
      </c>
      <c r="U126" s="108" t="str">
        <f ca="1">IFERROR(__xludf.DUMMYFUNCTION("""COMPUTED_VALUE"""),"")</f>
        <v/>
      </c>
      <c r="V126" s="153" t="str">
        <f ca="1">IFERROR(__xludf.DUMMYFUNCTION("""COMPUTED_VALUE"""),"")</f>
        <v/>
      </c>
      <c r="W126" s="44" t="str">
        <f ca="1">IFERROR(__xludf.DUMMYFUNCTION("""COMPUTED_VALUE"""),"")</f>
        <v/>
      </c>
      <c r="X126" s="156" t="str">
        <f ca="1">IFERROR(__xludf.DUMMYFUNCTION("""COMPUTED_VALUE"""),"")</f>
        <v/>
      </c>
      <c r="Y126" s="154" t="str">
        <f ca="1">IFERROR(__xludf.DUMMYFUNCTION("""COMPUTED_VALUE"""),"")</f>
        <v/>
      </c>
      <c r="Z126" s="159" t="str">
        <f ca="1">IFERROR(__xludf.DUMMYFUNCTION("""COMPUTED_VALUE"""),"")</f>
        <v/>
      </c>
    </row>
    <row r="127" spans="1:26" ht="13" x14ac:dyDescent="0.15">
      <c r="A127" s="43" t="str">
        <f ca="1">IFERROR(__xludf.DUMMYFUNCTION("""COMPUTED_VALUE"""),"")</f>
        <v/>
      </c>
      <c r="B127" s="43" t="str">
        <f ca="1">IFERROR(__xludf.DUMMYFUNCTION("""COMPUTED_VALUE"""),"37400")</f>
        <v>37400</v>
      </c>
      <c r="C127" s="146">
        <f ca="1">IFERROR(__xludf.DUMMYFUNCTION("""COMPUTED_VALUE"""),44623000420)</f>
        <v>44623000420</v>
      </c>
      <c r="D127" s="43" t="str">
        <f ca="1">IFERROR(__xludf.DUMMYFUNCTION("""COMPUTED_VALUE"""),"GOLD")</f>
        <v>GOLD</v>
      </c>
      <c r="E127" s="147">
        <f ca="1">IFERROR(__xludf.DUMMYFUNCTION("""COMPUTED_VALUE"""),44623)</f>
        <v>44623</v>
      </c>
      <c r="F127" s="43" t="str">
        <f ca="1">IFERROR(__xludf.DUMMYFUNCTION("""COMPUTED_VALUE"""),"Stock")</f>
        <v>Stock</v>
      </c>
      <c r="G127" s="43" t="str">
        <f ca="1">IFERROR(__xludf.DUMMYFUNCTION("""COMPUTED_VALUE"""),"USD")</f>
        <v>USD</v>
      </c>
      <c r="H127" s="11">
        <f ca="1">IFERROR(__xludf.DUMMYFUNCTION("""COMPUTED_VALUE"""),-388)</f>
        <v>-388</v>
      </c>
      <c r="I127" s="148">
        <f ca="1">IFERROR(__xludf.DUMMYFUNCTION("""COMPUTED_VALUE"""),7.81585)</f>
        <v>7.8158500000000002</v>
      </c>
      <c r="J127" s="149">
        <f ca="1">IFERROR(__xludf.DUMMYFUNCTION("""COMPUTED_VALUE"""),23.57)</f>
        <v>23.57</v>
      </c>
      <c r="K127" s="43"/>
      <c r="L127" s="149">
        <f ca="1">IFERROR(__xludf.DUMMYFUNCTION("""COMPUTED_VALUE"""),24.23)</f>
        <v>24.23</v>
      </c>
      <c r="M127" s="160" t="str">
        <f ca="1">IFERROR(__xludf.DUMMYFUNCTION("""COMPUTED_VALUE"""),"Equity Key Stats")</f>
        <v>Equity Key Stats</v>
      </c>
      <c r="N127" s="43"/>
      <c r="O127" s="43"/>
      <c r="P127" s="150">
        <f ca="1">IFERROR(__xludf.DUMMYFUNCTION("""COMPUTED_VALUE"""),71477.198786)</f>
        <v>71477.198785999994</v>
      </c>
      <c r="Q127" s="151"/>
      <c r="R127" s="152">
        <f ca="1">IFERROR(__xludf.DUMMYFUNCTION("""COMPUTED_VALUE"""),24.57)</f>
        <v>24.57</v>
      </c>
      <c r="S127" s="127">
        <f ca="1">IFERROR(__xludf.DUMMYFUNCTION("""COMPUTED_VALUE"""),-74509.748586)</f>
        <v>-74509.748586000002</v>
      </c>
      <c r="T127" s="108">
        <f ca="1">IFERROR(__xludf.DUMMYFUNCTION("""COMPUTED_VALUE"""),2)</f>
        <v>2</v>
      </c>
      <c r="U127" s="108">
        <f ca="1">IFERROR(__xludf.DUMMYFUNCTION("""COMPUTED_VALUE"""),1)</f>
        <v>1</v>
      </c>
      <c r="V127" s="153">
        <f ca="1">IFERROR(__xludf.DUMMYFUNCTION("""COMPUTED_VALUE"""),11042.01266)</f>
        <v>11042.01266</v>
      </c>
      <c r="W127" s="44" t="str">
        <f ca="1">IFERROR(__xludf.DUMMYFUNCTION("""COMPUTED_VALUE"""),"")</f>
        <v/>
      </c>
      <c r="X127" s="154" t="str">
        <f ca="1">IFERROR(__xludf.DUMMYFUNCTION("""COMPUTED_VALUE"""),"")</f>
        <v/>
      </c>
      <c r="Y127" s="154" t="str">
        <f ca="1">IFERROR(__xludf.DUMMYFUNCTION("""COMPUTED_VALUE"""),"")</f>
        <v/>
      </c>
      <c r="Z127" s="159" t="str">
        <f ca="1">IFERROR(__xludf.DUMMYFUNCTION("""COMPUTED_VALUE"""),"")</f>
        <v/>
      </c>
    </row>
    <row r="128" spans="1:26" ht="13" x14ac:dyDescent="0.15">
      <c r="A128" s="43" t="str">
        <f ca="1">IFERROR(__xludf.DUMMYFUNCTION("""COMPUTED_VALUE"""),"")</f>
        <v/>
      </c>
      <c r="B128" s="43" t="str">
        <f ca="1">IFERROR(__xludf.DUMMYFUNCTION("""COMPUTED_VALUE"""),"37400")</f>
        <v>37400</v>
      </c>
      <c r="C128" s="146">
        <f ca="1">IFERROR(__xludf.DUMMYFUNCTION("""COMPUTED_VALUE"""),44624000438)</f>
        <v>44624000438</v>
      </c>
      <c r="D128" s="43" t="str">
        <f ca="1">IFERROR(__xludf.DUMMYFUNCTION("""COMPUTED_VALUE"""),"TSLA")</f>
        <v>TSLA</v>
      </c>
      <c r="E128" s="147">
        <f ca="1">IFERROR(__xludf.DUMMYFUNCTION("""COMPUTED_VALUE"""),44624)</f>
        <v>44624</v>
      </c>
      <c r="F128" s="43" t="str">
        <f ca="1">IFERROR(__xludf.DUMMYFUNCTION("""COMPUTED_VALUE"""),"Stock")</f>
        <v>Stock</v>
      </c>
      <c r="G128" s="43" t="str">
        <f ca="1">IFERROR(__xludf.DUMMYFUNCTION("""COMPUTED_VALUE"""),"USD")</f>
        <v>USD</v>
      </c>
      <c r="H128" s="11">
        <f ca="1">IFERROR(__xludf.DUMMYFUNCTION("""COMPUTED_VALUE"""),18)</f>
        <v>18</v>
      </c>
      <c r="I128" s="148">
        <f ca="1">IFERROR(__xludf.DUMMYFUNCTION("""COMPUTED_VALUE"""),7.81428)</f>
        <v>7.8142800000000001</v>
      </c>
      <c r="J128" s="149">
        <f ca="1">IFERROR(__xludf.DUMMYFUNCTION("""COMPUTED_VALUE"""),838.29)</f>
        <v>838.29</v>
      </c>
      <c r="K128" s="43"/>
      <c r="L128" s="149">
        <f ca="1">IFERROR(__xludf.DUMMYFUNCTION("""COMPUTED_VALUE"""),993.98)</f>
        <v>993.98</v>
      </c>
      <c r="M128" s="160" t="str">
        <f ca="1">IFERROR(__xludf.DUMMYFUNCTION("""COMPUTED_VALUE"""),"Equity Key Stats")</f>
        <v>Equity Key Stats</v>
      </c>
      <c r="N128" s="43"/>
      <c r="O128" s="43"/>
      <c r="P128" s="150">
        <f ca="1">IFERROR(__xludf.DUMMYFUNCTION("""COMPUTED_VALUE"""),-117911.390061599)</f>
        <v>-117911.390061599</v>
      </c>
      <c r="Q128" s="151"/>
      <c r="R128" s="152">
        <f ca="1">IFERROR(__xludf.DUMMYFUNCTION("""COMPUTED_VALUE"""),999.11)</f>
        <v>999.11</v>
      </c>
      <c r="S128" s="127">
        <f ca="1">IFERROR(__xludf.DUMMYFUNCTION("""COMPUTED_VALUE"""),140531.8552344)</f>
        <v>140531.85523439999</v>
      </c>
      <c r="T128" s="108">
        <f ca="1">IFERROR(__xludf.DUMMYFUNCTION("""COMPUTED_VALUE"""),4)</f>
        <v>4</v>
      </c>
      <c r="U128" s="108" t="str">
        <f ca="1">IFERROR(__xludf.DUMMYFUNCTION("""COMPUTED_VALUE"""),"")</f>
        <v/>
      </c>
      <c r="V128" s="153" t="str">
        <f ca="1">IFERROR(__xludf.DUMMYFUNCTION("""COMPUTED_VALUE"""),"")</f>
        <v/>
      </c>
      <c r="W128" s="145" t="str">
        <f ca="1">IFERROR(__xludf.DUMMYFUNCTION("""COMPUTED_VALUE"""),"")</f>
        <v/>
      </c>
      <c r="X128" s="11" t="str">
        <f ca="1">IFERROR(__xludf.DUMMYFUNCTION("""COMPUTED_VALUE"""),"")</f>
        <v/>
      </c>
      <c r="Y128" s="11" t="str">
        <f ca="1">IFERROR(__xludf.DUMMYFUNCTION("""COMPUTED_VALUE"""),"")</f>
        <v/>
      </c>
      <c r="Z128" s="4" t="str">
        <f ca="1">IFERROR(__xludf.DUMMYFUNCTION("""COMPUTED_VALUE"""),"")</f>
        <v/>
      </c>
    </row>
    <row r="129" spans="1:26" ht="13" x14ac:dyDescent="0.15">
      <c r="A129" s="43" t="str">
        <f ca="1">IFERROR(__xludf.DUMMYFUNCTION("""COMPUTED_VALUE"""),"")</f>
        <v/>
      </c>
      <c r="B129" s="43" t="str">
        <f ca="1">IFERROR(__xludf.DUMMYFUNCTION("""COMPUTED_VALUE"""),"37400")</f>
        <v>37400</v>
      </c>
      <c r="C129" s="146">
        <f ca="1">IFERROR(__xludf.DUMMYFUNCTION("""COMPUTED_VALUE"""),44629000500)</f>
        <v>44629000500</v>
      </c>
      <c r="D129" s="43" t="str">
        <f ca="1">IFERROR(__xludf.DUMMYFUNCTION("""COMPUTED_VALUE"""),"ANPDY")</f>
        <v>ANPDY</v>
      </c>
      <c r="E129" s="147">
        <f ca="1">IFERROR(__xludf.DUMMYFUNCTION("""COMPUTED_VALUE"""),44629)</f>
        <v>44629</v>
      </c>
      <c r="F129" s="43" t="str">
        <f ca="1">IFERROR(__xludf.DUMMYFUNCTION("""COMPUTED_VALUE"""),"Stock")</f>
        <v>Stock</v>
      </c>
      <c r="G129" s="43" t="str">
        <f ca="1">IFERROR(__xludf.DUMMYFUNCTION("""COMPUTED_VALUE"""),"USD")</f>
        <v>USD</v>
      </c>
      <c r="H129" s="154">
        <f ca="1">IFERROR(__xludf.DUMMYFUNCTION("""COMPUTED_VALUE"""),-30)</f>
        <v>-30</v>
      </c>
      <c r="I129" s="148">
        <f ca="1">IFERROR(__xludf.DUMMYFUNCTION("""COMPUTED_VALUE"""),7.81935)</f>
        <v>7.81935</v>
      </c>
      <c r="J129" s="149">
        <f ca="1">IFERROR(__xludf.DUMMYFUNCTION("""COMPUTED_VALUE"""),314.05)</f>
        <v>314.05</v>
      </c>
      <c r="K129" s="43"/>
      <c r="L129" s="149">
        <f ca="1">IFERROR(__xludf.DUMMYFUNCTION("""COMPUTED_VALUE"""),339.95)</f>
        <v>339.95</v>
      </c>
      <c r="M129" s="155" t="str">
        <f ca="1">IFERROR(__xludf.DUMMYFUNCTION("""COMPUTED_VALUE"""),"Equity Key Stats")</f>
        <v>Equity Key Stats</v>
      </c>
      <c r="N129" s="43"/>
      <c r="O129" s="43"/>
      <c r="P129" s="157">
        <f ca="1">IFERROR(__xludf.DUMMYFUNCTION("""COMPUTED_VALUE"""),73670.006025)</f>
        <v>73670.006024999995</v>
      </c>
      <c r="Q129" s="151"/>
      <c r="R129" s="152">
        <f ca="1">IFERROR(__xludf.DUMMYFUNCTION("""COMPUTED_VALUE"""),308.83)</f>
        <v>308.83</v>
      </c>
      <c r="S129" s="150">
        <f ca="1">IFERROR(__xludf.DUMMYFUNCTION("""COMPUTED_VALUE"""),-72445.495815)</f>
        <v>-72445.495815000002</v>
      </c>
      <c r="T129" s="108">
        <f ca="1">IFERROR(__xludf.DUMMYFUNCTION("""COMPUTED_VALUE"""),2)</f>
        <v>2</v>
      </c>
      <c r="U129" s="43">
        <f ca="1">IFERROR(__xludf.DUMMYFUNCTION("""COMPUTED_VALUE"""),1)</f>
        <v>1</v>
      </c>
      <c r="V129" s="144">
        <f ca="1">IFERROR(__xludf.DUMMYFUNCTION("""COMPUTED_VALUE"""),-19525.626441)</f>
        <v>-19525.626441</v>
      </c>
      <c r="W129" s="145" t="str">
        <f ca="1">IFERROR(__xludf.DUMMYFUNCTION("""COMPUTED_VALUE"""),"")</f>
        <v/>
      </c>
      <c r="X129" s="11" t="str">
        <f ca="1">IFERROR(__xludf.DUMMYFUNCTION("""COMPUTED_VALUE"""),"")</f>
        <v/>
      </c>
      <c r="Y129" s="11" t="str">
        <f ca="1">IFERROR(__xludf.DUMMYFUNCTION("""COMPUTED_VALUE"""),"")</f>
        <v/>
      </c>
      <c r="Z129" s="4" t="str">
        <f ca="1">IFERROR(__xludf.DUMMYFUNCTION("""COMPUTED_VALUE"""),"")</f>
        <v/>
      </c>
    </row>
    <row r="130" spans="1:26" ht="13" x14ac:dyDescent="0.15">
      <c r="A130" s="43" t="str">
        <f ca="1">IFERROR(__xludf.DUMMYFUNCTION("""COMPUTED_VALUE"""),"37400")</f>
        <v>37400</v>
      </c>
      <c r="B130" s="43" t="str">
        <f ca="1">IFERROR(__xludf.DUMMYFUNCTION("""COMPUTED_VALUE"""),"37400")</f>
        <v>37400</v>
      </c>
      <c r="C130" s="146">
        <f ca="1">IFERROR(__xludf.DUMMYFUNCTION("""COMPUTED_VALUE"""),44641000770)</f>
        <v>44641000770</v>
      </c>
      <c r="D130" s="43" t="str">
        <f ca="1">IFERROR(__xludf.DUMMYFUNCTION("""COMPUTED_VALUE"""),"TSLA")</f>
        <v>TSLA</v>
      </c>
      <c r="E130" s="147">
        <f ca="1">IFERROR(__xludf.DUMMYFUNCTION("""COMPUTED_VALUE"""),44641)</f>
        <v>44641</v>
      </c>
      <c r="F130" s="43" t="str">
        <f ca="1">IFERROR(__xludf.DUMMYFUNCTION("""COMPUTED_VALUE"""),"Stock")</f>
        <v>Stock</v>
      </c>
      <c r="G130" s="43" t="str">
        <f ca="1">IFERROR(__xludf.DUMMYFUNCTION("""COMPUTED_VALUE"""),"USD")</f>
        <v>USD</v>
      </c>
      <c r="H130" s="154">
        <f ca="1">IFERROR(__xludf.DUMMYFUNCTION("""COMPUTED_VALUE"""),-36)</f>
        <v>-36</v>
      </c>
      <c r="I130" s="148">
        <f ca="1">IFERROR(__xludf.DUMMYFUNCTION("""COMPUTED_VALUE"""),7.82545)</f>
        <v>7.82545</v>
      </c>
      <c r="J130" s="149">
        <f ca="1">IFERROR(__xludf.DUMMYFUNCTION("""COMPUTED_VALUE"""),921.16)</f>
        <v>921.16</v>
      </c>
      <c r="K130" s="43"/>
      <c r="L130" s="149">
        <f ca="1">IFERROR(__xludf.DUMMYFUNCTION("""COMPUTED_VALUE"""),993.98)</f>
        <v>993.98</v>
      </c>
      <c r="M130" s="155" t="str">
        <f ca="1">IFERROR(__xludf.DUMMYFUNCTION("""COMPUTED_VALUE"""),"Equity Key Stats")</f>
        <v>Equity Key Stats</v>
      </c>
      <c r="N130" s="43"/>
      <c r="O130" s="43"/>
      <c r="P130" s="157">
        <f ca="1">IFERROR(__xludf.DUMMYFUNCTION("""COMPUTED_VALUE"""),259505.694792)</f>
        <v>259505.69479199999</v>
      </c>
      <c r="Q130" s="151"/>
      <c r="R130" s="152">
        <f ca="1">IFERROR(__xludf.DUMMYFUNCTION("""COMPUTED_VALUE"""),999.11)</f>
        <v>999.11</v>
      </c>
      <c r="S130" s="150">
        <f ca="1">IFERROR(__xludf.DUMMYFUNCTION("""COMPUTED_VALUE"""),-281465.472582)</f>
        <v>-281465.47258200002</v>
      </c>
      <c r="T130" s="108">
        <f ca="1">IFERROR(__xludf.DUMMYFUNCTION("""COMPUTED_VALUE"""),4)</f>
        <v>4</v>
      </c>
      <c r="U130" s="108">
        <f ca="1">IFERROR(__xludf.DUMMYFUNCTION("""COMPUTED_VALUE"""),1)</f>
        <v>1</v>
      </c>
      <c r="V130" s="153">
        <f ca="1">IFERROR(__xludf.DUMMYFUNCTION("""COMPUTED_VALUE"""),17894.235816)</f>
        <v>17894.235816</v>
      </c>
      <c r="W130" s="145">
        <f ca="1">IFERROR(__xludf.DUMMYFUNCTION("""COMPUTED_VALUE"""),509410.622035)</f>
        <v>509410.62203500001</v>
      </c>
      <c r="X130" s="11">
        <f ca="1">IFERROR(__xludf.DUMMYFUNCTION("""COMPUTED_VALUE"""),414418.6717669)</f>
        <v>414418.67176689999</v>
      </c>
      <c r="Y130" s="11">
        <f ca="1">IFERROR(__xludf.DUMMYFUNCTION("""COMPUTED_VALUE"""),0)</f>
        <v>0</v>
      </c>
      <c r="Z130" s="4">
        <f ca="1">IFERROR(__xludf.DUMMYFUNCTION("""COMPUTED_VALUE"""),0.0188212440699999)</f>
        <v>1.8821244069999899E-2</v>
      </c>
    </row>
    <row r="131" spans="1:26" ht="13" x14ac:dyDescent="0.15">
      <c r="A131" s="43" t="str">
        <f ca="1">IFERROR(__xludf.DUMMYFUNCTION("""COMPUTED_VALUE"""),"37568")</f>
        <v>37568</v>
      </c>
      <c r="B131" s="43" t="str">
        <f ca="1">IFERROR(__xludf.DUMMYFUNCTION("""COMPUTED_VALUE"""),"37568")</f>
        <v>37568</v>
      </c>
      <c r="C131" s="146">
        <f ca="1">IFERROR(__xludf.DUMMYFUNCTION("""COMPUTED_VALUE"""),44597000105)</f>
        <v>44597000105</v>
      </c>
      <c r="D131" s="43" t="str">
        <f ca="1">IFERROR(__xludf.DUMMYFUNCTION("""COMPUTED_VALUE"""),"Cash")</f>
        <v>Cash</v>
      </c>
      <c r="E131" s="147">
        <f ca="1">IFERROR(__xludf.DUMMYFUNCTION("""COMPUTED_VALUE"""),44597)</f>
        <v>44597</v>
      </c>
      <c r="F131" s="43" t="str">
        <f ca="1">IFERROR(__xludf.DUMMYFUNCTION("""COMPUTED_VALUE"""),"Cash")</f>
        <v>Cash</v>
      </c>
      <c r="G131" s="43" t="str">
        <f ca="1">IFERROR(__xludf.DUMMYFUNCTION("""COMPUTED_VALUE"""),"HKD")</f>
        <v>HKD</v>
      </c>
      <c r="H131" s="154" t="str">
        <f ca="1">IFERROR(__xludf.DUMMYFUNCTION("""COMPUTED_VALUE"""),"")</f>
        <v/>
      </c>
      <c r="I131" s="148">
        <f ca="1">IFERROR(__xludf.DUMMYFUNCTION("""COMPUTED_VALUE"""),1)</f>
        <v>1</v>
      </c>
      <c r="J131" s="149">
        <f ca="1">IFERROR(__xludf.DUMMYFUNCTION("""COMPUTED_VALUE"""),1)</f>
        <v>1</v>
      </c>
      <c r="K131" s="43"/>
      <c r="L131" s="149">
        <f ca="1">IFERROR(__xludf.DUMMYFUNCTION("""COMPUTED_VALUE"""),1)</f>
        <v>1</v>
      </c>
      <c r="M131" s="155" t="str">
        <f ca="1">IFERROR(__xludf.DUMMYFUNCTION("""COMPUTED_VALUE"""),"")</f>
        <v/>
      </c>
      <c r="N131" s="43"/>
      <c r="O131" s="43"/>
      <c r="P131" s="157">
        <f ca="1">IFERROR(__xludf.DUMMYFUNCTION("""COMPUTED_VALUE"""),500000)</f>
        <v>500000</v>
      </c>
      <c r="Q131" s="151"/>
      <c r="R131" s="152">
        <f ca="1">IFERROR(__xludf.DUMMYFUNCTION("""COMPUTED_VALUE"""),1)</f>
        <v>1</v>
      </c>
      <c r="S131" s="150" t="str">
        <f ca="1">IFERROR(__xludf.DUMMYFUNCTION("""COMPUTED_VALUE"""),"")</f>
        <v/>
      </c>
      <c r="T131" s="108">
        <f ca="1">IFERROR(__xludf.DUMMYFUNCTION("""COMPUTED_VALUE"""),1)</f>
        <v>1</v>
      </c>
      <c r="U131" s="108">
        <f ca="1">IFERROR(__xludf.DUMMYFUNCTION("""COMPUTED_VALUE"""),1)</f>
        <v>1</v>
      </c>
      <c r="V131" s="153">
        <f ca="1">IFERROR(__xludf.DUMMYFUNCTION("""COMPUTED_VALUE"""),500000)</f>
        <v>500000</v>
      </c>
      <c r="W131" s="145">
        <f ca="1">IFERROR(__xludf.DUMMYFUNCTION("""COMPUTED_VALUE"""),500000)</f>
        <v>500000</v>
      </c>
      <c r="X131" s="11">
        <f ca="1">IFERROR(__xludf.DUMMYFUNCTION("""COMPUTED_VALUE"""),500000)</f>
        <v>500000</v>
      </c>
      <c r="Y131" s="11">
        <f ca="1">IFERROR(__xludf.DUMMYFUNCTION("""COMPUTED_VALUE"""),0)</f>
        <v>0</v>
      </c>
      <c r="Z131" s="4">
        <f ca="1">IFERROR(__xludf.DUMMYFUNCTION("""COMPUTED_VALUE"""),0)</f>
        <v>0</v>
      </c>
    </row>
    <row r="132" spans="1:26" ht="13" x14ac:dyDescent="0.15">
      <c r="A132" s="43" t="str">
        <f ca="1">IFERROR(__xludf.DUMMYFUNCTION("""COMPUTED_VALUE"""),"")</f>
        <v/>
      </c>
      <c r="B132" s="43" t="str">
        <f ca="1">IFERROR(__xludf.DUMMYFUNCTION("""COMPUTED_VALUE"""),"37649")</f>
        <v>37649</v>
      </c>
      <c r="C132" s="146">
        <f ca="1">IFERROR(__xludf.DUMMYFUNCTION("""COMPUTED_VALUE"""),44597000016)</f>
        <v>44597000016</v>
      </c>
      <c r="D132" s="163" t="str">
        <f ca="1">IFERROR(__xludf.DUMMYFUNCTION("""COMPUTED_VALUE"""),"Cash")</f>
        <v>Cash</v>
      </c>
      <c r="E132" s="147">
        <f ca="1">IFERROR(__xludf.DUMMYFUNCTION("""COMPUTED_VALUE"""),44597)</f>
        <v>44597</v>
      </c>
      <c r="F132" s="43" t="str">
        <f ca="1">IFERROR(__xludf.DUMMYFUNCTION("""COMPUTED_VALUE"""),"Cash")</f>
        <v>Cash</v>
      </c>
      <c r="G132" s="43" t="str">
        <f ca="1">IFERROR(__xludf.DUMMYFUNCTION("""COMPUTED_VALUE"""),"HKD")</f>
        <v>HKD</v>
      </c>
      <c r="H132" s="154" t="str">
        <f ca="1">IFERROR(__xludf.DUMMYFUNCTION("""COMPUTED_VALUE"""),"")</f>
        <v/>
      </c>
      <c r="I132" s="148">
        <f ca="1">IFERROR(__xludf.DUMMYFUNCTION("""COMPUTED_VALUE"""),1)</f>
        <v>1</v>
      </c>
      <c r="J132" s="149">
        <f ca="1">IFERROR(__xludf.DUMMYFUNCTION("""COMPUTED_VALUE"""),1)</f>
        <v>1</v>
      </c>
      <c r="K132" s="43"/>
      <c r="L132" s="149">
        <f ca="1">IFERROR(__xludf.DUMMYFUNCTION("""COMPUTED_VALUE"""),1)</f>
        <v>1</v>
      </c>
      <c r="M132" s="155" t="str">
        <f ca="1">IFERROR(__xludf.DUMMYFUNCTION("""COMPUTED_VALUE"""),"")</f>
        <v/>
      </c>
      <c r="N132" s="43"/>
      <c r="O132" s="43"/>
      <c r="P132" s="157">
        <f ca="1">IFERROR(__xludf.DUMMYFUNCTION("""COMPUTED_VALUE"""),500000)</f>
        <v>500000</v>
      </c>
      <c r="Q132" s="151"/>
      <c r="R132" s="152">
        <f ca="1">IFERROR(__xludf.DUMMYFUNCTION("""COMPUTED_VALUE"""),1)</f>
        <v>1</v>
      </c>
      <c r="S132" s="150" t="str">
        <f ca="1">IFERROR(__xludf.DUMMYFUNCTION("""COMPUTED_VALUE"""),"")</f>
        <v/>
      </c>
      <c r="T132" s="108">
        <f ca="1">IFERROR(__xludf.DUMMYFUNCTION("""COMPUTED_VALUE"""),1)</f>
        <v>1</v>
      </c>
      <c r="U132" s="108">
        <f ca="1">IFERROR(__xludf.DUMMYFUNCTION("""COMPUTED_VALUE"""),1)</f>
        <v>1</v>
      </c>
      <c r="V132" s="153">
        <f ca="1">IFERROR(__xludf.DUMMYFUNCTION("""COMPUTED_VALUE"""),500000)</f>
        <v>500000</v>
      </c>
      <c r="W132" s="145" t="str">
        <f ca="1">IFERROR(__xludf.DUMMYFUNCTION("""COMPUTED_VALUE"""),"")</f>
        <v/>
      </c>
      <c r="X132" s="11" t="str">
        <f ca="1">IFERROR(__xludf.DUMMYFUNCTION("""COMPUTED_VALUE"""),"")</f>
        <v/>
      </c>
      <c r="Y132" s="11" t="str">
        <f ca="1">IFERROR(__xludf.DUMMYFUNCTION("""COMPUTED_VALUE"""),"")</f>
        <v/>
      </c>
      <c r="Z132" s="4" t="str">
        <f ca="1">IFERROR(__xludf.DUMMYFUNCTION("""COMPUTED_VALUE"""),"")</f>
        <v/>
      </c>
    </row>
    <row r="133" spans="1:26" ht="13" x14ac:dyDescent="0.15">
      <c r="A133" s="43" t="str">
        <f ca="1">IFERROR(__xludf.DUMMYFUNCTION("""COMPUTED_VALUE"""),"")</f>
        <v/>
      </c>
      <c r="B133" s="43" t="str">
        <f ca="1">IFERROR(__xludf.DUMMYFUNCTION("""COMPUTED_VALUE"""),"37649")</f>
        <v>37649</v>
      </c>
      <c r="C133" s="146">
        <f ca="1">IFERROR(__xludf.DUMMYFUNCTION("""COMPUTED_VALUE"""),44613000292)</f>
        <v>44613000292</v>
      </c>
      <c r="D133" s="163" t="str">
        <f ca="1">IFERROR(__xludf.DUMMYFUNCTION("""COMPUTED_VALUE"""),"1109.HK")</f>
        <v>1109.HK</v>
      </c>
      <c r="E133" s="147">
        <f ca="1">IFERROR(__xludf.DUMMYFUNCTION("""COMPUTED_VALUE"""),44613)</f>
        <v>44613</v>
      </c>
      <c r="F133" s="43" t="str">
        <f ca="1">IFERROR(__xludf.DUMMYFUNCTION("""COMPUTED_VALUE"""),"Stock")</f>
        <v>Stock</v>
      </c>
      <c r="G133" s="43" t="str">
        <f ca="1">IFERROR(__xludf.DUMMYFUNCTION("""COMPUTED_VALUE"""),"HKD")</f>
        <v>HKD</v>
      </c>
      <c r="H133" s="11">
        <f ca="1">IFERROR(__xludf.DUMMYFUNCTION("""COMPUTED_VALUE"""),4000)</f>
        <v>4000</v>
      </c>
      <c r="I133" s="148">
        <f ca="1">IFERROR(__xludf.DUMMYFUNCTION("""COMPUTED_VALUE"""),1)</f>
        <v>1</v>
      </c>
      <c r="J133" s="149">
        <f ca="1">IFERROR(__xludf.DUMMYFUNCTION("""COMPUTED_VALUE"""),39.7)</f>
        <v>39.700000000000003</v>
      </c>
      <c r="K133" s="43"/>
      <c r="L133" s="149">
        <f ca="1">IFERROR(__xludf.DUMMYFUNCTION("""COMPUTED_VALUE"""),37.3)</f>
        <v>37.299999999999997</v>
      </c>
      <c r="M133" s="155" t="str">
        <f ca="1">IFERROR(__xludf.DUMMYFUNCTION("""COMPUTED_VALUE"""),"Equity Key Stats")</f>
        <v>Equity Key Stats</v>
      </c>
      <c r="N133" s="43"/>
      <c r="O133" s="43"/>
      <c r="P133" s="150">
        <f ca="1">IFERROR(__xludf.DUMMYFUNCTION("""COMPUTED_VALUE"""),-158800)</f>
        <v>-158800</v>
      </c>
      <c r="Q133" s="151"/>
      <c r="R133" s="152">
        <f ca="1">IFERROR(__xludf.DUMMYFUNCTION("""COMPUTED_VALUE"""),36.75)</f>
        <v>36.75</v>
      </c>
      <c r="S133" s="150">
        <f ca="1">IFERROR(__xludf.DUMMYFUNCTION("""COMPUTED_VALUE"""),147000)</f>
        <v>147000</v>
      </c>
      <c r="T133" s="108">
        <f ca="1">IFERROR(__xludf.DUMMYFUNCTION("""COMPUTED_VALUE"""),2)</f>
        <v>2</v>
      </c>
      <c r="U133" s="108" t="str">
        <f ca="1">IFERROR(__xludf.DUMMYFUNCTION("""COMPUTED_VALUE"""),"")</f>
        <v/>
      </c>
      <c r="V133" s="153" t="str">
        <f ca="1">IFERROR(__xludf.DUMMYFUNCTION("""COMPUTED_VALUE"""),"")</f>
        <v/>
      </c>
      <c r="W133" s="44" t="str">
        <f ca="1">IFERROR(__xludf.DUMMYFUNCTION("""COMPUTED_VALUE"""),"")</f>
        <v/>
      </c>
      <c r="X133" s="156" t="str">
        <f ca="1">IFERROR(__xludf.DUMMYFUNCTION("""COMPUTED_VALUE"""),"")</f>
        <v/>
      </c>
      <c r="Y133" s="154" t="str">
        <f ca="1">IFERROR(__xludf.DUMMYFUNCTION("""COMPUTED_VALUE"""),"")</f>
        <v/>
      </c>
      <c r="Z133" s="159" t="str">
        <f ca="1">IFERROR(__xludf.DUMMYFUNCTION("""COMPUTED_VALUE"""),"")</f>
        <v/>
      </c>
    </row>
    <row r="134" spans="1:26" ht="13" x14ac:dyDescent="0.15">
      <c r="A134" s="43" t="str">
        <f ca="1">IFERROR(__xludf.DUMMYFUNCTION("""COMPUTED_VALUE"""),"37649")</f>
        <v>37649</v>
      </c>
      <c r="B134" s="43" t="str">
        <f ca="1">IFERROR(__xludf.DUMMYFUNCTION("""COMPUTED_VALUE"""),"37649")</f>
        <v>37649</v>
      </c>
      <c r="C134" s="146">
        <f ca="1">IFERROR(__xludf.DUMMYFUNCTION("""COMPUTED_VALUE"""),44638000693)</f>
        <v>44638000693</v>
      </c>
      <c r="D134" s="161" t="str">
        <f ca="1">IFERROR(__xludf.DUMMYFUNCTION("""COMPUTED_VALUE"""),"1109.HK")</f>
        <v>1109.HK</v>
      </c>
      <c r="E134" s="147">
        <f ca="1">IFERROR(__xludf.DUMMYFUNCTION("""COMPUTED_VALUE"""),44638)</f>
        <v>44638</v>
      </c>
      <c r="F134" s="43" t="str">
        <f ca="1">IFERROR(__xludf.DUMMYFUNCTION("""COMPUTED_VALUE"""),"Stock")</f>
        <v>Stock</v>
      </c>
      <c r="G134" s="43" t="str">
        <f ca="1">IFERROR(__xludf.DUMMYFUNCTION("""COMPUTED_VALUE"""),"HKD")</f>
        <v>HKD</v>
      </c>
      <c r="H134" s="11">
        <f ca="1">IFERROR(__xludf.DUMMYFUNCTION("""COMPUTED_VALUE"""),-4000)</f>
        <v>-4000</v>
      </c>
      <c r="I134" s="148">
        <f ca="1">IFERROR(__xludf.DUMMYFUNCTION("""COMPUTED_VALUE"""),1)</f>
        <v>1</v>
      </c>
      <c r="J134" s="149">
        <f ca="1">IFERROR(__xludf.DUMMYFUNCTION("""COMPUTED_VALUE"""),37.2)</f>
        <v>37.200000000000003</v>
      </c>
      <c r="K134" s="43"/>
      <c r="L134" s="149">
        <f ca="1">IFERROR(__xludf.DUMMYFUNCTION("""COMPUTED_VALUE"""),37.3)</f>
        <v>37.299999999999997</v>
      </c>
      <c r="M134" s="160" t="str">
        <f ca="1">IFERROR(__xludf.DUMMYFUNCTION("""COMPUTED_VALUE"""),"Equity Key Stats")</f>
        <v>Equity Key Stats</v>
      </c>
      <c r="N134" s="43"/>
      <c r="O134" s="43"/>
      <c r="P134" s="150">
        <f ca="1">IFERROR(__xludf.DUMMYFUNCTION("""COMPUTED_VALUE"""),148800)</f>
        <v>148800</v>
      </c>
      <c r="Q134" s="151"/>
      <c r="R134" s="152">
        <f ca="1">IFERROR(__xludf.DUMMYFUNCTION("""COMPUTED_VALUE"""),36.75)</f>
        <v>36.75</v>
      </c>
      <c r="S134" s="127">
        <f ca="1">IFERROR(__xludf.DUMMYFUNCTION("""COMPUTED_VALUE"""),-147000)</f>
        <v>-147000</v>
      </c>
      <c r="T134" s="108">
        <f ca="1">IFERROR(__xludf.DUMMYFUNCTION("""COMPUTED_VALUE"""),2)</f>
        <v>2</v>
      </c>
      <c r="U134" s="108">
        <f ca="1">IFERROR(__xludf.DUMMYFUNCTION("""COMPUTED_VALUE"""),1)</f>
        <v>1</v>
      </c>
      <c r="V134" s="153">
        <f ca="1">IFERROR(__xludf.DUMMYFUNCTION("""COMPUTED_VALUE"""),-10000)</f>
        <v>-10000</v>
      </c>
      <c r="W134" s="44">
        <f ca="1">IFERROR(__xludf.DUMMYFUNCTION("""COMPUTED_VALUE"""),490000)</f>
        <v>490000</v>
      </c>
      <c r="X134" s="154">
        <f ca="1">IFERROR(__xludf.DUMMYFUNCTION("""COMPUTED_VALUE"""),490000)</f>
        <v>490000</v>
      </c>
      <c r="Y134" s="154">
        <f ca="1">IFERROR(__xludf.DUMMYFUNCTION("""COMPUTED_VALUE"""),0)</f>
        <v>0</v>
      </c>
      <c r="Z134" s="159">
        <f ca="1">IFERROR(__xludf.DUMMYFUNCTION("""COMPUTED_VALUE"""),-0.02)</f>
        <v>-0.02</v>
      </c>
    </row>
    <row r="135" spans="1:26" ht="13" x14ac:dyDescent="0.15">
      <c r="A135" s="43" t="str">
        <f ca="1">IFERROR(__xludf.DUMMYFUNCTION("""COMPUTED_VALUE"""),"")</f>
        <v/>
      </c>
      <c r="B135" s="43" t="str">
        <f ca="1">IFERROR(__xludf.DUMMYFUNCTION("""COMPUTED_VALUE"""),"37922")</f>
        <v>37922</v>
      </c>
      <c r="C135" s="146">
        <f ca="1">IFERROR(__xludf.DUMMYFUNCTION("""COMPUTED_VALUE"""),44597000094)</f>
        <v>44597000094</v>
      </c>
      <c r="D135" s="43" t="str">
        <f ca="1">IFERROR(__xludf.DUMMYFUNCTION("""COMPUTED_VALUE"""),"Cash")</f>
        <v>Cash</v>
      </c>
      <c r="E135" s="147">
        <f ca="1">IFERROR(__xludf.DUMMYFUNCTION("""COMPUTED_VALUE"""),44597)</f>
        <v>44597</v>
      </c>
      <c r="F135" s="43" t="str">
        <f ca="1">IFERROR(__xludf.DUMMYFUNCTION("""COMPUTED_VALUE"""),"Cash")</f>
        <v>Cash</v>
      </c>
      <c r="G135" s="43" t="str">
        <f ca="1">IFERROR(__xludf.DUMMYFUNCTION("""COMPUTED_VALUE"""),"HKD")</f>
        <v>HKD</v>
      </c>
      <c r="H135" s="11" t="str">
        <f ca="1">IFERROR(__xludf.DUMMYFUNCTION("""COMPUTED_VALUE"""),"")</f>
        <v/>
      </c>
      <c r="I135" s="148">
        <f ca="1">IFERROR(__xludf.DUMMYFUNCTION("""COMPUTED_VALUE"""),1)</f>
        <v>1</v>
      </c>
      <c r="J135" s="108">
        <f ca="1">IFERROR(__xludf.DUMMYFUNCTION("""COMPUTED_VALUE"""),1)</f>
        <v>1</v>
      </c>
      <c r="K135" s="43"/>
      <c r="L135" s="149">
        <f ca="1">IFERROR(__xludf.DUMMYFUNCTION("""COMPUTED_VALUE"""),1)</f>
        <v>1</v>
      </c>
      <c r="M135" s="3" t="str">
        <f ca="1">IFERROR(__xludf.DUMMYFUNCTION("""COMPUTED_VALUE"""),"")</f>
        <v/>
      </c>
      <c r="N135" s="43"/>
      <c r="O135" s="43"/>
      <c r="P135" s="150">
        <f ca="1">IFERROR(__xludf.DUMMYFUNCTION("""COMPUTED_VALUE"""),500000)</f>
        <v>500000</v>
      </c>
      <c r="Q135" s="151"/>
      <c r="R135" s="152">
        <f ca="1">IFERROR(__xludf.DUMMYFUNCTION("""COMPUTED_VALUE"""),1)</f>
        <v>1</v>
      </c>
      <c r="S135" s="127" t="str">
        <f ca="1">IFERROR(__xludf.DUMMYFUNCTION("""COMPUTED_VALUE"""),"")</f>
        <v/>
      </c>
      <c r="T135" s="108">
        <f ca="1">IFERROR(__xludf.DUMMYFUNCTION("""COMPUTED_VALUE"""),1)</f>
        <v>1</v>
      </c>
      <c r="U135" s="108">
        <f ca="1">IFERROR(__xludf.DUMMYFUNCTION("""COMPUTED_VALUE"""),1)</f>
        <v>1</v>
      </c>
      <c r="V135" s="153">
        <f ca="1">IFERROR(__xludf.DUMMYFUNCTION("""COMPUTED_VALUE"""),500000)</f>
        <v>500000</v>
      </c>
      <c r="W135" s="145" t="str">
        <f ca="1">IFERROR(__xludf.DUMMYFUNCTION("""COMPUTED_VALUE"""),"")</f>
        <v/>
      </c>
      <c r="X135" s="11" t="str">
        <f ca="1">IFERROR(__xludf.DUMMYFUNCTION("""COMPUTED_VALUE"""),"")</f>
        <v/>
      </c>
      <c r="Y135" s="11" t="str">
        <f ca="1">IFERROR(__xludf.DUMMYFUNCTION("""COMPUTED_VALUE"""),"")</f>
        <v/>
      </c>
      <c r="Z135" s="4" t="str">
        <f ca="1">IFERROR(__xludf.DUMMYFUNCTION("""COMPUTED_VALUE"""),"")</f>
        <v/>
      </c>
    </row>
    <row r="136" spans="1:26" ht="13" x14ac:dyDescent="0.15">
      <c r="A136" s="43" t="str">
        <f ca="1">IFERROR(__xludf.DUMMYFUNCTION("""COMPUTED_VALUE"""),"")</f>
        <v/>
      </c>
      <c r="B136" s="43" t="str">
        <f ca="1">IFERROR(__xludf.DUMMYFUNCTION("""COMPUTED_VALUE"""),"37922")</f>
        <v>37922</v>
      </c>
      <c r="C136" s="146">
        <f ca="1">IFERROR(__xludf.DUMMYFUNCTION("""COMPUTED_VALUE"""),44636000611)</f>
        <v>44636000611</v>
      </c>
      <c r="D136" s="161" t="str">
        <f ca="1">IFERROR(__xludf.DUMMYFUNCTION("""COMPUTED_VALUE"""),"0700.hk")</f>
        <v>0700.hk</v>
      </c>
      <c r="E136" s="147">
        <f ca="1">IFERROR(__xludf.DUMMYFUNCTION("""COMPUTED_VALUE"""),44636)</f>
        <v>44636</v>
      </c>
      <c r="F136" s="43" t="str">
        <f ca="1">IFERROR(__xludf.DUMMYFUNCTION("""COMPUTED_VALUE"""),"Stock")</f>
        <v>Stock</v>
      </c>
      <c r="G136" s="43" t="str">
        <f ca="1">IFERROR(__xludf.DUMMYFUNCTION("""COMPUTED_VALUE"""),"HKD")</f>
        <v>HKD</v>
      </c>
      <c r="H136" s="154">
        <f ca="1">IFERROR(__xludf.DUMMYFUNCTION("""COMPUTED_VALUE"""),1)</f>
        <v>1</v>
      </c>
      <c r="I136" s="148">
        <f ca="1">IFERROR(__xludf.DUMMYFUNCTION("""COMPUTED_VALUE"""),1)</f>
        <v>1</v>
      </c>
      <c r="J136" s="149">
        <f ca="1">IFERROR(__xludf.DUMMYFUNCTION("""COMPUTED_VALUE"""),298)</f>
        <v>298</v>
      </c>
      <c r="K136" s="43"/>
      <c r="L136" s="149">
        <f ca="1">IFERROR(__xludf.DUMMYFUNCTION("""COMPUTED_VALUE"""),388)</f>
        <v>388</v>
      </c>
      <c r="M136" s="155" t="str">
        <f ca="1">IFERROR(__xludf.DUMMYFUNCTION("""COMPUTED_VALUE"""),"Equity Key Stats")</f>
        <v>Equity Key Stats</v>
      </c>
      <c r="N136" s="43"/>
      <c r="O136" s="43"/>
      <c r="P136" s="157">
        <f ca="1">IFERROR(__xludf.DUMMYFUNCTION("""COMPUTED_VALUE"""),-298)</f>
        <v>-298</v>
      </c>
      <c r="Q136" s="151"/>
      <c r="R136" s="152">
        <f ca="1">IFERROR(__xludf.DUMMYFUNCTION("""COMPUTED_VALUE"""),389)</f>
        <v>389</v>
      </c>
      <c r="S136" s="150">
        <f ca="1">IFERROR(__xludf.DUMMYFUNCTION("""COMPUTED_VALUE"""),389)</f>
        <v>389</v>
      </c>
      <c r="T136" s="108">
        <f ca="1">IFERROR(__xludf.DUMMYFUNCTION("""COMPUTED_VALUE"""),2)</f>
        <v>2</v>
      </c>
      <c r="U136" s="108" t="str">
        <f ca="1">IFERROR(__xludf.DUMMYFUNCTION("""COMPUTED_VALUE"""),"")</f>
        <v/>
      </c>
      <c r="V136" s="153" t="str">
        <f ca="1">IFERROR(__xludf.DUMMYFUNCTION("""COMPUTED_VALUE"""),"")</f>
        <v/>
      </c>
      <c r="W136" s="145" t="str">
        <f ca="1">IFERROR(__xludf.DUMMYFUNCTION("""COMPUTED_VALUE"""),"")</f>
        <v/>
      </c>
      <c r="X136" s="11" t="str">
        <f ca="1">IFERROR(__xludf.DUMMYFUNCTION("""COMPUTED_VALUE"""),"")</f>
        <v/>
      </c>
      <c r="Y136" s="11" t="str">
        <f ca="1">IFERROR(__xludf.DUMMYFUNCTION("""COMPUTED_VALUE"""),"")</f>
        <v/>
      </c>
      <c r="Z136" s="4" t="str">
        <f ca="1">IFERROR(__xludf.DUMMYFUNCTION("""COMPUTED_VALUE"""),"")</f>
        <v/>
      </c>
    </row>
    <row r="137" spans="1:26" ht="13" x14ac:dyDescent="0.15">
      <c r="A137" s="43" t="str">
        <f ca="1">IFERROR(__xludf.DUMMYFUNCTION("""COMPUTED_VALUE"""),"37922")</f>
        <v>37922</v>
      </c>
      <c r="B137" s="43" t="str">
        <f ca="1">IFERROR(__xludf.DUMMYFUNCTION("""COMPUTED_VALUE"""),"37922")</f>
        <v>37922</v>
      </c>
      <c r="C137" s="146">
        <f ca="1">IFERROR(__xludf.DUMMYFUNCTION("""COMPUTED_VALUE"""),44643000797)</f>
        <v>44643000797</v>
      </c>
      <c r="D137" s="161" t="str">
        <f ca="1">IFERROR(__xludf.DUMMYFUNCTION("""COMPUTED_VALUE"""),"0700.HK")</f>
        <v>0700.HK</v>
      </c>
      <c r="E137" s="147">
        <f ca="1">IFERROR(__xludf.DUMMYFUNCTION("""COMPUTED_VALUE"""),44643)</f>
        <v>44643</v>
      </c>
      <c r="F137" s="43" t="str">
        <f ca="1">IFERROR(__xludf.DUMMYFUNCTION("""COMPUTED_VALUE"""),"Stock")</f>
        <v>Stock</v>
      </c>
      <c r="G137" s="43" t="str">
        <f ca="1">IFERROR(__xludf.DUMMYFUNCTION("""COMPUTED_VALUE"""),"HKD")</f>
        <v>HKD</v>
      </c>
      <c r="H137" s="154">
        <f ca="1">IFERROR(__xludf.DUMMYFUNCTION("""COMPUTED_VALUE"""),-1)</f>
        <v>-1</v>
      </c>
      <c r="I137" s="148">
        <f ca="1">IFERROR(__xludf.DUMMYFUNCTION("""COMPUTED_VALUE"""),1)</f>
        <v>1</v>
      </c>
      <c r="J137" s="149">
        <f ca="1">IFERROR(__xludf.DUMMYFUNCTION("""COMPUTED_VALUE"""),389)</f>
        <v>389</v>
      </c>
      <c r="K137" s="43"/>
      <c r="L137" s="149">
        <f ca="1">IFERROR(__xludf.DUMMYFUNCTION("""COMPUTED_VALUE"""),388)</f>
        <v>388</v>
      </c>
      <c r="M137" s="155" t="str">
        <f ca="1">IFERROR(__xludf.DUMMYFUNCTION("""COMPUTED_VALUE"""),"Equity Key Stats")</f>
        <v>Equity Key Stats</v>
      </c>
      <c r="N137" s="43"/>
      <c r="O137" s="43"/>
      <c r="P137" s="157">
        <f ca="1">IFERROR(__xludf.DUMMYFUNCTION("""COMPUTED_VALUE"""),389)</f>
        <v>389</v>
      </c>
      <c r="Q137" s="151"/>
      <c r="R137" s="152">
        <f ca="1">IFERROR(__xludf.DUMMYFUNCTION("""COMPUTED_VALUE"""),389)</f>
        <v>389</v>
      </c>
      <c r="S137" s="150">
        <f ca="1">IFERROR(__xludf.DUMMYFUNCTION("""COMPUTED_VALUE"""),-389)</f>
        <v>-389</v>
      </c>
      <c r="T137" s="108">
        <f ca="1">IFERROR(__xludf.DUMMYFUNCTION("""COMPUTED_VALUE"""),2)</f>
        <v>2</v>
      </c>
      <c r="U137" s="108">
        <f ca="1">IFERROR(__xludf.DUMMYFUNCTION("""COMPUTED_VALUE"""),1)</f>
        <v>1</v>
      </c>
      <c r="V137" s="153">
        <f ca="1">IFERROR(__xludf.DUMMYFUNCTION("""COMPUTED_VALUE"""),91)</f>
        <v>91</v>
      </c>
      <c r="W137" s="145">
        <f ca="1">IFERROR(__xludf.DUMMYFUNCTION("""COMPUTED_VALUE"""),500091)</f>
        <v>500091</v>
      </c>
      <c r="X137" s="11">
        <f ca="1">IFERROR(__xludf.DUMMYFUNCTION("""COMPUTED_VALUE"""),500091)</f>
        <v>500091</v>
      </c>
      <c r="Y137" s="11">
        <f ca="1">IFERROR(__xludf.DUMMYFUNCTION("""COMPUTED_VALUE"""),0)</f>
        <v>0</v>
      </c>
      <c r="Z137" s="4">
        <f ca="1">IFERROR(__xludf.DUMMYFUNCTION("""COMPUTED_VALUE"""),0.000181999999999904)</f>
        <v>1.81999999999904E-4</v>
      </c>
    </row>
    <row r="138" spans="1:26" ht="13" x14ac:dyDescent="0.15">
      <c r="A138" s="43" t="str">
        <f ca="1">IFERROR(__xludf.DUMMYFUNCTION("""COMPUTED_VALUE"""),"")</f>
        <v/>
      </c>
      <c r="B138" s="43" t="str">
        <f ca="1">IFERROR(__xludf.DUMMYFUNCTION("""COMPUTED_VALUE"""),"37934")</f>
        <v>37934</v>
      </c>
      <c r="C138" s="146">
        <f ca="1">IFERROR(__xludf.DUMMYFUNCTION("""COMPUTED_VALUE"""),44597000091)</f>
        <v>44597000091</v>
      </c>
      <c r="D138" s="163" t="str">
        <f ca="1">IFERROR(__xludf.DUMMYFUNCTION("""COMPUTED_VALUE"""),"Cash")</f>
        <v>Cash</v>
      </c>
      <c r="E138" s="147">
        <f ca="1">IFERROR(__xludf.DUMMYFUNCTION("""COMPUTED_VALUE"""),44597)</f>
        <v>44597</v>
      </c>
      <c r="F138" s="43" t="str">
        <f ca="1">IFERROR(__xludf.DUMMYFUNCTION("""COMPUTED_VALUE"""),"Cash")</f>
        <v>Cash</v>
      </c>
      <c r="G138" s="43" t="str">
        <f ca="1">IFERROR(__xludf.DUMMYFUNCTION("""COMPUTED_VALUE"""),"HKD")</f>
        <v>HKD</v>
      </c>
      <c r="H138" s="154" t="str">
        <f ca="1">IFERROR(__xludf.DUMMYFUNCTION("""COMPUTED_VALUE"""),"")</f>
        <v/>
      </c>
      <c r="I138" s="148">
        <f ca="1">IFERROR(__xludf.DUMMYFUNCTION("""COMPUTED_VALUE"""),1)</f>
        <v>1</v>
      </c>
      <c r="J138" s="149">
        <f ca="1">IFERROR(__xludf.DUMMYFUNCTION("""COMPUTED_VALUE"""),1)</f>
        <v>1</v>
      </c>
      <c r="K138" s="43"/>
      <c r="L138" s="149">
        <f ca="1">IFERROR(__xludf.DUMMYFUNCTION("""COMPUTED_VALUE"""),1)</f>
        <v>1</v>
      </c>
      <c r="M138" s="155" t="str">
        <f ca="1">IFERROR(__xludf.DUMMYFUNCTION("""COMPUTED_VALUE"""),"")</f>
        <v/>
      </c>
      <c r="N138" s="43"/>
      <c r="O138" s="43"/>
      <c r="P138" s="157">
        <f ca="1">IFERROR(__xludf.DUMMYFUNCTION("""COMPUTED_VALUE"""),500000)</f>
        <v>500000</v>
      </c>
      <c r="Q138" s="151"/>
      <c r="R138" s="152">
        <f ca="1">IFERROR(__xludf.DUMMYFUNCTION("""COMPUTED_VALUE"""),1)</f>
        <v>1</v>
      </c>
      <c r="S138" s="150" t="str">
        <f ca="1">IFERROR(__xludf.DUMMYFUNCTION("""COMPUTED_VALUE"""),"")</f>
        <v/>
      </c>
      <c r="T138" s="108">
        <f ca="1">IFERROR(__xludf.DUMMYFUNCTION("""COMPUTED_VALUE"""),1)</f>
        <v>1</v>
      </c>
      <c r="U138" s="108">
        <f ca="1">IFERROR(__xludf.DUMMYFUNCTION("""COMPUTED_VALUE"""),1)</f>
        <v>1</v>
      </c>
      <c r="V138" s="153">
        <f ca="1">IFERROR(__xludf.DUMMYFUNCTION("""COMPUTED_VALUE"""),500000)</f>
        <v>500000</v>
      </c>
      <c r="W138" s="145" t="str">
        <f ca="1">IFERROR(__xludf.DUMMYFUNCTION("""COMPUTED_VALUE"""),"")</f>
        <v/>
      </c>
      <c r="X138" s="11" t="str">
        <f ca="1">IFERROR(__xludf.DUMMYFUNCTION("""COMPUTED_VALUE"""),"")</f>
        <v/>
      </c>
      <c r="Y138" s="11" t="str">
        <f ca="1">IFERROR(__xludf.DUMMYFUNCTION("""COMPUTED_VALUE"""),"")</f>
        <v/>
      </c>
      <c r="Z138" s="4" t="str">
        <f ca="1">IFERROR(__xludf.DUMMYFUNCTION("""COMPUTED_VALUE"""),"")</f>
        <v/>
      </c>
    </row>
    <row r="139" spans="1:26" ht="13" x14ac:dyDescent="0.15">
      <c r="A139" s="43" t="str">
        <f ca="1">IFERROR(__xludf.DUMMYFUNCTION("""COMPUTED_VALUE"""),"")</f>
        <v/>
      </c>
      <c r="B139" s="43" t="str">
        <f ca="1">IFERROR(__xludf.DUMMYFUNCTION("""COMPUTED_VALUE"""),"37934")</f>
        <v>37934</v>
      </c>
      <c r="C139" s="146">
        <f ca="1">IFERROR(__xludf.DUMMYFUNCTION("""COMPUTED_VALUE"""),44614000287)</f>
        <v>44614000287</v>
      </c>
      <c r="D139" s="43" t="str">
        <f ca="1">IFERROR(__xludf.DUMMYFUNCTION("""COMPUTED_VALUE"""),"SOFI")</f>
        <v>SOFI</v>
      </c>
      <c r="E139" s="147">
        <f ca="1">IFERROR(__xludf.DUMMYFUNCTION("""COMPUTED_VALUE"""),44614)</f>
        <v>44614</v>
      </c>
      <c r="F139" s="43" t="str">
        <f ca="1">IFERROR(__xludf.DUMMYFUNCTION("""COMPUTED_VALUE"""),"Stock")</f>
        <v>Stock</v>
      </c>
      <c r="G139" s="43" t="str">
        <f ca="1">IFERROR(__xludf.DUMMYFUNCTION("""COMPUTED_VALUE"""),"USD")</f>
        <v>USD</v>
      </c>
      <c r="H139" s="11">
        <f ca="1">IFERROR(__xludf.DUMMYFUNCTION("""COMPUTED_VALUE"""),200)</f>
        <v>200</v>
      </c>
      <c r="I139" s="148">
        <f ca="1">IFERROR(__xludf.DUMMYFUNCTION("""COMPUTED_VALUE"""),7.80175)</f>
        <v>7.8017500000000002</v>
      </c>
      <c r="J139" s="149">
        <f ca="1">IFERROR(__xludf.DUMMYFUNCTION("""COMPUTED_VALUE"""),10.26)</f>
        <v>10.26</v>
      </c>
      <c r="K139" s="43"/>
      <c r="L139" s="149">
        <f ca="1">IFERROR(__xludf.DUMMYFUNCTION("""COMPUTED_VALUE"""),9.72)</f>
        <v>9.7200000000000006</v>
      </c>
      <c r="M139" s="155" t="str">
        <f ca="1">IFERROR(__xludf.DUMMYFUNCTION("""COMPUTED_VALUE"""),"Equity Key Stats")</f>
        <v>Equity Key Stats</v>
      </c>
      <c r="N139" s="43"/>
      <c r="O139" s="43"/>
      <c r="P139" s="150">
        <f ca="1">IFERROR(__xludf.DUMMYFUNCTION("""COMPUTED_VALUE"""),-16009.191)</f>
        <v>-16009.191000000001</v>
      </c>
      <c r="Q139" s="151"/>
      <c r="R139" s="152">
        <f ca="1">IFERROR(__xludf.DUMMYFUNCTION("""COMPUTED_VALUE"""),9.37)</f>
        <v>9.3699999999999992</v>
      </c>
      <c r="S139" s="150">
        <f ca="1">IFERROR(__xludf.DUMMYFUNCTION("""COMPUTED_VALUE"""),14620.4795)</f>
        <v>14620.479499999999</v>
      </c>
      <c r="T139" s="108">
        <f ca="1">IFERROR(__xludf.DUMMYFUNCTION("""COMPUTED_VALUE"""),1)</f>
        <v>1</v>
      </c>
      <c r="U139" s="108">
        <f ca="1">IFERROR(__xludf.DUMMYFUNCTION("""COMPUTED_VALUE"""),1)</f>
        <v>1</v>
      </c>
      <c r="V139" s="153">
        <f ca="1">IFERROR(__xludf.DUMMYFUNCTION("""COMPUTED_VALUE"""),-1388.7115)</f>
        <v>-1388.7114999999999</v>
      </c>
      <c r="W139" s="44" t="str">
        <f ca="1">IFERROR(__xludf.DUMMYFUNCTION("""COMPUTED_VALUE"""),"")</f>
        <v/>
      </c>
      <c r="X139" s="156" t="str">
        <f ca="1">IFERROR(__xludf.DUMMYFUNCTION("""COMPUTED_VALUE"""),"")</f>
        <v/>
      </c>
      <c r="Y139" s="154" t="str">
        <f ca="1">IFERROR(__xludf.DUMMYFUNCTION("""COMPUTED_VALUE"""),"")</f>
        <v/>
      </c>
      <c r="Z139" s="159" t="str">
        <f ca="1">IFERROR(__xludf.DUMMYFUNCTION("""COMPUTED_VALUE"""),"")</f>
        <v/>
      </c>
    </row>
    <row r="140" spans="1:26" ht="13" x14ac:dyDescent="0.15">
      <c r="A140" s="43" t="str">
        <f ca="1">IFERROR(__xludf.DUMMYFUNCTION("""COMPUTED_VALUE"""),"")</f>
        <v/>
      </c>
      <c r="B140" s="43" t="str">
        <f ca="1">IFERROR(__xludf.DUMMYFUNCTION("""COMPUTED_VALUE"""),"37934")</f>
        <v>37934</v>
      </c>
      <c r="C140" s="146">
        <f ca="1">IFERROR(__xludf.DUMMYFUNCTION("""COMPUTED_VALUE"""),44619000365)</f>
        <v>44619000365</v>
      </c>
      <c r="D140" s="161" t="str">
        <f ca="1">IFERROR(__xludf.DUMMYFUNCTION("""COMPUTED_VALUE"""),"9626.HK")</f>
        <v>9626.HK</v>
      </c>
      <c r="E140" s="147">
        <f ca="1">IFERROR(__xludf.DUMMYFUNCTION("""COMPUTED_VALUE"""),44619)</f>
        <v>44619</v>
      </c>
      <c r="F140" s="43" t="str">
        <f ca="1">IFERROR(__xludf.DUMMYFUNCTION("""COMPUTED_VALUE"""),"Stock")</f>
        <v>Stock</v>
      </c>
      <c r="G140" s="43" t="str">
        <f ca="1">IFERROR(__xludf.DUMMYFUNCTION("""COMPUTED_VALUE"""),"HKD")</f>
        <v>HKD</v>
      </c>
      <c r="H140" s="11">
        <f ca="1">IFERROR(__xludf.DUMMYFUNCTION("""COMPUTED_VALUE"""),50)</f>
        <v>50</v>
      </c>
      <c r="I140" s="148">
        <f ca="1">IFERROR(__xludf.DUMMYFUNCTION("""COMPUTED_VALUE"""),1)</f>
        <v>1</v>
      </c>
      <c r="J140" s="149">
        <f ca="1">IFERROR(__xludf.DUMMYFUNCTION("""COMPUTED_VALUE"""),237)</f>
        <v>237</v>
      </c>
      <c r="K140" s="43"/>
      <c r="L140" s="149">
        <f ca="1">IFERROR(__xludf.DUMMYFUNCTION("""COMPUTED_VALUE"""),208)</f>
        <v>208</v>
      </c>
      <c r="M140" s="160" t="str">
        <f ca="1">IFERROR(__xludf.DUMMYFUNCTION("""COMPUTED_VALUE"""),"Equity Key Stats")</f>
        <v>Equity Key Stats</v>
      </c>
      <c r="N140" s="43"/>
      <c r="O140" s="43"/>
      <c r="P140" s="150">
        <f ca="1">IFERROR(__xludf.DUMMYFUNCTION("""COMPUTED_VALUE"""),-11850)</f>
        <v>-11850</v>
      </c>
      <c r="Q140" s="151"/>
      <c r="R140" s="152">
        <f ca="1">IFERROR(__xludf.DUMMYFUNCTION("""COMPUTED_VALUE"""),229)</f>
        <v>229</v>
      </c>
      <c r="S140" s="127">
        <f ca="1">IFERROR(__xludf.DUMMYFUNCTION("""COMPUTED_VALUE"""),11450)</f>
        <v>11450</v>
      </c>
      <c r="T140" s="108">
        <f ca="1">IFERROR(__xludf.DUMMYFUNCTION("""COMPUTED_VALUE"""),2)</f>
        <v>2</v>
      </c>
      <c r="U140" s="108" t="str">
        <f ca="1">IFERROR(__xludf.DUMMYFUNCTION("""COMPUTED_VALUE"""),"")</f>
        <v/>
      </c>
      <c r="V140" s="153" t="str">
        <f ca="1">IFERROR(__xludf.DUMMYFUNCTION("""COMPUTED_VALUE"""),"")</f>
        <v/>
      </c>
      <c r="W140" s="44" t="str">
        <f ca="1">IFERROR(__xludf.DUMMYFUNCTION("""COMPUTED_VALUE"""),"")</f>
        <v/>
      </c>
      <c r="X140" s="154" t="str">
        <f ca="1">IFERROR(__xludf.DUMMYFUNCTION("""COMPUTED_VALUE"""),"")</f>
        <v/>
      </c>
      <c r="Y140" s="154" t="str">
        <f ca="1">IFERROR(__xludf.DUMMYFUNCTION("""COMPUTED_VALUE"""),"")</f>
        <v/>
      </c>
      <c r="Z140" s="159" t="str">
        <f ca="1">IFERROR(__xludf.DUMMYFUNCTION("""COMPUTED_VALUE"""),"")</f>
        <v/>
      </c>
    </row>
    <row r="141" spans="1:26" ht="13" x14ac:dyDescent="0.15">
      <c r="A141" s="43" t="str">
        <f ca="1">IFERROR(__xludf.DUMMYFUNCTION("""COMPUTED_VALUE"""),"")</f>
        <v/>
      </c>
      <c r="B141" s="43" t="str">
        <f ca="1">IFERROR(__xludf.DUMMYFUNCTION("""COMPUTED_VALUE"""),"37934")</f>
        <v>37934</v>
      </c>
      <c r="C141" s="146">
        <f ca="1">IFERROR(__xludf.DUMMYFUNCTION("""COMPUTED_VALUE"""),44619000366)</f>
        <v>44619000366</v>
      </c>
      <c r="D141" s="161" t="str">
        <f ca="1">IFERROR(__xludf.DUMMYFUNCTION("""COMPUTED_VALUE"""),"9888.HK")</f>
        <v>9888.HK</v>
      </c>
      <c r="E141" s="147">
        <f ca="1">IFERROR(__xludf.DUMMYFUNCTION("""COMPUTED_VALUE"""),44619)</f>
        <v>44619</v>
      </c>
      <c r="F141" s="43" t="str">
        <f ca="1">IFERROR(__xludf.DUMMYFUNCTION("""COMPUTED_VALUE"""),"Stock")</f>
        <v>Stock</v>
      </c>
      <c r="G141" s="43" t="str">
        <f ca="1">IFERROR(__xludf.DUMMYFUNCTION("""COMPUTED_VALUE"""),"HKD")</f>
        <v>HKD</v>
      </c>
      <c r="H141" s="11">
        <f ca="1">IFERROR(__xludf.DUMMYFUNCTION("""COMPUTED_VALUE"""),0)</f>
        <v>0</v>
      </c>
      <c r="I141" s="148">
        <f ca="1">IFERROR(__xludf.DUMMYFUNCTION("""COMPUTED_VALUE"""),1)</f>
        <v>1</v>
      </c>
      <c r="J141" s="149">
        <f ca="1">IFERROR(__xludf.DUMMYFUNCTION("""COMPUTED_VALUE"""),0)</f>
        <v>0</v>
      </c>
      <c r="K141" s="43"/>
      <c r="L141" s="149">
        <f ca="1">IFERROR(__xludf.DUMMYFUNCTION("""COMPUTED_VALUE"""),148.7)</f>
        <v>148.69999999999999</v>
      </c>
      <c r="M141" s="160" t="str">
        <f ca="1">IFERROR(__xludf.DUMMYFUNCTION("""COMPUTED_VALUE"""),"Equity Key Stats")</f>
        <v>Equity Key Stats</v>
      </c>
      <c r="N141" s="43"/>
      <c r="O141" s="43"/>
      <c r="P141" s="150">
        <f ca="1">IFERROR(__xludf.DUMMYFUNCTION("""COMPUTED_VALUE"""),0)</f>
        <v>0</v>
      </c>
      <c r="Q141" s="151"/>
      <c r="R141" s="152">
        <f ca="1">IFERROR(__xludf.DUMMYFUNCTION("""COMPUTED_VALUE"""),153.8)</f>
        <v>153.80000000000001</v>
      </c>
      <c r="S141" s="127">
        <f ca="1">IFERROR(__xludf.DUMMYFUNCTION("""COMPUTED_VALUE"""),0)</f>
        <v>0</v>
      </c>
      <c r="T141" s="108">
        <f ca="1">IFERROR(__xludf.DUMMYFUNCTION("""COMPUTED_VALUE"""),1)</f>
        <v>1</v>
      </c>
      <c r="U141" s="108">
        <f ca="1">IFERROR(__xludf.DUMMYFUNCTION("""COMPUTED_VALUE"""),1)</f>
        <v>1</v>
      </c>
      <c r="V141" s="153">
        <f ca="1">IFERROR(__xludf.DUMMYFUNCTION("""COMPUTED_VALUE"""),0)</f>
        <v>0</v>
      </c>
      <c r="W141" s="44" t="str">
        <f ca="1">IFERROR(__xludf.DUMMYFUNCTION("""COMPUTED_VALUE"""),"")</f>
        <v/>
      </c>
      <c r="X141" s="154" t="str">
        <f ca="1">IFERROR(__xludf.DUMMYFUNCTION("""COMPUTED_VALUE"""),"")</f>
        <v/>
      </c>
      <c r="Y141" s="154" t="str">
        <f ca="1">IFERROR(__xludf.DUMMYFUNCTION("""COMPUTED_VALUE"""),"")</f>
        <v/>
      </c>
      <c r="Z141" s="159" t="str">
        <f ca="1">IFERROR(__xludf.DUMMYFUNCTION("""COMPUTED_VALUE"""),"")</f>
        <v/>
      </c>
    </row>
    <row r="142" spans="1:26" ht="13" x14ac:dyDescent="0.15">
      <c r="A142" s="43" t="str">
        <f ca="1">IFERROR(__xludf.DUMMYFUNCTION("""COMPUTED_VALUE"""),"")</f>
        <v/>
      </c>
      <c r="B142" s="43" t="str">
        <f ca="1">IFERROR(__xludf.DUMMYFUNCTION("""COMPUTED_VALUE"""),"37934")</f>
        <v>37934</v>
      </c>
      <c r="C142" s="146">
        <f ca="1">IFERROR(__xludf.DUMMYFUNCTION("""COMPUTED_VALUE"""),44619000367)</f>
        <v>44619000367</v>
      </c>
      <c r="D142" s="161" t="str">
        <f ca="1">IFERROR(__xludf.DUMMYFUNCTION("""COMPUTED_VALUE"""),"9626.HK")</f>
        <v>9626.HK</v>
      </c>
      <c r="E142" s="147">
        <f ca="1">IFERROR(__xludf.DUMMYFUNCTION("""COMPUTED_VALUE"""),44619)</f>
        <v>44619</v>
      </c>
      <c r="F142" s="43" t="str">
        <f ca="1">IFERROR(__xludf.DUMMYFUNCTION("""COMPUTED_VALUE"""),"Stock")</f>
        <v>Stock</v>
      </c>
      <c r="G142" s="43" t="str">
        <f ca="1">IFERROR(__xludf.DUMMYFUNCTION("""COMPUTED_VALUE"""),"HKD")</f>
        <v>HKD</v>
      </c>
      <c r="H142" s="11">
        <f ca="1">IFERROR(__xludf.DUMMYFUNCTION("""COMPUTED_VALUE"""),450)</f>
        <v>450</v>
      </c>
      <c r="I142" s="148">
        <f ca="1">IFERROR(__xludf.DUMMYFUNCTION("""COMPUTED_VALUE"""),1)</f>
        <v>1</v>
      </c>
      <c r="J142" s="149">
        <f ca="1">IFERROR(__xludf.DUMMYFUNCTION("""COMPUTED_VALUE"""),237)</f>
        <v>237</v>
      </c>
      <c r="K142" s="43"/>
      <c r="L142" s="149">
        <f ca="1">IFERROR(__xludf.DUMMYFUNCTION("""COMPUTED_VALUE"""),208)</f>
        <v>208</v>
      </c>
      <c r="M142" s="160" t="str">
        <f ca="1">IFERROR(__xludf.DUMMYFUNCTION("""COMPUTED_VALUE"""),"Equity Key Stats")</f>
        <v>Equity Key Stats</v>
      </c>
      <c r="N142" s="43"/>
      <c r="O142" s="43"/>
      <c r="P142" s="150">
        <f ca="1">IFERROR(__xludf.DUMMYFUNCTION("""COMPUTED_VALUE"""),-106650)</f>
        <v>-106650</v>
      </c>
      <c r="Q142" s="151"/>
      <c r="R142" s="152">
        <f ca="1">IFERROR(__xludf.DUMMYFUNCTION("""COMPUTED_VALUE"""),229)</f>
        <v>229</v>
      </c>
      <c r="S142" s="127">
        <f ca="1">IFERROR(__xludf.DUMMYFUNCTION("""COMPUTED_VALUE"""),103050)</f>
        <v>103050</v>
      </c>
      <c r="T142" s="108">
        <f ca="1">IFERROR(__xludf.DUMMYFUNCTION("""COMPUTED_VALUE"""),2)</f>
        <v>2</v>
      </c>
      <c r="U142" s="108">
        <f ca="1">IFERROR(__xludf.DUMMYFUNCTION("""COMPUTED_VALUE"""),1)</f>
        <v>1</v>
      </c>
      <c r="V142" s="153">
        <f ca="1">IFERROR(__xludf.DUMMYFUNCTION("""COMPUTED_VALUE"""),-4000)</f>
        <v>-4000</v>
      </c>
      <c r="W142" s="44" t="str">
        <f ca="1">IFERROR(__xludf.DUMMYFUNCTION("""COMPUTED_VALUE"""),"")</f>
        <v/>
      </c>
      <c r="X142" s="154" t="str">
        <f ca="1">IFERROR(__xludf.DUMMYFUNCTION("""COMPUTED_VALUE"""),"")</f>
        <v/>
      </c>
      <c r="Y142" s="154" t="str">
        <f ca="1">IFERROR(__xludf.DUMMYFUNCTION("""COMPUTED_VALUE"""),"")</f>
        <v/>
      </c>
      <c r="Z142" s="159" t="str">
        <f ca="1">IFERROR(__xludf.DUMMYFUNCTION("""COMPUTED_VALUE"""),"")</f>
        <v/>
      </c>
    </row>
    <row r="143" spans="1:26" ht="13" x14ac:dyDescent="0.15">
      <c r="A143" s="43" t="str">
        <f ca="1">IFERROR(__xludf.DUMMYFUNCTION("""COMPUTED_VALUE"""),"")</f>
        <v/>
      </c>
      <c r="B143" s="43" t="str">
        <f ca="1">IFERROR(__xludf.DUMMYFUNCTION("""COMPUTED_VALUE"""),"37934")</f>
        <v>37934</v>
      </c>
      <c r="C143" s="146">
        <f ca="1">IFERROR(__xludf.DUMMYFUNCTION("""COMPUTED_VALUE"""),44619000368)</f>
        <v>44619000368</v>
      </c>
      <c r="D143" s="161" t="str">
        <f ca="1">IFERROR(__xludf.DUMMYFUNCTION("""COMPUTED_VALUE"""),"9988.HK")</f>
        <v>9988.HK</v>
      </c>
      <c r="E143" s="147">
        <f ca="1">IFERROR(__xludf.DUMMYFUNCTION("""COMPUTED_VALUE"""),44619)</f>
        <v>44619</v>
      </c>
      <c r="F143" s="43" t="str">
        <f ca="1">IFERROR(__xludf.DUMMYFUNCTION("""COMPUTED_VALUE"""),"Stock")</f>
        <v>Stock</v>
      </c>
      <c r="G143" s="43" t="str">
        <f ca="1">IFERROR(__xludf.DUMMYFUNCTION("""COMPUTED_VALUE"""),"HKD")</f>
        <v>HKD</v>
      </c>
      <c r="H143" s="11">
        <f ca="1">IFERROR(__xludf.DUMMYFUNCTION("""COMPUTED_VALUE"""),900)</f>
        <v>900</v>
      </c>
      <c r="I143" s="148">
        <f ca="1">IFERROR(__xludf.DUMMYFUNCTION("""COMPUTED_VALUE"""),1)</f>
        <v>1</v>
      </c>
      <c r="J143" s="149">
        <f ca="1">IFERROR(__xludf.DUMMYFUNCTION("""COMPUTED_VALUE"""),104.2)</f>
        <v>104.2</v>
      </c>
      <c r="K143" s="43"/>
      <c r="L143" s="149">
        <f ca="1">IFERROR(__xludf.DUMMYFUNCTION("""COMPUTED_VALUE"""),110.2)</f>
        <v>110.2</v>
      </c>
      <c r="M143" s="160" t="str">
        <f ca="1">IFERROR(__xludf.DUMMYFUNCTION("""COMPUTED_VALUE"""),"Equity Key Stats")</f>
        <v>Equity Key Stats</v>
      </c>
      <c r="N143" s="43"/>
      <c r="O143" s="43"/>
      <c r="P143" s="150">
        <f ca="1">IFERROR(__xludf.DUMMYFUNCTION("""COMPUTED_VALUE"""),-93780)</f>
        <v>-93780</v>
      </c>
      <c r="Q143" s="151"/>
      <c r="R143" s="152">
        <f ca="1">IFERROR(__xludf.DUMMYFUNCTION("""COMPUTED_VALUE"""),117.6)</f>
        <v>117.6</v>
      </c>
      <c r="S143" s="127">
        <f ca="1">IFERROR(__xludf.DUMMYFUNCTION("""COMPUTED_VALUE"""),105840)</f>
        <v>105840</v>
      </c>
      <c r="T143" s="108">
        <f ca="1">IFERROR(__xludf.DUMMYFUNCTION("""COMPUTED_VALUE"""),1)</f>
        <v>1</v>
      </c>
      <c r="U143" s="108">
        <f ca="1">IFERROR(__xludf.DUMMYFUNCTION("""COMPUTED_VALUE"""),1)</f>
        <v>1</v>
      </c>
      <c r="V143" s="153">
        <f ca="1">IFERROR(__xludf.DUMMYFUNCTION("""COMPUTED_VALUE"""),12060)</f>
        <v>12060</v>
      </c>
      <c r="W143" s="145" t="str">
        <f ca="1">IFERROR(__xludf.DUMMYFUNCTION("""COMPUTED_VALUE"""),"")</f>
        <v/>
      </c>
      <c r="X143" s="11" t="str">
        <f ca="1">IFERROR(__xludf.DUMMYFUNCTION("""COMPUTED_VALUE"""),"")</f>
        <v/>
      </c>
      <c r="Y143" s="11" t="str">
        <f ca="1">IFERROR(__xludf.DUMMYFUNCTION("""COMPUTED_VALUE"""),"")</f>
        <v/>
      </c>
      <c r="Z143" s="4" t="str">
        <f ca="1">IFERROR(__xludf.DUMMYFUNCTION("""COMPUTED_VALUE"""),"")</f>
        <v/>
      </c>
    </row>
    <row r="144" spans="1:26" ht="13" x14ac:dyDescent="0.15">
      <c r="A144" s="43" t="str">
        <f ca="1">IFERROR(__xludf.DUMMYFUNCTION("""COMPUTED_VALUE"""),"37934")</f>
        <v>37934</v>
      </c>
      <c r="B144" s="43" t="str">
        <f ca="1">IFERROR(__xludf.DUMMYFUNCTION("""COMPUTED_VALUE"""),"37934")</f>
        <v>37934</v>
      </c>
      <c r="C144" s="146">
        <f ca="1">IFERROR(__xludf.DUMMYFUNCTION("""COMPUTED_VALUE"""),44634000539)</f>
        <v>44634000539</v>
      </c>
      <c r="D144" s="163" t="str">
        <f ca="1">IFERROR(__xludf.DUMMYFUNCTION("""COMPUTED_VALUE"""),"TSLA")</f>
        <v>TSLA</v>
      </c>
      <c r="E144" s="147">
        <f ca="1">IFERROR(__xludf.DUMMYFUNCTION("""COMPUTED_VALUE"""),44634)</f>
        <v>44634</v>
      </c>
      <c r="F144" s="43" t="str">
        <f ca="1">IFERROR(__xludf.DUMMYFUNCTION("""COMPUTED_VALUE"""),"Stock")</f>
        <v>Stock</v>
      </c>
      <c r="G144" s="43" t="str">
        <f ca="1">IFERROR(__xludf.DUMMYFUNCTION("""COMPUTED_VALUE"""),"USD")</f>
        <v>USD</v>
      </c>
      <c r="H144" s="154">
        <f ca="1">IFERROR(__xludf.DUMMYFUNCTION("""COMPUTED_VALUE"""),20)</f>
        <v>20</v>
      </c>
      <c r="I144" s="148">
        <f ca="1">IFERROR(__xludf.DUMMYFUNCTION("""COMPUTED_VALUE"""),7.82925)</f>
        <v>7.82925</v>
      </c>
      <c r="J144" s="149">
        <f ca="1">IFERROR(__xludf.DUMMYFUNCTION("""COMPUTED_VALUE"""),766.37)</f>
        <v>766.37</v>
      </c>
      <c r="K144" s="43"/>
      <c r="L144" s="149">
        <f ca="1">IFERROR(__xludf.DUMMYFUNCTION("""COMPUTED_VALUE"""),993.98)</f>
        <v>993.98</v>
      </c>
      <c r="M144" s="155" t="str">
        <f ca="1">IFERROR(__xludf.DUMMYFUNCTION("""COMPUTED_VALUE"""),"Equity Key Stats")</f>
        <v>Equity Key Stats</v>
      </c>
      <c r="N144" s="43"/>
      <c r="O144" s="43"/>
      <c r="P144" s="157">
        <f ca="1">IFERROR(__xludf.DUMMYFUNCTION("""COMPUTED_VALUE"""),-120002.04645)</f>
        <v>-120002.04644999999</v>
      </c>
      <c r="Q144" s="151"/>
      <c r="R144" s="152">
        <f ca="1">IFERROR(__xludf.DUMMYFUNCTION("""COMPUTED_VALUE"""),999.11)</f>
        <v>999.11</v>
      </c>
      <c r="S144" s="150">
        <f ca="1">IFERROR(__xludf.DUMMYFUNCTION("""COMPUTED_VALUE"""),156445.63935)</f>
        <v>156445.63935000001</v>
      </c>
      <c r="T144" s="108">
        <f ca="1">IFERROR(__xludf.DUMMYFUNCTION("""COMPUTED_VALUE"""),1)</f>
        <v>1</v>
      </c>
      <c r="U144" s="108">
        <f ca="1">IFERROR(__xludf.DUMMYFUNCTION("""COMPUTED_VALUE"""),1)</f>
        <v>1</v>
      </c>
      <c r="V144" s="158">
        <f ca="1">IFERROR(__xludf.DUMMYFUNCTION("""COMPUTED_VALUE"""),36443.5929)</f>
        <v>36443.592900000003</v>
      </c>
      <c r="W144" s="44">
        <f ca="1">IFERROR(__xludf.DUMMYFUNCTION("""COMPUTED_VALUE"""),543114.8814)</f>
        <v>543114.88139999995</v>
      </c>
      <c r="X144" s="154">
        <f ca="1">IFERROR(__xludf.DUMMYFUNCTION("""COMPUTED_VALUE"""),151708.76255)</f>
        <v>151708.76255000001</v>
      </c>
      <c r="Y144" s="154">
        <f ca="1">IFERROR(__xludf.DUMMYFUNCTION("""COMPUTED_VALUE"""),0)</f>
        <v>0</v>
      </c>
      <c r="Z144" s="162">
        <f ca="1">IFERROR(__xludf.DUMMYFUNCTION("""COMPUTED_VALUE"""),0.0862297628000001)</f>
        <v>8.6229762800000095E-2</v>
      </c>
    </row>
    <row r="145" spans="1:26" ht="13" x14ac:dyDescent="0.15">
      <c r="A145" s="43" t="str">
        <f ca="1">IFERROR(__xludf.DUMMYFUNCTION("""COMPUTED_VALUE"""),"38063")</f>
        <v>38063</v>
      </c>
      <c r="B145" s="43" t="str">
        <f ca="1">IFERROR(__xludf.DUMMYFUNCTION("""COMPUTED_VALUE"""),"38063")</f>
        <v>38063</v>
      </c>
      <c r="C145" s="146">
        <f ca="1">IFERROR(__xludf.DUMMYFUNCTION("""COMPUTED_VALUE"""),44597000110)</f>
        <v>44597000110</v>
      </c>
      <c r="D145" s="43" t="str">
        <f ca="1">IFERROR(__xludf.DUMMYFUNCTION("""COMPUTED_VALUE"""),"Cash")</f>
        <v>Cash</v>
      </c>
      <c r="E145" s="147">
        <f ca="1">IFERROR(__xludf.DUMMYFUNCTION("""COMPUTED_VALUE"""),44597)</f>
        <v>44597</v>
      </c>
      <c r="F145" s="43" t="str">
        <f ca="1">IFERROR(__xludf.DUMMYFUNCTION("""COMPUTED_VALUE"""),"Cash")</f>
        <v>Cash</v>
      </c>
      <c r="G145" s="43" t="str">
        <f ca="1">IFERROR(__xludf.DUMMYFUNCTION("""COMPUTED_VALUE"""),"HKD")</f>
        <v>HKD</v>
      </c>
      <c r="H145" s="11" t="str">
        <f ca="1">IFERROR(__xludf.DUMMYFUNCTION("""COMPUTED_VALUE"""),"")</f>
        <v/>
      </c>
      <c r="I145" s="148">
        <f ca="1">IFERROR(__xludf.DUMMYFUNCTION("""COMPUTED_VALUE"""),1)</f>
        <v>1</v>
      </c>
      <c r="J145" s="108">
        <f ca="1">IFERROR(__xludf.DUMMYFUNCTION("""COMPUTED_VALUE"""),1)</f>
        <v>1</v>
      </c>
      <c r="K145" s="43"/>
      <c r="L145" s="149">
        <f ca="1">IFERROR(__xludf.DUMMYFUNCTION("""COMPUTED_VALUE"""),1)</f>
        <v>1</v>
      </c>
      <c r="M145" s="3" t="str">
        <f ca="1">IFERROR(__xludf.DUMMYFUNCTION("""COMPUTED_VALUE"""),"")</f>
        <v/>
      </c>
      <c r="N145" s="43"/>
      <c r="O145" s="43"/>
      <c r="P145" s="150">
        <f ca="1">IFERROR(__xludf.DUMMYFUNCTION("""COMPUTED_VALUE"""),500000)</f>
        <v>500000</v>
      </c>
      <c r="Q145" s="151"/>
      <c r="R145" s="152">
        <f ca="1">IFERROR(__xludf.DUMMYFUNCTION("""COMPUTED_VALUE"""),1)</f>
        <v>1</v>
      </c>
      <c r="S145" s="127" t="str">
        <f ca="1">IFERROR(__xludf.DUMMYFUNCTION("""COMPUTED_VALUE"""),"")</f>
        <v/>
      </c>
      <c r="T145" s="108">
        <f ca="1">IFERROR(__xludf.DUMMYFUNCTION("""COMPUTED_VALUE"""),1)</f>
        <v>1</v>
      </c>
      <c r="U145" s="108">
        <f ca="1">IFERROR(__xludf.DUMMYFUNCTION("""COMPUTED_VALUE"""),1)</f>
        <v>1</v>
      </c>
      <c r="V145" s="153">
        <f ca="1">IFERROR(__xludf.DUMMYFUNCTION("""COMPUTED_VALUE"""),500000)</f>
        <v>500000</v>
      </c>
      <c r="W145" s="44">
        <f ca="1">IFERROR(__xludf.DUMMYFUNCTION("""COMPUTED_VALUE"""),500000)</f>
        <v>500000</v>
      </c>
      <c r="X145" s="154">
        <f ca="1">IFERROR(__xludf.DUMMYFUNCTION("""COMPUTED_VALUE"""),500000)</f>
        <v>500000</v>
      </c>
      <c r="Y145" s="154">
        <f ca="1">IFERROR(__xludf.DUMMYFUNCTION("""COMPUTED_VALUE"""),0)</f>
        <v>0</v>
      </c>
      <c r="Z145" s="159">
        <f ca="1">IFERROR(__xludf.DUMMYFUNCTION("""COMPUTED_VALUE"""),0)</f>
        <v>0</v>
      </c>
    </row>
    <row r="146" spans="1:26" ht="13" x14ac:dyDescent="0.15">
      <c r="A146" s="43" t="str">
        <f ca="1">IFERROR(__xludf.DUMMYFUNCTION("""COMPUTED_VALUE"""),"38093")</f>
        <v>38093</v>
      </c>
      <c r="B146" s="43" t="str">
        <f ca="1">IFERROR(__xludf.DUMMYFUNCTION("""COMPUTED_VALUE"""),"38093")</f>
        <v>38093</v>
      </c>
      <c r="C146" s="146">
        <f ca="1">IFERROR(__xludf.DUMMYFUNCTION("""COMPUTED_VALUE"""),44597000064)</f>
        <v>44597000064</v>
      </c>
      <c r="D146" s="43" t="str">
        <f ca="1">IFERROR(__xludf.DUMMYFUNCTION("""COMPUTED_VALUE"""),"Cash")</f>
        <v>Cash</v>
      </c>
      <c r="E146" s="147">
        <f ca="1">IFERROR(__xludf.DUMMYFUNCTION("""COMPUTED_VALUE"""),44597)</f>
        <v>44597</v>
      </c>
      <c r="F146" s="43" t="str">
        <f ca="1">IFERROR(__xludf.DUMMYFUNCTION("""COMPUTED_VALUE"""),"Cash")</f>
        <v>Cash</v>
      </c>
      <c r="G146" s="43" t="str">
        <f ca="1">IFERROR(__xludf.DUMMYFUNCTION("""COMPUTED_VALUE"""),"HKD")</f>
        <v>HKD</v>
      </c>
      <c r="H146" s="11" t="str">
        <f ca="1">IFERROR(__xludf.DUMMYFUNCTION("""COMPUTED_VALUE"""),"")</f>
        <v/>
      </c>
      <c r="I146" s="148">
        <f ca="1">IFERROR(__xludf.DUMMYFUNCTION("""COMPUTED_VALUE"""),1)</f>
        <v>1</v>
      </c>
      <c r="J146" s="108">
        <f ca="1">IFERROR(__xludf.DUMMYFUNCTION("""COMPUTED_VALUE"""),1)</f>
        <v>1</v>
      </c>
      <c r="K146" s="43"/>
      <c r="L146" s="149">
        <f ca="1">IFERROR(__xludf.DUMMYFUNCTION("""COMPUTED_VALUE"""),1)</f>
        <v>1</v>
      </c>
      <c r="M146" s="3" t="str">
        <f ca="1">IFERROR(__xludf.DUMMYFUNCTION("""COMPUTED_VALUE"""),"")</f>
        <v/>
      </c>
      <c r="N146" s="43"/>
      <c r="O146" s="43"/>
      <c r="P146" s="150">
        <f ca="1">IFERROR(__xludf.DUMMYFUNCTION("""COMPUTED_VALUE"""),500000)</f>
        <v>500000</v>
      </c>
      <c r="Q146" s="151"/>
      <c r="R146" s="152">
        <f ca="1">IFERROR(__xludf.DUMMYFUNCTION("""COMPUTED_VALUE"""),1)</f>
        <v>1</v>
      </c>
      <c r="S146" s="127" t="str">
        <f ca="1">IFERROR(__xludf.DUMMYFUNCTION("""COMPUTED_VALUE"""),"")</f>
        <v/>
      </c>
      <c r="T146" s="108">
        <f ca="1">IFERROR(__xludf.DUMMYFUNCTION("""COMPUTED_VALUE"""),1)</f>
        <v>1</v>
      </c>
      <c r="U146" s="108">
        <f ca="1">IFERROR(__xludf.DUMMYFUNCTION("""COMPUTED_VALUE"""),1)</f>
        <v>1</v>
      </c>
      <c r="V146" s="153">
        <f ca="1">IFERROR(__xludf.DUMMYFUNCTION("""COMPUTED_VALUE"""),500000)</f>
        <v>500000</v>
      </c>
      <c r="W146" s="145">
        <f ca="1">IFERROR(__xludf.DUMMYFUNCTION("""COMPUTED_VALUE"""),500000)</f>
        <v>500000</v>
      </c>
      <c r="X146" s="11">
        <f ca="1">IFERROR(__xludf.DUMMYFUNCTION("""COMPUTED_VALUE"""),500000)</f>
        <v>500000</v>
      </c>
      <c r="Y146" s="11">
        <f ca="1">IFERROR(__xludf.DUMMYFUNCTION("""COMPUTED_VALUE"""),0)</f>
        <v>0</v>
      </c>
      <c r="Z146" s="4">
        <f ca="1">IFERROR(__xludf.DUMMYFUNCTION("""COMPUTED_VALUE"""),0)</f>
        <v>0</v>
      </c>
    </row>
    <row r="147" spans="1:26" ht="13" x14ac:dyDescent="0.15">
      <c r="A147" s="43" t="str">
        <f ca="1">IFERROR(__xludf.DUMMYFUNCTION("""COMPUTED_VALUE"""),"38105")</f>
        <v>38105</v>
      </c>
      <c r="B147" s="43" t="str">
        <f ca="1">IFERROR(__xludf.DUMMYFUNCTION("""COMPUTED_VALUE"""),"38105")</f>
        <v>38105</v>
      </c>
      <c r="C147" s="146">
        <f ca="1">IFERROR(__xludf.DUMMYFUNCTION("""COMPUTED_VALUE"""),44597000054)</f>
        <v>44597000054</v>
      </c>
      <c r="D147" s="43" t="str">
        <f ca="1">IFERROR(__xludf.DUMMYFUNCTION("""COMPUTED_VALUE"""),"Cash")</f>
        <v>Cash</v>
      </c>
      <c r="E147" s="147">
        <f ca="1">IFERROR(__xludf.DUMMYFUNCTION("""COMPUTED_VALUE"""),44597)</f>
        <v>44597</v>
      </c>
      <c r="F147" s="43" t="str">
        <f ca="1">IFERROR(__xludf.DUMMYFUNCTION("""COMPUTED_VALUE"""),"Cash")</f>
        <v>Cash</v>
      </c>
      <c r="G147" s="43" t="str">
        <f ca="1">IFERROR(__xludf.DUMMYFUNCTION("""COMPUTED_VALUE"""),"HKD")</f>
        <v>HKD</v>
      </c>
      <c r="H147" s="154" t="str">
        <f ca="1">IFERROR(__xludf.DUMMYFUNCTION("""COMPUTED_VALUE"""),"")</f>
        <v/>
      </c>
      <c r="I147" s="148">
        <f ca="1">IFERROR(__xludf.DUMMYFUNCTION("""COMPUTED_VALUE"""),1)</f>
        <v>1</v>
      </c>
      <c r="J147" s="149">
        <f ca="1">IFERROR(__xludf.DUMMYFUNCTION("""COMPUTED_VALUE"""),1)</f>
        <v>1</v>
      </c>
      <c r="K147" s="43"/>
      <c r="L147" s="149">
        <f ca="1">IFERROR(__xludf.DUMMYFUNCTION("""COMPUTED_VALUE"""),1)</f>
        <v>1</v>
      </c>
      <c r="M147" s="155" t="str">
        <f ca="1">IFERROR(__xludf.DUMMYFUNCTION("""COMPUTED_VALUE"""),"")</f>
        <v/>
      </c>
      <c r="N147" s="43"/>
      <c r="O147" s="43"/>
      <c r="P147" s="157">
        <f ca="1">IFERROR(__xludf.DUMMYFUNCTION("""COMPUTED_VALUE"""),500000)</f>
        <v>500000</v>
      </c>
      <c r="Q147" s="151"/>
      <c r="R147" s="152">
        <f ca="1">IFERROR(__xludf.DUMMYFUNCTION("""COMPUTED_VALUE"""),1)</f>
        <v>1</v>
      </c>
      <c r="S147" s="150" t="str">
        <f ca="1">IFERROR(__xludf.DUMMYFUNCTION("""COMPUTED_VALUE"""),"")</f>
        <v/>
      </c>
      <c r="T147" s="108">
        <f ca="1">IFERROR(__xludf.DUMMYFUNCTION("""COMPUTED_VALUE"""),1)</f>
        <v>1</v>
      </c>
      <c r="U147" s="43">
        <f ca="1">IFERROR(__xludf.DUMMYFUNCTION("""COMPUTED_VALUE"""),1)</f>
        <v>1</v>
      </c>
      <c r="V147" s="144">
        <f ca="1">IFERROR(__xludf.DUMMYFUNCTION("""COMPUTED_VALUE"""),500000)</f>
        <v>500000</v>
      </c>
      <c r="W147" s="145">
        <f ca="1">IFERROR(__xludf.DUMMYFUNCTION("""COMPUTED_VALUE"""),500000)</f>
        <v>500000</v>
      </c>
      <c r="X147" s="11">
        <f ca="1">IFERROR(__xludf.DUMMYFUNCTION("""COMPUTED_VALUE"""),500000)</f>
        <v>500000</v>
      </c>
      <c r="Y147" s="11">
        <f ca="1">IFERROR(__xludf.DUMMYFUNCTION("""COMPUTED_VALUE"""),0)</f>
        <v>0</v>
      </c>
      <c r="Z147" s="4">
        <f ca="1">IFERROR(__xludf.DUMMYFUNCTION("""COMPUTED_VALUE"""),0)</f>
        <v>0</v>
      </c>
    </row>
    <row r="148" spans="1:26" ht="13" x14ac:dyDescent="0.15">
      <c r="A148" s="43" t="str">
        <f ca="1">IFERROR(__xludf.DUMMYFUNCTION("""COMPUTED_VALUE"""),"38109")</f>
        <v>38109</v>
      </c>
      <c r="B148" s="43" t="str">
        <f ca="1">IFERROR(__xludf.DUMMYFUNCTION("""COMPUTED_VALUE"""),"38109")</f>
        <v>38109</v>
      </c>
      <c r="C148" s="146">
        <f ca="1">IFERROR(__xludf.DUMMYFUNCTION("""COMPUTED_VALUE"""),44597000028)</f>
        <v>44597000028</v>
      </c>
      <c r="D148" s="43" t="str">
        <f ca="1">IFERROR(__xludf.DUMMYFUNCTION("""COMPUTED_VALUE"""),"Cash")</f>
        <v>Cash</v>
      </c>
      <c r="E148" s="147">
        <f ca="1">IFERROR(__xludf.DUMMYFUNCTION("""COMPUTED_VALUE"""),44597)</f>
        <v>44597</v>
      </c>
      <c r="F148" s="43" t="str">
        <f ca="1">IFERROR(__xludf.DUMMYFUNCTION("""COMPUTED_VALUE"""),"Cash")</f>
        <v>Cash</v>
      </c>
      <c r="G148" s="43" t="str">
        <f ca="1">IFERROR(__xludf.DUMMYFUNCTION("""COMPUTED_VALUE"""),"HKD")</f>
        <v>HKD</v>
      </c>
      <c r="H148" s="156" t="str">
        <f ca="1">IFERROR(__xludf.DUMMYFUNCTION("""COMPUTED_VALUE"""),"")</f>
        <v/>
      </c>
      <c r="I148" s="148">
        <f ca="1">IFERROR(__xludf.DUMMYFUNCTION("""COMPUTED_VALUE"""),1)</f>
        <v>1</v>
      </c>
      <c r="J148" s="149">
        <f ca="1">IFERROR(__xludf.DUMMYFUNCTION("""COMPUTED_VALUE"""),1)</f>
        <v>1</v>
      </c>
      <c r="K148" s="43"/>
      <c r="L148" s="149">
        <f ca="1">IFERROR(__xludf.DUMMYFUNCTION("""COMPUTED_VALUE"""),1)</f>
        <v>1</v>
      </c>
      <c r="M148" s="155" t="str">
        <f ca="1">IFERROR(__xludf.DUMMYFUNCTION("""COMPUTED_VALUE"""),"")</f>
        <v/>
      </c>
      <c r="N148" s="43"/>
      <c r="O148" s="43"/>
      <c r="P148" s="150">
        <f ca="1">IFERROR(__xludf.DUMMYFUNCTION("""COMPUTED_VALUE"""),500000)</f>
        <v>500000</v>
      </c>
      <c r="Q148" s="151"/>
      <c r="R148" s="152">
        <f ca="1">IFERROR(__xludf.DUMMYFUNCTION("""COMPUTED_VALUE"""),1)</f>
        <v>1</v>
      </c>
      <c r="S148" s="157" t="str">
        <f ca="1">IFERROR(__xludf.DUMMYFUNCTION("""COMPUTED_VALUE"""),"")</f>
        <v/>
      </c>
      <c r="T148" s="108">
        <f ca="1">IFERROR(__xludf.DUMMYFUNCTION("""COMPUTED_VALUE"""),1)</f>
        <v>1</v>
      </c>
      <c r="U148" s="43">
        <f ca="1">IFERROR(__xludf.DUMMYFUNCTION("""COMPUTED_VALUE"""),1)</f>
        <v>1</v>
      </c>
      <c r="V148" s="144">
        <f ca="1">IFERROR(__xludf.DUMMYFUNCTION("""COMPUTED_VALUE"""),500000)</f>
        <v>500000</v>
      </c>
      <c r="W148" s="145">
        <f ca="1">IFERROR(__xludf.DUMMYFUNCTION("""COMPUTED_VALUE"""),500000)</f>
        <v>500000</v>
      </c>
      <c r="X148" s="11">
        <f ca="1">IFERROR(__xludf.DUMMYFUNCTION("""COMPUTED_VALUE"""),500000)</f>
        <v>500000</v>
      </c>
      <c r="Y148" s="11">
        <f ca="1">IFERROR(__xludf.DUMMYFUNCTION("""COMPUTED_VALUE"""),0)</f>
        <v>0</v>
      </c>
      <c r="Z148" s="4">
        <f ca="1">IFERROR(__xludf.DUMMYFUNCTION("""COMPUTED_VALUE"""),0)</f>
        <v>0</v>
      </c>
    </row>
    <row r="149" spans="1:26" ht="13" x14ac:dyDescent="0.15">
      <c r="A149" s="43" t="str">
        <f ca="1">IFERROR(__xludf.DUMMYFUNCTION("""COMPUTED_VALUE"""),"")</f>
        <v/>
      </c>
      <c r="B149" s="43" t="str">
        <f ca="1">IFERROR(__xludf.DUMMYFUNCTION("""COMPUTED_VALUE"""),"38209")</f>
        <v>38209</v>
      </c>
      <c r="C149" s="146">
        <f ca="1">IFERROR(__xludf.DUMMYFUNCTION("""COMPUTED_VALUE"""),44597000044)</f>
        <v>44597000044</v>
      </c>
      <c r="D149" s="43" t="str">
        <f ca="1">IFERROR(__xludf.DUMMYFUNCTION("""COMPUTED_VALUE"""),"Cash")</f>
        <v>Cash</v>
      </c>
      <c r="E149" s="147">
        <f ca="1">IFERROR(__xludf.DUMMYFUNCTION("""COMPUTED_VALUE"""),44597)</f>
        <v>44597</v>
      </c>
      <c r="F149" s="43" t="str">
        <f ca="1">IFERROR(__xludf.DUMMYFUNCTION("""COMPUTED_VALUE"""),"Cash")</f>
        <v>Cash</v>
      </c>
      <c r="G149" s="43" t="str">
        <f ca="1">IFERROR(__xludf.DUMMYFUNCTION("""COMPUTED_VALUE"""),"HKD")</f>
        <v>HKD</v>
      </c>
      <c r="H149" s="154" t="str">
        <f ca="1">IFERROR(__xludf.DUMMYFUNCTION("""COMPUTED_VALUE"""),"")</f>
        <v/>
      </c>
      <c r="I149" s="148">
        <f ca="1">IFERROR(__xludf.DUMMYFUNCTION("""COMPUTED_VALUE"""),1)</f>
        <v>1</v>
      </c>
      <c r="J149" s="108">
        <f ca="1">IFERROR(__xludf.DUMMYFUNCTION("""COMPUTED_VALUE"""),1)</f>
        <v>1</v>
      </c>
      <c r="K149" s="43"/>
      <c r="L149" s="149">
        <f ca="1">IFERROR(__xludf.DUMMYFUNCTION("""COMPUTED_VALUE"""),1)</f>
        <v>1</v>
      </c>
      <c r="M149" s="3" t="str">
        <f ca="1">IFERROR(__xludf.DUMMYFUNCTION("""COMPUTED_VALUE"""),"")</f>
        <v/>
      </c>
      <c r="N149" s="43"/>
      <c r="O149" s="43"/>
      <c r="P149" s="157">
        <f ca="1">IFERROR(__xludf.DUMMYFUNCTION("""COMPUTED_VALUE"""),500000)</f>
        <v>500000</v>
      </c>
      <c r="Q149" s="151"/>
      <c r="R149" s="152">
        <f ca="1">IFERROR(__xludf.DUMMYFUNCTION("""COMPUTED_VALUE"""),1)</f>
        <v>1</v>
      </c>
      <c r="S149" s="150" t="str">
        <f ca="1">IFERROR(__xludf.DUMMYFUNCTION("""COMPUTED_VALUE"""),"")</f>
        <v/>
      </c>
      <c r="T149" s="108">
        <f ca="1">IFERROR(__xludf.DUMMYFUNCTION("""COMPUTED_VALUE"""),1)</f>
        <v>1</v>
      </c>
      <c r="U149" s="108">
        <f ca="1">IFERROR(__xludf.DUMMYFUNCTION("""COMPUTED_VALUE"""),1)</f>
        <v>1</v>
      </c>
      <c r="V149" s="153">
        <f ca="1">IFERROR(__xludf.DUMMYFUNCTION("""COMPUTED_VALUE"""),500000)</f>
        <v>500000</v>
      </c>
      <c r="W149" s="145" t="str">
        <f ca="1">IFERROR(__xludf.DUMMYFUNCTION("""COMPUTED_VALUE"""),"")</f>
        <v/>
      </c>
      <c r="X149" s="11" t="str">
        <f ca="1">IFERROR(__xludf.DUMMYFUNCTION("""COMPUTED_VALUE"""),"")</f>
        <v/>
      </c>
      <c r="Y149" s="11" t="str">
        <f ca="1">IFERROR(__xludf.DUMMYFUNCTION("""COMPUTED_VALUE"""),"")</f>
        <v/>
      </c>
      <c r="Z149" s="4" t="str">
        <f ca="1">IFERROR(__xludf.DUMMYFUNCTION("""COMPUTED_VALUE"""),"")</f>
        <v/>
      </c>
    </row>
    <row r="150" spans="1:26" ht="13" x14ac:dyDescent="0.15">
      <c r="A150" s="43" t="str">
        <f ca="1">IFERROR(__xludf.DUMMYFUNCTION("""COMPUTED_VALUE"""),"")</f>
        <v/>
      </c>
      <c r="B150" s="43" t="str">
        <f ca="1">IFERROR(__xludf.DUMMYFUNCTION("""COMPUTED_VALUE"""),"38209")</f>
        <v>38209</v>
      </c>
      <c r="C150" s="146">
        <f ca="1">IFERROR(__xludf.DUMMYFUNCTION("""COMPUTED_VALUE"""),44623000416)</f>
        <v>44623000416</v>
      </c>
      <c r="D150" s="161" t="str">
        <f ca="1">IFERROR(__xludf.DUMMYFUNCTION("""COMPUTED_VALUE"""),"1810.HK")</f>
        <v>1810.HK</v>
      </c>
      <c r="E150" s="147">
        <f ca="1">IFERROR(__xludf.DUMMYFUNCTION("""COMPUTED_VALUE"""),44623)</f>
        <v>44623</v>
      </c>
      <c r="F150" s="43" t="str">
        <f ca="1">IFERROR(__xludf.DUMMYFUNCTION("""COMPUTED_VALUE"""),"Stock")</f>
        <v>Stock</v>
      </c>
      <c r="G150" s="43" t="str">
        <f ca="1">IFERROR(__xludf.DUMMYFUNCTION("""COMPUTED_VALUE"""),"HKD")</f>
        <v>HKD</v>
      </c>
      <c r="H150" s="154">
        <f ca="1">IFERROR(__xludf.DUMMYFUNCTION("""COMPUTED_VALUE"""),0)</f>
        <v>0</v>
      </c>
      <c r="I150" s="148">
        <f ca="1">IFERROR(__xludf.DUMMYFUNCTION("""COMPUTED_VALUE"""),1)</f>
        <v>1</v>
      </c>
      <c r="J150" s="149">
        <f ca="1">IFERROR(__xludf.DUMMYFUNCTION("""COMPUTED_VALUE"""),0)</f>
        <v>0</v>
      </c>
      <c r="K150" s="43"/>
      <c r="L150" s="149">
        <f ca="1">IFERROR(__xludf.DUMMYFUNCTION("""COMPUTED_VALUE"""),14.2)</f>
        <v>14.2</v>
      </c>
      <c r="M150" s="155" t="str">
        <f ca="1">IFERROR(__xludf.DUMMYFUNCTION("""COMPUTED_VALUE"""),"Equity Key Stats")</f>
        <v>Equity Key Stats</v>
      </c>
      <c r="N150" s="43"/>
      <c r="O150" s="43"/>
      <c r="P150" s="157">
        <f ca="1">IFERROR(__xludf.DUMMYFUNCTION("""COMPUTED_VALUE"""),0)</f>
        <v>0</v>
      </c>
      <c r="Q150" s="151"/>
      <c r="R150" s="152">
        <f ca="1">IFERROR(__xludf.DUMMYFUNCTION("""COMPUTED_VALUE"""),14.78)</f>
        <v>14.78</v>
      </c>
      <c r="S150" s="150">
        <f ca="1">IFERROR(__xludf.DUMMYFUNCTION("""COMPUTED_VALUE"""),0)</f>
        <v>0</v>
      </c>
      <c r="T150" s="108">
        <f ca="1">IFERROR(__xludf.DUMMYFUNCTION("""COMPUTED_VALUE"""),5)</f>
        <v>5</v>
      </c>
      <c r="U150" s="108" t="str">
        <f ca="1">IFERROR(__xludf.DUMMYFUNCTION("""COMPUTED_VALUE"""),"")</f>
        <v/>
      </c>
      <c r="V150" s="153" t="str">
        <f ca="1">IFERROR(__xludf.DUMMYFUNCTION("""COMPUTED_VALUE"""),"")</f>
        <v/>
      </c>
      <c r="W150" s="145" t="str">
        <f ca="1">IFERROR(__xludf.DUMMYFUNCTION("""COMPUTED_VALUE"""),"")</f>
        <v/>
      </c>
      <c r="X150" s="11" t="str">
        <f ca="1">IFERROR(__xludf.DUMMYFUNCTION("""COMPUTED_VALUE"""),"")</f>
        <v/>
      </c>
      <c r="Y150" s="11" t="str">
        <f ca="1">IFERROR(__xludf.DUMMYFUNCTION("""COMPUTED_VALUE"""),"")</f>
        <v/>
      </c>
      <c r="Z150" s="4" t="str">
        <f ca="1">IFERROR(__xludf.DUMMYFUNCTION("""COMPUTED_VALUE"""),"")</f>
        <v/>
      </c>
    </row>
    <row r="151" spans="1:26" ht="13" x14ac:dyDescent="0.15">
      <c r="A151" s="43" t="str">
        <f ca="1">IFERROR(__xludf.DUMMYFUNCTION("""COMPUTED_VALUE"""),"")</f>
        <v/>
      </c>
      <c r="B151" s="43" t="str">
        <f ca="1">IFERROR(__xludf.DUMMYFUNCTION("""COMPUTED_VALUE"""),"38209")</f>
        <v>38209</v>
      </c>
      <c r="C151" s="146">
        <f ca="1">IFERROR(__xludf.DUMMYFUNCTION("""COMPUTED_VALUE"""),44624000425)</f>
        <v>44624000425</v>
      </c>
      <c r="D151" s="161" t="str">
        <f ca="1">IFERROR(__xludf.DUMMYFUNCTION("""COMPUTED_VALUE"""),"9988.HK")</f>
        <v>9988.HK</v>
      </c>
      <c r="E151" s="147">
        <f ca="1">IFERROR(__xludf.DUMMYFUNCTION("""COMPUTED_VALUE"""),44624)</f>
        <v>44624</v>
      </c>
      <c r="F151" s="43" t="str">
        <f ca="1">IFERROR(__xludf.DUMMYFUNCTION("""COMPUTED_VALUE"""),"Stock")</f>
        <v>Stock</v>
      </c>
      <c r="G151" s="43" t="str">
        <f ca="1">IFERROR(__xludf.DUMMYFUNCTION("""COMPUTED_VALUE"""),"HKD")</f>
        <v>HKD</v>
      </c>
      <c r="H151" s="154">
        <f ca="1">IFERROR(__xludf.DUMMYFUNCTION("""COMPUTED_VALUE"""),200)</f>
        <v>200</v>
      </c>
      <c r="I151" s="148">
        <f ca="1">IFERROR(__xludf.DUMMYFUNCTION("""COMPUTED_VALUE"""),1)</f>
        <v>1</v>
      </c>
      <c r="J151" s="149">
        <f ca="1">IFERROR(__xludf.DUMMYFUNCTION("""COMPUTED_VALUE"""),99)</f>
        <v>99</v>
      </c>
      <c r="K151" s="43"/>
      <c r="L151" s="149">
        <f ca="1">IFERROR(__xludf.DUMMYFUNCTION("""COMPUTED_VALUE"""),110.2)</f>
        <v>110.2</v>
      </c>
      <c r="M151" s="155" t="str">
        <f ca="1">IFERROR(__xludf.DUMMYFUNCTION("""COMPUTED_VALUE"""),"Equity Key Stats")</f>
        <v>Equity Key Stats</v>
      </c>
      <c r="N151" s="43"/>
      <c r="O151" s="43"/>
      <c r="P151" s="157">
        <f ca="1">IFERROR(__xludf.DUMMYFUNCTION("""COMPUTED_VALUE"""),-19800)</f>
        <v>-19800</v>
      </c>
      <c r="Q151" s="151"/>
      <c r="R151" s="152">
        <f ca="1">IFERROR(__xludf.DUMMYFUNCTION("""COMPUTED_VALUE"""),117.6)</f>
        <v>117.6</v>
      </c>
      <c r="S151" s="150">
        <f ca="1">IFERROR(__xludf.DUMMYFUNCTION("""COMPUTED_VALUE"""),23520)</f>
        <v>23520</v>
      </c>
      <c r="T151" s="108">
        <f ca="1">IFERROR(__xludf.DUMMYFUNCTION("""COMPUTED_VALUE"""),7)</f>
        <v>7</v>
      </c>
      <c r="U151" s="43" t="str">
        <f ca="1">IFERROR(__xludf.DUMMYFUNCTION("""COMPUTED_VALUE"""),"")</f>
        <v/>
      </c>
      <c r="V151" s="144" t="str">
        <f ca="1">IFERROR(__xludf.DUMMYFUNCTION("""COMPUTED_VALUE"""),"")</f>
        <v/>
      </c>
      <c r="W151" s="145" t="str">
        <f ca="1">IFERROR(__xludf.DUMMYFUNCTION("""COMPUTED_VALUE"""),"")</f>
        <v/>
      </c>
      <c r="X151" s="11" t="str">
        <f ca="1">IFERROR(__xludf.DUMMYFUNCTION("""COMPUTED_VALUE"""),"")</f>
        <v/>
      </c>
      <c r="Y151" s="11" t="str">
        <f ca="1">IFERROR(__xludf.DUMMYFUNCTION("""COMPUTED_VALUE"""),"")</f>
        <v/>
      </c>
      <c r="Z151" s="4" t="str">
        <f ca="1">IFERROR(__xludf.DUMMYFUNCTION("""COMPUTED_VALUE"""),"")</f>
        <v/>
      </c>
    </row>
    <row r="152" spans="1:26" ht="13" x14ac:dyDescent="0.15">
      <c r="A152" s="43" t="str">
        <f ca="1">IFERROR(__xludf.DUMMYFUNCTION("""COMPUTED_VALUE"""),"")</f>
        <v/>
      </c>
      <c r="B152" s="43" t="str">
        <f ca="1">IFERROR(__xludf.DUMMYFUNCTION("""COMPUTED_VALUE"""),"38209")</f>
        <v>38209</v>
      </c>
      <c r="C152" s="146">
        <f ca="1">IFERROR(__xludf.DUMMYFUNCTION("""COMPUTED_VALUE"""),44624000426)</f>
        <v>44624000426</v>
      </c>
      <c r="D152" s="161" t="str">
        <f ca="1">IFERROR(__xludf.DUMMYFUNCTION("""COMPUTED_VALUE"""),"1024.HK")</f>
        <v>1024.HK</v>
      </c>
      <c r="E152" s="147">
        <f ca="1">IFERROR(__xludf.DUMMYFUNCTION("""COMPUTED_VALUE"""),44624)</f>
        <v>44624</v>
      </c>
      <c r="F152" s="43" t="str">
        <f ca="1">IFERROR(__xludf.DUMMYFUNCTION("""COMPUTED_VALUE"""),"Stock")</f>
        <v>Stock</v>
      </c>
      <c r="G152" s="43" t="str">
        <f ca="1">IFERROR(__xludf.DUMMYFUNCTION("""COMPUTED_VALUE"""),"HKD")</f>
        <v>HKD</v>
      </c>
      <c r="H152" s="156">
        <f ca="1">IFERROR(__xludf.DUMMYFUNCTION("""COMPUTED_VALUE"""),200)</f>
        <v>200</v>
      </c>
      <c r="I152" s="148">
        <f ca="1">IFERROR(__xludf.DUMMYFUNCTION("""COMPUTED_VALUE"""),1)</f>
        <v>1</v>
      </c>
      <c r="J152" s="149">
        <f ca="1">IFERROR(__xludf.DUMMYFUNCTION("""COMPUTED_VALUE"""),76.65)</f>
        <v>76.650000000000006</v>
      </c>
      <c r="K152" s="43"/>
      <c r="L152" s="149">
        <f ca="1">IFERROR(__xludf.DUMMYFUNCTION("""COMPUTED_VALUE"""),75.45)</f>
        <v>75.45</v>
      </c>
      <c r="M152" s="155" t="str">
        <f ca="1">IFERROR(__xludf.DUMMYFUNCTION("""COMPUTED_VALUE"""),"Equity Key Stats")</f>
        <v>Equity Key Stats</v>
      </c>
      <c r="N152" s="43"/>
      <c r="O152" s="43"/>
      <c r="P152" s="150">
        <f ca="1">IFERROR(__xludf.DUMMYFUNCTION("""COMPUTED_VALUE"""),-15330)</f>
        <v>-15330</v>
      </c>
      <c r="Q152" s="151"/>
      <c r="R152" s="152">
        <f ca="1">IFERROR(__xludf.DUMMYFUNCTION("""COMPUTED_VALUE"""),80.2)</f>
        <v>80.2</v>
      </c>
      <c r="S152" s="157">
        <f ca="1">IFERROR(__xludf.DUMMYFUNCTION("""COMPUTED_VALUE"""),16040)</f>
        <v>16040</v>
      </c>
      <c r="T152" s="108">
        <f ca="1">IFERROR(__xludf.DUMMYFUNCTION("""COMPUTED_VALUE"""),8)</f>
        <v>8</v>
      </c>
      <c r="U152" s="108" t="str">
        <f ca="1">IFERROR(__xludf.DUMMYFUNCTION("""COMPUTED_VALUE"""),"")</f>
        <v/>
      </c>
      <c r="V152" s="153" t="str">
        <f ca="1">IFERROR(__xludf.DUMMYFUNCTION("""COMPUTED_VALUE"""),"")</f>
        <v/>
      </c>
      <c r="W152" s="145" t="str">
        <f ca="1">IFERROR(__xludf.DUMMYFUNCTION("""COMPUTED_VALUE"""),"")</f>
        <v/>
      </c>
      <c r="X152" s="11" t="str">
        <f ca="1">IFERROR(__xludf.DUMMYFUNCTION("""COMPUTED_VALUE"""),"")</f>
        <v/>
      </c>
      <c r="Y152" s="11" t="str">
        <f ca="1">IFERROR(__xludf.DUMMYFUNCTION("""COMPUTED_VALUE"""),"")</f>
        <v/>
      </c>
      <c r="Z152" s="4" t="str">
        <f ca="1">IFERROR(__xludf.DUMMYFUNCTION("""COMPUTED_VALUE"""),"")</f>
        <v/>
      </c>
    </row>
    <row r="153" spans="1:26" ht="13" x14ac:dyDescent="0.15">
      <c r="A153" s="43" t="str">
        <f ca="1">IFERROR(__xludf.DUMMYFUNCTION("""COMPUTED_VALUE"""),"")</f>
        <v/>
      </c>
      <c r="B153" s="43" t="str">
        <f ca="1">IFERROR(__xludf.DUMMYFUNCTION("""COMPUTED_VALUE"""),"38209")</f>
        <v>38209</v>
      </c>
      <c r="C153" s="146">
        <f ca="1">IFERROR(__xludf.DUMMYFUNCTION("""COMPUTED_VALUE"""),44624000427)</f>
        <v>44624000427</v>
      </c>
      <c r="D153" s="161" t="str">
        <f ca="1">IFERROR(__xludf.DUMMYFUNCTION("""COMPUTED_VALUE"""),"1810.HK")</f>
        <v>1810.HK</v>
      </c>
      <c r="E153" s="147">
        <f ca="1">IFERROR(__xludf.DUMMYFUNCTION("""COMPUTED_VALUE"""),44624)</f>
        <v>44624</v>
      </c>
      <c r="F153" s="43" t="str">
        <f ca="1">IFERROR(__xludf.DUMMYFUNCTION("""COMPUTED_VALUE"""),"Stock")</f>
        <v>Stock</v>
      </c>
      <c r="G153" s="43" t="str">
        <f ca="1">IFERROR(__xludf.DUMMYFUNCTION("""COMPUTED_VALUE"""),"HKD")</f>
        <v>HKD</v>
      </c>
      <c r="H153" s="154">
        <f ca="1">IFERROR(__xludf.DUMMYFUNCTION("""COMPUTED_VALUE"""),1000)</f>
        <v>1000</v>
      </c>
      <c r="I153" s="148">
        <f ca="1">IFERROR(__xludf.DUMMYFUNCTION("""COMPUTED_VALUE"""),1)</f>
        <v>1</v>
      </c>
      <c r="J153" s="149">
        <f ca="1">IFERROR(__xludf.DUMMYFUNCTION("""COMPUTED_VALUE"""),13.96)</f>
        <v>13.96</v>
      </c>
      <c r="K153" s="43"/>
      <c r="L153" s="149">
        <f ca="1">IFERROR(__xludf.DUMMYFUNCTION("""COMPUTED_VALUE"""),14.2)</f>
        <v>14.2</v>
      </c>
      <c r="M153" s="155" t="str">
        <f ca="1">IFERROR(__xludf.DUMMYFUNCTION("""COMPUTED_VALUE"""),"Equity Key Stats")</f>
        <v>Equity Key Stats</v>
      </c>
      <c r="N153" s="43"/>
      <c r="O153" s="43"/>
      <c r="P153" s="157">
        <f ca="1">IFERROR(__xludf.DUMMYFUNCTION("""COMPUTED_VALUE"""),-13960)</f>
        <v>-13960</v>
      </c>
      <c r="Q153" s="151"/>
      <c r="R153" s="152">
        <f ca="1">IFERROR(__xludf.DUMMYFUNCTION("""COMPUTED_VALUE"""),14.78)</f>
        <v>14.78</v>
      </c>
      <c r="S153" s="150">
        <f ca="1">IFERROR(__xludf.DUMMYFUNCTION("""COMPUTED_VALUE"""),14780)</f>
        <v>14780</v>
      </c>
      <c r="T153" s="108">
        <f ca="1">IFERROR(__xludf.DUMMYFUNCTION("""COMPUTED_VALUE"""),5)</f>
        <v>5</v>
      </c>
      <c r="U153" s="108" t="str">
        <f ca="1">IFERROR(__xludf.DUMMYFUNCTION("""COMPUTED_VALUE"""),"")</f>
        <v/>
      </c>
      <c r="V153" s="153" t="str">
        <f ca="1">IFERROR(__xludf.DUMMYFUNCTION("""COMPUTED_VALUE"""),"")</f>
        <v/>
      </c>
      <c r="W153" s="145" t="str">
        <f ca="1">IFERROR(__xludf.DUMMYFUNCTION("""COMPUTED_VALUE"""),"")</f>
        <v/>
      </c>
      <c r="X153" s="11" t="str">
        <f ca="1">IFERROR(__xludf.DUMMYFUNCTION("""COMPUTED_VALUE"""),"")</f>
        <v/>
      </c>
      <c r="Y153" s="11" t="str">
        <f ca="1">IFERROR(__xludf.DUMMYFUNCTION("""COMPUTED_VALUE"""),"")</f>
        <v/>
      </c>
      <c r="Z153" s="4" t="str">
        <f ca="1">IFERROR(__xludf.DUMMYFUNCTION("""COMPUTED_VALUE"""),"")</f>
        <v/>
      </c>
    </row>
    <row r="154" spans="1:26" ht="13" x14ac:dyDescent="0.15">
      <c r="A154" s="43" t="str">
        <f ca="1">IFERROR(__xludf.DUMMYFUNCTION("""COMPUTED_VALUE"""),"")</f>
        <v/>
      </c>
      <c r="B154" s="43" t="str">
        <f ca="1">IFERROR(__xludf.DUMMYFUNCTION("""COMPUTED_VALUE"""),"38209")</f>
        <v>38209</v>
      </c>
      <c r="C154" s="146">
        <f ca="1">IFERROR(__xludf.DUMMYFUNCTION("""COMPUTED_VALUE"""),44627000455)</f>
        <v>44627000455</v>
      </c>
      <c r="D154" s="161" t="str">
        <f ca="1">IFERROR(__xludf.DUMMYFUNCTION("""COMPUTED_VALUE"""),"9988.Hk")</f>
        <v>9988.Hk</v>
      </c>
      <c r="E154" s="147">
        <f ca="1">IFERROR(__xludf.DUMMYFUNCTION("""COMPUTED_VALUE"""),44627)</f>
        <v>44627</v>
      </c>
      <c r="F154" s="43" t="str">
        <f ca="1">IFERROR(__xludf.DUMMYFUNCTION("""COMPUTED_VALUE"""),"Stock")</f>
        <v>Stock</v>
      </c>
      <c r="G154" s="43" t="str">
        <f ca="1">IFERROR(__xludf.DUMMYFUNCTION("""COMPUTED_VALUE"""),"HKD")</f>
        <v>HKD</v>
      </c>
      <c r="H154" s="154">
        <f ca="1">IFERROR(__xludf.DUMMYFUNCTION("""COMPUTED_VALUE"""),100)</f>
        <v>100</v>
      </c>
      <c r="I154" s="148">
        <f ca="1">IFERROR(__xludf.DUMMYFUNCTION("""COMPUTED_VALUE"""),1)</f>
        <v>1</v>
      </c>
      <c r="J154" s="149">
        <f ca="1">IFERROR(__xludf.DUMMYFUNCTION("""COMPUTED_VALUE"""),96)</f>
        <v>96</v>
      </c>
      <c r="K154" s="43"/>
      <c r="L154" s="149">
        <f ca="1">IFERROR(__xludf.DUMMYFUNCTION("""COMPUTED_VALUE"""),110.2)</f>
        <v>110.2</v>
      </c>
      <c r="M154" s="155" t="str">
        <f ca="1">IFERROR(__xludf.DUMMYFUNCTION("""COMPUTED_VALUE"""),"Equity Key Stats")</f>
        <v>Equity Key Stats</v>
      </c>
      <c r="N154" s="43"/>
      <c r="O154" s="43"/>
      <c r="P154" s="157">
        <f ca="1">IFERROR(__xludf.DUMMYFUNCTION("""COMPUTED_VALUE"""),-9600)</f>
        <v>-9600</v>
      </c>
      <c r="Q154" s="151"/>
      <c r="R154" s="152">
        <f ca="1">IFERROR(__xludf.DUMMYFUNCTION("""COMPUTED_VALUE"""),117.6)</f>
        <v>117.6</v>
      </c>
      <c r="S154" s="150">
        <f ca="1">IFERROR(__xludf.DUMMYFUNCTION("""COMPUTED_VALUE"""),11760)</f>
        <v>11760</v>
      </c>
      <c r="T154" s="108">
        <f ca="1">IFERROR(__xludf.DUMMYFUNCTION("""COMPUTED_VALUE"""),7)</f>
        <v>7</v>
      </c>
      <c r="U154" s="43" t="str">
        <f ca="1">IFERROR(__xludf.DUMMYFUNCTION("""COMPUTED_VALUE"""),"")</f>
        <v/>
      </c>
      <c r="V154" s="144" t="str">
        <f ca="1">IFERROR(__xludf.DUMMYFUNCTION("""COMPUTED_VALUE"""),"")</f>
        <v/>
      </c>
      <c r="W154" s="145" t="str">
        <f ca="1">IFERROR(__xludf.DUMMYFUNCTION("""COMPUTED_VALUE"""),"")</f>
        <v/>
      </c>
      <c r="X154" s="11" t="str">
        <f ca="1">IFERROR(__xludf.DUMMYFUNCTION("""COMPUTED_VALUE"""),"")</f>
        <v/>
      </c>
      <c r="Y154" s="11" t="str">
        <f ca="1">IFERROR(__xludf.DUMMYFUNCTION("""COMPUTED_VALUE"""),"")</f>
        <v/>
      </c>
      <c r="Z154" s="4" t="str">
        <f ca="1">IFERROR(__xludf.DUMMYFUNCTION("""COMPUTED_VALUE"""),"")</f>
        <v/>
      </c>
    </row>
    <row r="155" spans="1:26" ht="13" x14ac:dyDescent="0.15">
      <c r="A155" s="43" t="str">
        <f ca="1">IFERROR(__xludf.DUMMYFUNCTION("""COMPUTED_VALUE"""),"")</f>
        <v/>
      </c>
      <c r="B155" s="43" t="str">
        <f ca="1">IFERROR(__xludf.DUMMYFUNCTION("""COMPUTED_VALUE"""),"38209")</f>
        <v>38209</v>
      </c>
      <c r="C155" s="146">
        <f ca="1">IFERROR(__xludf.DUMMYFUNCTION("""COMPUTED_VALUE"""),44627000456)</f>
        <v>44627000456</v>
      </c>
      <c r="D155" s="163" t="str">
        <f ca="1">IFERROR(__xludf.DUMMYFUNCTION("""COMPUTED_VALUE"""),"1024.HK")</f>
        <v>1024.HK</v>
      </c>
      <c r="E155" s="147">
        <f ca="1">IFERROR(__xludf.DUMMYFUNCTION("""COMPUTED_VALUE"""),44627)</f>
        <v>44627</v>
      </c>
      <c r="F155" s="43" t="str">
        <f ca="1">IFERROR(__xludf.DUMMYFUNCTION("""COMPUTED_VALUE"""),"Stock")</f>
        <v>Stock</v>
      </c>
      <c r="G155" s="43" t="str">
        <f ca="1">IFERROR(__xludf.DUMMYFUNCTION("""COMPUTED_VALUE"""),"HKD")</f>
        <v>HKD</v>
      </c>
      <c r="H155" s="156">
        <f ca="1">IFERROR(__xludf.DUMMYFUNCTION("""COMPUTED_VALUE"""),0)</f>
        <v>0</v>
      </c>
      <c r="I155" s="148">
        <f ca="1">IFERROR(__xludf.DUMMYFUNCTION("""COMPUTED_VALUE"""),1)</f>
        <v>1</v>
      </c>
      <c r="J155" s="149">
        <f ca="1">IFERROR(__xludf.DUMMYFUNCTION("""COMPUTED_VALUE"""),0)</f>
        <v>0</v>
      </c>
      <c r="K155" s="43"/>
      <c r="L155" s="149">
        <f ca="1">IFERROR(__xludf.DUMMYFUNCTION("""COMPUTED_VALUE"""),75.45)</f>
        <v>75.45</v>
      </c>
      <c r="M155" s="155" t="str">
        <f ca="1">IFERROR(__xludf.DUMMYFUNCTION("""COMPUTED_VALUE"""),"Equity Key Stats")</f>
        <v>Equity Key Stats</v>
      </c>
      <c r="N155" s="43"/>
      <c r="O155" s="43"/>
      <c r="P155" s="150">
        <f ca="1">IFERROR(__xludf.DUMMYFUNCTION("""COMPUTED_VALUE"""),0)</f>
        <v>0</v>
      </c>
      <c r="Q155" s="151"/>
      <c r="R155" s="152">
        <f ca="1">IFERROR(__xludf.DUMMYFUNCTION("""COMPUTED_VALUE"""),80.2)</f>
        <v>80.2</v>
      </c>
      <c r="S155" s="157">
        <f ca="1">IFERROR(__xludf.DUMMYFUNCTION("""COMPUTED_VALUE"""),0)</f>
        <v>0</v>
      </c>
      <c r="T155" s="108">
        <f ca="1">IFERROR(__xludf.DUMMYFUNCTION("""COMPUTED_VALUE"""),8)</f>
        <v>8</v>
      </c>
      <c r="U155" s="108" t="str">
        <f ca="1">IFERROR(__xludf.DUMMYFUNCTION("""COMPUTED_VALUE"""),"")</f>
        <v/>
      </c>
      <c r="V155" s="158" t="str">
        <f ca="1">IFERROR(__xludf.DUMMYFUNCTION("""COMPUTED_VALUE"""),"")</f>
        <v/>
      </c>
      <c r="W155" s="145" t="str">
        <f ca="1">IFERROR(__xludf.DUMMYFUNCTION("""COMPUTED_VALUE"""),"")</f>
        <v/>
      </c>
      <c r="X155" s="11" t="str">
        <f ca="1">IFERROR(__xludf.DUMMYFUNCTION("""COMPUTED_VALUE"""),"")</f>
        <v/>
      </c>
      <c r="Y155" s="11" t="str">
        <f ca="1">IFERROR(__xludf.DUMMYFUNCTION("""COMPUTED_VALUE"""),"")</f>
        <v/>
      </c>
      <c r="Z155" s="4" t="str">
        <f ca="1">IFERROR(__xludf.DUMMYFUNCTION("""COMPUTED_VALUE"""),"")</f>
        <v/>
      </c>
    </row>
    <row r="156" spans="1:26" ht="13" x14ac:dyDescent="0.15">
      <c r="A156" s="43" t="str">
        <f ca="1">IFERROR(__xludf.DUMMYFUNCTION("""COMPUTED_VALUE"""),"")</f>
        <v/>
      </c>
      <c r="B156" s="43" t="str">
        <f ca="1">IFERROR(__xludf.DUMMYFUNCTION("""COMPUTED_VALUE"""),"38209")</f>
        <v>38209</v>
      </c>
      <c r="C156" s="146">
        <f ca="1">IFERROR(__xludf.DUMMYFUNCTION("""COMPUTED_VALUE"""),44627000457)</f>
        <v>44627000457</v>
      </c>
      <c r="D156" s="161" t="str">
        <f ca="1">IFERROR(__xludf.DUMMYFUNCTION("""COMPUTED_VALUE"""),"1810.HK")</f>
        <v>1810.HK</v>
      </c>
      <c r="E156" s="147">
        <f ca="1">IFERROR(__xludf.DUMMYFUNCTION("""COMPUTED_VALUE"""),44627)</f>
        <v>44627</v>
      </c>
      <c r="F156" s="43" t="str">
        <f ca="1">IFERROR(__xludf.DUMMYFUNCTION("""COMPUTED_VALUE"""),"Stock")</f>
        <v>Stock</v>
      </c>
      <c r="G156" s="43" t="str">
        <f ca="1">IFERROR(__xludf.DUMMYFUNCTION("""COMPUTED_VALUE"""),"HKD")</f>
        <v>HKD</v>
      </c>
      <c r="H156" s="156">
        <f ca="1">IFERROR(__xludf.DUMMYFUNCTION("""COMPUTED_VALUE"""),1000)</f>
        <v>1000</v>
      </c>
      <c r="I156" s="148">
        <f ca="1">IFERROR(__xludf.DUMMYFUNCTION("""COMPUTED_VALUE"""),1)</f>
        <v>1</v>
      </c>
      <c r="J156" s="149">
        <f ca="1">IFERROR(__xludf.DUMMYFUNCTION("""COMPUTED_VALUE"""),13.68)</f>
        <v>13.68</v>
      </c>
      <c r="K156" s="43"/>
      <c r="L156" s="149">
        <f ca="1">IFERROR(__xludf.DUMMYFUNCTION("""COMPUTED_VALUE"""),14.2)</f>
        <v>14.2</v>
      </c>
      <c r="M156" s="155" t="str">
        <f ca="1">IFERROR(__xludf.DUMMYFUNCTION("""COMPUTED_VALUE"""),"Equity Key Stats")</f>
        <v>Equity Key Stats</v>
      </c>
      <c r="N156" s="43"/>
      <c r="O156" s="43"/>
      <c r="P156" s="150">
        <f ca="1">IFERROR(__xludf.DUMMYFUNCTION("""COMPUTED_VALUE"""),-13680)</f>
        <v>-13680</v>
      </c>
      <c r="Q156" s="151"/>
      <c r="R156" s="152">
        <f ca="1">IFERROR(__xludf.DUMMYFUNCTION("""COMPUTED_VALUE"""),14.78)</f>
        <v>14.78</v>
      </c>
      <c r="S156" s="157">
        <f ca="1">IFERROR(__xludf.DUMMYFUNCTION("""COMPUTED_VALUE"""),14780)</f>
        <v>14780</v>
      </c>
      <c r="T156" s="108">
        <f ca="1">IFERROR(__xludf.DUMMYFUNCTION("""COMPUTED_VALUE"""),5)</f>
        <v>5</v>
      </c>
      <c r="U156" s="43" t="str">
        <f ca="1">IFERROR(__xludf.DUMMYFUNCTION("""COMPUTED_VALUE"""),"")</f>
        <v/>
      </c>
      <c r="V156" s="144" t="str">
        <f ca="1">IFERROR(__xludf.DUMMYFUNCTION("""COMPUTED_VALUE"""),"")</f>
        <v/>
      </c>
      <c r="W156" s="145" t="str">
        <f ca="1">IFERROR(__xludf.DUMMYFUNCTION("""COMPUTED_VALUE"""),"")</f>
        <v/>
      </c>
      <c r="X156" s="11" t="str">
        <f ca="1">IFERROR(__xludf.DUMMYFUNCTION("""COMPUTED_VALUE"""),"")</f>
        <v/>
      </c>
      <c r="Y156" s="11" t="str">
        <f ca="1">IFERROR(__xludf.DUMMYFUNCTION("""COMPUTED_VALUE"""),"")</f>
        <v/>
      </c>
      <c r="Z156" s="4" t="str">
        <f ca="1">IFERROR(__xludf.DUMMYFUNCTION("""COMPUTED_VALUE"""),"")</f>
        <v/>
      </c>
    </row>
    <row r="157" spans="1:26" ht="13" x14ac:dyDescent="0.15">
      <c r="A157" s="43" t="str">
        <f ca="1">IFERROR(__xludf.DUMMYFUNCTION("""COMPUTED_VALUE"""),"")</f>
        <v/>
      </c>
      <c r="B157" s="43" t="str">
        <f ca="1">IFERROR(__xludf.DUMMYFUNCTION("""COMPUTED_VALUE"""),"38209")</f>
        <v>38209</v>
      </c>
      <c r="C157" s="146">
        <f ca="1">IFERROR(__xludf.DUMMYFUNCTION("""COMPUTED_VALUE"""),44629000493)</f>
        <v>44629000493</v>
      </c>
      <c r="D157" s="163" t="str">
        <f ca="1">IFERROR(__xludf.DUMMYFUNCTION("""COMPUTED_VALUE"""),"6680.HK")</f>
        <v>6680.HK</v>
      </c>
      <c r="E157" s="147">
        <f ca="1">IFERROR(__xludf.DUMMYFUNCTION("""COMPUTED_VALUE"""),44629)</f>
        <v>44629</v>
      </c>
      <c r="F157" s="43" t="str">
        <f ca="1">IFERROR(__xludf.DUMMYFUNCTION("""COMPUTED_VALUE"""),"Stock")</f>
        <v>Stock</v>
      </c>
      <c r="G157" s="43" t="str">
        <f ca="1">IFERROR(__xludf.DUMMYFUNCTION("""COMPUTED_VALUE"""),"HKD")</f>
        <v>HKD</v>
      </c>
      <c r="H157" s="154">
        <f ca="1">IFERROR(__xludf.DUMMYFUNCTION("""COMPUTED_VALUE"""),1000)</f>
        <v>1000</v>
      </c>
      <c r="I157" s="148">
        <f ca="1">IFERROR(__xludf.DUMMYFUNCTION("""COMPUTED_VALUE"""),1)</f>
        <v>1</v>
      </c>
      <c r="J157" s="149">
        <f ca="1">IFERROR(__xludf.DUMMYFUNCTION("""COMPUTED_VALUE"""),26.65)</f>
        <v>26.65</v>
      </c>
      <c r="K157" s="43"/>
      <c r="L157" s="149">
        <f ca="1">IFERROR(__xludf.DUMMYFUNCTION("""COMPUTED_VALUE"""),25.15)</f>
        <v>25.15</v>
      </c>
      <c r="M157" s="155" t="str">
        <f ca="1">IFERROR(__xludf.DUMMYFUNCTION("""COMPUTED_VALUE"""),"Equity Key Stats")</f>
        <v>Equity Key Stats</v>
      </c>
      <c r="N157" s="43"/>
      <c r="O157" s="43"/>
      <c r="P157" s="157">
        <f ca="1">IFERROR(__xludf.DUMMYFUNCTION("""COMPUTED_VALUE"""),-26650)</f>
        <v>-26650</v>
      </c>
      <c r="Q157" s="151"/>
      <c r="R157" s="152">
        <f ca="1">IFERROR(__xludf.DUMMYFUNCTION("""COMPUTED_VALUE"""),25.55)</f>
        <v>25.55</v>
      </c>
      <c r="S157" s="150">
        <f ca="1">IFERROR(__xludf.DUMMYFUNCTION("""COMPUTED_VALUE"""),25550)</f>
        <v>25550</v>
      </c>
      <c r="T157" s="108">
        <f ca="1">IFERROR(__xludf.DUMMYFUNCTION("""COMPUTED_VALUE"""),2)</f>
        <v>2</v>
      </c>
      <c r="U157" s="43" t="str">
        <f ca="1">IFERROR(__xludf.DUMMYFUNCTION("""COMPUTED_VALUE"""),"")</f>
        <v/>
      </c>
      <c r="V157" s="144" t="str">
        <f ca="1">IFERROR(__xludf.DUMMYFUNCTION("""COMPUTED_VALUE"""),"")</f>
        <v/>
      </c>
      <c r="W157" s="145" t="str">
        <f ca="1">IFERROR(__xludf.DUMMYFUNCTION("""COMPUTED_VALUE"""),"")</f>
        <v/>
      </c>
      <c r="X157" s="11" t="str">
        <f ca="1">IFERROR(__xludf.DUMMYFUNCTION("""COMPUTED_VALUE"""),"")</f>
        <v/>
      </c>
      <c r="Y157" s="11" t="str">
        <f ca="1">IFERROR(__xludf.DUMMYFUNCTION("""COMPUTED_VALUE"""),"")</f>
        <v/>
      </c>
      <c r="Z157" s="4" t="str">
        <f ca="1">IFERROR(__xludf.DUMMYFUNCTION("""COMPUTED_VALUE"""),"")</f>
        <v/>
      </c>
    </row>
    <row r="158" spans="1:26" ht="13" x14ac:dyDescent="0.15">
      <c r="A158" s="43" t="str">
        <f ca="1">IFERROR(__xludf.DUMMYFUNCTION("""COMPUTED_VALUE"""),"")</f>
        <v/>
      </c>
      <c r="B158" s="43" t="str">
        <f ca="1">IFERROR(__xludf.DUMMYFUNCTION("""COMPUTED_VALUE"""),"38209")</f>
        <v>38209</v>
      </c>
      <c r="C158" s="146">
        <f ca="1">IFERROR(__xludf.DUMMYFUNCTION("""COMPUTED_VALUE"""),44629000494)</f>
        <v>44629000494</v>
      </c>
      <c r="D158" s="161" t="str">
        <f ca="1">IFERROR(__xludf.DUMMYFUNCTION("""COMPUTED_VALUE"""),"9988.HK")</f>
        <v>9988.HK</v>
      </c>
      <c r="E158" s="147">
        <f ca="1">IFERROR(__xludf.DUMMYFUNCTION("""COMPUTED_VALUE"""),44629)</f>
        <v>44629</v>
      </c>
      <c r="F158" s="43" t="str">
        <f ca="1">IFERROR(__xludf.DUMMYFUNCTION("""COMPUTED_VALUE"""),"Stock")</f>
        <v>Stock</v>
      </c>
      <c r="G158" s="43" t="str">
        <f ca="1">IFERROR(__xludf.DUMMYFUNCTION("""COMPUTED_VALUE"""),"HKD")</f>
        <v>HKD</v>
      </c>
      <c r="H158" s="156">
        <f ca="1">IFERROR(__xludf.DUMMYFUNCTION("""COMPUTED_VALUE"""),300)</f>
        <v>300</v>
      </c>
      <c r="I158" s="148">
        <f ca="1">IFERROR(__xludf.DUMMYFUNCTION("""COMPUTED_VALUE"""),1)</f>
        <v>1</v>
      </c>
      <c r="J158" s="149">
        <f ca="1">IFERROR(__xludf.DUMMYFUNCTION("""COMPUTED_VALUE"""),96.25)</f>
        <v>96.25</v>
      </c>
      <c r="K158" s="43"/>
      <c r="L158" s="149">
        <f ca="1">IFERROR(__xludf.DUMMYFUNCTION("""COMPUTED_VALUE"""),110.2)</f>
        <v>110.2</v>
      </c>
      <c r="M158" s="155" t="str">
        <f ca="1">IFERROR(__xludf.DUMMYFUNCTION("""COMPUTED_VALUE"""),"Equity Key Stats")</f>
        <v>Equity Key Stats</v>
      </c>
      <c r="N158" s="43"/>
      <c r="O158" s="43"/>
      <c r="P158" s="150">
        <f ca="1">IFERROR(__xludf.DUMMYFUNCTION("""COMPUTED_VALUE"""),-28875)</f>
        <v>-28875</v>
      </c>
      <c r="Q158" s="151"/>
      <c r="R158" s="152">
        <f ca="1">IFERROR(__xludf.DUMMYFUNCTION("""COMPUTED_VALUE"""),117.6)</f>
        <v>117.6</v>
      </c>
      <c r="S158" s="157">
        <f ca="1">IFERROR(__xludf.DUMMYFUNCTION("""COMPUTED_VALUE"""),35280)</f>
        <v>35280</v>
      </c>
      <c r="T158" s="108">
        <f ca="1">IFERROR(__xludf.DUMMYFUNCTION("""COMPUTED_VALUE"""),7)</f>
        <v>7</v>
      </c>
      <c r="U158" s="43" t="str">
        <f ca="1">IFERROR(__xludf.DUMMYFUNCTION("""COMPUTED_VALUE"""),"")</f>
        <v/>
      </c>
      <c r="V158" s="144" t="str">
        <f ca="1">IFERROR(__xludf.DUMMYFUNCTION("""COMPUTED_VALUE"""),"")</f>
        <v/>
      </c>
      <c r="W158" s="145" t="str">
        <f ca="1">IFERROR(__xludf.DUMMYFUNCTION("""COMPUTED_VALUE"""),"")</f>
        <v/>
      </c>
      <c r="X158" s="11" t="str">
        <f ca="1">IFERROR(__xludf.DUMMYFUNCTION("""COMPUTED_VALUE"""),"")</f>
        <v/>
      </c>
      <c r="Y158" s="11" t="str">
        <f ca="1">IFERROR(__xludf.DUMMYFUNCTION("""COMPUTED_VALUE"""),"")</f>
        <v/>
      </c>
      <c r="Z158" s="4" t="str">
        <f ca="1">IFERROR(__xludf.DUMMYFUNCTION("""COMPUTED_VALUE"""),"")</f>
        <v/>
      </c>
    </row>
    <row r="159" spans="1:26" ht="13" x14ac:dyDescent="0.15">
      <c r="A159" s="43" t="str">
        <f ca="1">IFERROR(__xludf.DUMMYFUNCTION("""COMPUTED_VALUE"""),"")</f>
        <v/>
      </c>
      <c r="B159" s="43" t="str">
        <f ca="1">IFERROR(__xludf.DUMMYFUNCTION("""COMPUTED_VALUE"""),"38209")</f>
        <v>38209</v>
      </c>
      <c r="C159" s="146">
        <f ca="1">IFERROR(__xludf.DUMMYFUNCTION("""COMPUTED_VALUE"""),44629000495)</f>
        <v>44629000495</v>
      </c>
      <c r="D159" s="163" t="str">
        <f ca="1">IFERROR(__xludf.DUMMYFUNCTION("""COMPUTED_VALUE"""),"1024.HK")</f>
        <v>1024.HK</v>
      </c>
      <c r="E159" s="147">
        <f ca="1">IFERROR(__xludf.DUMMYFUNCTION("""COMPUTED_VALUE"""),44629)</f>
        <v>44629</v>
      </c>
      <c r="F159" s="43" t="str">
        <f ca="1">IFERROR(__xludf.DUMMYFUNCTION("""COMPUTED_VALUE"""),"Stock")</f>
        <v>Stock</v>
      </c>
      <c r="G159" s="43" t="str">
        <f ca="1">IFERROR(__xludf.DUMMYFUNCTION("""COMPUTED_VALUE"""),"HKD")</f>
        <v>HKD</v>
      </c>
      <c r="H159" s="156">
        <f ca="1">IFERROR(__xludf.DUMMYFUNCTION("""COMPUTED_VALUE"""),400)</f>
        <v>400</v>
      </c>
      <c r="I159" s="148">
        <f ca="1">IFERROR(__xludf.DUMMYFUNCTION("""COMPUTED_VALUE"""),1)</f>
        <v>1</v>
      </c>
      <c r="J159" s="149">
        <f ca="1">IFERROR(__xludf.DUMMYFUNCTION("""COMPUTED_VALUE"""),71.95)</f>
        <v>71.95</v>
      </c>
      <c r="K159" s="43"/>
      <c r="L159" s="149">
        <f ca="1">IFERROR(__xludf.DUMMYFUNCTION("""COMPUTED_VALUE"""),75.45)</f>
        <v>75.45</v>
      </c>
      <c r="M159" s="155" t="str">
        <f ca="1">IFERROR(__xludf.DUMMYFUNCTION("""COMPUTED_VALUE"""),"Equity Key Stats")</f>
        <v>Equity Key Stats</v>
      </c>
      <c r="N159" s="43"/>
      <c r="O159" s="43"/>
      <c r="P159" s="150">
        <f ca="1">IFERROR(__xludf.DUMMYFUNCTION("""COMPUTED_VALUE"""),-28780)</f>
        <v>-28780</v>
      </c>
      <c r="Q159" s="151"/>
      <c r="R159" s="152">
        <f ca="1">IFERROR(__xludf.DUMMYFUNCTION("""COMPUTED_VALUE"""),80.2)</f>
        <v>80.2</v>
      </c>
      <c r="S159" s="157">
        <f ca="1">IFERROR(__xludf.DUMMYFUNCTION("""COMPUTED_VALUE"""),32080)</f>
        <v>32080</v>
      </c>
      <c r="T159" s="108">
        <f ca="1">IFERROR(__xludf.DUMMYFUNCTION("""COMPUTED_VALUE"""),8)</f>
        <v>8</v>
      </c>
      <c r="U159" s="108" t="str">
        <f ca="1">IFERROR(__xludf.DUMMYFUNCTION("""COMPUTED_VALUE"""),"")</f>
        <v/>
      </c>
      <c r="V159" s="153" t="str">
        <f ca="1">IFERROR(__xludf.DUMMYFUNCTION("""COMPUTED_VALUE"""),"")</f>
        <v/>
      </c>
      <c r="W159" s="145" t="str">
        <f ca="1">IFERROR(__xludf.DUMMYFUNCTION("""COMPUTED_VALUE"""),"")</f>
        <v/>
      </c>
      <c r="X159" s="11" t="str">
        <f ca="1">IFERROR(__xludf.DUMMYFUNCTION("""COMPUTED_VALUE"""),"")</f>
        <v/>
      </c>
      <c r="Y159" s="11" t="str">
        <f ca="1">IFERROR(__xludf.DUMMYFUNCTION("""COMPUTED_VALUE"""),"")</f>
        <v/>
      </c>
      <c r="Z159" s="4" t="str">
        <f ca="1">IFERROR(__xludf.DUMMYFUNCTION("""COMPUTED_VALUE"""),"")</f>
        <v/>
      </c>
    </row>
    <row r="160" spans="1:26" ht="13" x14ac:dyDescent="0.15">
      <c r="A160" s="43" t="str">
        <f ca="1">IFERROR(__xludf.DUMMYFUNCTION("""COMPUTED_VALUE"""),"")</f>
        <v/>
      </c>
      <c r="B160" s="43" t="str">
        <f ca="1">IFERROR(__xludf.DUMMYFUNCTION("""COMPUTED_VALUE"""),"38209")</f>
        <v>38209</v>
      </c>
      <c r="C160" s="146">
        <f ca="1">IFERROR(__xludf.DUMMYFUNCTION("""COMPUTED_VALUE"""),44629000496)</f>
        <v>44629000496</v>
      </c>
      <c r="D160" s="161" t="str">
        <f ca="1">IFERROR(__xludf.DUMMYFUNCTION("""COMPUTED_VALUE"""),"1810.HK")</f>
        <v>1810.HK</v>
      </c>
      <c r="E160" s="147">
        <f ca="1">IFERROR(__xludf.DUMMYFUNCTION("""COMPUTED_VALUE"""),44629)</f>
        <v>44629</v>
      </c>
      <c r="F160" s="43" t="str">
        <f ca="1">IFERROR(__xludf.DUMMYFUNCTION("""COMPUTED_VALUE"""),"Stock")</f>
        <v>Stock</v>
      </c>
      <c r="G160" s="43" t="str">
        <f ca="1">IFERROR(__xludf.DUMMYFUNCTION("""COMPUTED_VALUE"""),"HKD")</f>
        <v>HKD</v>
      </c>
      <c r="H160" s="154">
        <f ca="1">IFERROR(__xludf.DUMMYFUNCTION("""COMPUTED_VALUE"""),0)</f>
        <v>0</v>
      </c>
      <c r="I160" s="148">
        <f ca="1">IFERROR(__xludf.DUMMYFUNCTION("""COMPUTED_VALUE"""),1)</f>
        <v>1</v>
      </c>
      <c r="J160" s="149">
        <f ca="1">IFERROR(__xludf.DUMMYFUNCTION("""COMPUTED_VALUE"""),0)</f>
        <v>0</v>
      </c>
      <c r="K160" s="43"/>
      <c r="L160" s="149">
        <f ca="1">IFERROR(__xludf.DUMMYFUNCTION("""COMPUTED_VALUE"""),14.2)</f>
        <v>14.2</v>
      </c>
      <c r="M160" s="155" t="str">
        <f ca="1">IFERROR(__xludf.DUMMYFUNCTION("""COMPUTED_VALUE"""),"Equity Key Stats")</f>
        <v>Equity Key Stats</v>
      </c>
      <c r="N160" s="43"/>
      <c r="O160" s="43"/>
      <c r="P160" s="150">
        <f ca="1">IFERROR(__xludf.DUMMYFUNCTION("""COMPUTED_VALUE"""),0)</f>
        <v>0</v>
      </c>
      <c r="Q160" s="151"/>
      <c r="R160" s="152">
        <f ca="1">IFERROR(__xludf.DUMMYFUNCTION("""COMPUTED_VALUE"""),14.78)</f>
        <v>14.78</v>
      </c>
      <c r="S160" s="150">
        <f ca="1">IFERROR(__xludf.DUMMYFUNCTION("""COMPUTED_VALUE"""),0)</f>
        <v>0</v>
      </c>
      <c r="T160" s="108">
        <f ca="1">IFERROR(__xludf.DUMMYFUNCTION("""COMPUTED_VALUE"""),5)</f>
        <v>5</v>
      </c>
      <c r="U160" s="108" t="str">
        <f ca="1">IFERROR(__xludf.DUMMYFUNCTION("""COMPUTED_VALUE"""),"")</f>
        <v/>
      </c>
      <c r="V160" s="158" t="str">
        <f ca="1">IFERROR(__xludf.DUMMYFUNCTION("""COMPUTED_VALUE"""),"")</f>
        <v/>
      </c>
      <c r="W160" s="44" t="str">
        <f ca="1">IFERROR(__xludf.DUMMYFUNCTION("""COMPUTED_VALUE"""),"")</f>
        <v/>
      </c>
      <c r="X160" s="156" t="str">
        <f ca="1">IFERROR(__xludf.DUMMYFUNCTION("""COMPUTED_VALUE"""),"")</f>
        <v/>
      </c>
      <c r="Y160" s="154" t="str">
        <f ca="1">IFERROR(__xludf.DUMMYFUNCTION("""COMPUTED_VALUE"""),"")</f>
        <v/>
      </c>
      <c r="Z160" s="159" t="str">
        <f ca="1">IFERROR(__xludf.DUMMYFUNCTION("""COMPUTED_VALUE"""),"")</f>
        <v/>
      </c>
    </row>
    <row r="161" spans="1:26" ht="13" x14ac:dyDescent="0.15">
      <c r="A161" s="43" t="str">
        <f ca="1">IFERROR(__xludf.DUMMYFUNCTION("""COMPUTED_VALUE"""),"")</f>
        <v/>
      </c>
      <c r="B161" s="43" t="str">
        <f ca="1">IFERROR(__xludf.DUMMYFUNCTION("""COMPUTED_VALUE"""),"38209")</f>
        <v>38209</v>
      </c>
      <c r="C161" s="146">
        <f ca="1">IFERROR(__xludf.DUMMYFUNCTION("""COMPUTED_VALUE"""),44630000504)</f>
        <v>44630000504</v>
      </c>
      <c r="D161" s="161" t="str">
        <f ca="1">IFERROR(__xludf.DUMMYFUNCTION("""COMPUTED_VALUE"""),"1024.HK")</f>
        <v>1024.HK</v>
      </c>
      <c r="E161" s="147">
        <f ca="1">IFERROR(__xludf.DUMMYFUNCTION("""COMPUTED_VALUE"""),44630)</f>
        <v>44630</v>
      </c>
      <c r="F161" s="43" t="str">
        <f ca="1">IFERROR(__xludf.DUMMYFUNCTION("""COMPUTED_VALUE"""),"Stock")</f>
        <v>Stock</v>
      </c>
      <c r="G161" s="43" t="str">
        <f ca="1">IFERROR(__xludf.DUMMYFUNCTION("""COMPUTED_VALUE"""),"HKD")</f>
        <v>HKD</v>
      </c>
      <c r="H161" s="11">
        <f ca="1">IFERROR(__xludf.DUMMYFUNCTION("""COMPUTED_VALUE"""),800)</f>
        <v>800</v>
      </c>
      <c r="I161" s="148">
        <f ca="1">IFERROR(__xludf.DUMMYFUNCTION("""COMPUTED_VALUE"""),1)</f>
        <v>1</v>
      </c>
      <c r="J161" s="149">
        <f ca="1">IFERROR(__xludf.DUMMYFUNCTION("""COMPUTED_VALUE"""),73.9)</f>
        <v>73.900000000000006</v>
      </c>
      <c r="K161" s="43"/>
      <c r="L161" s="149">
        <f ca="1">IFERROR(__xludf.DUMMYFUNCTION("""COMPUTED_VALUE"""),75.45)</f>
        <v>75.45</v>
      </c>
      <c r="M161" s="160" t="str">
        <f ca="1">IFERROR(__xludf.DUMMYFUNCTION("""COMPUTED_VALUE"""),"Equity Key Stats")</f>
        <v>Equity Key Stats</v>
      </c>
      <c r="N161" s="43"/>
      <c r="O161" s="43"/>
      <c r="P161" s="150">
        <f ca="1">IFERROR(__xludf.DUMMYFUNCTION("""COMPUTED_VALUE"""),-59120)</f>
        <v>-59120</v>
      </c>
      <c r="Q161" s="151"/>
      <c r="R161" s="152">
        <f ca="1">IFERROR(__xludf.DUMMYFUNCTION("""COMPUTED_VALUE"""),80.2)</f>
        <v>80.2</v>
      </c>
      <c r="S161" s="127">
        <f ca="1">IFERROR(__xludf.DUMMYFUNCTION("""COMPUTED_VALUE"""),64160)</f>
        <v>64160</v>
      </c>
      <c r="T161" s="108">
        <f ca="1">IFERROR(__xludf.DUMMYFUNCTION("""COMPUTED_VALUE"""),8)</f>
        <v>8</v>
      </c>
      <c r="U161" s="108" t="str">
        <f ca="1">IFERROR(__xludf.DUMMYFUNCTION("""COMPUTED_VALUE"""),"")</f>
        <v/>
      </c>
      <c r="V161" s="153" t="str">
        <f ca="1">IFERROR(__xludf.DUMMYFUNCTION("""COMPUTED_VALUE"""),"")</f>
        <v/>
      </c>
      <c r="W161" s="145" t="str">
        <f ca="1">IFERROR(__xludf.DUMMYFUNCTION("""COMPUTED_VALUE"""),"")</f>
        <v/>
      </c>
      <c r="X161" s="11" t="str">
        <f ca="1">IFERROR(__xludf.DUMMYFUNCTION("""COMPUTED_VALUE"""),"")</f>
        <v/>
      </c>
      <c r="Y161" s="11" t="str">
        <f ca="1">IFERROR(__xludf.DUMMYFUNCTION("""COMPUTED_VALUE"""),"")</f>
        <v/>
      </c>
      <c r="Z161" s="4" t="str">
        <f ca="1">IFERROR(__xludf.DUMMYFUNCTION("""COMPUTED_VALUE"""),"")</f>
        <v/>
      </c>
    </row>
    <row r="162" spans="1:26" ht="13" x14ac:dyDescent="0.15">
      <c r="A162" s="43" t="str">
        <f ca="1">IFERROR(__xludf.DUMMYFUNCTION("""COMPUTED_VALUE"""),"")</f>
        <v/>
      </c>
      <c r="B162" s="43" t="str">
        <f ca="1">IFERROR(__xludf.DUMMYFUNCTION("""COMPUTED_VALUE"""),"38209")</f>
        <v>38209</v>
      </c>
      <c r="C162" s="146">
        <f ca="1">IFERROR(__xludf.DUMMYFUNCTION("""COMPUTED_VALUE"""),44630000505)</f>
        <v>44630000505</v>
      </c>
      <c r="D162" s="161" t="str">
        <f ca="1">IFERROR(__xludf.DUMMYFUNCTION("""COMPUTED_VALUE"""),"1024.HK")</f>
        <v>1024.HK</v>
      </c>
      <c r="E162" s="147">
        <f ca="1">IFERROR(__xludf.DUMMYFUNCTION("""COMPUTED_VALUE"""),44630)</f>
        <v>44630</v>
      </c>
      <c r="F162" s="43" t="str">
        <f ca="1">IFERROR(__xludf.DUMMYFUNCTION("""COMPUTED_VALUE"""),"Stock")</f>
        <v>Stock</v>
      </c>
      <c r="G162" s="43" t="str">
        <f ca="1">IFERROR(__xludf.DUMMYFUNCTION("""COMPUTED_VALUE"""),"HKD")</f>
        <v>HKD</v>
      </c>
      <c r="H162" s="154">
        <f ca="1">IFERROR(__xludf.DUMMYFUNCTION("""COMPUTED_VALUE"""),0)</f>
        <v>0</v>
      </c>
      <c r="I162" s="148">
        <f ca="1">IFERROR(__xludf.DUMMYFUNCTION("""COMPUTED_VALUE"""),1)</f>
        <v>1</v>
      </c>
      <c r="J162" s="149">
        <f ca="1">IFERROR(__xludf.DUMMYFUNCTION("""COMPUTED_VALUE"""),0)</f>
        <v>0</v>
      </c>
      <c r="K162" s="43"/>
      <c r="L162" s="149">
        <f ca="1">IFERROR(__xludf.DUMMYFUNCTION("""COMPUTED_VALUE"""),75.45)</f>
        <v>75.45</v>
      </c>
      <c r="M162" s="155" t="str">
        <f ca="1">IFERROR(__xludf.DUMMYFUNCTION("""COMPUTED_VALUE"""),"Equity Key Stats")</f>
        <v>Equity Key Stats</v>
      </c>
      <c r="N162" s="43"/>
      <c r="O162" s="43"/>
      <c r="P162" s="157">
        <f ca="1">IFERROR(__xludf.DUMMYFUNCTION("""COMPUTED_VALUE"""),0)</f>
        <v>0</v>
      </c>
      <c r="Q162" s="151"/>
      <c r="R162" s="152">
        <f ca="1">IFERROR(__xludf.DUMMYFUNCTION("""COMPUTED_VALUE"""),80.2)</f>
        <v>80.2</v>
      </c>
      <c r="S162" s="150">
        <f ca="1">IFERROR(__xludf.DUMMYFUNCTION("""COMPUTED_VALUE"""),0)</f>
        <v>0</v>
      </c>
      <c r="T162" s="108">
        <f ca="1">IFERROR(__xludf.DUMMYFUNCTION("""COMPUTED_VALUE"""),8)</f>
        <v>8</v>
      </c>
      <c r="U162" s="108" t="str">
        <f ca="1">IFERROR(__xludf.DUMMYFUNCTION("""COMPUTED_VALUE"""),"")</f>
        <v/>
      </c>
      <c r="V162" s="153" t="str">
        <f ca="1">IFERROR(__xludf.DUMMYFUNCTION("""COMPUTED_VALUE"""),"")</f>
        <v/>
      </c>
      <c r="W162" s="145" t="str">
        <f ca="1">IFERROR(__xludf.DUMMYFUNCTION("""COMPUTED_VALUE"""),"")</f>
        <v/>
      </c>
      <c r="X162" s="11" t="str">
        <f ca="1">IFERROR(__xludf.DUMMYFUNCTION("""COMPUTED_VALUE"""),"")</f>
        <v/>
      </c>
      <c r="Y162" s="11" t="str">
        <f ca="1">IFERROR(__xludf.DUMMYFUNCTION("""COMPUTED_VALUE"""),"")</f>
        <v/>
      </c>
      <c r="Z162" s="4" t="str">
        <f ca="1">IFERROR(__xludf.DUMMYFUNCTION("""COMPUTED_VALUE"""),"")</f>
        <v/>
      </c>
    </row>
    <row r="163" spans="1:26" ht="13" x14ac:dyDescent="0.15">
      <c r="A163" s="43" t="str">
        <f ca="1">IFERROR(__xludf.DUMMYFUNCTION("""COMPUTED_VALUE"""),"")</f>
        <v/>
      </c>
      <c r="B163" s="43" t="str">
        <f ca="1">IFERROR(__xludf.DUMMYFUNCTION("""COMPUTED_VALUE"""),"38209")</f>
        <v>38209</v>
      </c>
      <c r="C163" s="146">
        <f ca="1">IFERROR(__xludf.DUMMYFUNCTION("""COMPUTED_VALUE"""),44630000506)</f>
        <v>44630000506</v>
      </c>
      <c r="D163" s="163" t="str">
        <f ca="1">IFERROR(__xludf.DUMMYFUNCTION("""COMPUTED_VALUE"""),"1024.HK")</f>
        <v>1024.HK</v>
      </c>
      <c r="E163" s="147">
        <f ca="1">IFERROR(__xludf.DUMMYFUNCTION("""COMPUTED_VALUE"""),44630)</f>
        <v>44630</v>
      </c>
      <c r="F163" s="43" t="str">
        <f ca="1">IFERROR(__xludf.DUMMYFUNCTION("""COMPUTED_VALUE"""),"Stock")</f>
        <v>Stock</v>
      </c>
      <c r="G163" s="43" t="str">
        <f ca="1">IFERROR(__xludf.DUMMYFUNCTION("""COMPUTED_VALUE"""),"HKD")</f>
        <v>HKD</v>
      </c>
      <c r="H163" s="154">
        <f ca="1">IFERROR(__xludf.DUMMYFUNCTION("""COMPUTED_VALUE"""),0)</f>
        <v>0</v>
      </c>
      <c r="I163" s="148">
        <f ca="1">IFERROR(__xludf.DUMMYFUNCTION("""COMPUTED_VALUE"""),1)</f>
        <v>1</v>
      </c>
      <c r="J163" s="149">
        <f ca="1">IFERROR(__xludf.DUMMYFUNCTION("""COMPUTED_VALUE"""),0)</f>
        <v>0</v>
      </c>
      <c r="K163" s="43"/>
      <c r="L163" s="149">
        <f ca="1">IFERROR(__xludf.DUMMYFUNCTION("""COMPUTED_VALUE"""),75.45)</f>
        <v>75.45</v>
      </c>
      <c r="M163" s="155" t="str">
        <f ca="1">IFERROR(__xludf.DUMMYFUNCTION("""COMPUTED_VALUE"""),"Equity Key Stats")</f>
        <v>Equity Key Stats</v>
      </c>
      <c r="N163" s="43"/>
      <c r="O163" s="43"/>
      <c r="P163" s="157">
        <f ca="1">IFERROR(__xludf.DUMMYFUNCTION("""COMPUTED_VALUE"""),0)</f>
        <v>0</v>
      </c>
      <c r="Q163" s="151"/>
      <c r="R163" s="152">
        <f ca="1">IFERROR(__xludf.DUMMYFUNCTION("""COMPUTED_VALUE"""),80.2)</f>
        <v>80.2</v>
      </c>
      <c r="S163" s="150">
        <f ca="1">IFERROR(__xludf.DUMMYFUNCTION("""COMPUTED_VALUE"""),0)</f>
        <v>0</v>
      </c>
      <c r="T163" s="108">
        <f ca="1">IFERROR(__xludf.DUMMYFUNCTION("""COMPUTED_VALUE"""),8)</f>
        <v>8</v>
      </c>
      <c r="U163" s="108" t="str">
        <f ca="1">IFERROR(__xludf.DUMMYFUNCTION("""COMPUTED_VALUE"""),"")</f>
        <v/>
      </c>
      <c r="V163" s="158" t="str">
        <f ca="1">IFERROR(__xludf.DUMMYFUNCTION("""COMPUTED_VALUE"""),"")</f>
        <v/>
      </c>
      <c r="W163" s="145" t="str">
        <f ca="1">IFERROR(__xludf.DUMMYFUNCTION("""COMPUTED_VALUE"""),"")</f>
        <v/>
      </c>
      <c r="X163" s="11" t="str">
        <f ca="1">IFERROR(__xludf.DUMMYFUNCTION("""COMPUTED_VALUE"""),"")</f>
        <v/>
      </c>
      <c r="Y163" s="11" t="str">
        <f ca="1">IFERROR(__xludf.DUMMYFUNCTION("""COMPUTED_VALUE"""),"")</f>
        <v/>
      </c>
      <c r="Z163" s="4" t="str">
        <f ca="1">IFERROR(__xludf.DUMMYFUNCTION("""COMPUTED_VALUE"""),"")</f>
        <v/>
      </c>
    </row>
    <row r="164" spans="1:26" ht="13" x14ac:dyDescent="0.15">
      <c r="A164" s="43" t="str">
        <f ca="1">IFERROR(__xludf.DUMMYFUNCTION("""COMPUTED_VALUE"""),"")</f>
        <v/>
      </c>
      <c r="B164" s="43" t="str">
        <f ca="1">IFERROR(__xludf.DUMMYFUNCTION("""COMPUTED_VALUE"""),"38209")</f>
        <v>38209</v>
      </c>
      <c r="C164" s="146">
        <f ca="1">IFERROR(__xludf.DUMMYFUNCTION("""COMPUTED_VALUE"""),44630000507)</f>
        <v>44630000507</v>
      </c>
      <c r="D164" s="161" t="str">
        <f ca="1">IFERROR(__xludf.DUMMYFUNCTION("""COMPUTED_VALUE"""),"1024.HK")</f>
        <v>1024.HK</v>
      </c>
      <c r="E164" s="147">
        <f ca="1">IFERROR(__xludf.DUMMYFUNCTION("""COMPUTED_VALUE"""),44630)</f>
        <v>44630</v>
      </c>
      <c r="F164" s="43" t="str">
        <f ca="1">IFERROR(__xludf.DUMMYFUNCTION("""COMPUTED_VALUE"""),"Stock")</f>
        <v>Stock</v>
      </c>
      <c r="G164" s="43" t="str">
        <f ca="1">IFERROR(__xludf.DUMMYFUNCTION("""COMPUTED_VALUE"""),"HKD")</f>
        <v>HKD</v>
      </c>
      <c r="H164" s="154">
        <f ca="1">IFERROR(__xludf.DUMMYFUNCTION("""COMPUTED_VALUE"""),0)</f>
        <v>0</v>
      </c>
      <c r="I164" s="148">
        <f ca="1">IFERROR(__xludf.DUMMYFUNCTION("""COMPUTED_VALUE"""),1)</f>
        <v>1</v>
      </c>
      <c r="J164" s="149">
        <f ca="1">IFERROR(__xludf.DUMMYFUNCTION("""COMPUTED_VALUE"""),0)</f>
        <v>0</v>
      </c>
      <c r="K164" s="43"/>
      <c r="L164" s="149">
        <f ca="1">IFERROR(__xludf.DUMMYFUNCTION("""COMPUTED_VALUE"""),75.45)</f>
        <v>75.45</v>
      </c>
      <c r="M164" s="155" t="str">
        <f ca="1">IFERROR(__xludf.DUMMYFUNCTION("""COMPUTED_VALUE"""),"Equity Key Stats")</f>
        <v>Equity Key Stats</v>
      </c>
      <c r="N164" s="43"/>
      <c r="O164" s="43"/>
      <c r="P164" s="157">
        <f ca="1">IFERROR(__xludf.DUMMYFUNCTION("""COMPUTED_VALUE"""),0)</f>
        <v>0</v>
      </c>
      <c r="Q164" s="151"/>
      <c r="R164" s="152">
        <f ca="1">IFERROR(__xludf.DUMMYFUNCTION("""COMPUTED_VALUE"""),80.2)</f>
        <v>80.2</v>
      </c>
      <c r="S164" s="150">
        <f ca="1">IFERROR(__xludf.DUMMYFUNCTION("""COMPUTED_VALUE"""),0)</f>
        <v>0</v>
      </c>
      <c r="T164" s="108">
        <f ca="1">IFERROR(__xludf.DUMMYFUNCTION("""COMPUTED_VALUE"""),8)</f>
        <v>8</v>
      </c>
      <c r="U164" s="108" t="str">
        <f ca="1">IFERROR(__xludf.DUMMYFUNCTION("""COMPUTED_VALUE"""),"")</f>
        <v/>
      </c>
      <c r="V164" s="158" t="str">
        <f ca="1">IFERROR(__xludf.DUMMYFUNCTION("""COMPUTED_VALUE"""),"")</f>
        <v/>
      </c>
      <c r="W164" s="145" t="str">
        <f ca="1">IFERROR(__xludf.DUMMYFUNCTION("""COMPUTED_VALUE"""),"")</f>
        <v/>
      </c>
      <c r="X164" s="11" t="str">
        <f ca="1">IFERROR(__xludf.DUMMYFUNCTION("""COMPUTED_VALUE"""),"")</f>
        <v/>
      </c>
      <c r="Y164" s="11" t="str">
        <f ca="1">IFERROR(__xludf.DUMMYFUNCTION("""COMPUTED_VALUE"""),"")</f>
        <v/>
      </c>
      <c r="Z164" s="4" t="str">
        <f ca="1">IFERROR(__xludf.DUMMYFUNCTION("""COMPUTED_VALUE"""),"")</f>
        <v/>
      </c>
    </row>
    <row r="165" spans="1:26" ht="13" x14ac:dyDescent="0.15">
      <c r="A165" s="43" t="str">
        <f ca="1">IFERROR(__xludf.DUMMYFUNCTION("""COMPUTED_VALUE"""),"")</f>
        <v/>
      </c>
      <c r="B165" s="43" t="str">
        <f ca="1">IFERROR(__xludf.DUMMYFUNCTION("""COMPUTED_VALUE"""),"38209")</f>
        <v>38209</v>
      </c>
      <c r="C165" s="146">
        <f ca="1">IFERROR(__xludf.DUMMYFUNCTION("""COMPUTED_VALUE"""),44630000508)</f>
        <v>44630000508</v>
      </c>
      <c r="D165" s="161" t="str">
        <f ca="1">IFERROR(__xludf.DUMMYFUNCTION("""COMPUTED_VALUE"""),"9988.HK")</f>
        <v>9988.HK</v>
      </c>
      <c r="E165" s="147">
        <f ca="1">IFERROR(__xludf.DUMMYFUNCTION("""COMPUTED_VALUE"""),44630)</f>
        <v>44630</v>
      </c>
      <c r="F165" s="43" t="str">
        <f ca="1">IFERROR(__xludf.DUMMYFUNCTION("""COMPUTED_VALUE"""),"Stock")</f>
        <v>Stock</v>
      </c>
      <c r="G165" s="43" t="str">
        <f ca="1">IFERROR(__xludf.DUMMYFUNCTION("""COMPUTED_VALUE"""),"HKD")</f>
        <v>HKD</v>
      </c>
      <c r="H165" s="154">
        <f ca="1">IFERROR(__xludf.DUMMYFUNCTION("""COMPUTED_VALUE"""),0)</f>
        <v>0</v>
      </c>
      <c r="I165" s="148">
        <f ca="1">IFERROR(__xludf.DUMMYFUNCTION("""COMPUTED_VALUE"""),1)</f>
        <v>1</v>
      </c>
      <c r="J165" s="149">
        <f ca="1">IFERROR(__xludf.DUMMYFUNCTION("""COMPUTED_VALUE"""),0)</f>
        <v>0</v>
      </c>
      <c r="K165" s="43"/>
      <c r="L165" s="149">
        <f ca="1">IFERROR(__xludf.DUMMYFUNCTION("""COMPUTED_VALUE"""),110.2)</f>
        <v>110.2</v>
      </c>
      <c r="M165" s="155" t="str">
        <f ca="1">IFERROR(__xludf.DUMMYFUNCTION("""COMPUTED_VALUE"""),"Equity Key Stats")</f>
        <v>Equity Key Stats</v>
      </c>
      <c r="N165" s="43"/>
      <c r="O165" s="43"/>
      <c r="P165" s="157">
        <f ca="1">IFERROR(__xludf.DUMMYFUNCTION("""COMPUTED_VALUE"""),0)</f>
        <v>0</v>
      </c>
      <c r="Q165" s="151"/>
      <c r="R165" s="152">
        <f ca="1">IFERROR(__xludf.DUMMYFUNCTION("""COMPUTED_VALUE"""),117.6)</f>
        <v>117.6</v>
      </c>
      <c r="S165" s="150">
        <f ca="1">IFERROR(__xludf.DUMMYFUNCTION("""COMPUTED_VALUE"""),0)</f>
        <v>0</v>
      </c>
      <c r="T165" s="108">
        <f ca="1">IFERROR(__xludf.DUMMYFUNCTION("""COMPUTED_VALUE"""),7)</f>
        <v>7</v>
      </c>
      <c r="U165" s="108" t="str">
        <f ca="1">IFERROR(__xludf.DUMMYFUNCTION("""COMPUTED_VALUE"""),"")</f>
        <v/>
      </c>
      <c r="V165" s="158" t="str">
        <f ca="1">IFERROR(__xludf.DUMMYFUNCTION("""COMPUTED_VALUE"""),"")</f>
        <v/>
      </c>
      <c r="W165" s="145" t="str">
        <f ca="1">IFERROR(__xludf.DUMMYFUNCTION("""COMPUTED_VALUE"""),"")</f>
        <v/>
      </c>
      <c r="X165" s="11" t="str">
        <f ca="1">IFERROR(__xludf.DUMMYFUNCTION("""COMPUTED_VALUE"""),"")</f>
        <v/>
      </c>
      <c r="Y165" s="11" t="str">
        <f ca="1">IFERROR(__xludf.DUMMYFUNCTION("""COMPUTED_VALUE"""),"")</f>
        <v/>
      </c>
      <c r="Z165" s="4" t="str">
        <f ca="1">IFERROR(__xludf.DUMMYFUNCTION("""COMPUTED_VALUE"""),"")</f>
        <v/>
      </c>
    </row>
    <row r="166" spans="1:26" ht="13" x14ac:dyDescent="0.15">
      <c r="A166" s="43" t="str">
        <f ca="1">IFERROR(__xludf.DUMMYFUNCTION("""COMPUTED_VALUE"""),"")</f>
        <v/>
      </c>
      <c r="B166" s="43" t="str">
        <f ca="1">IFERROR(__xludf.DUMMYFUNCTION("""COMPUTED_VALUE"""),"38209")</f>
        <v>38209</v>
      </c>
      <c r="C166" s="146">
        <f ca="1">IFERROR(__xludf.DUMMYFUNCTION("""COMPUTED_VALUE"""),44630000509)</f>
        <v>44630000509</v>
      </c>
      <c r="D166" s="161" t="str">
        <f ca="1">IFERROR(__xludf.DUMMYFUNCTION("""COMPUTED_VALUE"""),"6680.HK")</f>
        <v>6680.HK</v>
      </c>
      <c r="E166" s="147">
        <f ca="1">IFERROR(__xludf.DUMMYFUNCTION("""COMPUTED_VALUE"""),44630)</f>
        <v>44630</v>
      </c>
      <c r="F166" s="43" t="str">
        <f ca="1">IFERROR(__xludf.DUMMYFUNCTION("""COMPUTED_VALUE"""),"Stock")</f>
        <v>Stock</v>
      </c>
      <c r="G166" s="43" t="str">
        <f ca="1">IFERROR(__xludf.DUMMYFUNCTION("""COMPUTED_VALUE"""),"HKD")</f>
        <v>HKD</v>
      </c>
      <c r="H166" s="154">
        <f ca="1">IFERROR(__xludf.DUMMYFUNCTION("""COMPUTED_VALUE"""),0)</f>
        <v>0</v>
      </c>
      <c r="I166" s="148">
        <f ca="1">IFERROR(__xludf.DUMMYFUNCTION("""COMPUTED_VALUE"""),1)</f>
        <v>1</v>
      </c>
      <c r="J166" s="149">
        <f ca="1">IFERROR(__xludf.DUMMYFUNCTION("""COMPUTED_VALUE"""),0)</f>
        <v>0</v>
      </c>
      <c r="K166" s="43"/>
      <c r="L166" s="149">
        <f ca="1">IFERROR(__xludf.DUMMYFUNCTION("""COMPUTED_VALUE"""),25.15)</f>
        <v>25.15</v>
      </c>
      <c r="M166" s="155" t="str">
        <f ca="1">IFERROR(__xludf.DUMMYFUNCTION("""COMPUTED_VALUE"""),"Equity Key Stats")</f>
        <v>Equity Key Stats</v>
      </c>
      <c r="N166" s="43"/>
      <c r="O166" s="43"/>
      <c r="P166" s="157">
        <f ca="1">IFERROR(__xludf.DUMMYFUNCTION("""COMPUTED_VALUE"""),0)</f>
        <v>0</v>
      </c>
      <c r="Q166" s="151"/>
      <c r="R166" s="152">
        <f ca="1">IFERROR(__xludf.DUMMYFUNCTION("""COMPUTED_VALUE"""),25.55)</f>
        <v>25.55</v>
      </c>
      <c r="S166" s="150">
        <f ca="1">IFERROR(__xludf.DUMMYFUNCTION("""COMPUTED_VALUE"""),0)</f>
        <v>0</v>
      </c>
      <c r="T166" s="108">
        <f ca="1">IFERROR(__xludf.DUMMYFUNCTION("""COMPUTED_VALUE"""),2)</f>
        <v>2</v>
      </c>
      <c r="U166" s="108">
        <f ca="1">IFERROR(__xludf.DUMMYFUNCTION("""COMPUTED_VALUE"""),1)</f>
        <v>1</v>
      </c>
      <c r="V166" s="153">
        <f ca="1">IFERROR(__xludf.DUMMYFUNCTION("""COMPUTED_VALUE"""),-1100)</f>
        <v>-1100</v>
      </c>
      <c r="W166" s="44" t="str">
        <f ca="1">IFERROR(__xludf.DUMMYFUNCTION("""COMPUTED_VALUE"""),"")</f>
        <v/>
      </c>
      <c r="X166" s="154" t="str">
        <f ca="1">IFERROR(__xludf.DUMMYFUNCTION("""COMPUTED_VALUE"""),"")</f>
        <v/>
      </c>
      <c r="Y166" s="154" t="str">
        <f ca="1">IFERROR(__xludf.DUMMYFUNCTION("""COMPUTED_VALUE"""),"")</f>
        <v/>
      </c>
      <c r="Z166" s="162" t="str">
        <f ca="1">IFERROR(__xludf.DUMMYFUNCTION("""COMPUTED_VALUE"""),"")</f>
        <v/>
      </c>
    </row>
    <row r="167" spans="1:26" ht="13" x14ac:dyDescent="0.15">
      <c r="A167" s="43" t="str">
        <f ca="1">IFERROR(__xludf.DUMMYFUNCTION("""COMPUTED_VALUE"""),"")</f>
        <v/>
      </c>
      <c r="B167" s="43" t="str">
        <f ca="1">IFERROR(__xludf.DUMMYFUNCTION("""COMPUTED_VALUE"""),"38209")</f>
        <v>38209</v>
      </c>
      <c r="C167" s="146">
        <f ca="1">IFERROR(__xludf.DUMMYFUNCTION("""COMPUTED_VALUE"""),44634000542)</f>
        <v>44634000542</v>
      </c>
      <c r="D167" s="161" t="str">
        <f ca="1">IFERROR(__xludf.DUMMYFUNCTION("""COMPUTED_VALUE"""),"1024.HK")</f>
        <v>1024.HK</v>
      </c>
      <c r="E167" s="147">
        <f ca="1">IFERROR(__xludf.DUMMYFUNCTION("""COMPUTED_VALUE"""),44634)</f>
        <v>44634</v>
      </c>
      <c r="F167" s="43" t="str">
        <f ca="1">IFERROR(__xludf.DUMMYFUNCTION("""COMPUTED_VALUE"""),"Stock")</f>
        <v>Stock</v>
      </c>
      <c r="G167" s="43" t="str">
        <f ca="1">IFERROR(__xludf.DUMMYFUNCTION("""COMPUTED_VALUE"""),"HKD")</f>
        <v>HKD</v>
      </c>
      <c r="H167" s="11">
        <f ca="1">IFERROR(__xludf.DUMMYFUNCTION("""COMPUTED_VALUE"""),-1600)</f>
        <v>-1600</v>
      </c>
      <c r="I167" s="148">
        <f ca="1">IFERROR(__xludf.DUMMYFUNCTION("""COMPUTED_VALUE"""),1)</f>
        <v>1</v>
      </c>
      <c r="J167" s="149">
        <f ca="1">IFERROR(__xludf.DUMMYFUNCTION("""COMPUTED_VALUE"""),60.2)</f>
        <v>60.2</v>
      </c>
      <c r="K167" s="43"/>
      <c r="L167" s="149">
        <f ca="1">IFERROR(__xludf.DUMMYFUNCTION("""COMPUTED_VALUE"""),75.45)</f>
        <v>75.45</v>
      </c>
      <c r="M167" s="160" t="str">
        <f ca="1">IFERROR(__xludf.DUMMYFUNCTION("""COMPUTED_VALUE"""),"Equity Key Stats")</f>
        <v>Equity Key Stats</v>
      </c>
      <c r="N167" s="43"/>
      <c r="O167" s="43"/>
      <c r="P167" s="150">
        <f ca="1">IFERROR(__xludf.DUMMYFUNCTION("""COMPUTED_VALUE"""),96320)</f>
        <v>96320</v>
      </c>
      <c r="Q167" s="151"/>
      <c r="R167" s="152">
        <f ca="1">IFERROR(__xludf.DUMMYFUNCTION("""COMPUTED_VALUE"""),80.2)</f>
        <v>80.2</v>
      </c>
      <c r="S167" s="127">
        <f ca="1">IFERROR(__xludf.DUMMYFUNCTION("""COMPUTED_VALUE"""),-128320)</f>
        <v>-128320</v>
      </c>
      <c r="T167" s="108">
        <f ca="1">IFERROR(__xludf.DUMMYFUNCTION("""COMPUTED_VALUE"""),8)</f>
        <v>8</v>
      </c>
      <c r="U167" s="108">
        <f ca="1">IFERROR(__xludf.DUMMYFUNCTION("""COMPUTED_VALUE"""),1)</f>
        <v>1</v>
      </c>
      <c r="V167" s="153">
        <f ca="1">IFERROR(__xludf.DUMMYFUNCTION("""COMPUTED_VALUE"""),-22950)</f>
        <v>-22950</v>
      </c>
      <c r="W167" s="44" t="str">
        <f ca="1">IFERROR(__xludf.DUMMYFUNCTION("""COMPUTED_VALUE"""),"")</f>
        <v/>
      </c>
      <c r="X167" s="154" t="str">
        <f ca="1">IFERROR(__xludf.DUMMYFUNCTION("""COMPUTED_VALUE"""),"")</f>
        <v/>
      </c>
      <c r="Y167" s="154" t="str">
        <f ca="1">IFERROR(__xludf.DUMMYFUNCTION("""COMPUTED_VALUE"""),"")</f>
        <v/>
      </c>
      <c r="Z167" s="159" t="str">
        <f ca="1">IFERROR(__xludf.DUMMYFUNCTION("""COMPUTED_VALUE"""),"")</f>
        <v/>
      </c>
    </row>
    <row r="168" spans="1:26" ht="13" x14ac:dyDescent="0.15">
      <c r="A168" s="43" t="str">
        <f ca="1">IFERROR(__xludf.DUMMYFUNCTION("""COMPUTED_VALUE"""),"")</f>
        <v/>
      </c>
      <c r="B168" s="43" t="str">
        <f ca="1">IFERROR(__xludf.DUMMYFUNCTION("""COMPUTED_VALUE"""),"38209")</f>
        <v>38209</v>
      </c>
      <c r="C168" s="146">
        <f ca="1">IFERROR(__xludf.DUMMYFUNCTION("""COMPUTED_VALUE"""),44634000543)</f>
        <v>44634000543</v>
      </c>
      <c r="D168" s="161" t="str">
        <f ca="1">IFERROR(__xludf.DUMMYFUNCTION("""COMPUTED_VALUE"""),"9988.HK")</f>
        <v>9988.HK</v>
      </c>
      <c r="E168" s="147">
        <f ca="1">IFERROR(__xludf.DUMMYFUNCTION("""COMPUTED_VALUE"""),44634)</f>
        <v>44634</v>
      </c>
      <c r="F168" s="43" t="str">
        <f ca="1">IFERROR(__xludf.DUMMYFUNCTION("""COMPUTED_VALUE"""),"Stock")</f>
        <v>Stock</v>
      </c>
      <c r="G168" s="43" t="str">
        <f ca="1">IFERROR(__xludf.DUMMYFUNCTION("""COMPUTED_VALUE"""),"HKD")</f>
        <v>HKD</v>
      </c>
      <c r="H168" s="11">
        <f ca="1">IFERROR(__xludf.DUMMYFUNCTION("""COMPUTED_VALUE"""),-600)</f>
        <v>-600</v>
      </c>
      <c r="I168" s="148">
        <f ca="1">IFERROR(__xludf.DUMMYFUNCTION("""COMPUTED_VALUE"""),1)</f>
        <v>1</v>
      </c>
      <c r="J168" s="149">
        <f ca="1">IFERROR(__xludf.DUMMYFUNCTION("""COMPUTED_VALUE"""),80.9)</f>
        <v>80.900000000000006</v>
      </c>
      <c r="K168" s="43"/>
      <c r="L168" s="149">
        <f ca="1">IFERROR(__xludf.DUMMYFUNCTION("""COMPUTED_VALUE"""),110.2)</f>
        <v>110.2</v>
      </c>
      <c r="M168" s="160" t="str">
        <f ca="1">IFERROR(__xludf.DUMMYFUNCTION("""COMPUTED_VALUE"""),"Equity Key Stats")</f>
        <v>Equity Key Stats</v>
      </c>
      <c r="N168" s="43"/>
      <c r="O168" s="43"/>
      <c r="P168" s="150">
        <f ca="1">IFERROR(__xludf.DUMMYFUNCTION("""COMPUTED_VALUE"""),48540)</f>
        <v>48540</v>
      </c>
      <c r="Q168" s="151"/>
      <c r="R168" s="152">
        <f ca="1">IFERROR(__xludf.DUMMYFUNCTION("""COMPUTED_VALUE"""),117.6)</f>
        <v>117.6</v>
      </c>
      <c r="S168" s="127">
        <f ca="1">IFERROR(__xludf.DUMMYFUNCTION("""COMPUTED_VALUE"""),-70560)</f>
        <v>-70560</v>
      </c>
      <c r="T168" s="108">
        <f ca="1">IFERROR(__xludf.DUMMYFUNCTION("""COMPUTED_VALUE"""),7)</f>
        <v>7</v>
      </c>
      <c r="U168" s="108" t="str">
        <f ca="1">IFERROR(__xludf.DUMMYFUNCTION("""COMPUTED_VALUE"""),"")</f>
        <v/>
      </c>
      <c r="V168" s="153" t="str">
        <f ca="1">IFERROR(__xludf.DUMMYFUNCTION("""COMPUTED_VALUE"""),"")</f>
        <v/>
      </c>
      <c r="W168" s="145" t="str">
        <f ca="1">IFERROR(__xludf.DUMMYFUNCTION("""COMPUTED_VALUE"""),"")</f>
        <v/>
      </c>
      <c r="X168" s="11" t="str">
        <f ca="1">IFERROR(__xludf.DUMMYFUNCTION("""COMPUTED_VALUE"""),"")</f>
        <v/>
      </c>
      <c r="Y168" s="11" t="str">
        <f ca="1">IFERROR(__xludf.DUMMYFUNCTION("""COMPUTED_VALUE"""),"")</f>
        <v/>
      </c>
      <c r="Z168" s="4" t="str">
        <f ca="1">IFERROR(__xludf.DUMMYFUNCTION("""COMPUTED_VALUE"""),"")</f>
        <v/>
      </c>
    </row>
    <row r="169" spans="1:26" ht="13" x14ac:dyDescent="0.15">
      <c r="A169" s="43" t="str">
        <f ca="1">IFERROR(__xludf.DUMMYFUNCTION("""COMPUTED_VALUE"""),"")</f>
        <v/>
      </c>
      <c r="B169" s="43" t="str">
        <f ca="1">IFERROR(__xludf.DUMMYFUNCTION("""COMPUTED_VALUE"""),"38209")</f>
        <v>38209</v>
      </c>
      <c r="C169" s="146">
        <f ca="1">IFERROR(__xludf.DUMMYFUNCTION("""COMPUTED_VALUE"""),44635000602)</f>
        <v>44635000602</v>
      </c>
      <c r="D169" s="161" t="str">
        <f ca="1">IFERROR(__xludf.DUMMYFUNCTION("""COMPUTED_VALUE"""),"9988.HK")</f>
        <v>9988.HK</v>
      </c>
      <c r="E169" s="147">
        <f ca="1">IFERROR(__xludf.DUMMYFUNCTION("""COMPUTED_VALUE"""),44635)</f>
        <v>44635</v>
      </c>
      <c r="F169" s="43" t="str">
        <f ca="1">IFERROR(__xludf.DUMMYFUNCTION("""COMPUTED_VALUE"""),"Stock")</f>
        <v>Stock</v>
      </c>
      <c r="G169" s="43" t="str">
        <f ca="1">IFERROR(__xludf.DUMMYFUNCTION("""COMPUTED_VALUE"""),"HKD")</f>
        <v>HKD</v>
      </c>
      <c r="H169" s="154">
        <f ca="1">IFERROR(__xludf.DUMMYFUNCTION("""COMPUTED_VALUE"""),1000)</f>
        <v>1000</v>
      </c>
      <c r="I169" s="148">
        <f ca="1">IFERROR(__xludf.DUMMYFUNCTION("""COMPUTED_VALUE"""),1)</f>
        <v>1</v>
      </c>
      <c r="J169" s="149">
        <f ca="1">IFERROR(__xludf.DUMMYFUNCTION("""COMPUTED_VALUE"""),71.25)</f>
        <v>71.25</v>
      </c>
      <c r="K169" s="43"/>
      <c r="L169" s="149">
        <f ca="1">IFERROR(__xludf.DUMMYFUNCTION("""COMPUTED_VALUE"""),110.2)</f>
        <v>110.2</v>
      </c>
      <c r="M169" s="155" t="str">
        <f ca="1">IFERROR(__xludf.DUMMYFUNCTION("""COMPUTED_VALUE"""),"Equity Key Stats")</f>
        <v>Equity Key Stats</v>
      </c>
      <c r="N169" s="43"/>
      <c r="O169" s="43"/>
      <c r="P169" s="150">
        <f ca="1">IFERROR(__xludf.DUMMYFUNCTION("""COMPUTED_VALUE"""),-71250)</f>
        <v>-71250</v>
      </c>
      <c r="Q169" s="151"/>
      <c r="R169" s="152">
        <f ca="1">IFERROR(__xludf.DUMMYFUNCTION("""COMPUTED_VALUE"""),117.6)</f>
        <v>117.6</v>
      </c>
      <c r="S169" s="150">
        <f ca="1">IFERROR(__xludf.DUMMYFUNCTION("""COMPUTED_VALUE"""),117600)</f>
        <v>117600</v>
      </c>
      <c r="T169" s="108">
        <f ca="1">IFERROR(__xludf.DUMMYFUNCTION("""COMPUTED_VALUE"""),7)</f>
        <v>7</v>
      </c>
      <c r="U169" s="43" t="str">
        <f ca="1">IFERROR(__xludf.DUMMYFUNCTION("""COMPUTED_VALUE"""),"")</f>
        <v/>
      </c>
      <c r="V169" s="144" t="str">
        <f ca="1">IFERROR(__xludf.DUMMYFUNCTION("""COMPUTED_VALUE"""),"")</f>
        <v/>
      </c>
      <c r="W169" s="145" t="str">
        <f ca="1">IFERROR(__xludf.DUMMYFUNCTION("""COMPUTED_VALUE"""),"")</f>
        <v/>
      </c>
      <c r="X169" s="11" t="str">
        <f ca="1">IFERROR(__xludf.DUMMYFUNCTION("""COMPUTED_VALUE"""),"")</f>
        <v/>
      </c>
      <c r="Y169" s="11" t="str">
        <f ca="1">IFERROR(__xludf.DUMMYFUNCTION("""COMPUTED_VALUE"""),"")</f>
        <v/>
      </c>
      <c r="Z169" s="4" t="str">
        <f ca="1">IFERROR(__xludf.DUMMYFUNCTION("""COMPUTED_VALUE"""),"")</f>
        <v/>
      </c>
    </row>
    <row r="170" spans="1:26" ht="13" x14ac:dyDescent="0.15">
      <c r="A170" s="43" t="str">
        <f ca="1">IFERROR(__xludf.DUMMYFUNCTION("""COMPUTED_VALUE"""),"")</f>
        <v/>
      </c>
      <c r="B170" s="43" t="str">
        <f ca="1">IFERROR(__xludf.DUMMYFUNCTION("""COMPUTED_VALUE"""),"38209")</f>
        <v>38209</v>
      </c>
      <c r="C170" s="146">
        <f ca="1">IFERROR(__xludf.DUMMYFUNCTION("""COMPUTED_VALUE"""),44635000604)</f>
        <v>44635000604</v>
      </c>
      <c r="D170" s="161" t="str">
        <f ca="1">IFERROR(__xludf.DUMMYFUNCTION("""COMPUTED_VALUE"""),"6862.HK")</f>
        <v>6862.HK</v>
      </c>
      <c r="E170" s="147">
        <f ca="1">IFERROR(__xludf.DUMMYFUNCTION("""COMPUTED_VALUE"""),44635)</f>
        <v>44635</v>
      </c>
      <c r="F170" s="43" t="str">
        <f ca="1">IFERROR(__xludf.DUMMYFUNCTION("""COMPUTED_VALUE"""),"Stock")</f>
        <v>Stock</v>
      </c>
      <c r="G170" s="43" t="str">
        <f ca="1">IFERROR(__xludf.DUMMYFUNCTION("""COMPUTED_VALUE"""),"HKD")</f>
        <v>HKD</v>
      </c>
      <c r="H170" s="154">
        <f ca="1">IFERROR(__xludf.DUMMYFUNCTION("""COMPUTED_VALUE"""),2500)</f>
        <v>2500</v>
      </c>
      <c r="I170" s="148">
        <f ca="1">IFERROR(__xludf.DUMMYFUNCTION("""COMPUTED_VALUE"""),1)</f>
        <v>1</v>
      </c>
      <c r="J170" s="149">
        <f ca="1">IFERROR(__xludf.DUMMYFUNCTION("""COMPUTED_VALUE"""),10.08)</f>
        <v>10.08</v>
      </c>
      <c r="K170" s="43"/>
      <c r="L170" s="149">
        <f ca="1">IFERROR(__xludf.DUMMYFUNCTION("""COMPUTED_VALUE"""),12.78)</f>
        <v>12.78</v>
      </c>
      <c r="M170" s="155" t="str">
        <f ca="1">IFERROR(__xludf.DUMMYFUNCTION("""COMPUTED_VALUE"""),"Equity Key Stats")</f>
        <v>Equity Key Stats</v>
      </c>
      <c r="N170" s="43"/>
      <c r="O170" s="43"/>
      <c r="P170" s="157">
        <f ca="1">IFERROR(__xludf.DUMMYFUNCTION("""COMPUTED_VALUE"""),-25200)</f>
        <v>-25200</v>
      </c>
      <c r="Q170" s="151"/>
      <c r="R170" s="152">
        <f ca="1">IFERROR(__xludf.DUMMYFUNCTION("""COMPUTED_VALUE"""),13.24)</f>
        <v>13.24</v>
      </c>
      <c r="S170" s="150">
        <f ca="1">IFERROR(__xludf.DUMMYFUNCTION("""COMPUTED_VALUE"""),33100)</f>
        <v>33100</v>
      </c>
      <c r="T170" s="108">
        <f ca="1">IFERROR(__xludf.DUMMYFUNCTION("""COMPUTED_VALUE"""),1)</f>
        <v>1</v>
      </c>
      <c r="U170" s="43">
        <f ca="1">IFERROR(__xludf.DUMMYFUNCTION("""COMPUTED_VALUE"""),1)</f>
        <v>1</v>
      </c>
      <c r="V170" s="144">
        <f ca="1">IFERROR(__xludf.DUMMYFUNCTION("""COMPUTED_VALUE"""),7900)</f>
        <v>7900</v>
      </c>
      <c r="W170" s="145" t="str">
        <f ca="1">IFERROR(__xludf.DUMMYFUNCTION("""COMPUTED_VALUE"""),"")</f>
        <v/>
      </c>
      <c r="X170" s="11" t="str">
        <f ca="1">IFERROR(__xludf.DUMMYFUNCTION("""COMPUTED_VALUE"""),"")</f>
        <v/>
      </c>
      <c r="Y170" s="11" t="str">
        <f ca="1">IFERROR(__xludf.DUMMYFUNCTION("""COMPUTED_VALUE"""),"")</f>
        <v/>
      </c>
      <c r="Z170" s="4" t="str">
        <f ca="1">IFERROR(__xludf.DUMMYFUNCTION("""COMPUTED_VALUE"""),"")</f>
        <v/>
      </c>
    </row>
    <row r="171" spans="1:26" ht="13" x14ac:dyDescent="0.15">
      <c r="A171" s="43" t="str">
        <f ca="1">IFERROR(__xludf.DUMMYFUNCTION("""COMPUTED_VALUE"""),"")</f>
        <v/>
      </c>
      <c r="B171" s="43" t="str">
        <f ca="1">IFERROR(__xludf.DUMMYFUNCTION("""COMPUTED_VALUE"""),"38209")</f>
        <v>38209</v>
      </c>
      <c r="C171" s="146">
        <f ca="1">IFERROR(__xludf.DUMMYFUNCTION("""COMPUTED_VALUE"""),44635000606)</f>
        <v>44635000606</v>
      </c>
      <c r="D171" s="161" t="str">
        <f ca="1">IFERROR(__xludf.DUMMYFUNCTION("""COMPUTED_VALUE"""),"600519.SS")</f>
        <v>600519.SS</v>
      </c>
      <c r="E171" s="147">
        <f ca="1">IFERROR(__xludf.DUMMYFUNCTION("""COMPUTED_VALUE"""),44635)</f>
        <v>44635</v>
      </c>
      <c r="F171" s="43" t="str">
        <f ca="1">IFERROR(__xludf.DUMMYFUNCTION("""COMPUTED_VALUE"""),"Stock")</f>
        <v>Stock</v>
      </c>
      <c r="G171" s="43" t="str">
        <f ca="1">IFERROR(__xludf.DUMMYFUNCTION("""COMPUTED_VALUE"""),"CNY")</f>
        <v>CNY</v>
      </c>
      <c r="H171" s="154">
        <f ca="1">IFERROR(__xludf.DUMMYFUNCTION("""COMPUTED_VALUE"""),100)</f>
        <v>100</v>
      </c>
      <c r="I171" s="148">
        <f ca="1">IFERROR(__xludf.DUMMYFUNCTION("""COMPUTED_VALUE"""),1.228816)</f>
        <v>1.2288159999999999</v>
      </c>
      <c r="J171" s="149">
        <f ca="1">IFERROR(__xludf.DUMMYFUNCTION("""COMPUTED_VALUE"""),1603)</f>
        <v>1603</v>
      </c>
      <c r="K171" s="43"/>
      <c r="L171" s="149">
        <f ca="1">IFERROR(__xludf.DUMMYFUNCTION("""COMPUTED_VALUE"""),1695)</f>
        <v>1695</v>
      </c>
      <c r="M171" s="155" t="str">
        <f ca="1">IFERROR(__xludf.DUMMYFUNCTION("""COMPUTED_VALUE"""),"Equity Key Stats")</f>
        <v>Equity Key Stats</v>
      </c>
      <c r="N171" s="43"/>
      <c r="O171" s="43"/>
      <c r="P171" s="157">
        <f ca="1">IFERROR(__xludf.DUMMYFUNCTION("""COMPUTED_VALUE"""),-196979.204799999)</f>
        <v>-196979.20479999899</v>
      </c>
      <c r="Q171" s="151"/>
      <c r="R171" s="152">
        <f ca="1">IFERROR(__xludf.DUMMYFUNCTION("""COMPUTED_VALUE"""),1752.19)</f>
        <v>1752.19</v>
      </c>
      <c r="S171" s="150">
        <f ca="1">IFERROR(__xludf.DUMMYFUNCTION("""COMPUTED_VALUE"""),215311.910703999)</f>
        <v>215311.91070399899</v>
      </c>
      <c r="T171" s="108">
        <f ca="1">IFERROR(__xludf.DUMMYFUNCTION("""COMPUTED_VALUE"""),2)</f>
        <v>2</v>
      </c>
      <c r="U171" s="43" t="str">
        <f ca="1">IFERROR(__xludf.DUMMYFUNCTION("""COMPUTED_VALUE"""),"")</f>
        <v/>
      </c>
      <c r="V171" s="144" t="str">
        <f ca="1">IFERROR(__xludf.DUMMYFUNCTION("""COMPUTED_VALUE"""),"")</f>
        <v/>
      </c>
      <c r="W171" s="145" t="str">
        <f ca="1">IFERROR(__xludf.DUMMYFUNCTION("""COMPUTED_VALUE"""),"")</f>
        <v/>
      </c>
      <c r="X171" s="11" t="str">
        <f ca="1">IFERROR(__xludf.DUMMYFUNCTION("""COMPUTED_VALUE"""),"")</f>
        <v/>
      </c>
      <c r="Y171" s="11" t="str">
        <f ca="1">IFERROR(__xludf.DUMMYFUNCTION("""COMPUTED_VALUE"""),"")</f>
        <v/>
      </c>
      <c r="Z171" s="4" t="str">
        <f ca="1">IFERROR(__xludf.DUMMYFUNCTION("""COMPUTED_VALUE"""),"")</f>
        <v/>
      </c>
    </row>
    <row r="172" spans="1:26" ht="13" x14ac:dyDescent="0.15">
      <c r="A172" s="43" t="str">
        <f ca="1">IFERROR(__xludf.DUMMYFUNCTION("""COMPUTED_VALUE"""),"")</f>
        <v/>
      </c>
      <c r="B172" s="43" t="str">
        <f ca="1">IFERROR(__xludf.DUMMYFUNCTION("""COMPUTED_VALUE"""),"38209")</f>
        <v>38209</v>
      </c>
      <c r="C172" s="146">
        <f ca="1">IFERROR(__xludf.DUMMYFUNCTION("""COMPUTED_VALUE"""),44635000612)</f>
        <v>44635000612</v>
      </c>
      <c r="D172" s="43" t="str">
        <f ca="1">IFERROR(__xludf.DUMMYFUNCTION("""COMPUTED_VALUE"""),"XLV")</f>
        <v>XLV</v>
      </c>
      <c r="E172" s="147">
        <f ca="1">IFERROR(__xludf.DUMMYFUNCTION("""COMPUTED_VALUE"""),44635)</f>
        <v>44635</v>
      </c>
      <c r="F172" s="43" t="str">
        <f ca="1">IFERROR(__xludf.DUMMYFUNCTION("""COMPUTED_VALUE"""),"Stock")</f>
        <v>Stock</v>
      </c>
      <c r="G172" s="43" t="str">
        <f ca="1">IFERROR(__xludf.DUMMYFUNCTION("""COMPUTED_VALUE"""),"USD")</f>
        <v>USD</v>
      </c>
      <c r="H172" s="154">
        <f ca="1">IFERROR(__xludf.DUMMYFUNCTION("""COMPUTED_VALUE"""),200)</f>
        <v>200</v>
      </c>
      <c r="I172" s="148">
        <f ca="1">IFERROR(__xludf.DUMMYFUNCTION("""COMPUTED_VALUE"""),7.82695)</f>
        <v>7.8269500000000001</v>
      </c>
      <c r="J172" s="149">
        <f ca="1">IFERROR(__xludf.DUMMYFUNCTION("""COMPUTED_VALUE"""),132.44)</f>
        <v>132.44</v>
      </c>
      <c r="K172" s="43"/>
      <c r="L172" s="149">
        <f ca="1">IFERROR(__xludf.DUMMYFUNCTION("""COMPUTED_VALUE"""),136.49)</f>
        <v>136.49</v>
      </c>
      <c r="M172" s="155" t="str">
        <f ca="1">IFERROR(__xludf.DUMMYFUNCTION("""COMPUTED_VALUE"""),"Equity Key Stats")</f>
        <v>Equity Key Stats</v>
      </c>
      <c r="N172" s="43"/>
      <c r="O172" s="43"/>
      <c r="P172" s="157">
        <f ca="1">IFERROR(__xludf.DUMMYFUNCTION("""COMPUTED_VALUE"""),-207320.2516)</f>
        <v>-207320.25159999999</v>
      </c>
      <c r="Q172" s="151"/>
      <c r="R172" s="152">
        <f ca="1">IFERROR(__xludf.DUMMYFUNCTION("""COMPUTED_VALUE"""),134.04)</f>
        <v>134.04</v>
      </c>
      <c r="S172" s="150">
        <f ca="1">IFERROR(__xludf.DUMMYFUNCTION("""COMPUTED_VALUE"""),209824.8756)</f>
        <v>209824.8756</v>
      </c>
      <c r="T172" s="108">
        <f ca="1">IFERROR(__xludf.DUMMYFUNCTION("""COMPUTED_VALUE"""),2)</f>
        <v>2</v>
      </c>
      <c r="U172" s="43" t="str">
        <f ca="1">IFERROR(__xludf.DUMMYFUNCTION("""COMPUTED_VALUE"""),"")</f>
        <v/>
      </c>
      <c r="V172" s="144" t="str">
        <f ca="1">IFERROR(__xludf.DUMMYFUNCTION("""COMPUTED_VALUE"""),"")</f>
        <v/>
      </c>
      <c r="W172" s="145" t="str">
        <f ca="1">IFERROR(__xludf.DUMMYFUNCTION("""COMPUTED_VALUE"""),"")</f>
        <v/>
      </c>
      <c r="X172" s="11" t="str">
        <f ca="1">IFERROR(__xludf.DUMMYFUNCTION("""COMPUTED_VALUE"""),"")</f>
        <v/>
      </c>
      <c r="Y172" s="11" t="str">
        <f ca="1">IFERROR(__xludf.DUMMYFUNCTION("""COMPUTED_VALUE"""),"")</f>
        <v/>
      </c>
      <c r="Z172" s="4" t="str">
        <f ca="1">IFERROR(__xludf.DUMMYFUNCTION("""COMPUTED_VALUE"""),"")</f>
        <v/>
      </c>
    </row>
    <row r="173" spans="1:26" ht="13" x14ac:dyDescent="0.15">
      <c r="A173" s="43" t="str">
        <f ca="1">IFERROR(__xludf.DUMMYFUNCTION("""COMPUTED_VALUE"""),"")</f>
        <v/>
      </c>
      <c r="B173" s="43" t="str">
        <f ca="1">IFERROR(__xludf.DUMMYFUNCTION("""COMPUTED_VALUE"""),"38209")</f>
        <v>38209</v>
      </c>
      <c r="C173" s="146">
        <f ca="1">IFERROR(__xludf.DUMMYFUNCTION("""COMPUTED_VALUE"""),44636000639)</f>
        <v>44636000639</v>
      </c>
      <c r="D173" s="161" t="str">
        <f ca="1">IFERROR(__xludf.DUMMYFUNCTION("""COMPUTED_VALUE"""),"1810.HK")</f>
        <v>1810.HK</v>
      </c>
      <c r="E173" s="147">
        <f ca="1">IFERROR(__xludf.DUMMYFUNCTION("""COMPUTED_VALUE"""),44636)</f>
        <v>44636</v>
      </c>
      <c r="F173" s="43" t="str">
        <f ca="1">IFERROR(__xludf.DUMMYFUNCTION("""COMPUTED_VALUE"""),"Stock")</f>
        <v>Stock</v>
      </c>
      <c r="G173" s="43" t="str">
        <f ca="1">IFERROR(__xludf.DUMMYFUNCTION("""COMPUTED_VALUE"""),"HKD")</f>
        <v>HKD</v>
      </c>
      <c r="H173" s="156">
        <f ca="1">IFERROR(__xludf.DUMMYFUNCTION("""COMPUTED_VALUE"""),3000)</f>
        <v>3000</v>
      </c>
      <c r="I173" s="148">
        <f ca="1">IFERROR(__xludf.DUMMYFUNCTION("""COMPUTED_VALUE"""),1)</f>
        <v>1</v>
      </c>
      <c r="J173" s="149">
        <f ca="1">IFERROR(__xludf.DUMMYFUNCTION("""COMPUTED_VALUE"""),13.4)</f>
        <v>13.4</v>
      </c>
      <c r="K173" s="43"/>
      <c r="L173" s="149">
        <f ca="1">IFERROR(__xludf.DUMMYFUNCTION("""COMPUTED_VALUE"""),14.2)</f>
        <v>14.2</v>
      </c>
      <c r="M173" s="155" t="str">
        <f ca="1">IFERROR(__xludf.DUMMYFUNCTION("""COMPUTED_VALUE"""),"Equity Key Stats")</f>
        <v>Equity Key Stats</v>
      </c>
      <c r="N173" s="43"/>
      <c r="O173" s="43"/>
      <c r="P173" s="150">
        <f ca="1">IFERROR(__xludf.DUMMYFUNCTION("""COMPUTED_VALUE"""),-40200)</f>
        <v>-40200</v>
      </c>
      <c r="Q173" s="151"/>
      <c r="R173" s="152">
        <f ca="1">IFERROR(__xludf.DUMMYFUNCTION("""COMPUTED_VALUE"""),14.78)</f>
        <v>14.78</v>
      </c>
      <c r="S173" s="157">
        <f ca="1">IFERROR(__xludf.DUMMYFUNCTION("""COMPUTED_VALUE"""),44340)</f>
        <v>44340</v>
      </c>
      <c r="T173" s="108">
        <f ca="1">IFERROR(__xludf.DUMMYFUNCTION("""COMPUTED_VALUE"""),5)</f>
        <v>5</v>
      </c>
      <c r="U173" s="108">
        <f ca="1">IFERROR(__xludf.DUMMYFUNCTION("""COMPUTED_VALUE"""),1)</f>
        <v>1</v>
      </c>
      <c r="V173" s="153">
        <f ca="1">IFERROR(__xludf.DUMMYFUNCTION("""COMPUTED_VALUE"""),6060)</f>
        <v>6060</v>
      </c>
      <c r="W173" s="145" t="str">
        <f ca="1">IFERROR(__xludf.DUMMYFUNCTION("""COMPUTED_VALUE"""),"")</f>
        <v/>
      </c>
      <c r="X173" s="11" t="str">
        <f ca="1">IFERROR(__xludf.DUMMYFUNCTION("""COMPUTED_VALUE"""),"")</f>
        <v/>
      </c>
      <c r="Y173" s="11" t="str">
        <f ca="1">IFERROR(__xludf.DUMMYFUNCTION("""COMPUTED_VALUE"""),"")</f>
        <v/>
      </c>
      <c r="Z173" s="4" t="str">
        <f ca="1">IFERROR(__xludf.DUMMYFUNCTION("""COMPUTED_VALUE"""),"")</f>
        <v/>
      </c>
    </row>
    <row r="174" spans="1:26" ht="13" x14ac:dyDescent="0.15">
      <c r="A174" s="43" t="str">
        <f ca="1">IFERROR(__xludf.DUMMYFUNCTION("""COMPUTED_VALUE"""),"")</f>
        <v/>
      </c>
      <c r="B174" s="43" t="str">
        <f ca="1">IFERROR(__xludf.DUMMYFUNCTION("""COMPUTED_VALUE"""),"38209")</f>
        <v>38209</v>
      </c>
      <c r="C174" s="146">
        <f ca="1">IFERROR(__xludf.DUMMYFUNCTION("""COMPUTED_VALUE"""),44637000666)</f>
        <v>44637000666</v>
      </c>
      <c r="D174" s="161" t="str">
        <f ca="1">IFERROR(__xludf.DUMMYFUNCTION("""COMPUTED_VALUE"""),"9988.HK")</f>
        <v>9988.HK</v>
      </c>
      <c r="E174" s="147">
        <f ca="1">IFERROR(__xludf.DUMMYFUNCTION("""COMPUTED_VALUE"""),44637)</f>
        <v>44637</v>
      </c>
      <c r="F174" s="43" t="str">
        <f ca="1">IFERROR(__xludf.DUMMYFUNCTION("""COMPUTED_VALUE"""),"Stock")</f>
        <v>Stock</v>
      </c>
      <c r="G174" s="43" t="str">
        <f ca="1">IFERROR(__xludf.DUMMYFUNCTION("""COMPUTED_VALUE"""),"HKD")</f>
        <v>HKD</v>
      </c>
      <c r="H174" s="154">
        <f ca="1">IFERROR(__xludf.DUMMYFUNCTION("""COMPUTED_VALUE"""),-1000)</f>
        <v>-1000</v>
      </c>
      <c r="I174" s="148">
        <f ca="1">IFERROR(__xludf.DUMMYFUNCTION("""COMPUTED_VALUE"""),1)</f>
        <v>1</v>
      </c>
      <c r="J174" s="149">
        <f ca="1">IFERROR(__xludf.DUMMYFUNCTION("""COMPUTED_VALUE"""),102)</f>
        <v>102</v>
      </c>
      <c r="K174" s="43"/>
      <c r="L174" s="149">
        <f ca="1">IFERROR(__xludf.DUMMYFUNCTION("""COMPUTED_VALUE"""),110.2)</f>
        <v>110.2</v>
      </c>
      <c r="M174" s="155" t="str">
        <f ca="1">IFERROR(__xludf.DUMMYFUNCTION("""COMPUTED_VALUE"""),"Equity Key Stats")</f>
        <v>Equity Key Stats</v>
      </c>
      <c r="N174" s="43"/>
      <c r="O174" s="43"/>
      <c r="P174" s="157">
        <f ca="1">IFERROR(__xludf.DUMMYFUNCTION("""COMPUTED_VALUE"""),102000)</f>
        <v>102000</v>
      </c>
      <c r="Q174" s="151"/>
      <c r="R174" s="152">
        <f ca="1">IFERROR(__xludf.DUMMYFUNCTION("""COMPUTED_VALUE"""),117.6)</f>
        <v>117.6</v>
      </c>
      <c r="S174" s="150">
        <f ca="1">IFERROR(__xludf.DUMMYFUNCTION("""COMPUTED_VALUE"""),-117600)</f>
        <v>-117600</v>
      </c>
      <c r="T174" s="108">
        <f ca="1">IFERROR(__xludf.DUMMYFUNCTION("""COMPUTED_VALUE"""),7)</f>
        <v>7</v>
      </c>
      <c r="U174" s="108">
        <f ca="1">IFERROR(__xludf.DUMMYFUNCTION("""COMPUTED_VALUE"""),1)</f>
        <v>1</v>
      </c>
      <c r="V174" s="153">
        <f ca="1">IFERROR(__xludf.DUMMYFUNCTION("""COMPUTED_VALUE"""),21015)</f>
        <v>21015</v>
      </c>
      <c r="W174" s="145" t="str">
        <f ca="1">IFERROR(__xludf.DUMMYFUNCTION("""COMPUTED_VALUE"""),"")</f>
        <v/>
      </c>
      <c r="X174" s="11" t="str">
        <f ca="1">IFERROR(__xludf.DUMMYFUNCTION("""COMPUTED_VALUE"""),"")</f>
        <v/>
      </c>
      <c r="Y174" s="11" t="str">
        <f ca="1">IFERROR(__xludf.DUMMYFUNCTION("""COMPUTED_VALUE"""),"")</f>
        <v/>
      </c>
      <c r="Z174" s="4" t="str">
        <f ca="1">IFERROR(__xludf.DUMMYFUNCTION("""COMPUTED_VALUE"""),"")</f>
        <v/>
      </c>
    </row>
    <row r="175" spans="1:26" ht="13" x14ac:dyDescent="0.15">
      <c r="A175" s="43" t="str">
        <f ca="1">IFERROR(__xludf.DUMMYFUNCTION("""COMPUTED_VALUE"""),"")</f>
        <v/>
      </c>
      <c r="B175" s="43" t="str">
        <f ca="1">IFERROR(__xludf.DUMMYFUNCTION("""COMPUTED_VALUE"""),"38209")</f>
        <v>38209</v>
      </c>
      <c r="C175" s="146">
        <f ca="1">IFERROR(__xludf.DUMMYFUNCTION("""COMPUTED_VALUE"""),44638000695)</f>
        <v>44638000695</v>
      </c>
      <c r="D175" s="161" t="str">
        <f ca="1">IFERROR(__xludf.DUMMYFUNCTION("""COMPUTED_VALUE"""),"600519.SS")</f>
        <v>600519.SS</v>
      </c>
      <c r="E175" s="147">
        <f ca="1">IFERROR(__xludf.DUMMYFUNCTION("""COMPUTED_VALUE"""),44638)</f>
        <v>44638</v>
      </c>
      <c r="F175" s="43" t="str">
        <f ca="1">IFERROR(__xludf.DUMMYFUNCTION("""COMPUTED_VALUE"""),"Stock")</f>
        <v>Stock</v>
      </c>
      <c r="G175" s="43" t="str">
        <f ca="1">IFERROR(__xludf.DUMMYFUNCTION("""COMPUTED_VALUE"""),"CNY")</f>
        <v>CNY</v>
      </c>
      <c r="H175" s="156">
        <f ca="1">IFERROR(__xludf.DUMMYFUNCTION("""COMPUTED_VALUE"""),-100)</f>
        <v>-100</v>
      </c>
      <c r="I175" s="148">
        <f ca="1">IFERROR(__xludf.DUMMYFUNCTION("""COMPUTED_VALUE"""),1.231731)</f>
        <v>1.2317309999999999</v>
      </c>
      <c r="J175" s="149">
        <f ca="1">IFERROR(__xludf.DUMMYFUNCTION("""COMPUTED_VALUE"""),1707.79)</f>
        <v>1707.79</v>
      </c>
      <c r="K175" s="43"/>
      <c r="L175" s="149">
        <f ca="1">IFERROR(__xludf.DUMMYFUNCTION("""COMPUTED_VALUE"""),1695)</f>
        <v>1695</v>
      </c>
      <c r="M175" s="155" t="str">
        <f ca="1">IFERROR(__xludf.DUMMYFUNCTION("""COMPUTED_VALUE"""),"Equity Key Stats")</f>
        <v>Equity Key Stats</v>
      </c>
      <c r="N175" s="43"/>
      <c r="O175" s="43"/>
      <c r="P175" s="150">
        <f ca="1">IFERROR(__xludf.DUMMYFUNCTION("""COMPUTED_VALUE"""),210353.788448999)</f>
        <v>210353.788448999</v>
      </c>
      <c r="Q175" s="151"/>
      <c r="R175" s="152">
        <f ca="1">IFERROR(__xludf.DUMMYFUNCTION("""COMPUTED_VALUE"""),1752.19)</f>
        <v>1752.19</v>
      </c>
      <c r="S175" s="157">
        <f ca="1">IFERROR(__xludf.DUMMYFUNCTION("""COMPUTED_VALUE"""),-215822.674088999)</f>
        <v>-215822.67408899899</v>
      </c>
      <c r="T175" s="108">
        <f ca="1">IFERROR(__xludf.DUMMYFUNCTION("""COMPUTED_VALUE"""),2)</f>
        <v>2</v>
      </c>
      <c r="U175" s="108">
        <f ca="1">IFERROR(__xludf.DUMMYFUNCTION("""COMPUTED_VALUE"""),1)</f>
        <v>1</v>
      </c>
      <c r="V175" s="158">
        <f ca="1">IFERROR(__xludf.DUMMYFUNCTION("""COMPUTED_VALUE"""),12863.820264)</f>
        <v>12863.820264</v>
      </c>
      <c r="W175" s="44" t="str">
        <f ca="1">IFERROR(__xludf.DUMMYFUNCTION("""COMPUTED_VALUE"""),"")</f>
        <v/>
      </c>
      <c r="X175" s="154" t="str">
        <f ca="1">IFERROR(__xludf.DUMMYFUNCTION("""COMPUTED_VALUE"""),"")</f>
        <v/>
      </c>
      <c r="Y175" s="154" t="str">
        <f ca="1">IFERROR(__xludf.DUMMYFUNCTION("""COMPUTED_VALUE"""),"")</f>
        <v/>
      </c>
      <c r="Z175" s="162" t="str">
        <f ca="1">IFERROR(__xludf.DUMMYFUNCTION("""COMPUTED_VALUE"""),"")</f>
        <v/>
      </c>
    </row>
    <row r="176" spans="1:26" ht="13" x14ac:dyDescent="0.15">
      <c r="A176" s="43" t="str">
        <f ca="1">IFERROR(__xludf.DUMMYFUNCTION("""COMPUTED_VALUE"""),"38209")</f>
        <v>38209</v>
      </c>
      <c r="B176" s="43" t="str">
        <f ca="1">IFERROR(__xludf.DUMMYFUNCTION("""COMPUTED_VALUE"""),"38209")</f>
        <v>38209</v>
      </c>
      <c r="C176" s="146">
        <f ca="1">IFERROR(__xludf.DUMMYFUNCTION("""COMPUTED_VALUE"""),44638000714)</f>
        <v>44638000714</v>
      </c>
      <c r="D176" s="43" t="str">
        <f ca="1">IFERROR(__xludf.DUMMYFUNCTION("""COMPUTED_VALUE"""),"XLV")</f>
        <v>XLV</v>
      </c>
      <c r="E176" s="147">
        <f ca="1">IFERROR(__xludf.DUMMYFUNCTION("""COMPUTED_VALUE"""),44638)</f>
        <v>44638</v>
      </c>
      <c r="F176" s="43" t="str">
        <f ca="1">IFERROR(__xludf.DUMMYFUNCTION("""COMPUTED_VALUE"""),"Stock")</f>
        <v>Stock</v>
      </c>
      <c r="G176" s="43" t="str">
        <f ca="1">IFERROR(__xludf.DUMMYFUNCTION("""COMPUTED_VALUE"""),"USD")</f>
        <v>USD</v>
      </c>
      <c r="H176" s="11">
        <f ca="1">IFERROR(__xludf.DUMMYFUNCTION("""COMPUTED_VALUE"""),-200)</f>
        <v>-200</v>
      </c>
      <c r="I176" s="148">
        <f ca="1">IFERROR(__xludf.DUMMYFUNCTION("""COMPUTED_VALUE"""),7.82495)</f>
        <v>7.8249500000000003</v>
      </c>
      <c r="J176" s="149">
        <f ca="1">IFERROR(__xludf.DUMMYFUNCTION("""COMPUTED_VALUE"""),136.99)</f>
        <v>136.99</v>
      </c>
      <c r="K176" s="43"/>
      <c r="L176" s="149">
        <f ca="1">IFERROR(__xludf.DUMMYFUNCTION("""COMPUTED_VALUE"""),136.49)</f>
        <v>136.49</v>
      </c>
      <c r="M176" s="160" t="str">
        <f ca="1">IFERROR(__xludf.DUMMYFUNCTION("""COMPUTED_VALUE"""),"Equity Key Stats")</f>
        <v>Equity Key Stats</v>
      </c>
      <c r="N176" s="43"/>
      <c r="O176" s="43"/>
      <c r="P176" s="150">
        <f ca="1">IFERROR(__xludf.DUMMYFUNCTION("""COMPUTED_VALUE"""),214387.9801)</f>
        <v>214387.98009999999</v>
      </c>
      <c r="Q176" s="151"/>
      <c r="R176" s="152">
        <f ca="1">IFERROR(__xludf.DUMMYFUNCTION("""COMPUTED_VALUE"""),134.04)</f>
        <v>134.04</v>
      </c>
      <c r="S176" s="127">
        <f ca="1">IFERROR(__xludf.DUMMYFUNCTION("""COMPUTED_VALUE"""),-209771.2596)</f>
        <v>-209771.25959999999</v>
      </c>
      <c r="T176" s="108">
        <f ca="1">IFERROR(__xludf.DUMMYFUNCTION("""COMPUTED_VALUE"""),2)</f>
        <v>2</v>
      </c>
      <c r="U176" s="108">
        <f ca="1">IFERROR(__xludf.DUMMYFUNCTION("""COMPUTED_VALUE"""),1)</f>
        <v>1</v>
      </c>
      <c r="V176" s="153">
        <f ca="1">IFERROR(__xludf.DUMMYFUNCTION("""COMPUTED_VALUE"""),7121.3445)</f>
        <v>7121.3445000000002</v>
      </c>
      <c r="W176" s="44">
        <f ca="1">IFERROR(__xludf.DUMMYFUNCTION("""COMPUTED_VALUE"""),530910.164764)</f>
        <v>530910.16476399999</v>
      </c>
      <c r="X176" s="154">
        <f ca="1">IFERROR(__xludf.DUMMYFUNCTION("""COMPUTED_VALUE"""),390777.312149)</f>
        <v>390777.312149</v>
      </c>
      <c r="Y176" s="154">
        <f ca="1">IFERROR(__xludf.DUMMYFUNCTION("""COMPUTED_VALUE"""),0)</f>
        <v>0</v>
      </c>
      <c r="Z176" s="159">
        <f ca="1">IFERROR(__xludf.DUMMYFUNCTION("""COMPUTED_VALUE"""),0.0618203295279999)</f>
        <v>6.1820329527999901E-2</v>
      </c>
    </row>
    <row r="177" spans="1:26" ht="13" x14ac:dyDescent="0.15">
      <c r="A177" s="43" t="str">
        <f ca="1">IFERROR(__xludf.DUMMYFUNCTION("""COMPUTED_VALUE"""),"38302")</f>
        <v>38302</v>
      </c>
      <c r="B177" s="43" t="str">
        <f ca="1">IFERROR(__xludf.DUMMYFUNCTION("""COMPUTED_VALUE"""),"38302")</f>
        <v>38302</v>
      </c>
      <c r="C177" s="146">
        <f ca="1">IFERROR(__xludf.DUMMYFUNCTION("""COMPUTED_VALUE"""),44597000030)</f>
        <v>44597000030</v>
      </c>
      <c r="D177" s="43" t="str">
        <f ca="1">IFERROR(__xludf.DUMMYFUNCTION("""COMPUTED_VALUE"""),"Cash")</f>
        <v>Cash</v>
      </c>
      <c r="E177" s="147">
        <f ca="1">IFERROR(__xludf.DUMMYFUNCTION("""COMPUTED_VALUE"""),44597)</f>
        <v>44597</v>
      </c>
      <c r="F177" s="43" t="str">
        <f ca="1">IFERROR(__xludf.DUMMYFUNCTION("""COMPUTED_VALUE"""),"Cash")</f>
        <v>Cash</v>
      </c>
      <c r="G177" s="43" t="str">
        <f ca="1">IFERROR(__xludf.DUMMYFUNCTION("""COMPUTED_VALUE"""),"HKD")</f>
        <v>HKD</v>
      </c>
      <c r="H177" s="11" t="str">
        <f ca="1">IFERROR(__xludf.DUMMYFUNCTION("""COMPUTED_VALUE"""),"")</f>
        <v/>
      </c>
      <c r="I177" s="148">
        <f ca="1">IFERROR(__xludf.DUMMYFUNCTION("""COMPUTED_VALUE"""),1)</f>
        <v>1</v>
      </c>
      <c r="J177" s="108">
        <f ca="1">IFERROR(__xludf.DUMMYFUNCTION("""COMPUTED_VALUE"""),1)</f>
        <v>1</v>
      </c>
      <c r="K177" s="43"/>
      <c r="L177" s="149">
        <f ca="1">IFERROR(__xludf.DUMMYFUNCTION("""COMPUTED_VALUE"""),1)</f>
        <v>1</v>
      </c>
      <c r="M177" s="3" t="str">
        <f ca="1">IFERROR(__xludf.DUMMYFUNCTION("""COMPUTED_VALUE"""),"")</f>
        <v/>
      </c>
      <c r="N177" s="43"/>
      <c r="O177" s="43"/>
      <c r="P177" s="150">
        <f ca="1">IFERROR(__xludf.DUMMYFUNCTION("""COMPUTED_VALUE"""),500000)</f>
        <v>500000</v>
      </c>
      <c r="Q177" s="151"/>
      <c r="R177" s="152">
        <f ca="1">IFERROR(__xludf.DUMMYFUNCTION("""COMPUTED_VALUE"""),1)</f>
        <v>1</v>
      </c>
      <c r="S177" s="127" t="str">
        <f ca="1">IFERROR(__xludf.DUMMYFUNCTION("""COMPUTED_VALUE"""),"")</f>
        <v/>
      </c>
      <c r="T177" s="108">
        <f ca="1">IFERROR(__xludf.DUMMYFUNCTION("""COMPUTED_VALUE"""),1)</f>
        <v>1</v>
      </c>
      <c r="U177" s="108">
        <f ca="1">IFERROR(__xludf.DUMMYFUNCTION("""COMPUTED_VALUE"""),1)</f>
        <v>1</v>
      </c>
      <c r="V177" s="153">
        <f ca="1">IFERROR(__xludf.DUMMYFUNCTION("""COMPUTED_VALUE"""),500000)</f>
        <v>500000</v>
      </c>
      <c r="W177" s="145">
        <f ca="1">IFERROR(__xludf.DUMMYFUNCTION("""COMPUTED_VALUE"""),500000)</f>
        <v>500000</v>
      </c>
      <c r="X177" s="11">
        <f ca="1">IFERROR(__xludf.DUMMYFUNCTION("""COMPUTED_VALUE"""),500000)</f>
        <v>500000</v>
      </c>
      <c r="Y177" s="11">
        <f ca="1">IFERROR(__xludf.DUMMYFUNCTION("""COMPUTED_VALUE"""),0)</f>
        <v>0</v>
      </c>
      <c r="Z177" s="4">
        <f ca="1">IFERROR(__xludf.DUMMYFUNCTION("""COMPUTED_VALUE"""),0)</f>
        <v>0</v>
      </c>
    </row>
    <row r="178" spans="1:26" ht="13" x14ac:dyDescent="0.15">
      <c r="A178" s="43" t="str">
        <f ca="1">IFERROR(__xludf.DUMMYFUNCTION("""COMPUTED_VALUE"""),"")</f>
        <v/>
      </c>
      <c r="B178" s="43" t="str">
        <f ca="1">IFERROR(__xludf.DUMMYFUNCTION("""COMPUTED_VALUE"""),"38307")</f>
        <v>38307</v>
      </c>
      <c r="C178" s="146">
        <f ca="1">IFERROR(__xludf.DUMMYFUNCTION("""COMPUTED_VALUE"""),44597000122)</f>
        <v>44597000122</v>
      </c>
      <c r="D178" s="43" t="str">
        <f ca="1">IFERROR(__xludf.DUMMYFUNCTION("""COMPUTED_VALUE"""),"Cash")</f>
        <v>Cash</v>
      </c>
      <c r="E178" s="147">
        <f ca="1">IFERROR(__xludf.DUMMYFUNCTION("""COMPUTED_VALUE"""),44597)</f>
        <v>44597</v>
      </c>
      <c r="F178" s="43" t="str">
        <f ca="1">IFERROR(__xludf.DUMMYFUNCTION("""COMPUTED_VALUE"""),"Cash")</f>
        <v>Cash</v>
      </c>
      <c r="G178" s="43" t="str">
        <f ca="1">IFERROR(__xludf.DUMMYFUNCTION("""COMPUTED_VALUE"""),"HKD")</f>
        <v>HKD</v>
      </c>
      <c r="H178" s="154" t="str">
        <f ca="1">IFERROR(__xludf.DUMMYFUNCTION("""COMPUTED_VALUE"""),"")</f>
        <v/>
      </c>
      <c r="I178" s="148">
        <f ca="1">IFERROR(__xludf.DUMMYFUNCTION("""COMPUTED_VALUE"""),1)</f>
        <v>1</v>
      </c>
      <c r="J178" s="149">
        <f ca="1">IFERROR(__xludf.DUMMYFUNCTION("""COMPUTED_VALUE"""),1)</f>
        <v>1</v>
      </c>
      <c r="K178" s="43"/>
      <c r="L178" s="149">
        <f ca="1">IFERROR(__xludf.DUMMYFUNCTION("""COMPUTED_VALUE"""),1)</f>
        <v>1</v>
      </c>
      <c r="M178" s="155" t="str">
        <f ca="1">IFERROR(__xludf.DUMMYFUNCTION("""COMPUTED_VALUE"""),"")</f>
        <v/>
      </c>
      <c r="N178" s="43"/>
      <c r="O178" s="43"/>
      <c r="P178" s="157">
        <f ca="1">IFERROR(__xludf.DUMMYFUNCTION("""COMPUTED_VALUE"""),500000)</f>
        <v>500000</v>
      </c>
      <c r="Q178" s="151"/>
      <c r="R178" s="152">
        <f ca="1">IFERROR(__xludf.DUMMYFUNCTION("""COMPUTED_VALUE"""),1)</f>
        <v>1</v>
      </c>
      <c r="S178" s="150" t="str">
        <f ca="1">IFERROR(__xludf.DUMMYFUNCTION("""COMPUTED_VALUE"""),"")</f>
        <v/>
      </c>
      <c r="T178" s="108">
        <f ca="1">IFERROR(__xludf.DUMMYFUNCTION("""COMPUTED_VALUE"""),1)</f>
        <v>1</v>
      </c>
      <c r="U178" s="108">
        <f ca="1">IFERROR(__xludf.DUMMYFUNCTION("""COMPUTED_VALUE"""),1)</f>
        <v>1</v>
      </c>
      <c r="V178" s="158">
        <f ca="1">IFERROR(__xludf.DUMMYFUNCTION("""COMPUTED_VALUE"""),500000)</f>
        <v>500000</v>
      </c>
      <c r="W178" s="44" t="str">
        <f ca="1">IFERROR(__xludf.DUMMYFUNCTION("""COMPUTED_VALUE"""),"")</f>
        <v/>
      </c>
      <c r="X178" s="154" t="str">
        <f ca="1">IFERROR(__xludf.DUMMYFUNCTION("""COMPUTED_VALUE"""),"")</f>
        <v/>
      </c>
      <c r="Y178" s="154" t="str">
        <f ca="1">IFERROR(__xludf.DUMMYFUNCTION("""COMPUTED_VALUE"""),"")</f>
        <v/>
      </c>
      <c r="Z178" s="162" t="str">
        <f ca="1">IFERROR(__xludf.DUMMYFUNCTION("""COMPUTED_VALUE"""),"")</f>
        <v/>
      </c>
    </row>
    <row r="179" spans="1:26" ht="13" x14ac:dyDescent="0.15">
      <c r="A179" s="43" t="str">
        <f ca="1">IFERROR(__xludf.DUMMYFUNCTION("""COMPUTED_VALUE"""),"")</f>
        <v/>
      </c>
      <c r="B179" s="43" t="str">
        <f ca="1">IFERROR(__xludf.DUMMYFUNCTION("""COMPUTED_VALUE"""),"38307")</f>
        <v>38307</v>
      </c>
      <c r="C179" s="146">
        <f ca="1">IFERROR(__xludf.DUMMYFUNCTION("""COMPUTED_VALUE"""),44634000561)</f>
        <v>44634000561</v>
      </c>
      <c r="D179" s="43" t="str">
        <f ca="1">IFERROR(__xludf.DUMMYFUNCTION("""COMPUTED_VALUE"""),"PFE")</f>
        <v>PFE</v>
      </c>
      <c r="E179" s="147">
        <f ca="1">IFERROR(__xludf.DUMMYFUNCTION("""COMPUTED_VALUE"""),44634)</f>
        <v>44634</v>
      </c>
      <c r="F179" s="43" t="str">
        <f ca="1">IFERROR(__xludf.DUMMYFUNCTION("""COMPUTED_VALUE"""),"Stock")</f>
        <v>Stock</v>
      </c>
      <c r="G179" s="43" t="str">
        <f ca="1">IFERROR(__xludf.DUMMYFUNCTION("""COMPUTED_VALUE"""),"USD")</f>
        <v>USD</v>
      </c>
      <c r="H179" s="11">
        <f ca="1">IFERROR(__xludf.DUMMYFUNCTION("""COMPUTED_VALUE"""),500)</f>
        <v>500</v>
      </c>
      <c r="I179" s="148">
        <f ca="1">IFERROR(__xludf.DUMMYFUNCTION("""COMPUTED_VALUE"""),7.82925)</f>
        <v>7.82925</v>
      </c>
      <c r="J179" s="149">
        <f ca="1">IFERROR(__xludf.DUMMYFUNCTION("""COMPUTED_VALUE"""),52.25)</f>
        <v>52.25</v>
      </c>
      <c r="K179" s="43"/>
      <c r="L179" s="149">
        <f ca="1">IFERROR(__xludf.DUMMYFUNCTION("""COMPUTED_VALUE"""),53.04)</f>
        <v>53.04</v>
      </c>
      <c r="M179" s="160" t="str">
        <f ca="1">IFERROR(__xludf.DUMMYFUNCTION("""COMPUTED_VALUE"""),"Equity Key Stats")</f>
        <v>Equity Key Stats</v>
      </c>
      <c r="N179" s="43"/>
      <c r="O179" s="43"/>
      <c r="P179" s="150">
        <f ca="1">IFERROR(__xludf.DUMMYFUNCTION("""COMPUTED_VALUE"""),-204539.15625)</f>
        <v>-204539.15625</v>
      </c>
      <c r="Q179" s="151"/>
      <c r="R179" s="152">
        <f ca="1">IFERROR(__xludf.DUMMYFUNCTION("""COMPUTED_VALUE"""),52.19)</f>
        <v>52.19</v>
      </c>
      <c r="S179" s="127">
        <f ca="1">IFERROR(__xludf.DUMMYFUNCTION("""COMPUTED_VALUE"""),204304.27875)</f>
        <v>204304.27875</v>
      </c>
      <c r="T179" s="108">
        <f ca="1">IFERROR(__xludf.DUMMYFUNCTION("""COMPUTED_VALUE"""),2)</f>
        <v>2</v>
      </c>
      <c r="U179" s="108" t="str">
        <f ca="1">IFERROR(__xludf.DUMMYFUNCTION("""COMPUTED_VALUE"""),"")</f>
        <v/>
      </c>
      <c r="V179" s="153" t="str">
        <f ca="1">IFERROR(__xludf.DUMMYFUNCTION("""COMPUTED_VALUE"""),"")</f>
        <v/>
      </c>
      <c r="W179" s="145" t="str">
        <f ca="1">IFERROR(__xludf.DUMMYFUNCTION("""COMPUTED_VALUE"""),"")</f>
        <v/>
      </c>
      <c r="X179" s="11" t="str">
        <f ca="1">IFERROR(__xludf.DUMMYFUNCTION("""COMPUTED_VALUE"""),"")</f>
        <v/>
      </c>
      <c r="Y179" s="11" t="str">
        <f ca="1">IFERROR(__xludf.DUMMYFUNCTION("""COMPUTED_VALUE"""),"")</f>
        <v/>
      </c>
      <c r="Z179" s="4" t="str">
        <f ca="1">IFERROR(__xludf.DUMMYFUNCTION("""COMPUTED_VALUE"""),"")</f>
        <v/>
      </c>
    </row>
    <row r="180" spans="1:26" ht="13" x14ac:dyDescent="0.15">
      <c r="A180" s="43" t="str">
        <f ca="1">IFERROR(__xludf.DUMMYFUNCTION("""COMPUTED_VALUE"""),"")</f>
        <v/>
      </c>
      <c r="B180" s="43" t="str">
        <f ca="1">IFERROR(__xludf.DUMMYFUNCTION("""COMPUTED_VALUE"""),"38307")</f>
        <v>38307</v>
      </c>
      <c r="C180" s="146">
        <f ca="1">IFERROR(__xludf.DUMMYFUNCTION("""COMPUTED_VALUE"""),44634000574)</f>
        <v>44634000574</v>
      </c>
      <c r="D180" s="163" t="str">
        <f ca="1">IFERROR(__xludf.DUMMYFUNCTION("""COMPUTED_VALUE"""),"PFE")</f>
        <v>PFE</v>
      </c>
      <c r="E180" s="147">
        <f ca="1">IFERROR(__xludf.DUMMYFUNCTION("""COMPUTED_VALUE"""),44634)</f>
        <v>44634</v>
      </c>
      <c r="F180" s="43" t="str">
        <f ca="1">IFERROR(__xludf.DUMMYFUNCTION("""COMPUTED_VALUE"""),"Stock")</f>
        <v>Stock</v>
      </c>
      <c r="G180" s="43" t="str">
        <f ca="1">IFERROR(__xludf.DUMMYFUNCTION("""COMPUTED_VALUE"""),"USD")</f>
        <v>USD</v>
      </c>
      <c r="H180" s="154">
        <f ca="1">IFERROR(__xludf.DUMMYFUNCTION("""COMPUTED_VALUE"""),500)</f>
        <v>500</v>
      </c>
      <c r="I180" s="148">
        <f ca="1">IFERROR(__xludf.DUMMYFUNCTION("""COMPUTED_VALUE"""),7.82925)</f>
        <v>7.82925</v>
      </c>
      <c r="J180" s="149">
        <f ca="1">IFERROR(__xludf.DUMMYFUNCTION("""COMPUTED_VALUE"""),52.25)</f>
        <v>52.25</v>
      </c>
      <c r="K180" s="43"/>
      <c r="L180" s="149">
        <f ca="1">IFERROR(__xludf.DUMMYFUNCTION("""COMPUTED_VALUE"""),53.04)</f>
        <v>53.04</v>
      </c>
      <c r="M180" s="155" t="str">
        <f ca="1">IFERROR(__xludf.DUMMYFUNCTION("""COMPUTED_VALUE"""),"Equity Key Stats")</f>
        <v>Equity Key Stats</v>
      </c>
      <c r="N180" s="43"/>
      <c r="O180" s="43"/>
      <c r="P180" s="150">
        <f ca="1">IFERROR(__xludf.DUMMYFUNCTION("""COMPUTED_VALUE"""),-204539.15625)</f>
        <v>-204539.15625</v>
      </c>
      <c r="Q180" s="151"/>
      <c r="R180" s="152">
        <f ca="1">IFERROR(__xludf.DUMMYFUNCTION("""COMPUTED_VALUE"""),52.19)</f>
        <v>52.19</v>
      </c>
      <c r="S180" s="150">
        <f ca="1">IFERROR(__xludf.DUMMYFUNCTION("""COMPUTED_VALUE"""),204304.27875)</f>
        <v>204304.27875</v>
      </c>
      <c r="T180" s="108">
        <f ca="1">IFERROR(__xludf.DUMMYFUNCTION("""COMPUTED_VALUE"""),2)</f>
        <v>2</v>
      </c>
      <c r="U180" s="43">
        <f ca="1">IFERROR(__xludf.DUMMYFUNCTION("""COMPUTED_VALUE"""),1)</f>
        <v>1</v>
      </c>
      <c r="V180" s="144">
        <f ca="1">IFERROR(__xludf.DUMMYFUNCTION("""COMPUTED_VALUE"""),-469.755000000004)</f>
        <v>-469.75500000000397</v>
      </c>
      <c r="W180" s="145" t="str">
        <f ca="1">IFERROR(__xludf.DUMMYFUNCTION("""COMPUTED_VALUE"""),"")</f>
        <v/>
      </c>
      <c r="X180" s="11" t="str">
        <f ca="1">IFERROR(__xludf.DUMMYFUNCTION("""COMPUTED_VALUE"""),"")</f>
        <v/>
      </c>
      <c r="Y180" s="11" t="str">
        <f ca="1">IFERROR(__xludf.DUMMYFUNCTION("""COMPUTED_VALUE"""),"")</f>
        <v/>
      </c>
      <c r="Z180" s="4" t="str">
        <f ca="1">IFERROR(__xludf.DUMMYFUNCTION("""COMPUTED_VALUE"""),"")</f>
        <v/>
      </c>
    </row>
    <row r="181" spans="1:26" ht="13" x14ac:dyDescent="0.15">
      <c r="A181" s="43" t="str">
        <f ca="1">IFERROR(__xludf.DUMMYFUNCTION("""COMPUTED_VALUE"""),"")</f>
        <v/>
      </c>
      <c r="B181" s="43" t="str">
        <f ca="1">IFERROR(__xludf.DUMMYFUNCTION("""COMPUTED_VALUE"""),"38307")</f>
        <v>38307</v>
      </c>
      <c r="C181" s="146">
        <f ca="1">IFERROR(__xludf.DUMMYFUNCTION("""COMPUTED_VALUE"""),44634000576)</f>
        <v>44634000576</v>
      </c>
      <c r="D181" s="163" t="str">
        <f ca="1">IFERROR(__xludf.DUMMYFUNCTION("""COMPUTED_VALUE"""),"NVAX")</f>
        <v>NVAX</v>
      </c>
      <c r="E181" s="147">
        <f ca="1">IFERROR(__xludf.DUMMYFUNCTION("""COMPUTED_VALUE"""),44634)</f>
        <v>44634</v>
      </c>
      <c r="F181" s="43" t="str">
        <f ca="1">IFERROR(__xludf.DUMMYFUNCTION("""COMPUTED_VALUE"""),"Stock")</f>
        <v>Stock</v>
      </c>
      <c r="G181" s="43" t="str">
        <f ca="1">IFERROR(__xludf.DUMMYFUNCTION("""COMPUTED_VALUE"""),"USD")</f>
        <v>USD</v>
      </c>
      <c r="H181" s="154">
        <f ca="1">IFERROR(__xludf.DUMMYFUNCTION("""COMPUTED_VALUE"""),300)</f>
        <v>300</v>
      </c>
      <c r="I181" s="148">
        <f ca="1">IFERROR(__xludf.DUMMYFUNCTION("""COMPUTED_VALUE"""),7.82925)</f>
        <v>7.82925</v>
      </c>
      <c r="J181" s="149">
        <f ca="1">IFERROR(__xludf.DUMMYFUNCTION("""COMPUTED_VALUE"""),71.93)</f>
        <v>71.930000000000007</v>
      </c>
      <c r="K181" s="43"/>
      <c r="L181" s="149">
        <f ca="1">IFERROR(__xludf.DUMMYFUNCTION("""COMPUTED_VALUE"""),83.8)</f>
        <v>83.8</v>
      </c>
      <c r="M181" s="155" t="str">
        <f ca="1">IFERROR(__xludf.DUMMYFUNCTION("""COMPUTED_VALUE"""),"Equity Key Stats")</f>
        <v>Equity Key Stats</v>
      </c>
      <c r="N181" s="43"/>
      <c r="O181" s="43"/>
      <c r="P181" s="150">
        <f ca="1">IFERROR(__xludf.DUMMYFUNCTION("""COMPUTED_VALUE"""),-168947.38575)</f>
        <v>-168947.38574999999</v>
      </c>
      <c r="Q181" s="151"/>
      <c r="R181" s="152">
        <f ca="1">IFERROR(__xludf.DUMMYFUNCTION("""COMPUTED_VALUE"""),80.18)</f>
        <v>80.180000000000007</v>
      </c>
      <c r="S181" s="150">
        <f ca="1">IFERROR(__xludf.DUMMYFUNCTION("""COMPUTED_VALUE"""),188324.7795)</f>
        <v>188324.7795</v>
      </c>
      <c r="T181" s="108">
        <f ca="1">IFERROR(__xludf.DUMMYFUNCTION("""COMPUTED_VALUE"""),1)</f>
        <v>1</v>
      </c>
      <c r="U181" s="108">
        <f ca="1">IFERROR(__xludf.DUMMYFUNCTION("""COMPUTED_VALUE"""),1)</f>
        <v>1</v>
      </c>
      <c r="V181" s="153">
        <f ca="1">IFERROR(__xludf.DUMMYFUNCTION("""COMPUTED_VALUE"""),19377.39375)</f>
        <v>19377.393749999999</v>
      </c>
      <c r="W181" s="145" t="str">
        <f ca="1">IFERROR(__xludf.DUMMYFUNCTION("""COMPUTED_VALUE"""),"")</f>
        <v/>
      </c>
      <c r="X181" s="11" t="str">
        <f ca="1">IFERROR(__xludf.DUMMYFUNCTION("""COMPUTED_VALUE"""),"")</f>
        <v/>
      </c>
      <c r="Y181" s="11" t="str">
        <f ca="1">IFERROR(__xludf.DUMMYFUNCTION("""COMPUTED_VALUE"""),"")</f>
        <v/>
      </c>
      <c r="Z181" s="4" t="str">
        <f ca="1">IFERROR(__xludf.DUMMYFUNCTION("""COMPUTED_VALUE"""),"")</f>
        <v/>
      </c>
    </row>
    <row r="182" spans="1:26" ht="13" x14ac:dyDescent="0.15">
      <c r="A182" s="43" t="str">
        <f ca="1">IFERROR(__xludf.DUMMYFUNCTION("""COMPUTED_VALUE"""),"")</f>
        <v/>
      </c>
      <c r="B182" s="43" t="str">
        <f ca="1">IFERROR(__xludf.DUMMYFUNCTION("""COMPUTED_VALUE"""),"38307")</f>
        <v>38307</v>
      </c>
      <c r="C182" s="146">
        <f ca="1">IFERROR(__xludf.DUMMYFUNCTION("""COMPUTED_VALUE"""),44635000593)</f>
        <v>44635000593</v>
      </c>
      <c r="D182" s="163" t="str">
        <f ca="1">IFERROR(__xludf.DUMMYFUNCTION("""COMPUTED_VALUE"""),"603939.SS")</f>
        <v>603939.SS</v>
      </c>
      <c r="E182" s="147">
        <f ca="1">IFERROR(__xludf.DUMMYFUNCTION("""COMPUTED_VALUE"""),44635)</f>
        <v>44635</v>
      </c>
      <c r="F182" s="43" t="str">
        <f ca="1">IFERROR(__xludf.DUMMYFUNCTION("""COMPUTED_VALUE"""),"Stock")</f>
        <v>Stock</v>
      </c>
      <c r="G182" s="43" t="str">
        <f ca="1">IFERROR(__xludf.DUMMYFUNCTION("""COMPUTED_VALUE"""),"CNY")</f>
        <v>CNY</v>
      </c>
      <c r="H182" s="154">
        <f ca="1">IFERROR(__xludf.DUMMYFUNCTION("""COMPUTED_VALUE"""),700)</f>
        <v>700</v>
      </c>
      <c r="I182" s="148">
        <f ca="1">IFERROR(__xludf.DUMMYFUNCTION("""COMPUTED_VALUE"""),1.228816)</f>
        <v>1.2288159999999999</v>
      </c>
      <c r="J182" s="149">
        <f ca="1">IFERROR(__xludf.DUMMYFUNCTION("""COMPUTED_VALUE"""),42.46)</f>
        <v>42.46</v>
      </c>
      <c r="K182" s="43"/>
      <c r="L182" s="149">
        <f ca="1">IFERROR(__xludf.DUMMYFUNCTION("""COMPUTED_VALUE"""),41.45)</f>
        <v>41.45</v>
      </c>
      <c r="M182" s="155" t="str">
        <f ca="1">IFERROR(__xludf.DUMMYFUNCTION("""COMPUTED_VALUE"""),"Equity Key Stats")</f>
        <v>Equity Key Stats</v>
      </c>
      <c r="N182" s="43"/>
      <c r="O182" s="43"/>
      <c r="P182" s="150">
        <f ca="1">IFERROR(__xludf.DUMMYFUNCTION("""COMPUTED_VALUE"""),-36522.869152)</f>
        <v>-36522.869151999999</v>
      </c>
      <c r="Q182" s="151"/>
      <c r="R182" s="152">
        <f ca="1">IFERROR(__xludf.DUMMYFUNCTION("""COMPUTED_VALUE"""),41.45)</f>
        <v>41.45</v>
      </c>
      <c r="S182" s="150">
        <f ca="1">IFERROR(__xludf.DUMMYFUNCTION("""COMPUTED_VALUE"""),35654.09624)</f>
        <v>35654.096239999999</v>
      </c>
      <c r="T182" s="108">
        <f ca="1">IFERROR(__xludf.DUMMYFUNCTION("""COMPUTED_VALUE"""),1)</f>
        <v>1</v>
      </c>
      <c r="U182" s="43">
        <f ca="1">IFERROR(__xludf.DUMMYFUNCTION("""COMPUTED_VALUE"""),1)</f>
        <v>1</v>
      </c>
      <c r="V182" s="144">
        <f ca="1">IFERROR(__xludf.DUMMYFUNCTION("""COMPUTED_VALUE"""),-868.772912)</f>
        <v>-868.77291200000002</v>
      </c>
      <c r="W182" s="145" t="str">
        <f ca="1">IFERROR(__xludf.DUMMYFUNCTION("""COMPUTED_VALUE"""),"")</f>
        <v/>
      </c>
      <c r="X182" s="11" t="str">
        <f ca="1">IFERROR(__xludf.DUMMYFUNCTION("""COMPUTED_VALUE"""),"")</f>
        <v/>
      </c>
      <c r="Y182" s="11" t="str">
        <f ca="1">IFERROR(__xludf.DUMMYFUNCTION("""COMPUTED_VALUE"""),"")</f>
        <v/>
      </c>
      <c r="Z182" s="4" t="str">
        <f ca="1">IFERROR(__xludf.DUMMYFUNCTION("""COMPUTED_VALUE"""),"")</f>
        <v/>
      </c>
    </row>
    <row r="183" spans="1:26" ht="13" x14ac:dyDescent="0.15">
      <c r="A183" s="43" t="str">
        <f ca="1">IFERROR(__xludf.DUMMYFUNCTION("""COMPUTED_VALUE"""),"38307")</f>
        <v>38307</v>
      </c>
      <c r="B183" s="43" t="str">
        <f ca="1">IFERROR(__xludf.DUMMYFUNCTION("""COMPUTED_VALUE"""),"38307")</f>
        <v>38307</v>
      </c>
      <c r="C183" s="146">
        <f ca="1">IFERROR(__xludf.DUMMYFUNCTION("""COMPUTED_VALUE"""),44635000594)</f>
        <v>44635000594</v>
      </c>
      <c r="D183" s="163" t="str">
        <f ca="1">IFERROR(__xludf.DUMMYFUNCTION("""COMPUTED_VALUE"""),"603392.SS")</f>
        <v>603392.SS</v>
      </c>
      <c r="E183" s="147">
        <f ca="1">IFERROR(__xludf.DUMMYFUNCTION("""COMPUTED_VALUE"""),44635)</f>
        <v>44635</v>
      </c>
      <c r="F183" s="43" t="str">
        <f ca="1">IFERROR(__xludf.DUMMYFUNCTION("""COMPUTED_VALUE"""),"Stock")</f>
        <v>Stock</v>
      </c>
      <c r="G183" s="43" t="str">
        <f ca="1">IFERROR(__xludf.DUMMYFUNCTION("""COMPUTED_VALUE"""),"CNY")</f>
        <v>CNY</v>
      </c>
      <c r="H183" s="154" t="str">
        <f ca="1">IFERROR(__xludf.DUMMYFUNCTION("""COMPUTED_VALUE"""),"")</f>
        <v/>
      </c>
      <c r="I183" s="148">
        <f ca="1">IFERROR(__xludf.DUMMYFUNCTION("""COMPUTED_VALUE"""),1.228816)</f>
        <v>1.2288159999999999</v>
      </c>
      <c r="J183" s="149">
        <f ca="1">IFERROR(__xludf.DUMMYFUNCTION("""COMPUTED_VALUE"""),246)</f>
        <v>246</v>
      </c>
      <c r="K183" s="43"/>
      <c r="L183" s="149">
        <f ca="1">IFERROR(__xludf.DUMMYFUNCTION("""COMPUTED_VALUE"""),271.43)</f>
        <v>271.43</v>
      </c>
      <c r="M183" s="155" t="str">
        <f ca="1">IFERROR(__xludf.DUMMYFUNCTION("""COMPUTED_VALUE"""),"Equity Key Stats")</f>
        <v>Equity Key Stats</v>
      </c>
      <c r="N183" s="43"/>
      <c r="O183" s="43"/>
      <c r="P183" s="157">
        <f ca="1">IFERROR(__xludf.DUMMYFUNCTION("""COMPUTED_VALUE"""),0)</f>
        <v>0</v>
      </c>
      <c r="Q183" s="151"/>
      <c r="R183" s="152">
        <f ca="1">IFERROR(__xludf.DUMMYFUNCTION("""COMPUTED_VALUE"""),271.97)</f>
        <v>271.97000000000003</v>
      </c>
      <c r="S183" s="150">
        <f ca="1">IFERROR(__xludf.DUMMYFUNCTION("""COMPUTED_VALUE"""),0)</f>
        <v>0</v>
      </c>
      <c r="T183" s="108">
        <f ca="1">IFERROR(__xludf.DUMMYFUNCTION("""COMPUTED_VALUE"""),1)</f>
        <v>1</v>
      </c>
      <c r="U183" s="108">
        <f ca="1">IFERROR(__xludf.DUMMYFUNCTION("""COMPUTED_VALUE"""),1)</f>
        <v>1</v>
      </c>
      <c r="V183" s="158">
        <f ca="1">IFERROR(__xludf.DUMMYFUNCTION("""COMPUTED_VALUE"""),0)</f>
        <v>0</v>
      </c>
      <c r="W183" s="44">
        <f ca="1">IFERROR(__xludf.DUMMYFUNCTION("""COMPUTED_VALUE"""),518038.865838)</f>
        <v>518038.86583800003</v>
      </c>
      <c r="X183" s="154">
        <f ca="1">IFERROR(__xludf.DUMMYFUNCTION("""COMPUTED_VALUE"""),-114548.567402)</f>
        <v>-114548.567402</v>
      </c>
      <c r="Y183" s="154">
        <f ca="1">IFERROR(__xludf.DUMMYFUNCTION("""COMPUTED_VALUE"""),114548.567402)</f>
        <v>114548.567402</v>
      </c>
      <c r="Z183" s="162">
        <f ca="1">IFERROR(__xludf.DUMMYFUNCTION("""COMPUTED_VALUE"""),0.0360777316760001)</f>
        <v>3.6077731676000098E-2</v>
      </c>
    </row>
    <row r="184" spans="1:26" ht="13" x14ac:dyDescent="0.15">
      <c r="A184" s="43" t="str">
        <f ca="1">IFERROR(__xludf.DUMMYFUNCTION("""COMPUTED_VALUE"""),"38369")</f>
        <v>38369</v>
      </c>
      <c r="B184" s="43" t="str">
        <f ca="1">IFERROR(__xludf.DUMMYFUNCTION("""COMPUTED_VALUE"""),"38369")</f>
        <v>38369</v>
      </c>
      <c r="C184" s="146">
        <f ca="1">IFERROR(__xludf.DUMMYFUNCTION("""COMPUTED_VALUE"""),44597000088)</f>
        <v>44597000088</v>
      </c>
      <c r="D184" s="43" t="str">
        <f ca="1">IFERROR(__xludf.DUMMYFUNCTION("""COMPUTED_VALUE"""),"Cash")</f>
        <v>Cash</v>
      </c>
      <c r="E184" s="147">
        <f ca="1">IFERROR(__xludf.DUMMYFUNCTION("""COMPUTED_VALUE"""),44597)</f>
        <v>44597</v>
      </c>
      <c r="F184" s="43" t="str">
        <f ca="1">IFERROR(__xludf.DUMMYFUNCTION("""COMPUTED_VALUE"""),"Cash")</f>
        <v>Cash</v>
      </c>
      <c r="G184" s="43" t="str">
        <f ca="1">IFERROR(__xludf.DUMMYFUNCTION("""COMPUTED_VALUE"""),"HKD")</f>
        <v>HKD</v>
      </c>
      <c r="H184" s="11" t="str">
        <f ca="1">IFERROR(__xludf.DUMMYFUNCTION("""COMPUTED_VALUE"""),"")</f>
        <v/>
      </c>
      <c r="I184" s="148">
        <f ca="1">IFERROR(__xludf.DUMMYFUNCTION("""COMPUTED_VALUE"""),1)</f>
        <v>1</v>
      </c>
      <c r="J184" s="108">
        <f ca="1">IFERROR(__xludf.DUMMYFUNCTION("""COMPUTED_VALUE"""),1)</f>
        <v>1</v>
      </c>
      <c r="K184" s="43"/>
      <c r="L184" s="149">
        <f ca="1">IFERROR(__xludf.DUMMYFUNCTION("""COMPUTED_VALUE"""),1)</f>
        <v>1</v>
      </c>
      <c r="M184" s="3" t="str">
        <f ca="1">IFERROR(__xludf.DUMMYFUNCTION("""COMPUTED_VALUE"""),"")</f>
        <v/>
      </c>
      <c r="N184" s="43"/>
      <c r="O184" s="43"/>
      <c r="P184" s="150">
        <f ca="1">IFERROR(__xludf.DUMMYFUNCTION("""COMPUTED_VALUE"""),500000)</f>
        <v>500000</v>
      </c>
      <c r="Q184" s="151"/>
      <c r="R184" s="152">
        <f ca="1">IFERROR(__xludf.DUMMYFUNCTION("""COMPUTED_VALUE"""),1)</f>
        <v>1</v>
      </c>
      <c r="S184" s="127" t="str">
        <f ca="1">IFERROR(__xludf.DUMMYFUNCTION("""COMPUTED_VALUE"""),"")</f>
        <v/>
      </c>
      <c r="T184" s="108">
        <f ca="1">IFERROR(__xludf.DUMMYFUNCTION("""COMPUTED_VALUE"""),1)</f>
        <v>1</v>
      </c>
      <c r="U184" s="108">
        <f ca="1">IFERROR(__xludf.DUMMYFUNCTION("""COMPUTED_VALUE"""),1)</f>
        <v>1</v>
      </c>
      <c r="V184" s="153">
        <f ca="1">IFERROR(__xludf.DUMMYFUNCTION("""COMPUTED_VALUE"""),500000)</f>
        <v>500000</v>
      </c>
      <c r="W184" s="44">
        <f ca="1">IFERROR(__xludf.DUMMYFUNCTION("""COMPUTED_VALUE"""),500000)</f>
        <v>500000</v>
      </c>
      <c r="X184" s="154">
        <f ca="1">IFERROR(__xludf.DUMMYFUNCTION("""COMPUTED_VALUE"""),500000)</f>
        <v>500000</v>
      </c>
      <c r="Y184" s="154">
        <f ca="1">IFERROR(__xludf.DUMMYFUNCTION("""COMPUTED_VALUE"""),0)</f>
        <v>0</v>
      </c>
      <c r="Z184" s="159">
        <f ca="1">IFERROR(__xludf.DUMMYFUNCTION("""COMPUTED_VALUE"""),0)</f>
        <v>0</v>
      </c>
    </row>
    <row r="185" spans="1:26" ht="13" x14ac:dyDescent="0.15">
      <c r="A185" s="43" t="str">
        <f ca="1">IFERROR(__xludf.DUMMYFUNCTION("""COMPUTED_VALUE"""),"")</f>
        <v/>
      </c>
      <c r="B185" s="43" t="str">
        <f ca="1">IFERROR(__xludf.DUMMYFUNCTION("""COMPUTED_VALUE"""),"38381")</f>
        <v>38381</v>
      </c>
      <c r="C185" s="146">
        <f ca="1">IFERROR(__xludf.DUMMYFUNCTION("""COMPUTED_VALUE"""),44597000043)</f>
        <v>44597000043</v>
      </c>
      <c r="D185" s="43" t="str">
        <f ca="1">IFERROR(__xludf.DUMMYFUNCTION("""COMPUTED_VALUE"""),"Cash")</f>
        <v>Cash</v>
      </c>
      <c r="E185" s="147">
        <f ca="1">IFERROR(__xludf.DUMMYFUNCTION("""COMPUTED_VALUE"""),44597)</f>
        <v>44597</v>
      </c>
      <c r="F185" s="43" t="str">
        <f ca="1">IFERROR(__xludf.DUMMYFUNCTION("""COMPUTED_VALUE"""),"Cash")</f>
        <v>Cash</v>
      </c>
      <c r="G185" s="43" t="str">
        <f ca="1">IFERROR(__xludf.DUMMYFUNCTION("""COMPUTED_VALUE"""),"HKD")</f>
        <v>HKD</v>
      </c>
      <c r="H185" s="11" t="str">
        <f ca="1">IFERROR(__xludf.DUMMYFUNCTION("""COMPUTED_VALUE"""),"")</f>
        <v/>
      </c>
      <c r="I185" s="148">
        <f ca="1">IFERROR(__xludf.DUMMYFUNCTION("""COMPUTED_VALUE"""),1)</f>
        <v>1</v>
      </c>
      <c r="J185" s="108">
        <f ca="1">IFERROR(__xludf.DUMMYFUNCTION("""COMPUTED_VALUE"""),1)</f>
        <v>1</v>
      </c>
      <c r="K185" s="43"/>
      <c r="L185" s="149">
        <f ca="1">IFERROR(__xludf.DUMMYFUNCTION("""COMPUTED_VALUE"""),1)</f>
        <v>1</v>
      </c>
      <c r="M185" s="3" t="str">
        <f ca="1">IFERROR(__xludf.DUMMYFUNCTION("""COMPUTED_VALUE"""),"")</f>
        <v/>
      </c>
      <c r="N185" s="43"/>
      <c r="O185" s="43"/>
      <c r="P185" s="150">
        <f ca="1">IFERROR(__xludf.DUMMYFUNCTION("""COMPUTED_VALUE"""),500000)</f>
        <v>500000</v>
      </c>
      <c r="Q185" s="151"/>
      <c r="R185" s="152">
        <f ca="1">IFERROR(__xludf.DUMMYFUNCTION("""COMPUTED_VALUE"""),1)</f>
        <v>1</v>
      </c>
      <c r="S185" s="127" t="str">
        <f ca="1">IFERROR(__xludf.DUMMYFUNCTION("""COMPUTED_VALUE"""),"")</f>
        <v/>
      </c>
      <c r="T185" s="108">
        <f ca="1">IFERROR(__xludf.DUMMYFUNCTION("""COMPUTED_VALUE"""),1)</f>
        <v>1</v>
      </c>
      <c r="U185" s="108">
        <f ca="1">IFERROR(__xludf.DUMMYFUNCTION("""COMPUTED_VALUE"""),1)</f>
        <v>1</v>
      </c>
      <c r="V185" s="153">
        <f ca="1">IFERROR(__xludf.DUMMYFUNCTION("""COMPUTED_VALUE"""),500000)</f>
        <v>500000</v>
      </c>
      <c r="W185" s="145" t="str">
        <f ca="1">IFERROR(__xludf.DUMMYFUNCTION("""COMPUTED_VALUE"""),"")</f>
        <v/>
      </c>
      <c r="X185" s="11" t="str">
        <f ca="1">IFERROR(__xludf.DUMMYFUNCTION("""COMPUTED_VALUE"""),"")</f>
        <v/>
      </c>
      <c r="Y185" s="11" t="str">
        <f ca="1">IFERROR(__xludf.DUMMYFUNCTION("""COMPUTED_VALUE"""),"")</f>
        <v/>
      </c>
      <c r="Z185" s="4" t="str">
        <f ca="1">IFERROR(__xludf.DUMMYFUNCTION("""COMPUTED_VALUE"""),"")</f>
        <v/>
      </c>
    </row>
    <row r="186" spans="1:26" ht="13" x14ac:dyDescent="0.15">
      <c r="A186" s="43" t="str">
        <f ca="1">IFERROR(__xludf.DUMMYFUNCTION("""COMPUTED_VALUE"""),"")</f>
        <v/>
      </c>
      <c r="B186" s="43" t="str">
        <f ca="1">IFERROR(__xludf.DUMMYFUNCTION("""COMPUTED_VALUE"""),"38381")</f>
        <v>38381</v>
      </c>
      <c r="C186" s="146">
        <f ca="1">IFERROR(__xludf.DUMMYFUNCTION("""COMPUTED_VALUE"""),44636000641)</f>
        <v>44636000641</v>
      </c>
      <c r="D186" s="43" t="str">
        <f ca="1">IFERROR(__xludf.DUMMYFUNCTION("""COMPUTED_VALUE"""),"BZ=F")</f>
        <v>BZ=F</v>
      </c>
      <c r="E186" s="147">
        <f ca="1">IFERROR(__xludf.DUMMYFUNCTION("""COMPUTED_VALUE"""),44636)</f>
        <v>44636</v>
      </c>
      <c r="F186" s="43" t="str">
        <f ca="1">IFERROR(__xludf.DUMMYFUNCTION("""COMPUTED_VALUE"""),"Stock")</f>
        <v>Stock</v>
      </c>
      <c r="G186" s="43" t="str">
        <f ca="1">IFERROR(__xludf.DUMMYFUNCTION("""COMPUTED_VALUE"""),"USD")</f>
        <v>USD</v>
      </c>
      <c r="H186" s="156">
        <f ca="1">IFERROR(__xludf.DUMMYFUNCTION("""COMPUTED_VALUE"""),200)</f>
        <v>200</v>
      </c>
      <c r="I186" s="148">
        <f ca="1">IFERROR(__xludf.DUMMYFUNCTION("""COMPUTED_VALUE"""),7.82055)</f>
        <v>7.8205499999999999</v>
      </c>
      <c r="J186" s="149">
        <f ca="1">IFERROR(__xludf.DUMMYFUNCTION("""COMPUTED_VALUE"""),98.51)</f>
        <v>98.51</v>
      </c>
      <c r="K186" s="43"/>
      <c r="L186" s="149">
        <f ca="1">IFERROR(__xludf.DUMMYFUNCTION("""COMPUTED_VALUE"""),114.93)</f>
        <v>114.93</v>
      </c>
      <c r="M186" s="155" t="str">
        <f ca="1">IFERROR(__xludf.DUMMYFUNCTION("""COMPUTED_VALUE"""),"Equity Key Stats")</f>
        <v>Equity Key Stats</v>
      </c>
      <c r="N186" s="43"/>
      <c r="O186" s="43"/>
      <c r="P186" s="150">
        <f ca="1">IFERROR(__xludf.DUMMYFUNCTION("""COMPUTED_VALUE"""),-154080.4761)</f>
        <v>-154080.4761</v>
      </c>
      <c r="Q186" s="151"/>
      <c r="R186" s="152">
        <f ca="1">IFERROR(__xludf.DUMMYFUNCTION("""COMPUTED_VALUE"""),122.65)</f>
        <v>122.65</v>
      </c>
      <c r="S186" s="157">
        <f ca="1">IFERROR(__xludf.DUMMYFUNCTION("""COMPUTED_VALUE"""),191838.0915)</f>
        <v>191838.09150000001</v>
      </c>
      <c r="T186" s="108">
        <f ca="1">IFERROR(__xludf.DUMMYFUNCTION("""COMPUTED_VALUE"""),1)</f>
        <v>1</v>
      </c>
      <c r="U186" s="43">
        <f ca="1">IFERROR(__xludf.DUMMYFUNCTION("""COMPUTED_VALUE"""),1)</f>
        <v>1</v>
      </c>
      <c r="V186" s="144">
        <f ca="1">IFERROR(__xludf.DUMMYFUNCTION("""COMPUTED_VALUE"""),37757.6154)</f>
        <v>37757.615400000002</v>
      </c>
      <c r="W186" s="145" t="str">
        <f ca="1">IFERROR(__xludf.DUMMYFUNCTION("""COMPUTED_VALUE"""),"")</f>
        <v/>
      </c>
      <c r="X186" s="11" t="str">
        <f ca="1">IFERROR(__xludf.DUMMYFUNCTION("""COMPUTED_VALUE"""),"")</f>
        <v/>
      </c>
      <c r="Y186" s="11" t="str">
        <f ca="1">IFERROR(__xludf.DUMMYFUNCTION("""COMPUTED_VALUE"""),"")</f>
        <v/>
      </c>
      <c r="Z186" s="4" t="str">
        <f ca="1">IFERROR(__xludf.DUMMYFUNCTION("""COMPUTED_VALUE"""),"")</f>
        <v/>
      </c>
    </row>
    <row r="187" spans="1:26" ht="13" x14ac:dyDescent="0.15">
      <c r="A187" s="43" t="str">
        <f ca="1">IFERROR(__xludf.DUMMYFUNCTION("""COMPUTED_VALUE"""),"")</f>
        <v/>
      </c>
      <c r="B187" s="43" t="str">
        <f ca="1">IFERROR(__xludf.DUMMYFUNCTION("""COMPUTED_VALUE"""),"38381")</f>
        <v>38381</v>
      </c>
      <c r="C187" s="146">
        <f ca="1">IFERROR(__xludf.DUMMYFUNCTION("""COMPUTED_VALUE"""),44636000642)</f>
        <v>44636000642</v>
      </c>
      <c r="D187" s="43" t="str">
        <f ca="1">IFERROR(__xludf.DUMMYFUNCTION("""COMPUTED_VALUE"""),"AAPL")</f>
        <v>AAPL</v>
      </c>
      <c r="E187" s="147">
        <f ca="1">IFERROR(__xludf.DUMMYFUNCTION("""COMPUTED_VALUE"""),44636)</f>
        <v>44636</v>
      </c>
      <c r="F187" s="43" t="str">
        <f ca="1">IFERROR(__xludf.DUMMYFUNCTION("""COMPUTED_VALUE"""),"Stock")</f>
        <v>Stock</v>
      </c>
      <c r="G187" s="43" t="str">
        <f ca="1">IFERROR(__xludf.DUMMYFUNCTION("""COMPUTED_VALUE"""),"USD")</f>
        <v>USD</v>
      </c>
      <c r="H187" s="154">
        <f ca="1">IFERROR(__xludf.DUMMYFUNCTION("""COMPUTED_VALUE"""),300)</f>
        <v>300</v>
      </c>
      <c r="I187" s="148">
        <f ca="1">IFERROR(__xludf.DUMMYFUNCTION("""COMPUTED_VALUE"""),7.82055)</f>
        <v>7.8205499999999999</v>
      </c>
      <c r="J187" s="149">
        <f ca="1">IFERROR(__xludf.DUMMYFUNCTION("""COMPUTED_VALUE"""),159.59)</f>
        <v>159.59</v>
      </c>
      <c r="K187" s="43"/>
      <c r="L187" s="149">
        <f ca="1">IFERROR(__xludf.DUMMYFUNCTION("""COMPUTED_VALUE"""),168.82)</f>
        <v>168.82</v>
      </c>
      <c r="M187" s="155" t="str">
        <f ca="1">IFERROR(__xludf.DUMMYFUNCTION("""COMPUTED_VALUE"""),"Equity Key Stats")</f>
        <v>Equity Key Stats</v>
      </c>
      <c r="N187" s="43"/>
      <c r="O187" s="43"/>
      <c r="P187" s="157">
        <f ca="1">IFERROR(__xludf.DUMMYFUNCTION("""COMPUTED_VALUE"""),-374424.47235)</f>
        <v>-374424.47235</v>
      </c>
      <c r="Q187" s="151"/>
      <c r="R187" s="152">
        <f ca="1">IFERROR(__xludf.DUMMYFUNCTION("""COMPUTED_VALUE"""),170.21)</f>
        <v>170.21</v>
      </c>
      <c r="S187" s="150">
        <f ca="1">IFERROR(__xludf.DUMMYFUNCTION("""COMPUTED_VALUE"""),399340.74465)</f>
        <v>399340.74465000001</v>
      </c>
      <c r="T187" s="108">
        <f ca="1">IFERROR(__xludf.DUMMYFUNCTION("""COMPUTED_VALUE"""),1)</f>
        <v>1</v>
      </c>
      <c r="U187" s="43">
        <f ca="1">IFERROR(__xludf.DUMMYFUNCTION("""COMPUTED_VALUE"""),1)</f>
        <v>1</v>
      </c>
      <c r="V187" s="144">
        <f ca="1">IFERROR(__xludf.DUMMYFUNCTION("""COMPUTED_VALUE"""),24916.2723)</f>
        <v>24916.272300000001</v>
      </c>
      <c r="W187" s="145" t="str">
        <f ca="1">IFERROR(__xludf.DUMMYFUNCTION("""COMPUTED_VALUE"""),"")</f>
        <v/>
      </c>
      <c r="X187" s="11" t="str">
        <f ca="1">IFERROR(__xludf.DUMMYFUNCTION("""COMPUTED_VALUE"""),"")</f>
        <v/>
      </c>
      <c r="Y187" s="11" t="str">
        <f ca="1">IFERROR(__xludf.DUMMYFUNCTION("""COMPUTED_VALUE"""),"")</f>
        <v/>
      </c>
      <c r="Z187" s="4" t="str">
        <f ca="1">IFERROR(__xludf.DUMMYFUNCTION("""COMPUTED_VALUE"""),"")</f>
        <v/>
      </c>
    </row>
    <row r="188" spans="1:26" ht="13" x14ac:dyDescent="0.15">
      <c r="A188" s="43" t="str">
        <f ca="1">IFERROR(__xludf.DUMMYFUNCTION("""COMPUTED_VALUE"""),"")</f>
        <v/>
      </c>
      <c r="B188" s="43" t="str">
        <f ca="1">IFERROR(__xludf.DUMMYFUNCTION("""COMPUTED_VALUE"""),"38381")</f>
        <v>38381</v>
      </c>
      <c r="C188" s="146">
        <f ca="1">IFERROR(__xludf.DUMMYFUNCTION("""COMPUTED_VALUE"""),44637000672)</f>
        <v>44637000672</v>
      </c>
      <c r="D188" s="161" t="str">
        <f ca="1">IFERROR(__xludf.DUMMYFUNCTION("""COMPUTED_VALUE"""),"3988.HK")</f>
        <v>3988.HK</v>
      </c>
      <c r="E188" s="147">
        <f ca="1">IFERROR(__xludf.DUMMYFUNCTION("""COMPUTED_VALUE"""),44637)</f>
        <v>44637</v>
      </c>
      <c r="F188" s="43" t="str">
        <f ca="1">IFERROR(__xludf.DUMMYFUNCTION("""COMPUTED_VALUE"""),"Stock")</f>
        <v>Stock</v>
      </c>
      <c r="G188" s="43" t="str">
        <f ca="1">IFERROR(__xludf.DUMMYFUNCTION("""COMPUTED_VALUE"""),"HKD")</f>
        <v>HKD</v>
      </c>
      <c r="H188" s="154">
        <f ca="1">IFERROR(__xludf.DUMMYFUNCTION("""COMPUTED_VALUE"""),300)</f>
        <v>300</v>
      </c>
      <c r="I188" s="148">
        <f ca="1">IFERROR(__xludf.DUMMYFUNCTION("""COMPUTED_VALUE"""),1)</f>
        <v>1</v>
      </c>
      <c r="J188" s="149">
        <f ca="1">IFERROR(__xludf.DUMMYFUNCTION("""COMPUTED_VALUE"""),2.98)</f>
        <v>2.98</v>
      </c>
      <c r="K188" s="43"/>
      <c r="L188" s="149">
        <f ca="1">IFERROR(__xludf.DUMMYFUNCTION("""COMPUTED_VALUE"""),2.99)</f>
        <v>2.99</v>
      </c>
      <c r="M188" s="155" t="str">
        <f ca="1">IFERROR(__xludf.DUMMYFUNCTION("""COMPUTED_VALUE"""),"Equity Key Stats")</f>
        <v>Equity Key Stats</v>
      </c>
      <c r="N188" s="43"/>
      <c r="O188" s="43"/>
      <c r="P188" s="157">
        <f ca="1">IFERROR(__xludf.DUMMYFUNCTION("""COMPUTED_VALUE"""),-894)</f>
        <v>-894</v>
      </c>
      <c r="Q188" s="151"/>
      <c r="R188" s="152">
        <f ca="1">IFERROR(__xludf.DUMMYFUNCTION("""COMPUTED_VALUE"""),3)</f>
        <v>3</v>
      </c>
      <c r="S188" s="150">
        <f ca="1">IFERROR(__xludf.DUMMYFUNCTION("""COMPUTED_VALUE"""),900)</f>
        <v>900</v>
      </c>
      <c r="T188" s="108">
        <f ca="1">IFERROR(__xludf.DUMMYFUNCTION("""COMPUTED_VALUE"""),1)</f>
        <v>1</v>
      </c>
      <c r="U188" s="43">
        <f ca="1">IFERROR(__xludf.DUMMYFUNCTION("""COMPUTED_VALUE"""),1)</f>
        <v>1</v>
      </c>
      <c r="V188" s="144">
        <f ca="1">IFERROR(__xludf.DUMMYFUNCTION("""COMPUTED_VALUE"""),6)</f>
        <v>6</v>
      </c>
      <c r="W188" s="145" t="str">
        <f ca="1">IFERROR(__xludf.DUMMYFUNCTION("""COMPUTED_VALUE"""),"")</f>
        <v/>
      </c>
      <c r="X188" s="11" t="str">
        <f ca="1">IFERROR(__xludf.DUMMYFUNCTION("""COMPUTED_VALUE"""),"")</f>
        <v/>
      </c>
      <c r="Y188" s="11" t="str">
        <f ca="1">IFERROR(__xludf.DUMMYFUNCTION("""COMPUTED_VALUE"""),"")</f>
        <v/>
      </c>
      <c r="Z188" s="4" t="str">
        <f ca="1">IFERROR(__xludf.DUMMYFUNCTION("""COMPUTED_VALUE"""),"")</f>
        <v/>
      </c>
    </row>
    <row r="189" spans="1:26" ht="13" x14ac:dyDescent="0.15">
      <c r="A189" s="43" t="str">
        <f ca="1">IFERROR(__xludf.DUMMYFUNCTION("""COMPUTED_VALUE"""),"38381")</f>
        <v>38381</v>
      </c>
      <c r="B189" s="43" t="str">
        <f ca="1">IFERROR(__xludf.DUMMYFUNCTION("""COMPUTED_VALUE"""),"38381")</f>
        <v>38381</v>
      </c>
      <c r="C189" s="146">
        <f ca="1">IFERROR(__xludf.DUMMYFUNCTION("""COMPUTED_VALUE"""),44637000673)</f>
        <v>44637000673</v>
      </c>
      <c r="D189" s="43" t="str">
        <f ca="1">IFERROR(__xludf.DUMMYFUNCTION("""COMPUTED_VALUE"""),"JPM")</f>
        <v>JPM</v>
      </c>
      <c r="E189" s="147">
        <f ca="1">IFERROR(__xludf.DUMMYFUNCTION("""COMPUTED_VALUE"""),44637)</f>
        <v>44637</v>
      </c>
      <c r="F189" s="43" t="str">
        <f ca="1">IFERROR(__xludf.DUMMYFUNCTION("""COMPUTED_VALUE"""),"Stock")</f>
        <v>Stock</v>
      </c>
      <c r="G189" s="43" t="str">
        <f ca="1">IFERROR(__xludf.DUMMYFUNCTION("""COMPUTED_VALUE"""),"USD")</f>
        <v>USD</v>
      </c>
      <c r="H189" s="154" t="str">
        <f ca="1">IFERROR(__xludf.DUMMYFUNCTION("""COMPUTED_VALUE"""),"")</f>
        <v/>
      </c>
      <c r="I189" s="148">
        <f ca="1">IFERROR(__xludf.DUMMYFUNCTION("""COMPUTED_VALUE"""),7.81854)</f>
        <v>7.8185399999999996</v>
      </c>
      <c r="J189" s="149">
        <f ca="1">IFERROR(__xludf.DUMMYFUNCTION("""COMPUTED_VALUE"""),140.15)</f>
        <v>140.15</v>
      </c>
      <c r="K189" s="43"/>
      <c r="L189" s="149">
        <f ca="1">IFERROR(__xludf.DUMMYFUNCTION("""COMPUTED_VALUE"""),142.62)</f>
        <v>142.62</v>
      </c>
      <c r="M189" s="155" t="str">
        <f ca="1">IFERROR(__xludf.DUMMYFUNCTION("""COMPUTED_VALUE"""),"Equity Key Stats")</f>
        <v>Equity Key Stats</v>
      </c>
      <c r="N189" s="43"/>
      <c r="O189" s="43"/>
      <c r="P189" s="157">
        <f ca="1">IFERROR(__xludf.DUMMYFUNCTION("""COMPUTED_VALUE"""),0)</f>
        <v>0</v>
      </c>
      <c r="Q189" s="151"/>
      <c r="R189" s="152">
        <f ca="1">IFERROR(__xludf.DUMMYFUNCTION("""COMPUTED_VALUE"""),139.78)</f>
        <v>139.78</v>
      </c>
      <c r="S189" s="150">
        <f ca="1">IFERROR(__xludf.DUMMYFUNCTION("""COMPUTED_VALUE"""),0)</f>
        <v>0</v>
      </c>
      <c r="T189" s="108">
        <f ca="1">IFERROR(__xludf.DUMMYFUNCTION("""COMPUTED_VALUE"""),1)</f>
        <v>1</v>
      </c>
      <c r="U189" s="43">
        <f ca="1">IFERROR(__xludf.DUMMYFUNCTION("""COMPUTED_VALUE"""),1)</f>
        <v>1</v>
      </c>
      <c r="V189" s="144">
        <f ca="1">IFERROR(__xludf.DUMMYFUNCTION("""COMPUTED_VALUE"""),0)</f>
        <v>0</v>
      </c>
      <c r="W189" s="145">
        <f ca="1">IFERROR(__xludf.DUMMYFUNCTION("""COMPUTED_VALUE"""),562679.8877)</f>
        <v>562679.88769999996</v>
      </c>
      <c r="X189" s="11">
        <f ca="1">IFERROR(__xludf.DUMMYFUNCTION("""COMPUTED_VALUE"""),-29398.9484499999)</f>
        <v>-29398.948449999902</v>
      </c>
      <c r="Y189" s="11">
        <f ca="1">IFERROR(__xludf.DUMMYFUNCTION("""COMPUTED_VALUE"""),29398.9484499999)</f>
        <v>29398.948449999902</v>
      </c>
      <c r="Z189" s="4">
        <f ca="1">IFERROR(__xludf.DUMMYFUNCTION("""COMPUTED_VALUE"""),0.1253597754)</f>
        <v>0.12535977540000001</v>
      </c>
    </row>
    <row r="190" spans="1:26" ht="13" x14ac:dyDescent="0.15">
      <c r="A190" s="43" t="str">
        <f ca="1">IFERROR(__xludf.DUMMYFUNCTION("""COMPUTED_VALUE"""),"")</f>
        <v/>
      </c>
      <c r="B190" s="43" t="str">
        <f ca="1">IFERROR(__xludf.DUMMYFUNCTION("""COMPUTED_VALUE"""),"38705")</f>
        <v>38705</v>
      </c>
      <c r="C190" s="146">
        <f ca="1">IFERROR(__xludf.DUMMYFUNCTION("""COMPUTED_VALUE"""),44597000012)</f>
        <v>44597000012</v>
      </c>
      <c r="D190" s="43" t="str">
        <f ca="1">IFERROR(__xludf.DUMMYFUNCTION("""COMPUTED_VALUE"""),"Cash")</f>
        <v>Cash</v>
      </c>
      <c r="E190" s="147">
        <f ca="1">IFERROR(__xludf.DUMMYFUNCTION("""COMPUTED_VALUE"""),44597)</f>
        <v>44597</v>
      </c>
      <c r="F190" s="43" t="str">
        <f ca="1">IFERROR(__xludf.DUMMYFUNCTION("""COMPUTED_VALUE"""),"Cash")</f>
        <v>Cash</v>
      </c>
      <c r="G190" s="43" t="str">
        <f ca="1">IFERROR(__xludf.DUMMYFUNCTION("""COMPUTED_VALUE"""),"HKD")</f>
        <v>HKD</v>
      </c>
      <c r="H190" s="154" t="str">
        <f ca="1">IFERROR(__xludf.DUMMYFUNCTION("""COMPUTED_VALUE"""),"")</f>
        <v/>
      </c>
      <c r="I190" s="148">
        <f ca="1">IFERROR(__xludf.DUMMYFUNCTION("""COMPUTED_VALUE"""),1)</f>
        <v>1</v>
      </c>
      <c r="J190" s="149">
        <f ca="1">IFERROR(__xludf.DUMMYFUNCTION("""COMPUTED_VALUE"""),1)</f>
        <v>1</v>
      </c>
      <c r="K190" s="43"/>
      <c r="L190" s="149">
        <f ca="1">IFERROR(__xludf.DUMMYFUNCTION("""COMPUTED_VALUE"""),1)</f>
        <v>1</v>
      </c>
      <c r="M190" s="155" t="str">
        <f ca="1">IFERROR(__xludf.DUMMYFUNCTION("""COMPUTED_VALUE"""),"")</f>
        <v/>
      </c>
      <c r="N190" s="43"/>
      <c r="O190" s="43"/>
      <c r="P190" s="150">
        <f ca="1">IFERROR(__xludf.DUMMYFUNCTION("""COMPUTED_VALUE"""),500000)</f>
        <v>500000</v>
      </c>
      <c r="Q190" s="151"/>
      <c r="R190" s="152">
        <f ca="1">IFERROR(__xludf.DUMMYFUNCTION("""COMPUTED_VALUE"""),1)</f>
        <v>1</v>
      </c>
      <c r="S190" s="150" t="str">
        <f ca="1">IFERROR(__xludf.DUMMYFUNCTION("""COMPUTED_VALUE"""),"")</f>
        <v/>
      </c>
      <c r="T190" s="108">
        <f ca="1">IFERROR(__xludf.DUMMYFUNCTION("""COMPUTED_VALUE"""),1)</f>
        <v>1</v>
      </c>
      <c r="U190" s="43">
        <f ca="1">IFERROR(__xludf.DUMMYFUNCTION("""COMPUTED_VALUE"""),1)</f>
        <v>1</v>
      </c>
      <c r="V190" s="144">
        <f ca="1">IFERROR(__xludf.DUMMYFUNCTION("""COMPUTED_VALUE"""),500000)</f>
        <v>500000</v>
      </c>
      <c r="W190" s="145" t="str">
        <f ca="1">IFERROR(__xludf.DUMMYFUNCTION("""COMPUTED_VALUE"""),"")</f>
        <v/>
      </c>
      <c r="X190" s="11" t="str">
        <f ca="1">IFERROR(__xludf.DUMMYFUNCTION("""COMPUTED_VALUE"""),"")</f>
        <v/>
      </c>
      <c r="Y190" s="11" t="str">
        <f ca="1">IFERROR(__xludf.DUMMYFUNCTION("""COMPUTED_VALUE"""),"")</f>
        <v/>
      </c>
      <c r="Z190" s="4" t="str">
        <f ca="1">IFERROR(__xludf.DUMMYFUNCTION("""COMPUTED_VALUE"""),"")</f>
        <v/>
      </c>
    </row>
    <row r="191" spans="1:26" ht="13" x14ac:dyDescent="0.15">
      <c r="A191" s="43" t="str">
        <f ca="1">IFERROR(__xludf.DUMMYFUNCTION("""COMPUTED_VALUE"""),"")</f>
        <v/>
      </c>
      <c r="B191" s="43" t="str">
        <f ca="1">IFERROR(__xludf.DUMMYFUNCTION("""COMPUTED_VALUE"""),"38705")</f>
        <v>38705</v>
      </c>
      <c r="C191" s="146">
        <f ca="1">IFERROR(__xludf.DUMMYFUNCTION("""COMPUTED_VALUE"""),44641000717)</f>
        <v>44641000717</v>
      </c>
      <c r="D191" s="43" t="str">
        <f ca="1">IFERROR(__xludf.DUMMYFUNCTION("""COMPUTED_VALUE"""),"ANTM")</f>
        <v>ANTM</v>
      </c>
      <c r="E191" s="147">
        <f ca="1">IFERROR(__xludf.DUMMYFUNCTION("""COMPUTED_VALUE"""),44641)</f>
        <v>44641</v>
      </c>
      <c r="F191" s="43" t="str">
        <f ca="1">IFERROR(__xludf.DUMMYFUNCTION("""COMPUTED_VALUE"""),"Stock")</f>
        <v>Stock</v>
      </c>
      <c r="G191" s="43" t="str">
        <f ca="1">IFERROR(__xludf.DUMMYFUNCTION("""COMPUTED_VALUE"""),"USD")</f>
        <v>USD</v>
      </c>
      <c r="H191" s="154">
        <f ca="1">IFERROR(__xludf.DUMMYFUNCTION("""COMPUTED_VALUE"""),100)</f>
        <v>100</v>
      </c>
      <c r="I191" s="148">
        <f ca="1">IFERROR(__xludf.DUMMYFUNCTION("""COMPUTED_VALUE"""),7.82545)</f>
        <v>7.82545</v>
      </c>
      <c r="J191" s="149">
        <f ca="1">IFERROR(__xludf.DUMMYFUNCTION("""COMPUTED_VALUE"""),476)</f>
        <v>476</v>
      </c>
      <c r="K191" s="43"/>
      <c r="L191" s="149">
        <f ca="1">IFERROR(__xludf.DUMMYFUNCTION("""COMPUTED_VALUE"""),471.54)</f>
        <v>471.54</v>
      </c>
      <c r="M191" s="155" t="str">
        <f ca="1">IFERROR(__xludf.DUMMYFUNCTION("""COMPUTED_VALUE"""),"Equity Key Stats")</f>
        <v>Equity Key Stats</v>
      </c>
      <c r="N191" s="43"/>
      <c r="O191" s="43"/>
      <c r="P191" s="150">
        <f ca="1">IFERROR(__xludf.DUMMYFUNCTION("""COMPUTED_VALUE"""),-372491.42)</f>
        <v>-372491.42</v>
      </c>
      <c r="Q191" s="151"/>
      <c r="R191" s="152">
        <f ca="1">IFERROR(__xludf.DUMMYFUNCTION("""COMPUTED_VALUE"""),462.17)</f>
        <v>462.17</v>
      </c>
      <c r="S191" s="150">
        <f ca="1">IFERROR(__xludf.DUMMYFUNCTION("""COMPUTED_VALUE"""),361668.82265)</f>
        <v>361668.82264999999</v>
      </c>
      <c r="T191" s="108">
        <f ca="1">IFERROR(__xludf.DUMMYFUNCTION("""COMPUTED_VALUE"""),1)</f>
        <v>1</v>
      </c>
      <c r="U191" s="108">
        <f ca="1">IFERROR(__xludf.DUMMYFUNCTION("""COMPUTED_VALUE"""),1)</f>
        <v>1</v>
      </c>
      <c r="V191" s="153">
        <f ca="1">IFERROR(__xludf.DUMMYFUNCTION("""COMPUTED_VALUE"""),-10822.5973499999)</f>
        <v>-10822.5973499999</v>
      </c>
      <c r="W191" s="145" t="str">
        <f ca="1">IFERROR(__xludf.DUMMYFUNCTION("""COMPUTED_VALUE"""),"")</f>
        <v/>
      </c>
      <c r="X191" s="11" t="str">
        <f ca="1">IFERROR(__xludf.DUMMYFUNCTION("""COMPUTED_VALUE"""),"")</f>
        <v/>
      </c>
      <c r="Y191" s="11" t="str">
        <f ca="1">IFERROR(__xludf.DUMMYFUNCTION("""COMPUTED_VALUE"""),"")</f>
        <v/>
      </c>
      <c r="Z191" s="4" t="str">
        <f ca="1">IFERROR(__xludf.DUMMYFUNCTION("""COMPUTED_VALUE"""),"")</f>
        <v/>
      </c>
    </row>
    <row r="192" spans="1:26" ht="13" x14ac:dyDescent="0.15">
      <c r="A192" s="43" t="str">
        <f ca="1">IFERROR(__xludf.DUMMYFUNCTION("""COMPUTED_VALUE"""),"")</f>
        <v/>
      </c>
      <c r="B192" s="43" t="str">
        <f ca="1">IFERROR(__xludf.DUMMYFUNCTION("""COMPUTED_VALUE"""),"38705")</f>
        <v>38705</v>
      </c>
      <c r="C192" s="146">
        <f ca="1">IFERROR(__xludf.DUMMYFUNCTION("""COMPUTED_VALUE"""),44641000718)</f>
        <v>44641000718</v>
      </c>
      <c r="D192" s="43" t="str">
        <f ca="1">IFERROR(__xludf.DUMMYFUNCTION("""COMPUTED_VALUE"""),"NKE")</f>
        <v>NKE</v>
      </c>
      <c r="E192" s="147">
        <f ca="1">IFERROR(__xludf.DUMMYFUNCTION("""COMPUTED_VALUE"""),44641)</f>
        <v>44641</v>
      </c>
      <c r="F192" s="43" t="str">
        <f ca="1">IFERROR(__xludf.DUMMYFUNCTION("""COMPUTED_VALUE"""),"Stock")</f>
        <v>Stock</v>
      </c>
      <c r="G192" s="43" t="str">
        <f ca="1">IFERROR(__xludf.DUMMYFUNCTION("""COMPUTED_VALUE"""),"USD")</f>
        <v>USD</v>
      </c>
      <c r="H192" s="11">
        <f ca="1">IFERROR(__xludf.DUMMYFUNCTION("""COMPUTED_VALUE"""),50)</f>
        <v>50</v>
      </c>
      <c r="I192" s="148">
        <f ca="1">IFERROR(__xludf.DUMMYFUNCTION("""COMPUTED_VALUE"""),7.82545)</f>
        <v>7.82545</v>
      </c>
      <c r="J192" s="149">
        <f ca="1">IFERROR(__xludf.DUMMYFUNCTION("""COMPUTED_VALUE"""),130.19)</f>
        <v>130.19</v>
      </c>
      <c r="K192" s="43"/>
      <c r="L192" s="149">
        <f ca="1">IFERROR(__xludf.DUMMYFUNCTION("""COMPUTED_VALUE"""),133.09)</f>
        <v>133.09</v>
      </c>
      <c r="M192" s="155" t="str">
        <f ca="1">IFERROR(__xludf.DUMMYFUNCTION("""COMPUTED_VALUE"""),"Equity Key Stats")</f>
        <v>Equity Key Stats</v>
      </c>
      <c r="N192" s="43"/>
      <c r="O192" s="43"/>
      <c r="P192" s="150">
        <f ca="1">IFERROR(__xludf.DUMMYFUNCTION("""COMPUTED_VALUE"""),-50939.766775)</f>
        <v>-50939.766774999996</v>
      </c>
      <c r="Q192" s="151"/>
      <c r="R192" s="152">
        <f ca="1">IFERROR(__xludf.DUMMYFUNCTION("""COMPUTED_VALUE"""),133)</f>
        <v>133</v>
      </c>
      <c r="S192" s="150">
        <f ca="1">IFERROR(__xludf.DUMMYFUNCTION("""COMPUTED_VALUE"""),52039.2425)</f>
        <v>52039.2425</v>
      </c>
      <c r="T192" s="108">
        <f ca="1">IFERROR(__xludf.DUMMYFUNCTION("""COMPUTED_VALUE"""),2)</f>
        <v>2</v>
      </c>
      <c r="U192" s="43" t="str">
        <f ca="1">IFERROR(__xludf.DUMMYFUNCTION("""COMPUTED_VALUE"""),"")</f>
        <v/>
      </c>
      <c r="V192" s="144" t="str">
        <f ca="1">IFERROR(__xludf.DUMMYFUNCTION("""COMPUTED_VALUE"""),"")</f>
        <v/>
      </c>
      <c r="W192" s="145" t="str">
        <f ca="1">IFERROR(__xludf.DUMMYFUNCTION("""COMPUTED_VALUE"""),"")</f>
        <v/>
      </c>
      <c r="X192" s="11" t="str">
        <f ca="1">IFERROR(__xludf.DUMMYFUNCTION("""COMPUTED_VALUE"""),"")</f>
        <v/>
      </c>
      <c r="Y192" s="11" t="str">
        <f ca="1">IFERROR(__xludf.DUMMYFUNCTION("""COMPUTED_VALUE"""),"")</f>
        <v/>
      </c>
      <c r="Z192" s="4" t="str">
        <f ca="1">IFERROR(__xludf.DUMMYFUNCTION("""COMPUTED_VALUE"""),"")</f>
        <v/>
      </c>
    </row>
    <row r="193" spans="1:26" ht="13" x14ac:dyDescent="0.15">
      <c r="A193" s="43" t="str">
        <f ca="1">IFERROR(__xludf.DUMMYFUNCTION("""COMPUTED_VALUE"""),"")</f>
        <v/>
      </c>
      <c r="B193" s="43" t="str">
        <f ca="1">IFERROR(__xludf.DUMMYFUNCTION("""COMPUTED_VALUE"""),"38705")</f>
        <v>38705</v>
      </c>
      <c r="C193" s="146">
        <f ca="1">IFERROR(__xludf.DUMMYFUNCTION("""COMPUTED_VALUE"""),44642000795)</f>
        <v>44642000795</v>
      </c>
      <c r="D193" s="43" t="str">
        <f ca="1">IFERROR(__xludf.DUMMYFUNCTION("""COMPUTED_VALUE"""),"NKE")</f>
        <v>NKE</v>
      </c>
      <c r="E193" s="147">
        <f ca="1">IFERROR(__xludf.DUMMYFUNCTION("""COMPUTED_VALUE"""),44642)</f>
        <v>44642</v>
      </c>
      <c r="F193" s="43" t="str">
        <f ca="1">IFERROR(__xludf.DUMMYFUNCTION("""COMPUTED_VALUE"""),"Stock")</f>
        <v>Stock</v>
      </c>
      <c r="G193" s="43" t="str">
        <f ca="1">IFERROR(__xludf.DUMMYFUNCTION("""COMPUTED_VALUE"""),"USD")</f>
        <v>USD</v>
      </c>
      <c r="H193" s="156">
        <f ca="1">IFERROR(__xludf.DUMMYFUNCTION("""COMPUTED_VALUE"""),-50)</f>
        <v>-50</v>
      </c>
      <c r="I193" s="148">
        <f ca="1">IFERROR(__xludf.DUMMYFUNCTION("""COMPUTED_VALUE"""),7.82695)</f>
        <v>7.8269500000000001</v>
      </c>
      <c r="J193" s="149">
        <f ca="1">IFERROR(__xludf.DUMMYFUNCTION("""COMPUTED_VALUE"""),133.09)</f>
        <v>133.09</v>
      </c>
      <c r="K193" s="43"/>
      <c r="L193" s="149">
        <f ca="1">IFERROR(__xludf.DUMMYFUNCTION("""COMPUTED_VALUE"""),133.09)</f>
        <v>133.09</v>
      </c>
      <c r="M193" s="155" t="str">
        <f ca="1">IFERROR(__xludf.DUMMYFUNCTION("""COMPUTED_VALUE"""),"Equity Key Stats")</f>
        <v>Equity Key Stats</v>
      </c>
      <c r="N193" s="43"/>
      <c r="O193" s="43"/>
      <c r="P193" s="150">
        <f ca="1">IFERROR(__xludf.DUMMYFUNCTION("""COMPUTED_VALUE"""),52084.438775)</f>
        <v>52084.438775000002</v>
      </c>
      <c r="Q193" s="151"/>
      <c r="R193" s="152">
        <f ca="1">IFERROR(__xludf.DUMMYFUNCTION("""COMPUTED_VALUE"""),133)</f>
        <v>133</v>
      </c>
      <c r="S193" s="157">
        <f ca="1">IFERROR(__xludf.DUMMYFUNCTION("""COMPUTED_VALUE"""),-52049.2175)</f>
        <v>-52049.217499999999</v>
      </c>
      <c r="T193" s="108">
        <f ca="1">IFERROR(__xludf.DUMMYFUNCTION("""COMPUTED_VALUE"""),2)</f>
        <v>2</v>
      </c>
      <c r="U193" s="108">
        <f ca="1">IFERROR(__xludf.DUMMYFUNCTION("""COMPUTED_VALUE"""),1)</f>
        <v>1</v>
      </c>
      <c r="V193" s="158">
        <f ca="1">IFERROR(__xludf.DUMMYFUNCTION("""COMPUTED_VALUE"""),1134.697)</f>
        <v>1134.6969999999999</v>
      </c>
      <c r="W193" s="145" t="str">
        <f ca="1">IFERROR(__xludf.DUMMYFUNCTION("""COMPUTED_VALUE"""),"")</f>
        <v/>
      </c>
      <c r="X193" s="11" t="str">
        <f ca="1">IFERROR(__xludf.DUMMYFUNCTION("""COMPUTED_VALUE"""),"")</f>
        <v/>
      </c>
      <c r="Y193" s="11" t="str">
        <f ca="1">IFERROR(__xludf.DUMMYFUNCTION("""COMPUTED_VALUE"""),"")</f>
        <v/>
      </c>
      <c r="Z193" s="4" t="str">
        <f ca="1">IFERROR(__xludf.DUMMYFUNCTION("""COMPUTED_VALUE"""),"")</f>
        <v/>
      </c>
    </row>
    <row r="194" spans="1:26" ht="13" x14ac:dyDescent="0.15">
      <c r="A194" s="43" t="str">
        <f ca="1">IFERROR(__xludf.DUMMYFUNCTION("""COMPUTED_VALUE"""),"")</f>
        <v/>
      </c>
      <c r="B194" s="43" t="str">
        <f ca="1">IFERROR(__xludf.DUMMYFUNCTION("""COMPUTED_VALUE"""),"38705")</f>
        <v>38705</v>
      </c>
      <c r="C194" s="146">
        <f ca="1">IFERROR(__xludf.DUMMYFUNCTION("""COMPUTED_VALUE"""),44643000827)</f>
        <v>44643000827</v>
      </c>
      <c r="D194" s="43" t="str">
        <f ca="1">IFERROR(__xludf.DUMMYFUNCTION("""COMPUTED_VALUE"""),"UNP")</f>
        <v>UNP</v>
      </c>
      <c r="E194" s="147">
        <f ca="1">IFERROR(__xludf.DUMMYFUNCTION("""COMPUTED_VALUE"""),44643)</f>
        <v>44643</v>
      </c>
      <c r="F194" s="43" t="str">
        <f ca="1">IFERROR(__xludf.DUMMYFUNCTION("""COMPUTED_VALUE"""),"Stock")</f>
        <v>Stock</v>
      </c>
      <c r="G194" s="43" t="str">
        <f ca="1">IFERROR(__xludf.DUMMYFUNCTION("""COMPUTED_VALUE"""),"USD")</f>
        <v>USD</v>
      </c>
      <c r="H194" s="156">
        <f ca="1">IFERROR(__xludf.DUMMYFUNCTION("""COMPUTED_VALUE"""),100)</f>
        <v>100</v>
      </c>
      <c r="I194" s="148">
        <f ca="1">IFERROR(__xludf.DUMMYFUNCTION("""COMPUTED_VALUE"""),7.823645)</f>
        <v>7.823645</v>
      </c>
      <c r="J194" s="149">
        <f ca="1">IFERROR(__xludf.DUMMYFUNCTION("""COMPUTED_VALUE"""),267.68)</f>
        <v>267.68</v>
      </c>
      <c r="K194" s="43"/>
      <c r="L194" s="149" t="str">
        <f ca="1">IFERROR(__xludf.DUMMYFUNCTION("""COMPUTED_VALUE"""),"")</f>
        <v/>
      </c>
      <c r="M194" s="155" t="str">
        <f ca="1">IFERROR(__xludf.DUMMYFUNCTION("""COMPUTED_VALUE"""),"Equity Key Stats")</f>
        <v>Equity Key Stats</v>
      </c>
      <c r="N194" s="43"/>
      <c r="O194" s="43"/>
      <c r="P194" s="150">
        <f ca="1">IFERROR(__xludf.DUMMYFUNCTION("""COMPUTED_VALUE"""),-209423.32936)</f>
        <v>-209423.32936</v>
      </c>
      <c r="Q194" s="151"/>
      <c r="R194" s="152">
        <f ca="1">IFERROR(__xludf.DUMMYFUNCTION("""COMPUTED_VALUE"""),267.68)</f>
        <v>267.68</v>
      </c>
      <c r="S194" s="157">
        <f ca="1">IFERROR(__xludf.DUMMYFUNCTION("""COMPUTED_VALUE"""),209423.32936)</f>
        <v>209423.32936</v>
      </c>
      <c r="T194" s="108">
        <f ca="1">IFERROR(__xludf.DUMMYFUNCTION("""COMPUTED_VALUE"""),1)</f>
        <v>1</v>
      </c>
      <c r="U194" s="43">
        <f ca="1">IFERROR(__xludf.DUMMYFUNCTION("""COMPUTED_VALUE"""),1)</f>
        <v>1</v>
      </c>
      <c r="V194" s="144">
        <f ca="1">IFERROR(__xludf.DUMMYFUNCTION("""COMPUTED_VALUE"""),0)</f>
        <v>0</v>
      </c>
      <c r="W194" s="145" t="str">
        <f ca="1">IFERROR(__xludf.DUMMYFUNCTION("""COMPUTED_VALUE"""),"")</f>
        <v/>
      </c>
      <c r="X194" s="11" t="str">
        <f ca="1">IFERROR(__xludf.DUMMYFUNCTION("""COMPUTED_VALUE"""),"")</f>
        <v/>
      </c>
      <c r="Y194" s="11" t="str">
        <f ca="1">IFERROR(__xludf.DUMMYFUNCTION("""COMPUTED_VALUE"""),"")</f>
        <v/>
      </c>
      <c r="Z194" s="4" t="str">
        <f ca="1">IFERROR(__xludf.DUMMYFUNCTION("""COMPUTED_VALUE"""),"")</f>
        <v/>
      </c>
    </row>
    <row r="195" spans="1:26" ht="13" x14ac:dyDescent="0.15">
      <c r="A195" s="43" t="str">
        <f ca="1">IFERROR(__xludf.DUMMYFUNCTION("""COMPUTED_VALUE"""),"38705")</f>
        <v>38705</v>
      </c>
      <c r="B195" s="43" t="str">
        <f ca="1">IFERROR(__xludf.DUMMYFUNCTION("""COMPUTED_VALUE"""),"38705")</f>
        <v>38705</v>
      </c>
      <c r="C195" s="146">
        <f ca="1">IFERROR(__xludf.DUMMYFUNCTION("""COMPUTED_VALUE"""),44643000828)</f>
        <v>44643000828</v>
      </c>
      <c r="D195" s="43" t="str">
        <f ca="1">IFERROR(__xludf.DUMMYFUNCTION("""COMPUTED_VALUE"""),"UNH")</f>
        <v>UNH</v>
      </c>
      <c r="E195" s="147">
        <f ca="1">IFERROR(__xludf.DUMMYFUNCTION("""COMPUTED_VALUE"""),44643)</f>
        <v>44643</v>
      </c>
      <c r="F195" s="43" t="str">
        <f ca="1">IFERROR(__xludf.DUMMYFUNCTION("""COMPUTED_VALUE"""),"Stock")</f>
        <v>Stock</v>
      </c>
      <c r="G195" s="43" t="str">
        <f ca="1">IFERROR(__xludf.DUMMYFUNCTION("""COMPUTED_VALUE"""),"USD")</f>
        <v>USD</v>
      </c>
      <c r="H195" s="154" t="str">
        <f ca="1">IFERROR(__xludf.DUMMYFUNCTION("""COMPUTED_VALUE"""),"")</f>
        <v/>
      </c>
      <c r="I195" s="148">
        <f ca="1">IFERROR(__xludf.DUMMYFUNCTION("""COMPUTED_VALUE"""),7.823645)</f>
        <v>7.823645</v>
      </c>
      <c r="J195" s="149">
        <f ca="1">IFERROR(__xludf.DUMMYFUNCTION("""COMPUTED_VALUE"""),503.23)</f>
        <v>503.23</v>
      </c>
      <c r="K195" s="43"/>
      <c r="L195" s="149" t="str">
        <f ca="1">IFERROR(__xludf.DUMMYFUNCTION("""COMPUTED_VALUE"""),"")</f>
        <v/>
      </c>
      <c r="M195" s="155" t="str">
        <f ca="1">IFERROR(__xludf.DUMMYFUNCTION("""COMPUTED_VALUE"""),"Equity Key Stats")</f>
        <v>Equity Key Stats</v>
      </c>
      <c r="N195" s="43"/>
      <c r="O195" s="43"/>
      <c r="P195" s="157">
        <f ca="1">IFERROR(__xludf.DUMMYFUNCTION("""COMPUTED_VALUE"""),0)</f>
        <v>0</v>
      </c>
      <c r="Q195" s="151"/>
      <c r="R195" s="152" t="str">
        <f ca="1">IFERROR(__xludf.DUMMYFUNCTION("""COMPUTED_VALUE"""),"")</f>
        <v/>
      </c>
      <c r="S195" s="150">
        <f ca="1">IFERROR(__xludf.DUMMYFUNCTION("""COMPUTED_VALUE"""),0)</f>
        <v>0</v>
      </c>
      <c r="T195" s="108">
        <f ca="1">IFERROR(__xludf.DUMMYFUNCTION("""COMPUTED_VALUE"""),1)</f>
        <v>1</v>
      </c>
      <c r="U195" s="108">
        <f ca="1">IFERROR(__xludf.DUMMYFUNCTION("""COMPUTED_VALUE"""),1)</f>
        <v>1</v>
      </c>
      <c r="V195" s="158">
        <f ca="1">IFERROR(__xludf.DUMMYFUNCTION("""COMPUTED_VALUE"""),0)</f>
        <v>0</v>
      </c>
      <c r="W195" s="44">
        <f ca="1">IFERROR(__xludf.DUMMYFUNCTION("""COMPUTED_VALUE"""),490312.09965)</f>
        <v>490312.09964999999</v>
      </c>
      <c r="X195" s="154">
        <f ca="1">IFERROR(__xludf.DUMMYFUNCTION("""COMPUTED_VALUE"""),-80770.0773599999)</f>
        <v>-80770.077359999894</v>
      </c>
      <c r="Y195" s="154">
        <f ca="1">IFERROR(__xludf.DUMMYFUNCTION("""COMPUTED_VALUE"""),80770.0773599999)</f>
        <v>80770.077359999894</v>
      </c>
      <c r="Z195" s="162">
        <f ca="1">IFERROR(__xludf.DUMMYFUNCTION("""COMPUTED_VALUE"""),-0.0193758007)</f>
        <v>-1.9375800700000001E-2</v>
      </c>
    </row>
    <row r="196" spans="1:26" ht="13" x14ac:dyDescent="0.15">
      <c r="A196" s="43" t="str">
        <f ca="1">IFERROR(__xludf.DUMMYFUNCTION("""COMPUTED_VALUE"""),"")</f>
        <v/>
      </c>
      <c r="B196" s="43" t="str">
        <f ca="1">IFERROR(__xludf.DUMMYFUNCTION("""COMPUTED_VALUE"""),"38758")</f>
        <v>38758</v>
      </c>
      <c r="C196" s="146">
        <f ca="1">IFERROR(__xludf.DUMMYFUNCTION("""COMPUTED_VALUE"""),44597000080)</f>
        <v>44597000080</v>
      </c>
      <c r="D196" s="43" t="str">
        <f ca="1">IFERROR(__xludf.DUMMYFUNCTION("""COMPUTED_VALUE"""),"Cash")</f>
        <v>Cash</v>
      </c>
      <c r="E196" s="147">
        <f ca="1">IFERROR(__xludf.DUMMYFUNCTION("""COMPUTED_VALUE"""),44597)</f>
        <v>44597</v>
      </c>
      <c r="F196" s="43" t="str">
        <f ca="1">IFERROR(__xludf.DUMMYFUNCTION("""COMPUTED_VALUE"""),"Cash")</f>
        <v>Cash</v>
      </c>
      <c r="G196" s="43" t="str">
        <f ca="1">IFERROR(__xludf.DUMMYFUNCTION("""COMPUTED_VALUE"""),"HKD")</f>
        <v>HKD</v>
      </c>
      <c r="H196" s="11" t="str">
        <f ca="1">IFERROR(__xludf.DUMMYFUNCTION("""COMPUTED_VALUE"""),"")</f>
        <v/>
      </c>
      <c r="I196" s="148">
        <f ca="1">IFERROR(__xludf.DUMMYFUNCTION("""COMPUTED_VALUE"""),1)</f>
        <v>1</v>
      </c>
      <c r="J196" s="108">
        <f ca="1">IFERROR(__xludf.DUMMYFUNCTION("""COMPUTED_VALUE"""),1)</f>
        <v>1</v>
      </c>
      <c r="K196" s="43"/>
      <c r="L196" s="149">
        <f ca="1">IFERROR(__xludf.DUMMYFUNCTION("""COMPUTED_VALUE"""),1)</f>
        <v>1</v>
      </c>
      <c r="M196" s="3" t="str">
        <f ca="1">IFERROR(__xludf.DUMMYFUNCTION("""COMPUTED_VALUE"""),"")</f>
        <v/>
      </c>
      <c r="N196" s="43"/>
      <c r="O196" s="43"/>
      <c r="P196" s="150">
        <f ca="1">IFERROR(__xludf.DUMMYFUNCTION("""COMPUTED_VALUE"""),500000)</f>
        <v>500000</v>
      </c>
      <c r="Q196" s="151"/>
      <c r="R196" s="152">
        <f ca="1">IFERROR(__xludf.DUMMYFUNCTION("""COMPUTED_VALUE"""),1)</f>
        <v>1</v>
      </c>
      <c r="S196" s="127" t="str">
        <f ca="1">IFERROR(__xludf.DUMMYFUNCTION("""COMPUTED_VALUE"""),"")</f>
        <v/>
      </c>
      <c r="T196" s="108">
        <f ca="1">IFERROR(__xludf.DUMMYFUNCTION("""COMPUTED_VALUE"""),1)</f>
        <v>1</v>
      </c>
      <c r="U196" s="108">
        <f ca="1">IFERROR(__xludf.DUMMYFUNCTION("""COMPUTED_VALUE"""),1)</f>
        <v>1</v>
      </c>
      <c r="V196" s="153">
        <f ca="1">IFERROR(__xludf.DUMMYFUNCTION("""COMPUTED_VALUE"""),500000)</f>
        <v>500000</v>
      </c>
      <c r="W196" s="145" t="str">
        <f ca="1">IFERROR(__xludf.DUMMYFUNCTION("""COMPUTED_VALUE"""),"")</f>
        <v/>
      </c>
      <c r="X196" s="11" t="str">
        <f ca="1">IFERROR(__xludf.DUMMYFUNCTION("""COMPUTED_VALUE"""),"")</f>
        <v/>
      </c>
      <c r="Y196" s="11" t="str">
        <f ca="1">IFERROR(__xludf.DUMMYFUNCTION("""COMPUTED_VALUE"""),"")</f>
        <v/>
      </c>
      <c r="Z196" s="4" t="str">
        <f ca="1">IFERROR(__xludf.DUMMYFUNCTION("""COMPUTED_VALUE"""),"")</f>
        <v/>
      </c>
    </row>
    <row r="197" spans="1:26" ht="13" x14ac:dyDescent="0.15">
      <c r="A197" s="43" t="str">
        <f ca="1">IFERROR(__xludf.DUMMYFUNCTION("""COMPUTED_VALUE"""),"")</f>
        <v/>
      </c>
      <c r="B197" s="43" t="str">
        <f ca="1">IFERROR(__xludf.DUMMYFUNCTION("""COMPUTED_VALUE"""),"38758")</f>
        <v>38758</v>
      </c>
      <c r="C197" s="146">
        <f ca="1">IFERROR(__xludf.DUMMYFUNCTION("""COMPUTED_VALUE"""),44642000761)</f>
        <v>44642000761</v>
      </c>
      <c r="D197" s="161" t="str">
        <f ca="1">IFERROR(__xludf.DUMMYFUNCTION("""COMPUTED_VALUE"""),"0700.HK")</f>
        <v>0700.HK</v>
      </c>
      <c r="E197" s="147">
        <f ca="1">IFERROR(__xludf.DUMMYFUNCTION("""COMPUTED_VALUE"""),44642)</f>
        <v>44642</v>
      </c>
      <c r="F197" s="43" t="str">
        <f ca="1">IFERROR(__xludf.DUMMYFUNCTION("""COMPUTED_VALUE"""),"Stock")</f>
        <v>Stock</v>
      </c>
      <c r="G197" s="43" t="str">
        <f ca="1">IFERROR(__xludf.DUMMYFUNCTION("""COMPUTED_VALUE"""),"HKD")</f>
        <v>HKD</v>
      </c>
      <c r="H197" s="154">
        <f ca="1">IFERROR(__xludf.DUMMYFUNCTION("""COMPUTED_VALUE"""),-20)</f>
        <v>-20</v>
      </c>
      <c r="I197" s="148">
        <f ca="1">IFERROR(__xludf.DUMMYFUNCTION("""COMPUTED_VALUE"""),1)</f>
        <v>1</v>
      </c>
      <c r="J197" s="149">
        <f ca="1">IFERROR(__xludf.DUMMYFUNCTION("""COMPUTED_VALUE"""),388)</f>
        <v>388</v>
      </c>
      <c r="K197" s="43"/>
      <c r="L197" s="149">
        <f ca="1">IFERROR(__xludf.DUMMYFUNCTION("""COMPUTED_VALUE"""),388)</f>
        <v>388</v>
      </c>
      <c r="M197" s="160" t="str">
        <f ca="1">IFERROR(__xludf.DUMMYFUNCTION("""COMPUTED_VALUE"""),"Equity Key Stats")</f>
        <v>Equity Key Stats</v>
      </c>
      <c r="N197" s="43"/>
      <c r="O197" s="43"/>
      <c r="P197" s="157">
        <f ca="1">IFERROR(__xludf.DUMMYFUNCTION("""COMPUTED_VALUE"""),7760)</f>
        <v>7760</v>
      </c>
      <c r="Q197" s="151"/>
      <c r="R197" s="152">
        <f ca="1">IFERROR(__xludf.DUMMYFUNCTION("""COMPUTED_VALUE"""),389)</f>
        <v>389</v>
      </c>
      <c r="S197" s="150">
        <f ca="1">IFERROR(__xludf.DUMMYFUNCTION("""COMPUTED_VALUE"""),-7780)</f>
        <v>-7780</v>
      </c>
      <c r="T197" s="108">
        <f ca="1">IFERROR(__xludf.DUMMYFUNCTION("""COMPUTED_VALUE"""),1)</f>
        <v>1</v>
      </c>
      <c r="U197" s="108">
        <f ca="1">IFERROR(__xludf.DUMMYFUNCTION("""COMPUTED_VALUE"""),1)</f>
        <v>1</v>
      </c>
      <c r="V197" s="153">
        <f ca="1">IFERROR(__xludf.DUMMYFUNCTION("""COMPUTED_VALUE"""),-20)</f>
        <v>-20</v>
      </c>
      <c r="W197" s="145" t="str">
        <f ca="1">IFERROR(__xludf.DUMMYFUNCTION("""COMPUTED_VALUE"""),"")</f>
        <v/>
      </c>
      <c r="X197" s="11" t="str">
        <f ca="1">IFERROR(__xludf.DUMMYFUNCTION("""COMPUTED_VALUE"""),"")</f>
        <v/>
      </c>
      <c r="Y197" s="11" t="str">
        <f ca="1">IFERROR(__xludf.DUMMYFUNCTION("""COMPUTED_VALUE"""),"")</f>
        <v/>
      </c>
      <c r="Z197" s="4" t="str">
        <f ca="1">IFERROR(__xludf.DUMMYFUNCTION("""COMPUTED_VALUE"""),"")</f>
        <v/>
      </c>
    </row>
    <row r="198" spans="1:26" ht="13" x14ac:dyDescent="0.15">
      <c r="A198" s="43" t="str">
        <f ca="1">IFERROR(__xludf.DUMMYFUNCTION("""COMPUTED_VALUE"""),"")</f>
        <v/>
      </c>
      <c r="B198" s="43" t="str">
        <f ca="1">IFERROR(__xludf.DUMMYFUNCTION("""COMPUTED_VALUE"""),"38758")</f>
        <v>38758</v>
      </c>
      <c r="C198" s="146">
        <f ca="1">IFERROR(__xludf.DUMMYFUNCTION("""COMPUTED_VALUE"""),44642000763)</f>
        <v>44642000763</v>
      </c>
      <c r="D198" s="161" t="str">
        <f ca="1">IFERROR(__xludf.DUMMYFUNCTION("""COMPUTED_VALUE"""),"600519.SS")</f>
        <v>600519.SS</v>
      </c>
      <c r="E198" s="147">
        <f ca="1">IFERROR(__xludf.DUMMYFUNCTION("""COMPUTED_VALUE"""),44642)</f>
        <v>44642</v>
      </c>
      <c r="F198" s="43" t="str">
        <f ca="1">IFERROR(__xludf.DUMMYFUNCTION("""COMPUTED_VALUE"""),"Stock")</f>
        <v>Stock</v>
      </c>
      <c r="G198" s="43" t="str">
        <f ca="1">IFERROR(__xludf.DUMMYFUNCTION("""COMPUTED_VALUE"""),"CNY")</f>
        <v>CNY</v>
      </c>
      <c r="H198" s="154">
        <f ca="1">IFERROR(__xludf.DUMMYFUNCTION("""COMPUTED_VALUE"""),-15)</f>
        <v>-15</v>
      </c>
      <c r="I198" s="148">
        <f ca="1">IFERROR(__xludf.DUMMYFUNCTION("""COMPUTED_VALUE"""),1.229312)</f>
        <v>1.229312</v>
      </c>
      <c r="J198" s="149">
        <f ca="1">IFERROR(__xludf.DUMMYFUNCTION("""COMPUTED_VALUE"""),1695)</f>
        <v>1695</v>
      </c>
      <c r="K198" s="43"/>
      <c r="L198" s="149">
        <f ca="1">IFERROR(__xludf.DUMMYFUNCTION("""COMPUTED_VALUE"""),1695)</f>
        <v>1695</v>
      </c>
      <c r="M198" s="155" t="str">
        <f ca="1">IFERROR(__xludf.DUMMYFUNCTION("""COMPUTED_VALUE"""),"Equity Key Stats")</f>
        <v>Equity Key Stats</v>
      </c>
      <c r="N198" s="43"/>
      <c r="O198" s="43"/>
      <c r="P198" s="150">
        <f ca="1">IFERROR(__xludf.DUMMYFUNCTION("""COMPUTED_VALUE"""),31255.2575999999)</f>
        <v>31255.257599999899</v>
      </c>
      <c r="Q198" s="151"/>
      <c r="R198" s="152">
        <f ca="1">IFERROR(__xludf.DUMMYFUNCTION("""COMPUTED_VALUE"""),1752.19)</f>
        <v>1752.19</v>
      </c>
      <c r="S198" s="150">
        <f ca="1">IFERROR(__xludf.DUMMYFUNCTION("""COMPUTED_VALUE"""),-32309.8228992)</f>
        <v>-32309.8228992</v>
      </c>
      <c r="T198" s="108">
        <f ca="1">IFERROR(__xludf.DUMMYFUNCTION("""COMPUTED_VALUE"""),1)</f>
        <v>1</v>
      </c>
      <c r="U198" s="43">
        <f ca="1">IFERROR(__xludf.DUMMYFUNCTION("""COMPUTED_VALUE"""),1)</f>
        <v>1</v>
      </c>
      <c r="V198" s="144">
        <f ca="1">IFERROR(__xludf.DUMMYFUNCTION("""COMPUTED_VALUE"""),-1054.5652992)</f>
        <v>-1054.5652992</v>
      </c>
      <c r="W198" s="145" t="str">
        <f ca="1">IFERROR(__xludf.DUMMYFUNCTION("""COMPUTED_VALUE"""),"")</f>
        <v/>
      </c>
      <c r="X198" s="11" t="str">
        <f ca="1">IFERROR(__xludf.DUMMYFUNCTION("""COMPUTED_VALUE"""),"")</f>
        <v/>
      </c>
      <c r="Y198" s="11" t="str">
        <f ca="1">IFERROR(__xludf.DUMMYFUNCTION("""COMPUTED_VALUE"""),"")</f>
        <v/>
      </c>
      <c r="Z198" s="4" t="str">
        <f ca="1">IFERROR(__xludf.DUMMYFUNCTION("""COMPUTED_VALUE"""),"")</f>
        <v/>
      </c>
    </row>
    <row r="199" spans="1:26" ht="13" x14ac:dyDescent="0.15">
      <c r="A199" s="43" t="str">
        <f ca="1">IFERROR(__xludf.DUMMYFUNCTION("""COMPUTED_VALUE"""),"38758")</f>
        <v>38758</v>
      </c>
      <c r="B199" s="43" t="str">
        <f ca="1">IFERROR(__xludf.DUMMYFUNCTION("""COMPUTED_VALUE"""),"38758")</f>
        <v>38758</v>
      </c>
      <c r="C199" s="146">
        <f ca="1">IFERROR(__xludf.DUMMYFUNCTION("""COMPUTED_VALUE"""),44643000787)</f>
        <v>44643000787</v>
      </c>
      <c r="D199" s="43" t="str">
        <f ca="1">IFERROR(__xludf.DUMMYFUNCTION("""COMPUTED_VALUE"""),"1M")</f>
        <v>1M</v>
      </c>
      <c r="E199" s="147">
        <f ca="1">IFERROR(__xludf.DUMMYFUNCTION("""COMPUTED_VALUE"""),44643)</f>
        <v>44643</v>
      </c>
      <c r="F199" s="43" t="str">
        <f ca="1">IFERROR(__xludf.DUMMYFUNCTION("""COMPUTED_VALUE"""),"Time Deposit")</f>
        <v>Time Deposit</v>
      </c>
      <c r="G199" s="43" t="str">
        <f ca="1">IFERROR(__xludf.DUMMYFUNCTION("""COMPUTED_VALUE"""),"HKD")</f>
        <v>HKD</v>
      </c>
      <c r="H199" s="154">
        <f ca="1">IFERROR(__xludf.DUMMYFUNCTION("""COMPUTED_VALUE"""),-20000)</f>
        <v>-20000</v>
      </c>
      <c r="I199" s="148">
        <f ca="1">IFERROR(__xludf.DUMMYFUNCTION("""COMPUTED_VALUE"""),1)</f>
        <v>1</v>
      </c>
      <c r="J199" s="149">
        <f ca="1">IFERROR(__xludf.DUMMYFUNCTION("""COMPUTED_VALUE"""),1)</f>
        <v>1</v>
      </c>
      <c r="K199" s="43"/>
      <c r="L199" s="149">
        <f ca="1">IFERROR(__xludf.DUMMYFUNCTION("""COMPUTED_VALUE"""),1)</f>
        <v>1</v>
      </c>
      <c r="M199" s="155" t="str">
        <f ca="1">IFERROR(__xludf.DUMMYFUNCTION("""COMPUTED_VALUE"""),"")</f>
        <v/>
      </c>
      <c r="N199" s="43"/>
      <c r="O199" s="43"/>
      <c r="P199" s="150">
        <f ca="1">IFERROR(__xludf.DUMMYFUNCTION("""COMPUTED_VALUE"""),20000)</f>
        <v>20000</v>
      </c>
      <c r="Q199" s="151"/>
      <c r="R199" s="152">
        <f ca="1">IFERROR(__xludf.DUMMYFUNCTION("""COMPUTED_VALUE"""),1)</f>
        <v>1</v>
      </c>
      <c r="S199" s="150">
        <f ca="1">IFERROR(__xludf.DUMMYFUNCTION("""COMPUTED_VALUE"""),-20000)</f>
        <v>-20000</v>
      </c>
      <c r="T199" s="108">
        <f ca="1">IFERROR(__xludf.DUMMYFUNCTION("""COMPUTED_VALUE"""),1)</f>
        <v>1</v>
      </c>
      <c r="U199" s="43">
        <f ca="1">IFERROR(__xludf.DUMMYFUNCTION("""COMPUTED_VALUE"""),1)</f>
        <v>1</v>
      </c>
      <c r="V199" s="144">
        <f ca="1">IFERROR(__xludf.DUMMYFUNCTION("""COMPUTED_VALUE"""),0)</f>
        <v>0</v>
      </c>
      <c r="W199" s="145">
        <f ca="1">IFERROR(__xludf.DUMMYFUNCTION("""COMPUTED_VALUE"""),498925.4347008)</f>
        <v>498925.43470079999</v>
      </c>
      <c r="X199" s="11">
        <f ca="1">IFERROR(__xludf.DUMMYFUNCTION("""COMPUTED_VALUE"""),440984.7424)</f>
        <v>440984.74239999999</v>
      </c>
      <c r="Y199" s="11">
        <f ca="1">IFERROR(__xludf.DUMMYFUNCTION("""COMPUTED_VALUE"""),0)</f>
        <v>0</v>
      </c>
      <c r="Z199" s="4">
        <f ca="1">IFERROR(__xludf.DUMMYFUNCTION("""COMPUTED_VALUE"""),-0.00214913059840005)</f>
        <v>-2.14913059840005E-3</v>
      </c>
    </row>
    <row r="200" spans="1:26" ht="13" x14ac:dyDescent="0.15">
      <c r="A200" s="43" t="str">
        <f ca="1">IFERROR(__xludf.DUMMYFUNCTION("""COMPUTED_VALUE"""),"39011")</f>
        <v>39011</v>
      </c>
      <c r="B200" s="43" t="str">
        <f ca="1">IFERROR(__xludf.DUMMYFUNCTION("""COMPUTED_VALUE"""),"39011")</f>
        <v>39011</v>
      </c>
      <c r="C200" s="146">
        <f ca="1">IFERROR(__xludf.DUMMYFUNCTION("""COMPUTED_VALUE"""),44597000072)</f>
        <v>44597000072</v>
      </c>
      <c r="D200" s="43" t="str">
        <f ca="1">IFERROR(__xludf.DUMMYFUNCTION("""COMPUTED_VALUE"""),"Cash")</f>
        <v>Cash</v>
      </c>
      <c r="E200" s="147">
        <f ca="1">IFERROR(__xludf.DUMMYFUNCTION("""COMPUTED_VALUE"""),44597)</f>
        <v>44597</v>
      </c>
      <c r="F200" s="43" t="str">
        <f ca="1">IFERROR(__xludf.DUMMYFUNCTION("""COMPUTED_VALUE"""),"Cash")</f>
        <v>Cash</v>
      </c>
      <c r="G200" s="43" t="str">
        <f ca="1">IFERROR(__xludf.DUMMYFUNCTION("""COMPUTED_VALUE"""),"HKD")</f>
        <v>HKD</v>
      </c>
      <c r="H200" s="154" t="str">
        <f ca="1">IFERROR(__xludf.DUMMYFUNCTION("""COMPUTED_VALUE"""),"")</f>
        <v/>
      </c>
      <c r="I200" s="148">
        <f ca="1">IFERROR(__xludf.DUMMYFUNCTION("""COMPUTED_VALUE"""),1)</f>
        <v>1</v>
      </c>
      <c r="J200" s="149">
        <f ca="1">IFERROR(__xludf.DUMMYFUNCTION("""COMPUTED_VALUE"""),1)</f>
        <v>1</v>
      </c>
      <c r="K200" s="43"/>
      <c r="L200" s="149">
        <f ca="1">IFERROR(__xludf.DUMMYFUNCTION("""COMPUTED_VALUE"""),1)</f>
        <v>1</v>
      </c>
      <c r="M200" s="155" t="str">
        <f ca="1">IFERROR(__xludf.DUMMYFUNCTION("""COMPUTED_VALUE"""),"")</f>
        <v/>
      </c>
      <c r="N200" s="43"/>
      <c r="O200" s="43"/>
      <c r="P200" s="157">
        <f ca="1">IFERROR(__xludf.DUMMYFUNCTION("""COMPUTED_VALUE"""),500000)</f>
        <v>500000</v>
      </c>
      <c r="Q200" s="151"/>
      <c r="R200" s="152">
        <f ca="1">IFERROR(__xludf.DUMMYFUNCTION("""COMPUTED_VALUE"""),1)</f>
        <v>1</v>
      </c>
      <c r="S200" s="150" t="str">
        <f ca="1">IFERROR(__xludf.DUMMYFUNCTION("""COMPUTED_VALUE"""),"")</f>
        <v/>
      </c>
      <c r="T200" s="108">
        <f ca="1">IFERROR(__xludf.DUMMYFUNCTION("""COMPUTED_VALUE"""),1)</f>
        <v>1</v>
      </c>
      <c r="U200" s="108">
        <f ca="1">IFERROR(__xludf.DUMMYFUNCTION("""COMPUTED_VALUE"""),1)</f>
        <v>1</v>
      </c>
      <c r="V200" s="158">
        <f ca="1">IFERROR(__xludf.DUMMYFUNCTION("""COMPUTED_VALUE"""),500000)</f>
        <v>500000</v>
      </c>
      <c r="W200" s="44">
        <f ca="1">IFERROR(__xludf.DUMMYFUNCTION("""COMPUTED_VALUE"""),500000)</f>
        <v>500000</v>
      </c>
      <c r="X200" s="154">
        <f ca="1">IFERROR(__xludf.DUMMYFUNCTION("""COMPUTED_VALUE"""),500000)</f>
        <v>500000</v>
      </c>
      <c r="Y200" s="154">
        <f ca="1">IFERROR(__xludf.DUMMYFUNCTION("""COMPUTED_VALUE"""),0)</f>
        <v>0</v>
      </c>
      <c r="Z200" s="162">
        <f ca="1">IFERROR(__xludf.DUMMYFUNCTION("""COMPUTED_VALUE"""),0)</f>
        <v>0</v>
      </c>
    </row>
    <row r="201" spans="1:26" ht="13" x14ac:dyDescent="0.15">
      <c r="A201" s="43" t="str">
        <f ca="1">IFERROR(__xludf.DUMMYFUNCTION("""COMPUTED_VALUE"""),"")</f>
        <v/>
      </c>
      <c r="B201" s="43" t="str">
        <f ca="1">IFERROR(__xludf.DUMMYFUNCTION("""COMPUTED_VALUE"""),"39296")</f>
        <v>39296</v>
      </c>
      <c r="C201" s="146">
        <f ca="1">IFERROR(__xludf.DUMMYFUNCTION("""COMPUTED_VALUE"""),44597000117)</f>
        <v>44597000117</v>
      </c>
      <c r="D201" s="43" t="str">
        <f ca="1">IFERROR(__xludf.DUMMYFUNCTION("""COMPUTED_VALUE"""),"Cash")</f>
        <v>Cash</v>
      </c>
      <c r="E201" s="147">
        <f ca="1">IFERROR(__xludf.DUMMYFUNCTION("""COMPUTED_VALUE"""),44597)</f>
        <v>44597</v>
      </c>
      <c r="F201" s="43" t="str">
        <f ca="1">IFERROR(__xludf.DUMMYFUNCTION("""COMPUTED_VALUE"""),"Cash")</f>
        <v>Cash</v>
      </c>
      <c r="G201" s="43" t="str">
        <f ca="1">IFERROR(__xludf.DUMMYFUNCTION("""COMPUTED_VALUE"""),"HKD")</f>
        <v>HKD</v>
      </c>
      <c r="H201" s="11" t="str">
        <f ca="1">IFERROR(__xludf.DUMMYFUNCTION("""COMPUTED_VALUE"""),"")</f>
        <v/>
      </c>
      <c r="I201" s="148">
        <f ca="1">IFERROR(__xludf.DUMMYFUNCTION("""COMPUTED_VALUE"""),1)</f>
        <v>1</v>
      </c>
      <c r="J201" s="108">
        <f ca="1">IFERROR(__xludf.DUMMYFUNCTION("""COMPUTED_VALUE"""),1)</f>
        <v>1</v>
      </c>
      <c r="K201" s="43"/>
      <c r="L201" s="149">
        <f ca="1">IFERROR(__xludf.DUMMYFUNCTION("""COMPUTED_VALUE"""),1)</f>
        <v>1</v>
      </c>
      <c r="M201" s="3" t="str">
        <f ca="1">IFERROR(__xludf.DUMMYFUNCTION("""COMPUTED_VALUE"""),"")</f>
        <v/>
      </c>
      <c r="N201" s="43"/>
      <c r="O201" s="43"/>
      <c r="P201" s="150">
        <f ca="1">IFERROR(__xludf.DUMMYFUNCTION("""COMPUTED_VALUE"""),500000)</f>
        <v>500000</v>
      </c>
      <c r="Q201" s="151"/>
      <c r="R201" s="152">
        <f ca="1">IFERROR(__xludf.DUMMYFUNCTION("""COMPUTED_VALUE"""),1)</f>
        <v>1</v>
      </c>
      <c r="S201" s="127" t="str">
        <f ca="1">IFERROR(__xludf.DUMMYFUNCTION("""COMPUTED_VALUE"""),"")</f>
        <v/>
      </c>
      <c r="T201" s="108">
        <f ca="1">IFERROR(__xludf.DUMMYFUNCTION("""COMPUTED_VALUE"""),1)</f>
        <v>1</v>
      </c>
      <c r="U201" s="108">
        <f ca="1">IFERROR(__xludf.DUMMYFUNCTION("""COMPUTED_VALUE"""),1)</f>
        <v>1</v>
      </c>
      <c r="V201" s="153">
        <f ca="1">IFERROR(__xludf.DUMMYFUNCTION("""COMPUTED_VALUE"""),500000)</f>
        <v>500000</v>
      </c>
      <c r="W201" s="145" t="str">
        <f ca="1">IFERROR(__xludf.DUMMYFUNCTION("""COMPUTED_VALUE"""),"")</f>
        <v/>
      </c>
      <c r="X201" s="11" t="str">
        <f ca="1">IFERROR(__xludf.DUMMYFUNCTION("""COMPUTED_VALUE"""),"")</f>
        <v/>
      </c>
      <c r="Y201" s="11" t="str">
        <f ca="1">IFERROR(__xludf.DUMMYFUNCTION("""COMPUTED_VALUE"""),"")</f>
        <v/>
      </c>
      <c r="Z201" s="4" t="str">
        <f ca="1">IFERROR(__xludf.DUMMYFUNCTION("""COMPUTED_VALUE"""),"")</f>
        <v/>
      </c>
    </row>
    <row r="202" spans="1:26" ht="13" x14ac:dyDescent="0.15">
      <c r="A202" s="43" t="str">
        <f ca="1">IFERROR(__xludf.DUMMYFUNCTION("""COMPUTED_VALUE"""),"39296")</f>
        <v>39296</v>
      </c>
      <c r="B202" s="43" t="str">
        <f ca="1">IFERROR(__xludf.DUMMYFUNCTION("""COMPUTED_VALUE"""),"39296")</f>
        <v>39296</v>
      </c>
      <c r="C202" s="146">
        <f ca="1">IFERROR(__xludf.DUMMYFUNCTION("""COMPUTED_VALUE"""),44600000129)</f>
        <v>44600000129</v>
      </c>
      <c r="D202" s="163" t="str">
        <f ca="1">IFERROR(__xludf.DUMMYFUNCTION("""COMPUTED_VALUE"""),"0700.HK")</f>
        <v>0700.HK</v>
      </c>
      <c r="E202" s="147">
        <f ca="1">IFERROR(__xludf.DUMMYFUNCTION("""COMPUTED_VALUE"""),44600)</f>
        <v>44600</v>
      </c>
      <c r="F202" s="43" t="str">
        <f ca="1">IFERROR(__xludf.DUMMYFUNCTION("""COMPUTED_VALUE"""),"Stock")</f>
        <v>Stock</v>
      </c>
      <c r="G202" s="43" t="str">
        <f ca="1">IFERROR(__xludf.DUMMYFUNCTION("""COMPUTED_VALUE"""),"HKD")</f>
        <v>HKD</v>
      </c>
      <c r="H202" s="154">
        <f ca="1">IFERROR(__xludf.DUMMYFUNCTION("""COMPUTED_VALUE"""),1000)</f>
        <v>1000</v>
      </c>
      <c r="I202" s="148">
        <f ca="1">IFERROR(__xludf.DUMMYFUNCTION("""COMPUTED_VALUE"""),1)</f>
        <v>1</v>
      </c>
      <c r="J202" s="149">
        <f ca="1">IFERROR(__xludf.DUMMYFUNCTION("""COMPUTED_VALUE"""),470)</f>
        <v>470</v>
      </c>
      <c r="K202" s="43"/>
      <c r="L202" s="149">
        <f ca="1">IFERROR(__xludf.DUMMYFUNCTION("""COMPUTED_VALUE"""),388)</f>
        <v>388</v>
      </c>
      <c r="M202" s="155" t="str">
        <f ca="1">IFERROR(__xludf.DUMMYFUNCTION("""COMPUTED_VALUE"""),"Equity Key Stats")</f>
        <v>Equity Key Stats</v>
      </c>
      <c r="N202" s="43"/>
      <c r="O202" s="43"/>
      <c r="P202" s="157">
        <f ca="1">IFERROR(__xludf.DUMMYFUNCTION("""COMPUTED_VALUE"""),-470000)</f>
        <v>-470000</v>
      </c>
      <c r="Q202" s="151"/>
      <c r="R202" s="152">
        <f ca="1">IFERROR(__xludf.DUMMYFUNCTION("""COMPUTED_VALUE"""),389)</f>
        <v>389</v>
      </c>
      <c r="S202" s="150">
        <f ca="1">IFERROR(__xludf.DUMMYFUNCTION("""COMPUTED_VALUE"""),389000)</f>
        <v>389000</v>
      </c>
      <c r="T202" s="108">
        <f ca="1">IFERROR(__xludf.DUMMYFUNCTION("""COMPUTED_VALUE"""),1)</f>
        <v>1</v>
      </c>
      <c r="U202" s="43">
        <f ca="1">IFERROR(__xludf.DUMMYFUNCTION("""COMPUTED_VALUE"""),1)</f>
        <v>1</v>
      </c>
      <c r="V202" s="144">
        <f ca="1">IFERROR(__xludf.DUMMYFUNCTION("""COMPUTED_VALUE"""),-81000)</f>
        <v>-81000</v>
      </c>
      <c r="W202" s="145">
        <f ca="1">IFERROR(__xludf.DUMMYFUNCTION("""COMPUTED_VALUE"""),419000)</f>
        <v>419000</v>
      </c>
      <c r="X202" s="11">
        <f ca="1">IFERROR(__xludf.DUMMYFUNCTION("""COMPUTED_VALUE"""),30000)</f>
        <v>30000</v>
      </c>
      <c r="Y202" s="11">
        <f ca="1">IFERROR(__xludf.DUMMYFUNCTION("""COMPUTED_VALUE"""),0)</f>
        <v>0</v>
      </c>
      <c r="Z202" s="4">
        <f ca="1">IFERROR(__xludf.DUMMYFUNCTION("""COMPUTED_VALUE"""),-0.162)</f>
        <v>-0.16200000000000001</v>
      </c>
    </row>
    <row r="203" spans="1:26" ht="13" x14ac:dyDescent="0.15">
      <c r="A203" s="43" t="str">
        <f ca="1">IFERROR(__xludf.DUMMYFUNCTION("""COMPUTED_VALUE"""),"39302")</f>
        <v>39302</v>
      </c>
      <c r="B203" s="43" t="str">
        <f ca="1">IFERROR(__xludf.DUMMYFUNCTION("""COMPUTED_VALUE"""),"39302")</f>
        <v>39302</v>
      </c>
      <c r="C203" s="146">
        <f ca="1">IFERROR(__xludf.DUMMYFUNCTION("""COMPUTED_VALUE"""),44597000069)</f>
        <v>44597000069</v>
      </c>
      <c r="D203" s="163" t="str">
        <f ca="1">IFERROR(__xludf.DUMMYFUNCTION("""COMPUTED_VALUE"""),"Cash")</f>
        <v>Cash</v>
      </c>
      <c r="E203" s="147">
        <f ca="1">IFERROR(__xludf.DUMMYFUNCTION("""COMPUTED_VALUE"""),44597)</f>
        <v>44597</v>
      </c>
      <c r="F203" s="43" t="str">
        <f ca="1">IFERROR(__xludf.DUMMYFUNCTION("""COMPUTED_VALUE"""),"Cash")</f>
        <v>Cash</v>
      </c>
      <c r="G203" s="43" t="str">
        <f ca="1">IFERROR(__xludf.DUMMYFUNCTION("""COMPUTED_VALUE"""),"HKD")</f>
        <v>HKD</v>
      </c>
      <c r="H203" s="154" t="str">
        <f ca="1">IFERROR(__xludf.DUMMYFUNCTION("""COMPUTED_VALUE"""),"")</f>
        <v/>
      </c>
      <c r="I203" s="148">
        <f ca="1">IFERROR(__xludf.DUMMYFUNCTION("""COMPUTED_VALUE"""),1)</f>
        <v>1</v>
      </c>
      <c r="J203" s="149">
        <f ca="1">IFERROR(__xludf.DUMMYFUNCTION("""COMPUTED_VALUE"""),1)</f>
        <v>1</v>
      </c>
      <c r="K203" s="43"/>
      <c r="L203" s="149">
        <f ca="1">IFERROR(__xludf.DUMMYFUNCTION("""COMPUTED_VALUE"""),1)</f>
        <v>1</v>
      </c>
      <c r="M203" s="155" t="str">
        <f ca="1">IFERROR(__xludf.DUMMYFUNCTION("""COMPUTED_VALUE"""),"")</f>
        <v/>
      </c>
      <c r="N203" s="43"/>
      <c r="O203" s="43"/>
      <c r="P203" s="157">
        <f ca="1">IFERROR(__xludf.DUMMYFUNCTION("""COMPUTED_VALUE"""),500000)</f>
        <v>500000</v>
      </c>
      <c r="Q203" s="151"/>
      <c r="R203" s="152">
        <f ca="1">IFERROR(__xludf.DUMMYFUNCTION("""COMPUTED_VALUE"""),1)</f>
        <v>1</v>
      </c>
      <c r="S203" s="150" t="str">
        <f ca="1">IFERROR(__xludf.DUMMYFUNCTION("""COMPUTED_VALUE"""),"")</f>
        <v/>
      </c>
      <c r="T203" s="108">
        <f ca="1">IFERROR(__xludf.DUMMYFUNCTION("""COMPUTED_VALUE"""),1)</f>
        <v>1</v>
      </c>
      <c r="U203" s="108">
        <f ca="1">IFERROR(__xludf.DUMMYFUNCTION("""COMPUTED_VALUE"""),1)</f>
        <v>1</v>
      </c>
      <c r="V203" s="158">
        <f ca="1">IFERROR(__xludf.DUMMYFUNCTION("""COMPUTED_VALUE"""),500000)</f>
        <v>500000</v>
      </c>
      <c r="W203" s="145">
        <f ca="1">IFERROR(__xludf.DUMMYFUNCTION("""COMPUTED_VALUE"""),500000)</f>
        <v>500000</v>
      </c>
      <c r="X203" s="11">
        <f ca="1">IFERROR(__xludf.DUMMYFUNCTION("""COMPUTED_VALUE"""),500000)</f>
        <v>500000</v>
      </c>
      <c r="Y203" s="11">
        <f ca="1">IFERROR(__xludf.DUMMYFUNCTION("""COMPUTED_VALUE"""),0)</f>
        <v>0</v>
      </c>
      <c r="Z203" s="4">
        <f ca="1">IFERROR(__xludf.DUMMYFUNCTION("""COMPUTED_VALUE"""),0)</f>
        <v>0</v>
      </c>
    </row>
    <row r="204" spans="1:26" ht="13" x14ac:dyDescent="0.15">
      <c r="A204" s="43" t="str">
        <f ca="1">IFERROR(__xludf.DUMMYFUNCTION("""COMPUTED_VALUE"""),"")</f>
        <v/>
      </c>
      <c r="B204" s="43" t="str">
        <f ca="1">IFERROR(__xludf.DUMMYFUNCTION("""COMPUTED_VALUE"""),"39441")</f>
        <v>39441</v>
      </c>
      <c r="C204" s="146">
        <f ca="1">IFERROR(__xludf.DUMMYFUNCTION("""COMPUTED_VALUE"""),44597000042)</f>
        <v>44597000042</v>
      </c>
      <c r="D204" s="43" t="str">
        <f ca="1">IFERROR(__xludf.DUMMYFUNCTION("""COMPUTED_VALUE"""),"Cash")</f>
        <v>Cash</v>
      </c>
      <c r="E204" s="147">
        <f ca="1">IFERROR(__xludf.DUMMYFUNCTION("""COMPUTED_VALUE"""),44597)</f>
        <v>44597</v>
      </c>
      <c r="F204" s="43" t="str">
        <f ca="1">IFERROR(__xludf.DUMMYFUNCTION("""COMPUTED_VALUE"""),"Cash")</f>
        <v>Cash</v>
      </c>
      <c r="G204" s="43" t="str">
        <f ca="1">IFERROR(__xludf.DUMMYFUNCTION("""COMPUTED_VALUE"""),"HKD")</f>
        <v>HKD</v>
      </c>
      <c r="H204" s="154" t="str">
        <f ca="1">IFERROR(__xludf.DUMMYFUNCTION("""COMPUTED_VALUE"""),"")</f>
        <v/>
      </c>
      <c r="I204" s="148">
        <f ca="1">IFERROR(__xludf.DUMMYFUNCTION("""COMPUTED_VALUE"""),1)</f>
        <v>1</v>
      </c>
      <c r="J204" s="149">
        <f ca="1">IFERROR(__xludf.DUMMYFUNCTION("""COMPUTED_VALUE"""),1)</f>
        <v>1</v>
      </c>
      <c r="K204" s="43"/>
      <c r="L204" s="149">
        <f ca="1">IFERROR(__xludf.DUMMYFUNCTION("""COMPUTED_VALUE"""),1)</f>
        <v>1</v>
      </c>
      <c r="M204" s="155" t="str">
        <f ca="1">IFERROR(__xludf.DUMMYFUNCTION("""COMPUTED_VALUE"""),"")</f>
        <v/>
      </c>
      <c r="N204" s="43"/>
      <c r="O204" s="43"/>
      <c r="P204" s="157">
        <f ca="1">IFERROR(__xludf.DUMMYFUNCTION("""COMPUTED_VALUE"""),500000)</f>
        <v>500000</v>
      </c>
      <c r="Q204" s="151"/>
      <c r="R204" s="152">
        <f ca="1">IFERROR(__xludf.DUMMYFUNCTION("""COMPUTED_VALUE"""),1)</f>
        <v>1</v>
      </c>
      <c r="S204" s="150" t="str">
        <f ca="1">IFERROR(__xludf.DUMMYFUNCTION("""COMPUTED_VALUE"""),"")</f>
        <v/>
      </c>
      <c r="T204" s="108">
        <f ca="1">IFERROR(__xludf.DUMMYFUNCTION("""COMPUTED_VALUE"""),1)</f>
        <v>1</v>
      </c>
      <c r="U204" s="108">
        <f ca="1">IFERROR(__xludf.DUMMYFUNCTION("""COMPUTED_VALUE"""),1)</f>
        <v>1</v>
      </c>
      <c r="V204" s="158">
        <f ca="1">IFERROR(__xludf.DUMMYFUNCTION("""COMPUTED_VALUE"""),500000)</f>
        <v>500000</v>
      </c>
      <c r="W204" s="44" t="str">
        <f ca="1">IFERROR(__xludf.DUMMYFUNCTION("""COMPUTED_VALUE"""),"")</f>
        <v/>
      </c>
      <c r="X204" s="154" t="str">
        <f ca="1">IFERROR(__xludf.DUMMYFUNCTION("""COMPUTED_VALUE"""),"")</f>
        <v/>
      </c>
      <c r="Y204" s="154" t="str">
        <f ca="1">IFERROR(__xludf.DUMMYFUNCTION("""COMPUTED_VALUE"""),"")</f>
        <v/>
      </c>
      <c r="Z204" s="162" t="str">
        <f ca="1">IFERROR(__xludf.DUMMYFUNCTION("""COMPUTED_VALUE"""),"")</f>
        <v/>
      </c>
    </row>
    <row r="205" spans="1:26" ht="13" x14ac:dyDescent="0.15">
      <c r="A205" s="43" t="str">
        <f ca="1">IFERROR(__xludf.DUMMYFUNCTION("""COMPUTED_VALUE"""),"")</f>
        <v/>
      </c>
      <c r="B205" s="43" t="str">
        <f ca="1">IFERROR(__xludf.DUMMYFUNCTION("""COMPUTED_VALUE"""),"39441")</f>
        <v>39441</v>
      </c>
      <c r="C205" s="146">
        <f ca="1">IFERROR(__xludf.DUMMYFUNCTION("""COMPUTED_VALUE"""),44602000157)</f>
        <v>44602000157</v>
      </c>
      <c r="D205" s="43" t="str">
        <f ca="1">IFERROR(__xludf.DUMMYFUNCTION("""COMPUTED_VALUE"""),"AMZN")</f>
        <v>AMZN</v>
      </c>
      <c r="E205" s="147">
        <f ca="1">IFERROR(__xludf.DUMMYFUNCTION("""COMPUTED_VALUE"""),44602)</f>
        <v>44602</v>
      </c>
      <c r="F205" s="43" t="str">
        <f ca="1">IFERROR(__xludf.DUMMYFUNCTION("""COMPUTED_VALUE"""),"Stock")</f>
        <v>Stock</v>
      </c>
      <c r="G205" s="43" t="str">
        <f ca="1">IFERROR(__xludf.DUMMYFUNCTION("""COMPUTED_VALUE"""),"USD")</f>
        <v>USD</v>
      </c>
      <c r="H205" s="11">
        <f ca="1">IFERROR(__xludf.DUMMYFUNCTION("""COMPUTED_VALUE"""),6)</f>
        <v>6</v>
      </c>
      <c r="I205" s="148">
        <f ca="1">IFERROR(__xludf.DUMMYFUNCTION("""COMPUTED_VALUE"""),7.796775)</f>
        <v>7.7967750000000002</v>
      </c>
      <c r="J205" s="149">
        <f ca="1">IFERROR(__xludf.DUMMYFUNCTION("""COMPUTED_VALUE"""),3180.07)</f>
        <v>3180.07</v>
      </c>
      <c r="K205" s="43"/>
      <c r="L205" s="149">
        <f ca="1">IFERROR(__xludf.DUMMYFUNCTION("""COMPUTED_VALUE"""),3297.78)</f>
        <v>3297.78</v>
      </c>
      <c r="M205" s="160" t="str">
        <f ca="1">IFERROR(__xludf.DUMMYFUNCTION("""COMPUTED_VALUE"""),"Equity Key Stats")</f>
        <v>Equity Key Stats</v>
      </c>
      <c r="N205" s="43"/>
      <c r="O205" s="43"/>
      <c r="P205" s="150">
        <f ca="1">IFERROR(__xludf.DUMMYFUNCTION("""COMPUTED_VALUE"""),-148765.7416455)</f>
        <v>-148765.74164550001</v>
      </c>
      <c r="Q205" s="151"/>
      <c r="R205" s="152">
        <f ca="1">IFERROR(__xludf.DUMMYFUNCTION("""COMPUTED_VALUE"""),3268.16)</f>
        <v>3268.16</v>
      </c>
      <c r="S205" s="127">
        <f ca="1">IFERROR(__xludf.DUMMYFUNCTION("""COMPUTED_VALUE"""),152886.649104)</f>
        <v>152886.64910400001</v>
      </c>
      <c r="T205" s="108">
        <f ca="1">IFERROR(__xludf.DUMMYFUNCTION("""COMPUTED_VALUE"""),5)</f>
        <v>5</v>
      </c>
      <c r="U205" s="108" t="str">
        <f ca="1">IFERROR(__xludf.DUMMYFUNCTION("""COMPUTED_VALUE"""),"")</f>
        <v/>
      </c>
      <c r="V205" s="153" t="str">
        <f ca="1">IFERROR(__xludf.DUMMYFUNCTION("""COMPUTED_VALUE"""),"")</f>
        <v/>
      </c>
      <c r="W205" s="145" t="str">
        <f ca="1">IFERROR(__xludf.DUMMYFUNCTION("""COMPUTED_VALUE"""),"")</f>
        <v/>
      </c>
      <c r="X205" s="11" t="str">
        <f ca="1">IFERROR(__xludf.DUMMYFUNCTION("""COMPUTED_VALUE"""),"")</f>
        <v/>
      </c>
      <c r="Y205" s="11" t="str">
        <f ca="1">IFERROR(__xludf.DUMMYFUNCTION("""COMPUTED_VALUE"""),"")</f>
        <v/>
      </c>
      <c r="Z205" s="4" t="str">
        <f ca="1">IFERROR(__xludf.DUMMYFUNCTION("""COMPUTED_VALUE"""),"")</f>
        <v/>
      </c>
    </row>
    <row r="206" spans="1:26" ht="13" x14ac:dyDescent="0.15">
      <c r="A206" s="43" t="str">
        <f ca="1">IFERROR(__xludf.DUMMYFUNCTION("""COMPUTED_VALUE"""),"")</f>
        <v/>
      </c>
      <c r="B206" s="43" t="str">
        <f ca="1">IFERROR(__xludf.DUMMYFUNCTION("""COMPUTED_VALUE"""),"39441")</f>
        <v>39441</v>
      </c>
      <c r="C206" s="146">
        <f ca="1">IFERROR(__xludf.DUMMYFUNCTION("""COMPUTED_VALUE"""),44602000158)</f>
        <v>44602000158</v>
      </c>
      <c r="D206" s="43" t="str">
        <f ca="1">IFERROR(__xludf.DUMMYFUNCTION("""COMPUTED_VALUE"""),"GOOG")</f>
        <v>GOOG</v>
      </c>
      <c r="E206" s="147">
        <f ca="1">IFERROR(__xludf.DUMMYFUNCTION("""COMPUTED_VALUE"""),44602)</f>
        <v>44602</v>
      </c>
      <c r="F206" s="43" t="str">
        <f ca="1">IFERROR(__xludf.DUMMYFUNCTION("""COMPUTED_VALUE"""),"Stock")</f>
        <v>Stock</v>
      </c>
      <c r="G206" s="43" t="str">
        <f ca="1">IFERROR(__xludf.DUMMYFUNCTION("""COMPUTED_VALUE"""),"USD")</f>
        <v>USD</v>
      </c>
      <c r="H206" s="154">
        <f ca="1">IFERROR(__xludf.DUMMYFUNCTION("""COMPUTED_VALUE"""),-5)</f>
        <v>-5</v>
      </c>
      <c r="I206" s="148">
        <f ca="1">IFERROR(__xludf.DUMMYFUNCTION("""COMPUTED_VALUE"""),7.796775)</f>
        <v>7.7967750000000002</v>
      </c>
      <c r="J206" s="149">
        <f ca="1">IFERROR(__xludf.DUMMYFUNCTION("""COMPUTED_VALUE"""),2772.05)</f>
        <v>2772.05</v>
      </c>
      <c r="K206" s="43"/>
      <c r="L206" s="149">
        <f ca="1">IFERROR(__xludf.DUMMYFUNCTION("""COMPUTED_VALUE"""),2805.55)</f>
        <v>2805.55</v>
      </c>
      <c r="M206" s="155" t="str">
        <f ca="1">IFERROR(__xludf.DUMMYFUNCTION("""COMPUTED_VALUE"""),"Equity Key Stats")</f>
        <v>Equity Key Stats</v>
      </c>
      <c r="N206" s="43"/>
      <c r="O206" s="43"/>
      <c r="P206" s="157">
        <f ca="1">IFERROR(__xludf.DUMMYFUNCTION("""COMPUTED_VALUE"""),108065.25069375)</f>
        <v>108065.25069375</v>
      </c>
      <c r="Q206" s="151"/>
      <c r="R206" s="152">
        <f ca="1">IFERROR(__xludf.DUMMYFUNCTION("""COMPUTED_VALUE"""),2770.07)</f>
        <v>2770.07</v>
      </c>
      <c r="S206" s="150">
        <f ca="1">IFERROR(__xludf.DUMMYFUNCTION("""COMPUTED_VALUE"""),-107988.06262125)</f>
        <v>-107988.06262125001</v>
      </c>
      <c r="T206" s="108">
        <f ca="1">IFERROR(__xludf.DUMMYFUNCTION("""COMPUTED_VALUE"""),2)</f>
        <v>2</v>
      </c>
      <c r="U206" s="43" t="str">
        <f ca="1">IFERROR(__xludf.DUMMYFUNCTION("""COMPUTED_VALUE"""),"")</f>
        <v/>
      </c>
      <c r="V206" s="144" t="str">
        <f ca="1">IFERROR(__xludf.DUMMYFUNCTION("""COMPUTED_VALUE"""),"")</f>
        <v/>
      </c>
      <c r="W206" s="145" t="str">
        <f ca="1">IFERROR(__xludf.DUMMYFUNCTION("""COMPUTED_VALUE"""),"")</f>
        <v/>
      </c>
      <c r="X206" s="11" t="str">
        <f ca="1">IFERROR(__xludf.DUMMYFUNCTION("""COMPUTED_VALUE"""),"")</f>
        <v/>
      </c>
      <c r="Y206" s="11" t="str">
        <f ca="1">IFERROR(__xludf.DUMMYFUNCTION("""COMPUTED_VALUE"""),"")</f>
        <v/>
      </c>
      <c r="Z206" s="4" t="str">
        <f ca="1">IFERROR(__xludf.DUMMYFUNCTION("""COMPUTED_VALUE"""),"")</f>
        <v/>
      </c>
    </row>
    <row r="207" spans="1:26" ht="13" x14ac:dyDescent="0.15">
      <c r="A207" s="43" t="str">
        <f ca="1">IFERROR(__xludf.DUMMYFUNCTION("""COMPUTED_VALUE"""),"")</f>
        <v/>
      </c>
      <c r="B207" s="43" t="str">
        <f ca="1">IFERROR(__xludf.DUMMYFUNCTION("""COMPUTED_VALUE"""),"39441")</f>
        <v>39441</v>
      </c>
      <c r="C207" s="146">
        <f ca="1">IFERROR(__xludf.DUMMYFUNCTION("""COMPUTED_VALUE"""),44603000160)</f>
        <v>44603000160</v>
      </c>
      <c r="D207" s="43" t="str">
        <f ca="1">IFERROR(__xludf.DUMMYFUNCTION("""COMPUTED_VALUE"""),"3m")</f>
        <v>3m</v>
      </c>
      <c r="E207" s="147">
        <f ca="1">IFERROR(__xludf.DUMMYFUNCTION("""COMPUTED_VALUE"""),44603)</f>
        <v>44603</v>
      </c>
      <c r="F207" s="43" t="str">
        <f ca="1">IFERROR(__xludf.DUMMYFUNCTION("""COMPUTED_VALUE"""),"Time Deposit")</f>
        <v>Time Deposit</v>
      </c>
      <c r="G207" s="43" t="str">
        <f ca="1">IFERROR(__xludf.DUMMYFUNCTION("""COMPUTED_VALUE"""),"HKD")</f>
        <v>HKD</v>
      </c>
      <c r="H207" s="154">
        <f ca="1">IFERROR(__xludf.DUMMYFUNCTION("""COMPUTED_VALUE"""),100000)</f>
        <v>100000</v>
      </c>
      <c r="I207" s="148">
        <f ca="1">IFERROR(__xludf.DUMMYFUNCTION("""COMPUTED_VALUE"""),1)</f>
        <v>1</v>
      </c>
      <c r="J207" s="149">
        <f ca="1">IFERROR(__xludf.DUMMYFUNCTION("""COMPUTED_VALUE"""),1)</f>
        <v>1</v>
      </c>
      <c r="K207" s="43"/>
      <c r="L207" s="149">
        <f ca="1">IFERROR(__xludf.DUMMYFUNCTION("""COMPUTED_VALUE"""),1)</f>
        <v>1</v>
      </c>
      <c r="M207" s="155" t="str">
        <f ca="1">IFERROR(__xludf.DUMMYFUNCTION("""COMPUTED_VALUE"""),"")</f>
        <v/>
      </c>
      <c r="N207" s="43"/>
      <c r="O207" s="43"/>
      <c r="P207" s="157">
        <f ca="1">IFERROR(__xludf.DUMMYFUNCTION("""COMPUTED_VALUE"""),-100000)</f>
        <v>-100000</v>
      </c>
      <c r="Q207" s="151"/>
      <c r="R207" s="152">
        <f ca="1">IFERROR(__xludf.DUMMYFUNCTION("""COMPUTED_VALUE"""),1)</f>
        <v>1</v>
      </c>
      <c r="S207" s="150">
        <f ca="1">IFERROR(__xludf.DUMMYFUNCTION("""COMPUTED_VALUE"""),100000)</f>
        <v>100000</v>
      </c>
      <c r="T207" s="108">
        <f ca="1">IFERROR(__xludf.DUMMYFUNCTION("""COMPUTED_VALUE"""),1)</f>
        <v>1</v>
      </c>
      <c r="U207" s="108">
        <f ca="1">IFERROR(__xludf.DUMMYFUNCTION("""COMPUTED_VALUE"""),1)</f>
        <v>1</v>
      </c>
      <c r="V207" s="158">
        <f ca="1">IFERROR(__xludf.DUMMYFUNCTION("""COMPUTED_VALUE"""),0)</f>
        <v>0</v>
      </c>
      <c r="W207" s="145" t="str">
        <f ca="1">IFERROR(__xludf.DUMMYFUNCTION("""COMPUTED_VALUE"""),"")</f>
        <v/>
      </c>
      <c r="X207" s="11" t="str">
        <f ca="1">IFERROR(__xludf.DUMMYFUNCTION("""COMPUTED_VALUE"""),"")</f>
        <v/>
      </c>
      <c r="Y207" s="11" t="str">
        <f ca="1">IFERROR(__xludf.DUMMYFUNCTION("""COMPUTED_VALUE"""),"")</f>
        <v/>
      </c>
      <c r="Z207" s="4" t="str">
        <f ca="1">IFERROR(__xludf.DUMMYFUNCTION("""COMPUTED_VALUE"""),"")</f>
        <v/>
      </c>
    </row>
    <row r="208" spans="1:26" ht="13" x14ac:dyDescent="0.15">
      <c r="A208" s="43" t="str">
        <f ca="1">IFERROR(__xludf.DUMMYFUNCTION("""COMPUTED_VALUE"""),"")</f>
        <v/>
      </c>
      <c r="B208" s="43" t="str">
        <f ca="1">IFERROR(__xludf.DUMMYFUNCTION("""COMPUTED_VALUE"""),"39441")</f>
        <v>39441</v>
      </c>
      <c r="C208" s="146">
        <f ca="1">IFERROR(__xludf.DUMMYFUNCTION("""COMPUTED_VALUE"""),44631000534)</f>
        <v>44631000534</v>
      </c>
      <c r="D208" s="43" t="str">
        <f ca="1">IFERROR(__xludf.DUMMYFUNCTION("""COMPUTED_VALUE"""),"GOOG")</f>
        <v>GOOG</v>
      </c>
      <c r="E208" s="147">
        <f ca="1">IFERROR(__xludf.DUMMYFUNCTION("""COMPUTED_VALUE"""),44631)</f>
        <v>44631</v>
      </c>
      <c r="F208" s="43" t="str">
        <f ca="1">IFERROR(__xludf.DUMMYFUNCTION("""COMPUTED_VALUE"""),"Stock")</f>
        <v>Stock</v>
      </c>
      <c r="G208" s="43" t="str">
        <f ca="1">IFERROR(__xludf.DUMMYFUNCTION("""COMPUTED_VALUE"""),"USD")</f>
        <v>USD</v>
      </c>
      <c r="H208" s="154">
        <f ca="1">IFERROR(__xludf.DUMMYFUNCTION("""COMPUTED_VALUE"""),5)</f>
        <v>5</v>
      </c>
      <c r="I208" s="148">
        <f ca="1">IFERROR(__xludf.DUMMYFUNCTION("""COMPUTED_VALUE"""),7.8295)</f>
        <v>7.8295000000000003</v>
      </c>
      <c r="J208" s="149">
        <f ca="1">IFERROR(__xludf.DUMMYFUNCTION("""COMPUTED_VALUE"""),2609.51)</f>
        <v>2609.5100000000002</v>
      </c>
      <c r="K208" s="43"/>
      <c r="L208" s="149">
        <f ca="1">IFERROR(__xludf.DUMMYFUNCTION("""COMPUTED_VALUE"""),2805.55)</f>
        <v>2805.55</v>
      </c>
      <c r="M208" s="155" t="str">
        <f ca="1">IFERROR(__xludf.DUMMYFUNCTION("""COMPUTED_VALUE"""),"Equity Key Stats")</f>
        <v>Equity Key Stats</v>
      </c>
      <c r="N208" s="43"/>
      <c r="O208" s="43"/>
      <c r="P208" s="157">
        <f ca="1">IFERROR(__xludf.DUMMYFUNCTION("""COMPUTED_VALUE"""),-102155.792725)</f>
        <v>-102155.79272500001</v>
      </c>
      <c r="Q208" s="151"/>
      <c r="R208" s="152">
        <f ca="1">IFERROR(__xludf.DUMMYFUNCTION("""COMPUTED_VALUE"""),2770.07)</f>
        <v>2770.07</v>
      </c>
      <c r="S208" s="150">
        <f ca="1">IFERROR(__xludf.DUMMYFUNCTION("""COMPUTED_VALUE"""),108441.315325)</f>
        <v>108441.315325</v>
      </c>
      <c r="T208" s="108">
        <f ca="1">IFERROR(__xludf.DUMMYFUNCTION("""COMPUTED_VALUE"""),2)</f>
        <v>2</v>
      </c>
      <c r="U208" s="108">
        <f ca="1">IFERROR(__xludf.DUMMYFUNCTION("""COMPUTED_VALUE"""),1)</f>
        <v>1</v>
      </c>
      <c r="V208" s="153">
        <f ca="1">IFERROR(__xludf.DUMMYFUNCTION("""COMPUTED_VALUE"""),6362.71067249999)</f>
        <v>6362.7106724999903</v>
      </c>
      <c r="W208" s="145" t="str">
        <f ca="1">IFERROR(__xludf.DUMMYFUNCTION("""COMPUTED_VALUE"""),"")</f>
        <v/>
      </c>
      <c r="X208" s="11" t="str">
        <f ca="1">IFERROR(__xludf.DUMMYFUNCTION("""COMPUTED_VALUE"""),"")</f>
        <v/>
      </c>
      <c r="Y208" s="11" t="str">
        <f ca="1">IFERROR(__xludf.DUMMYFUNCTION("""COMPUTED_VALUE"""),"")</f>
        <v/>
      </c>
      <c r="Z208" s="4" t="str">
        <f ca="1">IFERROR(__xludf.DUMMYFUNCTION("""COMPUTED_VALUE"""),"")</f>
        <v/>
      </c>
    </row>
    <row r="209" spans="1:26" ht="13" x14ac:dyDescent="0.15">
      <c r="A209" s="43" t="str">
        <f ca="1">IFERROR(__xludf.DUMMYFUNCTION("""COMPUTED_VALUE"""),"")</f>
        <v/>
      </c>
      <c r="B209" s="43" t="str">
        <f ca="1">IFERROR(__xludf.DUMMYFUNCTION("""COMPUTED_VALUE"""),"39441")</f>
        <v>39441</v>
      </c>
      <c r="C209" s="146">
        <f ca="1">IFERROR(__xludf.DUMMYFUNCTION("""COMPUTED_VALUE"""),44631000535)</f>
        <v>44631000535</v>
      </c>
      <c r="D209" s="43" t="str">
        <f ca="1">IFERROR(__xludf.DUMMYFUNCTION("""COMPUTED_VALUE"""),"BABA")</f>
        <v>BABA</v>
      </c>
      <c r="E209" s="147">
        <f ca="1">IFERROR(__xludf.DUMMYFUNCTION("""COMPUTED_VALUE"""),44631)</f>
        <v>44631</v>
      </c>
      <c r="F209" s="43" t="str">
        <f ca="1">IFERROR(__xludf.DUMMYFUNCTION("""COMPUTED_VALUE"""),"Stock")</f>
        <v>Stock</v>
      </c>
      <c r="G209" s="43" t="str">
        <f ca="1">IFERROR(__xludf.DUMMYFUNCTION("""COMPUTED_VALUE"""),"USD")</f>
        <v>USD</v>
      </c>
      <c r="H209" s="156">
        <f ca="1">IFERROR(__xludf.DUMMYFUNCTION("""COMPUTED_VALUE"""),100)</f>
        <v>100</v>
      </c>
      <c r="I209" s="148">
        <f ca="1">IFERROR(__xludf.DUMMYFUNCTION("""COMPUTED_VALUE"""),7.8295)</f>
        <v>7.8295000000000003</v>
      </c>
      <c r="J209" s="149">
        <f ca="1">IFERROR(__xludf.DUMMYFUNCTION("""COMPUTED_VALUE"""),86.71)</f>
        <v>86.71</v>
      </c>
      <c r="K209" s="43"/>
      <c r="L209" s="149">
        <f ca="1">IFERROR(__xludf.DUMMYFUNCTION("""COMPUTED_VALUE"""),114.99)</f>
        <v>114.99</v>
      </c>
      <c r="M209" s="155" t="str">
        <f ca="1">IFERROR(__xludf.DUMMYFUNCTION("""COMPUTED_VALUE"""),"Equity Key Stats")</f>
        <v>Equity Key Stats</v>
      </c>
      <c r="N209" s="43"/>
      <c r="O209" s="43"/>
      <c r="P209" s="150">
        <f ca="1">IFERROR(__xludf.DUMMYFUNCTION("""COMPUTED_VALUE"""),-67889.5944999999)</f>
        <v>-67889.594499999905</v>
      </c>
      <c r="Q209" s="151"/>
      <c r="R209" s="152">
        <f ca="1">IFERROR(__xludf.DUMMYFUNCTION("""COMPUTED_VALUE"""),117.24)</f>
        <v>117.24</v>
      </c>
      <c r="S209" s="157">
        <f ca="1">IFERROR(__xludf.DUMMYFUNCTION("""COMPUTED_VALUE"""),91793.058)</f>
        <v>91793.058000000005</v>
      </c>
      <c r="T209" s="108">
        <f ca="1">IFERROR(__xludf.DUMMYFUNCTION("""COMPUTED_VALUE"""),6)</f>
        <v>6</v>
      </c>
      <c r="U209" s="108" t="str">
        <f ca="1">IFERROR(__xludf.DUMMYFUNCTION("""COMPUTED_VALUE"""),"")</f>
        <v/>
      </c>
      <c r="V209" s="158" t="str">
        <f ca="1">IFERROR(__xludf.DUMMYFUNCTION("""COMPUTED_VALUE"""),"")</f>
        <v/>
      </c>
      <c r="W209" s="44" t="str">
        <f ca="1">IFERROR(__xludf.DUMMYFUNCTION("""COMPUTED_VALUE"""),"")</f>
        <v/>
      </c>
      <c r="X209" s="154" t="str">
        <f ca="1">IFERROR(__xludf.DUMMYFUNCTION("""COMPUTED_VALUE"""),"")</f>
        <v/>
      </c>
      <c r="Y209" s="154" t="str">
        <f ca="1">IFERROR(__xludf.DUMMYFUNCTION("""COMPUTED_VALUE"""),"")</f>
        <v/>
      </c>
      <c r="Z209" s="162" t="str">
        <f ca="1">IFERROR(__xludf.DUMMYFUNCTION("""COMPUTED_VALUE"""),"")</f>
        <v/>
      </c>
    </row>
    <row r="210" spans="1:26" ht="13" x14ac:dyDescent="0.15">
      <c r="A210" s="43" t="str">
        <f ca="1">IFERROR(__xludf.DUMMYFUNCTION("""COMPUTED_VALUE"""),"")</f>
        <v/>
      </c>
      <c r="B210" s="43" t="str">
        <f ca="1">IFERROR(__xludf.DUMMYFUNCTION("""COMPUTED_VALUE"""),"39441")</f>
        <v>39441</v>
      </c>
      <c r="C210" s="146">
        <f ca="1">IFERROR(__xludf.DUMMYFUNCTION("""COMPUTED_VALUE"""),44631000536)</f>
        <v>44631000536</v>
      </c>
      <c r="D210" s="43" t="str">
        <f ca="1">IFERROR(__xludf.DUMMYFUNCTION("""COMPUTED_VALUE"""),"CL=F")</f>
        <v>CL=F</v>
      </c>
      <c r="E210" s="147">
        <f ca="1">IFERROR(__xludf.DUMMYFUNCTION("""COMPUTED_VALUE"""),44631)</f>
        <v>44631</v>
      </c>
      <c r="F210" s="43" t="str">
        <f ca="1">IFERROR(__xludf.DUMMYFUNCTION("""COMPUTED_VALUE"""),"Stock")</f>
        <v>Stock</v>
      </c>
      <c r="G210" s="43" t="str">
        <f ca="1">IFERROR(__xludf.DUMMYFUNCTION("""COMPUTED_VALUE"""),"USD")</f>
        <v>USD</v>
      </c>
      <c r="H210" s="11">
        <f ca="1">IFERROR(__xludf.DUMMYFUNCTION("""COMPUTED_VALUE"""),-20)</f>
        <v>-20</v>
      </c>
      <c r="I210" s="148">
        <f ca="1">IFERROR(__xludf.DUMMYFUNCTION("""COMPUTED_VALUE"""),7.8295)</f>
        <v>7.8295000000000003</v>
      </c>
      <c r="J210" s="149">
        <f ca="1">IFERROR(__xludf.DUMMYFUNCTION("""COMPUTED_VALUE"""),109.09)</f>
        <v>109.09</v>
      </c>
      <c r="K210" s="43"/>
      <c r="L210" s="149">
        <f ca="1">IFERROR(__xludf.DUMMYFUNCTION("""COMPUTED_VALUE"""),111.3)</f>
        <v>111.3</v>
      </c>
      <c r="M210" s="160" t="str">
        <f ca="1">IFERROR(__xludf.DUMMYFUNCTION("""COMPUTED_VALUE"""),"Equity Key Stats")</f>
        <v>Equity Key Stats</v>
      </c>
      <c r="N210" s="43"/>
      <c r="O210" s="43"/>
      <c r="P210" s="150">
        <f ca="1">IFERROR(__xludf.DUMMYFUNCTION("""COMPUTED_VALUE"""),17082.4031)</f>
        <v>17082.4031</v>
      </c>
      <c r="Q210" s="151"/>
      <c r="R210" s="152">
        <f ca="1">IFERROR(__xludf.DUMMYFUNCTION("""COMPUTED_VALUE"""),115.83)</f>
        <v>115.83</v>
      </c>
      <c r="S210" s="127">
        <f ca="1">IFERROR(__xludf.DUMMYFUNCTION("""COMPUTED_VALUE"""),-18137.8197)</f>
        <v>-18137.8197</v>
      </c>
      <c r="T210" s="108">
        <f ca="1">IFERROR(__xludf.DUMMYFUNCTION("""COMPUTED_VALUE"""),1)</f>
        <v>1</v>
      </c>
      <c r="U210" s="108">
        <f ca="1">IFERROR(__xludf.DUMMYFUNCTION("""COMPUTED_VALUE"""),1)</f>
        <v>1</v>
      </c>
      <c r="V210" s="153">
        <f ca="1">IFERROR(__xludf.DUMMYFUNCTION("""COMPUTED_VALUE"""),-1055.4166)</f>
        <v>-1055.4166</v>
      </c>
      <c r="W210" s="145" t="str">
        <f ca="1">IFERROR(__xludf.DUMMYFUNCTION("""COMPUTED_VALUE"""),"")</f>
        <v/>
      </c>
      <c r="X210" s="11" t="str">
        <f ca="1">IFERROR(__xludf.DUMMYFUNCTION("""COMPUTED_VALUE"""),"")</f>
        <v/>
      </c>
      <c r="Y210" s="11" t="str">
        <f ca="1">IFERROR(__xludf.DUMMYFUNCTION("""COMPUTED_VALUE"""),"")</f>
        <v/>
      </c>
      <c r="Z210" s="4" t="str">
        <f ca="1">IFERROR(__xludf.DUMMYFUNCTION("""COMPUTED_VALUE"""),"")</f>
        <v/>
      </c>
    </row>
    <row r="211" spans="1:26" ht="13" x14ac:dyDescent="0.15">
      <c r="A211" s="43" t="str">
        <f ca="1">IFERROR(__xludf.DUMMYFUNCTION("""COMPUTED_VALUE"""),"")</f>
        <v/>
      </c>
      <c r="B211" s="43" t="str">
        <f ca="1">IFERROR(__xludf.DUMMYFUNCTION("""COMPUTED_VALUE"""),"39441")</f>
        <v>39441</v>
      </c>
      <c r="C211" s="146">
        <f ca="1">IFERROR(__xludf.DUMMYFUNCTION("""COMPUTED_VALUE"""),44634000567)</f>
        <v>44634000567</v>
      </c>
      <c r="D211" s="43" t="str">
        <f ca="1">IFERROR(__xludf.DUMMYFUNCTION("""COMPUTED_VALUE"""),"AMZN")</f>
        <v>AMZN</v>
      </c>
      <c r="E211" s="147">
        <f ca="1">IFERROR(__xludf.DUMMYFUNCTION("""COMPUTED_VALUE"""),44634)</f>
        <v>44634</v>
      </c>
      <c r="F211" s="43" t="str">
        <f ca="1">IFERROR(__xludf.DUMMYFUNCTION("""COMPUTED_VALUE"""),"Stock")</f>
        <v>Stock</v>
      </c>
      <c r="G211" s="43" t="str">
        <f ca="1">IFERROR(__xludf.DUMMYFUNCTION("""COMPUTED_VALUE"""),"USD")</f>
        <v>USD</v>
      </c>
      <c r="H211" s="154">
        <f ca="1">IFERROR(__xludf.DUMMYFUNCTION("""COMPUTED_VALUE"""),5)</f>
        <v>5</v>
      </c>
      <c r="I211" s="148">
        <f ca="1">IFERROR(__xludf.DUMMYFUNCTION("""COMPUTED_VALUE"""),7.82925)</f>
        <v>7.82925</v>
      </c>
      <c r="J211" s="149">
        <f ca="1">IFERROR(__xludf.DUMMYFUNCTION("""COMPUTED_VALUE"""),2837.06)</f>
        <v>2837.06</v>
      </c>
      <c r="K211" s="43"/>
      <c r="L211" s="149">
        <f ca="1">IFERROR(__xludf.DUMMYFUNCTION("""COMPUTED_VALUE"""),3297.78)</f>
        <v>3297.78</v>
      </c>
      <c r="M211" s="155" t="str">
        <f ca="1">IFERROR(__xludf.DUMMYFUNCTION("""COMPUTED_VALUE"""),"Equity Key Stats")</f>
        <v>Equity Key Stats</v>
      </c>
      <c r="N211" s="43"/>
      <c r="O211" s="43"/>
      <c r="P211" s="150">
        <f ca="1">IFERROR(__xludf.DUMMYFUNCTION("""COMPUTED_VALUE"""),-111060.260025)</f>
        <v>-111060.260025</v>
      </c>
      <c r="Q211" s="151"/>
      <c r="R211" s="152">
        <f ca="1">IFERROR(__xludf.DUMMYFUNCTION("""COMPUTED_VALUE"""),3268.16)</f>
        <v>3268.16</v>
      </c>
      <c r="S211" s="150">
        <f ca="1">IFERROR(__xludf.DUMMYFUNCTION("""COMPUTED_VALUE"""),127936.2084)</f>
        <v>127936.2084</v>
      </c>
      <c r="T211" s="108">
        <f ca="1">IFERROR(__xludf.DUMMYFUNCTION("""COMPUTED_VALUE"""),5)</f>
        <v>5</v>
      </c>
      <c r="U211" s="43" t="str">
        <f ca="1">IFERROR(__xludf.DUMMYFUNCTION("""COMPUTED_VALUE"""),"")</f>
        <v/>
      </c>
      <c r="V211" s="144" t="str">
        <f ca="1">IFERROR(__xludf.DUMMYFUNCTION("""COMPUTED_VALUE"""),"")</f>
        <v/>
      </c>
      <c r="W211" s="145" t="str">
        <f ca="1">IFERROR(__xludf.DUMMYFUNCTION("""COMPUTED_VALUE"""),"")</f>
        <v/>
      </c>
      <c r="X211" s="11" t="str">
        <f ca="1">IFERROR(__xludf.DUMMYFUNCTION("""COMPUTED_VALUE"""),"")</f>
        <v/>
      </c>
      <c r="Y211" s="11" t="str">
        <f ca="1">IFERROR(__xludf.DUMMYFUNCTION("""COMPUTED_VALUE"""),"")</f>
        <v/>
      </c>
      <c r="Z211" s="4" t="str">
        <f ca="1">IFERROR(__xludf.DUMMYFUNCTION("""COMPUTED_VALUE"""),"")</f>
        <v/>
      </c>
    </row>
    <row r="212" spans="1:26" ht="13" x14ac:dyDescent="0.15">
      <c r="A212" s="43" t="str">
        <f ca="1">IFERROR(__xludf.DUMMYFUNCTION("""COMPUTED_VALUE"""),"")</f>
        <v/>
      </c>
      <c r="B212" s="43" t="str">
        <f ca="1">IFERROR(__xludf.DUMMYFUNCTION("""COMPUTED_VALUE"""),"39441")</f>
        <v>39441</v>
      </c>
      <c r="C212" s="146">
        <f ca="1">IFERROR(__xludf.DUMMYFUNCTION("""COMPUTED_VALUE"""),44634000568)</f>
        <v>44634000568</v>
      </c>
      <c r="D212" s="43" t="str">
        <f ca="1">IFERROR(__xludf.DUMMYFUNCTION("""COMPUTED_VALUE"""),"BABA")</f>
        <v>BABA</v>
      </c>
      <c r="E212" s="147">
        <f ca="1">IFERROR(__xludf.DUMMYFUNCTION("""COMPUTED_VALUE"""),44634)</f>
        <v>44634</v>
      </c>
      <c r="F212" s="43" t="str">
        <f ca="1">IFERROR(__xludf.DUMMYFUNCTION("""COMPUTED_VALUE"""),"Stock")</f>
        <v>Stock</v>
      </c>
      <c r="G212" s="43" t="str">
        <f ca="1">IFERROR(__xludf.DUMMYFUNCTION("""COMPUTED_VALUE"""),"USD")</f>
        <v>USD</v>
      </c>
      <c r="H212" s="11">
        <f ca="1">IFERROR(__xludf.DUMMYFUNCTION("""COMPUTED_VALUE"""),20)</f>
        <v>20</v>
      </c>
      <c r="I212" s="148">
        <f ca="1">IFERROR(__xludf.DUMMYFUNCTION("""COMPUTED_VALUE"""),7.82925)</f>
        <v>7.82925</v>
      </c>
      <c r="J212" s="149">
        <f ca="1">IFERROR(__xludf.DUMMYFUNCTION("""COMPUTED_VALUE"""),77.76)</f>
        <v>77.760000000000005</v>
      </c>
      <c r="K212" s="43"/>
      <c r="L212" s="149">
        <f ca="1">IFERROR(__xludf.DUMMYFUNCTION("""COMPUTED_VALUE"""),114.99)</f>
        <v>114.99</v>
      </c>
      <c r="M212" s="155" t="str">
        <f ca="1">IFERROR(__xludf.DUMMYFUNCTION("""COMPUTED_VALUE"""),"Equity Key Stats")</f>
        <v>Equity Key Stats</v>
      </c>
      <c r="N212" s="43"/>
      <c r="O212" s="43"/>
      <c r="P212" s="150">
        <f ca="1">IFERROR(__xludf.DUMMYFUNCTION("""COMPUTED_VALUE"""),-12176.0496)</f>
        <v>-12176.0496</v>
      </c>
      <c r="Q212" s="151"/>
      <c r="R212" s="152">
        <f ca="1">IFERROR(__xludf.DUMMYFUNCTION("""COMPUTED_VALUE"""),117.24)</f>
        <v>117.24</v>
      </c>
      <c r="S212" s="150">
        <f ca="1">IFERROR(__xludf.DUMMYFUNCTION("""COMPUTED_VALUE"""),18358.0254)</f>
        <v>18358.025399999999</v>
      </c>
      <c r="T212" s="108">
        <f ca="1">IFERROR(__xludf.DUMMYFUNCTION("""COMPUTED_VALUE"""),6)</f>
        <v>6</v>
      </c>
      <c r="U212" s="108" t="str">
        <f ca="1">IFERROR(__xludf.DUMMYFUNCTION("""COMPUTED_VALUE"""),"")</f>
        <v/>
      </c>
      <c r="V212" s="153" t="str">
        <f ca="1">IFERROR(__xludf.DUMMYFUNCTION("""COMPUTED_VALUE"""),"")</f>
        <v/>
      </c>
      <c r="W212" s="145" t="str">
        <f ca="1">IFERROR(__xludf.DUMMYFUNCTION("""COMPUTED_VALUE"""),"")</f>
        <v/>
      </c>
      <c r="X212" s="11" t="str">
        <f ca="1">IFERROR(__xludf.DUMMYFUNCTION("""COMPUTED_VALUE"""),"")</f>
        <v/>
      </c>
      <c r="Y212" s="11" t="str">
        <f ca="1">IFERROR(__xludf.DUMMYFUNCTION("""COMPUTED_VALUE"""),"")</f>
        <v/>
      </c>
      <c r="Z212" s="4" t="str">
        <f ca="1">IFERROR(__xludf.DUMMYFUNCTION("""COMPUTED_VALUE"""),"")</f>
        <v/>
      </c>
    </row>
    <row r="213" spans="1:26" ht="13" x14ac:dyDescent="0.15">
      <c r="A213" s="43" t="str">
        <f ca="1">IFERROR(__xludf.DUMMYFUNCTION("""COMPUTED_VALUE"""),"")</f>
        <v/>
      </c>
      <c r="B213" s="43" t="str">
        <f ca="1">IFERROR(__xludf.DUMMYFUNCTION("""COMPUTED_VALUE"""),"39441")</f>
        <v>39441</v>
      </c>
      <c r="C213" s="146">
        <f ca="1">IFERROR(__xludf.DUMMYFUNCTION("""COMPUTED_VALUE"""),44635000569)</f>
        <v>44635000569</v>
      </c>
      <c r="D213" s="161" t="str">
        <f ca="1">IFERROR(__xludf.DUMMYFUNCTION("""COMPUTED_VALUE"""),"0070.HK")</f>
        <v>0070.HK</v>
      </c>
      <c r="E213" s="147">
        <f ca="1">IFERROR(__xludf.DUMMYFUNCTION("""COMPUTED_VALUE"""),44635)</f>
        <v>44635</v>
      </c>
      <c r="F213" s="43" t="str">
        <f ca="1">IFERROR(__xludf.DUMMYFUNCTION("""COMPUTED_VALUE"""),"Stock")</f>
        <v>Stock</v>
      </c>
      <c r="G213" s="43" t="str">
        <f ca="1">IFERROR(__xludf.DUMMYFUNCTION("""COMPUTED_VALUE"""),"HKD")</f>
        <v>HKD</v>
      </c>
      <c r="H213" s="154">
        <f ca="1">IFERROR(__xludf.DUMMYFUNCTION("""COMPUTED_VALUE"""),-100)</f>
        <v>-100</v>
      </c>
      <c r="I213" s="148">
        <f ca="1">IFERROR(__xludf.DUMMYFUNCTION("""COMPUTED_VALUE"""),1)</f>
        <v>1</v>
      </c>
      <c r="J213" s="149">
        <f ca="1">IFERROR(__xludf.DUMMYFUNCTION("""COMPUTED_VALUE"""),0.058)</f>
        <v>5.8000000000000003E-2</v>
      </c>
      <c r="K213" s="43"/>
      <c r="L213" s="149">
        <f ca="1">IFERROR(__xludf.DUMMYFUNCTION("""COMPUTED_VALUE"""),0.067)</f>
        <v>6.7000000000000004E-2</v>
      </c>
      <c r="M213" s="155" t="str">
        <f ca="1">IFERROR(__xludf.DUMMYFUNCTION("""COMPUTED_VALUE"""),"Equity Key Stats")</f>
        <v>Equity Key Stats</v>
      </c>
      <c r="N213" s="43"/>
      <c r="O213" s="43"/>
      <c r="P213" s="157">
        <f ca="1">IFERROR(__xludf.DUMMYFUNCTION("""COMPUTED_VALUE"""),5.8)</f>
        <v>5.8</v>
      </c>
      <c r="Q213" s="151"/>
      <c r="R213" s="152">
        <f ca="1">IFERROR(__xludf.DUMMYFUNCTION("""COMPUTED_VALUE"""),0.067)</f>
        <v>6.7000000000000004E-2</v>
      </c>
      <c r="S213" s="150">
        <f ca="1">IFERROR(__xludf.DUMMYFUNCTION("""COMPUTED_VALUE"""),-6.7)</f>
        <v>-6.7</v>
      </c>
      <c r="T213" s="108">
        <f ca="1">IFERROR(__xludf.DUMMYFUNCTION("""COMPUTED_VALUE"""),1)</f>
        <v>1</v>
      </c>
      <c r="U213" s="108">
        <f ca="1">IFERROR(__xludf.DUMMYFUNCTION("""COMPUTED_VALUE"""),1)</f>
        <v>1</v>
      </c>
      <c r="V213" s="158">
        <f ca="1">IFERROR(__xludf.DUMMYFUNCTION("""COMPUTED_VALUE"""),-0.899999999999999)</f>
        <v>-0.89999999999999902</v>
      </c>
      <c r="W213" s="145" t="str">
        <f ca="1">IFERROR(__xludf.DUMMYFUNCTION("""COMPUTED_VALUE"""),"")</f>
        <v/>
      </c>
      <c r="X213" s="11" t="str">
        <f ca="1">IFERROR(__xludf.DUMMYFUNCTION("""COMPUTED_VALUE"""),"")</f>
        <v/>
      </c>
      <c r="Y213" s="11" t="str">
        <f ca="1">IFERROR(__xludf.DUMMYFUNCTION("""COMPUTED_VALUE"""),"")</f>
        <v/>
      </c>
      <c r="Z213" s="4" t="str">
        <f ca="1">IFERROR(__xludf.DUMMYFUNCTION("""COMPUTED_VALUE"""),"")</f>
        <v/>
      </c>
    </row>
    <row r="214" spans="1:26" ht="13" x14ac:dyDescent="0.15">
      <c r="A214" s="43" t="str">
        <f ca="1">IFERROR(__xludf.DUMMYFUNCTION("""COMPUTED_VALUE"""),"")</f>
        <v/>
      </c>
      <c r="B214" s="43" t="str">
        <f ca="1">IFERROR(__xludf.DUMMYFUNCTION("""COMPUTED_VALUE"""),"39441")</f>
        <v>39441</v>
      </c>
      <c r="C214" s="146">
        <f ca="1">IFERROR(__xludf.DUMMYFUNCTION("""COMPUTED_VALUE"""),44635000610)</f>
        <v>44635000610</v>
      </c>
      <c r="D214" s="43" t="str">
        <f ca="1">IFERROR(__xludf.DUMMYFUNCTION("""COMPUTED_VALUE"""),"BABA")</f>
        <v>BABA</v>
      </c>
      <c r="E214" s="147">
        <f ca="1">IFERROR(__xludf.DUMMYFUNCTION("""COMPUTED_VALUE"""),44635)</f>
        <v>44635</v>
      </c>
      <c r="F214" s="43" t="str">
        <f ca="1">IFERROR(__xludf.DUMMYFUNCTION("""COMPUTED_VALUE"""),"Stock")</f>
        <v>Stock</v>
      </c>
      <c r="G214" s="43" t="str">
        <f ca="1">IFERROR(__xludf.DUMMYFUNCTION("""COMPUTED_VALUE"""),"USD")</f>
        <v>USD</v>
      </c>
      <c r="H214" s="154">
        <f ca="1">IFERROR(__xludf.DUMMYFUNCTION("""COMPUTED_VALUE"""),-200)</f>
        <v>-200</v>
      </c>
      <c r="I214" s="148">
        <f ca="1">IFERROR(__xludf.DUMMYFUNCTION("""COMPUTED_VALUE"""),7.82695)</f>
        <v>7.8269500000000001</v>
      </c>
      <c r="J214" s="149">
        <f ca="1">IFERROR(__xludf.DUMMYFUNCTION("""COMPUTED_VALUE"""),76.76)</f>
        <v>76.760000000000005</v>
      </c>
      <c r="K214" s="43"/>
      <c r="L214" s="149">
        <f ca="1">IFERROR(__xludf.DUMMYFUNCTION("""COMPUTED_VALUE"""),114.99)</f>
        <v>114.99</v>
      </c>
      <c r="M214" s="155" t="str">
        <f ca="1">IFERROR(__xludf.DUMMYFUNCTION("""COMPUTED_VALUE"""),"Equity Key Stats")</f>
        <v>Equity Key Stats</v>
      </c>
      <c r="N214" s="43"/>
      <c r="O214" s="43"/>
      <c r="P214" s="157">
        <f ca="1">IFERROR(__xludf.DUMMYFUNCTION("""COMPUTED_VALUE"""),120159.3364)</f>
        <v>120159.3364</v>
      </c>
      <c r="Q214" s="151"/>
      <c r="R214" s="152">
        <f ca="1">IFERROR(__xludf.DUMMYFUNCTION("""COMPUTED_VALUE"""),117.24)</f>
        <v>117.24</v>
      </c>
      <c r="S214" s="150">
        <f ca="1">IFERROR(__xludf.DUMMYFUNCTION("""COMPUTED_VALUE"""),-183526.3236)</f>
        <v>-183526.3236</v>
      </c>
      <c r="T214" s="108">
        <f ca="1">IFERROR(__xludf.DUMMYFUNCTION("""COMPUTED_VALUE"""),6)</f>
        <v>6</v>
      </c>
      <c r="U214" s="108" t="str">
        <f ca="1">IFERROR(__xludf.DUMMYFUNCTION("""COMPUTED_VALUE"""),"")</f>
        <v/>
      </c>
      <c r="V214" s="158" t="str">
        <f ca="1">IFERROR(__xludf.DUMMYFUNCTION("""COMPUTED_VALUE"""),"")</f>
        <v/>
      </c>
      <c r="W214" s="44" t="str">
        <f ca="1">IFERROR(__xludf.DUMMYFUNCTION("""COMPUTED_VALUE"""),"")</f>
        <v/>
      </c>
      <c r="X214" s="154" t="str">
        <f ca="1">IFERROR(__xludf.DUMMYFUNCTION("""COMPUTED_VALUE"""),"")</f>
        <v/>
      </c>
      <c r="Y214" s="154" t="str">
        <f ca="1">IFERROR(__xludf.DUMMYFUNCTION("""COMPUTED_VALUE"""),"")</f>
        <v/>
      </c>
      <c r="Z214" s="162" t="str">
        <f ca="1">IFERROR(__xludf.DUMMYFUNCTION("""COMPUTED_VALUE"""),"")</f>
        <v/>
      </c>
    </row>
    <row r="215" spans="1:26" ht="13" x14ac:dyDescent="0.15">
      <c r="A215" s="43" t="str">
        <f ca="1">IFERROR(__xludf.DUMMYFUNCTION("""COMPUTED_VALUE"""),"")</f>
        <v/>
      </c>
      <c r="B215" s="43" t="str">
        <f ca="1">IFERROR(__xludf.DUMMYFUNCTION("""COMPUTED_VALUE"""),"39441")</f>
        <v>39441</v>
      </c>
      <c r="C215" s="146">
        <f ca="1">IFERROR(__xludf.DUMMYFUNCTION("""COMPUTED_VALUE"""),44636000617)</f>
        <v>44636000617</v>
      </c>
      <c r="D215" s="161" t="str">
        <f ca="1">IFERROR(__xludf.DUMMYFUNCTION("""COMPUTED_VALUE"""),"0700.HK")</f>
        <v>0700.HK</v>
      </c>
      <c r="E215" s="147">
        <f ca="1">IFERROR(__xludf.DUMMYFUNCTION("""COMPUTED_VALUE"""),44636)</f>
        <v>44636</v>
      </c>
      <c r="F215" s="43" t="str">
        <f ca="1">IFERROR(__xludf.DUMMYFUNCTION("""COMPUTED_VALUE"""),"Stock")</f>
        <v>Stock</v>
      </c>
      <c r="G215" s="43" t="str">
        <f ca="1">IFERROR(__xludf.DUMMYFUNCTION("""COMPUTED_VALUE"""),"HKD")</f>
        <v>HKD</v>
      </c>
      <c r="H215" s="11">
        <f ca="1">IFERROR(__xludf.DUMMYFUNCTION("""COMPUTED_VALUE"""),10)</f>
        <v>10</v>
      </c>
      <c r="I215" s="148">
        <f ca="1">IFERROR(__xludf.DUMMYFUNCTION("""COMPUTED_VALUE"""),1)</f>
        <v>1</v>
      </c>
      <c r="J215" s="149">
        <f ca="1">IFERROR(__xludf.DUMMYFUNCTION("""COMPUTED_VALUE"""),298)</f>
        <v>298</v>
      </c>
      <c r="K215" s="43"/>
      <c r="L215" s="149">
        <f ca="1">IFERROR(__xludf.DUMMYFUNCTION("""COMPUTED_VALUE"""),388)</f>
        <v>388</v>
      </c>
      <c r="M215" s="160" t="str">
        <f ca="1">IFERROR(__xludf.DUMMYFUNCTION("""COMPUTED_VALUE"""),"Equity Key Stats")</f>
        <v>Equity Key Stats</v>
      </c>
      <c r="N215" s="43"/>
      <c r="O215" s="43"/>
      <c r="P215" s="150">
        <f ca="1">IFERROR(__xludf.DUMMYFUNCTION("""COMPUTED_VALUE"""),-2980)</f>
        <v>-2980</v>
      </c>
      <c r="Q215" s="151"/>
      <c r="R215" s="152">
        <f ca="1">IFERROR(__xludf.DUMMYFUNCTION("""COMPUTED_VALUE"""),389)</f>
        <v>389</v>
      </c>
      <c r="S215" s="127">
        <f ca="1">IFERROR(__xludf.DUMMYFUNCTION("""COMPUTED_VALUE"""),3890)</f>
        <v>3890</v>
      </c>
      <c r="T215" s="108">
        <f ca="1">IFERROR(__xludf.DUMMYFUNCTION("""COMPUTED_VALUE"""),4)</f>
        <v>4</v>
      </c>
      <c r="U215" s="108" t="str">
        <f ca="1">IFERROR(__xludf.DUMMYFUNCTION("""COMPUTED_VALUE"""),"")</f>
        <v/>
      </c>
      <c r="V215" s="153" t="str">
        <f ca="1">IFERROR(__xludf.DUMMYFUNCTION("""COMPUTED_VALUE"""),"")</f>
        <v/>
      </c>
      <c r="W215" s="44" t="str">
        <f ca="1">IFERROR(__xludf.DUMMYFUNCTION("""COMPUTED_VALUE"""),"")</f>
        <v/>
      </c>
      <c r="X215" s="154" t="str">
        <f ca="1">IFERROR(__xludf.DUMMYFUNCTION("""COMPUTED_VALUE"""),"")</f>
        <v/>
      </c>
      <c r="Y215" s="154" t="str">
        <f ca="1">IFERROR(__xludf.DUMMYFUNCTION("""COMPUTED_VALUE"""),"")</f>
        <v/>
      </c>
      <c r="Z215" s="159" t="str">
        <f ca="1">IFERROR(__xludf.DUMMYFUNCTION("""COMPUTED_VALUE"""),"")</f>
        <v/>
      </c>
    </row>
    <row r="216" spans="1:26" ht="13" x14ac:dyDescent="0.15">
      <c r="A216" s="43" t="str">
        <f ca="1">IFERROR(__xludf.DUMMYFUNCTION("""COMPUTED_VALUE"""),"")</f>
        <v/>
      </c>
      <c r="B216" s="43" t="str">
        <f ca="1">IFERROR(__xludf.DUMMYFUNCTION("""COMPUTED_VALUE"""),"39441")</f>
        <v>39441</v>
      </c>
      <c r="C216" s="146">
        <f ca="1">IFERROR(__xludf.DUMMYFUNCTION("""COMPUTED_VALUE"""),44636000636)</f>
        <v>44636000636</v>
      </c>
      <c r="D216" s="43" t="str">
        <f ca="1">IFERROR(__xludf.DUMMYFUNCTION("""COMPUTED_VALUE"""),"BABA")</f>
        <v>BABA</v>
      </c>
      <c r="E216" s="147">
        <f ca="1">IFERROR(__xludf.DUMMYFUNCTION("""COMPUTED_VALUE"""),44636)</f>
        <v>44636</v>
      </c>
      <c r="F216" s="43" t="str">
        <f ca="1">IFERROR(__xludf.DUMMYFUNCTION("""COMPUTED_VALUE"""),"Stock")</f>
        <v>Stock</v>
      </c>
      <c r="G216" s="43" t="str">
        <f ca="1">IFERROR(__xludf.DUMMYFUNCTION("""COMPUTED_VALUE"""),"USD")</f>
        <v>USD</v>
      </c>
      <c r="H216" s="11">
        <f ca="1">IFERROR(__xludf.DUMMYFUNCTION("""COMPUTED_VALUE"""),-200)</f>
        <v>-200</v>
      </c>
      <c r="I216" s="148">
        <f ca="1">IFERROR(__xludf.DUMMYFUNCTION("""COMPUTED_VALUE"""),7.82055)</f>
        <v>7.8205499999999999</v>
      </c>
      <c r="J216" s="149">
        <f ca="1">IFERROR(__xludf.DUMMYFUNCTION("""COMPUTED_VALUE"""),104.98)</f>
        <v>104.98</v>
      </c>
      <c r="K216" s="43"/>
      <c r="L216" s="149">
        <f ca="1">IFERROR(__xludf.DUMMYFUNCTION("""COMPUTED_VALUE"""),114.99)</f>
        <v>114.99</v>
      </c>
      <c r="M216" s="160" t="str">
        <f ca="1">IFERROR(__xludf.DUMMYFUNCTION("""COMPUTED_VALUE"""),"Equity Key Stats")</f>
        <v>Equity Key Stats</v>
      </c>
      <c r="N216" s="43"/>
      <c r="O216" s="43"/>
      <c r="P216" s="150">
        <f ca="1">IFERROR(__xludf.DUMMYFUNCTION("""COMPUTED_VALUE"""),164200.2678)</f>
        <v>164200.2678</v>
      </c>
      <c r="Q216" s="151"/>
      <c r="R216" s="152">
        <f ca="1">IFERROR(__xludf.DUMMYFUNCTION("""COMPUTED_VALUE"""),117.24)</f>
        <v>117.24</v>
      </c>
      <c r="S216" s="127">
        <f ca="1">IFERROR(__xludf.DUMMYFUNCTION("""COMPUTED_VALUE"""),-183376.256399999)</f>
        <v>-183376.25639999899</v>
      </c>
      <c r="T216" s="108">
        <f ca="1">IFERROR(__xludf.DUMMYFUNCTION("""COMPUTED_VALUE"""),6)</f>
        <v>6</v>
      </c>
      <c r="U216" s="108" t="str">
        <f ca="1">IFERROR(__xludf.DUMMYFUNCTION("""COMPUTED_VALUE"""),"")</f>
        <v/>
      </c>
      <c r="V216" s="153" t="str">
        <f ca="1">IFERROR(__xludf.DUMMYFUNCTION("""COMPUTED_VALUE"""),"")</f>
        <v/>
      </c>
      <c r="W216" s="44" t="str">
        <f ca="1">IFERROR(__xludf.DUMMYFUNCTION("""COMPUTED_VALUE"""),"")</f>
        <v/>
      </c>
      <c r="X216" s="154" t="str">
        <f ca="1">IFERROR(__xludf.DUMMYFUNCTION("""COMPUTED_VALUE"""),"")</f>
        <v/>
      </c>
      <c r="Y216" s="154" t="str">
        <f ca="1">IFERROR(__xludf.DUMMYFUNCTION("""COMPUTED_VALUE"""),"")</f>
        <v/>
      </c>
      <c r="Z216" s="159" t="str">
        <f ca="1">IFERROR(__xludf.DUMMYFUNCTION("""COMPUTED_VALUE"""),"")</f>
        <v/>
      </c>
    </row>
    <row r="217" spans="1:26" ht="13" x14ac:dyDescent="0.15">
      <c r="A217" s="43" t="str">
        <f ca="1">IFERROR(__xludf.DUMMYFUNCTION("""COMPUTED_VALUE"""),"")</f>
        <v/>
      </c>
      <c r="B217" s="43" t="str">
        <f ca="1">IFERROR(__xludf.DUMMYFUNCTION("""COMPUTED_VALUE"""),"39441")</f>
        <v>39441</v>
      </c>
      <c r="C217" s="146">
        <f ca="1">IFERROR(__xludf.DUMMYFUNCTION("""COMPUTED_VALUE"""),44636000637)</f>
        <v>44636000637</v>
      </c>
      <c r="D217" s="161" t="str">
        <f ca="1">IFERROR(__xludf.DUMMYFUNCTION("""COMPUTED_VALUE"""),"0700.HK")</f>
        <v>0700.HK</v>
      </c>
      <c r="E217" s="147">
        <f ca="1">IFERROR(__xludf.DUMMYFUNCTION("""COMPUTED_VALUE"""),44636)</f>
        <v>44636</v>
      </c>
      <c r="F217" s="43" t="str">
        <f ca="1">IFERROR(__xludf.DUMMYFUNCTION("""COMPUTED_VALUE"""),"Stock")</f>
        <v>Stock</v>
      </c>
      <c r="G217" s="43" t="str">
        <f ca="1">IFERROR(__xludf.DUMMYFUNCTION("""COMPUTED_VALUE"""),"HKD")</f>
        <v>HKD</v>
      </c>
      <c r="H217" s="11">
        <f ca="1">IFERROR(__xludf.DUMMYFUNCTION("""COMPUTED_VALUE"""),-20)</f>
        <v>-20</v>
      </c>
      <c r="I217" s="148">
        <f ca="1">IFERROR(__xludf.DUMMYFUNCTION("""COMPUTED_VALUE"""),1)</f>
        <v>1</v>
      </c>
      <c r="J217" s="149">
        <f ca="1">IFERROR(__xludf.DUMMYFUNCTION("""COMPUTED_VALUE"""),367)</f>
        <v>367</v>
      </c>
      <c r="K217" s="43"/>
      <c r="L217" s="149">
        <f ca="1">IFERROR(__xludf.DUMMYFUNCTION("""COMPUTED_VALUE"""),388)</f>
        <v>388</v>
      </c>
      <c r="M217" s="160" t="str">
        <f ca="1">IFERROR(__xludf.DUMMYFUNCTION("""COMPUTED_VALUE"""),"Equity Key Stats")</f>
        <v>Equity Key Stats</v>
      </c>
      <c r="N217" s="43"/>
      <c r="O217" s="43"/>
      <c r="P217" s="150">
        <f ca="1">IFERROR(__xludf.DUMMYFUNCTION("""COMPUTED_VALUE"""),7340)</f>
        <v>7340</v>
      </c>
      <c r="Q217" s="151"/>
      <c r="R217" s="152">
        <f ca="1">IFERROR(__xludf.DUMMYFUNCTION("""COMPUTED_VALUE"""),389)</f>
        <v>389</v>
      </c>
      <c r="S217" s="127">
        <f ca="1">IFERROR(__xludf.DUMMYFUNCTION("""COMPUTED_VALUE"""),-7780)</f>
        <v>-7780</v>
      </c>
      <c r="T217" s="108">
        <f ca="1">IFERROR(__xludf.DUMMYFUNCTION("""COMPUTED_VALUE"""),4)</f>
        <v>4</v>
      </c>
      <c r="U217" s="108" t="str">
        <f ca="1">IFERROR(__xludf.DUMMYFUNCTION("""COMPUTED_VALUE"""),"")</f>
        <v/>
      </c>
      <c r="V217" s="153" t="str">
        <f ca="1">IFERROR(__xludf.DUMMYFUNCTION("""COMPUTED_VALUE"""),"")</f>
        <v/>
      </c>
      <c r="W217" s="145" t="str">
        <f ca="1">IFERROR(__xludf.DUMMYFUNCTION("""COMPUTED_VALUE"""),"")</f>
        <v/>
      </c>
      <c r="X217" s="11" t="str">
        <f ca="1">IFERROR(__xludf.DUMMYFUNCTION("""COMPUTED_VALUE"""),"")</f>
        <v/>
      </c>
      <c r="Y217" s="11" t="str">
        <f ca="1">IFERROR(__xludf.DUMMYFUNCTION("""COMPUTED_VALUE"""),"")</f>
        <v/>
      </c>
      <c r="Z217" s="4" t="str">
        <f ca="1">IFERROR(__xludf.DUMMYFUNCTION("""COMPUTED_VALUE"""),"")</f>
        <v/>
      </c>
    </row>
    <row r="218" spans="1:26" ht="13" x14ac:dyDescent="0.15">
      <c r="A218" s="43" t="str">
        <f ca="1">IFERROR(__xludf.DUMMYFUNCTION("""COMPUTED_VALUE"""),"")</f>
        <v/>
      </c>
      <c r="B218" s="43" t="str">
        <f ca="1">IFERROR(__xludf.DUMMYFUNCTION("""COMPUTED_VALUE"""),"39441")</f>
        <v>39441</v>
      </c>
      <c r="C218" s="146">
        <f ca="1">IFERROR(__xludf.DUMMYFUNCTION("""COMPUTED_VALUE"""),44637000674)</f>
        <v>44637000674</v>
      </c>
      <c r="D218" s="163" t="str">
        <f ca="1">IFERROR(__xludf.DUMMYFUNCTION("""COMPUTED_VALUE"""),"BABA")</f>
        <v>BABA</v>
      </c>
      <c r="E218" s="147">
        <f ca="1">IFERROR(__xludf.DUMMYFUNCTION("""COMPUTED_VALUE"""),44637)</f>
        <v>44637</v>
      </c>
      <c r="F218" s="43" t="str">
        <f ca="1">IFERROR(__xludf.DUMMYFUNCTION("""COMPUTED_VALUE"""),"Stock")</f>
        <v>Stock</v>
      </c>
      <c r="G218" s="43" t="str">
        <f ca="1">IFERROR(__xludf.DUMMYFUNCTION("""COMPUTED_VALUE"""),"USD")</f>
        <v>USD</v>
      </c>
      <c r="H218" s="154">
        <f ca="1">IFERROR(__xludf.DUMMYFUNCTION("""COMPUTED_VALUE"""),0)</f>
        <v>0</v>
      </c>
      <c r="I218" s="148">
        <f ca="1">IFERROR(__xludf.DUMMYFUNCTION("""COMPUTED_VALUE"""),7.81854)</f>
        <v>7.8185399999999996</v>
      </c>
      <c r="J218" s="149">
        <f ca="1">IFERROR(__xludf.DUMMYFUNCTION("""COMPUTED_VALUE"""),0)</f>
        <v>0</v>
      </c>
      <c r="K218" s="43"/>
      <c r="L218" s="149">
        <f ca="1">IFERROR(__xludf.DUMMYFUNCTION("""COMPUTED_VALUE"""),114.99)</f>
        <v>114.99</v>
      </c>
      <c r="M218" s="155" t="str">
        <f ca="1">IFERROR(__xludf.DUMMYFUNCTION("""COMPUTED_VALUE"""),"Equity Key Stats")</f>
        <v>Equity Key Stats</v>
      </c>
      <c r="N218" s="43"/>
      <c r="O218" s="43"/>
      <c r="P218" s="157">
        <f ca="1">IFERROR(__xludf.DUMMYFUNCTION("""COMPUTED_VALUE"""),0)</f>
        <v>0</v>
      </c>
      <c r="Q218" s="151"/>
      <c r="R218" s="152">
        <f ca="1">IFERROR(__xludf.DUMMYFUNCTION("""COMPUTED_VALUE"""),117.24)</f>
        <v>117.24</v>
      </c>
      <c r="S218" s="150">
        <f ca="1">IFERROR(__xludf.DUMMYFUNCTION("""COMPUTED_VALUE"""),0)</f>
        <v>0</v>
      </c>
      <c r="T218" s="108">
        <f ca="1">IFERROR(__xludf.DUMMYFUNCTION("""COMPUTED_VALUE"""),6)</f>
        <v>6</v>
      </c>
      <c r="U218" s="43" t="str">
        <f ca="1">IFERROR(__xludf.DUMMYFUNCTION("""COMPUTED_VALUE"""),"")</f>
        <v/>
      </c>
      <c r="V218" s="144" t="str">
        <f ca="1">IFERROR(__xludf.DUMMYFUNCTION("""COMPUTED_VALUE"""),"")</f>
        <v/>
      </c>
      <c r="W218" s="145" t="str">
        <f ca="1">IFERROR(__xludf.DUMMYFUNCTION("""COMPUTED_VALUE"""),"")</f>
        <v/>
      </c>
      <c r="X218" s="11" t="str">
        <f ca="1">IFERROR(__xludf.DUMMYFUNCTION("""COMPUTED_VALUE"""),"")</f>
        <v/>
      </c>
      <c r="Y218" s="11" t="str">
        <f ca="1">IFERROR(__xludf.DUMMYFUNCTION("""COMPUTED_VALUE"""),"")</f>
        <v/>
      </c>
      <c r="Z218" s="4" t="str">
        <f ca="1">IFERROR(__xludf.DUMMYFUNCTION("""COMPUTED_VALUE"""),"")</f>
        <v/>
      </c>
    </row>
    <row r="219" spans="1:26" ht="13" x14ac:dyDescent="0.15">
      <c r="A219" s="43" t="str">
        <f ca="1">IFERROR(__xludf.DUMMYFUNCTION("""COMPUTED_VALUE"""),"")</f>
        <v/>
      </c>
      <c r="B219" s="43" t="str">
        <f ca="1">IFERROR(__xludf.DUMMYFUNCTION("""COMPUTED_VALUE"""),"39441")</f>
        <v>39441</v>
      </c>
      <c r="C219" s="146">
        <f ca="1">IFERROR(__xludf.DUMMYFUNCTION("""COMPUTED_VALUE"""),44638000699)</f>
        <v>44638000699</v>
      </c>
      <c r="D219" s="163" t="str">
        <f ca="1">IFERROR(__xludf.DUMMYFUNCTION("""COMPUTED_VALUE"""),"AMZN")</f>
        <v>AMZN</v>
      </c>
      <c r="E219" s="147">
        <f ca="1">IFERROR(__xludf.DUMMYFUNCTION("""COMPUTED_VALUE"""),44638)</f>
        <v>44638</v>
      </c>
      <c r="F219" s="43" t="str">
        <f ca="1">IFERROR(__xludf.DUMMYFUNCTION("""COMPUTED_VALUE"""),"Stock")</f>
        <v>Stock</v>
      </c>
      <c r="G219" s="43" t="str">
        <f ca="1">IFERROR(__xludf.DUMMYFUNCTION("""COMPUTED_VALUE"""),"USD")</f>
        <v>USD</v>
      </c>
      <c r="H219" s="154">
        <f ca="1">IFERROR(__xludf.DUMMYFUNCTION("""COMPUTED_VALUE"""),-11)</f>
        <v>-11</v>
      </c>
      <c r="I219" s="148">
        <f ca="1">IFERROR(__xludf.DUMMYFUNCTION("""COMPUTED_VALUE"""),7.82495)</f>
        <v>7.8249500000000003</v>
      </c>
      <c r="J219" s="149">
        <f ca="1">IFERROR(__xludf.DUMMYFUNCTION("""COMPUTED_VALUE"""),3225.01)</f>
        <v>3225.01</v>
      </c>
      <c r="K219" s="43"/>
      <c r="L219" s="149">
        <f ca="1">IFERROR(__xludf.DUMMYFUNCTION("""COMPUTED_VALUE"""),3297.78)</f>
        <v>3297.78</v>
      </c>
      <c r="M219" s="155" t="str">
        <f ca="1">IFERROR(__xludf.DUMMYFUNCTION("""COMPUTED_VALUE"""),"Equity Key Stats")</f>
        <v>Equity Key Stats</v>
      </c>
      <c r="N219" s="43"/>
      <c r="O219" s="43"/>
      <c r="P219" s="157">
        <f ca="1">IFERROR(__xludf.DUMMYFUNCTION("""COMPUTED_VALUE"""),277590.9619945)</f>
        <v>277590.96199450002</v>
      </c>
      <c r="Q219" s="151"/>
      <c r="R219" s="152">
        <f ca="1">IFERROR(__xludf.DUMMYFUNCTION("""COMPUTED_VALUE"""),3268.16)</f>
        <v>3268.16</v>
      </c>
      <c r="S219" s="150">
        <f ca="1">IFERROR(__xludf.DUMMYFUNCTION("""COMPUTED_VALUE"""),-281305.074511999)</f>
        <v>-281305.07451199897</v>
      </c>
      <c r="T219" s="108">
        <f ca="1">IFERROR(__xludf.DUMMYFUNCTION("""COMPUTED_VALUE"""),5)</f>
        <v>5</v>
      </c>
      <c r="U219" s="108" t="str">
        <f ca="1">IFERROR(__xludf.DUMMYFUNCTION("""COMPUTED_VALUE"""),"")</f>
        <v/>
      </c>
      <c r="V219" s="158" t="str">
        <f ca="1">IFERROR(__xludf.DUMMYFUNCTION("""COMPUTED_VALUE"""),"")</f>
        <v/>
      </c>
      <c r="W219" s="44" t="str">
        <f ca="1">IFERROR(__xludf.DUMMYFUNCTION("""COMPUTED_VALUE"""),"")</f>
        <v/>
      </c>
      <c r="X219" s="154" t="str">
        <f ca="1">IFERROR(__xludf.DUMMYFUNCTION("""COMPUTED_VALUE"""),"")</f>
        <v/>
      </c>
      <c r="Y219" s="154" t="str">
        <f ca="1">IFERROR(__xludf.DUMMYFUNCTION("""COMPUTED_VALUE"""),"")</f>
        <v/>
      </c>
      <c r="Z219" s="162" t="str">
        <f ca="1">IFERROR(__xludf.DUMMYFUNCTION("""COMPUTED_VALUE"""),"")</f>
        <v/>
      </c>
    </row>
    <row r="220" spans="1:26" ht="13" x14ac:dyDescent="0.15">
      <c r="A220" s="43" t="str">
        <f ca="1">IFERROR(__xludf.DUMMYFUNCTION("""COMPUTED_VALUE"""),"")</f>
        <v/>
      </c>
      <c r="B220" s="43" t="str">
        <f ca="1">IFERROR(__xludf.DUMMYFUNCTION("""COMPUTED_VALUE"""),"39441")</f>
        <v>39441</v>
      </c>
      <c r="C220" s="146">
        <f ca="1">IFERROR(__xludf.DUMMYFUNCTION("""COMPUTED_VALUE"""),44638000704)</f>
        <v>44638000704</v>
      </c>
      <c r="D220" s="43" t="str">
        <f ca="1">IFERROR(__xludf.DUMMYFUNCTION("""COMPUTED_VALUE"""),"GC=F")</f>
        <v>GC=F</v>
      </c>
      <c r="E220" s="147">
        <f ca="1">IFERROR(__xludf.DUMMYFUNCTION("""COMPUTED_VALUE"""),44638)</f>
        <v>44638</v>
      </c>
      <c r="F220" s="43" t="str">
        <f ca="1">IFERROR(__xludf.DUMMYFUNCTION("""COMPUTED_VALUE"""),"Stock")</f>
        <v>Stock</v>
      </c>
      <c r="G220" s="43" t="str">
        <f ca="1">IFERROR(__xludf.DUMMYFUNCTION("""COMPUTED_VALUE"""),"USD")</f>
        <v>USD</v>
      </c>
      <c r="H220" s="11">
        <f ca="1">IFERROR(__xludf.DUMMYFUNCTION("""COMPUTED_VALUE"""),0)</f>
        <v>0</v>
      </c>
      <c r="I220" s="148">
        <f ca="1">IFERROR(__xludf.DUMMYFUNCTION("""COMPUTED_VALUE"""),7.82495)</f>
        <v>7.8249500000000003</v>
      </c>
      <c r="J220" s="149">
        <f ca="1">IFERROR(__xludf.DUMMYFUNCTION("""COMPUTED_VALUE"""),0)</f>
        <v>0</v>
      </c>
      <c r="K220" s="43"/>
      <c r="L220" s="149">
        <f ca="1">IFERROR(__xludf.DUMMYFUNCTION("""COMPUTED_VALUE"""),1917.9)</f>
        <v>1917.9</v>
      </c>
      <c r="M220" s="160" t="str">
        <f ca="1">IFERROR(__xludf.DUMMYFUNCTION("""COMPUTED_VALUE"""),"Equity Key Stats")</f>
        <v>Equity Key Stats</v>
      </c>
      <c r="N220" s="43"/>
      <c r="O220" s="43"/>
      <c r="P220" s="150">
        <f ca="1">IFERROR(__xludf.DUMMYFUNCTION("""COMPUTED_VALUE"""),0)</f>
        <v>0</v>
      </c>
      <c r="Q220" s="151"/>
      <c r="R220" s="152">
        <f ca="1">IFERROR(__xludf.DUMMYFUNCTION("""COMPUTED_VALUE"""),1947.3)</f>
        <v>1947.3</v>
      </c>
      <c r="S220" s="127">
        <f ca="1">IFERROR(__xludf.DUMMYFUNCTION("""COMPUTED_VALUE"""),0)</f>
        <v>0</v>
      </c>
      <c r="T220" s="108">
        <f ca="1">IFERROR(__xludf.DUMMYFUNCTION("""COMPUTED_VALUE"""),1)</f>
        <v>1</v>
      </c>
      <c r="U220" s="108">
        <f ca="1">IFERROR(__xludf.DUMMYFUNCTION("""COMPUTED_VALUE"""),1)</f>
        <v>1</v>
      </c>
      <c r="V220" s="153">
        <f ca="1">IFERROR(__xludf.DUMMYFUNCTION("""COMPUTED_VALUE"""),0)</f>
        <v>0</v>
      </c>
      <c r="W220" s="145" t="str">
        <f ca="1">IFERROR(__xludf.DUMMYFUNCTION("""COMPUTED_VALUE"""),"")</f>
        <v/>
      </c>
      <c r="X220" s="11" t="str">
        <f ca="1">IFERROR(__xludf.DUMMYFUNCTION("""COMPUTED_VALUE"""),"")</f>
        <v/>
      </c>
      <c r="Y220" s="11" t="str">
        <f ca="1">IFERROR(__xludf.DUMMYFUNCTION("""COMPUTED_VALUE"""),"")</f>
        <v/>
      </c>
      <c r="Z220" s="4" t="str">
        <f ca="1">IFERROR(__xludf.DUMMYFUNCTION("""COMPUTED_VALUE"""),"")</f>
        <v/>
      </c>
    </row>
    <row r="221" spans="1:26" ht="13" x14ac:dyDescent="0.15">
      <c r="A221" s="43" t="str">
        <f ca="1">IFERROR(__xludf.DUMMYFUNCTION("""COMPUTED_VALUE"""),"")</f>
        <v/>
      </c>
      <c r="B221" s="43" t="str">
        <f ca="1">IFERROR(__xludf.DUMMYFUNCTION("""COMPUTED_VALUE"""),"39441")</f>
        <v>39441</v>
      </c>
      <c r="C221" s="146">
        <f ca="1">IFERROR(__xludf.DUMMYFUNCTION("""COMPUTED_VALUE"""),44641000702)</f>
        <v>44641000702</v>
      </c>
      <c r="D221" s="161" t="str">
        <f ca="1">IFERROR(__xludf.DUMMYFUNCTION("""COMPUTED_VALUE"""),"0700.HK")</f>
        <v>0700.HK</v>
      </c>
      <c r="E221" s="147">
        <f ca="1">IFERROR(__xludf.DUMMYFUNCTION("""COMPUTED_VALUE"""),44641)</f>
        <v>44641</v>
      </c>
      <c r="F221" s="43" t="str">
        <f ca="1">IFERROR(__xludf.DUMMYFUNCTION("""COMPUTED_VALUE"""),"Stock")</f>
        <v>Stock</v>
      </c>
      <c r="G221" s="43" t="str">
        <f ca="1">IFERROR(__xludf.DUMMYFUNCTION("""COMPUTED_VALUE"""),"HKD")</f>
        <v>HKD</v>
      </c>
      <c r="H221" s="154">
        <f ca="1">IFERROR(__xludf.DUMMYFUNCTION("""COMPUTED_VALUE"""),10)</f>
        <v>10</v>
      </c>
      <c r="I221" s="148">
        <f ca="1">IFERROR(__xludf.DUMMYFUNCTION("""COMPUTED_VALUE"""),1)</f>
        <v>1</v>
      </c>
      <c r="J221" s="149">
        <f ca="1">IFERROR(__xludf.DUMMYFUNCTION("""COMPUTED_VALUE"""),372.4)</f>
        <v>372.4</v>
      </c>
      <c r="K221" s="43"/>
      <c r="L221" s="149">
        <f ca="1">IFERROR(__xludf.DUMMYFUNCTION("""COMPUTED_VALUE"""),388)</f>
        <v>388</v>
      </c>
      <c r="M221" s="160" t="str">
        <f ca="1">IFERROR(__xludf.DUMMYFUNCTION("""COMPUTED_VALUE"""),"Equity Key Stats")</f>
        <v>Equity Key Stats</v>
      </c>
      <c r="N221" s="43"/>
      <c r="O221" s="43"/>
      <c r="P221" s="157">
        <f ca="1">IFERROR(__xludf.DUMMYFUNCTION("""COMPUTED_VALUE"""),-3724)</f>
        <v>-3724</v>
      </c>
      <c r="Q221" s="151"/>
      <c r="R221" s="152">
        <f ca="1">IFERROR(__xludf.DUMMYFUNCTION("""COMPUTED_VALUE"""),389)</f>
        <v>389</v>
      </c>
      <c r="S221" s="150">
        <f ca="1">IFERROR(__xludf.DUMMYFUNCTION("""COMPUTED_VALUE"""),3890)</f>
        <v>3890</v>
      </c>
      <c r="T221" s="108">
        <f ca="1">IFERROR(__xludf.DUMMYFUNCTION("""COMPUTED_VALUE"""),4)</f>
        <v>4</v>
      </c>
      <c r="U221" s="43" t="str">
        <f ca="1">IFERROR(__xludf.DUMMYFUNCTION("""COMPUTED_VALUE"""),"")</f>
        <v/>
      </c>
      <c r="V221" s="144" t="str">
        <f ca="1">IFERROR(__xludf.DUMMYFUNCTION("""COMPUTED_VALUE"""),"")</f>
        <v/>
      </c>
      <c r="W221" s="145" t="str">
        <f ca="1">IFERROR(__xludf.DUMMYFUNCTION("""COMPUTED_VALUE"""),"")</f>
        <v/>
      </c>
      <c r="X221" s="11" t="str">
        <f ca="1">IFERROR(__xludf.DUMMYFUNCTION("""COMPUTED_VALUE"""),"")</f>
        <v/>
      </c>
      <c r="Y221" s="11" t="str">
        <f ca="1">IFERROR(__xludf.DUMMYFUNCTION("""COMPUTED_VALUE"""),"")</f>
        <v/>
      </c>
      <c r="Z221" s="4" t="str">
        <f ca="1">IFERROR(__xludf.DUMMYFUNCTION("""COMPUTED_VALUE"""),"")</f>
        <v/>
      </c>
    </row>
    <row r="222" spans="1:26" ht="13" x14ac:dyDescent="0.15">
      <c r="A222" s="43" t="str">
        <f ca="1">IFERROR(__xludf.DUMMYFUNCTION("""COMPUTED_VALUE"""),"")</f>
        <v/>
      </c>
      <c r="B222" s="43" t="str">
        <f ca="1">IFERROR(__xludf.DUMMYFUNCTION("""COMPUTED_VALUE"""),"39441")</f>
        <v>39441</v>
      </c>
      <c r="C222" s="146">
        <f ca="1">IFERROR(__xludf.DUMMYFUNCTION("""COMPUTED_VALUE"""),44641000767)</f>
        <v>44641000767</v>
      </c>
      <c r="D222" s="43" t="str">
        <f ca="1">IFERROR(__xludf.DUMMYFUNCTION("""COMPUTED_VALUE"""),"AMZN")</f>
        <v>AMZN</v>
      </c>
      <c r="E222" s="147">
        <f ca="1">IFERROR(__xludf.DUMMYFUNCTION("""COMPUTED_VALUE"""),44641)</f>
        <v>44641</v>
      </c>
      <c r="F222" s="43" t="str">
        <f ca="1">IFERROR(__xludf.DUMMYFUNCTION("""COMPUTED_VALUE"""),"Stock")</f>
        <v>Stock</v>
      </c>
      <c r="G222" s="43" t="str">
        <f ca="1">IFERROR(__xludf.DUMMYFUNCTION("""COMPUTED_VALUE"""),"USD")</f>
        <v>USD</v>
      </c>
      <c r="H222" s="154" t="str">
        <f ca="1">IFERROR(__xludf.DUMMYFUNCTION("""COMPUTED_VALUE"""),"")</f>
        <v/>
      </c>
      <c r="I222" s="148">
        <f ca="1">IFERROR(__xludf.DUMMYFUNCTION("""COMPUTED_VALUE"""),7.82545)</f>
        <v>7.82545</v>
      </c>
      <c r="J222" s="149">
        <f ca="1">IFERROR(__xludf.DUMMYFUNCTION("""COMPUTED_VALUE"""),3229.83)</f>
        <v>3229.83</v>
      </c>
      <c r="K222" s="43"/>
      <c r="L222" s="149">
        <f ca="1">IFERROR(__xludf.DUMMYFUNCTION("""COMPUTED_VALUE"""),3297.78)</f>
        <v>3297.78</v>
      </c>
      <c r="M222" s="160" t="str">
        <f ca="1">IFERROR(__xludf.DUMMYFUNCTION("""COMPUTED_VALUE"""),"Equity Key Stats")</f>
        <v>Equity Key Stats</v>
      </c>
      <c r="N222" s="43"/>
      <c r="O222" s="43"/>
      <c r="P222" s="157">
        <f ca="1">IFERROR(__xludf.DUMMYFUNCTION("""COMPUTED_VALUE"""),0)</f>
        <v>0</v>
      </c>
      <c r="Q222" s="151"/>
      <c r="R222" s="152">
        <f ca="1">IFERROR(__xludf.DUMMYFUNCTION("""COMPUTED_VALUE"""),3268.16)</f>
        <v>3268.16</v>
      </c>
      <c r="S222" s="150">
        <f ca="1">IFERROR(__xludf.DUMMYFUNCTION("""COMPUTED_VALUE"""),0)</f>
        <v>0</v>
      </c>
      <c r="T222" s="108">
        <f ca="1">IFERROR(__xludf.DUMMYFUNCTION("""COMPUTED_VALUE"""),5)</f>
        <v>5</v>
      </c>
      <c r="U222" s="43" t="str">
        <f ca="1">IFERROR(__xludf.DUMMYFUNCTION("""COMPUTED_VALUE"""),"")</f>
        <v/>
      </c>
      <c r="V222" s="144" t="str">
        <f ca="1">IFERROR(__xludf.DUMMYFUNCTION("""COMPUTED_VALUE"""),"")</f>
        <v/>
      </c>
      <c r="W222" s="145" t="str">
        <f ca="1">IFERROR(__xludf.DUMMYFUNCTION("""COMPUTED_VALUE"""),"")</f>
        <v/>
      </c>
      <c r="X222" s="11" t="str">
        <f ca="1">IFERROR(__xludf.DUMMYFUNCTION("""COMPUTED_VALUE"""),"")</f>
        <v/>
      </c>
      <c r="Y222" s="11" t="str">
        <f ca="1">IFERROR(__xludf.DUMMYFUNCTION("""COMPUTED_VALUE"""),"")</f>
        <v/>
      </c>
      <c r="Z222" s="4" t="str">
        <f ca="1">IFERROR(__xludf.DUMMYFUNCTION("""COMPUTED_VALUE"""),"")</f>
        <v/>
      </c>
    </row>
    <row r="223" spans="1:26" ht="13" x14ac:dyDescent="0.15">
      <c r="A223" s="43" t="str">
        <f ca="1">IFERROR(__xludf.DUMMYFUNCTION("""COMPUTED_VALUE"""),"")</f>
        <v/>
      </c>
      <c r="B223" s="43" t="str">
        <f ca="1">IFERROR(__xludf.DUMMYFUNCTION("""COMPUTED_VALUE"""),"39441")</f>
        <v>39441</v>
      </c>
      <c r="C223" s="146">
        <f ca="1">IFERROR(__xludf.DUMMYFUNCTION("""COMPUTED_VALUE"""),44641000768)</f>
        <v>44641000768</v>
      </c>
      <c r="D223" s="43" t="str">
        <f ca="1">IFERROR(__xludf.DUMMYFUNCTION("""COMPUTED_VALUE"""),"AAPL")</f>
        <v>AAPL</v>
      </c>
      <c r="E223" s="147">
        <f ca="1">IFERROR(__xludf.DUMMYFUNCTION("""COMPUTED_VALUE"""),44641)</f>
        <v>44641</v>
      </c>
      <c r="F223" s="43" t="str">
        <f ca="1">IFERROR(__xludf.DUMMYFUNCTION("""COMPUTED_VALUE"""),"Stock")</f>
        <v>Stock</v>
      </c>
      <c r="G223" s="43" t="str">
        <f ca="1">IFERROR(__xludf.DUMMYFUNCTION("""COMPUTED_VALUE"""),"USD")</f>
        <v>USD</v>
      </c>
      <c r="H223" s="154">
        <f ca="1">IFERROR(__xludf.DUMMYFUNCTION("""COMPUTED_VALUE"""),100)</f>
        <v>100</v>
      </c>
      <c r="I223" s="148">
        <f ca="1">IFERROR(__xludf.DUMMYFUNCTION("""COMPUTED_VALUE"""),7.82545)</f>
        <v>7.82545</v>
      </c>
      <c r="J223" s="149">
        <f ca="1">IFERROR(__xludf.DUMMYFUNCTION("""COMPUTED_VALUE"""),165.38)</f>
        <v>165.38</v>
      </c>
      <c r="K223" s="43"/>
      <c r="L223" s="149">
        <f ca="1">IFERROR(__xludf.DUMMYFUNCTION("""COMPUTED_VALUE"""),168.82)</f>
        <v>168.82</v>
      </c>
      <c r="M223" s="160" t="str">
        <f ca="1">IFERROR(__xludf.DUMMYFUNCTION("""COMPUTED_VALUE"""),"Equity Key Stats")</f>
        <v>Equity Key Stats</v>
      </c>
      <c r="N223" s="43"/>
      <c r="O223" s="43"/>
      <c r="P223" s="157">
        <f ca="1">IFERROR(__xludf.DUMMYFUNCTION("""COMPUTED_VALUE"""),-129417.292099999)</f>
        <v>-129417.292099999</v>
      </c>
      <c r="Q223" s="151"/>
      <c r="R223" s="152">
        <f ca="1">IFERROR(__xludf.DUMMYFUNCTION("""COMPUTED_VALUE"""),170.21)</f>
        <v>170.21</v>
      </c>
      <c r="S223" s="150">
        <f ca="1">IFERROR(__xludf.DUMMYFUNCTION("""COMPUTED_VALUE"""),133196.98445)</f>
        <v>133196.98444999999</v>
      </c>
      <c r="T223" s="108">
        <f ca="1">IFERROR(__xludf.DUMMYFUNCTION("""COMPUTED_VALUE"""),1)</f>
        <v>1</v>
      </c>
      <c r="U223" s="108">
        <f ca="1">IFERROR(__xludf.DUMMYFUNCTION("""COMPUTED_VALUE"""),1)</f>
        <v>1</v>
      </c>
      <c r="V223" s="158">
        <f ca="1">IFERROR(__xludf.DUMMYFUNCTION("""COMPUTED_VALUE"""),3779.69234999999)</f>
        <v>3779.6923499999898</v>
      </c>
      <c r="W223" s="145" t="str">
        <f ca="1">IFERROR(__xludf.DUMMYFUNCTION("""COMPUTED_VALUE"""),"")</f>
        <v/>
      </c>
      <c r="X223" s="11" t="str">
        <f ca="1">IFERROR(__xludf.DUMMYFUNCTION("""COMPUTED_VALUE"""),"")</f>
        <v/>
      </c>
      <c r="Y223" s="11" t="str">
        <f ca="1">IFERROR(__xludf.DUMMYFUNCTION("""COMPUTED_VALUE"""),"")</f>
        <v/>
      </c>
      <c r="Z223" s="4" t="str">
        <f ca="1">IFERROR(__xludf.DUMMYFUNCTION("""COMPUTED_VALUE"""),"")</f>
        <v/>
      </c>
    </row>
    <row r="224" spans="1:26" ht="13" x14ac:dyDescent="0.15">
      <c r="A224" s="43" t="str">
        <f ca="1">IFERROR(__xludf.DUMMYFUNCTION("""COMPUTED_VALUE"""),"")</f>
        <v/>
      </c>
      <c r="B224" s="43" t="str">
        <f ca="1">IFERROR(__xludf.DUMMYFUNCTION("""COMPUTED_VALUE"""),"39441")</f>
        <v>39441</v>
      </c>
      <c r="C224" s="146">
        <f ca="1">IFERROR(__xludf.DUMMYFUNCTION("""COMPUTED_VALUE"""),44641000769)</f>
        <v>44641000769</v>
      </c>
      <c r="D224" s="43" t="str">
        <f ca="1">IFERROR(__xludf.DUMMYFUNCTION("""COMPUTED_VALUE"""),"BABA")</f>
        <v>BABA</v>
      </c>
      <c r="E224" s="147">
        <f ca="1">IFERROR(__xludf.DUMMYFUNCTION("""COMPUTED_VALUE"""),44641)</f>
        <v>44641</v>
      </c>
      <c r="F224" s="43" t="str">
        <f ca="1">IFERROR(__xludf.DUMMYFUNCTION("""COMPUTED_VALUE"""),"Stock")</f>
        <v>Stock</v>
      </c>
      <c r="G224" s="43" t="str">
        <f ca="1">IFERROR(__xludf.DUMMYFUNCTION("""COMPUTED_VALUE"""),"USD")</f>
        <v>USD</v>
      </c>
      <c r="H224" s="156" t="str">
        <f ca="1">IFERROR(__xludf.DUMMYFUNCTION("""COMPUTED_VALUE"""),"")</f>
        <v/>
      </c>
      <c r="I224" s="148">
        <f ca="1">IFERROR(__xludf.DUMMYFUNCTION("""COMPUTED_VALUE"""),7.82545)</f>
        <v>7.82545</v>
      </c>
      <c r="J224" s="149">
        <f ca="1">IFERROR(__xludf.DUMMYFUNCTION("""COMPUTED_VALUE"""),103.59)</f>
        <v>103.59</v>
      </c>
      <c r="K224" s="43"/>
      <c r="L224" s="149">
        <f ca="1">IFERROR(__xludf.DUMMYFUNCTION("""COMPUTED_VALUE"""),114.99)</f>
        <v>114.99</v>
      </c>
      <c r="M224" s="160" t="str">
        <f ca="1">IFERROR(__xludf.DUMMYFUNCTION("""COMPUTED_VALUE"""),"Equity Key Stats")</f>
        <v>Equity Key Stats</v>
      </c>
      <c r="N224" s="43"/>
      <c r="O224" s="43"/>
      <c r="P224" s="150">
        <f ca="1">IFERROR(__xludf.DUMMYFUNCTION("""COMPUTED_VALUE"""),0)</f>
        <v>0</v>
      </c>
      <c r="Q224" s="151"/>
      <c r="R224" s="152">
        <f ca="1">IFERROR(__xludf.DUMMYFUNCTION("""COMPUTED_VALUE"""),117.24)</f>
        <v>117.24</v>
      </c>
      <c r="S224" s="157">
        <f ca="1">IFERROR(__xludf.DUMMYFUNCTION("""COMPUTED_VALUE"""),0)</f>
        <v>0</v>
      </c>
      <c r="T224" s="108">
        <f ca="1">IFERROR(__xludf.DUMMYFUNCTION("""COMPUTED_VALUE"""),6)</f>
        <v>6</v>
      </c>
      <c r="U224" s="108">
        <f ca="1">IFERROR(__xludf.DUMMYFUNCTION("""COMPUTED_VALUE"""),1)</f>
        <v>1</v>
      </c>
      <c r="V224" s="153">
        <f ca="1">IFERROR(__xludf.DUMMYFUNCTION("""COMPUTED_VALUE"""),-52457.5364999999)</f>
        <v>-52457.5364999999</v>
      </c>
      <c r="W224" s="145" t="str">
        <f ca="1">IFERROR(__xludf.DUMMYFUNCTION("""COMPUTED_VALUE"""),"")</f>
        <v/>
      </c>
      <c r="X224" s="11" t="str">
        <f ca="1">IFERROR(__xludf.DUMMYFUNCTION("""COMPUTED_VALUE"""),"")</f>
        <v/>
      </c>
      <c r="Y224" s="11" t="str">
        <f ca="1">IFERROR(__xludf.DUMMYFUNCTION("""COMPUTED_VALUE"""),"")</f>
        <v/>
      </c>
      <c r="Z224" s="4" t="str">
        <f ca="1">IFERROR(__xludf.DUMMYFUNCTION("""COMPUTED_VALUE"""),"")</f>
        <v/>
      </c>
    </row>
    <row r="225" spans="1:26" ht="13" x14ac:dyDescent="0.15">
      <c r="A225" s="43" t="str">
        <f ca="1">IFERROR(__xludf.DUMMYFUNCTION("""COMPUTED_VALUE"""),"")</f>
        <v/>
      </c>
      <c r="B225" s="43" t="str">
        <f ca="1">IFERROR(__xludf.DUMMYFUNCTION("""COMPUTED_VALUE"""),"39441")</f>
        <v>39441</v>
      </c>
      <c r="C225" s="146">
        <f ca="1">IFERROR(__xludf.DUMMYFUNCTION("""COMPUTED_VALUE"""),44642000766)</f>
        <v>44642000766</v>
      </c>
      <c r="D225" s="161" t="str">
        <f ca="1">IFERROR(__xludf.DUMMYFUNCTION("""COMPUTED_VALUE"""),"0700.HK")</f>
        <v>0700.HK</v>
      </c>
      <c r="E225" s="147">
        <f ca="1">IFERROR(__xludf.DUMMYFUNCTION("""COMPUTED_VALUE"""),44642)</f>
        <v>44642</v>
      </c>
      <c r="F225" s="43" t="str">
        <f ca="1">IFERROR(__xludf.DUMMYFUNCTION("""COMPUTED_VALUE"""),"Stock")</f>
        <v>Stock</v>
      </c>
      <c r="G225" s="43" t="str">
        <f ca="1">IFERROR(__xludf.DUMMYFUNCTION("""COMPUTED_VALUE"""),"HKD")</f>
        <v>HKD</v>
      </c>
      <c r="H225" s="156">
        <f ca="1">IFERROR(__xludf.DUMMYFUNCTION("""COMPUTED_VALUE"""),0)</f>
        <v>0</v>
      </c>
      <c r="I225" s="148">
        <f ca="1">IFERROR(__xludf.DUMMYFUNCTION("""COMPUTED_VALUE"""),1)</f>
        <v>1</v>
      </c>
      <c r="J225" s="149">
        <f ca="1">IFERROR(__xludf.DUMMYFUNCTION("""COMPUTED_VALUE"""),0)</f>
        <v>0</v>
      </c>
      <c r="K225" s="43"/>
      <c r="L225" s="149">
        <f ca="1">IFERROR(__xludf.DUMMYFUNCTION("""COMPUTED_VALUE"""),388)</f>
        <v>388</v>
      </c>
      <c r="M225" s="160" t="str">
        <f ca="1">IFERROR(__xludf.DUMMYFUNCTION("""COMPUTED_VALUE"""),"Equity Key Stats")</f>
        <v>Equity Key Stats</v>
      </c>
      <c r="N225" s="43"/>
      <c r="O225" s="43"/>
      <c r="P225" s="150">
        <f ca="1">IFERROR(__xludf.DUMMYFUNCTION("""COMPUTED_VALUE"""),0)</f>
        <v>0</v>
      </c>
      <c r="Q225" s="151"/>
      <c r="R225" s="152">
        <f ca="1">IFERROR(__xludf.DUMMYFUNCTION("""COMPUTED_VALUE"""),389)</f>
        <v>389</v>
      </c>
      <c r="S225" s="157">
        <f ca="1">IFERROR(__xludf.DUMMYFUNCTION("""COMPUTED_VALUE"""),0)</f>
        <v>0</v>
      </c>
      <c r="T225" s="108">
        <f ca="1">IFERROR(__xludf.DUMMYFUNCTION("""COMPUTED_VALUE"""),4)</f>
        <v>4</v>
      </c>
      <c r="U225" s="108">
        <f ca="1">IFERROR(__xludf.DUMMYFUNCTION("""COMPUTED_VALUE"""),1)</f>
        <v>1</v>
      </c>
      <c r="V225" s="153">
        <f ca="1">IFERROR(__xludf.DUMMYFUNCTION("""COMPUTED_VALUE"""),636)</f>
        <v>636</v>
      </c>
      <c r="W225" s="145" t="str">
        <f ca="1">IFERROR(__xludf.DUMMYFUNCTION("""COMPUTED_VALUE"""),"")</f>
        <v/>
      </c>
      <c r="X225" s="11" t="str">
        <f ca="1">IFERROR(__xludf.DUMMYFUNCTION("""COMPUTED_VALUE"""),"")</f>
        <v/>
      </c>
      <c r="Y225" s="11" t="str">
        <f ca="1">IFERROR(__xludf.DUMMYFUNCTION("""COMPUTED_VALUE"""),"")</f>
        <v/>
      </c>
      <c r="Z225" s="4" t="str">
        <f ca="1">IFERROR(__xludf.DUMMYFUNCTION("""COMPUTED_VALUE"""),"")</f>
        <v/>
      </c>
    </row>
    <row r="226" spans="1:26" ht="13" x14ac:dyDescent="0.15">
      <c r="A226" s="43" t="str">
        <f ca="1">IFERROR(__xludf.DUMMYFUNCTION("""COMPUTED_VALUE"""),"39441")</f>
        <v>39441</v>
      </c>
      <c r="B226" s="43" t="str">
        <f ca="1">IFERROR(__xludf.DUMMYFUNCTION("""COMPUTED_VALUE"""),"39441")</f>
        <v>39441</v>
      </c>
      <c r="C226" s="146">
        <f ca="1">IFERROR(__xludf.DUMMYFUNCTION("""COMPUTED_VALUE"""),44643000820)</f>
        <v>44643000820</v>
      </c>
      <c r="D226" s="43" t="str">
        <f ca="1">IFERROR(__xludf.DUMMYFUNCTION("""COMPUTED_VALUE"""),"AMZN")</f>
        <v>AMZN</v>
      </c>
      <c r="E226" s="147">
        <f ca="1">IFERROR(__xludf.DUMMYFUNCTION("""COMPUTED_VALUE"""),44643)</f>
        <v>44643</v>
      </c>
      <c r="F226" s="43" t="str">
        <f ca="1">IFERROR(__xludf.DUMMYFUNCTION("""COMPUTED_VALUE"""),"Stock")</f>
        <v>Stock</v>
      </c>
      <c r="G226" s="43" t="str">
        <f ca="1">IFERROR(__xludf.DUMMYFUNCTION("""COMPUTED_VALUE"""),"USD")</f>
        <v>USD</v>
      </c>
      <c r="H226" s="154">
        <f ca="1">IFERROR(__xludf.DUMMYFUNCTION("""COMPUTED_VALUE"""),0)</f>
        <v>0</v>
      </c>
      <c r="I226" s="148">
        <f ca="1">IFERROR(__xludf.DUMMYFUNCTION("""COMPUTED_VALUE"""),7.823645)</f>
        <v>7.823645</v>
      </c>
      <c r="J226" s="149">
        <f ca="1">IFERROR(__xludf.DUMMYFUNCTION("""COMPUTED_VALUE"""),0)</f>
        <v>0</v>
      </c>
      <c r="K226" s="43"/>
      <c r="L226" s="149">
        <f ca="1">IFERROR(__xludf.DUMMYFUNCTION("""COMPUTED_VALUE"""),3297.78)</f>
        <v>3297.78</v>
      </c>
      <c r="M226" s="160" t="str">
        <f ca="1">IFERROR(__xludf.DUMMYFUNCTION("""COMPUTED_VALUE"""),"Equity Key Stats")</f>
        <v>Equity Key Stats</v>
      </c>
      <c r="N226" s="43"/>
      <c r="O226" s="43"/>
      <c r="P226" s="157">
        <f ca="1">IFERROR(__xludf.DUMMYFUNCTION("""COMPUTED_VALUE"""),0)</f>
        <v>0</v>
      </c>
      <c r="Q226" s="151"/>
      <c r="R226" s="152">
        <f ca="1">IFERROR(__xludf.DUMMYFUNCTION("""COMPUTED_VALUE"""),3268.16)</f>
        <v>3268.16</v>
      </c>
      <c r="S226" s="150">
        <f ca="1">IFERROR(__xludf.DUMMYFUNCTION("""COMPUTED_VALUE"""),0)</f>
        <v>0</v>
      </c>
      <c r="T226" s="108">
        <f ca="1">IFERROR(__xludf.DUMMYFUNCTION("""COMPUTED_VALUE"""),5)</f>
        <v>5</v>
      </c>
      <c r="U226" s="108">
        <f ca="1">IFERROR(__xludf.DUMMYFUNCTION("""COMPUTED_VALUE"""),1)</f>
        <v>1</v>
      </c>
      <c r="V226" s="158">
        <f ca="1">IFERROR(__xludf.DUMMYFUNCTION("""COMPUTED_VALUE"""),17282.743316)</f>
        <v>17282.743316</v>
      </c>
      <c r="W226" s="44">
        <f ca="1">IFERROR(__xludf.DUMMYFUNCTION("""COMPUTED_VALUE"""),474547.2932385)</f>
        <v>474547.29323850002</v>
      </c>
      <c r="X226" s="154">
        <f ca="1">IFERROR(__xludf.DUMMYFUNCTION("""COMPUTED_VALUE"""),45859.96253525)</f>
        <v>45859.962535250001</v>
      </c>
      <c r="Y226" s="154">
        <f ca="1">IFERROR(__xludf.DUMMYFUNCTION("""COMPUTED_VALUE"""),0)</f>
        <v>0</v>
      </c>
      <c r="Z226" s="159">
        <f ca="1">IFERROR(__xludf.DUMMYFUNCTION("""COMPUTED_VALUE"""),-0.0509054135229998)</f>
        <v>-5.09054135229998E-2</v>
      </c>
    </row>
    <row r="227" spans="1:26" ht="13" x14ac:dyDescent="0.15">
      <c r="A227" s="43" t="str">
        <f ca="1">IFERROR(__xludf.DUMMYFUNCTION("""COMPUTED_VALUE"""),"")</f>
        <v/>
      </c>
      <c r="B227" s="43" t="str">
        <f ca="1">IFERROR(__xludf.DUMMYFUNCTION("""COMPUTED_VALUE"""),"39494")</f>
        <v>39494</v>
      </c>
      <c r="C227" s="146">
        <f ca="1">IFERROR(__xludf.DUMMYFUNCTION("""COMPUTED_VALUE"""),44597000040)</f>
        <v>44597000040</v>
      </c>
      <c r="D227" s="43" t="str">
        <f ca="1">IFERROR(__xludf.DUMMYFUNCTION("""COMPUTED_VALUE"""),"Cash")</f>
        <v>Cash</v>
      </c>
      <c r="E227" s="147">
        <f ca="1">IFERROR(__xludf.DUMMYFUNCTION("""COMPUTED_VALUE"""),44597)</f>
        <v>44597</v>
      </c>
      <c r="F227" s="43" t="str">
        <f ca="1">IFERROR(__xludf.DUMMYFUNCTION("""COMPUTED_VALUE"""),"Cash")</f>
        <v>Cash</v>
      </c>
      <c r="G227" s="43" t="str">
        <f ca="1">IFERROR(__xludf.DUMMYFUNCTION("""COMPUTED_VALUE"""),"HKD")</f>
        <v>HKD</v>
      </c>
      <c r="H227" s="11" t="str">
        <f ca="1">IFERROR(__xludf.DUMMYFUNCTION("""COMPUTED_VALUE"""),"")</f>
        <v/>
      </c>
      <c r="I227" s="148">
        <f ca="1">IFERROR(__xludf.DUMMYFUNCTION("""COMPUTED_VALUE"""),1)</f>
        <v>1</v>
      </c>
      <c r="J227" s="108">
        <f ca="1">IFERROR(__xludf.DUMMYFUNCTION("""COMPUTED_VALUE"""),1)</f>
        <v>1</v>
      </c>
      <c r="K227" s="43"/>
      <c r="L227" s="149">
        <f ca="1">IFERROR(__xludf.DUMMYFUNCTION("""COMPUTED_VALUE"""),1)</f>
        <v>1</v>
      </c>
      <c r="M227" s="3" t="str">
        <f ca="1">IFERROR(__xludf.DUMMYFUNCTION("""COMPUTED_VALUE"""),"")</f>
        <v/>
      </c>
      <c r="N227" s="43"/>
      <c r="O227" s="43"/>
      <c r="P227" s="150">
        <f ca="1">IFERROR(__xludf.DUMMYFUNCTION("""COMPUTED_VALUE"""),500000)</f>
        <v>500000</v>
      </c>
      <c r="Q227" s="151"/>
      <c r="R227" s="152">
        <f ca="1">IFERROR(__xludf.DUMMYFUNCTION("""COMPUTED_VALUE"""),1)</f>
        <v>1</v>
      </c>
      <c r="S227" s="127" t="str">
        <f ca="1">IFERROR(__xludf.DUMMYFUNCTION("""COMPUTED_VALUE"""),"")</f>
        <v/>
      </c>
      <c r="T227" s="108">
        <f ca="1">IFERROR(__xludf.DUMMYFUNCTION("""COMPUTED_VALUE"""),1)</f>
        <v>1</v>
      </c>
      <c r="U227" s="108">
        <f ca="1">IFERROR(__xludf.DUMMYFUNCTION("""COMPUTED_VALUE"""),1)</f>
        <v>1</v>
      </c>
      <c r="V227" s="153">
        <f ca="1">IFERROR(__xludf.DUMMYFUNCTION("""COMPUTED_VALUE"""),500000)</f>
        <v>500000</v>
      </c>
      <c r="W227" s="44" t="str">
        <f ca="1">IFERROR(__xludf.DUMMYFUNCTION("""COMPUTED_VALUE"""),"")</f>
        <v/>
      </c>
      <c r="X227" s="154" t="str">
        <f ca="1">IFERROR(__xludf.DUMMYFUNCTION("""COMPUTED_VALUE"""),"")</f>
        <v/>
      </c>
      <c r="Y227" s="154" t="str">
        <f ca="1">IFERROR(__xludf.DUMMYFUNCTION("""COMPUTED_VALUE"""),"")</f>
        <v/>
      </c>
      <c r="Z227" s="159" t="str">
        <f ca="1">IFERROR(__xludf.DUMMYFUNCTION("""COMPUTED_VALUE"""),"")</f>
        <v/>
      </c>
    </row>
    <row r="228" spans="1:26" ht="13" x14ac:dyDescent="0.15">
      <c r="A228" s="43" t="str">
        <f ca="1">IFERROR(__xludf.DUMMYFUNCTION("""COMPUTED_VALUE"""),"")</f>
        <v/>
      </c>
      <c r="B228" s="43" t="str">
        <f ca="1">IFERROR(__xludf.DUMMYFUNCTION("""COMPUTED_VALUE"""),"39494")</f>
        <v>39494</v>
      </c>
      <c r="C228" s="146">
        <f ca="1">IFERROR(__xludf.DUMMYFUNCTION("""COMPUTED_VALUE"""),44606000183)</f>
        <v>44606000183</v>
      </c>
      <c r="D228" s="43" t="str">
        <f ca="1">IFERROR(__xludf.DUMMYFUNCTION("""COMPUTED_VALUE"""),"MSFT")</f>
        <v>MSFT</v>
      </c>
      <c r="E228" s="147">
        <f ca="1">IFERROR(__xludf.DUMMYFUNCTION("""COMPUTED_VALUE"""),44606)</f>
        <v>44606</v>
      </c>
      <c r="F228" s="43" t="str">
        <f ca="1">IFERROR(__xludf.DUMMYFUNCTION("""COMPUTED_VALUE"""),"Stock")</f>
        <v>Stock</v>
      </c>
      <c r="G228" s="43" t="str">
        <f ca="1">IFERROR(__xludf.DUMMYFUNCTION("""COMPUTED_VALUE"""),"USD")</f>
        <v>USD</v>
      </c>
      <c r="H228" s="11">
        <f ca="1">IFERROR(__xludf.DUMMYFUNCTION("""COMPUTED_VALUE"""),3)</f>
        <v>3</v>
      </c>
      <c r="I228" s="148">
        <f ca="1">IFERROR(__xludf.DUMMYFUNCTION("""COMPUTED_VALUE"""),7.802945)</f>
        <v>7.8029450000000002</v>
      </c>
      <c r="J228" s="149">
        <f ca="1">IFERROR(__xludf.DUMMYFUNCTION("""COMPUTED_VALUE"""),295)</f>
        <v>295</v>
      </c>
      <c r="K228" s="43"/>
      <c r="L228" s="149">
        <f ca="1">IFERROR(__xludf.DUMMYFUNCTION("""COMPUTED_VALUE"""),304.06)</f>
        <v>304.06</v>
      </c>
      <c r="M228" s="160" t="str">
        <f ca="1">IFERROR(__xludf.DUMMYFUNCTION("""COMPUTED_VALUE"""),"Equity Key Stats")</f>
        <v>Equity Key Stats</v>
      </c>
      <c r="N228" s="43"/>
      <c r="O228" s="43"/>
      <c r="P228" s="150">
        <f ca="1">IFERROR(__xludf.DUMMYFUNCTION("""COMPUTED_VALUE"""),-6905.606325)</f>
        <v>-6905.6063249999997</v>
      </c>
      <c r="Q228" s="151"/>
      <c r="R228" s="152">
        <f ca="1">IFERROR(__xludf.DUMMYFUNCTION("""COMPUTED_VALUE"""),299.49)</f>
        <v>299.49</v>
      </c>
      <c r="S228" s="127">
        <f ca="1">IFERROR(__xludf.DUMMYFUNCTION("""COMPUTED_VALUE"""),7010.71199415)</f>
        <v>7010.7119941499996</v>
      </c>
      <c r="T228" s="108">
        <f ca="1">IFERROR(__xludf.DUMMYFUNCTION("""COMPUTED_VALUE"""),1)</f>
        <v>1</v>
      </c>
      <c r="U228" s="108">
        <f ca="1">IFERROR(__xludf.DUMMYFUNCTION("""COMPUTED_VALUE"""),1)</f>
        <v>1</v>
      </c>
      <c r="V228" s="153">
        <f ca="1">IFERROR(__xludf.DUMMYFUNCTION("""COMPUTED_VALUE"""),105.10566915)</f>
        <v>105.10566915</v>
      </c>
      <c r="W228" s="145" t="str">
        <f ca="1">IFERROR(__xludf.DUMMYFUNCTION("""COMPUTED_VALUE"""),"")</f>
        <v/>
      </c>
      <c r="X228" s="11" t="str">
        <f ca="1">IFERROR(__xludf.DUMMYFUNCTION("""COMPUTED_VALUE"""),"")</f>
        <v/>
      </c>
      <c r="Y228" s="11" t="str">
        <f ca="1">IFERROR(__xludf.DUMMYFUNCTION("""COMPUTED_VALUE"""),"")</f>
        <v/>
      </c>
      <c r="Z228" s="4" t="str">
        <f ca="1">IFERROR(__xludf.DUMMYFUNCTION("""COMPUTED_VALUE"""),"")</f>
        <v/>
      </c>
    </row>
    <row r="229" spans="1:26" ht="13" x14ac:dyDescent="0.15">
      <c r="A229" s="43" t="str">
        <f ca="1">IFERROR(__xludf.DUMMYFUNCTION("""COMPUTED_VALUE"""),"")</f>
        <v/>
      </c>
      <c r="B229" s="43" t="str">
        <f ca="1">IFERROR(__xludf.DUMMYFUNCTION("""COMPUTED_VALUE"""),"39494")</f>
        <v>39494</v>
      </c>
      <c r="C229" s="146">
        <f ca="1">IFERROR(__xludf.DUMMYFUNCTION("""COMPUTED_VALUE"""),44606000184)</f>
        <v>44606000184</v>
      </c>
      <c r="D229" s="161" t="str">
        <f ca="1">IFERROR(__xludf.DUMMYFUNCTION("""COMPUTED_VALUE"""),"UBI.PA")</f>
        <v>UBI.PA</v>
      </c>
      <c r="E229" s="147">
        <f ca="1">IFERROR(__xludf.DUMMYFUNCTION("""COMPUTED_VALUE"""),44606)</f>
        <v>44606</v>
      </c>
      <c r="F229" s="43" t="str">
        <f ca="1">IFERROR(__xludf.DUMMYFUNCTION("""COMPUTED_VALUE"""),"Stock")</f>
        <v>Stock</v>
      </c>
      <c r="G229" s="43" t="str">
        <f ca="1">IFERROR(__xludf.DUMMYFUNCTION("""COMPUTED_VALUE"""),"EUR")</f>
        <v>EUR</v>
      </c>
      <c r="H229" s="154">
        <f ca="1">IFERROR(__xludf.DUMMYFUNCTION("""COMPUTED_VALUE"""),5)</f>
        <v>5</v>
      </c>
      <c r="I229" s="148">
        <f ca="1">IFERROR(__xludf.DUMMYFUNCTION("""COMPUTED_VALUE"""),8.82244)</f>
        <v>8.8224400000000003</v>
      </c>
      <c r="J229" s="149">
        <f ca="1">IFERROR(__xludf.DUMMYFUNCTION("""COMPUTED_VALUE"""),50.44)</f>
        <v>50.44</v>
      </c>
      <c r="K229" s="43"/>
      <c r="L229" s="149">
        <f ca="1">IFERROR(__xludf.DUMMYFUNCTION("""COMPUTED_VALUE"""),41.9)</f>
        <v>41.9</v>
      </c>
      <c r="M229" s="155" t="str">
        <f ca="1">IFERROR(__xludf.DUMMYFUNCTION("""COMPUTED_VALUE"""),"Equity Key Stats")</f>
        <v>Equity Key Stats</v>
      </c>
      <c r="N229" s="43"/>
      <c r="O229" s="43"/>
      <c r="P229" s="157">
        <f ca="1">IFERROR(__xludf.DUMMYFUNCTION("""COMPUTED_VALUE"""),-2225.01936799999)</f>
        <v>-2225.0193679999902</v>
      </c>
      <c r="Q229" s="151"/>
      <c r="R229" s="152">
        <f ca="1">IFERROR(__xludf.DUMMYFUNCTION("""COMPUTED_VALUE"""),41.58)</f>
        <v>41.58</v>
      </c>
      <c r="S229" s="150">
        <f ca="1">IFERROR(__xludf.DUMMYFUNCTION("""COMPUTED_VALUE"""),1834.185276)</f>
        <v>1834.1852759999999</v>
      </c>
      <c r="T229" s="108">
        <f ca="1">IFERROR(__xludf.DUMMYFUNCTION("""COMPUTED_VALUE"""),1)</f>
        <v>1</v>
      </c>
      <c r="U229" s="43">
        <f ca="1">IFERROR(__xludf.DUMMYFUNCTION("""COMPUTED_VALUE"""),1)</f>
        <v>1</v>
      </c>
      <c r="V229" s="144">
        <f ca="1">IFERROR(__xludf.DUMMYFUNCTION("""COMPUTED_VALUE"""),-390.834091999999)</f>
        <v>-390.83409199999898</v>
      </c>
      <c r="W229" s="145" t="str">
        <f ca="1">IFERROR(__xludf.DUMMYFUNCTION("""COMPUTED_VALUE"""),"")</f>
        <v/>
      </c>
      <c r="X229" s="11" t="str">
        <f ca="1">IFERROR(__xludf.DUMMYFUNCTION("""COMPUTED_VALUE"""),"")</f>
        <v/>
      </c>
      <c r="Y229" s="11" t="str">
        <f ca="1">IFERROR(__xludf.DUMMYFUNCTION("""COMPUTED_VALUE"""),"")</f>
        <v/>
      </c>
      <c r="Z229" s="4" t="str">
        <f ca="1">IFERROR(__xludf.DUMMYFUNCTION("""COMPUTED_VALUE"""),"")</f>
        <v/>
      </c>
    </row>
    <row r="230" spans="1:26" ht="13" x14ac:dyDescent="0.15">
      <c r="A230" s="43" t="str">
        <f ca="1">IFERROR(__xludf.DUMMYFUNCTION("""COMPUTED_VALUE"""),"")</f>
        <v/>
      </c>
      <c r="B230" s="43" t="str">
        <f ca="1">IFERROR(__xludf.DUMMYFUNCTION("""COMPUTED_VALUE"""),"39494")</f>
        <v>39494</v>
      </c>
      <c r="C230" s="146">
        <f ca="1">IFERROR(__xludf.DUMMYFUNCTION("""COMPUTED_VALUE"""),44608000221)</f>
        <v>44608000221</v>
      </c>
      <c r="D230" s="163" t="str">
        <f ca="1">IFERROR(__xludf.DUMMYFUNCTION("""COMPUTED_VALUE"""),"NVDA")</f>
        <v>NVDA</v>
      </c>
      <c r="E230" s="147">
        <f ca="1">IFERROR(__xludf.DUMMYFUNCTION("""COMPUTED_VALUE"""),44608)</f>
        <v>44608</v>
      </c>
      <c r="F230" s="43" t="str">
        <f ca="1">IFERROR(__xludf.DUMMYFUNCTION("""COMPUTED_VALUE"""),"Stock")</f>
        <v>Stock</v>
      </c>
      <c r="G230" s="43" t="str">
        <f ca="1">IFERROR(__xludf.DUMMYFUNCTION("""COMPUTED_VALUE"""),"USD")</f>
        <v>USD</v>
      </c>
      <c r="H230" s="154">
        <f ca="1">IFERROR(__xludf.DUMMYFUNCTION("""COMPUTED_VALUE"""),100)</f>
        <v>100</v>
      </c>
      <c r="I230" s="148">
        <f ca="1">IFERROR(__xludf.DUMMYFUNCTION("""COMPUTED_VALUE"""),7.8005)</f>
        <v>7.8005000000000004</v>
      </c>
      <c r="J230" s="149">
        <f ca="1">IFERROR(__xludf.DUMMYFUNCTION("""COMPUTED_VALUE"""),265.11)</f>
        <v>265.11</v>
      </c>
      <c r="K230" s="43"/>
      <c r="L230" s="149">
        <f ca="1">IFERROR(__xludf.DUMMYFUNCTION("""COMPUTED_VALUE"""),265.24)</f>
        <v>265.24</v>
      </c>
      <c r="M230" s="155" t="str">
        <f ca="1">IFERROR(__xludf.DUMMYFUNCTION("""COMPUTED_VALUE"""),"Equity Key Stats")</f>
        <v>Equity Key Stats</v>
      </c>
      <c r="N230" s="43"/>
      <c r="O230" s="43"/>
      <c r="P230" s="157">
        <f ca="1">IFERROR(__xludf.DUMMYFUNCTION("""COMPUTED_VALUE"""),-206799.0555)</f>
        <v>-206799.05549999999</v>
      </c>
      <c r="Q230" s="151"/>
      <c r="R230" s="152">
        <f ca="1">IFERROR(__xludf.DUMMYFUNCTION("""COMPUTED_VALUE"""),256.34)</f>
        <v>256.33999999999997</v>
      </c>
      <c r="S230" s="150">
        <f ca="1">IFERROR(__xludf.DUMMYFUNCTION("""COMPUTED_VALUE"""),199958.017)</f>
        <v>199958.01699999999</v>
      </c>
      <c r="T230" s="108">
        <f ca="1">IFERROR(__xludf.DUMMYFUNCTION("""COMPUTED_VALUE"""),1)</f>
        <v>1</v>
      </c>
      <c r="U230" s="43">
        <f ca="1">IFERROR(__xludf.DUMMYFUNCTION("""COMPUTED_VALUE"""),1)</f>
        <v>1</v>
      </c>
      <c r="V230" s="144">
        <f ca="1">IFERROR(__xludf.DUMMYFUNCTION("""COMPUTED_VALUE"""),-6841.03850000002)</f>
        <v>-6841.0385000000197</v>
      </c>
      <c r="W230" s="145" t="str">
        <f ca="1">IFERROR(__xludf.DUMMYFUNCTION("""COMPUTED_VALUE"""),"")</f>
        <v/>
      </c>
      <c r="X230" s="11" t="str">
        <f ca="1">IFERROR(__xludf.DUMMYFUNCTION("""COMPUTED_VALUE"""),"")</f>
        <v/>
      </c>
      <c r="Y230" s="11" t="str">
        <f ca="1">IFERROR(__xludf.DUMMYFUNCTION("""COMPUTED_VALUE"""),"")</f>
        <v/>
      </c>
      <c r="Z230" s="4" t="str">
        <f ca="1">IFERROR(__xludf.DUMMYFUNCTION("""COMPUTED_VALUE"""),"")</f>
        <v/>
      </c>
    </row>
    <row r="231" spans="1:26" ht="13" x14ac:dyDescent="0.15">
      <c r="A231" s="43" t="str">
        <f ca="1">IFERROR(__xludf.DUMMYFUNCTION("""COMPUTED_VALUE"""),"")</f>
        <v/>
      </c>
      <c r="B231" s="43" t="str">
        <f ca="1">IFERROR(__xludf.DUMMYFUNCTION("""COMPUTED_VALUE"""),"39494")</f>
        <v>39494</v>
      </c>
      <c r="C231" s="146">
        <f ca="1">IFERROR(__xludf.DUMMYFUNCTION("""COMPUTED_VALUE"""),44608000222)</f>
        <v>44608000222</v>
      </c>
      <c r="D231" s="43" t="str">
        <f ca="1">IFERROR(__xludf.DUMMYFUNCTION("""COMPUTED_VALUE"""),"SONY")</f>
        <v>SONY</v>
      </c>
      <c r="E231" s="147">
        <f ca="1">IFERROR(__xludf.DUMMYFUNCTION("""COMPUTED_VALUE"""),44608)</f>
        <v>44608</v>
      </c>
      <c r="F231" s="43" t="str">
        <f ca="1">IFERROR(__xludf.DUMMYFUNCTION("""COMPUTED_VALUE"""),"Stock")</f>
        <v>Stock</v>
      </c>
      <c r="G231" s="43" t="str">
        <f ca="1">IFERROR(__xludf.DUMMYFUNCTION("""COMPUTED_VALUE"""),"USD")</f>
        <v>USD</v>
      </c>
      <c r="H231" s="154">
        <f ca="1">IFERROR(__xludf.DUMMYFUNCTION("""COMPUTED_VALUE"""),100)</f>
        <v>100</v>
      </c>
      <c r="I231" s="148">
        <f ca="1">IFERROR(__xludf.DUMMYFUNCTION("""COMPUTED_VALUE"""),7.8005)</f>
        <v>7.8005000000000004</v>
      </c>
      <c r="J231" s="149">
        <f ca="1">IFERROR(__xludf.DUMMYFUNCTION("""COMPUTED_VALUE"""),106.52)</f>
        <v>106.52</v>
      </c>
      <c r="K231" s="43"/>
      <c r="L231" s="149">
        <f ca="1">IFERROR(__xludf.DUMMYFUNCTION("""COMPUTED_VALUE"""),105.73)</f>
        <v>105.73</v>
      </c>
      <c r="M231" s="155" t="str">
        <f ca="1">IFERROR(__xludf.DUMMYFUNCTION("""COMPUTED_VALUE"""),"Equity Key Stats")</f>
        <v>Equity Key Stats</v>
      </c>
      <c r="N231" s="43"/>
      <c r="O231" s="43"/>
      <c r="P231" s="157">
        <f ca="1">IFERROR(__xludf.DUMMYFUNCTION("""COMPUTED_VALUE"""),-83090.926)</f>
        <v>-83090.926000000007</v>
      </c>
      <c r="Q231" s="151"/>
      <c r="R231" s="152">
        <f ca="1">IFERROR(__xludf.DUMMYFUNCTION("""COMPUTED_VALUE"""),104.15)</f>
        <v>104.15</v>
      </c>
      <c r="S231" s="150">
        <f ca="1">IFERROR(__xludf.DUMMYFUNCTION("""COMPUTED_VALUE"""),81242.2075)</f>
        <v>81242.207500000004</v>
      </c>
      <c r="T231" s="108">
        <f ca="1">IFERROR(__xludf.DUMMYFUNCTION("""COMPUTED_VALUE"""),1)</f>
        <v>1</v>
      </c>
      <c r="U231" s="108">
        <f ca="1">IFERROR(__xludf.DUMMYFUNCTION("""COMPUTED_VALUE"""),1)</f>
        <v>1</v>
      </c>
      <c r="V231" s="158">
        <f ca="1">IFERROR(__xludf.DUMMYFUNCTION("""COMPUTED_VALUE"""),-1848.71849999998)</f>
        <v>-1848.7184999999799</v>
      </c>
      <c r="W231" s="145" t="str">
        <f ca="1">IFERROR(__xludf.DUMMYFUNCTION("""COMPUTED_VALUE"""),"")</f>
        <v/>
      </c>
      <c r="X231" s="11" t="str">
        <f ca="1">IFERROR(__xludf.DUMMYFUNCTION("""COMPUTED_VALUE"""),"")</f>
        <v/>
      </c>
      <c r="Y231" s="11" t="str">
        <f ca="1">IFERROR(__xludf.DUMMYFUNCTION("""COMPUTED_VALUE"""),"")</f>
        <v/>
      </c>
      <c r="Z231" s="4" t="str">
        <f ca="1">IFERROR(__xludf.DUMMYFUNCTION("""COMPUTED_VALUE"""),"")</f>
        <v/>
      </c>
    </row>
    <row r="232" spans="1:26" ht="13" x14ac:dyDescent="0.15">
      <c r="A232" s="43" t="str">
        <f ca="1">IFERROR(__xludf.DUMMYFUNCTION("""COMPUTED_VALUE"""),"39494")</f>
        <v>39494</v>
      </c>
      <c r="B232" s="43" t="str">
        <f ca="1">IFERROR(__xludf.DUMMYFUNCTION("""COMPUTED_VALUE"""),"39494")</f>
        <v>39494</v>
      </c>
      <c r="C232" s="146">
        <f ca="1">IFERROR(__xludf.DUMMYFUNCTION("""COMPUTED_VALUE"""),44608000223)</f>
        <v>44608000223</v>
      </c>
      <c r="D232" s="43" t="str">
        <f ca="1">IFERROR(__xludf.DUMMYFUNCTION("""COMPUTED_VALUE"""),"NTDOY")</f>
        <v>NTDOY</v>
      </c>
      <c r="E232" s="147">
        <f ca="1">IFERROR(__xludf.DUMMYFUNCTION("""COMPUTED_VALUE"""),44608)</f>
        <v>44608</v>
      </c>
      <c r="F232" s="43" t="str">
        <f ca="1">IFERROR(__xludf.DUMMYFUNCTION("""COMPUTED_VALUE"""),"Stock")</f>
        <v>Stock</v>
      </c>
      <c r="G232" s="43" t="str">
        <f ca="1">IFERROR(__xludf.DUMMYFUNCTION("""COMPUTED_VALUE"""),"USD")</f>
        <v>USD</v>
      </c>
      <c r="H232" s="11">
        <f ca="1">IFERROR(__xludf.DUMMYFUNCTION("""COMPUTED_VALUE"""),100)</f>
        <v>100</v>
      </c>
      <c r="I232" s="148">
        <f ca="1">IFERROR(__xludf.DUMMYFUNCTION("""COMPUTED_VALUE"""),7.8005)</f>
        <v>7.8005000000000004</v>
      </c>
      <c r="J232" s="149">
        <f ca="1">IFERROR(__xludf.DUMMYFUNCTION("""COMPUTED_VALUE"""),63.55)</f>
        <v>63.55</v>
      </c>
      <c r="K232" s="43"/>
      <c r="L232" s="149">
        <f ca="1">IFERROR(__xludf.DUMMYFUNCTION("""COMPUTED_VALUE"""),64.6)</f>
        <v>64.599999999999994</v>
      </c>
      <c r="M232" s="155" t="str">
        <f ca="1">IFERROR(__xludf.DUMMYFUNCTION("""COMPUTED_VALUE"""),"Equity Key Stats")</f>
        <v>Equity Key Stats</v>
      </c>
      <c r="N232" s="43"/>
      <c r="O232" s="43"/>
      <c r="P232" s="150">
        <f ca="1">IFERROR(__xludf.DUMMYFUNCTION("""COMPUTED_VALUE"""),-49572.1775)</f>
        <v>-49572.177499999998</v>
      </c>
      <c r="Q232" s="151"/>
      <c r="R232" s="152">
        <f ca="1">IFERROR(__xludf.DUMMYFUNCTION("""COMPUTED_VALUE"""),65.72)</f>
        <v>65.72</v>
      </c>
      <c r="S232" s="150">
        <f ca="1">IFERROR(__xludf.DUMMYFUNCTION("""COMPUTED_VALUE"""),51264.886)</f>
        <v>51264.885999999999</v>
      </c>
      <c r="T232" s="108">
        <f ca="1">IFERROR(__xludf.DUMMYFUNCTION("""COMPUTED_VALUE"""),1)</f>
        <v>1</v>
      </c>
      <c r="U232" s="43">
        <f ca="1">IFERROR(__xludf.DUMMYFUNCTION("""COMPUTED_VALUE"""),1)</f>
        <v>1</v>
      </c>
      <c r="V232" s="144">
        <f ca="1">IFERROR(__xludf.DUMMYFUNCTION("""COMPUTED_VALUE"""),1692.7085)</f>
        <v>1692.7085</v>
      </c>
      <c r="W232" s="145">
        <f ca="1">IFERROR(__xludf.DUMMYFUNCTION("""COMPUTED_VALUE"""),492717.22307715)</f>
        <v>492717.22307715</v>
      </c>
      <c r="X232" s="11">
        <f ca="1">IFERROR(__xludf.DUMMYFUNCTION("""COMPUTED_VALUE"""),151407.215306999)</f>
        <v>151407.21530699899</v>
      </c>
      <c r="Y232" s="11">
        <f ca="1">IFERROR(__xludf.DUMMYFUNCTION("""COMPUTED_VALUE"""),0)</f>
        <v>0</v>
      </c>
      <c r="Z232" s="4">
        <f ca="1">IFERROR(__xludf.DUMMYFUNCTION("""COMPUTED_VALUE"""),-0.0145655538457)</f>
        <v>-1.45655538457E-2</v>
      </c>
    </row>
    <row r="233" spans="1:26" ht="13" x14ac:dyDescent="0.15">
      <c r="A233" s="43" t="str">
        <f ca="1">IFERROR(__xludf.DUMMYFUNCTION("""COMPUTED_VALUE"""),"39563")</f>
        <v>39563</v>
      </c>
      <c r="B233" s="43" t="str">
        <f ca="1">IFERROR(__xludf.DUMMYFUNCTION("""COMPUTED_VALUE"""),"39563")</f>
        <v>39563</v>
      </c>
      <c r="C233" s="146">
        <f ca="1">IFERROR(__xludf.DUMMYFUNCTION("""COMPUTED_VALUE"""),44597000021)</f>
        <v>44597000021</v>
      </c>
      <c r="D233" s="43" t="str">
        <f ca="1">IFERROR(__xludf.DUMMYFUNCTION("""COMPUTED_VALUE"""),"Cash")</f>
        <v>Cash</v>
      </c>
      <c r="E233" s="147">
        <f ca="1">IFERROR(__xludf.DUMMYFUNCTION("""COMPUTED_VALUE"""),44597)</f>
        <v>44597</v>
      </c>
      <c r="F233" s="43" t="str">
        <f ca="1">IFERROR(__xludf.DUMMYFUNCTION("""COMPUTED_VALUE"""),"Cash")</f>
        <v>Cash</v>
      </c>
      <c r="G233" s="43" t="str">
        <f ca="1">IFERROR(__xludf.DUMMYFUNCTION("""COMPUTED_VALUE"""),"HKD")</f>
        <v>HKD</v>
      </c>
      <c r="H233" s="154" t="str">
        <f ca="1">IFERROR(__xludf.DUMMYFUNCTION("""COMPUTED_VALUE"""),"")</f>
        <v/>
      </c>
      <c r="I233" s="148">
        <f ca="1">IFERROR(__xludf.DUMMYFUNCTION("""COMPUTED_VALUE"""),1)</f>
        <v>1</v>
      </c>
      <c r="J233" s="149">
        <f ca="1">IFERROR(__xludf.DUMMYFUNCTION("""COMPUTED_VALUE"""),1)</f>
        <v>1</v>
      </c>
      <c r="K233" s="43"/>
      <c r="L233" s="149">
        <f ca="1">IFERROR(__xludf.DUMMYFUNCTION("""COMPUTED_VALUE"""),1)</f>
        <v>1</v>
      </c>
      <c r="M233" s="155" t="str">
        <f ca="1">IFERROR(__xludf.DUMMYFUNCTION("""COMPUTED_VALUE"""),"")</f>
        <v/>
      </c>
      <c r="N233" s="43"/>
      <c r="O233" s="43"/>
      <c r="P233" s="157">
        <f ca="1">IFERROR(__xludf.DUMMYFUNCTION("""COMPUTED_VALUE"""),500000)</f>
        <v>500000</v>
      </c>
      <c r="Q233" s="151"/>
      <c r="R233" s="152">
        <f ca="1">IFERROR(__xludf.DUMMYFUNCTION("""COMPUTED_VALUE"""),1)</f>
        <v>1</v>
      </c>
      <c r="S233" s="150" t="str">
        <f ca="1">IFERROR(__xludf.DUMMYFUNCTION("""COMPUTED_VALUE"""),"")</f>
        <v/>
      </c>
      <c r="T233" s="108">
        <f ca="1">IFERROR(__xludf.DUMMYFUNCTION("""COMPUTED_VALUE"""),1)</f>
        <v>1</v>
      </c>
      <c r="U233" s="43">
        <f ca="1">IFERROR(__xludf.DUMMYFUNCTION("""COMPUTED_VALUE"""),1)</f>
        <v>1</v>
      </c>
      <c r="V233" s="144">
        <f ca="1">IFERROR(__xludf.DUMMYFUNCTION("""COMPUTED_VALUE"""),500000)</f>
        <v>500000</v>
      </c>
      <c r="W233" s="145">
        <f ca="1">IFERROR(__xludf.DUMMYFUNCTION("""COMPUTED_VALUE"""),500000)</f>
        <v>500000</v>
      </c>
      <c r="X233" s="11">
        <f ca="1">IFERROR(__xludf.DUMMYFUNCTION("""COMPUTED_VALUE"""),500000)</f>
        <v>500000</v>
      </c>
      <c r="Y233" s="11">
        <f ca="1">IFERROR(__xludf.DUMMYFUNCTION("""COMPUTED_VALUE"""),0)</f>
        <v>0</v>
      </c>
      <c r="Z233" s="4">
        <f ca="1">IFERROR(__xludf.DUMMYFUNCTION("""COMPUTED_VALUE"""),0)</f>
        <v>0</v>
      </c>
    </row>
    <row r="234" spans="1:26" ht="13" x14ac:dyDescent="0.15">
      <c r="A234" s="43" t="str">
        <f ca="1">IFERROR(__xludf.DUMMYFUNCTION("""COMPUTED_VALUE"""),"")</f>
        <v/>
      </c>
      <c r="B234" s="43" t="str">
        <f ca="1">IFERROR(__xludf.DUMMYFUNCTION("""COMPUTED_VALUE"""),"39608")</f>
        <v>39608</v>
      </c>
      <c r="C234" s="146">
        <f ca="1">IFERROR(__xludf.DUMMYFUNCTION("""COMPUTED_VALUE"""),44597000050)</f>
        <v>44597000050</v>
      </c>
      <c r="D234" s="43" t="str">
        <f ca="1">IFERROR(__xludf.DUMMYFUNCTION("""COMPUTED_VALUE"""),"Cash")</f>
        <v>Cash</v>
      </c>
      <c r="E234" s="147">
        <f ca="1">IFERROR(__xludf.DUMMYFUNCTION("""COMPUTED_VALUE"""),44597)</f>
        <v>44597</v>
      </c>
      <c r="F234" s="43" t="str">
        <f ca="1">IFERROR(__xludf.DUMMYFUNCTION("""COMPUTED_VALUE"""),"Cash")</f>
        <v>Cash</v>
      </c>
      <c r="G234" s="43" t="str">
        <f ca="1">IFERROR(__xludf.DUMMYFUNCTION("""COMPUTED_VALUE"""),"HKD")</f>
        <v>HKD</v>
      </c>
      <c r="H234" s="154" t="str">
        <f ca="1">IFERROR(__xludf.DUMMYFUNCTION("""COMPUTED_VALUE"""),"")</f>
        <v/>
      </c>
      <c r="I234" s="148">
        <f ca="1">IFERROR(__xludf.DUMMYFUNCTION("""COMPUTED_VALUE"""),1)</f>
        <v>1</v>
      </c>
      <c r="J234" s="149">
        <f ca="1">IFERROR(__xludf.DUMMYFUNCTION("""COMPUTED_VALUE"""),1)</f>
        <v>1</v>
      </c>
      <c r="K234" s="43"/>
      <c r="L234" s="149">
        <f ca="1">IFERROR(__xludf.DUMMYFUNCTION("""COMPUTED_VALUE"""),1)</f>
        <v>1</v>
      </c>
      <c r="M234" s="155" t="str">
        <f ca="1">IFERROR(__xludf.DUMMYFUNCTION("""COMPUTED_VALUE"""),"")</f>
        <v/>
      </c>
      <c r="N234" s="43"/>
      <c r="O234" s="43"/>
      <c r="P234" s="157">
        <f ca="1">IFERROR(__xludf.DUMMYFUNCTION("""COMPUTED_VALUE"""),500000)</f>
        <v>500000</v>
      </c>
      <c r="Q234" s="151"/>
      <c r="R234" s="152">
        <f ca="1">IFERROR(__xludf.DUMMYFUNCTION("""COMPUTED_VALUE"""),1)</f>
        <v>1</v>
      </c>
      <c r="S234" s="150" t="str">
        <f ca="1">IFERROR(__xludf.DUMMYFUNCTION("""COMPUTED_VALUE"""),"")</f>
        <v/>
      </c>
      <c r="T234" s="108">
        <f ca="1">IFERROR(__xludf.DUMMYFUNCTION("""COMPUTED_VALUE"""),1)</f>
        <v>1</v>
      </c>
      <c r="U234" s="108">
        <f ca="1">IFERROR(__xludf.DUMMYFUNCTION("""COMPUTED_VALUE"""),1)</f>
        <v>1</v>
      </c>
      <c r="V234" s="158">
        <f ca="1">IFERROR(__xludf.DUMMYFUNCTION("""COMPUTED_VALUE"""),500000)</f>
        <v>500000</v>
      </c>
      <c r="W234" s="145" t="str">
        <f ca="1">IFERROR(__xludf.DUMMYFUNCTION("""COMPUTED_VALUE"""),"")</f>
        <v/>
      </c>
      <c r="X234" s="11" t="str">
        <f ca="1">IFERROR(__xludf.DUMMYFUNCTION("""COMPUTED_VALUE"""),"")</f>
        <v/>
      </c>
      <c r="Y234" s="11" t="str">
        <f ca="1">IFERROR(__xludf.DUMMYFUNCTION("""COMPUTED_VALUE"""),"")</f>
        <v/>
      </c>
      <c r="Z234" s="4" t="str">
        <f ca="1">IFERROR(__xludf.DUMMYFUNCTION("""COMPUTED_VALUE"""),"")</f>
        <v/>
      </c>
    </row>
    <row r="235" spans="1:26" ht="13" x14ac:dyDescent="0.15">
      <c r="A235" s="43" t="str">
        <f ca="1">IFERROR(__xludf.DUMMYFUNCTION("""COMPUTED_VALUE"""),"")</f>
        <v/>
      </c>
      <c r="B235" s="43" t="str">
        <f ca="1">IFERROR(__xludf.DUMMYFUNCTION("""COMPUTED_VALUE"""),"39608")</f>
        <v>39608</v>
      </c>
      <c r="C235" s="146">
        <f ca="1">IFERROR(__xludf.DUMMYFUNCTION("""COMPUTED_VALUE"""),44608000227)</f>
        <v>44608000227</v>
      </c>
      <c r="D235" s="43" t="str">
        <f ca="1">IFERROR(__xludf.DUMMYFUNCTION("""COMPUTED_VALUE"""),"TSLA")</f>
        <v>TSLA</v>
      </c>
      <c r="E235" s="147">
        <f ca="1">IFERROR(__xludf.DUMMYFUNCTION("""COMPUTED_VALUE"""),44608)</f>
        <v>44608</v>
      </c>
      <c r="F235" s="43" t="str">
        <f ca="1">IFERROR(__xludf.DUMMYFUNCTION("""COMPUTED_VALUE"""),"Stock")</f>
        <v>Stock</v>
      </c>
      <c r="G235" s="43" t="str">
        <f ca="1">IFERROR(__xludf.DUMMYFUNCTION("""COMPUTED_VALUE"""),"USD")</f>
        <v>USD</v>
      </c>
      <c r="H235" s="154">
        <f ca="1">IFERROR(__xludf.DUMMYFUNCTION("""COMPUTED_VALUE"""),0)</f>
        <v>0</v>
      </c>
      <c r="I235" s="148">
        <f ca="1">IFERROR(__xludf.DUMMYFUNCTION("""COMPUTED_VALUE"""),7.8005)</f>
        <v>7.8005000000000004</v>
      </c>
      <c r="J235" s="149">
        <f ca="1">IFERROR(__xludf.DUMMYFUNCTION("""COMPUTED_VALUE"""),0)</f>
        <v>0</v>
      </c>
      <c r="K235" s="43"/>
      <c r="L235" s="149">
        <f ca="1">IFERROR(__xludf.DUMMYFUNCTION("""COMPUTED_VALUE"""),993.98)</f>
        <v>993.98</v>
      </c>
      <c r="M235" s="155" t="str">
        <f ca="1">IFERROR(__xludf.DUMMYFUNCTION("""COMPUTED_VALUE"""),"Equity Key Stats")</f>
        <v>Equity Key Stats</v>
      </c>
      <c r="N235" s="43"/>
      <c r="O235" s="43"/>
      <c r="P235" s="157">
        <f ca="1">IFERROR(__xludf.DUMMYFUNCTION("""COMPUTED_VALUE"""),0)</f>
        <v>0</v>
      </c>
      <c r="Q235" s="151"/>
      <c r="R235" s="152">
        <f ca="1">IFERROR(__xludf.DUMMYFUNCTION("""COMPUTED_VALUE"""),999.11)</f>
        <v>999.11</v>
      </c>
      <c r="S235" s="150">
        <f ca="1">IFERROR(__xludf.DUMMYFUNCTION("""COMPUTED_VALUE"""),0)</f>
        <v>0</v>
      </c>
      <c r="T235" s="108">
        <f ca="1">IFERROR(__xludf.DUMMYFUNCTION("""COMPUTED_VALUE"""),4)</f>
        <v>4</v>
      </c>
      <c r="U235" s="43" t="str">
        <f ca="1">IFERROR(__xludf.DUMMYFUNCTION("""COMPUTED_VALUE"""),"")</f>
        <v/>
      </c>
      <c r="V235" s="144" t="str">
        <f ca="1">IFERROR(__xludf.DUMMYFUNCTION("""COMPUTED_VALUE"""),"")</f>
        <v/>
      </c>
      <c r="W235" s="145" t="str">
        <f ca="1">IFERROR(__xludf.DUMMYFUNCTION("""COMPUTED_VALUE"""),"")</f>
        <v/>
      </c>
      <c r="X235" s="11" t="str">
        <f ca="1">IFERROR(__xludf.DUMMYFUNCTION("""COMPUTED_VALUE"""),"")</f>
        <v/>
      </c>
      <c r="Y235" s="11" t="str">
        <f ca="1">IFERROR(__xludf.DUMMYFUNCTION("""COMPUTED_VALUE"""),"")</f>
        <v/>
      </c>
      <c r="Z235" s="4" t="str">
        <f ca="1">IFERROR(__xludf.DUMMYFUNCTION("""COMPUTED_VALUE"""),"")</f>
        <v/>
      </c>
    </row>
    <row r="236" spans="1:26" ht="13" x14ac:dyDescent="0.15">
      <c r="A236" s="43" t="str">
        <f ca="1">IFERROR(__xludf.DUMMYFUNCTION("""COMPUTED_VALUE"""),"")</f>
        <v/>
      </c>
      <c r="B236" s="43" t="str">
        <f ca="1">IFERROR(__xludf.DUMMYFUNCTION("""COMPUTED_VALUE"""),"39608")</f>
        <v>39608</v>
      </c>
      <c r="C236" s="146">
        <f ca="1">IFERROR(__xludf.DUMMYFUNCTION("""COMPUTED_VALUE"""),44609000241)</f>
        <v>44609000241</v>
      </c>
      <c r="D236" s="43" t="str">
        <f ca="1">IFERROR(__xludf.DUMMYFUNCTION("""COMPUTED_VALUE"""),"TSLA")</f>
        <v>TSLA</v>
      </c>
      <c r="E236" s="147">
        <f ca="1">IFERROR(__xludf.DUMMYFUNCTION("""COMPUTED_VALUE"""),44609)</f>
        <v>44609</v>
      </c>
      <c r="F236" s="43" t="str">
        <f ca="1">IFERROR(__xludf.DUMMYFUNCTION("""COMPUTED_VALUE"""),"Stock")</f>
        <v>Stock</v>
      </c>
      <c r="G236" s="43" t="str">
        <f ca="1">IFERROR(__xludf.DUMMYFUNCTION("""COMPUTED_VALUE"""),"USD")</f>
        <v>USD</v>
      </c>
      <c r="H236" s="11">
        <f ca="1">IFERROR(__xludf.DUMMYFUNCTION("""COMPUTED_VALUE"""),18)</f>
        <v>18</v>
      </c>
      <c r="I236" s="148">
        <f ca="1">IFERROR(__xludf.DUMMYFUNCTION("""COMPUTED_VALUE"""),7.799115)</f>
        <v>7.7991149999999996</v>
      </c>
      <c r="J236" s="149">
        <f ca="1">IFERROR(__xludf.DUMMYFUNCTION("""COMPUTED_VALUE"""),876.35)</f>
        <v>876.35</v>
      </c>
      <c r="K236" s="43"/>
      <c r="L236" s="149">
        <f ca="1">IFERROR(__xludf.DUMMYFUNCTION("""COMPUTED_VALUE"""),993.98)</f>
        <v>993.98</v>
      </c>
      <c r="M236" s="155" t="str">
        <f ca="1">IFERROR(__xludf.DUMMYFUNCTION("""COMPUTED_VALUE"""),"Equity Key Stats")</f>
        <v>Equity Key Stats</v>
      </c>
      <c r="N236" s="43"/>
      <c r="O236" s="43"/>
      <c r="P236" s="150">
        <f ca="1">IFERROR(__xludf.DUMMYFUNCTION("""COMPUTED_VALUE"""),-123025.579744499)</f>
        <v>-123025.579744499</v>
      </c>
      <c r="Q236" s="151"/>
      <c r="R236" s="152">
        <f ca="1">IFERROR(__xludf.DUMMYFUNCTION("""COMPUTED_VALUE"""),999.11)</f>
        <v>999.11</v>
      </c>
      <c r="S236" s="150">
        <f ca="1">IFERROR(__xludf.DUMMYFUNCTION("""COMPUTED_VALUE"""),140259.128177699)</f>
        <v>140259.12817769899</v>
      </c>
      <c r="T236" s="108">
        <f ca="1">IFERROR(__xludf.DUMMYFUNCTION("""COMPUTED_VALUE"""),4)</f>
        <v>4</v>
      </c>
      <c r="U236" s="43" t="str">
        <f ca="1">IFERROR(__xludf.DUMMYFUNCTION("""COMPUTED_VALUE"""),"")</f>
        <v/>
      </c>
      <c r="V236" s="144" t="str">
        <f ca="1">IFERROR(__xludf.DUMMYFUNCTION("""COMPUTED_VALUE"""),"")</f>
        <v/>
      </c>
      <c r="W236" s="145" t="str">
        <f ca="1">IFERROR(__xludf.DUMMYFUNCTION("""COMPUTED_VALUE"""),"")</f>
        <v/>
      </c>
      <c r="X236" s="11" t="str">
        <f ca="1">IFERROR(__xludf.DUMMYFUNCTION("""COMPUTED_VALUE"""),"")</f>
        <v/>
      </c>
      <c r="Y236" s="11" t="str">
        <f ca="1">IFERROR(__xludf.DUMMYFUNCTION("""COMPUTED_VALUE"""),"")</f>
        <v/>
      </c>
      <c r="Z236" s="4" t="str">
        <f ca="1">IFERROR(__xludf.DUMMYFUNCTION("""COMPUTED_VALUE"""),"")</f>
        <v/>
      </c>
    </row>
    <row r="237" spans="1:26" ht="13" x14ac:dyDescent="0.15">
      <c r="A237" s="43" t="str">
        <f ca="1">IFERROR(__xludf.DUMMYFUNCTION("""COMPUTED_VALUE"""),"")</f>
        <v/>
      </c>
      <c r="B237" s="43" t="str">
        <f ca="1">IFERROR(__xludf.DUMMYFUNCTION("""COMPUTED_VALUE"""),"39608")</f>
        <v>39608</v>
      </c>
      <c r="C237" s="146">
        <f ca="1">IFERROR(__xludf.DUMMYFUNCTION("""COMPUTED_VALUE"""),44610000271)</f>
        <v>44610000271</v>
      </c>
      <c r="D237" s="163" t="str">
        <f ca="1">IFERROR(__xludf.DUMMYFUNCTION("""COMPUTED_VALUE"""),"ANPDY")</f>
        <v>ANPDY</v>
      </c>
      <c r="E237" s="147">
        <f ca="1">IFERROR(__xludf.DUMMYFUNCTION("""COMPUTED_VALUE"""),44610)</f>
        <v>44610</v>
      </c>
      <c r="F237" s="43" t="str">
        <f ca="1">IFERROR(__xludf.DUMMYFUNCTION("""COMPUTED_VALUE"""),"Stock")</f>
        <v>Stock</v>
      </c>
      <c r="G237" s="43" t="str">
        <f ca="1">IFERROR(__xludf.DUMMYFUNCTION("""COMPUTED_VALUE"""),"USD")</f>
        <v>USD</v>
      </c>
      <c r="H237" s="156">
        <f ca="1">IFERROR(__xludf.DUMMYFUNCTION("""COMPUTED_VALUE"""),30)</f>
        <v>30</v>
      </c>
      <c r="I237" s="148">
        <f ca="1">IFERROR(__xludf.DUMMYFUNCTION("""COMPUTED_VALUE"""),7.80051)</f>
        <v>7.8005100000000001</v>
      </c>
      <c r="J237" s="149">
        <f ca="1">IFERROR(__xludf.DUMMYFUNCTION("""COMPUTED_VALUE"""),397.5)</f>
        <v>397.5</v>
      </c>
      <c r="K237" s="43"/>
      <c r="L237" s="149">
        <f ca="1">IFERROR(__xludf.DUMMYFUNCTION("""COMPUTED_VALUE"""),339.95)</f>
        <v>339.95</v>
      </c>
      <c r="M237" s="155" t="str">
        <f ca="1">IFERROR(__xludf.DUMMYFUNCTION("""COMPUTED_VALUE"""),"Equity Key Stats")</f>
        <v>Equity Key Stats</v>
      </c>
      <c r="N237" s="43"/>
      <c r="O237" s="43"/>
      <c r="P237" s="150">
        <f ca="1">IFERROR(__xludf.DUMMYFUNCTION("""COMPUTED_VALUE"""),-93021.08175)</f>
        <v>-93021.081749999998</v>
      </c>
      <c r="Q237" s="151"/>
      <c r="R237" s="152">
        <f ca="1">IFERROR(__xludf.DUMMYFUNCTION("""COMPUTED_VALUE"""),308.83)</f>
        <v>308.83</v>
      </c>
      <c r="S237" s="157">
        <f ca="1">IFERROR(__xludf.DUMMYFUNCTION("""COMPUTED_VALUE"""),72270.9450989999)</f>
        <v>72270.945098999902</v>
      </c>
      <c r="T237" s="108">
        <f ca="1">IFERROR(__xludf.DUMMYFUNCTION("""COMPUTED_VALUE"""),2)</f>
        <v>2</v>
      </c>
      <c r="U237" s="108" t="str">
        <f ca="1">IFERROR(__xludf.DUMMYFUNCTION("""COMPUTED_VALUE"""),"")</f>
        <v/>
      </c>
      <c r="V237" s="153" t="str">
        <f ca="1">IFERROR(__xludf.DUMMYFUNCTION("""COMPUTED_VALUE"""),"")</f>
        <v/>
      </c>
      <c r="W237" s="145" t="str">
        <f ca="1">IFERROR(__xludf.DUMMYFUNCTION("""COMPUTED_VALUE"""),"")</f>
        <v/>
      </c>
      <c r="X237" s="11" t="str">
        <f ca="1">IFERROR(__xludf.DUMMYFUNCTION("""COMPUTED_VALUE"""),"")</f>
        <v/>
      </c>
      <c r="Y237" s="11" t="str">
        <f ca="1">IFERROR(__xludf.DUMMYFUNCTION("""COMPUTED_VALUE"""),"")</f>
        <v/>
      </c>
      <c r="Z237" s="4" t="str">
        <f ca="1">IFERROR(__xludf.DUMMYFUNCTION("""COMPUTED_VALUE"""),"")</f>
        <v/>
      </c>
    </row>
    <row r="238" spans="1:26" ht="13" x14ac:dyDescent="0.15">
      <c r="A238" s="43" t="str">
        <f ca="1">IFERROR(__xludf.DUMMYFUNCTION("""COMPUTED_VALUE"""),"")</f>
        <v/>
      </c>
      <c r="B238" s="43" t="str">
        <f ca="1">IFERROR(__xludf.DUMMYFUNCTION("""COMPUTED_VALUE"""),"39608")</f>
        <v>39608</v>
      </c>
      <c r="C238" s="146">
        <f ca="1">IFERROR(__xludf.DUMMYFUNCTION("""COMPUTED_VALUE"""),44616000336)</f>
        <v>44616000336</v>
      </c>
      <c r="D238" s="43" t="str">
        <f ca="1">IFERROR(__xludf.DUMMYFUNCTION("""COMPUTED_VALUE"""),"GOLD")</f>
        <v>GOLD</v>
      </c>
      <c r="E238" s="147">
        <f ca="1">IFERROR(__xludf.DUMMYFUNCTION("""COMPUTED_VALUE"""),44616)</f>
        <v>44616</v>
      </c>
      <c r="F238" s="43" t="str">
        <f ca="1">IFERROR(__xludf.DUMMYFUNCTION("""COMPUTED_VALUE"""),"Stock")</f>
        <v>Stock</v>
      </c>
      <c r="G238" s="43" t="str">
        <f ca="1">IFERROR(__xludf.DUMMYFUNCTION("""COMPUTED_VALUE"""),"USD")</f>
        <v>USD</v>
      </c>
      <c r="H238" s="154">
        <f ca="1">IFERROR(__xludf.DUMMYFUNCTION("""COMPUTED_VALUE"""),888)</f>
        <v>888</v>
      </c>
      <c r="I238" s="148">
        <f ca="1">IFERROR(__xludf.DUMMYFUNCTION("""COMPUTED_VALUE"""),7.80775)</f>
        <v>7.8077500000000004</v>
      </c>
      <c r="J238" s="149">
        <f ca="1">IFERROR(__xludf.DUMMYFUNCTION("""COMPUTED_VALUE"""),22.54)</f>
        <v>22.54</v>
      </c>
      <c r="K238" s="43"/>
      <c r="L238" s="149">
        <f ca="1">IFERROR(__xludf.DUMMYFUNCTION("""COMPUTED_VALUE"""),24.23)</f>
        <v>24.23</v>
      </c>
      <c r="M238" s="155" t="str">
        <f ca="1">IFERROR(__xludf.DUMMYFUNCTION("""COMPUTED_VALUE"""),"Equity Key Stats")</f>
        <v>Equity Key Stats</v>
      </c>
      <c r="N238" s="43"/>
      <c r="O238" s="43"/>
      <c r="P238" s="157">
        <f ca="1">IFERROR(__xludf.DUMMYFUNCTION("""COMPUTED_VALUE"""),-156276.176279999)</f>
        <v>-156276.176279999</v>
      </c>
      <c r="Q238" s="151"/>
      <c r="R238" s="152">
        <f ca="1">IFERROR(__xludf.DUMMYFUNCTION("""COMPUTED_VALUE"""),24.57)</f>
        <v>24.57</v>
      </c>
      <c r="S238" s="150">
        <f ca="1">IFERROR(__xludf.DUMMYFUNCTION("""COMPUTED_VALUE"""),170350.73874)</f>
        <v>170350.73874</v>
      </c>
      <c r="T238" s="108">
        <f ca="1">IFERROR(__xludf.DUMMYFUNCTION("""COMPUTED_VALUE"""),2)</f>
        <v>2</v>
      </c>
      <c r="U238" s="108" t="str">
        <f ca="1">IFERROR(__xludf.DUMMYFUNCTION("""COMPUTED_VALUE"""),"")</f>
        <v/>
      </c>
      <c r="V238" s="158" t="str">
        <f ca="1">IFERROR(__xludf.DUMMYFUNCTION("""COMPUTED_VALUE"""),"")</f>
        <v/>
      </c>
      <c r="W238" s="145" t="str">
        <f ca="1">IFERROR(__xludf.DUMMYFUNCTION("""COMPUTED_VALUE"""),"")</f>
        <v/>
      </c>
      <c r="X238" s="11" t="str">
        <f ca="1">IFERROR(__xludf.DUMMYFUNCTION("""COMPUTED_VALUE"""),"")</f>
        <v/>
      </c>
      <c r="Y238" s="11" t="str">
        <f ca="1">IFERROR(__xludf.DUMMYFUNCTION("""COMPUTED_VALUE"""),"")</f>
        <v/>
      </c>
      <c r="Z238" s="4" t="str">
        <f ca="1">IFERROR(__xludf.DUMMYFUNCTION("""COMPUTED_VALUE"""),"")</f>
        <v/>
      </c>
    </row>
    <row r="239" spans="1:26" ht="13" x14ac:dyDescent="0.15">
      <c r="A239" s="43" t="str">
        <f ca="1">IFERROR(__xludf.DUMMYFUNCTION("""COMPUTED_VALUE"""),"")</f>
        <v/>
      </c>
      <c r="B239" s="43" t="str">
        <f ca="1">IFERROR(__xludf.DUMMYFUNCTION("""COMPUTED_VALUE"""),"39608")</f>
        <v>39608</v>
      </c>
      <c r="C239" s="146">
        <f ca="1">IFERROR(__xludf.DUMMYFUNCTION("""COMPUTED_VALUE"""),44623000418)</f>
        <v>44623000418</v>
      </c>
      <c r="D239" s="43" t="str">
        <f ca="1">IFERROR(__xludf.DUMMYFUNCTION("""COMPUTED_VALUE"""),"GOLD")</f>
        <v>GOLD</v>
      </c>
      <c r="E239" s="147">
        <f ca="1">IFERROR(__xludf.DUMMYFUNCTION("""COMPUTED_VALUE"""),44623)</f>
        <v>44623</v>
      </c>
      <c r="F239" s="43" t="str">
        <f ca="1">IFERROR(__xludf.DUMMYFUNCTION("""COMPUTED_VALUE"""),"Stock")</f>
        <v>Stock</v>
      </c>
      <c r="G239" s="43" t="str">
        <f ca="1">IFERROR(__xludf.DUMMYFUNCTION("""COMPUTED_VALUE"""),"USD")</f>
        <v>USD</v>
      </c>
      <c r="H239" s="154">
        <f ca="1">IFERROR(__xludf.DUMMYFUNCTION("""COMPUTED_VALUE"""),-388)</f>
        <v>-388</v>
      </c>
      <c r="I239" s="148">
        <f ca="1">IFERROR(__xludf.DUMMYFUNCTION("""COMPUTED_VALUE"""),7.81585)</f>
        <v>7.8158500000000002</v>
      </c>
      <c r="J239" s="149">
        <f ca="1">IFERROR(__xludf.DUMMYFUNCTION("""COMPUTED_VALUE"""),23.57)</f>
        <v>23.57</v>
      </c>
      <c r="K239" s="43"/>
      <c r="L239" s="149">
        <f ca="1">IFERROR(__xludf.DUMMYFUNCTION("""COMPUTED_VALUE"""),24.23)</f>
        <v>24.23</v>
      </c>
      <c r="M239" s="155" t="str">
        <f ca="1">IFERROR(__xludf.DUMMYFUNCTION("""COMPUTED_VALUE"""),"Equity Key Stats")</f>
        <v>Equity Key Stats</v>
      </c>
      <c r="N239" s="43"/>
      <c r="O239" s="43"/>
      <c r="P239" s="157">
        <f ca="1">IFERROR(__xludf.DUMMYFUNCTION("""COMPUTED_VALUE"""),71477.198786)</f>
        <v>71477.198785999994</v>
      </c>
      <c r="Q239" s="151"/>
      <c r="R239" s="152">
        <f ca="1">IFERROR(__xludf.DUMMYFUNCTION("""COMPUTED_VALUE"""),24.57)</f>
        <v>24.57</v>
      </c>
      <c r="S239" s="150">
        <f ca="1">IFERROR(__xludf.DUMMYFUNCTION("""COMPUTED_VALUE"""),-74509.748586)</f>
        <v>-74509.748586000002</v>
      </c>
      <c r="T239" s="108">
        <f ca="1">IFERROR(__xludf.DUMMYFUNCTION("""COMPUTED_VALUE"""),2)</f>
        <v>2</v>
      </c>
      <c r="U239" s="108">
        <f ca="1">IFERROR(__xludf.DUMMYFUNCTION("""COMPUTED_VALUE"""),1)</f>
        <v>1</v>
      </c>
      <c r="V239" s="158">
        <f ca="1">IFERROR(__xludf.DUMMYFUNCTION("""COMPUTED_VALUE"""),11042.01266)</f>
        <v>11042.01266</v>
      </c>
      <c r="W239" s="145" t="str">
        <f ca="1">IFERROR(__xludf.DUMMYFUNCTION("""COMPUTED_VALUE"""),"")</f>
        <v/>
      </c>
      <c r="X239" s="11" t="str">
        <f ca="1">IFERROR(__xludf.DUMMYFUNCTION("""COMPUTED_VALUE"""),"")</f>
        <v/>
      </c>
      <c r="Y239" s="11" t="str">
        <f ca="1">IFERROR(__xludf.DUMMYFUNCTION("""COMPUTED_VALUE"""),"")</f>
        <v/>
      </c>
      <c r="Z239" s="4" t="str">
        <f ca="1">IFERROR(__xludf.DUMMYFUNCTION("""COMPUTED_VALUE"""),"")</f>
        <v/>
      </c>
    </row>
    <row r="240" spans="1:26" ht="13" x14ac:dyDescent="0.15">
      <c r="A240" s="43" t="str">
        <f ca="1">IFERROR(__xludf.DUMMYFUNCTION("""COMPUTED_VALUE"""),"")</f>
        <v/>
      </c>
      <c r="B240" s="43" t="str">
        <f ca="1">IFERROR(__xludf.DUMMYFUNCTION("""COMPUTED_VALUE"""),"39608")</f>
        <v>39608</v>
      </c>
      <c r="C240" s="146">
        <f ca="1">IFERROR(__xludf.DUMMYFUNCTION("""COMPUTED_VALUE"""),44624000439)</f>
        <v>44624000439</v>
      </c>
      <c r="D240" s="43" t="str">
        <f ca="1">IFERROR(__xludf.DUMMYFUNCTION("""COMPUTED_VALUE"""),"TSLA")</f>
        <v>TSLA</v>
      </c>
      <c r="E240" s="147">
        <f ca="1">IFERROR(__xludf.DUMMYFUNCTION("""COMPUTED_VALUE"""),44624)</f>
        <v>44624</v>
      </c>
      <c r="F240" s="43" t="str">
        <f ca="1">IFERROR(__xludf.DUMMYFUNCTION("""COMPUTED_VALUE"""),"Stock")</f>
        <v>Stock</v>
      </c>
      <c r="G240" s="43" t="str">
        <f ca="1">IFERROR(__xludf.DUMMYFUNCTION("""COMPUTED_VALUE"""),"USD")</f>
        <v>USD</v>
      </c>
      <c r="H240" s="11">
        <f ca="1">IFERROR(__xludf.DUMMYFUNCTION("""COMPUTED_VALUE"""),18)</f>
        <v>18</v>
      </c>
      <c r="I240" s="148">
        <f ca="1">IFERROR(__xludf.DUMMYFUNCTION("""COMPUTED_VALUE"""),7.81428)</f>
        <v>7.8142800000000001</v>
      </c>
      <c r="J240" s="149">
        <f ca="1">IFERROR(__xludf.DUMMYFUNCTION("""COMPUTED_VALUE"""),838.29)</f>
        <v>838.29</v>
      </c>
      <c r="K240" s="43"/>
      <c r="L240" s="149">
        <f ca="1">IFERROR(__xludf.DUMMYFUNCTION("""COMPUTED_VALUE"""),993.98)</f>
        <v>993.98</v>
      </c>
      <c r="M240" s="155" t="str">
        <f ca="1">IFERROR(__xludf.DUMMYFUNCTION("""COMPUTED_VALUE"""),"Equity Key Stats")</f>
        <v>Equity Key Stats</v>
      </c>
      <c r="N240" s="43"/>
      <c r="O240" s="43"/>
      <c r="P240" s="150">
        <f ca="1">IFERROR(__xludf.DUMMYFUNCTION("""COMPUTED_VALUE"""),-117911.390061599)</f>
        <v>-117911.390061599</v>
      </c>
      <c r="Q240" s="151"/>
      <c r="R240" s="152">
        <f ca="1">IFERROR(__xludf.DUMMYFUNCTION("""COMPUTED_VALUE"""),999.11)</f>
        <v>999.11</v>
      </c>
      <c r="S240" s="150">
        <f ca="1">IFERROR(__xludf.DUMMYFUNCTION("""COMPUTED_VALUE"""),140531.8552344)</f>
        <v>140531.85523439999</v>
      </c>
      <c r="T240" s="108">
        <f ca="1">IFERROR(__xludf.DUMMYFUNCTION("""COMPUTED_VALUE"""),4)</f>
        <v>4</v>
      </c>
      <c r="U240" s="108" t="str">
        <f ca="1">IFERROR(__xludf.DUMMYFUNCTION("""COMPUTED_VALUE"""),"")</f>
        <v/>
      </c>
      <c r="V240" s="153" t="str">
        <f ca="1">IFERROR(__xludf.DUMMYFUNCTION("""COMPUTED_VALUE"""),"")</f>
        <v/>
      </c>
      <c r="W240" s="145" t="str">
        <f ca="1">IFERROR(__xludf.DUMMYFUNCTION("""COMPUTED_VALUE"""),"")</f>
        <v/>
      </c>
      <c r="X240" s="11" t="str">
        <f ca="1">IFERROR(__xludf.DUMMYFUNCTION("""COMPUTED_VALUE"""),"")</f>
        <v/>
      </c>
      <c r="Y240" s="11" t="str">
        <f ca="1">IFERROR(__xludf.DUMMYFUNCTION("""COMPUTED_VALUE"""),"")</f>
        <v/>
      </c>
      <c r="Z240" s="4" t="str">
        <f ca="1">IFERROR(__xludf.DUMMYFUNCTION("""COMPUTED_VALUE"""),"")</f>
        <v/>
      </c>
    </row>
    <row r="241" spans="1:26" ht="13" x14ac:dyDescent="0.15">
      <c r="A241" s="43" t="str">
        <f ca="1">IFERROR(__xludf.DUMMYFUNCTION("""COMPUTED_VALUE"""),"")</f>
        <v/>
      </c>
      <c r="B241" s="43" t="str">
        <f ca="1">IFERROR(__xludf.DUMMYFUNCTION("""COMPUTED_VALUE"""),"39608")</f>
        <v>39608</v>
      </c>
      <c r="C241" s="146">
        <f ca="1">IFERROR(__xludf.DUMMYFUNCTION("""COMPUTED_VALUE"""),44629000498)</f>
        <v>44629000498</v>
      </c>
      <c r="D241" s="163" t="str">
        <f ca="1">IFERROR(__xludf.DUMMYFUNCTION("""COMPUTED_VALUE"""),"ANPDY")</f>
        <v>ANPDY</v>
      </c>
      <c r="E241" s="147">
        <f ca="1">IFERROR(__xludf.DUMMYFUNCTION("""COMPUTED_VALUE"""),44629)</f>
        <v>44629</v>
      </c>
      <c r="F241" s="43" t="str">
        <f ca="1">IFERROR(__xludf.DUMMYFUNCTION("""COMPUTED_VALUE"""),"Stock")</f>
        <v>Stock</v>
      </c>
      <c r="G241" s="43" t="str">
        <f ca="1">IFERROR(__xludf.DUMMYFUNCTION("""COMPUTED_VALUE"""),"USD")</f>
        <v>USD</v>
      </c>
      <c r="H241" s="11">
        <f ca="1">IFERROR(__xludf.DUMMYFUNCTION("""COMPUTED_VALUE"""),-30)</f>
        <v>-30</v>
      </c>
      <c r="I241" s="148">
        <f ca="1">IFERROR(__xludf.DUMMYFUNCTION("""COMPUTED_VALUE"""),7.81935)</f>
        <v>7.81935</v>
      </c>
      <c r="J241" s="149">
        <f ca="1">IFERROR(__xludf.DUMMYFUNCTION("""COMPUTED_VALUE"""),314.05)</f>
        <v>314.05</v>
      </c>
      <c r="K241" s="43"/>
      <c r="L241" s="149">
        <f ca="1">IFERROR(__xludf.DUMMYFUNCTION("""COMPUTED_VALUE"""),339.95)</f>
        <v>339.95</v>
      </c>
      <c r="M241" s="155" t="str">
        <f ca="1">IFERROR(__xludf.DUMMYFUNCTION("""COMPUTED_VALUE"""),"Equity Key Stats")</f>
        <v>Equity Key Stats</v>
      </c>
      <c r="N241" s="43"/>
      <c r="O241" s="43"/>
      <c r="P241" s="150">
        <f ca="1">IFERROR(__xludf.DUMMYFUNCTION("""COMPUTED_VALUE"""),73670.006025)</f>
        <v>73670.006024999995</v>
      </c>
      <c r="Q241" s="151"/>
      <c r="R241" s="152">
        <f ca="1">IFERROR(__xludf.DUMMYFUNCTION("""COMPUTED_VALUE"""),308.83)</f>
        <v>308.83</v>
      </c>
      <c r="S241" s="150">
        <f ca="1">IFERROR(__xludf.DUMMYFUNCTION("""COMPUTED_VALUE"""),-72445.495815)</f>
        <v>-72445.495815000002</v>
      </c>
      <c r="T241" s="108">
        <f ca="1">IFERROR(__xludf.DUMMYFUNCTION("""COMPUTED_VALUE"""),2)</f>
        <v>2</v>
      </c>
      <c r="U241" s="108">
        <f ca="1">IFERROR(__xludf.DUMMYFUNCTION("""COMPUTED_VALUE"""),1)</f>
        <v>1</v>
      </c>
      <c r="V241" s="153">
        <f ca="1">IFERROR(__xludf.DUMMYFUNCTION("""COMPUTED_VALUE"""),-19525.626441)</f>
        <v>-19525.626441</v>
      </c>
      <c r="W241" s="145" t="str">
        <f ca="1">IFERROR(__xludf.DUMMYFUNCTION("""COMPUTED_VALUE"""),"")</f>
        <v/>
      </c>
      <c r="X241" s="11" t="str">
        <f ca="1">IFERROR(__xludf.DUMMYFUNCTION("""COMPUTED_VALUE"""),"")</f>
        <v/>
      </c>
      <c r="Y241" s="11" t="str">
        <f ca="1">IFERROR(__xludf.DUMMYFUNCTION("""COMPUTED_VALUE"""),"")</f>
        <v/>
      </c>
      <c r="Z241" s="4" t="str">
        <f ca="1">IFERROR(__xludf.DUMMYFUNCTION("""COMPUTED_VALUE"""),"")</f>
        <v/>
      </c>
    </row>
    <row r="242" spans="1:26" ht="13" x14ac:dyDescent="0.15">
      <c r="A242" s="43" t="str">
        <f ca="1">IFERROR(__xludf.DUMMYFUNCTION("""COMPUTED_VALUE"""),"39608")</f>
        <v>39608</v>
      </c>
      <c r="B242" s="43" t="str">
        <f ca="1">IFERROR(__xludf.DUMMYFUNCTION("""COMPUTED_VALUE"""),"39608")</f>
        <v>39608</v>
      </c>
      <c r="C242" s="146">
        <f ca="1">IFERROR(__xludf.DUMMYFUNCTION("""COMPUTED_VALUE"""),44641000771)</f>
        <v>44641000771</v>
      </c>
      <c r="D242" s="43" t="str">
        <f ca="1">IFERROR(__xludf.DUMMYFUNCTION("""COMPUTED_VALUE"""),"TSLA")</f>
        <v>TSLA</v>
      </c>
      <c r="E242" s="147">
        <f ca="1">IFERROR(__xludf.DUMMYFUNCTION("""COMPUTED_VALUE"""),44641)</f>
        <v>44641</v>
      </c>
      <c r="F242" s="43" t="str">
        <f ca="1">IFERROR(__xludf.DUMMYFUNCTION("""COMPUTED_VALUE"""),"Stock")</f>
        <v>Stock</v>
      </c>
      <c r="G242" s="43" t="str">
        <f ca="1">IFERROR(__xludf.DUMMYFUNCTION("""COMPUTED_VALUE"""),"USD")</f>
        <v>USD</v>
      </c>
      <c r="H242" s="11">
        <f ca="1">IFERROR(__xludf.DUMMYFUNCTION("""COMPUTED_VALUE"""),-36)</f>
        <v>-36</v>
      </c>
      <c r="I242" s="148">
        <f ca="1">IFERROR(__xludf.DUMMYFUNCTION("""COMPUTED_VALUE"""),7.82545)</f>
        <v>7.82545</v>
      </c>
      <c r="J242" s="149">
        <f ca="1">IFERROR(__xludf.DUMMYFUNCTION("""COMPUTED_VALUE"""),921.16)</f>
        <v>921.16</v>
      </c>
      <c r="K242" s="43"/>
      <c r="L242" s="149">
        <f ca="1">IFERROR(__xludf.DUMMYFUNCTION("""COMPUTED_VALUE"""),993.98)</f>
        <v>993.98</v>
      </c>
      <c r="M242" s="155" t="str">
        <f ca="1">IFERROR(__xludf.DUMMYFUNCTION("""COMPUTED_VALUE"""),"Equity Key Stats")</f>
        <v>Equity Key Stats</v>
      </c>
      <c r="N242" s="43"/>
      <c r="O242" s="43"/>
      <c r="P242" s="150">
        <f ca="1">IFERROR(__xludf.DUMMYFUNCTION("""COMPUTED_VALUE"""),259505.694792)</f>
        <v>259505.69479199999</v>
      </c>
      <c r="Q242" s="151"/>
      <c r="R242" s="152">
        <f ca="1">IFERROR(__xludf.DUMMYFUNCTION("""COMPUTED_VALUE"""),999.11)</f>
        <v>999.11</v>
      </c>
      <c r="S242" s="150">
        <f ca="1">IFERROR(__xludf.DUMMYFUNCTION("""COMPUTED_VALUE"""),-281465.472582)</f>
        <v>-281465.47258200002</v>
      </c>
      <c r="T242" s="108">
        <f ca="1">IFERROR(__xludf.DUMMYFUNCTION("""COMPUTED_VALUE"""),4)</f>
        <v>4</v>
      </c>
      <c r="U242" s="108">
        <f ca="1">IFERROR(__xludf.DUMMYFUNCTION("""COMPUTED_VALUE"""),1)</f>
        <v>1</v>
      </c>
      <c r="V242" s="153">
        <f ca="1">IFERROR(__xludf.DUMMYFUNCTION("""COMPUTED_VALUE"""),17894.235816)</f>
        <v>17894.235816</v>
      </c>
      <c r="W242" s="145">
        <f ca="1">IFERROR(__xludf.DUMMYFUNCTION("""COMPUTED_VALUE"""),509410.622035)</f>
        <v>509410.62203500001</v>
      </c>
      <c r="X242" s="11">
        <f ca="1">IFERROR(__xludf.DUMMYFUNCTION("""COMPUTED_VALUE"""),414418.6717669)</f>
        <v>414418.67176689999</v>
      </c>
      <c r="Y242" s="11">
        <f ca="1">IFERROR(__xludf.DUMMYFUNCTION("""COMPUTED_VALUE"""),0)</f>
        <v>0</v>
      </c>
      <c r="Z242" s="4">
        <f ca="1">IFERROR(__xludf.DUMMYFUNCTION("""COMPUTED_VALUE"""),0.0188212440699999)</f>
        <v>1.8821244069999899E-2</v>
      </c>
    </row>
    <row r="243" spans="1:26" ht="13" x14ac:dyDescent="0.15">
      <c r="A243" s="43" t="str">
        <f ca="1">IFERROR(__xludf.DUMMYFUNCTION("""COMPUTED_VALUE"""),"39670")</f>
        <v>39670</v>
      </c>
      <c r="B243" s="43" t="str">
        <f ca="1">IFERROR(__xludf.DUMMYFUNCTION("""COMPUTED_VALUE"""),"39670")</f>
        <v>39670</v>
      </c>
      <c r="C243" s="146">
        <f ca="1">IFERROR(__xludf.DUMMYFUNCTION("""COMPUTED_VALUE"""),44597000104)</f>
        <v>44597000104</v>
      </c>
      <c r="D243" s="43" t="str">
        <f ca="1">IFERROR(__xludf.DUMMYFUNCTION("""COMPUTED_VALUE"""),"Cash")</f>
        <v>Cash</v>
      </c>
      <c r="E243" s="147">
        <f ca="1">IFERROR(__xludf.DUMMYFUNCTION("""COMPUTED_VALUE"""),44597)</f>
        <v>44597</v>
      </c>
      <c r="F243" s="43" t="str">
        <f ca="1">IFERROR(__xludf.DUMMYFUNCTION("""COMPUTED_VALUE"""),"Cash")</f>
        <v>Cash</v>
      </c>
      <c r="G243" s="43" t="str">
        <f ca="1">IFERROR(__xludf.DUMMYFUNCTION("""COMPUTED_VALUE"""),"HKD")</f>
        <v>HKD</v>
      </c>
      <c r="H243" s="154" t="str">
        <f ca="1">IFERROR(__xludf.DUMMYFUNCTION("""COMPUTED_VALUE"""),"")</f>
        <v/>
      </c>
      <c r="I243" s="148">
        <f ca="1">IFERROR(__xludf.DUMMYFUNCTION("""COMPUTED_VALUE"""),1)</f>
        <v>1</v>
      </c>
      <c r="J243" s="149">
        <f ca="1">IFERROR(__xludf.DUMMYFUNCTION("""COMPUTED_VALUE"""),1)</f>
        <v>1</v>
      </c>
      <c r="K243" s="43"/>
      <c r="L243" s="149">
        <f ca="1">IFERROR(__xludf.DUMMYFUNCTION("""COMPUTED_VALUE"""),1)</f>
        <v>1</v>
      </c>
      <c r="M243" s="155" t="str">
        <f ca="1">IFERROR(__xludf.DUMMYFUNCTION("""COMPUTED_VALUE"""),"")</f>
        <v/>
      </c>
      <c r="N243" s="43"/>
      <c r="O243" s="43"/>
      <c r="P243" s="157">
        <f ca="1">IFERROR(__xludf.DUMMYFUNCTION("""COMPUTED_VALUE"""),500000)</f>
        <v>500000</v>
      </c>
      <c r="Q243" s="151"/>
      <c r="R243" s="152">
        <f ca="1">IFERROR(__xludf.DUMMYFUNCTION("""COMPUTED_VALUE"""),1)</f>
        <v>1</v>
      </c>
      <c r="S243" s="150" t="str">
        <f ca="1">IFERROR(__xludf.DUMMYFUNCTION("""COMPUTED_VALUE"""),"")</f>
        <v/>
      </c>
      <c r="T243" s="108">
        <f ca="1">IFERROR(__xludf.DUMMYFUNCTION("""COMPUTED_VALUE"""),1)</f>
        <v>1</v>
      </c>
      <c r="U243" s="108">
        <f ca="1">IFERROR(__xludf.DUMMYFUNCTION("""COMPUTED_VALUE"""),1)</f>
        <v>1</v>
      </c>
      <c r="V243" s="158">
        <f ca="1">IFERROR(__xludf.DUMMYFUNCTION("""COMPUTED_VALUE"""),500000)</f>
        <v>500000</v>
      </c>
      <c r="W243" s="145">
        <f ca="1">IFERROR(__xludf.DUMMYFUNCTION("""COMPUTED_VALUE"""),500000)</f>
        <v>500000</v>
      </c>
      <c r="X243" s="11">
        <f ca="1">IFERROR(__xludf.DUMMYFUNCTION("""COMPUTED_VALUE"""),500000)</f>
        <v>500000</v>
      </c>
      <c r="Y243" s="11">
        <f ca="1">IFERROR(__xludf.DUMMYFUNCTION("""COMPUTED_VALUE"""),0)</f>
        <v>0</v>
      </c>
      <c r="Z243" s="4">
        <f ca="1">IFERROR(__xludf.DUMMYFUNCTION("""COMPUTED_VALUE"""),0)</f>
        <v>0</v>
      </c>
    </row>
    <row r="244" spans="1:26" ht="13" x14ac:dyDescent="0.15">
      <c r="A244" s="43" t="str">
        <f ca="1">IFERROR(__xludf.DUMMYFUNCTION("""COMPUTED_VALUE"""),"")</f>
        <v/>
      </c>
      <c r="B244" s="43" t="str">
        <f ca="1">IFERROR(__xludf.DUMMYFUNCTION("""COMPUTED_VALUE"""),"39704")</f>
        <v>39704</v>
      </c>
      <c r="C244" s="146">
        <f ca="1">IFERROR(__xludf.DUMMYFUNCTION("""COMPUTED_VALUE"""),44597000124)</f>
        <v>44597000124</v>
      </c>
      <c r="D244" s="43" t="str">
        <f ca="1">IFERROR(__xludf.DUMMYFUNCTION("""COMPUTED_VALUE"""),"Cash")</f>
        <v>Cash</v>
      </c>
      <c r="E244" s="147">
        <f ca="1">IFERROR(__xludf.DUMMYFUNCTION("""COMPUTED_VALUE"""),44597)</f>
        <v>44597</v>
      </c>
      <c r="F244" s="43" t="str">
        <f ca="1">IFERROR(__xludf.DUMMYFUNCTION("""COMPUTED_VALUE"""),"Cash")</f>
        <v>Cash</v>
      </c>
      <c r="G244" s="43" t="str">
        <f ca="1">IFERROR(__xludf.DUMMYFUNCTION("""COMPUTED_VALUE"""),"HKD")</f>
        <v>HKD</v>
      </c>
      <c r="H244" s="11" t="str">
        <f ca="1">IFERROR(__xludf.DUMMYFUNCTION("""COMPUTED_VALUE"""),"")</f>
        <v/>
      </c>
      <c r="I244" s="148">
        <f ca="1">IFERROR(__xludf.DUMMYFUNCTION("""COMPUTED_VALUE"""),1)</f>
        <v>1</v>
      </c>
      <c r="J244" s="149">
        <f ca="1">IFERROR(__xludf.DUMMYFUNCTION("""COMPUTED_VALUE"""),1)</f>
        <v>1</v>
      </c>
      <c r="K244" s="43"/>
      <c r="L244" s="149">
        <f ca="1">IFERROR(__xludf.DUMMYFUNCTION("""COMPUTED_VALUE"""),1)</f>
        <v>1</v>
      </c>
      <c r="M244" s="155" t="str">
        <f ca="1">IFERROR(__xludf.DUMMYFUNCTION("""COMPUTED_VALUE"""),"")</f>
        <v/>
      </c>
      <c r="N244" s="43"/>
      <c r="O244" s="43"/>
      <c r="P244" s="150">
        <f ca="1">IFERROR(__xludf.DUMMYFUNCTION("""COMPUTED_VALUE"""),500000)</f>
        <v>500000</v>
      </c>
      <c r="Q244" s="151"/>
      <c r="R244" s="152">
        <f ca="1">IFERROR(__xludf.DUMMYFUNCTION("""COMPUTED_VALUE"""),1)</f>
        <v>1</v>
      </c>
      <c r="S244" s="150" t="str">
        <f ca="1">IFERROR(__xludf.DUMMYFUNCTION("""COMPUTED_VALUE"""),"")</f>
        <v/>
      </c>
      <c r="T244" s="108">
        <f ca="1">IFERROR(__xludf.DUMMYFUNCTION("""COMPUTED_VALUE"""),1)</f>
        <v>1</v>
      </c>
      <c r="U244" s="108">
        <f ca="1">IFERROR(__xludf.DUMMYFUNCTION("""COMPUTED_VALUE"""),1)</f>
        <v>1</v>
      </c>
      <c r="V244" s="153">
        <f ca="1">IFERROR(__xludf.DUMMYFUNCTION("""COMPUTED_VALUE"""),500000)</f>
        <v>500000</v>
      </c>
      <c r="W244" s="145" t="str">
        <f ca="1">IFERROR(__xludf.DUMMYFUNCTION("""COMPUTED_VALUE"""),"")</f>
        <v/>
      </c>
      <c r="X244" s="11" t="str">
        <f ca="1">IFERROR(__xludf.DUMMYFUNCTION("""COMPUTED_VALUE"""),"")</f>
        <v/>
      </c>
      <c r="Y244" s="11" t="str">
        <f ca="1">IFERROR(__xludf.DUMMYFUNCTION("""COMPUTED_VALUE"""),"")</f>
        <v/>
      </c>
      <c r="Z244" s="4" t="str">
        <f ca="1">IFERROR(__xludf.DUMMYFUNCTION("""COMPUTED_VALUE"""),"")</f>
        <v/>
      </c>
    </row>
    <row r="245" spans="1:26" ht="13" x14ac:dyDescent="0.15">
      <c r="A245" s="43" t="str">
        <f ca="1">IFERROR(__xludf.DUMMYFUNCTION("""COMPUTED_VALUE"""),"39704")</f>
        <v>39704</v>
      </c>
      <c r="B245" s="43" t="str">
        <f ca="1">IFERROR(__xludf.DUMMYFUNCTION("""COMPUTED_VALUE"""),"39704")</f>
        <v>39704</v>
      </c>
      <c r="C245" s="146">
        <f ca="1">IFERROR(__xludf.DUMMYFUNCTION("""COMPUTED_VALUE"""),44636000638)</f>
        <v>44636000638</v>
      </c>
      <c r="D245" s="43" t="str">
        <f ca="1">IFERROR(__xludf.DUMMYFUNCTION("""COMPUTED_VALUE"""),"AEP")</f>
        <v>AEP</v>
      </c>
      <c r="E245" s="147">
        <f ca="1">IFERROR(__xludf.DUMMYFUNCTION("""COMPUTED_VALUE"""),44636)</f>
        <v>44636</v>
      </c>
      <c r="F245" s="43" t="str">
        <f ca="1">IFERROR(__xludf.DUMMYFUNCTION("""COMPUTED_VALUE"""),"Stock")</f>
        <v>Stock</v>
      </c>
      <c r="G245" s="43" t="str">
        <f ca="1">IFERROR(__xludf.DUMMYFUNCTION("""COMPUTED_VALUE"""),"USD")</f>
        <v>USD</v>
      </c>
      <c r="H245" s="11">
        <f ca="1">IFERROR(__xludf.DUMMYFUNCTION("""COMPUTED_VALUE"""),100)</f>
        <v>100</v>
      </c>
      <c r="I245" s="148">
        <f ca="1">IFERROR(__xludf.DUMMYFUNCTION("""COMPUTED_VALUE"""),7.82055)</f>
        <v>7.8205499999999999</v>
      </c>
      <c r="J245" s="149">
        <f ca="1">IFERROR(__xludf.DUMMYFUNCTION("""COMPUTED_VALUE"""),95.07)</f>
        <v>95.07</v>
      </c>
      <c r="K245" s="43"/>
      <c r="L245" s="149">
        <f ca="1">IFERROR(__xludf.DUMMYFUNCTION("""COMPUTED_VALUE"""),95.25)</f>
        <v>95.25</v>
      </c>
      <c r="M245" s="155" t="str">
        <f ca="1">IFERROR(__xludf.DUMMYFUNCTION("""COMPUTED_VALUE"""),"Equity Key Stats")</f>
        <v>Equity Key Stats</v>
      </c>
      <c r="N245" s="43"/>
      <c r="O245" s="43"/>
      <c r="P245" s="150">
        <f ca="1">IFERROR(__xludf.DUMMYFUNCTION("""COMPUTED_VALUE"""),-74349.9688499999)</f>
        <v>-74349.968849999903</v>
      </c>
      <c r="Q245" s="151"/>
      <c r="R245" s="152">
        <f ca="1">IFERROR(__xludf.DUMMYFUNCTION("""COMPUTED_VALUE"""),96.01)</f>
        <v>96.01</v>
      </c>
      <c r="S245" s="150">
        <f ca="1">IFERROR(__xludf.DUMMYFUNCTION("""COMPUTED_VALUE"""),75085.10055)</f>
        <v>75085.100550000003</v>
      </c>
      <c r="T245" s="108">
        <f ca="1">IFERROR(__xludf.DUMMYFUNCTION("""COMPUTED_VALUE"""),1)</f>
        <v>1</v>
      </c>
      <c r="U245" s="108">
        <f ca="1">IFERROR(__xludf.DUMMYFUNCTION("""COMPUTED_VALUE"""),1)</f>
        <v>1</v>
      </c>
      <c r="V245" s="158">
        <f ca="1">IFERROR(__xludf.DUMMYFUNCTION("""COMPUTED_VALUE"""),735.131700000012)</f>
        <v>735.13170000001196</v>
      </c>
      <c r="W245" s="145">
        <f ca="1">IFERROR(__xludf.DUMMYFUNCTION("""COMPUTED_VALUE"""),500735.1317)</f>
        <v>500735.13170000003</v>
      </c>
      <c r="X245" s="11">
        <f ca="1">IFERROR(__xludf.DUMMYFUNCTION("""COMPUTED_VALUE"""),425650.03115)</f>
        <v>425650.03115</v>
      </c>
      <c r="Y245" s="11">
        <f ca="1">IFERROR(__xludf.DUMMYFUNCTION("""COMPUTED_VALUE"""),0)</f>
        <v>0</v>
      </c>
      <c r="Z245" s="4">
        <f ca="1">IFERROR(__xludf.DUMMYFUNCTION("""COMPUTED_VALUE"""),0.00147026340000011)</f>
        <v>1.4702634000001099E-3</v>
      </c>
    </row>
    <row r="246" spans="1:26" ht="13" x14ac:dyDescent="0.15">
      <c r="A246" s="43" t="str">
        <f ca="1">IFERROR(__xludf.DUMMYFUNCTION("""COMPUTED_VALUE"""),"")</f>
        <v/>
      </c>
      <c r="B246" s="43" t="str">
        <f ca="1">IFERROR(__xludf.DUMMYFUNCTION("""COMPUTED_VALUE"""),"39776")</f>
        <v>39776</v>
      </c>
      <c r="C246" s="146">
        <f ca="1">IFERROR(__xludf.DUMMYFUNCTION("""COMPUTED_VALUE"""),44597000078)</f>
        <v>44597000078</v>
      </c>
      <c r="D246" s="163" t="str">
        <f ca="1">IFERROR(__xludf.DUMMYFUNCTION("""COMPUTED_VALUE"""),"Cash")</f>
        <v>Cash</v>
      </c>
      <c r="E246" s="147">
        <f ca="1">IFERROR(__xludf.DUMMYFUNCTION("""COMPUTED_VALUE"""),44597)</f>
        <v>44597</v>
      </c>
      <c r="F246" s="43" t="str">
        <f ca="1">IFERROR(__xludf.DUMMYFUNCTION("""COMPUTED_VALUE"""),"Cash")</f>
        <v>Cash</v>
      </c>
      <c r="G246" s="43" t="str">
        <f ca="1">IFERROR(__xludf.DUMMYFUNCTION("""COMPUTED_VALUE"""),"HKD")</f>
        <v>HKD</v>
      </c>
      <c r="H246" s="11" t="str">
        <f ca="1">IFERROR(__xludf.DUMMYFUNCTION("""COMPUTED_VALUE"""),"")</f>
        <v/>
      </c>
      <c r="I246" s="148">
        <f ca="1">IFERROR(__xludf.DUMMYFUNCTION("""COMPUTED_VALUE"""),1)</f>
        <v>1</v>
      </c>
      <c r="J246" s="149">
        <f ca="1">IFERROR(__xludf.DUMMYFUNCTION("""COMPUTED_VALUE"""),1)</f>
        <v>1</v>
      </c>
      <c r="K246" s="43"/>
      <c r="L246" s="149">
        <f ca="1">IFERROR(__xludf.DUMMYFUNCTION("""COMPUTED_VALUE"""),1)</f>
        <v>1</v>
      </c>
      <c r="M246" s="155" t="str">
        <f ca="1">IFERROR(__xludf.DUMMYFUNCTION("""COMPUTED_VALUE"""),"")</f>
        <v/>
      </c>
      <c r="N246" s="43"/>
      <c r="O246" s="43"/>
      <c r="P246" s="150">
        <f ca="1">IFERROR(__xludf.DUMMYFUNCTION("""COMPUTED_VALUE"""),500000)</f>
        <v>500000</v>
      </c>
      <c r="Q246" s="151"/>
      <c r="R246" s="152">
        <f ca="1">IFERROR(__xludf.DUMMYFUNCTION("""COMPUTED_VALUE"""),1)</f>
        <v>1</v>
      </c>
      <c r="S246" s="150" t="str">
        <f ca="1">IFERROR(__xludf.DUMMYFUNCTION("""COMPUTED_VALUE"""),"")</f>
        <v/>
      </c>
      <c r="T246" s="108">
        <f ca="1">IFERROR(__xludf.DUMMYFUNCTION("""COMPUTED_VALUE"""),1)</f>
        <v>1</v>
      </c>
      <c r="U246" s="108">
        <f ca="1">IFERROR(__xludf.DUMMYFUNCTION("""COMPUTED_VALUE"""),1)</f>
        <v>1</v>
      </c>
      <c r="V246" s="153">
        <f ca="1">IFERROR(__xludf.DUMMYFUNCTION("""COMPUTED_VALUE"""),500000)</f>
        <v>500000</v>
      </c>
      <c r="W246" s="145" t="str">
        <f ca="1">IFERROR(__xludf.DUMMYFUNCTION("""COMPUTED_VALUE"""),"")</f>
        <v/>
      </c>
      <c r="X246" s="11" t="str">
        <f ca="1">IFERROR(__xludf.DUMMYFUNCTION("""COMPUTED_VALUE"""),"")</f>
        <v/>
      </c>
      <c r="Y246" s="11" t="str">
        <f ca="1">IFERROR(__xludf.DUMMYFUNCTION("""COMPUTED_VALUE"""),"")</f>
        <v/>
      </c>
      <c r="Z246" s="4" t="str">
        <f ca="1">IFERROR(__xludf.DUMMYFUNCTION("""COMPUTED_VALUE"""),"")</f>
        <v/>
      </c>
    </row>
    <row r="247" spans="1:26" ht="13" x14ac:dyDescent="0.15">
      <c r="A247" s="43" t="str">
        <f ca="1">IFERROR(__xludf.DUMMYFUNCTION("""COMPUTED_VALUE"""),"")</f>
        <v/>
      </c>
      <c r="B247" s="43" t="str">
        <f ca="1">IFERROR(__xludf.DUMMYFUNCTION("""COMPUTED_VALUE"""),"39776")</f>
        <v>39776</v>
      </c>
      <c r="C247" s="146">
        <f ca="1">IFERROR(__xludf.DUMMYFUNCTION("""COMPUTED_VALUE"""),44623000412)</f>
        <v>44623000412</v>
      </c>
      <c r="D247" s="161" t="str">
        <f ca="1">IFERROR(__xludf.DUMMYFUNCTION("""COMPUTED_VALUE"""),"3800.hk")</f>
        <v>3800.hk</v>
      </c>
      <c r="E247" s="147">
        <f ca="1">IFERROR(__xludf.DUMMYFUNCTION("""COMPUTED_VALUE"""),44623)</f>
        <v>44623</v>
      </c>
      <c r="F247" s="43" t="str">
        <f ca="1">IFERROR(__xludf.DUMMYFUNCTION("""COMPUTED_VALUE"""),"Stock")</f>
        <v>Stock</v>
      </c>
      <c r="G247" s="43" t="str">
        <f ca="1">IFERROR(__xludf.DUMMYFUNCTION("""COMPUTED_VALUE"""),"HKD")</f>
        <v>HKD</v>
      </c>
      <c r="H247" s="11">
        <f ca="1">IFERROR(__xludf.DUMMYFUNCTION("""COMPUTED_VALUE"""),0)</f>
        <v>0</v>
      </c>
      <c r="I247" s="148">
        <f ca="1">IFERROR(__xludf.DUMMYFUNCTION("""COMPUTED_VALUE"""),1)</f>
        <v>1</v>
      </c>
      <c r="J247" s="149">
        <f ca="1">IFERROR(__xludf.DUMMYFUNCTION("""COMPUTED_VALUE"""),0)</f>
        <v>0</v>
      </c>
      <c r="K247" s="43"/>
      <c r="L247" s="149">
        <f ca="1">IFERROR(__xludf.DUMMYFUNCTION("""COMPUTED_VALUE"""),2.54)</f>
        <v>2.54</v>
      </c>
      <c r="M247" s="155" t="str">
        <f ca="1">IFERROR(__xludf.DUMMYFUNCTION("""COMPUTED_VALUE"""),"Equity Key Stats")</f>
        <v>Equity Key Stats</v>
      </c>
      <c r="N247" s="43"/>
      <c r="O247" s="43"/>
      <c r="P247" s="150">
        <f ca="1">IFERROR(__xludf.DUMMYFUNCTION("""COMPUTED_VALUE"""),0)</f>
        <v>0</v>
      </c>
      <c r="Q247" s="151"/>
      <c r="R247" s="152">
        <f ca="1">IFERROR(__xludf.DUMMYFUNCTION("""COMPUTED_VALUE"""),2.56)</f>
        <v>2.56</v>
      </c>
      <c r="S247" s="150">
        <f ca="1">IFERROR(__xludf.DUMMYFUNCTION("""COMPUTED_VALUE"""),0)</f>
        <v>0</v>
      </c>
      <c r="T247" s="108">
        <f ca="1">IFERROR(__xludf.DUMMYFUNCTION("""COMPUTED_VALUE"""),4)</f>
        <v>4</v>
      </c>
      <c r="U247" s="108" t="str">
        <f ca="1">IFERROR(__xludf.DUMMYFUNCTION("""COMPUTED_VALUE"""),"")</f>
        <v/>
      </c>
      <c r="V247" s="153" t="str">
        <f ca="1">IFERROR(__xludf.DUMMYFUNCTION("""COMPUTED_VALUE"""),"")</f>
        <v/>
      </c>
      <c r="W247" s="44" t="str">
        <f ca="1">IFERROR(__xludf.DUMMYFUNCTION("""COMPUTED_VALUE"""),"")</f>
        <v/>
      </c>
      <c r="X247" s="156" t="str">
        <f ca="1">IFERROR(__xludf.DUMMYFUNCTION("""COMPUTED_VALUE"""),"")</f>
        <v/>
      </c>
      <c r="Y247" s="154" t="str">
        <f ca="1">IFERROR(__xludf.DUMMYFUNCTION("""COMPUTED_VALUE"""),"")</f>
        <v/>
      </c>
      <c r="Z247" s="162" t="str">
        <f ca="1">IFERROR(__xludf.DUMMYFUNCTION("""COMPUTED_VALUE"""),"")</f>
        <v/>
      </c>
    </row>
    <row r="248" spans="1:26" ht="13" x14ac:dyDescent="0.15">
      <c r="A248" s="43" t="str">
        <f ca="1">IFERROR(__xludf.DUMMYFUNCTION("""COMPUTED_VALUE"""),"")</f>
        <v/>
      </c>
      <c r="B248" s="43" t="str">
        <f ca="1">IFERROR(__xludf.DUMMYFUNCTION("""COMPUTED_VALUE"""),"39776")</f>
        <v>39776</v>
      </c>
      <c r="C248" s="146">
        <f ca="1">IFERROR(__xludf.DUMMYFUNCTION("""COMPUTED_VALUE"""),44623000413)</f>
        <v>44623000413</v>
      </c>
      <c r="D248" s="161" t="str">
        <f ca="1">IFERROR(__xludf.DUMMYFUNCTION("""COMPUTED_VALUE"""),"1208.HK")</f>
        <v>1208.HK</v>
      </c>
      <c r="E248" s="147">
        <f ca="1">IFERROR(__xludf.DUMMYFUNCTION("""COMPUTED_VALUE"""),44623)</f>
        <v>44623</v>
      </c>
      <c r="F248" s="43" t="str">
        <f ca="1">IFERROR(__xludf.DUMMYFUNCTION("""COMPUTED_VALUE"""),"Stock")</f>
        <v>Stock</v>
      </c>
      <c r="G248" s="43" t="str">
        <f ca="1">IFERROR(__xludf.DUMMYFUNCTION("""COMPUTED_VALUE"""),"HKD")</f>
        <v>HKD</v>
      </c>
      <c r="H248" s="11">
        <f ca="1">IFERROR(__xludf.DUMMYFUNCTION("""COMPUTED_VALUE"""),0)</f>
        <v>0</v>
      </c>
      <c r="I248" s="148">
        <f ca="1">IFERROR(__xludf.DUMMYFUNCTION("""COMPUTED_VALUE"""),1)</f>
        <v>1</v>
      </c>
      <c r="J248" s="149">
        <f ca="1">IFERROR(__xludf.DUMMYFUNCTION("""COMPUTED_VALUE"""),0)</f>
        <v>0</v>
      </c>
      <c r="K248" s="43"/>
      <c r="L248" s="149">
        <f ca="1">IFERROR(__xludf.DUMMYFUNCTION("""COMPUTED_VALUE"""),2.91)</f>
        <v>2.91</v>
      </c>
      <c r="M248" s="160" t="str">
        <f ca="1">IFERROR(__xludf.DUMMYFUNCTION("""COMPUTED_VALUE"""),"Equity Key Stats")</f>
        <v>Equity Key Stats</v>
      </c>
      <c r="N248" s="43"/>
      <c r="O248" s="43"/>
      <c r="P248" s="150">
        <f ca="1">IFERROR(__xludf.DUMMYFUNCTION("""COMPUTED_VALUE"""),0)</f>
        <v>0</v>
      </c>
      <c r="Q248" s="151"/>
      <c r="R248" s="152">
        <f ca="1">IFERROR(__xludf.DUMMYFUNCTION("""COMPUTED_VALUE"""),2.95)</f>
        <v>2.95</v>
      </c>
      <c r="S248" s="127">
        <f ca="1">IFERROR(__xludf.DUMMYFUNCTION("""COMPUTED_VALUE"""),0)</f>
        <v>0</v>
      </c>
      <c r="T248" s="108">
        <f ca="1">IFERROR(__xludf.DUMMYFUNCTION("""COMPUTED_VALUE"""),1)</f>
        <v>1</v>
      </c>
      <c r="U248" s="108">
        <f ca="1">IFERROR(__xludf.DUMMYFUNCTION("""COMPUTED_VALUE"""),1)</f>
        <v>1</v>
      </c>
      <c r="V248" s="153">
        <f ca="1">IFERROR(__xludf.DUMMYFUNCTION("""COMPUTED_VALUE"""),0)</f>
        <v>0</v>
      </c>
      <c r="W248" s="44" t="str">
        <f ca="1">IFERROR(__xludf.DUMMYFUNCTION("""COMPUTED_VALUE"""),"")</f>
        <v/>
      </c>
      <c r="X248" s="154" t="str">
        <f ca="1">IFERROR(__xludf.DUMMYFUNCTION("""COMPUTED_VALUE"""),"")</f>
        <v/>
      </c>
      <c r="Y248" s="154" t="str">
        <f ca="1">IFERROR(__xludf.DUMMYFUNCTION("""COMPUTED_VALUE"""),"")</f>
        <v/>
      </c>
      <c r="Z248" s="159" t="str">
        <f ca="1">IFERROR(__xludf.DUMMYFUNCTION("""COMPUTED_VALUE"""),"")</f>
        <v/>
      </c>
    </row>
    <row r="249" spans="1:26" ht="13" x14ac:dyDescent="0.15">
      <c r="A249" s="43" t="str">
        <f ca="1">IFERROR(__xludf.DUMMYFUNCTION("""COMPUTED_VALUE"""),"")</f>
        <v/>
      </c>
      <c r="B249" s="43" t="str">
        <f ca="1">IFERROR(__xludf.DUMMYFUNCTION("""COMPUTED_VALUE"""),"39776")</f>
        <v>39776</v>
      </c>
      <c r="C249" s="146">
        <f ca="1">IFERROR(__xludf.DUMMYFUNCTION("""COMPUTED_VALUE"""),44623000415)</f>
        <v>44623000415</v>
      </c>
      <c r="D249" s="161" t="str">
        <f ca="1">IFERROR(__xludf.DUMMYFUNCTION("""COMPUTED_VALUE"""),"3800.HK")</f>
        <v>3800.HK</v>
      </c>
      <c r="E249" s="147">
        <f ca="1">IFERROR(__xludf.DUMMYFUNCTION("""COMPUTED_VALUE"""),44623)</f>
        <v>44623</v>
      </c>
      <c r="F249" s="43" t="str">
        <f ca="1">IFERROR(__xludf.DUMMYFUNCTION("""COMPUTED_VALUE"""),"Stock")</f>
        <v>Stock</v>
      </c>
      <c r="G249" s="43" t="str">
        <f ca="1">IFERROR(__xludf.DUMMYFUNCTION("""COMPUTED_VALUE"""),"HKD")</f>
        <v>HKD</v>
      </c>
      <c r="H249" s="11">
        <f ca="1">IFERROR(__xludf.DUMMYFUNCTION("""COMPUTED_VALUE"""),0)</f>
        <v>0</v>
      </c>
      <c r="I249" s="148">
        <f ca="1">IFERROR(__xludf.DUMMYFUNCTION("""COMPUTED_VALUE"""),1)</f>
        <v>1</v>
      </c>
      <c r="J249" s="149">
        <f ca="1">IFERROR(__xludf.DUMMYFUNCTION("""COMPUTED_VALUE"""),0)</f>
        <v>0</v>
      </c>
      <c r="K249" s="43"/>
      <c r="L249" s="149">
        <f ca="1">IFERROR(__xludf.DUMMYFUNCTION("""COMPUTED_VALUE"""),2.54)</f>
        <v>2.54</v>
      </c>
      <c r="M249" s="160" t="str">
        <f ca="1">IFERROR(__xludf.DUMMYFUNCTION("""COMPUTED_VALUE"""),"Equity Key Stats")</f>
        <v>Equity Key Stats</v>
      </c>
      <c r="N249" s="43"/>
      <c r="O249" s="43"/>
      <c r="P249" s="150">
        <f ca="1">IFERROR(__xludf.DUMMYFUNCTION("""COMPUTED_VALUE"""),0)</f>
        <v>0</v>
      </c>
      <c r="Q249" s="151"/>
      <c r="R249" s="152">
        <f ca="1">IFERROR(__xludf.DUMMYFUNCTION("""COMPUTED_VALUE"""),2.56)</f>
        <v>2.56</v>
      </c>
      <c r="S249" s="127">
        <f ca="1">IFERROR(__xludf.DUMMYFUNCTION("""COMPUTED_VALUE"""),0)</f>
        <v>0</v>
      </c>
      <c r="T249" s="108">
        <f ca="1">IFERROR(__xludf.DUMMYFUNCTION("""COMPUTED_VALUE"""),4)</f>
        <v>4</v>
      </c>
      <c r="U249" s="108" t="str">
        <f ca="1">IFERROR(__xludf.DUMMYFUNCTION("""COMPUTED_VALUE"""),"")</f>
        <v/>
      </c>
      <c r="V249" s="153" t="str">
        <f ca="1">IFERROR(__xludf.DUMMYFUNCTION("""COMPUTED_VALUE"""),"")</f>
        <v/>
      </c>
      <c r="W249" s="145" t="str">
        <f ca="1">IFERROR(__xludf.DUMMYFUNCTION("""COMPUTED_VALUE"""),"")</f>
        <v/>
      </c>
      <c r="X249" s="11" t="str">
        <f ca="1">IFERROR(__xludf.DUMMYFUNCTION("""COMPUTED_VALUE"""),"")</f>
        <v/>
      </c>
      <c r="Y249" s="11" t="str">
        <f ca="1">IFERROR(__xludf.DUMMYFUNCTION("""COMPUTED_VALUE"""),"")</f>
        <v/>
      </c>
      <c r="Z249" s="4" t="str">
        <f ca="1">IFERROR(__xludf.DUMMYFUNCTION("""COMPUTED_VALUE"""),"")</f>
        <v/>
      </c>
    </row>
    <row r="250" spans="1:26" ht="13" x14ac:dyDescent="0.15">
      <c r="A250" s="43" t="str">
        <f ca="1">IFERROR(__xludf.DUMMYFUNCTION("""COMPUTED_VALUE"""),"")</f>
        <v/>
      </c>
      <c r="B250" s="43" t="str">
        <f ca="1">IFERROR(__xludf.DUMMYFUNCTION("""COMPUTED_VALUE"""),"39776")</f>
        <v>39776</v>
      </c>
      <c r="C250" s="146">
        <f ca="1">IFERROR(__xludf.DUMMYFUNCTION("""COMPUTED_VALUE"""),44623000417)</f>
        <v>44623000417</v>
      </c>
      <c r="D250" s="161" t="str">
        <f ca="1">IFERROR(__xludf.DUMMYFUNCTION("""COMPUTED_VALUE"""),"3800.HK")</f>
        <v>3800.HK</v>
      </c>
      <c r="E250" s="147">
        <f ca="1">IFERROR(__xludf.DUMMYFUNCTION("""COMPUTED_VALUE"""),44623)</f>
        <v>44623</v>
      </c>
      <c r="F250" s="43" t="str">
        <f ca="1">IFERROR(__xludf.DUMMYFUNCTION("""COMPUTED_VALUE"""),"Stock")</f>
        <v>Stock</v>
      </c>
      <c r="G250" s="43" t="str">
        <f ca="1">IFERROR(__xludf.DUMMYFUNCTION("""COMPUTED_VALUE"""),"HKD")</f>
        <v>HKD</v>
      </c>
      <c r="H250" s="154">
        <f ca="1">IFERROR(__xludf.DUMMYFUNCTION("""COMPUTED_VALUE"""),5000)</f>
        <v>5000</v>
      </c>
      <c r="I250" s="148">
        <f ca="1">IFERROR(__xludf.DUMMYFUNCTION("""COMPUTED_VALUE"""),1)</f>
        <v>1</v>
      </c>
      <c r="J250" s="149">
        <f ca="1">IFERROR(__xludf.DUMMYFUNCTION("""COMPUTED_VALUE"""),2.97)</f>
        <v>2.97</v>
      </c>
      <c r="K250" s="43"/>
      <c r="L250" s="149">
        <f ca="1">IFERROR(__xludf.DUMMYFUNCTION("""COMPUTED_VALUE"""),2.54)</f>
        <v>2.54</v>
      </c>
      <c r="M250" s="155" t="str">
        <f ca="1">IFERROR(__xludf.DUMMYFUNCTION("""COMPUTED_VALUE"""),"Equity Key Stats")</f>
        <v>Equity Key Stats</v>
      </c>
      <c r="N250" s="43"/>
      <c r="O250" s="43"/>
      <c r="P250" s="157">
        <f ca="1">IFERROR(__xludf.DUMMYFUNCTION("""COMPUTED_VALUE"""),-14850)</f>
        <v>-14850</v>
      </c>
      <c r="Q250" s="151"/>
      <c r="R250" s="152">
        <f ca="1">IFERROR(__xludf.DUMMYFUNCTION("""COMPUTED_VALUE"""),2.56)</f>
        <v>2.56</v>
      </c>
      <c r="S250" s="150">
        <f ca="1">IFERROR(__xludf.DUMMYFUNCTION("""COMPUTED_VALUE"""),12800)</f>
        <v>12800</v>
      </c>
      <c r="T250" s="108">
        <f ca="1">IFERROR(__xludf.DUMMYFUNCTION("""COMPUTED_VALUE"""),4)</f>
        <v>4</v>
      </c>
      <c r="U250" s="108" t="str">
        <f ca="1">IFERROR(__xludf.DUMMYFUNCTION("""COMPUTED_VALUE"""),"")</f>
        <v/>
      </c>
      <c r="V250" s="158" t="str">
        <f ca="1">IFERROR(__xludf.DUMMYFUNCTION("""COMPUTED_VALUE"""),"")</f>
        <v/>
      </c>
      <c r="W250" s="145" t="str">
        <f ca="1">IFERROR(__xludf.DUMMYFUNCTION("""COMPUTED_VALUE"""),"")</f>
        <v/>
      </c>
      <c r="X250" s="11" t="str">
        <f ca="1">IFERROR(__xludf.DUMMYFUNCTION("""COMPUTED_VALUE"""),"")</f>
        <v/>
      </c>
      <c r="Y250" s="11" t="str">
        <f ca="1">IFERROR(__xludf.DUMMYFUNCTION("""COMPUTED_VALUE"""),"")</f>
        <v/>
      </c>
      <c r="Z250" s="4" t="str">
        <f ca="1">IFERROR(__xludf.DUMMYFUNCTION("""COMPUTED_VALUE"""),"")</f>
        <v/>
      </c>
    </row>
    <row r="251" spans="1:26" ht="13" x14ac:dyDescent="0.15">
      <c r="A251" s="43" t="str">
        <f ca="1">IFERROR(__xludf.DUMMYFUNCTION("""COMPUTED_VALUE"""),"")</f>
        <v/>
      </c>
      <c r="B251" s="43" t="str">
        <f ca="1">IFERROR(__xludf.DUMMYFUNCTION("""COMPUTED_VALUE"""),"39776")</f>
        <v>39776</v>
      </c>
      <c r="C251" s="146">
        <f ca="1">IFERROR(__xludf.DUMMYFUNCTION("""COMPUTED_VALUE"""),44638000694)</f>
        <v>44638000694</v>
      </c>
      <c r="D251" s="161" t="str">
        <f ca="1">IFERROR(__xludf.DUMMYFUNCTION("""COMPUTED_VALUE"""),"3800.HK")</f>
        <v>3800.HK</v>
      </c>
      <c r="E251" s="147">
        <f ca="1">IFERROR(__xludf.DUMMYFUNCTION("""COMPUTED_VALUE"""),44638)</f>
        <v>44638</v>
      </c>
      <c r="F251" s="43" t="str">
        <f ca="1">IFERROR(__xludf.DUMMYFUNCTION("""COMPUTED_VALUE"""),"Stock")</f>
        <v>Stock</v>
      </c>
      <c r="G251" s="43" t="str">
        <f ca="1">IFERROR(__xludf.DUMMYFUNCTION("""COMPUTED_VALUE"""),"HKD")</f>
        <v>HKD</v>
      </c>
      <c r="H251" s="154">
        <f ca="1">IFERROR(__xludf.DUMMYFUNCTION("""COMPUTED_VALUE"""),0)</f>
        <v>0</v>
      </c>
      <c r="I251" s="148">
        <f ca="1">IFERROR(__xludf.DUMMYFUNCTION("""COMPUTED_VALUE"""),1)</f>
        <v>1</v>
      </c>
      <c r="J251" s="149">
        <f ca="1">IFERROR(__xludf.DUMMYFUNCTION("""COMPUTED_VALUE"""),0)</f>
        <v>0</v>
      </c>
      <c r="K251" s="43"/>
      <c r="L251" s="149">
        <f ca="1">IFERROR(__xludf.DUMMYFUNCTION("""COMPUTED_VALUE"""),2.54)</f>
        <v>2.54</v>
      </c>
      <c r="M251" s="155" t="str">
        <f ca="1">IFERROR(__xludf.DUMMYFUNCTION("""COMPUTED_VALUE"""),"Equity Key Stats")</f>
        <v>Equity Key Stats</v>
      </c>
      <c r="N251" s="43"/>
      <c r="O251" s="43"/>
      <c r="P251" s="157">
        <f ca="1">IFERROR(__xludf.DUMMYFUNCTION("""COMPUTED_VALUE"""),0)</f>
        <v>0</v>
      </c>
      <c r="Q251" s="151"/>
      <c r="R251" s="152">
        <f ca="1">IFERROR(__xludf.DUMMYFUNCTION("""COMPUTED_VALUE"""),2.56)</f>
        <v>2.56</v>
      </c>
      <c r="S251" s="150">
        <f ca="1">IFERROR(__xludf.DUMMYFUNCTION("""COMPUTED_VALUE"""),0)</f>
        <v>0</v>
      </c>
      <c r="T251" s="108">
        <f ca="1">IFERROR(__xludf.DUMMYFUNCTION("""COMPUTED_VALUE"""),4)</f>
        <v>4</v>
      </c>
      <c r="U251" s="43">
        <f ca="1">IFERROR(__xludf.DUMMYFUNCTION("""COMPUTED_VALUE"""),1)</f>
        <v>1</v>
      </c>
      <c r="V251" s="144">
        <f ca="1">IFERROR(__xludf.DUMMYFUNCTION("""COMPUTED_VALUE"""),-2050)</f>
        <v>-2050</v>
      </c>
      <c r="W251" s="145" t="str">
        <f ca="1">IFERROR(__xludf.DUMMYFUNCTION("""COMPUTED_VALUE"""),"")</f>
        <v/>
      </c>
      <c r="X251" s="11" t="str">
        <f ca="1">IFERROR(__xludf.DUMMYFUNCTION("""COMPUTED_VALUE"""),"")</f>
        <v/>
      </c>
      <c r="Y251" s="11" t="str">
        <f ca="1">IFERROR(__xludf.DUMMYFUNCTION("""COMPUTED_VALUE"""),"")</f>
        <v/>
      </c>
      <c r="Z251" s="4" t="str">
        <f ca="1">IFERROR(__xludf.DUMMYFUNCTION("""COMPUTED_VALUE"""),"")</f>
        <v/>
      </c>
    </row>
    <row r="252" spans="1:26" ht="13" x14ac:dyDescent="0.15">
      <c r="A252" s="43" t="str">
        <f ca="1">IFERROR(__xludf.DUMMYFUNCTION("""COMPUTED_VALUE"""),"39776")</f>
        <v>39776</v>
      </c>
      <c r="B252" s="43" t="str">
        <f ca="1">IFERROR(__xludf.DUMMYFUNCTION("""COMPUTED_VALUE"""),"39776")</f>
        <v>39776</v>
      </c>
      <c r="C252" s="146">
        <f ca="1">IFERROR(__xludf.DUMMYFUNCTION("""COMPUTED_VALUE"""),44643000816)</f>
        <v>44643000816</v>
      </c>
      <c r="D252" s="161" t="str">
        <f ca="1">IFERROR(__xludf.DUMMYFUNCTION("""COMPUTED_VALUE"""),"3315.HK")</f>
        <v>3315.HK</v>
      </c>
      <c r="E252" s="147">
        <f ca="1">IFERROR(__xludf.DUMMYFUNCTION("""COMPUTED_VALUE"""),44643)</f>
        <v>44643</v>
      </c>
      <c r="F252" s="43" t="str">
        <f ca="1">IFERROR(__xludf.DUMMYFUNCTION("""COMPUTED_VALUE"""),"Stock")</f>
        <v>Stock</v>
      </c>
      <c r="G252" s="43" t="str">
        <f ca="1">IFERROR(__xludf.DUMMYFUNCTION("""COMPUTED_VALUE"""),"HKD")</f>
        <v>HKD</v>
      </c>
      <c r="H252" s="154">
        <f ca="1">IFERROR(__xludf.DUMMYFUNCTION("""COMPUTED_VALUE"""),0)</f>
        <v>0</v>
      </c>
      <c r="I252" s="148">
        <f ca="1">IFERROR(__xludf.DUMMYFUNCTION("""COMPUTED_VALUE"""),1)</f>
        <v>1</v>
      </c>
      <c r="J252" s="149">
        <f ca="1">IFERROR(__xludf.DUMMYFUNCTION("""COMPUTED_VALUE"""),0)</f>
        <v>0</v>
      </c>
      <c r="K252" s="43"/>
      <c r="L252" s="149" t="str">
        <f ca="1">IFERROR(__xludf.DUMMYFUNCTION("""COMPUTED_VALUE"""),"")</f>
        <v/>
      </c>
      <c r="M252" s="155" t="str">
        <f ca="1">IFERROR(__xludf.DUMMYFUNCTION("""COMPUTED_VALUE"""),"Equity Key Stats")</f>
        <v>Equity Key Stats</v>
      </c>
      <c r="N252" s="43"/>
      <c r="O252" s="43"/>
      <c r="P252" s="157">
        <f ca="1">IFERROR(__xludf.DUMMYFUNCTION("""COMPUTED_VALUE"""),0)</f>
        <v>0</v>
      </c>
      <c r="Q252" s="151"/>
      <c r="R252" s="152">
        <f ca="1">IFERROR(__xludf.DUMMYFUNCTION("""COMPUTED_VALUE"""),2.1)</f>
        <v>2.1</v>
      </c>
      <c r="S252" s="150">
        <f ca="1">IFERROR(__xludf.DUMMYFUNCTION("""COMPUTED_VALUE"""),0)</f>
        <v>0</v>
      </c>
      <c r="T252" s="108">
        <f ca="1">IFERROR(__xludf.DUMMYFUNCTION("""COMPUTED_VALUE"""),1)</f>
        <v>1</v>
      </c>
      <c r="U252" s="108">
        <f ca="1">IFERROR(__xludf.DUMMYFUNCTION("""COMPUTED_VALUE"""),1)</f>
        <v>1</v>
      </c>
      <c r="V252" s="153">
        <f ca="1">IFERROR(__xludf.DUMMYFUNCTION("""COMPUTED_VALUE"""),0)</f>
        <v>0</v>
      </c>
      <c r="W252" s="44">
        <f ca="1">IFERROR(__xludf.DUMMYFUNCTION("""COMPUTED_VALUE"""),497950)</f>
        <v>497950</v>
      </c>
      <c r="X252" s="154">
        <f ca="1">IFERROR(__xludf.DUMMYFUNCTION("""COMPUTED_VALUE"""),485150)</f>
        <v>485150</v>
      </c>
      <c r="Y252" s="154">
        <f ca="1">IFERROR(__xludf.DUMMYFUNCTION("""COMPUTED_VALUE"""),0)</f>
        <v>0</v>
      </c>
      <c r="Z252" s="159">
        <f ca="1">IFERROR(__xludf.DUMMYFUNCTION("""COMPUTED_VALUE"""),-0.00409999999999999)</f>
        <v>-4.0999999999999899E-3</v>
      </c>
    </row>
    <row r="253" spans="1:26" ht="13" x14ac:dyDescent="0.15">
      <c r="A253" s="43" t="str">
        <f ca="1">IFERROR(__xludf.DUMMYFUNCTION("""COMPUTED_VALUE"""),"39815")</f>
        <v>39815</v>
      </c>
      <c r="B253" s="43" t="str">
        <f ca="1">IFERROR(__xludf.DUMMYFUNCTION("""COMPUTED_VALUE"""),"39815")</f>
        <v>39815</v>
      </c>
      <c r="C253" s="146">
        <f ca="1">IFERROR(__xludf.DUMMYFUNCTION("""COMPUTED_VALUE"""),44597000029)</f>
        <v>44597000029</v>
      </c>
      <c r="D253" s="43" t="str">
        <f ca="1">IFERROR(__xludf.DUMMYFUNCTION("""COMPUTED_VALUE"""),"Cash")</f>
        <v>Cash</v>
      </c>
      <c r="E253" s="147">
        <f ca="1">IFERROR(__xludf.DUMMYFUNCTION("""COMPUTED_VALUE"""),44597)</f>
        <v>44597</v>
      </c>
      <c r="F253" s="43" t="str">
        <f ca="1">IFERROR(__xludf.DUMMYFUNCTION("""COMPUTED_VALUE"""),"Cash")</f>
        <v>Cash</v>
      </c>
      <c r="G253" s="43" t="str">
        <f ca="1">IFERROR(__xludf.DUMMYFUNCTION("""COMPUTED_VALUE"""),"HKD")</f>
        <v>HKD</v>
      </c>
      <c r="H253" s="11" t="str">
        <f ca="1">IFERROR(__xludf.DUMMYFUNCTION("""COMPUTED_VALUE"""),"")</f>
        <v/>
      </c>
      <c r="I253" s="148">
        <f ca="1">IFERROR(__xludf.DUMMYFUNCTION("""COMPUTED_VALUE"""),1)</f>
        <v>1</v>
      </c>
      <c r="J253" s="108">
        <f ca="1">IFERROR(__xludf.DUMMYFUNCTION("""COMPUTED_VALUE"""),1)</f>
        <v>1</v>
      </c>
      <c r="K253" s="43"/>
      <c r="L253" s="149">
        <f ca="1">IFERROR(__xludf.DUMMYFUNCTION("""COMPUTED_VALUE"""),1)</f>
        <v>1</v>
      </c>
      <c r="M253" s="3" t="str">
        <f ca="1">IFERROR(__xludf.DUMMYFUNCTION("""COMPUTED_VALUE"""),"")</f>
        <v/>
      </c>
      <c r="N253" s="43"/>
      <c r="O253" s="43"/>
      <c r="P253" s="150">
        <f ca="1">IFERROR(__xludf.DUMMYFUNCTION("""COMPUTED_VALUE"""),500000)</f>
        <v>500000</v>
      </c>
      <c r="Q253" s="151"/>
      <c r="R253" s="152">
        <f ca="1">IFERROR(__xludf.DUMMYFUNCTION("""COMPUTED_VALUE"""),1)</f>
        <v>1</v>
      </c>
      <c r="S253" s="127" t="str">
        <f ca="1">IFERROR(__xludf.DUMMYFUNCTION("""COMPUTED_VALUE"""),"")</f>
        <v/>
      </c>
      <c r="T253" s="108">
        <f ca="1">IFERROR(__xludf.DUMMYFUNCTION("""COMPUTED_VALUE"""),1)</f>
        <v>1</v>
      </c>
      <c r="U253" s="108">
        <f ca="1">IFERROR(__xludf.DUMMYFUNCTION("""COMPUTED_VALUE"""),1)</f>
        <v>1</v>
      </c>
      <c r="V253" s="153">
        <f ca="1">IFERROR(__xludf.DUMMYFUNCTION("""COMPUTED_VALUE"""),500000)</f>
        <v>500000</v>
      </c>
      <c r="W253" s="145">
        <f ca="1">IFERROR(__xludf.DUMMYFUNCTION("""COMPUTED_VALUE"""),500000)</f>
        <v>500000</v>
      </c>
      <c r="X253" s="11">
        <f ca="1">IFERROR(__xludf.DUMMYFUNCTION("""COMPUTED_VALUE"""),500000)</f>
        <v>500000</v>
      </c>
      <c r="Y253" s="11">
        <f ca="1">IFERROR(__xludf.DUMMYFUNCTION("""COMPUTED_VALUE"""),0)</f>
        <v>0</v>
      </c>
      <c r="Z253" s="4">
        <f ca="1">IFERROR(__xludf.DUMMYFUNCTION("""COMPUTED_VALUE"""),0)</f>
        <v>0</v>
      </c>
    </row>
    <row r="254" spans="1:26" ht="13" x14ac:dyDescent="0.15">
      <c r="A254" s="43" t="str">
        <f ca="1">IFERROR(__xludf.DUMMYFUNCTION("""COMPUTED_VALUE"""),"")</f>
        <v/>
      </c>
      <c r="B254" s="43" t="str">
        <f ca="1">IFERROR(__xludf.DUMMYFUNCTION("""COMPUTED_VALUE"""),"39857")</f>
        <v>39857</v>
      </c>
      <c r="C254" s="146">
        <f ca="1">IFERROR(__xludf.DUMMYFUNCTION("""COMPUTED_VALUE"""),44597000093)</f>
        <v>44597000093</v>
      </c>
      <c r="D254" s="163" t="str">
        <f ca="1">IFERROR(__xludf.DUMMYFUNCTION("""COMPUTED_VALUE"""),"Cash")</f>
        <v>Cash</v>
      </c>
      <c r="E254" s="147">
        <f ca="1">IFERROR(__xludf.DUMMYFUNCTION("""COMPUTED_VALUE"""),44597)</f>
        <v>44597</v>
      </c>
      <c r="F254" s="43" t="str">
        <f ca="1">IFERROR(__xludf.DUMMYFUNCTION("""COMPUTED_VALUE"""),"Cash")</f>
        <v>Cash</v>
      </c>
      <c r="G254" s="43" t="str">
        <f ca="1">IFERROR(__xludf.DUMMYFUNCTION("""COMPUTED_VALUE"""),"HKD")</f>
        <v>HKD</v>
      </c>
      <c r="H254" s="154" t="str">
        <f ca="1">IFERROR(__xludf.DUMMYFUNCTION("""COMPUTED_VALUE"""),"")</f>
        <v/>
      </c>
      <c r="I254" s="148">
        <f ca="1">IFERROR(__xludf.DUMMYFUNCTION("""COMPUTED_VALUE"""),1)</f>
        <v>1</v>
      </c>
      <c r="J254" s="149">
        <f ca="1">IFERROR(__xludf.DUMMYFUNCTION("""COMPUTED_VALUE"""),1)</f>
        <v>1</v>
      </c>
      <c r="K254" s="43"/>
      <c r="L254" s="149">
        <f ca="1">IFERROR(__xludf.DUMMYFUNCTION("""COMPUTED_VALUE"""),1)</f>
        <v>1</v>
      </c>
      <c r="M254" s="155" t="str">
        <f ca="1">IFERROR(__xludf.DUMMYFUNCTION("""COMPUTED_VALUE"""),"")</f>
        <v/>
      </c>
      <c r="N254" s="43"/>
      <c r="O254" s="43"/>
      <c r="P254" s="157">
        <f ca="1">IFERROR(__xludf.DUMMYFUNCTION("""COMPUTED_VALUE"""),500000)</f>
        <v>500000</v>
      </c>
      <c r="Q254" s="151"/>
      <c r="R254" s="152">
        <f ca="1">IFERROR(__xludf.DUMMYFUNCTION("""COMPUTED_VALUE"""),1)</f>
        <v>1</v>
      </c>
      <c r="S254" s="150" t="str">
        <f ca="1">IFERROR(__xludf.DUMMYFUNCTION("""COMPUTED_VALUE"""),"")</f>
        <v/>
      </c>
      <c r="T254" s="108">
        <f ca="1">IFERROR(__xludf.DUMMYFUNCTION("""COMPUTED_VALUE"""),1)</f>
        <v>1</v>
      </c>
      <c r="U254" s="43">
        <f ca="1">IFERROR(__xludf.DUMMYFUNCTION("""COMPUTED_VALUE"""),1)</f>
        <v>1</v>
      </c>
      <c r="V254" s="144">
        <f ca="1">IFERROR(__xludf.DUMMYFUNCTION("""COMPUTED_VALUE"""),500000)</f>
        <v>500000</v>
      </c>
      <c r="W254" s="145" t="str">
        <f ca="1">IFERROR(__xludf.DUMMYFUNCTION("""COMPUTED_VALUE"""),"")</f>
        <v/>
      </c>
      <c r="X254" s="11" t="str">
        <f ca="1">IFERROR(__xludf.DUMMYFUNCTION("""COMPUTED_VALUE"""),"")</f>
        <v/>
      </c>
      <c r="Y254" s="11" t="str">
        <f ca="1">IFERROR(__xludf.DUMMYFUNCTION("""COMPUTED_VALUE"""),"")</f>
        <v/>
      </c>
      <c r="Z254" s="4" t="str">
        <f ca="1">IFERROR(__xludf.DUMMYFUNCTION("""COMPUTED_VALUE"""),"")</f>
        <v/>
      </c>
    </row>
    <row r="255" spans="1:26" ht="13" x14ac:dyDescent="0.15">
      <c r="A255" s="43" t="str">
        <f ca="1">IFERROR(__xludf.DUMMYFUNCTION("""COMPUTED_VALUE"""),"")</f>
        <v/>
      </c>
      <c r="B255" s="43" t="str">
        <f ca="1">IFERROR(__xludf.DUMMYFUNCTION("""COMPUTED_VALUE"""),"39857")</f>
        <v>39857</v>
      </c>
      <c r="C255" s="146">
        <f ca="1">IFERROR(__xludf.DUMMYFUNCTION("""COMPUTED_VALUE"""),44607000200)</f>
        <v>44607000200</v>
      </c>
      <c r="D255" s="163" t="str">
        <f ca="1">IFERROR(__xludf.DUMMYFUNCTION("""COMPUTED_VALUE"""),"TSLA")</f>
        <v>TSLA</v>
      </c>
      <c r="E255" s="147">
        <f ca="1">IFERROR(__xludf.DUMMYFUNCTION("""COMPUTED_VALUE"""),44607)</f>
        <v>44607</v>
      </c>
      <c r="F255" s="43" t="str">
        <f ca="1">IFERROR(__xludf.DUMMYFUNCTION("""COMPUTED_VALUE"""),"Stock")</f>
        <v>Stock</v>
      </c>
      <c r="G255" s="43" t="str">
        <f ca="1">IFERROR(__xludf.DUMMYFUNCTION("""COMPUTED_VALUE"""),"USD")</f>
        <v>USD</v>
      </c>
      <c r="H255" s="154">
        <f ca="1">IFERROR(__xludf.DUMMYFUNCTION("""COMPUTED_VALUE"""),-2)</f>
        <v>-2</v>
      </c>
      <c r="I255" s="148">
        <f ca="1">IFERROR(__xludf.DUMMYFUNCTION("""COMPUTED_VALUE"""),7.801355)</f>
        <v>7.801355</v>
      </c>
      <c r="J255" s="149">
        <f ca="1">IFERROR(__xludf.DUMMYFUNCTION("""COMPUTED_VALUE"""),922.43)</f>
        <v>922.43</v>
      </c>
      <c r="K255" s="43"/>
      <c r="L255" s="149">
        <f ca="1">IFERROR(__xludf.DUMMYFUNCTION("""COMPUTED_VALUE"""),993.98)</f>
        <v>993.98</v>
      </c>
      <c r="M255" s="155" t="str">
        <f ca="1">IFERROR(__xludf.DUMMYFUNCTION("""COMPUTED_VALUE"""),"Equity Key Stats")</f>
        <v>Equity Key Stats</v>
      </c>
      <c r="N255" s="43"/>
      <c r="O255" s="43"/>
      <c r="P255" s="157">
        <f ca="1">IFERROR(__xludf.DUMMYFUNCTION("""COMPUTED_VALUE"""),14392.4077853)</f>
        <v>14392.4077853</v>
      </c>
      <c r="Q255" s="151"/>
      <c r="R255" s="152">
        <f ca="1">IFERROR(__xludf.DUMMYFUNCTION("""COMPUTED_VALUE"""),999.11)</f>
        <v>999.11</v>
      </c>
      <c r="S255" s="150">
        <f ca="1">IFERROR(__xludf.DUMMYFUNCTION("""COMPUTED_VALUE"""),-15588.8235881)</f>
        <v>-15588.8235881</v>
      </c>
      <c r="T255" s="108">
        <f ca="1">IFERROR(__xludf.DUMMYFUNCTION("""COMPUTED_VALUE"""),5)</f>
        <v>5</v>
      </c>
      <c r="U255" s="43" t="str">
        <f ca="1">IFERROR(__xludf.DUMMYFUNCTION("""COMPUTED_VALUE"""),"")</f>
        <v/>
      </c>
      <c r="V255" s="144" t="str">
        <f ca="1">IFERROR(__xludf.DUMMYFUNCTION("""COMPUTED_VALUE"""),"")</f>
        <v/>
      </c>
      <c r="W255" s="145" t="str">
        <f ca="1">IFERROR(__xludf.DUMMYFUNCTION("""COMPUTED_VALUE"""),"")</f>
        <v/>
      </c>
      <c r="X255" s="11" t="str">
        <f ca="1">IFERROR(__xludf.DUMMYFUNCTION("""COMPUTED_VALUE"""),"")</f>
        <v/>
      </c>
      <c r="Y255" s="11" t="str">
        <f ca="1">IFERROR(__xludf.DUMMYFUNCTION("""COMPUTED_VALUE"""),"")</f>
        <v/>
      </c>
      <c r="Z255" s="4" t="str">
        <f ca="1">IFERROR(__xludf.DUMMYFUNCTION("""COMPUTED_VALUE"""),"")</f>
        <v/>
      </c>
    </row>
    <row r="256" spans="1:26" ht="13" x14ac:dyDescent="0.15">
      <c r="A256" s="43" t="str">
        <f ca="1">IFERROR(__xludf.DUMMYFUNCTION("""COMPUTED_VALUE"""),"")</f>
        <v/>
      </c>
      <c r="B256" s="43" t="str">
        <f ca="1">IFERROR(__xludf.DUMMYFUNCTION("""COMPUTED_VALUE"""),"39857")</f>
        <v>39857</v>
      </c>
      <c r="C256" s="146">
        <f ca="1">IFERROR(__xludf.DUMMYFUNCTION("""COMPUTED_VALUE"""),44608000224)</f>
        <v>44608000224</v>
      </c>
      <c r="D256" s="163" t="str">
        <f ca="1">IFERROR(__xludf.DUMMYFUNCTION("""COMPUTED_VALUE"""),"DIS")</f>
        <v>DIS</v>
      </c>
      <c r="E256" s="147">
        <f ca="1">IFERROR(__xludf.DUMMYFUNCTION("""COMPUTED_VALUE"""),44608)</f>
        <v>44608</v>
      </c>
      <c r="F256" s="43" t="str">
        <f ca="1">IFERROR(__xludf.DUMMYFUNCTION("""COMPUTED_VALUE"""),"Stock")</f>
        <v>Stock</v>
      </c>
      <c r="G256" s="43" t="str">
        <f ca="1">IFERROR(__xludf.DUMMYFUNCTION("""COMPUTED_VALUE"""),"USD")</f>
        <v>USD</v>
      </c>
      <c r="H256" s="154">
        <f ca="1">IFERROR(__xludf.DUMMYFUNCTION("""COMPUTED_VALUE"""),200)</f>
        <v>200</v>
      </c>
      <c r="I256" s="148">
        <f ca="1">IFERROR(__xludf.DUMMYFUNCTION("""COMPUTED_VALUE"""),7.8005)</f>
        <v>7.8005000000000004</v>
      </c>
      <c r="J256" s="149">
        <f ca="1">IFERROR(__xludf.DUMMYFUNCTION("""COMPUTED_VALUE"""),156.35)</f>
        <v>156.35</v>
      </c>
      <c r="K256" s="43"/>
      <c r="L256" s="149">
        <f ca="1">IFERROR(__xludf.DUMMYFUNCTION("""COMPUTED_VALUE"""),140.11)</f>
        <v>140.11000000000001</v>
      </c>
      <c r="M256" s="155" t="str">
        <f ca="1">IFERROR(__xludf.DUMMYFUNCTION("""COMPUTED_VALUE"""),"Equity Key Stats")</f>
        <v>Equity Key Stats</v>
      </c>
      <c r="N256" s="43"/>
      <c r="O256" s="43"/>
      <c r="P256" s="157">
        <f ca="1">IFERROR(__xludf.DUMMYFUNCTION("""COMPUTED_VALUE"""),-243921.635)</f>
        <v>-243921.63500000001</v>
      </c>
      <c r="Q256" s="151"/>
      <c r="R256" s="152">
        <f ca="1">IFERROR(__xludf.DUMMYFUNCTION("""COMPUTED_VALUE"""),137.64)</f>
        <v>137.63999999999999</v>
      </c>
      <c r="S256" s="150">
        <f ca="1">IFERROR(__xludf.DUMMYFUNCTION("""COMPUTED_VALUE"""),214732.164)</f>
        <v>214732.16399999999</v>
      </c>
      <c r="T256" s="108">
        <f ca="1">IFERROR(__xludf.DUMMYFUNCTION("""COMPUTED_VALUE"""),3)</f>
        <v>3</v>
      </c>
      <c r="U256" s="108" t="str">
        <f ca="1">IFERROR(__xludf.DUMMYFUNCTION("""COMPUTED_VALUE"""),"")</f>
        <v/>
      </c>
      <c r="V256" s="158" t="str">
        <f ca="1">IFERROR(__xludf.DUMMYFUNCTION("""COMPUTED_VALUE"""),"")</f>
        <v/>
      </c>
      <c r="W256" s="145" t="str">
        <f ca="1">IFERROR(__xludf.DUMMYFUNCTION("""COMPUTED_VALUE"""),"")</f>
        <v/>
      </c>
      <c r="X256" s="11" t="str">
        <f ca="1">IFERROR(__xludf.DUMMYFUNCTION("""COMPUTED_VALUE"""),"")</f>
        <v/>
      </c>
      <c r="Y256" s="11" t="str">
        <f ca="1">IFERROR(__xludf.DUMMYFUNCTION("""COMPUTED_VALUE"""),"")</f>
        <v/>
      </c>
      <c r="Z256" s="4" t="str">
        <f ca="1">IFERROR(__xludf.DUMMYFUNCTION("""COMPUTED_VALUE"""),"")</f>
        <v/>
      </c>
    </row>
    <row r="257" spans="1:26" ht="13" x14ac:dyDescent="0.15">
      <c r="A257" s="43" t="str">
        <f ca="1">IFERROR(__xludf.DUMMYFUNCTION("""COMPUTED_VALUE"""),"")</f>
        <v/>
      </c>
      <c r="B257" s="43" t="str">
        <f ca="1">IFERROR(__xludf.DUMMYFUNCTION("""COMPUTED_VALUE"""),"39857")</f>
        <v>39857</v>
      </c>
      <c r="C257" s="146">
        <f ca="1">IFERROR(__xludf.DUMMYFUNCTION("""COMPUTED_VALUE"""),44609000235)</f>
        <v>44609000235</v>
      </c>
      <c r="D257" s="43" t="str">
        <f ca="1">IFERROR(__xludf.DUMMYFUNCTION("""COMPUTED_VALUE"""),"DIS")</f>
        <v>DIS</v>
      </c>
      <c r="E257" s="147">
        <f ca="1">IFERROR(__xludf.DUMMYFUNCTION("""COMPUTED_VALUE"""),44609)</f>
        <v>44609</v>
      </c>
      <c r="F257" s="43" t="str">
        <f ca="1">IFERROR(__xludf.DUMMYFUNCTION("""COMPUTED_VALUE"""),"Stock")</f>
        <v>Stock</v>
      </c>
      <c r="G257" s="43" t="str">
        <f ca="1">IFERROR(__xludf.DUMMYFUNCTION("""COMPUTED_VALUE"""),"USD")</f>
        <v>USD</v>
      </c>
      <c r="H257" s="154">
        <f ca="1">IFERROR(__xludf.DUMMYFUNCTION("""COMPUTED_VALUE"""),300)</f>
        <v>300</v>
      </c>
      <c r="I257" s="148">
        <f ca="1">IFERROR(__xludf.DUMMYFUNCTION("""COMPUTED_VALUE"""),7.799115)</f>
        <v>7.7991149999999996</v>
      </c>
      <c r="J257" s="149">
        <f ca="1">IFERROR(__xludf.DUMMYFUNCTION("""COMPUTED_VALUE"""),152.95)</f>
        <v>152.94999999999999</v>
      </c>
      <c r="K257" s="43"/>
      <c r="L257" s="149">
        <f ca="1">IFERROR(__xludf.DUMMYFUNCTION("""COMPUTED_VALUE"""),140.11)</f>
        <v>140.11000000000001</v>
      </c>
      <c r="M257" s="155" t="str">
        <f ca="1">IFERROR(__xludf.DUMMYFUNCTION("""COMPUTED_VALUE"""),"Equity Key Stats")</f>
        <v>Equity Key Stats</v>
      </c>
      <c r="N257" s="43"/>
      <c r="O257" s="43"/>
      <c r="P257" s="157">
        <f ca="1">IFERROR(__xludf.DUMMYFUNCTION("""COMPUTED_VALUE"""),-357862.391774999)</f>
        <v>-357862.39177499898</v>
      </c>
      <c r="Q257" s="151"/>
      <c r="R257" s="152">
        <f ca="1">IFERROR(__xludf.DUMMYFUNCTION("""COMPUTED_VALUE"""),137.64)</f>
        <v>137.63999999999999</v>
      </c>
      <c r="S257" s="150">
        <f ca="1">IFERROR(__xludf.DUMMYFUNCTION("""COMPUTED_VALUE"""),322041.05658)</f>
        <v>322041.05657999997</v>
      </c>
      <c r="T257" s="108">
        <f ca="1">IFERROR(__xludf.DUMMYFUNCTION("""COMPUTED_VALUE"""),3)</f>
        <v>3</v>
      </c>
      <c r="U257" s="43" t="str">
        <f ca="1">IFERROR(__xludf.DUMMYFUNCTION("""COMPUTED_VALUE"""),"")</f>
        <v/>
      </c>
      <c r="V257" s="144" t="str">
        <f ca="1">IFERROR(__xludf.DUMMYFUNCTION("""COMPUTED_VALUE"""),"")</f>
        <v/>
      </c>
      <c r="W257" s="145" t="str">
        <f ca="1">IFERROR(__xludf.DUMMYFUNCTION("""COMPUTED_VALUE"""),"")</f>
        <v/>
      </c>
      <c r="X257" s="11" t="str">
        <f ca="1">IFERROR(__xludf.DUMMYFUNCTION("""COMPUTED_VALUE"""),"")</f>
        <v/>
      </c>
      <c r="Y257" s="11" t="str">
        <f ca="1">IFERROR(__xludf.DUMMYFUNCTION("""COMPUTED_VALUE"""),"")</f>
        <v/>
      </c>
      <c r="Z257" s="4" t="str">
        <f ca="1">IFERROR(__xludf.DUMMYFUNCTION("""COMPUTED_VALUE"""),"")</f>
        <v/>
      </c>
    </row>
    <row r="258" spans="1:26" ht="13" x14ac:dyDescent="0.15">
      <c r="A258" s="43" t="str">
        <f ca="1">IFERROR(__xludf.DUMMYFUNCTION("""COMPUTED_VALUE"""),"")</f>
        <v/>
      </c>
      <c r="B258" s="43" t="str">
        <f ca="1">IFERROR(__xludf.DUMMYFUNCTION("""COMPUTED_VALUE"""),"39857")</f>
        <v>39857</v>
      </c>
      <c r="C258" s="146">
        <f ca="1">IFERROR(__xludf.DUMMYFUNCTION("""COMPUTED_VALUE"""),44610000247)</f>
        <v>44610000247</v>
      </c>
      <c r="D258" s="43" t="str">
        <f ca="1">IFERROR(__xludf.DUMMYFUNCTION("""COMPUTED_VALUE"""),"TSLA")</f>
        <v>TSLA</v>
      </c>
      <c r="E258" s="147">
        <f ca="1">IFERROR(__xludf.DUMMYFUNCTION("""COMPUTED_VALUE"""),44610)</f>
        <v>44610</v>
      </c>
      <c r="F258" s="43" t="str">
        <f ca="1">IFERROR(__xludf.DUMMYFUNCTION("""COMPUTED_VALUE"""),"Stock")</f>
        <v>Stock</v>
      </c>
      <c r="G258" s="43" t="str">
        <f ca="1">IFERROR(__xludf.DUMMYFUNCTION("""COMPUTED_VALUE"""),"USD")</f>
        <v>USD</v>
      </c>
      <c r="H258" s="154">
        <f ca="1">IFERROR(__xludf.DUMMYFUNCTION("""COMPUTED_VALUE"""),2)</f>
        <v>2</v>
      </c>
      <c r="I258" s="148">
        <f ca="1">IFERROR(__xludf.DUMMYFUNCTION("""COMPUTED_VALUE"""),7.80051)</f>
        <v>7.8005100000000001</v>
      </c>
      <c r="J258" s="149">
        <f ca="1">IFERROR(__xludf.DUMMYFUNCTION("""COMPUTED_VALUE"""),856.98)</f>
        <v>856.98</v>
      </c>
      <c r="K258" s="43"/>
      <c r="L258" s="149">
        <f ca="1">IFERROR(__xludf.DUMMYFUNCTION("""COMPUTED_VALUE"""),993.98)</f>
        <v>993.98</v>
      </c>
      <c r="M258" s="155" t="str">
        <f ca="1">IFERROR(__xludf.DUMMYFUNCTION("""COMPUTED_VALUE"""),"Equity Key Stats")</f>
        <v>Equity Key Stats</v>
      </c>
      <c r="N258" s="43"/>
      <c r="O258" s="43"/>
      <c r="P258" s="157">
        <f ca="1">IFERROR(__xludf.DUMMYFUNCTION("""COMPUTED_VALUE"""),-13369.7621196)</f>
        <v>-13369.7621196</v>
      </c>
      <c r="Q258" s="151"/>
      <c r="R258" s="152">
        <f ca="1">IFERROR(__xludf.DUMMYFUNCTION("""COMPUTED_VALUE"""),999.11)</f>
        <v>999.11</v>
      </c>
      <c r="S258" s="150">
        <f ca="1">IFERROR(__xludf.DUMMYFUNCTION("""COMPUTED_VALUE"""),15587.1350922)</f>
        <v>15587.1350922</v>
      </c>
      <c r="T258" s="108">
        <f ca="1">IFERROR(__xludf.DUMMYFUNCTION("""COMPUTED_VALUE"""),5)</f>
        <v>5</v>
      </c>
      <c r="U258" s="43" t="str">
        <f ca="1">IFERROR(__xludf.DUMMYFUNCTION("""COMPUTED_VALUE"""),"")</f>
        <v/>
      </c>
      <c r="V258" s="144" t="str">
        <f ca="1">IFERROR(__xludf.DUMMYFUNCTION("""COMPUTED_VALUE"""),"")</f>
        <v/>
      </c>
      <c r="W258" s="145" t="str">
        <f ca="1">IFERROR(__xludf.DUMMYFUNCTION("""COMPUTED_VALUE"""),"")</f>
        <v/>
      </c>
      <c r="X258" s="11" t="str">
        <f ca="1">IFERROR(__xludf.DUMMYFUNCTION("""COMPUTED_VALUE"""),"")</f>
        <v/>
      </c>
      <c r="Y258" s="11" t="str">
        <f ca="1">IFERROR(__xludf.DUMMYFUNCTION("""COMPUTED_VALUE"""),"")</f>
        <v/>
      </c>
      <c r="Z258" s="4" t="str">
        <f ca="1">IFERROR(__xludf.DUMMYFUNCTION("""COMPUTED_VALUE"""),"")</f>
        <v/>
      </c>
    </row>
    <row r="259" spans="1:26" ht="13" x14ac:dyDescent="0.15">
      <c r="A259" s="43" t="str">
        <f ca="1">IFERROR(__xludf.DUMMYFUNCTION("""COMPUTED_VALUE"""),"")</f>
        <v/>
      </c>
      <c r="B259" s="43" t="str">
        <f ca="1">IFERROR(__xludf.DUMMYFUNCTION("""COMPUTED_VALUE"""),"39857")</f>
        <v>39857</v>
      </c>
      <c r="C259" s="146">
        <f ca="1">IFERROR(__xludf.DUMMYFUNCTION("""COMPUTED_VALUE"""),44610000276)</f>
        <v>44610000276</v>
      </c>
      <c r="D259" s="43" t="str">
        <f ca="1">IFERROR(__xludf.DUMMYFUNCTION("""COMPUTED_VALUE"""),"RIVN")</f>
        <v>RIVN</v>
      </c>
      <c r="E259" s="147">
        <f ca="1">IFERROR(__xludf.DUMMYFUNCTION("""COMPUTED_VALUE"""),44610)</f>
        <v>44610</v>
      </c>
      <c r="F259" s="43" t="str">
        <f ca="1">IFERROR(__xludf.DUMMYFUNCTION("""COMPUTED_VALUE"""),"Stock")</f>
        <v>Stock</v>
      </c>
      <c r="G259" s="43" t="str">
        <f ca="1">IFERROR(__xludf.DUMMYFUNCTION("""COMPUTED_VALUE"""),"USD")</f>
        <v>USD</v>
      </c>
      <c r="H259" s="156">
        <f ca="1">IFERROR(__xludf.DUMMYFUNCTION("""COMPUTED_VALUE"""),0)</f>
        <v>0</v>
      </c>
      <c r="I259" s="148">
        <f ca="1">IFERROR(__xludf.DUMMYFUNCTION("""COMPUTED_VALUE"""),7.80051)</f>
        <v>7.8005100000000001</v>
      </c>
      <c r="J259" s="149">
        <f ca="1">IFERROR(__xludf.DUMMYFUNCTION("""COMPUTED_VALUE"""),0)</f>
        <v>0</v>
      </c>
      <c r="K259" s="43"/>
      <c r="L259" s="149">
        <f ca="1">IFERROR(__xludf.DUMMYFUNCTION("""COMPUTED_VALUE"""),46.93)</f>
        <v>46.93</v>
      </c>
      <c r="M259" s="155" t="str">
        <f ca="1">IFERROR(__xludf.DUMMYFUNCTION("""COMPUTED_VALUE"""),"Equity Key Stats")</f>
        <v>Equity Key Stats</v>
      </c>
      <c r="N259" s="43"/>
      <c r="O259" s="43"/>
      <c r="P259" s="150">
        <f ca="1">IFERROR(__xludf.DUMMYFUNCTION("""COMPUTED_VALUE"""),0)</f>
        <v>0</v>
      </c>
      <c r="Q259" s="151"/>
      <c r="R259" s="152">
        <f ca="1">IFERROR(__xludf.DUMMYFUNCTION("""COMPUTED_VALUE"""),45.87)</f>
        <v>45.87</v>
      </c>
      <c r="S259" s="157">
        <f ca="1">IFERROR(__xludf.DUMMYFUNCTION("""COMPUTED_VALUE"""),0)</f>
        <v>0</v>
      </c>
      <c r="T259" s="108">
        <f ca="1">IFERROR(__xludf.DUMMYFUNCTION("""COMPUTED_VALUE"""),2)</f>
        <v>2</v>
      </c>
      <c r="U259" s="108" t="str">
        <f ca="1">IFERROR(__xludf.DUMMYFUNCTION("""COMPUTED_VALUE"""),"")</f>
        <v/>
      </c>
      <c r="V259" s="158" t="str">
        <f ca="1">IFERROR(__xludf.DUMMYFUNCTION("""COMPUTED_VALUE"""),"")</f>
        <v/>
      </c>
      <c r="W259" s="145" t="str">
        <f ca="1">IFERROR(__xludf.DUMMYFUNCTION("""COMPUTED_VALUE"""),"")</f>
        <v/>
      </c>
      <c r="X259" s="11" t="str">
        <f ca="1">IFERROR(__xludf.DUMMYFUNCTION("""COMPUTED_VALUE"""),"")</f>
        <v/>
      </c>
      <c r="Y259" s="11" t="str">
        <f ca="1">IFERROR(__xludf.DUMMYFUNCTION("""COMPUTED_VALUE"""),"")</f>
        <v/>
      </c>
      <c r="Z259" s="4" t="str">
        <f ca="1">IFERROR(__xludf.DUMMYFUNCTION("""COMPUTED_VALUE"""),"")</f>
        <v/>
      </c>
    </row>
    <row r="260" spans="1:26" ht="13" x14ac:dyDescent="0.15">
      <c r="A260" s="43" t="str">
        <f ca="1">IFERROR(__xludf.DUMMYFUNCTION("""COMPUTED_VALUE"""),"")</f>
        <v/>
      </c>
      <c r="B260" s="43" t="str">
        <f ca="1">IFERROR(__xludf.DUMMYFUNCTION("""COMPUTED_VALUE"""),"39857")</f>
        <v>39857</v>
      </c>
      <c r="C260" s="146">
        <f ca="1">IFERROR(__xludf.DUMMYFUNCTION("""COMPUTED_VALUE"""),44610000277)</f>
        <v>44610000277</v>
      </c>
      <c r="D260" s="43" t="str">
        <f ca="1">IFERROR(__xludf.DUMMYFUNCTION("""COMPUTED_VALUE"""),"RIVN")</f>
        <v>RIVN</v>
      </c>
      <c r="E260" s="147">
        <f ca="1">IFERROR(__xludf.DUMMYFUNCTION("""COMPUTED_VALUE"""),44610)</f>
        <v>44610</v>
      </c>
      <c r="F260" s="43" t="str">
        <f ca="1">IFERROR(__xludf.DUMMYFUNCTION("""COMPUTED_VALUE"""),"Stock")</f>
        <v>Stock</v>
      </c>
      <c r="G260" s="43" t="str">
        <f ca="1">IFERROR(__xludf.DUMMYFUNCTION("""COMPUTED_VALUE"""),"USD")</f>
        <v>USD</v>
      </c>
      <c r="H260" s="154">
        <f ca="1">IFERROR(__xludf.DUMMYFUNCTION("""COMPUTED_VALUE"""),0)</f>
        <v>0</v>
      </c>
      <c r="I260" s="148">
        <f ca="1">IFERROR(__xludf.DUMMYFUNCTION("""COMPUTED_VALUE"""),7.80051)</f>
        <v>7.8005100000000001</v>
      </c>
      <c r="J260" s="149">
        <f ca="1">IFERROR(__xludf.DUMMYFUNCTION("""COMPUTED_VALUE"""),0)</f>
        <v>0</v>
      </c>
      <c r="K260" s="43"/>
      <c r="L260" s="149">
        <f ca="1">IFERROR(__xludf.DUMMYFUNCTION("""COMPUTED_VALUE"""),46.93)</f>
        <v>46.93</v>
      </c>
      <c r="M260" s="155" t="str">
        <f ca="1">IFERROR(__xludf.DUMMYFUNCTION("""COMPUTED_VALUE"""),"Equity Key Stats")</f>
        <v>Equity Key Stats</v>
      </c>
      <c r="N260" s="43"/>
      <c r="O260" s="43"/>
      <c r="P260" s="157">
        <f ca="1">IFERROR(__xludf.DUMMYFUNCTION("""COMPUTED_VALUE"""),0)</f>
        <v>0</v>
      </c>
      <c r="Q260" s="151"/>
      <c r="R260" s="152">
        <f ca="1">IFERROR(__xludf.DUMMYFUNCTION("""COMPUTED_VALUE"""),45.87)</f>
        <v>45.87</v>
      </c>
      <c r="S260" s="150">
        <f ca="1">IFERROR(__xludf.DUMMYFUNCTION("""COMPUTED_VALUE"""),0)</f>
        <v>0</v>
      </c>
      <c r="T260" s="108">
        <f ca="1">IFERROR(__xludf.DUMMYFUNCTION("""COMPUTED_VALUE"""),2)</f>
        <v>2</v>
      </c>
      <c r="U260" s="43">
        <f ca="1">IFERROR(__xludf.DUMMYFUNCTION("""COMPUTED_VALUE"""),1)</f>
        <v>1</v>
      </c>
      <c r="V260" s="144">
        <f ca="1">IFERROR(__xludf.DUMMYFUNCTION("""COMPUTED_VALUE"""),0)</f>
        <v>0</v>
      </c>
      <c r="W260" s="145" t="str">
        <f ca="1">IFERROR(__xludf.DUMMYFUNCTION("""COMPUTED_VALUE"""),"")</f>
        <v/>
      </c>
      <c r="X260" s="11" t="str">
        <f ca="1">IFERROR(__xludf.DUMMYFUNCTION("""COMPUTED_VALUE"""),"")</f>
        <v/>
      </c>
      <c r="Y260" s="11" t="str">
        <f ca="1">IFERROR(__xludf.DUMMYFUNCTION("""COMPUTED_VALUE"""),"")</f>
        <v/>
      </c>
      <c r="Z260" s="4" t="str">
        <f ca="1">IFERROR(__xludf.DUMMYFUNCTION("""COMPUTED_VALUE"""),"")</f>
        <v/>
      </c>
    </row>
    <row r="261" spans="1:26" ht="13" x14ac:dyDescent="0.15">
      <c r="A261" s="43" t="str">
        <f ca="1">IFERROR(__xludf.DUMMYFUNCTION("""COMPUTED_VALUE"""),"")</f>
        <v/>
      </c>
      <c r="B261" s="43" t="str">
        <f ca="1">IFERROR(__xludf.DUMMYFUNCTION("""COMPUTED_VALUE"""),"39857")</f>
        <v>39857</v>
      </c>
      <c r="C261" s="146">
        <f ca="1">IFERROR(__xludf.DUMMYFUNCTION("""COMPUTED_VALUE"""),44615000312)</f>
        <v>44615000312</v>
      </c>
      <c r="D261" s="163" t="str">
        <f ca="1">IFERROR(__xludf.DUMMYFUNCTION("""COMPUTED_VALUE"""),"TSLA")</f>
        <v>TSLA</v>
      </c>
      <c r="E261" s="147">
        <f ca="1">IFERROR(__xludf.DUMMYFUNCTION("""COMPUTED_VALUE"""),44615)</f>
        <v>44615</v>
      </c>
      <c r="F261" s="43" t="str">
        <f ca="1">IFERROR(__xludf.DUMMYFUNCTION("""COMPUTED_VALUE"""),"Stock")</f>
        <v>Stock</v>
      </c>
      <c r="G261" s="43" t="str">
        <f ca="1">IFERROR(__xludf.DUMMYFUNCTION("""COMPUTED_VALUE"""),"USD")</f>
        <v>USD</v>
      </c>
      <c r="H261" s="154" t="str">
        <f ca="1">IFERROR(__xludf.DUMMYFUNCTION("""COMPUTED_VALUE"""),"")</f>
        <v/>
      </c>
      <c r="I261" s="148">
        <f ca="1">IFERROR(__xludf.DUMMYFUNCTION("""COMPUTED_VALUE"""),7.80545)</f>
        <v>7.8054500000000004</v>
      </c>
      <c r="J261" s="149">
        <f ca="1">IFERROR(__xludf.DUMMYFUNCTION("""COMPUTED_VALUE"""),764.04)</f>
        <v>764.04</v>
      </c>
      <c r="K261" s="43"/>
      <c r="L261" s="149">
        <f ca="1">IFERROR(__xludf.DUMMYFUNCTION("""COMPUTED_VALUE"""),993.98)</f>
        <v>993.98</v>
      </c>
      <c r="M261" s="155" t="str">
        <f ca="1">IFERROR(__xludf.DUMMYFUNCTION("""COMPUTED_VALUE"""),"Equity Key Stats")</f>
        <v>Equity Key Stats</v>
      </c>
      <c r="N261" s="43"/>
      <c r="O261" s="43"/>
      <c r="P261" s="157">
        <f ca="1">IFERROR(__xludf.DUMMYFUNCTION("""COMPUTED_VALUE"""),0)</f>
        <v>0</v>
      </c>
      <c r="Q261" s="151"/>
      <c r="R261" s="152">
        <f ca="1">IFERROR(__xludf.DUMMYFUNCTION("""COMPUTED_VALUE"""),999.11)</f>
        <v>999.11</v>
      </c>
      <c r="S261" s="150">
        <f ca="1">IFERROR(__xludf.DUMMYFUNCTION("""COMPUTED_VALUE"""),0)</f>
        <v>0</v>
      </c>
      <c r="T261" s="108">
        <f ca="1">IFERROR(__xludf.DUMMYFUNCTION("""COMPUTED_VALUE"""),5)</f>
        <v>5</v>
      </c>
      <c r="U261" s="108" t="str">
        <f ca="1">IFERROR(__xludf.DUMMYFUNCTION("""COMPUTED_VALUE"""),"")</f>
        <v/>
      </c>
      <c r="V261" s="153" t="str">
        <f ca="1">IFERROR(__xludf.DUMMYFUNCTION("""COMPUTED_VALUE"""),"")</f>
        <v/>
      </c>
      <c r="W261" s="145" t="str">
        <f ca="1">IFERROR(__xludf.DUMMYFUNCTION("""COMPUTED_VALUE"""),"")</f>
        <v/>
      </c>
      <c r="X261" s="11" t="str">
        <f ca="1">IFERROR(__xludf.DUMMYFUNCTION("""COMPUTED_VALUE"""),"")</f>
        <v/>
      </c>
      <c r="Y261" s="11" t="str">
        <f ca="1">IFERROR(__xludf.DUMMYFUNCTION("""COMPUTED_VALUE"""),"")</f>
        <v/>
      </c>
      <c r="Z261" s="4" t="str">
        <f ca="1">IFERROR(__xludf.DUMMYFUNCTION("""COMPUTED_VALUE"""),"")</f>
        <v/>
      </c>
    </row>
    <row r="262" spans="1:26" ht="13" x14ac:dyDescent="0.15">
      <c r="A262" s="43" t="str">
        <f ca="1">IFERROR(__xludf.DUMMYFUNCTION("""COMPUTED_VALUE"""),"")</f>
        <v/>
      </c>
      <c r="B262" s="43" t="str">
        <f ca="1">IFERROR(__xludf.DUMMYFUNCTION("""COMPUTED_VALUE"""),"39857")</f>
        <v>39857</v>
      </c>
      <c r="C262" s="146">
        <f ca="1">IFERROR(__xludf.DUMMYFUNCTION("""COMPUTED_VALUE"""),44617000360)</f>
        <v>44617000360</v>
      </c>
      <c r="D262" s="163" t="str">
        <f ca="1">IFERROR(__xludf.DUMMYFUNCTION("""COMPUTED_VALUE"""),"DIS")</f>
        <v>DIS</v>
      </c>
      <c r="E262" s="147">
        <f ca="1">IFERROR(__xludf.DUMMYFUNCTION("""COMPUTED_VALUE"""),44617)</f>
        <v>44617</v>
      </c>
      <c r="F262" s="43" t="str">
        <f ca="1">IFERROR(__xludf.DUMMYFUNCTION("""COMPUTED_VALUE"""),"Stock")</f>
        <v>Stock</v>
      </c>
      <c r="G262" s="43" t="str">
        <f ca="1">IFERROR(__xludf.DUMMYFUNCTION("""COMPUTED_VALUE"""),"USD")</f>
        <v>USD</v>
      </c>
      <c r="H262" s="11">
        <f ca="1">IFERROR(__xludf.DUMMYFUNCTION("""COMPUTED_VALUE"""),-500)</f>
        <v>-500</v>
      </c>
      <c r="I262" s="148">
        <f ca="1">IFERROR(__xludf.DUMMYFUNCTION("""COMPUTED_VALUE"""),7.808395)</f>
        <v>7.808395</v>
      </c>
      <c r="J262" s="149">
        <f ca="1">IFERROR(__xludf.DUMMYFUNCTION("""COMPUTED_VALUE"""),149.53)</f>
        <v>149.53</v>
      </c>
      <c r="K262" s="43"/>
      <c r="L262" s="149">
        <f ca="1">IFERROR(__xludf.DUMMYFUNCTION("""COMPUTED_VALUE"""),140.11)</f>
        <v>140.11000000000001</v>
      </c>
      <c r="M262" s="155" t="str">
        <f ca="1">IFERROR(__xludf.DUMMYFUNCTION("""COMPUTED_VALUE"""),"Equity Key Stats")</f>
        <v>Equity Key Stats</v>
      </c>
      <c r="N262" s="43"/>
      <c r="O262" s="43"/>
      <c r="P262" s="150">
        <f ca="1">IFERROR(__xludf.DUMMYFUNCTION("""COMPUTED_VALUE"""),583794.652174999)</f>
        <v>583794.65217499901</v>
      </c>
      <c r="Q262" s="151"/>
      <c r="R262" s="152">
        <f ca="1">IFERROR(__xludf.DUMMYFUNCTION("""COMPUTED_VALUE"""),137.64)</f>
        <v>137.63999999999999</v>
      </c>
      <c r="S262" s="150">
        <f ca="1">IFERROR(__xludf.DUMMYFUNCTION("""COMPUTED_VALUE"""),-537373.743899999)</f>
        <v>-537373.74389999895</v>
      </c>
      <c r="T262" s="108">
        <f ca="1">IFERROR(__xludf.DUMMYFUNCTION("""COMPUTED_VALUE"""),3)</f>
        <v>3</v>
      </c>
      <c r="U262" s="43">
        <f ca="1">IFERROR(__xludf.DUMMYFUNCTION("""COMPUTED_VALUE"""),1)</f>
        <v>1</v>
      </c>
      <c r="V262" s="144">
        <f ca="1">IFERROR(__xludf.DUMMYFUNCTION("""COMPUTED_VALUE"""),-18589.8979199999)</f>
        <v>-18589.897919999901</v>
      </c>
      <c r="W262" s="145" t="str">
        <f ca="1">IFERROR(__xludf.DUMMYFUNCTION("""COMPUTED_VALUE"""),"")</f>
        <v/>
      </c>
      <c r="X262" s="11" t="str">
        <f ca="1">IFERROR(__xludf.DUMMYFUNCTION("""COMPUTED_VALUE"""),"")</f>
        <v/>
      </c>
      <c r="Y262" s="11" t="str">
        <f ca="1">IFERROR(__xludf.DUMMYFUNCTION("""COMPUTED_VALUE"""),"")</f>
        <v/>
      </c>
      <c r="Z262" s="4" t="str">
        <f ca="1">IFERROR(__xludf.DUMMYFUNCTION("""COMPUTED_VALUE"""),"")</f>
        <v/>
      </c>
    </row>
    <row r="263" spans="1:26" ht="13" x14ac:dyDescent="0.15">
      <c r="A263" s="43" t="str">
        <f ca="1">IFERROR(__xludf.DUMMYFUNCTION("""COMPUTED_VALUE"""),"")</f>
        <v/>
      </c>
      <c r="B263" s="43" t="str">
        <f ca="1">IFERROR(__xludf.DUMMYFUNCTION("""COMPUTED_VALUE"""),"39857")</f>
        <v>39857</v>
      </c>
      <c r="C263" s="146">
        <f ca="1">IFERROR(__xludf.DUMMYFUNCTION("""COMPUTED_VALUE"""),44617000362)</f>
        <v>44617000362</v>
      </c>
      <c r="D263" s="43" t="str">
        <f ca="1">IFERROR(__xludf.DUMMYFUNCTION("""COMPUTED_VALUE"""),"TSLA")</f>
        <v>TSLA</v>
      </c>
      <c r="E263" s="147">
        <f ca="1">IFERROR(__xludf.DUMMYFUNCTION("""COMPUTED_VALUE"""),44617)</f>
        <v>44617</v>
      </c>
      <c r="F263" s="43" t="str">
        <f ca="1">IFERROR(__xludf.DUMMYFUNCTION("""COMPUTED_VALUE"""),"Stock")</f>
        <v>Stock</v>
      </c>
      <c r="G263" s="43" t="str">
        <f ca="1">IFERROR(__xludf.DUMMYFUNCTION("""COMPUTED_VALUE"""),"USD")</f>
        <v>USD</v>
      </c>
      <c r="H263" s="154">
        <f ca="1">IFERROR(__xludf.DUMMYFUNCTION("""COMPUTED_VALUE"""),-50)</f>
        <v>-50</v>
      </c>
      <c r="I263" s="148">
        <f ca="1">IFERROR(__xludf.DUMMYFUNCTION("""COMPUTED_VALUE"""),7.808395)</f>
        <v>7.808395</v>
      </c>
      <c r="J263" s="125">
        <f ca="1">IFERROR(__xludf.DUMMYFUNCTION("""COMPUTED_VALUE"""),809.87)</f>
        <v>809.87</v>
      </c>
      <c r="K263" s="43"/>
      <c r="L263" s="149">
        <f ca="1">IFERROR(__xludf.DUMMYFUNCTION("""COMPUTED_VALUE"""),993.98)</f>
        <v>993.98</v>
      </c>
      <c r="M263" s="155" t="str">
        <f ca="1">IFERROR(__xludf.DUMMYFUNCTION("""COMPUTED_VALUE"""),"Equity Key Stats")</f>
        <v>Equity Key Stats</v>
      </c>
      <c r="N263" s="43"/>
      <c r="O263" s="43"/>
      <c r="P263" s="150">
        <f ca="1">IFERROR(__xludf.DUMMYFUNCTION("""COMPUTED_VALUE"""),316189.2429325)</f>
        <v>316189.24293250003</v>
      </c>
      <c r="Q263" s="151"/>
      <c r="R263" s="152">
        <f ca="1">IFERROR(__xludf.DUMMYFUNCTION("""COMPUTED_VALUE"""),999.11)</f>
        <v>999.11</v>
      </c>
      <c r="S263" s="150">
        <f ca="1">IFERROR(__xludf.DUMMYFUNCTION("""COMPUTED_VALUE"""),-390072.2764225)</f>
        <v>-390072.27642250003</v>
      </c>
      <c r="T263" s="108">
        <f ca="1">IFERROR(__xludf.DUMMYFUNCTION("""COMPUTED_VALUE"""),5)</f>
        <v>5</v>
      </c>
      <c r="U263" s="108" t="str">
        <f ca="1">IFERROR(__xludf.DUMMYFUNCTION("""COMPUTED_VALUE"""),"")</f>
        <v/>
      </c>
      <c r="V263" s="153" t="str">
        <f ca="1">IFERROR(__xludf.DUMMYFUNCTION("""COMPUTED_VALUE"""),"")</f>
        <v/>
      </c>
      <c r="W263" s="145" t="str">
        <f ca="1">IFERROR(__xludf.DUMMYFUNCTION("""COMPUTED_VALUE"""),"")</f>
        <v/>
      </c>
      <c r="X263" s="11" t="str">
        <f ca="1">IFERROR(__xludf.DUMMYFUNCTION("""COMPUTED_VALUE"""),"")</f>
        <v/>
      </c>
      <c r="Y263" s="11" t="str">
        <f ca="1">IFERROR(__xludf.DUMMYFUNCTION("""COMPUTED_VALUE"""),"")</f>
        <v/>
      </c>
      <c r="Z263" s="4" t="str">
        <f ca="1">IFERROR(__xludf.DUMMYFUNCTION("""COMPUTED_VALUE"""),"")</f>
        <v/>
      </c>
    </row>
    <row r="264" spans="1:26" ht="13" x14ac:dyDescent="0.15">
      <c r="A264" s="43" t="str">
        <f ca="1">IFERROR(__xludf.DUMMYFUNCTION("""COMPUTED_VALUE"""),"")</f>
        <v/>
      </c>
      <c r="B264" s="43" t="str">
        <f ca="1">IFERROR(__xludf.DUMMYFUNCTION("""COMPUTED_VALUE"""),"39857")</f>
        <v>39857</v>
      </c>
      <c r="C264" s="146">
        <f ca="1">IFERROR(__xludf.DUMMYFUNCTION("""COMPUTED_VALUE"""),44620000388)</f>
        <v>44620000388</v>
      </c>
      <c r="D264" s="163" t="str">
        <f ca="1">IFERROR(__xludf.DUMMYFUNCTION("""COMPUTED_VALUE"""),"TSLA")</f>
        <v>TSLA</v>
      </c>
      <c r="E264" s="147">
        <f ca="1">IFERROR(__xludf.DUMMYFUNCTION("""COMPUTED_VALUE"""),44620)</f>
        <v>44620</v>
      </c>
      <c r="F264" s="43" t="str">
        <f ca="1">IFERROR(__xludf.DUMMYFUNCTION("""COMPUTED_VALUE"""),"Stock")</f>
        <v>Stock</v>
      </c>
      <c r="G264" s="43" t="str">
        <f ca="1">IFERROR(__xludf.DUMMYFUNCTION("""COMPUTED_VALUE"""),"USD")</f>
        <v>USD</v>
      </c>
      <c r="H264" s="154">
        <f ca="1">IFERROR(__xludf.DUMMYFUNCTION("""COMPUTED_VALUE"""),60)</f>
        <v>60</v>
      </c>
      <c r="I264" s="148">
        <f ca="1">IFERROR(__xludf.DUMMYFUNCTION("""COMPUTED_VALUE"""),7.81345)</f>
        <v>7.8134499999999996</v>
      </c>
      <c r="J264" s="149">
        <f ca="1">IFERROR(__xludf.DUMMYFUNCTION("""COMPUTED_VALUE"""),870.43)</f>
        <v>870.43</v>
      </c>
      <c r="K264" s="43"/>
      <c r="L264" s="149">
        <f ca="1">IFERROR(__xludf.DUMMYFUNCTION("""COMPUTED_VALUE"""),993.98)</f>
        <v>993.98</v>
      </c>
      <c r="M264" s="155" t="str">
        <f ca="1">IFERROR(__xludf.DUMMYFUNCTION("""COMPUTED_VALUE"""),"Equity Key Stats")</f>
        <v>Equity Key Stats</v>
      </c>
      <c r="N264" s="43"/>
      <c r="O264" s="43"/>
      <c r="P264" s="157">
        <f ca="1">IFERROR(__xludf.DUMMYFUNCTION("""COMPUTED_VALUE"""),-408063.677009999)</f>
        <v>-408063.677009999</v>
      </c>
      <c r="Q264" s="151"/>
      <c r="R264" s="152">
        <f ca="1">IFERROR(__xludf.DUMMYFUNCTION("""COMPUTED_VALUE"""),999.11)</f>
        <v>999.11</v>
      </c>
      <c r="S264" s="150">
        <f ca="1">IFERROR(__xludf.DUMMYFUNCTION("""COMPUTED_VALUE"""),468389.76177)</f>
        <v>468389.76176999998</v>
      </c>
      <c r="T264" s="108">
        <f ca="1">IFERROR(__xludf.DUMMYFUNCTION("""COMPUTED_VALUE"""),5)</f>
        <v>5</v>
      </c>
      <c r="U264" s="108">
        <f ca="1">IFERROR(__xludf.DUMMYFUNCTION("""COMPUTED_VALUE"""),1)</f>
        <v>1</v>
      </c>
      <c r="V264" s="153">
        <f ca="1">IFERROR(__xludf.DUMMYFUNCTION("""COMPUTED_VALUE"""),-12535.9915601999)</f>
        <v>-12535.9915601999</v>
      </c>
      <c r="W264" s="145" t="str">
        <f ca="1">IFERROR(__xludf.DUMMYFUNCTION("""COMPUTED_VALUE"""),"")</f>
        <v/>
      </c>
      <c r="X264" s="11" t="str">
        <f ca="1">IFERROR(__xludf.DUMMYFUNCTION("""COMPUTED_VALUE"""),"")</f>
        <v/>
      </c>
      <c r="Y264" s="11" t="str">
        <f ca="1">IFERROR(__xludf.DUMMYFUNCTION("""COMPUTED_VALUE"""),"")</f>
        <v/>
      </c>
      <c r="Z264" s="4" t="str">
        <f ca="1">IFERROR(__xludf.DUMMYFUNCTION("""COMPUTED_VALUE"""),"")</f>
        <v/>
      </c>
    </row>
    <row r="265" spans="1:26" ht="13" x14ac:dyDescent="0.15">
      <c r="A265" s="43" t="str">
        <f ca="1">IFERROR(__xludf.DUMMYFUNCTION("""COMPUTED_VALUE"""),"39857")</f>
        <v>39857</v>
      </c>
      <c r="B265" s="43" t="str">
        <f ca="1">IFERROR(__xludf.DUMMYFUNCTION("""COMPUTED_VALUE"""),"39857")</f>
        <v>39857</v>
      </c>
      <c r="C265" s="146">
        <f ca="1">IFERROR(__xludf.DUMMYFUNCTION("""COMPUTED_VALUE"""),44643000815)</f>
        <v>44643000815</v>
      </c>
      <c r="D265" s="161" t="str">
        <f ca="1">IFERROR(__xludf.DUMMYFUNCTION("""COMPUTED_VALUE"""),"9988.HK")</f>
        <v>9988.HK</v>
      </c>
      <c r="E265" s="147">
        <f ca="1">IFERROR(__xludf.DUMMYFUNCTION("""COMPUTED_VALUE"""),44643)</f>
        <v>44643</v>
      </c>
      <c r="F265" s="43" t="str">
        <f ca="1">IFERROR(__xludf.DUMMYFUNCTION("""COMPUTED_VALUE"""),"Stock")</f>
        <v>Stock</v>
      </c>
      <c r="G265" s="43" t="str">
        <f ca="1">IFERROR(__xludf.DUMMYFUNCTION("""COMPUTED_VALUE"""),"HKD")</f>
        <v>HKD</v>
      </c>
      <c r="H265" s="154">
        <f ca="1">IFERROR(__xludf.DUMMYFUNCTION("""COMPUTED_VALUE"""),800)</f>
        <v>800</v>
      </c>
      <c r="I265" s="148">
        <f ca="1">IFERROR(__xludf.DUMMYFUNCTION("""COMPUTED_VALUE"""),1)</f>
        <v>1</v>
      </c>
      <c r="J265" s="149">
        <f ca="1">IFERROR(__xludf.DUMMYFUNCTION("""COMPUTED_VALUE"""),117.6)</f>
        <v>117.6</v>
      </c>
      <c r="K265" s="43"/>
      <c r="L265" s="149">
        <f ca="1">IFERROR(__xludf.DUMMYFUNCTION("""COMPUTED_VALUE"""),110.2)</f>
        <v>110.2</v>
      </c>
      <c r="M265" s="155" t="str">
        <f ca="1">IFERROR(__xludf.DUMMYFUNCTION("""COMPUTED_VALUE"""),"Equity Key Stats")</f>
        <v>Equity Key Stats</v>
      </c>
      <c r="N265" s="43"/>
      <c r="O265" s="43"/>
      <c r="P265" s="157">
        <f ca="1">IFERROR(__xludf.DUMMYFUNCTION("""COMPUTED_VALUE"""),-94080)</f>
        <v>-94080</v>
      </c>
      <c r="Q265" s="151"/>
      <c r="R265" s="152">
        <f ca="1">IFERROR(__xludf.DUMMYFUNCTION("""COMPUTED_VALUE"""),117.6)</f>
        <v>117.6</v>
      </c>
      <c r="S265" s="150">
        <f ca="1">IFERROR(__xludf.DUMMYFUNCTION("""COMPUTED_VALUE"""),94080)</f>
        <v>94080</v>
      </c>
      <c r="T265" s="108">
        <f ca="1">IFERROR(__xludf.DUMMYFUNCTION("""COMPUTED_VALUE"""),1)</f>
        <v>1</v>
      </c>
      <c r="U265" s="43">
        <f ca="1">IFERROR(__xludf.DUMMYFUNCTION("""COMPUTED_VALUE"""),1)</f>
        <v>1</v>
      </c>
      <c r="V265" s="144">
        <f ca="1">IFERROR(__xludf.DUMMYFUNCTION("""COMPUTED_VALUE"""),0)</f>
        <v>0</v>
      </c>
      <c r="W265" s="145">
        <f ca="1">IFERROR(__xludf.DUMMYFUNCTION("""COMPUTED_VALUE"""),468874.1105198)</f>
        <v>468874.11051979999</v>
      </c>
      <c r="X265" s="11">
        <f ca="1">IFERROR(__xludf.DUMMYFUNCTION("""COMPUTED_VALUE"""),342761.1881418)</f>
        <v>342761.1881418</v>
      </c>
      <c r="Y265" s="11">
        <f ca="1">IFERROR(__xludf.DUMMYFUNCTION("""COMPUTED_VALUE"""),0)</f>
        <v>0</v>
      </c>
      <c r="Z265" s="4">
        <f ca="1">IFERROR(__xludf.DUMMYFUNCTION("""COMPUTED_VALUE"""),-0.0622517789603996)</f>
        <v>-6.2251778960399601E-2</v>
      </c>
    </row>
    <row r="266" spans="1:26" ht="13" x14ac:dyDescent="0.15">
      <c r="A266" s="43" t="str">
        <f ca="1">IFERROR(__xludf.DUMMYFUNCTION("""COMPUTED_VALUE"""),"")</f>
        <v/>
      </c>
      <c r="B266" s="43" t="str">
        <f ca="1">IFERROR(__xludf.DUMMYFUNCTION("""COMPUTED_VALUE"""),"40105")</f>
        <v>40105</v>
      </c>
      <c r="C266" s="146">
        <f ca="1">IFERROR(__xludf.DUMMYFUNCTION("""COMPUTED_VALUE"""),44597000098)</f>
        <v>44597000098</v>
      </c>
      <c r="D266" s="43" t="str">
        <f ca="1">IFERROR(__xludf.DUMMYFUNCTION("""COMPUTED_VALUE"""),"Cash")</f>
        <v>Cash</v>
      </c>
      <c r="E266" s="147">
        <f ca="1">IFERROR(__xludf.DUMMYFUNCTION("""COMPUTED_VALUE"""),44597)</f>
        <v>44597</v>
      </c>
      <c r="F266" s="43" t="str">
        <f ca="1">IFERROR(__xludf.DUMMYFUNCTION("""COMPUTED_VALUE"""),"Cash")</f>
        <v>Cash</v>
      </c>
      <c r="G266" s="43" t="str">
        <f ca="1">IFERROR(__xludf.DUMMYFUNCTION("""COMPUTED_VALUE"""),"HKD")</f>
        <v>HKD</v>
      </c>
      <c r="H266" s="156" t="str">
        <f ca="1">IFERROR(__xludf.DUMMYFUNCTION("""COMPUTED_VALUE"""),"")</f>
        <v/>
      </c>
      <c r="I266" s="148">
        <f ca="1">IFERROR(__xludf.DUMMYFUNCTION("""COMPUTED_VALUE"""),1)</f>
        <v>1</v>
      </c>
      <c r="J266" s="149">
        <f ca="1">IFERROR(__xludf.DUMMYFUNCTION("""COMPUTED_VALUE"""),1)</f>
        <v>1</v>
      </c>
      <c r="K266" s="43"/>
      <c r="L266" s="149">
        <f ca="1">IFERROR(__xludf.DUMMYFUNCTION("""COMPUTED_VALUE"""),1)</f>
        <v>1</v>
      </c>
      <c r="M266" s="155" t="str">
        <f ca="1">IFERROR(__xludf.DUMMYFUNCTION("""COMPUTED_VALUE"""),"")</f>
        <v/>
      </c>
      <c r="N266" s="43"/>
      <c r="O266" s="43"/>
      <c r="P266" s="150">
        <f ca="1">IFERROR(__xludf.DUMMYFUNCTION("""COMPUTED_VALUE"""),500000)</f>
        <v>500000</v>
      </c>
      <c r="Q266" s="151"/>
      <c r="R266" s="152">
        <f ca="1">IFERROR(__xludf.DUMMYFUNCTION("""COMPUTED_VALUE"""),1)</f>
        <v>1</v>
      </c>
      <c r="S266" s="157" t="str">
        <f ca="1">IFERROR(__xludf.DUMMYFUNCTION("""COMPUTED_VALUE"""),"")</f>
        <v/>
      </c>
      <c r="T266" s="108">
        <f ca="1">IFERROR(__xludf.DUMMYFUNCTION("""COMPUTED_VALUE"""),1)</f>
        <v>1</v>
      </c>
      <c r="U266" s="108">
        <f ca="1">IFERROR(__xludf.DUMMYFUNCTION("""COMPUTED_VALUE"""),1)</f>
        <v>1</v>
      </c>
      <c r="V266" s="158">
        <f ca="1">IFERROR(__xludf.DUMMYFUNCTION("""COMPUTED_VALUE"""),500000)</f>
        <v>500000</v>
      </c>
      <c r="W266" s="44" t="str">
        <f ca="1">IFERROR(__xludf.DUMMYFUNCTION("""COMPUTED_VALUE"""),"")</f>
        <v/>
      </c>
      <c r="X266" s="154" t="str">
        <f ca="1">IFERROR(__xludf.DUMMYFUNCTION("""COMPUTED_VALUE"""),"")</f>
        <v/>
      </c>
      <c r="Y266" s="154" t="str">
        <f ca="1">IFERROR(__xludf.DUMMYFUNCTION("""COMPUTED_VALUE"""),"")</f>
        <v/>
      </c>
      <c r="Z266" s="162" t="str">
        <f ca="1">IFERROR(__xludf.DUMMYFUNCTION("""COMPUTED_VALUE"""),"")</f>
        <v/>
      </c>
    </row>
    <row r="267" spans="1:26" ht="13" x14ac:dyDescent="0.15">
      <c r="A267" s="43" t="str">
        <f ca="1">IFERROR(__xludf.DUMMYFUNCTION("""COMPUTED_VALUE"""),"")</f>
        <v/>
      </c>
      <c r="B267" s="43" t="str">
        <f ca="1">IFERROR(__xludf.DUMMYFUNCTION("""COMPUTED_VALUE"""),"40105")</f>
        <v>40105</v>
      </c>
      <c r="C267" s="146">
        <f ca="1">IFERROR(__xludf.DUMMYFUNCTION("""COMPUTED_VALUE"""),44605000176)</f>
        <v>44605000176</v>
      </c>
      <c r="D267" s="43" t="str">
        <f ca="1">IFERROR(__xludf.DUMMYFUNCTION("""COMPUTED_VALUE"""),"3m")</f>
        <v>3m</v>
      </c>
      <c r="E267" s="147">
        <f ca="1">IFERROR(__xludf.DUMMYFUNCTION("""COMPUTED_VALUE"""),44605)</f>
        <v>44605</v>
      </c>
      <c r="F267" s="43" t="str">
        <f ca="1">IFERROR(__xludf.DUMMYFUNCTION("""COMPUTED_VALUE"""),"Time Deposit")</f>
        <v>Time Deposit</v>
      </c>
      <c r="G267" s="43" t="str">
        <f ca="1">IFERROR(__xludf.DUMMYFUNCTION("""COMPUTED_VALUE"""),"HKD")</f>
        <v>HKD</v>
      </c>
      <c r="H267" s="11">
        <f ca="1">IFERROR(__xludf.DUMMYFUNCTION("""COMPUTED_VALUE"""),100000)</f>
        <v>100000</v>
      </c>
      <c r="I267" s="148">
        <f ca="1">IFERROR(__xludf.DUMMYFUNCTION("""COMPUTED_VALUE"""),1)</f>
        <v>1</v>
      </c>
      <c r="J267" s="108">
        <f ca="1">IFERROR(__xludf.DUMMYFUNCTION("""COMPUTED_VALUE"""),1)</f>
        <v>1</v>
      </c>
      <c r="K267" s="43"/>
      <c r="L267" s="149">
        <f ca="1">IFERROR(__xludf.DUMMYFUNCTION("""COMPUTED_VALUE"""),1)</f>
        <v>1</v>
      </c>
      <c r="M267" s="3" t="str">
        <f ca="1">IFERROR(__xludf.DUMMYFUNCTION("""COMPUTED_VALUE"""),"")</f>
        <v/>
      </c>
      <c r="N267" s="43"/>
      <c r="O267" s="43"/>
      <c r="P267" s="150">
        <f ca="1">IFERROR(__xludf.DUMMYFUNCTION("""COMPUTED_VALUE"""),-100000)</f>
        <v>-100000</v>
      </c>
      <c r="Q267" s="151"/>
      <c r="R267" s="152">
        <f ca="1">IFERROR(__xludf.DUMMYFUNCTION("""COMPUTED_VALUE"""),1)</f>
        <v>1</v>
      </c>
      <c r="S267" s="127">
        <f ca="1">IFERROR(__xludf.DUMMYFUNCTION("""COMPUTED_VALUE"""),100000)</f>
        <v>100000</v>
      </c>
      <c r="T267" s="108">
        <f ca="1">IFERROR(__xludf.DUMMYFUNCTION("""COMPUTED_VALUE"""),1)</f>
        <v>1</v>
      </c>
      <c r="U267" s="108">
        <f ca="1">IFERROR(__xludf.DUMMYFUNCTION("""COMPUTED_VALUE"""),1)</f>
        <v>1</v>
      </c>
      <c r="V267" s="153">
        <f ca="1">IFERROR(__xludf.DUMMYFUNCTION("""COMPUTED_VALUE"""),0)</f>
        <v>0</v>
      </c>
      <c r="W267" s="44" t="str">
        <f ca="1">IFERROR(__xludf.DUMMYFUNCTION("""COMPUTED_VALUE"""),"")</f>
        <v/>
      </c>
      <c r="X267" s="154" t="str">
        <f ca="1">IFERROR(__xludf.DUMMYFUNCTION("""COMPUTED_VALUE"""),"")</f>
        <v/>
      </c>
      <c r="Y267" s="154" t="str">
        <f ca="1">IFERROR(__xludf.DUMMYFUNCTION("""COMPUTED_VALUE"""),"")</f>
        <v/>
      </c>
      <c r="Z267" s="159" t="str">
        <f ca="1">IFERROR(__xludf.DUMMYFUNCTION("""COMPUTED_VALUE"""),"")</f>
        <v/>
      </c>
    </row>
    <row r="268" spans="1:26" ht="13" x14ac:dyDescent="0.15">
      <c r="A268" s="43" t="str">
        <f ca="1">IFERROR(__xludf.DUMMYFUNCTION("""COMPUTED_VALUE"""),"")</f>
        <v/>
      </c>
      <c r="B268" s="43" t="str">
        <f ca="1">IFERROR(__xludf.DUMMYFUNCTION("""COMPUTED_VALUE"""),"40105")</f>
        <v>40105</v>
      </c>
      <c r="C268" s="146">
        <f ca="1">IFERROR(__xludf.DUMMYFUNCTION("""COMPUTED_VALUE"""),44608000225)</f>
        <v>44608000225</v>
      </c>
      <c r="D268" s="43" t="str">
        <f ca="1">IFERROR(__xludf.DUMMYFUNCTION("""COMPUTED_VALUE"""),"DIS")</f>
        <v>DIS</v>
      </c>
      <c r="E268" s="147">
        <f ca="1">IFERROR(__xludf.DUMMYFUNCTION("""COMPUTED_VALUE"""),44608)</f>
        <v>44608</v>
      </c>
      <c r="F268" s="43" t="str">
        <f ca="1">IFERROR(__xludf.DUMMYFUNCTION("""COMPUTED_VALUE"""),"Stock")</f>
        <v>Stock</v>
      </c>
      <c r="G268" s="43" t="str">
        <f ca="1">IFERROR(__xludf.DUMMYFUNCTION("""COMPUTED_VALUE"""),"USD")</f>
        <v>USD</v>
      </c>
      <c r="H268" s="11">
        <f ca="1">IFERROR(__xludf.DUMMYFUNCTION("""COMPUTED_VALUE"""),0)</f>
        <v>0</v>
      </c>
      <c r="I268" s="148">
        <f ca="1">IFERROR(__xludf.DUMMYFUNCTION("""COMPUTED_VALUE"""),7.8005)</f>
        <v>7.8005000000000004</v>
      </c>
      <c r="J268" s="149">
        <f ca="1">IFERROR(__xludf.DUMMYFUNCTION("""COMPUTED_VALUE"""),0)</f>
        <v>0</v>
      </c>
      <c r="K268" s="43"/>
      <c r="L268" s="149">
        <f ca="1">IFERROR(__xludf.DUMMYFUNCTION("""COMPUTED_VALUE"""),140.11)</f>
        <v>140.11000000000001</v>
      </c>
      <c r="M268" s="160" t="str">
        <f ca="1">IFERROR(__xludf.DUMMYFUNCTION("""COMPUTED_VALUE"""),"Equity Key Stats")</f>
        <v>Equity Key Stats</v>
      </c>
      <c r="N268" s="43"/>
      <c r="O268" s="43"/>
      <c r="P268" s="150">
        <f ca="1">IFERROR(__xludf.DUMMYFUNCTION("""COMPUTED_VALUE"""),0)</f>
        <v>0</v>
      </c>
      <c r="Q268" s="151"/>
      <c r="R268" s="152">
        <f ca="1">IFERROR(__xludf.DUMMYFUNCTION("""COMPUTED_VALUE"""),137.64)</f>
        <v>137.63999999999999</v>
      </c>
      <c r="S268" s="127">
        <f ca="1">IFERROR(__xludf.DUMMYFUNCTION("""COMPUTED_VALUE"""),0)</f>
        <v>0</v>
      </c>
      <c r="T268" s="108">
        <f ca="1">IFERROR(__xludf.DUMMYFUNCTION("""COMPUTED_VALUE"""),3)</f>
        <v>3</v>
      </c>
      <c r="U268" s="108" t="str">
        <f ca="1">IFERROR(__xludf.DUMMYFUNCTION("""COMPUTED_VALUE"""),"")</f>
        <v/>
      </c>
      <c r="V268" s="153" t="str">
        <f ca="1">IFERROR(__xludf.DUMMYFUNCTION("""COMPUTED_VALUE"""),"")</f>
        <v/>
      </c>
      <c r="W268" s="145" t="str">
        <f ca="1">IFERROR(__xludf.DUMMYFUNCTION("""COMPUTED_VALUE"""),"")</f>
        <v/>
      </c>
      <c r="X268" s="11" t="str">
        <f ca="1">IFERROR(__xludf.DUMMYFUNCTION("""COMPUTED_VALUE"""),"")</f>
        <v/>
      </c>
      <c r="Y268" s="11" t="str">
        <f ca="1">IFERROR(__xludf.DUMMYFUNCTION("""COMPUTED_VALUE"""),"")</f>
        <v/>
      </c>
      <c r="Z268" s="4" t="str">
        <f ca="1">IFERROR(__xludf.DUMMYFUNCTION("""COMPUTED_VALUE"""),"")</f>
        <v/>
      </c>
    </row>
    <row r="269" spans="1:26" ht="13" x14ac:dyDescent="0.15">
      <c r="A269" s="43" t="str">
        <f ca="1">IFERROR(__xludf.DUMMYFUNCTION("""COMPUTED_VALUE"""),"")</f>
        <v/>
      </c>
      <c r="B269" s="43" t="str">
        <f ca="1">IFERROR(__xludf.DUMMYFUNCTION("""COMPUTED_VALUE"""),"40105")</f>
        <v>40105</v>
      </c>
      <c r="C269" s="146">
        <f ca="1">IFERROR(__xludf.DUMMYFUNCTION("""COMPUTED_VALUE"""),44608000226)</f>
        <v>44608000226</v>
      </c>
      <c r="D269" s="163" t="str">
        <f ca="1">IFERROR(__xludf.DUMMYFUNCTION("""COMPUTED_VALUE"""),"DIS")</f>
        <v>DIS</v>
      </c>
      <c r="E269" s="147">
        <f ca="1">IFERROR(__xludf.DUMMYFUNCTION("""COMPUTED_VALUE"""),44608)</f>
        <v>44608</v>
      </c>
      <c r="F269" s="43" t="str">
        <f ca="1">IFERROR(__xludf.DUMMYFUNCTION("""COMPUTED_VALUE"""),"Stock")</f>
        <v>Stock</v>
      </c>
      <c r="G269" s="43" t="str">
        <f ca="1">IFERROR(__xludf.DUMMYFUNCTION("""COMPUTED_VALUE"""),"USD")</f>
        <v>USD</v>
      </c>
      <c r="H269" s="154">
        <f ca="1">IFERROR(__xludf.DUMMYFUNCTION("""COMPUTED_VALUE"""),0)</f>
        <v>0</v>
      </c>
      <c r="I269" s="148">
        <f ca="1">IFERROR(__xludf.DUMMYFUNCTION("""COMPUTED_VALUE"""),7.8005)</f>
        <v>7.8005000000000004</v>
      </c>
      <c r="J269" s="149">
        <f ca="1">IFERROR(__xludf.DUMMYFUNCTION("""COMPUTED_VALUE"""),0)</f>
        <v>0</v>
      </c>
      <c r="K269" s="43"/>
      <c r="L269" s="149">
        <f ca="1">IFERROR(__xludf.DUMMYFUNCTION("""COMPUTED_VALUE"""),140.11)</f>
        <v>140.11000000000001</v>
      </c>
      <c r="M269" s="155" t="str">
        <f ca="1">IFERROR(__xludf.DUMMYFUNCTION("""COMPUTED_VALUE"""),"Equity Key Stats")</f>
        <v>Equity Key Stats</v>
      </c>
      <c r="N269" s="43"/>
      <c r="O269" s="43"/>
      <c r="P269" s="157">
        <f ca="1">IFERROR(__xludf.DUMMYFUNCTION("""COMPUTED_VALUE"""),0)</f>
        <v>0</v>
      </c>
      <c r="Q269" s="151"/>
      <c r="R269" s="152">
        <f ca="1">IFERROR(__xludf.DUMMYFUNCTION("""COMPUTED_VALUE"""),137.64)</f>
        <v>137.63999999999999</v>
      </c>
      <c r="S269" s="150">
        <f ca="1">IFERROR(__xludf.DUMMYFUNCTION("""COMPUTED_VALUE"""),0)</f>
        <v>0</v>
      </c>
      <c r="T269" s="108">
        <f ca="1">IFERROR(__xludf.DUMMYFUNCTION("""COMPUTED_VALUE"""),3)</f>
        <v>3</v>
      </c>
      <c r="U269" s="43" t="str">
        <f ca="1">IFERROR(__xludf.DUMMYFUNCTION("""COMPUTED_VALUE"""),"")</f>
        <v/>
      </c>
      <c r="V269" s="144" t="str">
        <f ca="1">IFERROR(__xludf.DUMMYFUNCTION("""COMPUTED_VALUE"""),"")</f>
        <v/>
      </c>
      <c r="W269" s="145" t="str">
        <f ca="1">IFERROR(__xludf.DUMMYFUNCTION("""COMPUTED_VALUE"""),"")</f>
        <v/>
      </c>
      <c r="X269" s="11" t="str">
        <f ca="1">IFERROR(__xludf.DUMMYFUNCTION("""COMPUTED_VALUE"""),"")</f>
        <v/>
      </c>
      <c r="Y269" s="11" t="str">
        <f ca="1">IFERROR(__xludf.DUMMYFUNCTION("""COMPUTED_VALUE"""),"")</f>
        <v/>
      </c>
      <c r="Z269" s="4" t="str">
        <f ca="1">IFERROR(__xludf.DUMMYFUNCTION("""COMPUTED_VALUE"""),"")</f>
        <v/>
      </c>
    </row>
    <row r="270" spans="1:26" ht="13" x14ac:dyDescent="0.15">
      <c r="A270" s="43" t="str">
        <f ca="1">IFERROR(__xludf.DUMMYFUNCTION("""COMPUTED_VALUE"""),"")</f>
        <v/>
      </c>
      <c r="B270" s="43" t="str">
        <f ca="1">IFERROR(__xludf.DUMMYFUNCTION("""COMPUTED_VALUE"""),"40105")</f>
        <v>40105</v>
      </c>
      <c r="C270" s="146">
        <f ca="1">IFERROR(__xludf.DUMMYFUNCTION("""COMPUTED_VALUE"""),44609000237)</f>
        <v>44609000237</v>
      </c>
      <c r="D270" s="163" t="str">
        <f ca="1">IFERROR(__xludf.DUMMYFUNCTION("""COMPUTED_VALUE"""),"DIS")</f>
        <v>DIS</v>
      </c>
      <c r="E270" s="147">
        <f ca="1">IFERROR(__xludf.DUMMYFUNCTION("""COMPUTED_VALUE"""),44609)</f>
        <v>44609</v>
      </c>
      <c r="F270" s="43" t="str">
        <f ca="1">IFERROR(__xludf.DUMMYFUNCTION("""COMPUTED_VALUE"""),"Stock")</f>
        <v>Stock</v>
      </c>
      <c r="G270" s="43" t="str">
        <f ca="1">IFERROR(__xludf.DUMMYFUNCTION("""COMPUTED_VALUE"""),"USD")</f>
        <v>USD</v>
      </c>
      <c r="H270" s="154">
        <f ca="1">IFERROR(__xludf.DUMMYFUNCTION("""COMPUTED_VALUE"""),300)</f>
        <v>300</v>
      </c>
      <c r="I270" s="148">
        <f ca="1">IFERROR(__xludf.DUMMYFUNCTION("""COMPUTED_VALUE"""),7.799115)</f>
        <v>7.7991149999999996</v>
      </c>
      <c r="J270" s="149">
        <f ca="1">IFERROR(__xludf.DUMMYFUNCTION("""COMPUTED_VALUE"""),152.95)</f>
        <v>152.94999999999999</v>
      </c>
      <c r="K270" s="43"/>
      <c r="L270" s="149">
        <f ca="1">IFERROR(__xludf.DUMMYFUNCTION("""COMPUTED_VALUE"""),140.11)</f>
        <v>140.11000000000001</v>
      </c>
      <c r="M270" s="155" t="str">
        <f ca="1">IFERROR(__xludf.DUMMYFUNCTION("""COMPUTED_VALUE"""),"Equity Key Stats")</f>
        <v>Equity Key Stats</v>
      </c>
      <c r="N270" s="43"/>
      <c r="O270" s="43"/>
      <c r="P270" s="150">
        <f ca="1">IFERROR(__xludf.DUMMYFUNCTION("""COMPUTED_VALUE"""),-357862.391774999)</f>
        <v>-357862.39177499898</v>
      </c>
      <c r="Q270" s="151"/>
      <c r="R270" s="152">
        <f ca="1">IFERROR(__xludf.DUMMYFUNCTION("""COMPUTED_VALUE"""),137.64)</f>
        <v>137.63999999999999</v>
      </c>
      <c r="S270" s="150">
        <f ca="1">IFERROR(__xludf.DUMMYFUNCTION("""COMPUTED_VALUE"""),322041.05658)</f>
        <v>322041.05657999997</v>
      </c>
      <c r="T270" s="108">
        <f ca="1">IFERROR(__xludf.DUMMYFUNCTION("""COMPUTED_VALUE"""),3)</f>
        <v>3</v>
      </c>
      <c r="U270" s="108">
        <f ca="1">IFERROR(__xludf.DUMMYFUNCTION("""COMPUTED_VALUE"""),1)</f>
        <v>1</v>
      </c>
      <c r="V270" s="153">
        <f ca="1">IFERROR(__xludf.DUMMYFUNCTION("""COMPUTED_VALUE"""),-35821.3351949999)</f>
        <v>-35821.335194999898</v>
      </c>
      <c r="W270" s="44" t="str">
        <f ca="1">IFERROR(__xludf.DUMMYFUNCTION("""COMPUTED_VALUE"""),"")</f>
        <v/>
      </c>
      <c r="X270" s="154" t="str">
        <f ca="1">IFERROR(__xludf.DUMMYFUNCTION("""COMPUTED_VALUE"""),"")</f>
        <v/>
      </c>
      <c r="Y270" s="154" t="str">
        <f ca="1">IFERROR(__xludf.DUMMYFUNCTION("""COMPUTED_VALUE"""),"")</f>
        <v/>
      </c>
      <c r="Z270" s="159" t="str">
        <f ca="1">IFERROR(__xludf.DUMMYFUNCTION("""COMPUTED_VALUE"""),"")</f>
        <v/>
      </c>
    </row>
    <row r="271" spans="1:26" ht="13" x14ac:dyDescent="0.15">
      <c r="A271" s="43" t="str">
        <f ca="1">IFERROR(__xludf.DUMMYFUNCTION("""COMPUTED_VALUE"""),"40105")</f>
        <v>40105</v>
      </c>
      <c r="B271" s="43" t="str">
        <f ca="1">IFERROR(__xludf.DUMMYFUNCTION("""COMPUTED_VALUE"""),"40105")</f>
        <v>40105</v>
      </c>
      <c r="C271" s="146">
        <f ca="1">IFERROR(__xludf.DUMMYFUNCTION("""COMPUTED_VALUE"""),44641000764)</f>
        <v>44641000764</v>
      </c>
      <c r="D271" s="43" t="str">
        <f ca="1">IFERROR(__xludf.DUMMYFUNCTION("""COMPUTED_VALUE"""),"US88032XAE40")</f>
        <v>US88032XAE40</v>
      </c>
      <c r="E271" s="147">
        <f ca="1">IFERROR(__xludf.DUMMYFUNCTION("""COMPUTED_VALUE"""),44641)</f>
        <v>44641</v>
      </c>
      <c r="F271" s="43" t="str">
        <f ca="1">IFERROR(__xludf.DUMMYFUNCTION("""COMPUTED_VALUE"""),"Bond")</f>
        <v>Bond</v>
      </c>
      <c r="G271" s="43" t="str">
        <f ca="1">IFERROR(__xludf.DUMMYFUNCTION("""COMPUTED_VALUE"""),"USD")</f>
        <v>USD</v>
      </c>
      <c r="H271" s="11" t="str">
        <f ca="1">IFERROR(__xludf.DUMMYFUNCTION("""COMPUTED_VALUE"""),"")</f>
        <v/>
      </c>
      <c r="I271" s="148">
        <f ca="1">IFERROR(__xludf.DUMMYFUNCTION("""COMPUTED_VALUE"""),7.82545)</f>
        <v>7.82545</v>
      </c>
      <c r="J271" s="149">
        <f ca="1">IFERROR(__xludf.DUMMYFUNCTION("""COMPUTED_VALUE"""),100.294)</f>
        <v>100.294</v>
      </c>
      <c r="K271" s="43"/>
      <c r="L271" s="149"/>
      <c r="M271" s="160" t="str">
        <f ca="1">IFERROR(__xludf.DUMMYFUNCTION("""COMPUTED_VALUE"""),"Bond Fact Sheet")</f>
        <v>Bond Fact Sheet</v>
      </c>
      <c r="N271" s="43"/>
      <c r="O271" s="43"/>
      <c r="P271" s="150">
        <f ca="1">IFERROR(__xludf.DUMMYFUNCTION("""COMPUTED_VALUE"""),0)</f>
        <v>0</v>
      </c>
      <c r="Q271" s="151"/>
      <c r="R271" s="152">
        <f ca="1">IFERROR(__xludf.DUMMYFUNCTION("""COMPUTED_VALUE"""),100.0265)</f>
        <v>100.0265</v>
      </c>
      <c r="S271" s="127">
        <f ca="1">IFERROR(__xludf.DUMMYFUNCTION("""COMPUTED_VALUE"""),0)</f>
        <v>0</v>
      </c>
      <c r="T271" s="108">
        <f ca="1">IFERROR(__xludf.DUMMYFUNCTION("""COMPUTED_VALUE"""),1)</f>
        <v>1</v>
      </c>
      <c r="U271" s="108">
        <f ca="1">IFERROR(__xludf.DUMMYFUNCTION("""COMPUTED_VALUE"""),1)</f>
        <v>1</v>
      </c>
      <c r="V271" s="153">
        <f ca="1">IFERROR(__xludf.DUMMYFUNCTION("""COMPUTED_VALUE"""),0)</f>
        <v>0</v>
      </c>
      <c r="W271" s="145">
        <f ca="1">IFERROR(__xludf.DUMMYFUNCTION("""COMPUTED_VALUE"""),464178.664805)</f>
        <v>464178.66480500001</v>
      </c>
      <c r="X271" s="11">
        <f ca="1">IFERROR(__xludf.DUMMYFUNCTION("""COMPUTED_VALUE"""),42137.608225)</f>
        <v>42137.608225000004</v>
      </c>
      <c r="Y271" s="11">
        <f ca="1">IFERROR(__xludf.DUMMYFUNCTION("""COMPUTED_VALUE"""),0)</f>
        <v>0</v>
      </c>
      <c r="Z271" s="4">
        <f ca="1">IFERROR(__xludf.DUMMYFUNCTION("""COMPUTED_VALUE"""),-0.0716426703899999)</f>
        <v>-7.1642670389999899E-2</v>
      </c>
    </row>
    <row r="272" spans="1:26" ht="13" x14ac:dyDescent="0.15">
      <c r="A272" s="43" t="str">
        <f ca="1">IFERROR(__xludf.DUMMYFUNCTION("""COMPUTED_VALUE"""),"")</f>
        <v/>
      </c>
      <c r="B272" s="43" t="str">
        <f ca="1">IFERROR(__xludf.DUMMYFUNCTION("""COMPUTED_VALUE"""),"40158")</f>
        <v>40158</v>
      </c>
      <c r="C272" s="146">
        <f ca="1">IFERROR(__xludf.DUMMYFUNCTION("""COMPUTED_VALUE"""),44597000052)</f>
        <v>44597000052</v>
      </c>
      <c r="D272" s="43" t="str">
        <f ca="1">IFERROR(__xludf.DUMMYFUNCTION("""COMPUTED_VALUE"""),"Cash")</f>
        <v>Cash</v>
      </c>
      <c r="E272" s="147">
        <f ca="1">IFERROR(__xludf.DUMMYFUNCTION("""COMPUTED_VALUE"""),44597)</f>
        <v>44597</v>
      </c>
      <c r="F272" s="43" t="str">
        <f ca="1">IFERROR(__xludf.DUMMYFUNCTION("""COMPUTED_VALUE"""),"Cash")</f>
        <v>Cash</v>
      </c>
      <c r="G272" s="43" t="str">
        <f ca="1">IFERROR(__xludf.DUMMYFUNCTION("""COMPUTED_VALUE"""),"HKD")</f>
        <v>HKD</v>
      </c>
      <c r="H272" s="154" t="str">
        <f ca="1">IFERROR(__xludf.DUMMYFUNCTION("""COMPUTED_VALUE"""),"")</f>
        <v/>
      </c>
      <c r="I272" s="148">
        <f ca="1">IFERROR(__xludf.DUMMYFUNCTION("""COMPUTED_VALUE"""),1)</f>
        <v>1</v>
      </c>
      <c r="J272" s="149">
        <f ca="1">IFERROR(__xludf.DUMMYFUNCTION("""COMPUTED_VALUE"""),1)</f>
        <v>1</v>
      </c>
      <c r="K272" s="43"/>
      <c r="L272" s="149">
        <f ca="1">IFERROR(__xludf.DUMMYFUNCTION("""COMPUTED_VALUE"""),1)</f>
        <v>1</v>
      </c>
      <c r="M272" s="155" t="str">
        <f ca="1">IFERROR(__xludf.DUMMYFUNCTION("""COMPUTED_VALUE"""),"")</f>
        <v/>
      </c>
      <c r="N272" s="43"/>
      <c r="O272" s="43"/>
      <c r="P272" s="157">
        <f ca="1">IFERROR(__xludf.DUMMYFUNCTION("""COMPUTED_VALUE"""),500000)</f>
        <v>500000</v>
      </c>
      <c r="Q272" s="151"/>
      <c r="R272" s="152">
        <f ca="1">IFERROR(__xludf.DUMMYFUNCTION("""COMPUTED_VALUE"""),1)</f>
        <v>1</v>
      </c>
      <c r="S272" s="150" t="str">
        <f ca="1">IFERROR(__xludf.DUMMYFUNCTION("""COMPUTED_VALUE"""),"")</f>
        <v/>
      </c>
      <c r="T272" s="108">
        <f ca="1">IFERROR(__xludf.DUMMYFUNCTION("""COMPUTED_VALUE"""),1)</f>
        <v>1</v>
      </c>
      <c r="U272" s="108">
        <f ca="1">IFERROR(__xludf.DUMMYFUNCTION("""COMPUTED_VALUE"""),1)</f>
        <v>1</v>
      </c>
      <c r="V272" s="158">
        <f ca="1">IFERROR(__xludf.DUMMYFUNCTION("""COMPUTED_VALUE"""),500000)</f>
        <v>500000</v>
      </c>
      <c r="W272" s="145" t="str">
        <f ca="1">IFERROR(__xludf.DUMMYFUNCTION("""COMPUTED_VALUE"""),"")</f>
        <v/>
      </c>
      <c r="X272" s="11" t="str">
        <f ca="1">IFERROR(__xludf.DUMMYFUNCTION("""COMPUTED_VALUE"""),"")</f>
        <v/>
      </c>
      <c r="Y272" s="11" t="str">
        <f ca="1">IFERROR(__xludf.DUMMYFUNCTION("""COMPUTED_VALUE"""),"")</f>
        <v/>
      </c>
      <c r="Z272" s="4" t="str">
        <f ca="1">IFERROR(__xludf.DUMMYFUNCTION("""COMPUTED_VALUE"""),"")</f>
        <v/>
      </c>
    </row>
    <row r="273" spans="1:26" ht="13" x14ac:dyDescent="0.15">
      <c r="A273" s="43" t="str">
        <f ca="1">IFERROR(__xludf.DUMMYFUNCTION("""COMPUTED_VALUE"""),"")</f>
        <v/>
      </c>
      <c r="B273" s="43" t="str">
        <f ca="1">IFERROR(__xludf.DUMMYFUNCTION("""COMPUTED_VALUE"""),"40158")</f>
        <v>40158</v>
      </c>
      <c r="C273" s="146">
        <f ca="1">IFERROR(__xludf.DUMMYFUNCTION("""COMPUTED_VALUE"""),44607000194)</f>
        <v>44607000194</v>
      </c>
      <c r="D273" s="161" t="str">
        <f ca="1">IFERROR(__xludf.DUMMYFUNCTION("""COMPUTED_VALUE"""),"2020.HK")</f>
        <v>2020.HK</v>
      </c>
      <c r="E273" s="147">
        <f ca="1">IFERROR(__xludf.DUMMYFUNCTION("""COMPUTED_VALUE"""),44607)</f>
        <v>44607</v>
      </c>
      <c r="F273" s="43" t="str">
        <f ca="1">IFERROR(__xludf.DUMMYFUNCTION("""COMPUTED_VALUE"""),"Stock")</f>
        <v>Stock</v>
      </c>
      <c r="G273" s="43" t="str">
        <f ca="1">IFERROR(__xludf.DUMMYFUNCTION("""COMPUTED_VALUE"""),"HKD")</f>
        <v>HKD</v>
      </c>
      <c r="H273" s="154">
        <f ca="1">IFERROR(__xludf.DUMMYFUNCTION("""COMPUTED_VALUE"""),700)</f>
        <v>700</v>
      </c>
      <c r="I273" s="148">
        <f ca="1">IFERROR(__xludf.DUMMYFUNCTION("""COMPUTED_VALUE"""),1)</f>
        <v>1</v>
      </c>
      <c r="J273" s="149">
        <f ca="1">IFERROR(__xludf.DUMMYFUNCTION("""COMPUTED_VALUE"""),127.2)</f>
        <v>127.2</v>
      </c>
      <c r="K273" s="43"/>
      <c r="L273" s="149">
        <f ca="1">IFERROR(__xludf.DUMMYFUNCTION("""COMPUTED_VALUE"""),105.4)</f>
        <v>105.4</v>
      </c>
      <c r="M273" s="155" t="str">
        <f ca="1">IFERROR(__xludf.DUMMYFUNCTION("""COMPUTED_VALUE"""),"Equity Key Stats")</f>
        <v>Equity Key Stats</v>
      </c>
      <c r="N273" s="43"/>
      <c r="O273" s="43"/>
      <c r="P273" s="157">
        <f ca="1">IFERROR(__xludf.DUMMYFUNCTION("""COMPUTED_VALUE"""),-89040)</f>
        <v>-89040</v>
      </c>
      <c r="Q273" s="151"/>
      <c r="R273" s="152">
        <f ca="1">IFERROR(__xludf.DUMMYFUNCTION("""COMPUTED_VALUE"""),97.9)</f>
        <v>97.9</v>
      </c>
      <c r="S273" s="150">
        <f ca="1">IFERROR(__xludf.DUMMYFUNCTION("""COMPUTED_VALUE"""),68530)</f>
        <v>68530</v>
      </c>
      <c r="T273" s="108">
        <f ca="1">IFERROR(__xludf.DUMMYFUNCTION("""COMPUTED_VALUE"""),2)</f>
        <v>2</v>
      </c>
      <c r="U273" s="108" t="str">
        <f ca="1">IFERROR(__xludf.DUMMYFUNCTION("""COMPUTED_VALUE"""),"")</f>
        <v/>
      </c>
      <c r="V273" s="158" t="str">
        <f ca="1">IFERROR(__xludf.DUMMYFUNCTION("""COMPUTED_VALUE"""),"")</f>
        <v/>
      </c>
      <c r="W273" s="44" t="str">
        <f ca="1">IFERROR(__xludf.DUMMYFUNCTION("""COMPUTED_VALUE"""),"")</f>
        <v/>
      </c>
      <c r="X273" s="154" t="str">
        <f ca="1">IFERROR(__xludf.DUMMYFUNCTION("""COMPUTED_VALUE"""),"")</f>
        <v/>
      </c>
      <c r="Y273" s="154" t="str">
        <f ca="1">IFERROR(__xludf.DUMMYFUNCTION("""COMPUTED_VALUE"""),"")</f>
        <v/>
      </c>
      <c r="Z273" s="162" t="str">
        <f ca="1">IFERROR(__xludf.DUMMYFUNCTION("""COMPUTED_VALUE"""),"")</f>
        <v/>
      </c>
    </row>
    <row r="274" spans="1:26" ht="13" x14ac:dyDescent="0.15">
      <c r="A274" s="43" t="str">
        <f ca="1">IFERROR(__xludf.DUMMYFUNCTION("""COMPUTED_VALUE"""),"")</f>
        <v/>
      </c>
      <c r="B274" s="43" t="str">
        <f ca="1">IFERROR(__xludf.DUMMYFUNCTION("""COMPUTED_VALUE"""),"40158")</f>
        <v>40158</v>
      </c>
      <c r="C274" s="146">
        <f ca="1">IFERROR(__xludf.DUMMYFUNCTION("""COMPUTED_VALUE"""),44608000220)</f>
        <v>44608000220</v>
      </c>
      <c r="D274" s="161" t="str">
        <f ca="1">IFERROR(__xludf.DUMMYFUNCTION("""COMPUTED_VALUE"""),"2020.HK")</f>
        <v>2020.HK</v>
      </c>
      <c r="E274" s="147">
        <f ca="1">IFERROR(__xludf.DUMMYFUNCTION("""COMPUTED_VALUE"""),44608)</f>
        <v>44608</v>
      </c>
      <c r="F274" s="43" t="str">
        <f ca="1">IFERROR(__xludf.DUMMYFUNCTION("""COMPUTED_VALUE"""),"Stock")</f>
        <v>Stock</v>
      </c>
      <c r="G274" s="43" t="str">
        <f ca="1">IFERROR(__xludf.DUMMYFUNCTION("""COMPUTED_VALUE"""),"HKD")</f>
        <v>HKD</v>
      </c>
      <c r="H274" s="11">
        <f ca="1">IFERROR(__xludf.DUMMYFUNCTION("""COMPUTED_VALUE"""),7)</f>
        <v>7</v>
      </c>
      <c r="I274" s="148">
        <f ca="1">IFERROR(__xludf.DUMMYFUNCTION("""COMPUTED_VALUE"""),1)</f>
        <v>1</v>
      </c>
      <c r="J274" s="149">
        <f ca="1">IFERROR(__xludf.DUMMYFUNCTION("""COMPUTED_VALUE"""),129.8)</f>
        <v>129.80000000000001</v>
      </c>
      <c r="K274" s="43"/>
      <c r="L274" s="149">
        <f ca="1">IFERROR(__xludf.DUMMYFUNCTION("""COMPUTED_VALUE"""),105.4)</f>
        <v>105.4</v>
      </c>
      <c r="M274" s="160" t="str">
        <f ca="1">IFERROR(__xludf.DUMMYFUNCTION("""COMPUTED_VALUE"""),"Equity Key Stats")</f>
        <v>Equity Key Stats</v>
      </c>
      <c r="N274" s="43"/>
      <c r="O274" s="43"/>
      <c r="P274" s="150">
        <f ca="1">IFERROR(__xludf.DUMMYFUNCTION("""COMPUTED_VALUE"""),-908.6)</f>
        <v>-908.6</v>
      </c>
      <c r="Q274" s="151"/>
      <c r="R274" s="152">
        <f ca="1">IFERROR(__xludf.DUMMYFUNCTION("""COMPUTED_VALUE"""),97.9)</f>
        <v>97.9</v>
      </c>
      <c r="S274" s="127">
        <f ca="1">IFERROR(__xludf.DUMMYFUNCTION("""COMPUTED_VALUE"""),685.3)</f>
        <v>685.3</v>
      </c>
      <c r="T274" s="108">
        <f ca="1">IFERROR(__xludf.DUMMYFUNCTION("""COMPUTED_VALUE"""),2)</f>
        <v>2</v>
      </c>
      <c r="U274" s="108">
        <f ca="1">IFERROR(__xludf.DUMMYFUNCTION("""COMPUTED_VALUE"""),1)</f>
        <v>1</v>
      </c>
      <c r="V274" s="153">
        <f ca="1">IFERROR(__xludf.DUMMYFUNCTION("""COMPUTED_VALUE"""),-20733.3)</f>
        <v>-20733.3</v>
      </c>
      <c r="W274" s="145" t="str">
        <f ca="1">IFERROR(__xludf.DUMMYFUNCTION("""COMPUTED_VALUE"""),"")</f>
        <v/>
      </c>
      <c r="X274" s="11" t="str">
        <f ca="1">IFERROR(__xludf.DUMMYFUNCTION("""COMPUTED_VALUE"""),"")</f>
        <v/>
      </c>
      <c r="Y274" s="11" t="str">
        <f ca="1">IFERROR(__xludf.DUMMYFUNCTION("""COMPUTED_VALUE"""),"")</f>
        <v/>
      </c>
      <c r="Z274" s="4" t="str">
        <f ca="1">IFERROR(__xludf.DUMMYFUNCTION("""COMPUTED_VALUE"""),"")</f>
        <v/>
      </c>
    </row>
    <row r="275" spans="1:26" ht="13" x14ac:dyDescent="0.15">
      <c r="A275" s="43" t="str">
        <f ca="1">IFERROR(__xludf.DUMMYFUNCTION("""COMPUTED_VALUE"""),"")</f>
        <v/>
      </c>
      <c r="B275" s="43" t="str">
        <f ca="1">IFERROR(__xludf.DUMMYFUNCTION("""COMPUTED_VALUE"""),"40158")</f>
        <v>40158</v>
      </c>
      <c r="C275" s="146">
        <f ca="1">IFERROR(__xludf.DUMMYFUNCTION("""COMPUTED_VALUE"""),44609000246)</f>
        <v>44609000246</v>
      </c>
      <c r="D275" s="163" t="str">
        <f ca="1">IFERROR(__xludf.DUMMYFUNCTION("""COMPUTED_VALUE"""),"TSLA")</f>
        <v>TSLA</v>
      </c>
      <c r="E275" s="147">
        <f ca="1">IFERROR(__xludf.DUMMYFUNCTION("""COMPUTED_VALUE"""),44609)</f>
        <v>44609</v>
      </c>
      <c r="F275" s="43" t="str">
        <f ca="1">IFERROR(__xludf.DUMMYFUNCTION("""COMPUTED_VALUE"""),"Stock")</f>
        <v>Stock</v>
      </c>
      <c r="G275" s="43" t="str">
        <f ca="1">IFERROR(__xludf.DUMMYFUNCTION("""COMPUTED_VALUE"""),"USD")</f>
        <v>USD</v>
      </c>
      <c r="H275" s="154">
        <f ca="1">IFERROR(__xludf.DUMMYFUNCTION("""COMPUTED_VALUE"""),6)</f>
        <v>6</v>
      </c>
      <c r="I275" s="148">
        <f ca="1">IFERROR(__xludf.DUMMYFUNCTION("""COMPUTED_VALUE"""),7.799115)</f>
        <v>7.7991149999999996</v>
      </c>
      <c r="J275" s="149">
        <f ca="1">IFERROR(__xludf.DUMMYFUNCTION("""COMPUTED_VALUE"""),876.35)</f>
        <v>876.35</v>
      </c>
      <c r="K275" s="43"/>
      <c r="L275" s="149">
        <f ca="1">IFERROR(__xludf.DUMMYFUNCTION("""COMPUTED_VALUE"""),993.98)</f>
        <v>993.98</v>
      </c>
      <c r="M275" s="155" t="str">
        <f ca="1">IFERROR(__xludf.DUMMYFUNCTION("""COMPUTED_VALUE"""),"Equity Key Stats")</f>
        <v>Equity Key Stats</v>
      </c>
      <c r="N275" s="43"/>
      <c r="O275" s="43"/>
      <c r="P275" s="157">
        <f ca="1">IFERROR(__xludf.DUMMYFUNCTION("""COMPUTED_VALUE"""),-41008.5265814999)</f>
        <v>-41008.5265814999</v>
      </c>
      <c r="Q275" s="151"/>
      <c r="R275" s="152">
        <f ca="1">IFERROR(__xludf.DUMMYFUNCTION("""COMPUTED_VALUE"""),999.11)</f>
        <v>999.11</v>
      </c>
      <c r="S275" s="150">
        <f ca="1">IFERROR(__xludf.DUMMYFUNCTION("""COMPUTED_VALUE"""),46753.0427259)</f>
        <v>46753.042725899999</v>
      </c>
      <c r="T275" s="108">
        <f ca="1">IFERROR(__xludf.DUMMYFUNCTION("""COMPUTED_VALUE"""),1)</f>
        <v>1</v>
      </c>
      <c r="U275" s="43">
        <f ca="1">IFERROR(__xludf.DUMMYFUNCTION("""COMPUTED_VALUE"""),1)</f>
        <v>1</v>
      </c>
      <c r="V275" s="144">
        <f ca="1">IFERROR(__xludf.DUMMYFUNCTION("""COMPUTED_VALUE"""),5744.5161444)</f>
        <v>5744.5161443999996</v>
      </c>
      <c r="W275" s="145" t="str">
        <f ca="1">IFERROR(__xludf.DUMMYFUNCTION("""COMPUTED_VALUE"""),"")</f>
        <v/>
      </c>
      <c r="X275" s="11" t="str">
        <f ca="1">IFERROR(__xludf.DUMMYFUNCTION("""COMPUTED_VALUE"""),"")</f>
        <v/>
      </c>
      <c r="Y275" s="11" t="str">
        <f ca="1">IFERROR(__xludf.DUMMYFUNCTION("""COMPUTED_VALUE"""),"")</f>
        <v/>
      </c>
      <c r="Z275" s="4" t="str">
        <f ca="1">IFERROR(__xludf.DUMMYFUNCTION("""COMPUTED_VALUE"""),"")</f>
        <v/>
      </c>
    </row>
    <row r="276" spans="1:26" ht="13" x14ac:dyDescent="0.15">
      <c r="A276" s="43" t="str">
        <f ca="1">IFERROR(__xludf.DUMMYFUNCTION("""COMPUTED_VALUE"""),"40158")</f>
        <v>40158</v>
      </c>
      <c r="B276" s="43" t="str">
        <f ca="1">IFERROR(__xludf.DUMMYFUNCTION("""COMPUTED_VALUE"""),"40158")</f>
        <v>40158</v>
      </c>
      <c r="C276" s="146">
        <f ca="1">IFERROR(__xludf.DUMMYFUNCTION("""COMPUTED_VALUE"""),44643000812)</f>
        <v>44643000812</v>
      </c>
      <c r="D276" s="163" t="str">
        <f ca="1">IFERROR(__xludf.DUMMYFUNCTION("""COMPUTED_VALUE"""),"6049.HK")</f>
        <v>6049.HK</v>
      </c>
      <c r="E276" s="147">
        <f ca="1">IFERROR(__xludf.DUMMYFUNCTION("""COMPUTED_VALUE"""),44643)</f>
        <v>44643</v>
      </c>
      <c r="F276" s="43" t="str">
        <f ca="1">IFERROR(__xludf.DUMMYFUNCTION("""COMPUTED_VALUE"""),"Stock")</f>
        <v>Stock</v>
      </c>
      <c r="G276" s="43" t="str">
        <f ca="1">IFERROR(__xludf.DUMMYFUNCTION("""COMPUTED_VALUE"""),"HKD")</f>
        <v>HKD</v>
      </c>
      <c r="H276" s="154">
        <f ca="1">IFERROR(__xludf.DUMMYFUNCTION("""COMPUTED_VALUE"""),400)</f>
        <v>400</v>
      </c>
      <c r="I276" s="148">
        <f ca="1">IFERROR(__xludf.DUMMYFUNCTION("""COMPUTED_VALUE"""),1)</f>
        <v>1</v>
      </c>
      <c r="J276" s="149">
        <f ca="1">IFERROR(__xludf.DUMMYFUNCTION("""COMPUTED_VALUE"""),57)</f>
        <v>57</v>
      </c>
      <c r="K276" s="43"/>
      <c r="L276" s="149" t="str">
        <f ca="1">IFERROR(__xludf.DUMMYFUNCTION("""COMPUTED_VALUE"""),"")</f>
        <v/>
      </c>
      <c r="M276" s="155" t="str">
        <f ca="1">IFERROR(__xludf.DUMMYFUNCTION("""COMPUTED_VALUE"""),"Equity Key Stats")</f>
        <v>Equity Key Stats</v>
      </c>
      <c r="N276" s="43"/>
      <c r="O276" s="43"/>
      <c r="P276" s="157">
        <f ca="1">IFERROR(__xludf.DUMMYFUNCTION("""COMPUTED_VALUE"""),-22800)</f>
        <v>-22800</v>
      </c>
      <c r="Q276" s="151"/>
      <c r="R276" s="152">
        <f ca="1">IFERROR(__xludf.DUMMYFUNCTION("""COMPUTED_VALUE"""),57)</f>
        <v>57</v>
      </c>
      <c r="S276" s="150">
        <f ca="1">IFERROR(__xludf.DUMMYFUNCTION("""COMPUTED_VALUE"""),22800)</f>
        <v>22800</v>
      </c>
      <c r="T276" s="108">
        <f ca="1">IFERROR(__xludf.DUMMYFUNCTION("""COMPUTED_VALUE"""),1)</f>
        <v>1</v>
      </c>
      <c r="U276" s="108">
        <f ca="1">IFERROR(__xludf.DUMMYFUNCTION("""COMPUTED_VALUE"""),1)</f>
        <v>1</v>
      </c>
      <c r="V276" s="153">
        <f ca="1">IFERROR(__xludf.DUMMYFUNCTION("""COMPUTED_VALUE"""),0)</f>
        <v>0</v>
      </c>
      <c r="W276" s="145">
        <f ca="1">IFERROR(__xludf.DUMMYFUNCTION("""COMPUTED_VALUE"""),485011.2161444)</f>
        <v>485011.21614440001</v>
      </c>
      <c r="X276" s="11">
        <f ca="1">IFERROR(__xludf.DUMMYFUNCTION("""COMPUTED_VALUE"""),346242.8734185)</f>
        <v>346242.87341850001</v>
      </c>
      <c r="Y276" s="11">
        <f ca="1">IFERROR(__xludf.DUMMYFUNCTION("""COMPUTED_VALUE"""),0)</f>
        <v>0</v>
      </c>
      <c r="Z276" s="4">
        <f ca="1">IFERROR(__xludf.DUMMYFUNCTION("""COMPUTED_VALUE"""),-0.0299775677111999)</f>
        <v>-2.9977567711199901E-2</v>
      </c>
    </row>
    <row r="277" spans="1:26" ht="13" x14ac:dyDescent="0.15">
      <c r="A277" s="43" t="str">
        <f ca="1">IFERROR(__xludf.DUMMYFUNCTION("""COMPUTED_VALUE"""),"")</f>
        <v/>
      </c>
      <c r="B277" s="43" t="str">
        <f ca="1">IFERROR(__xludf.DUMMYFUNCTION("""COMPUTED_VALUE"""),"40318")</f>
        <v>40318</v>
      </c>
      <c r="C277" s="146">
        <f ca="1">IFERROR(__xludf.DUMMYFUNCTION("""COMPUTED_VALUE"""),44597000109)</f>
        <v>44597000109</v>
      </c>
      <c r="D277" s="163" t="str">
        <f ca="1">IFERROR(__xludf.DUMMYFUNCTION("""COMPUTED_VALUE"""),"Cash")</f>
        <v>Cash</v>
      </c>
      <c r="E277" s="147">
        <f ca="1">IFERROR(__xludf.DUMMYFUNCTION("""COMPUTED_VALUE"""),44597)</f>
        <v>44597</v>
      </c>
      <c r="F277" s="43" t="str">
        <f ca="1">IFERROR(__xludf.DUMMYFUNCTION("""COMPUTED_VALUE"""),"Cash")</f>
        <v>Cash</v>
      </c>
      <c r="G277" s="43" t="str">
        <f ca="1">IFERROR(__xludf.DUMMYFUNCTION("""COMPUTED_VALUE"""),"HKD")</f>
        <v>HKD</v>
      </c>
      <c r="H277" s="156" t="str">
        <f ca="1">IFERROR(__xludf.DUMMYFUNCTION("""COMPUTED_VALUE"""),"")</f>
        <v/>
      </c>
      <c r="I277" s="148">
        <f ca="1">IFERROR(__xludf.DUMMYFUNCTION("""COMPUTED_VALUE"""),1)</f>
        <v>1</v>
      </c>
      <c r="J277" s="149">
        <f ca="1">IFERROR(__xludf.DUMMYFUNCTION("""COMPUTED_VALUE"""),1)</f>
        <v>1</v>
      </c>
      <c r="K277" s="43"/>
      <c r="L277" s="149">
        <f ca="1">IFERROR(__xludf.DUMMYFUNCTION("""COMPUTED_VALUE"""),1)</f>
        <v>1</v>
      </c>
      <c r="M277" s="155" t="str">
        <f ca="1">IFERROR(__xludf.DUMMYFUNCTION("""COMPUTED_VALUE"""),"")</f>
        <v/>
      </c>
      <c r="N277" s="43"/>
      <c r="O277" s="43"/>
      <c r="P277" s="150">
        <f ca="1">IFERROR(__xludf.DUMMYFUNCTION("""COMPUTED_VALUE"""),500000)</f>
        <v>500000</v>
      </c>
      <c r="Q277" s="151"/>
      <c r="R277" s="152">
        <f ca="1">IFERROR(__xludf.DUMMYFUNCTION("""COMPUTED_VALUE"""),1)</f>
        <v>1</v>
      </c>
      <c r="S277" s="157" t="str">
        <f ca="1">IFERROR(__xludf.DUMMYFUNCTION("""COMPUTED_VALUE"""),"")</f>
        <v/>
      </c>
      <c r="T277" s="108">
        <f ca="1">IFERROR(__xludf.DUMMYFUNCTION("""COMPUTED_VALUE"""),1)</f>
        <v>1</v>
      </c>
      <c r="U277" s="43">
        <f ca="1">IFERROR(__xludf.DUMMYFUNCTION("""COMPUTED_VALUE"""),1)</f>
        <v>1</v>
      </c>
      <c r="V277" s="144">
        <f ca="1">IFERROR(__xludf.DUMMYFUNCTION("""COMPUTED_VALUE"""),500000)</f>
        <v>500000</v>
      </c>
      <c r="W277" s="145" t="str">
        <f ca="1">IFERROR(__xludf.DUMMYFUNCTION("""COMPUTED_VALUE"""),"")</f>
        <v/>
      </c>
      <c r="X277" s="11" t="str">
        <f ca="1">IFERROR(__xludf.DUMMYFUNCTION("""COMPUTED_VALUE"""),"")</f>
        <v/>
      </c>
      <c r="Y277" s="11" t="str">
        <f ca="1">IFERROR(__xludf.DUMMYFUNCTION("""COMPUTED_VALUE"""),"")</f>
        <v/>
      </c>
      <c r="Z277" s="4" t="str">
        <f ca="1">IFERROR(__xludf.DUMMYFUNCTION("""COMPUTED_VALUE"""),"")</f>
        <v/>
      </c>
    </row>
    <row r="278" spans="1:26" ht="13" x14ac:dyDescent="0.15">
      <c r="A278" s="43" t="str">
        <f ca="1">IFERROR(__xludf.DUMMYFUNCTION("""COMPUTED_VALUE"""),"")</f>
        <v/>
      </c>
      <c r="B278" s="43" t="str">
        <f ca="1">IFERROR(__xludf.DUMMYFUNCTION("""COMPUTED_VALUE"""),"40318")</f>
        <v>40318</v>
      </c>
      <c r="C278" s="146">
        <f ca="1">IFERROR(__xludf.DUMMYFUNCTION("""COMPUTED_VALUE"""),44629000501)</f>
        <v>44629000501</v>
      </c>
      <c r="D278" s="163" t="str">
        <f ca="1">IFERROR(__xludf.DUMMYFUNCTION("""COMPUTED_VALUE"""),"AAPL")</f>
        <v>AAPL</v>
      </c>
      <c r="E278" s="147">
        <f ca="1">IFERROR(__xludf.DUMMYFUNCTION("""COMPUTED_VALUE"""),44629)</f>
        <v>44629</v>
      </c>
      <c r="F278" s="43" t="str">
        <f ca="1">IFERROR(__xludf.DUMMYFUNCTION("""COMPUTED_VALUE"""),"Stock")</f>
        <v>Stock</v>
      </c>
      <c r="G278" s="43" t="str">
        <f ca="1">IFERROR(__xludf.DUMMYFUNCTION("""COMPUTED_VALUE"""),"USD")</f>
        <v>USD</v>
      </c>
      <c r="H278" s="154">
        <f ca="1">IFERROR(__xludf.DUMMYFUNCTION("""COMPUTED_VALUE"""),80)</f>
        <v>80</v>
      </c>
      <c r="I278" s="148">
        <f ca="1">IFERROR(__xludf.DUMMYFUNCTION("""COMPUTED_VALUE"""),7.81935)</f>
        <v>7.81935</v>
      </c>
      <c r="J278" s="149">
        <f ca="1">IFERROR(__xludf.DUMMYFUNCTION("""COMPUTED_VALUE"""),162.95)</f>
        <v>162.94999999999999</v>
      </c>
      <c r="K278" s="43"/>
      <c r="L278" s="149">
        <f ca="1">IFERROR(__xludf.DUMMYFUNCTION("""COMPUTED_VALUE"""),168.82)</f>
        <v>168.82</v>
      </c>
      <c r="M278" s="155" t="str">
        <f ca="1">IFERROR(__xludf.DUMMYFUNCTION("""COMPUTED_VALUE"""),"Equity Key Stats")</f>
        <v>Equity Key Stats</v>
      </c>
      <c r="N278" s="43"/>
      <c r="O278" s="43"/>
      <c r="P278" s="157">
        <f ca="1">IFERROR(__xludf.DUMMYFUNCTION("""COMPUTED_VALUE"""),-101933.046599999)</f>
        <v>-101933.046599999</v>
      </c>
      <c r="Q278" s="151"/>
      <c r="R278" s="152">
        <f ca="1">IFERROR(__xludf.DUMMYFUNCTION("""COMPUTED_VALUE"""),170.21)</f>
        <v>170.21</v>
      </c>
      <c r="S278" s="150">
        <f ca="1">IFERROR(__xludf.DUMMYFUNCTION("""COMPUTED_VALUE"""),106474.52508)</f>
        <v>106474.52508000001</v>
      </c>
      <c r="T278" s="108">
        <f ca="1">IFERROR(__xludf.DUMMYFUNCTION("""COMPUTED_VALUE"""),2)</f>
        <v>2</v>
      </c>
      <c r="U278" s="108" t="str">
        <f ca="1">IFERROR(__xludf.DUMMYFUNCTION("""COMPUTED_VALUE"""),"")</f>
        <v/>
      </c>
      <c r="V278" s="158" t="str">
        <f ca="1">IFERROR(__xludf.DUMMYFUNCTION("""COMPUTED_VALUE"""),"")</f>
        <v/>
      </c>
      <c r="W278" s="44" t="str">
        <f ca="1">IFERROR(__xludf.DUMMYFUNCTION("""COMPUTED_VALUE"""),"")</f>
        <v/>
      </c>
      <c r="X278" s="154" t="str">
        <f ca="1">IFERROR(__xludf.DUMMYFUNCTION("""COMPUTED_VALUE"""),"")</f>
        <v/>
      </c>
      <c r="Y278" s="154" t="str">
        <f ca="1">IFERROR(__xludf.DUMMYFUNCTION("""COMPUTED_VALUE"""),"")</f>
        <v/>
      </c>
      <c r="Z278" s="159" t="str">
        <f ca="1">IFERROR(__xludf.DUMMYFUNCTION("""COMPUTED_VALUE"""),"")</f>
        <v/>
      </c>
    </row>
    <row r="279" spans="1:26" ht="13" x14ac:dyDescent="0.15">
      <c r="A279" s="43" t="str">
        <f ca="1">IFERROR(__xludf.DUMMYFUNCTION("""COMPUTED_VALUE"""),"")</f>
        <v/>
      </c>
      <c r="B279" s="43" t="str">
        <f ca="1">IFERROR(__xludf.DUMMYFUNCTION("""COMPUTED_VALUE"""),"40318")</f>
        <v>40318</v>
      </c>
      <c r="C279" s="146">
        <f ca="1">IFERROR(__xludf.DUMMYFUNCTION("""COMPUTED_VALUE"""),44629000502)</f>
        <v>44629000502</v>
      </c>
      <c r="D279" s="43" t="str">
        <f ca="1">IFERROR(__xludf.DUMMYFUNCTION("""COMPUTED_VALUE"""),"LMT")</f>
        <v>LMT</v>
      </c>
      <c r="E279" s="147">
        <f ca="1">IFERROR(__xludf.DUMMYFUNCTION("""COMPUTED_VALUE"""),44629)</f>
        <v>44629</v>
      </c>
      <c r="F279" s="43" t="str">
        <f ca="1">IFERROR(__xludf.DUMMYFUNCTION("""COMPUTED_VALUE"""),"Stock")</f>
        <v>Stock</v>
      </c>
      <c r="G279" s="43" t="str">
        <f ca="1">IFERROR(__xludf.DUMMYFUNCTION("""COMPUTED_VALUE"""),"USD")</f>
        <v>USD</v>
      </c>
      <c r="H279" s="11">
        <f ca="1">IFERROR(__xludf.DUMMYFUNCTION("""COMPUTED_VALUE"""),20)</f>
        <v>20</v>
      </c>
      <c r="I279" s="148">
        <f ca="1">IFERROR(__xludf.DUMMYFUNCTION("""COMPUTED_VALUE"""),7.81935)</f>
        <v>7.81935</v>
      </c>
      <c r="J279" s="149">
        <f ca="1">IFERROR(__xludf.DUMMYFUNCTION("""COMPUTED_VALUE"""),448.72)</f>
        <v>448.72</v>
      </c>
      <c r="K279" s="43"/>
      <c r="L279" s="149">
        <f ca="1">IFERROR(__xludf.DUMMYFUNCTION("""COMPUTED_VALUE"""),440.59)</f>
        <v>440.59</v>
      </c>
      <c r="M279" s="160" t="str">
        <f ca="1">IFERROR(__xludf.DUMMYFUNCTION("""COMPUTED_VALUE"""),"Equity Key Stats")</f>
        <v>Equity Key Stats</v>
      </c>
      <c r="N279" s="43"/>
      <c r="O279" s="43"/>
      <c r="P279" s="150">
        <f ca="1">IFERROR(__xludf.DUMMYFUNCTION("""COMPUTED_VALUE"""),-70173.97464)</f>
        <v>-70173.97464</v>
      </c>
      <c r="Q279" s="151"/>
      <c r="R279" s="152">
        <f ca="1">IFERROR(__xludf.DUMMYFUNCTION("""COMPUTED_VALUE"""),445.25)</f>
        <v>445.25</v>
      </c>
      <c r="S279" s="127">
        <f ca="1">IFERROR(__xludf.DUMMYFUNCTION("""COMPUTED_VALUE"""),69631.31175)</f>
        <v>69631.311749999993</v>
      </c>
      <c r="T279" s="108">
        <f ca="1">IFERROR(__xludf.DUMMYFUNCTION("""COMPUTED_VALUE"""),1)</f>
        <v>1</v>
      </c>
      <c r="U279" s="108">
        <f ca="1">IFERROR(__xludf.DUMMYFUNCTION("""COMPUTED_VALUE"""),1)</f>
        <v>1</v>
      </c>
      <c r="V279" s="153">
        <f ca="1">IFERROR(__xludf.DUMMYFUNCTION("""COMPUTED_VALUE"""),-542.662890000006)</f>
        <v>-542.66289000000597</v>
      </c>
      <c r="W279" s="145" t="str">
        <f ca="1">IFERROR(__xludf.DUMMYFUNCTION("""COMPUTED_VALUE"""),"")</f>
        <v/>
      </c>
      <c r="X279" s="11" t="str">
        <f ca="1">IFERROR(__xludf.DUMMYFUNCTION("""COMPUTED_VALUE"""),"")</f>
        <v/>
      </c>
      <c r="Y279" s="11" t="str">
        <f ca="1">IFERROR(__xludf.DUMMYFUNCTION("""COMPUTED_VALUE"""),"")</f>
        <v/>
      </c>
      <c r="Z279" s="4" t="str">
        <f ca="1">IFERROR(__xludf.DUMMYFUNCTION("""COMPUTED_VALUE"""),"")</f>
        <v/>
      </c>
    </row>
    <row r="280" spans="1:26" ht="13" x14ac:dyDescent="0.15">
      <c r="A280" s="43" t="str">
        <f ca="1">IFERROR(__xludf.DUMMYFUNCTION("""COMPUTED_VALUE"""),"")</f>
        <v/>
      </c>
      <c r="B280" s="43" t="str">
        <f ca="1">IFERROR(__xludf.DUMMYFUNCTION("""COMPUTED_VALUE"""),"40318")</f>
        <v>40318</v>
      </c>
      <c r="C280" s="146">
        <f ca="1">IFERROR(__xludf.DUMMYFUNCTION("""COMPUTED_VALUE"""),44629000503)</f>
        <v>44629000503</v>
      </c>
      <c r="D280" s="43" t="str">
        <f ca="1">IFERROR(__xludf.DUMMYFUNCTION("""COMPUTED_VALUE"""),"ABNB")</f>
        <v>ABNB</v>
      </c>
      <c r="E280" s="147">
        <f ca="1">IFERROR(__xludf.DUMMYFUNCTION("""COMPUTED_VALUE"""),44629)</f>
        <v>44629</v>
      </c>
      <c r="F280" s="43" t="str">
        <f ca="1">IFERROR(__xludf.DUMMYFUNCTION("""COMPUTED_VALUE"""),"Stock")</f>
        <v>Stock</v>
      </c>
      <c r="G280" s="43" t="str">
        <f ca="1">IFERROR(__xludf.DUMMYFUNCTION("""COMPUTED_VALUE"""),"USD")</f>
        <v>USD</v>
      </c>
      <c r="H280" s="154">
        <f ca="1">IFERROR(__xludf.DUMMYFUNCTION("""COMPUTED_VALUE"""),60)</f>
        <v>60</v>
      </c>
      <c r="I280" s="148">
        <f ca="1">IFERROR(__xludf.DUMMYFUNCTION("""COMPUTED_VALUE"""),7.81935)</f>
        <v>7.81935</v>
      </c>
      <c r="J280" s="149">
        <f ca="1">IFERROR(__xludf.DUMMYFUNCTION("""COMPUTED_VALUE"""),148.31)</f>
        <v>148.31</v>
      </c>
      <c r="K280" s="43"/>
      <c r="L280" s="149">
        <f ca="1">IFERROR(__xludf.DUMMYFUNCTION("""COMPUTED_VALUE"""),166.44)</f>
        <v>166.44</v>
      </c>
      <c r="M280" s="155" t="str">
        <f ca="1">IFERROR(__xludf.DUMMYFUNCTION("""COMPUTED_VALUE"""),"Equity Key Stats")</f>
        <v>Equity Key Stats</v>
      </c>
      <c r="N280" s="43"/>
      <c r="O280" s="43"/>
      <c r="P280" s="150">
        <f ca="1">IFERROR(__xludf.DUMMYFUNCTION("""COMPUTED_VALUE"""),-69581.26791)</f>
        <v>-69581.267909999995</v>
      </c>
      <c r="Q280" s="151"/>
      <c r="R280" s="152">
        <f ca="1">IFERROR(__xludf.DUMMYFUNCTION("""COMPUTED_VALUE"""),164.16)</f>
        <v>164.16</v>
      </c>
      <c r="S280" s="150">
        <f ca="1">IFERROR(__xludf.DUMMYFUNCTION("""COMPUTED_VALUE"""),77017.4697599999)</f>
        <v>77017.469759999905</v>
      </c>
      <c r="T280" s="108">
        <f ca="1">IFERROR(__xludf.DUMMYFUNCTION("""COMPUTED_VALUE"""),1)</f>
        <v>1</v>
      </c>
      <c r="U280" s="108">
        <f ca="1">IFERROR(__xludf.DUMMYFUNCTION("""COMPUTED_VALUE"""),1)</f>
        <v>1</v>
      </c>
      <c r="V280" s="153">
        <f ca="1">IFERROR(__xludf.DUMMYFUNCTION("""COMPUTED_VALUE"""),7436.20184999999)</f>
        <v>7436.2018499999904</v>
      </c>
      <c r="W280" s="145" t="str">
        <f ca="1">IFERROR(__xludf.DUMMYFUNCTION("""COMPUTED_VALUE"""),"")</f>
        <v/>
      </c>
      <c r="X280" s="11" t="str">
        <f ca="1">IFERROR(__xludf.DUMMYFUNCTION("""COMPUTED_VALUE"""),"")</f>
        <v/>
      </c>
      <c r="Y280" s="11" t="str">
        <f ca="1">IFERROR(__xludf.DUMMYFUNCTION("""COMPUTED_VALUE"""),"")</f>
        <v/>
      </c>
      <c r="Z280" s="4" t="str">
        <f ca="1">IFERROR(__xludf.DUMMYFUNCTION("""COMPUTED_VALUE"""),"")</f>
        <v/>
      </c>
    </row>
    <row r="281" spans="1:26" ht="13" x14ac:dyDescent="0.15">
      <c r="A281" s="43" t="str">
        <f ca="1">IFERROR(__xludf.DUMMYFUNCTION("""COMPUTED_VALUE"""),"")</f>
        <v/>
      </c>
      <c r="B281" s="43" t="str">
        <f ca="1">IFERROR(__xludf.DUMMYFUNCTION("""COMPUTED_VALUE"""),"40318")</f>
        <v>40318</v>
      </c>
      <c r="C281" s="146">
        <f ca="1">IFERROR(__xludf.DUMMYFUNCTION("""COMPUTED_VALUE"""),44637000664)</f>
        <v>44637000664</v>
      </c>
      <c r="D281" s="163" t="str">
        <f ca="1">IFERROR(__xludf.DUMMYFUNCTION("""COMPUTED_VALUE"""),"AAPL")</f>
        <v>AAPL</v>
      </c>
      <c r="E281" s="147">
        <f ca="1">IFERROR(__xludf.DUMMYFUNCTION("""COMPUTED_VALUE"""),44637)</f>
        <v>44637</v>
      </c>
      <c r="F281" s="43" t="str">
        <f ca="1">IFERROR(__xludf.DUMMYFUNCTION("""COMPUTED_VALUE"""),"Stock")</f>
        <v>Stock</v>
      </c>
      <c r="G281" s="43" t="str">
        <f ca="1">IFERROR(__xludf.DUMMYFUNCTION("""COMPUTED_VALUE"""),"USD")</f>
        <v>USD</v>
      </c>
      <c r="H281" s="154">
        <f ca="1">IFERROR(__xludf.DUMMYFUNCTION("""COMPUTED_VALUE"""),-80)</f>
        <v>-80</v>
      </c>
      <c r="I281" s="148">
        <f ca="1">IFERROR(__xludf.DUMMYFUNCTION("""COMPUTED_VALUE"""),7.81854)</f>
        <v>7.8185399999999996</v>
      </c>
      <c r="J281" s="149">
        <f ca="1">IFERROR(__xludf.DUMMYFUNCTION("""COMPUTED_VALUE"""),160.62)</f>
        <v>160.62</v>
      </c>
      <c r="K281" s="43"/>
      <c r="L281" s="149">
        <f ca="1">IFERROR(__xludf.DUMMYFUNCTION("""COMPUTED_VALUE"""),168.82)</f>
        <v>168.82</v>
      </c>
      <c r="M281" s="155" t="str">
        <f ca="1">IFERROR(__xludf.DUMMYFUNCTION("""COMPUTED_VALUE"""),"Equity Key Stats")</f>
        <v>Equity Key Stats</v>
      </c>
      <c r="N281" s="43"/>
      <c r="O281" s="43"/>
      <c r="P281" s="157">
        <f ca="1">IFERROR(__xludf.DUMMYFUNCTION("""COMPUTED_VALUE"""),100465.111584)</f>
        <v>100465.111584</v>
      </c>
      <c r="Q281" s="151"/>
      <c r="R281" s="152">
        <f ca="1">IFERROR(__xludf.DUMMYFUNCTION("""COMPUTED_VALUE"""),170.21)</f>
        <v>170.21</v>
      </c>
      <c r="S281" s="150">
        <f ca="1">IFERROR(__xludf.DUMMYFUNCTION("""COMPUTED_VALUE"""),-106463.495472)</f>
        <v>-106463.495472</v>
      </c>
      <c r="T281" s="108">
        <f ca="1">IFERROR(__xludf.DUMMYFUNCTION("""COMPUTED_VALUE"""),2)</f>
        <v>2</v>
      </c>
      <c r="U281" s="108">
        <f ca="1">IFERROR(__xludf.DUMMYFUNCTION("""COMPUTED_VALUE"""),1)</f>
        <v>1</v>
      </c>
      <c r="V281" s="153">
        <f ca="1">IFERROR(__xludf.DUMMYFUNCTION("""COMPUTED_VALUE"""),-1456.90540799999)</f>
        <v>-1456.9054079999901</v>
      </c>
      <c r="W281" s="44" t="str">
        <f ca="1">IFERROR(__xludf.DUMMYFUNCTION("""COMPUTED_VALUE"""),"")</f>
        <v/>
      </c>
      <c r="X281" s="154" t="str">
        <f ca="1">IFERROR(__xludf.DUMMYFUNCTION("""COMPUTED_VALUE"""),"")</f>
        <v/>
      </c>
      <c r="Y281" s="154" t="str">
        <f ca="1">IFERROR(__xludf.DUMMYFUNCTION("""COMPUTED_VALUE"""),"")</f>
        <v/>
      </c>
      <c r="Z281" s="159" t="str">
        <f ca="1">IFERROR(__xludf.DUMMYFUNCTION("""COMPUTED_VALUE"""),"")</f>
        <v/>
      </c>
    </row>
    <row r="282" spans="1:26" ht="13" x14ac:dyDescent="0.15">
      <c r="A282" s="43" t="str">
        <f ca="1">IFERROR(__xludf.DUMMYFUNCTION("""COMPUTED_VALUE"""),"40318")</f>
        <v>40318</v>
      </c>
      <c r="B282" s="43" t="str">
        <f ca="1">IFERROR(__xludf.DUMMYFUNCTION("""COMPUTED_VALUE"""),"40318")</f>
        <v>40318</v>
      </c>
      <c r="C282" s="146">
        <f ca="1">IFERROR(__xludf.DUMMYFUNCTION("""COMPUTED_VALUE"""),44641000765)</f>
        <v>44641000765</v>
      </c>
      <c r="D282" s="43" t="str">
        <f ca="1">IFERROR(__xludf.DUMMYFUNCTION("""COMPUTED_VALUE"""),"BA")</f>
        <v>BA</v>
      </c>
      <c r="E282" s="147">
        <f ca="1">IFERROR(__xludf.DUMMYFUNCTION("""COMPUTED_VALUE"""),44641)</f>
        <v>44641</v>
      </c>
      <c r="F282" s="43" t="str">
        <f ca="1">IFERROR(__xludf.DUMMYFUNCTION("""COMPUTED_VALUE"""),"Stock")</f>
        <v>Stock</v>
      </c>
      <c r="G282" s="43" t="str">
        <f ca="1">IFERROR(__xludf.DUMMYFUNCTION("""COMPUTED_VALUE"""),"USD")</f>
        <v>USD</v>
      </c>
      <c r="H282" s="11">
        <f ca="1">IFERROR(__xludf.DUMMYFUNCTION("""COMPUTED_VALUE"""),0)</f>
        <v>0</v>
      </c>
      <c r="I282" s="148">
        <f ca="1">IFERROR(__xludf.DUMMYFUNCTION("""COMPUTED_VALUE"""),7.82545)</f>
        <v>7.82545</v>
      </c>
      <c r="J282" s="149">
        <f ca="1">IFERROR(__xludf.DUMMYFUNCTION("""COMPUTED_VALUE"""),0)</f>
        <v>0</v>
      </c>
      <c r="K282" s="43"/>
      <c r="L282" s="149">
        <f ca="1">IFERROR(__xludf.DUMMYFUNCTION("""COMPUTED_VALUE"""),191.04)</f>
        <v>191.04</v>
      </c>
      <c r="M282" s="160" t="str">
        <f ca="1">IFERROR(__xludf.DUMMYFUNCTION("""COMPUTED_VALUE"""),"Equity Key Stats")</f>
        <v>Equity Key Stats</v>
      </c>
      <c r="N282" s="43"/>
      <c r="O282" s="43"/>
      <c r="P282" s="150">
        <f ca="1">IFERROR(__xludf.DUMMYFUNCTION("""COMPUTED_VALUE"""),0)</f>
        <v>0</v>
      </c>
      <c r="Q282" s="151"/>
      <c r="R282" s="152">
        <f ca="1">IFERROR(__xludf.DUMMYFUNCTION("""COMPUTED_VALUE"""),186.04)</f>
        <v>186.04</v>
      </c>
      <c r="S282" s="127">
        <f ca="1">IFERROR(__xludf.DUMMYFUNCTION("""COMPUTED_VALUE"""),0)</f>
        <v>0</v>
      </c>
      <c r="T282" s="108">
        <f ca="1">IFERROR(__xludf.DUMMYFUNCTION("""COMPUTED_VALUE"""),1)</f>
        <v>1</v>
      </c>
      <c r="U282" s="108">
        <f ca="1">IFERROR(__xludf.DUMMYFUNCTION("""COMPUTED_VALUE"""),1)</f>
        <v>1</v>
      </c>
      <c r="V282" s="153">
        <f ca="1">IFERROR(__xludf.DUMMYFUNCTION("""COMPUTED_VALUE"""),0)</f>
        <v>0</v>
      </c>
      <c r="W282" s="145">
        <f ca="1">IFERROR(__xludf.DUMMYFUNCTION("""COMPUTED_VALUE"""),505436.633552)</f>
        <v>505436.63355199998</v>
      </c>
      <c r="X282" s="11">
        <f ca="1">IFERROR(__xludf.DUMMYFUNCTION("""COMPUTED_VALUE"""),358776.822434)</f>
        <v>358776.82243399997</v>
      </c>
      <c r="Y282" s="11">
        <f ca="1">IFERROR(__xludf.DUMMYFUNCTION("""COMPUTED_VALUE"""),0)</f>
        <v>0</v>
      </c>
      <c r="Z282" s="4">
        <f ca="1">IFERROR(__xludf.DUMMYFUNCTION("""COMPUTED_VALUE"""),0.0108732671039999)</f>
        <v>1.08732671039999E-2</v>
      </c>
    </row>
    <row r="283" spans="1:26" ht="13" x14ac:dyDescent="0.15">
      <c r="A283" s="43" t="str">
        <f ca="1">IFERROR(__xludf.DUMMYFUNCTION("""COMPUTED_VALUE"""),"")</f>
        <v/>
      </c>
      <c r="B283" s="43" t="str">
        <f ca="1">IFERROR(__xludf.DUMMYFUNCTION("""COMPUTED_VALUE"""),"40433")</f>
        <v>40433</v>
      </c>
      <c r="C283" s="146">
        <f ca="1">IFERROR(__xludf.DUMMYFUNCTION("""COMPUTED_VALUE"""),44597000077)</f>
        <v>44597000077</v>
      </c>
      <c r="D283" s="43" t="str">
        <f ca="1">IFERROR(__xludf.DUMMYFUNCTION("""COMPUTED_VALUE"""),"Cash")</f>
        <v>Cash</v>
      </c>
      <c r="E283" s="147">
        <f ca="1">IFERROR(__xludf.DUMMYFUNCTION("""COMPUTED_VALUE"""),44597)</f>
        <v>44597</v>
      </c>
      <c r="F283" s="43" t="str">
        <f ca="1">IFERROR(__xludf.DUMMYFUNCTION("""COMPUTED_VALUE"""),"Cash")</f>
        <v>Cash</v>
      </c>
      <c r="G283" s="43" t="str">
        <f ca="1">IFERROR(__xludf.DUMMYFUNCTION("""COMPUTED_VALUE"""),"HKD")</f>
        <v>HKD</v>
      </c>
      <c r="H283" s="154" t="str">
        <f ca="1">IFERROR(__xludf.DUMMYFUNCTION("""COMPUTED_VALUE"""),"")</f>
        <v/>
      </c>
      <c r="I283" s="148">
        <f ca="1">IFERROR(__xludf.DUMMYFUNCTION("""COMPUTED_VALUE"""),1)</f>
        <v>1</v>
      </c>
      <c r="J283" s="149">
        <f ca="1">IFERROR(__xludf.DUMMYFUNCTION("""COMPUTED_VALUE"""),1)</f>
        <v>1</v>
      </c>
      <c r="K283" s="43"/>
      <c r="L283" s="149">
        <f ca="1">IFERROR(__xludf.DUMMYFUNCTION("""COMPUTED_VALUE"""),1)</f>
        <v>1</v>
      </c>
      <c r="M283" s="155" t="str">
        <f ca="1">IFERROR(__xludf.DUMMYFUNCTION("""COMPUTED_VALUE"""),"")</f>
        <v/>
      </c>
      <c r="N283" s="43"/>
      <c r="O283" s="43"/>
      <c r="P283" s="157">
        <f ca="1">IFERROR(__xludf.DUMMYFUNCTION("""COMPUTED_VALUE"""),500000)</f>
        <v>500000</v>
      </c>
      <c r="Q283" s="151"/>
      <c r="R283" s="152">
        <f ca="1">IFERROR(__xludf.DUMMYFUNCTION("""COMPUTED_VALUE"""),1)</f>
        <v>1</v>
      </c>
      <c r="S283" s="150" t="str">
        <f ca="1">IFERROR(__xludf.DUMMYFUNCTION("""COMPUTED_VALUE"""),"")</f>
        <v/>
      </c>
      <c r="T283" s="108">
        <f ca="1">IFERROR(__xludf.DUMMYFUNCTION("""COMPUTED_VALUE"""),1)</f>
        <v>1</v>
      </c>
      <c r="U283" s="108">
        <f ca="1">IFERROR(__xludf.DUMMYFUNCTION("""COMPUTED_VALUE"""),1)</f>
        <v>1</v>
      </c>
      <c r="V283" s="158">
        <f ca="1">IFERROR(__xludf.DUMMYFUNCTION("""COMPUTED_VALUE"""),500000)</f>
        <v>500000</v>
      </c>
      <c r="W283" s="145" t="str">
        <f ca="1">IFERROR(__xludf.DUMMYFUNCTION("""COMPUTED_VALUE"""),"")</f>
        <v/>
      </c>
      <c r="X283" s="11" t="str">
        <f ca="1">IFERROR(__xludf.DUMMYFUNCTION("""COMPUTED_VALUE"""),"")</f>
        <v/>
      </c>
      <c r="Y283" s="11" t="str">
        <f ca="1">IFERROR(__xludf.DUMMYFUNCTION("""COMPUTED_VALUE"""),"")</f>
        <v/>
      </c>
      <c r="Z283" s="4" t="str">
        <f ca="1">IFERROR(__xludf.DUMMYFUNCTION("""COMPUTED_VALUE"""),"")</f>
        <v/>
      </c>
    </row>
    <row r="284" spans="1:26" ht="13" x14ac:dyDescent="0.15">
      <c r="A284" s="43" t="str">
        <f ca="1">IFERROR(__xludf.DUMMYFUNCTION("""COMPUTED_VALUE"""),"")</f>
        <v/>
      </c>
      <c r="B284" s="43" t="str">
        <f ca="1">IFERROR(__xludf.DUMMYFUNCTION("""COMPUTED_VALUE"""),"40433")</f>
        <v>40433</v>
      </c>
      <c r="C284" s="146">
        <f ca="1">IFERROR(__xludf.DUMMYFUNCTION("""COMPUTED_VALUE"""),44607000203)</f>
        <v>44607000203</v>
      </c>
      <c r="D284" s="163" t="str">
        <f ca="1">IFERROR(__xludf.DUMMYFUNCTION("""COMPUTED_VALUE"""),"TSLA")</f>
        <v>TSLA</v>
      </c>
      <c r="E284" s="147">
        <f ca="1">IFERROR(__xludf.DUMMYFUNCTION("""COMPUTED_VALUE"""),44607)</f>
        <v>44607</v>
      </c>
      <c r="F284" s="43" t="str">
        <f ca="1">IFERROR(__xludf.DUMMYFUNCTION("""COMPUTED_VALUE"""),"Stock")</f>
        <v>Stock</v>
      </c>
      <c r="G284" s="43" t="str">
        <f ca="1">IFERROR(__xludf.DUMMYFUNCTION("""COMPUTED_VALUE"""),"USD")</f>
        <v>USD</v>
      </c>
      <c r="H284" s="156">
        <f ca="1">IFERROR(__xludf.DUMMYFUNCTION("""COMPUTED_VALUE"""),0)</f>
        <v>0</v>
      </c>
      <c r="I284" s="148">
        <f ca="1">IFERROR(__xludf.DUMMYFUNCTION("""COMPUTED_VALUE"""),7.801355)</f>
        <v>7.801355</v>
      </c>
      <c r="J284" s="149">
        <f ca="1">IFERROR(__xludf.DUMMYFUNCTION("""COMPUTED_VALUE"""),0)</f>
        <v>0</v>
      </c>
      <c r="K284" s="43"/>
      <c r="L284" s="149">
        <f ca="1">IFERROR(__xludf.DUMMYFUNCTION("""COMPUTED_VALUE"""),993.98)</f>
        <v>993.98</v>
      </c>
      <c r="M284" s="155" t="str">
        <f ca="1">IFERROR(__xludf.DUMMYFUNCTION("""COMPUTED_VALUE"""),"Equity Key Stats")</f>
        <v>Equity Key Stats</v>
      </c>
      <c r="N284" s="43"/>
      <c r="O284" s="43"/>
      <c r="P284" s="150">
        <f ca="1">IFERROR(__xludf.DUMMYFUNCTION("""COMPUTED_VALUE"""),0)</f>
        <v>0</v>
      </c>
      <c r="Q284" s="151"/>
      <c r="R284" s="152">
        <f ca="1">IFERROR(__xludf.DUMMYFUNCTION("""COMPUTED_VALUE"""),999.11)</f>
        <v>999.11</v>
      </c>
      <c r="S284" s="157">
        <f ca="1">IFERROR(__xludf.DUMMYFUNCTION("""COMPUTED_VALUE"""),0)</f>
        <v>0</v>
      </c>
      <c r="T284" s="108">
        <f ca="1">IFERROR(__xludf.DUMMYFUNCTION("""COMPUTED_VALUE"""),2)</f>
        <v>2</v>
      </c>
      <c r="U284" s="43" t="str">
        <f ca="1">IFERROR(__xludf.DUMMYFUNCTION("""COMPUTED_VALUE"""),"")</f>
        <v/>
      </c>
      <c r="V284" s="144" t="str">
        <f ca="1">IFERROR(__xludf.DUMMYFUNCTION("""COMPUTED_VALUE"""),"")</f>
        <v/>
      </c>
      <c r="W284" s="145" t="str">
        <f ca="1">IFERROR(__xludf.DUMMYFUNCTION("""COMPUTED_VALUE"""),"")</f>
        <v/>
      </c>
      <c r="X284" s="11" t="str">
        <f ca="1">IFERROR(__xludf.DUMMYFUNCTION("""COMPUTED_VALUE"""),"")</f>
        <v/>
      </c>
      <c r="Y284" s="11" t="str">
        <f ca="1">IFERROR(__xludf.DUMMYFUNCTION("""COMPUTED_VALUE"""),"")</f>
        <v/>
      </c>
      <c r="Z284" s="4" t="str">
        <f ca="1">IFERROR(__xludf.DUMMYFUNCTION("""COMPUTED_VALUE"""),"")</f>
        <v/>
      </c>
    </row>
    <row r="285" spans="1:26" ht="13" x14ac:dyDescent="0.15">
      <c r="A285" s="43" t="str">
        <f ca="1">IFERROR(__xludf.DUMMYFUNCTION("""COMPUTED_VALUE"""),"")</f>
        <v/>
      </c>
      <c r="B285" s="43" t="str">
        <f ca="1">IFERROR(__xludf.DUMMYFUNCTION("""COMPUTED_VALUE"""),"40433")</f>
        <v>40433</v>
      </c>
      <c r="C285" s="146">
        <f ca="1">IFERROR(__xludf.DUMMYFUNCTION("""COMPUTED_VALUE"""),44608000215)</f>
        <v>44608000215</v>
      </c>
      <c r="D285" s="163" t="str">
        <f ca="1">IFERROR(__xludf.DUMMYFUNCTION("""COMPUTED_VALUE"""),"TSLA")</f>
        <v>TSLA</v>
      </c>
      <c r="E285" s="147">
        <f ca="1">IFERROR(__xludf.DUMMYFUNCTION("""COMPUTED_VALUE"""),44608)</f>
        <v>44608</v>
      </c>
      <c r="F285" s="43" t="str">
        <f ca="1">IFERROR(__xludf.DUMMYFUNCTION("""COMPUTED_VALUE"""),"Stock")</f>
        <v>Stock</v>
      </c>
      <c r="G285" s="43" t="str">
        <f ca="1">IFERROR(__xludf.DUMMYFUNCTION("""COMPUTED_VALUE"""),"USD")</f>
        <v>USD</v>
      </c>
      <c r="H285" s="156" t="str">
        <f ca="1">IFERROR(__xludf.DUMMYFUNCTION("""COMPUTED_VALUE"""),"")</f>
        <v/>
      </c>
      <c r="I285" s="148">
        <f ca="1">IFERROR(__xludf.DUMMYFUNCTION("""COMPUTED_VALUE"""),7.8005)</f>
        <v>7.8005000000000004</v>
      </c>
      <c r="J285" s="149">
        <f ca="1">IFERROR(__xludf.DUMMYFUNCTION("""COMPUTED_VALUE"""),923.39)</f>
        <v>923.39</v>
      </c>
      <c r="K285" s="43"/>
      <c r="L285" s="149">
        <f ca="1">IFERROR(__xludf.DUMMYFUNCTION("""COMPUTED_VALUE"""),993.98)</f>
        <v>993.98</v>
      </c>
      <c r="M285" s="155" t="str">
        <f ca="1">IFERROR(__xludf.DUMMYFUNCTION("""COMPUTED_VALUE"""),"Equity Key Stats")</f>
        <v>Equity Key Stats</v>
      </c>
      <c r="N285" s="43"/>
      <c r="O285" s="43"/>
      <c r="P285" s="150">
        <f ca="1">IFERROR(__xludf.DUMMYFUNCTION("""COMPUTED_VALUE"""),0)</f>
        <v>0</v>
      </c>
      <c r="Q285" s="151"/>
      <c r="R285" s="152">
        <f ca="1">IFERROR(__xludf.DUMMYFUNCTION("""COMPUTED_VALUE"""),999.11)</f>
        <v>999.11</v>
      </c>
      <c r="S285" s="157">
        <f ca="1">IFERROR(__xludf.DUMMYFUNCTION("""COMPUTED_VALUE"""),0)</f>
        <v>0</v>
      </c>
      <c r="T285" s="108">
        <f ca="1">IFERROR(__xludf.DUMMYFUNCTION("""COMPUTED_VALUE"""),2)</f>
        <v>2</v>
      </c>
      <c r="U285" s="43">
        <f ca="1">IFERROR(__xludf.DUMMYFUNCTION("""COMPUTED_VALUE"""),1)</f>
        <v>1</v>
      </c>
      <c r="V285" s="144">
        <f ca="1">IFERROR(__xludf.DUMMYFUNCTION("""COMPUTED_VALUE"""),0)</f>
        <v>0</v>
      </c>
      <c r="W285" s="145" t="str">
        <f ca="1">IFERROR(__xludf.DUMMYFUNCTION("""COMPUTED_VALUE"""),"")</f>
        <v/>
      </c>
      <c r="X285" s="11" t="str">
        <f ca="1">IFERROR(__xludf.DUMMYFUNCTION("""COMPUTED_VALUE"""),"")</f>
        <v/>
      </c>
      <c r="Y285" s="11" t="str">
        <f ca="1">IFERROR(__xludf.DUMMYFUNCTION("""COMPUTED_VALUE"""),"")</f>
        <v/>
      </c>
      <c r="Z285" s="4" t="str">
        <f ca="1">IFERROR(__xludf.DUMMYFUNCTION("""COMPUTED_VALUE"""),"")</f>
        <v/>
      </c>
    </row>
    <row r="286" spans="1:26" ht="13" x14ac:dyDescent="0.15">
      <c r="A286" s="43" t="str">
        <f ca="1">IFERROR(__xludf.DUMMYFUNCTION("""COMPUTED_VALUE"""),"")</f>
        <v/>
      </c>
      <c r="B286" s="43" t="str">
        <f ca="1">IFERROR(__xludf.DUMMYFUNCTION("""COMPUTED_VALUE"""),"40433")</f>
        <v>40433</v>
      </c>
      <c r="C286" s="146">
        <f ca="1">IFERROR(__xludf.DUMMYFUNCTION("""COMPUTED_VALUE"""),44610000274)</f>
        <v>44610000274</v>
      </c>
      <c r="D286" s="163" t="str">
        <f ca="1">IFERROR(__xludf.DUMMYFUNCTION("""COMPUTED_VALUE"""),"LVMHF")</f>
        <v>LVMHF</v>
      </c>
      <c r="E286" s="147">
        <f ca="1">IFERROR(__xludf.DUMMYFUNCTION("""COMPUTED_VALUE"""),44610)</f>
        <v>44610</v>
      </c>
      <c r="F286" s="43" t="str">
        <f ca="1">IFERROR(__xludf.DUMMYFUNCTION("""COMPUTED_VALUE"""),"Stock")</f>
        <v>Stock</v>
      </c>
      <c r="G286" s="43" t="str">
        <f ca="1">IFERROR(__xludf.DUMMYFUNCTION("""COMPUTED_VALUE"""),"USD")</f>
        <v>USD</v>
      </c>
      <c r="H286" s="154">
        <f ca="1">IFERROR(__xludf.DUMMYFUNCTION("""COMPUTED_VALUE"""),4)</f>
        <v>4</v>
      </c>
      <c r="I286" s="148">
        <f ca="1">IFERROR(__xludf.DUMMYFUNCTION("""COMPUTED_VALUE"""),7.80051)</f>
        <v>7.8005100000000001</v>
      </c>
      <c r="J286" s="149">
        <f ca="1">IFERROR(__xludf.DUMMYFUNCTION("""COMPUTED_VALUE"""),780)</f>
        <v>780</v>
      </c>
      <c r="K286" s="43"/>
      <c r="L286" s="149">
        <f ca="1">IFERROR(__xludf.DUMMYFUNCTION("""COMPUTED_VALUE"""),709.92)</f>
        <v>709.92</v>
      </c>
      <c r="M286" s="155" t="str">
        <f ca="1">IFERROR(__xludf.DUMMYFUNCTION("""COMPUTED_VALUE"""),"Equity Key Stats")</f>
        <v>Equity Key Stats</v>
      </c>
      <c r="N286" s="43"/>
      <c r="O286" s="43"/>
      <c r="P286" s="157">
        <f ca="1">IFERROR(__xludf.DUMMYFUNCTION("""COMPUTED_VALUE"""),-24337.5912)</f>
        <v>-24337.591199999999</v>
      </c>
      <c r="Q286" s="151"/>
      <c r="R286" s="152">
        <f ca="1">IFERROR(__xludf.DUMMYFUNCTION("""COMPUTED_VALUE"""),685.55)</f>
        <v>685.55</v>
      </c>
      <c r="S286" s="150">
        <f ca="1">IFERROR(__xludf.DUMMYFUNCTION("""COMPUTED_VALUE"""),21390.558522)</f>
        <v>21390.558521999999</v>
      </c>
      <c r="T286" s="108">
        <f ca="1">IFERROR(__xludf.DUMMYFUNCTION("""COMPUTED_VALUE"""),1)</f>
        <v>1</v>
      </c>
      <c r="U286" s="108">
        <f ca="1">IFERROR(__xludf.DUMMYFUNCTION("""COMPUTED_VALUE"""),1)</f>
        <v>1</v>
      </c>
      <c r="V286" s="158">
        <f ca="1">IFERROR(__xludf.DUMMYFUNCTION("""COMPUTED_VALUE"""),-2947.03267799999)</f>
        <v>-2947.03267799999</v>
      </c>
      <c r="W286" s="145" t="str">
        <f ca="1">IFERROR(__xludf.DUMMYFUNCTION("""COMPUTED_VALUE"""),"")</f>
        <v/>
      </c>
      <c r="X286" s="11" t="str">
        <f ca="1">IFERROR(__xludf.DUMMYFUNCTION("""COMPUTED_VALUE"""),"")</f>
        <v/>
      </c>
      <c r="Y286" s="11" t="str">
        <f ca="1">IFERROR(__xludf.DUMMYFUNCTION("""COMPUTED_VALUE"""),"")</f>
        <v/>
      </c>
      <c r="Z286" s="4" t="str">
        <f ca="1">IFERROR(__xludf.DUMMYFUNCTION("""COMPUTED_VALUE"""),"")</f>
        <v/>
      </c>
    </row>
    <row r="287" spans="1:26" ht="13" x14ac:dyDescent="0.15">
      <c r="A287" s="43" t="str">
        <f ca="1">IFERROR(__xludf.DUMMYFUNCTION("""COMPUTED_VALUE"""),"")</f>
        <v/>
      </c>
      <c r="B287" s="43" t="str">
        <f ca="1">IFERROR(__xludf.DUMMYFUNCTION("""COMPUTED_VALUE"""),"40433")</f>
        <v>40433</v>
      </c>
      <c r="C287" s="146">
        <f ca="1">IFERROR(__xludf.DUMMYFUNCTION("""COMPUTED_VALUE"""),44610000275)</f>
        <v>44610000275</v>
      </c>
      <c r="D287" s="163" t="str">
        <f ca="1">IFERROR(__xludf.DUMMYFUNCTION("""COMPUTED_VALUE"""),"DIS")</f>
        <v>DIS</v>
      </c>
      <c r="E287" s="147">
        <f ca="1">IFERROR(__xludf.DUMMYFUNCTION("""COMPUTED_VALUE"""),44610)</f>
        <v>44610</v>
      </c>
      <c r="F287" s="43" t="str">
        <f ca="1">IFERROR(__xludf.DUMMYFUNCTION("""COMPUTED_VALUE"""),"Stock")</f>
        <v>Stock</v>
      </c>
      <c r="G287" s="43" t="str">
        <f ca="1">IFERROR(__xludf.DUMMYFUNCTION("""COMPUTED_VALUE"""),"USD")</f>
        <v>USD</v>
      </c>
      <c r="H287" s="154">
        <f ca="1">IFERROR(__xludf.DUMMYFUNCTION("""COMPUTED_VALUE"""),6)</f>
        <v>6</v>
      </c>
      <c r="I287" s="148">
        <f ca="1">IFERROR(__xludf.DUMMYFUNCTION("""COMPUTED_VALUE"""),7.80051)</f>
        <v>7.8005100000000001</v>
      </c>
      <c r="J287" s="149">
        <f ca="1">IFERROR(__xludf.DUMMYFUNCTION("""COMPUTED_VALUE"""),151.36)</f>
        <v>151.36000000000001</v>
      </c>
      <c r="K287" s="43"/>
      <c r="L287" s="149">
        <f ca="1">IFERROR(__xludf.DUMMYFUNCTION("""COMPUTED_VALUE"""),140.11)</f>
        <v>140.11000000000001</v>
      </c>
      <c r="M287" s="155" t="str">
        <f ca="1">IFERROR(__xludf.DUMMYFUNCTION("""COMPUTED_VALUE"""),"Equity Key Stats")</f>
        <v>Equity Key Stats</v>
      </c>
      <c r="N287" s="43"/>
      <c r="O287" s="43"/>
      <c r="P287" s="157">
        <f ca="1">IFERROR(__xludf.DUMMYFUNCTION("""COMPUTED_VALUE"""),-7084.1111616)</f>
        <v>-7084.1111615999998</v>
      </c>
      <c r="Q287" s="151"/>
      <c r="R287" s="152">
        <f ca="1">IFERROR(__xludf.DUMMYFUNCTION("""COMPUTED_VALUE"""),137.64)</f>
        <v>137.63999999999999</v>
      </c>
      <c r="S287" s="150">
        <f ca="1">IFERROR(__xludf.DUMMYFUNCTION("""COMPUTED_VALUE"""),6441.9731784)</f>
        <v>6441.9731783999996</v>
      </c>
      <c r="T287" s="108">
        <f ca="1">IFERROR(__xludf.DUMMYFUNCTION("""COMPUTED_VALUE"""),1)</f>
        <v>1</v>
      </c>
      <c r="U287" s="108">
        <f ca="1">IFERROR(__xludf.DUMMYFUNCTION("""COMPUTED_VALUE"""),1)</f>
        <v>1</v>
      </c>
      <c r="V287" s="153">
        <f ca="1">IFERROR(__xludf.DUMMYFUNCTION("""COMPUTED_VALUE"""),-642.137983200001)</f>
        <v>-642.13798320000103</v>
      </c>
      <c r="W287" s="44" t="str">
        <f ca="1">IFERROR(__xludf.DUMMYFUNCTION("""COMPUTED_VALUE"""),"")</f>
        <v/>
      </c>
      <c r="X287" s="154" t="str">
        <f ca="1">IFERROR(__xludf.DUMMYFUNCTION("""COMPUTED_VALUE"""),"")</f>
        <v/>
      </c>
      <c r="Y287" s="154" t="str">
        <f ca="1">IFERROR(__xludf.DUMMYFUNCTION("""COMPUTED_VALUE"""),"")</f>
        <v/>
      </c>
      <c r="Z287" s="162" t="str">
        <f ca="1">IFERROR(__xludf.DUMMYFUNCTION("""COMPUTED_VALUE"""),"")</f>
        <v/>
      </c>
    </row>
    <row r="288" spans="1:26" ht="13" x14ac:dyDescent="0.15">
      <c r="A288" s="43" t="str">
        <f ca="1">IFERROR(__xludf.DUMMYFUNCTION("""COMPUTED_VALUE"""),"")</f>
        <v/>
      </c>
      <c r="B288" s="43" t="str">
        <f ca="1">IFERROR(__xludf.DUMMYFUNCTION("""COMPUTED_VALUE"""),"40433")</f>
        <v>40433</v>
      </c>
      <c r="C288" s="146">
        <f ca="1">IFERROR(__xludf.DUMMYFUNCTION("""COMPUTED_VALUE"""),44641000721)</f>
        <v>44641000721</v>
      </c>
      <c r="D288" s="161" t="str">
        <f ca="1">IFERROR(__xludf.DUMMYFUNCTION("""COMPUTED_VALUE"""),"2222.SR")</f>
        <v>2222.SR</v>
      </c>
      <c r="E288" s="147">
        <f ca="1">IFERROR(__xludf.DUMMYFUNCTION("""COMPUTED_VALUE"""),44641)</f>
        <v>44641</v>
      </c>
      <c r="F288" s="43" t="str">
        <f ca="1">IFERROR(__xludf.DUMMYFUNCTION("""COMPUTED_VALUE"""),"Stock")</f>
        <v>Stock</v>
      </c>
      <c r="G288" s="43" t="str">
        <f ca="1">IFERROR(__xludf.DUMMYFUNCTION("""COMPUTED_VALUE"""),"SAR")</f>
        <v>SAR</v>
      </c>
      <c r="H288" s="11">
        <f ca="1">IFERROR(__xludf.DUMMYFUNCTION("""COMPUTED_VALUE"""),20)</f>
        <v>20</v>
      </c>
      <c r="I288" s="148">
        <f ca="1">IFERROR(__xludf.DUMMYFUNCTION("""COMPUTED_VALUE"""),2.0859489)</f>
        <v>2.0859489</v>
      </c>
      <c r="J288" s="149">
        <f ca="1">IFERROR(__xludf.DUMMYFUNCTION("""COMPUTED_VALUE"""),42.95)</f>
        <v>42.95</v>
      </c>
      <c r="K288" s="43"/>
      <c r="L288" s="149">
        <f ca="1">IFERROR(__xludf.DUMMYFUNCTION("""COMPUTED_VALUE"""),43.1)</f>
        <v>43.1</v>
      </c>
      <c r="M288" s="160" t="str">
        <f ca="1">IFERROR(__xludf.DUMMYFUNCTION("""COMPUTED_VALUE"""),"Equity Key Stats")</f>
        <v>Equity Key Stats</v>
      </c>
      <c r="N288" s="43"/>
      <c r="O288" s="43"/>
      <c r="P288" s="150">
        <f ca="1">IFERROR(__xludf.DUMMYFUNCTION("""COMPUTED_VALUE"""),-1791.8301051)</f>
        <v>-1791.8301051000001</v>
      </c>
      <c r="Q288" s="151"/>
      <c r="R288" s="152">
        <f ca="1">IFERROR(__xludf.DUMMYFUNCTION("""COMPUTED_VALUE"""),42.6)</f>
        <v>42.6</v>
      </c>
      <c r="S288" s="127">
        <f ca="1">IFERROR(__xludf.DUMMYFUNCTION("""COMPUTED_VALUE"""),1777.2284628)</f>
        <v>1777.2284628</v>
      </c>
      <c r="T288" s="108">
        <f ca="1">IFERROR(__xludf.DUMMYFUNCTION("""COMPUTED_VALUE"""),2)</f>
        <v>2</v>
      </c>
      <c r="U288" s="108" t="str">
        <f ca="1">IFERROR(__xludf.DUMMYFUNCTION("""COMPUTED_VALUE"""),"")</f>
        <v/>
      </c>
      <c r="V288" s="153" t="str">
        <f ca="1">IFERROR(__xludf.DUMMYFUNCTION("""COMPUTED_VALUE"""),"")</f>
        <v/>
      </c>
      <c r="W288" s="44" t="str">
        <f ca="1">IFERROR(__xludf.DUMMYFUNCTION("""COMPUTED_VALUE"""),"")</f>
        <v/>
      </c>
      <c r="X288" s="154" t="str">
        <f ca="1">IFERROR(__xludf.DUMMYFUNCTION("""COMPUTED_VALUE"""),"")</f>
        <v/>
      </c>
      <c r="Y288" s="154" t="str">
        <f ca="1">IFERROR(__xludf.DUMMYFUNCTION("""COMPUTED_VALUE"""),"")</f>
        <v/>
      </c>
      <c r="Z288" s="159" t="str">
        <f ca="1">IFERROR(__xludf.DUMMYFUNCTION("""COMPUTED_VALUE"""),"")</f>
        <v/>
      </c>
    </row>
    <row r="289" spans="1:26" ht="13" x14ac:dyDescent="0.15">
      <c r="A289" s="43" t="str">
        <f ca="1">IFERROR(__xludf.DUMMYFUNCTION("""COMPUTED_VALUE"""),"")</f>
        <v/>
      </c>
      <c r="B289" s="43" t="str">
        <f ca="1">IFERROR(__xludf.DUMMYFUNCTION("""COMPUTED_VALUE"""),"40433")</f>
        <v>40433</v>
      </c>
      <c r="C289" s="146">
        <f ca="1">IFERROR(__xludf.DUMMYFUNCTION("""COMPUTED_VALUE"""),44641000758)</f>
        <v>44641000758</v>
      </c>
      <c r="D289" s="161" t="str">
        <f ca="1">IFERROR(__xludf.DUMMYFUNCTION("""COMPUTED_VALUE"""),"2222.SR")</f>
        <v>2222.SR</v>
      </c>
      <c r="E289" s="147">
        <f ca="1">IFERROR(__xludf.DUMMYFUNCTION("""COMPUTED_VALUE"""),44641)</f>
        <v>44641</v>
      </c>
      <c r="F289" s="43" t="str">
        <f ca="1">IFERROR(__xludf.DUMMYFUNCTION("""COMPUTED_VALUE"""),"Stock")</f>
        <v>Stock</v>
      </c>
      <c r="G289" s="43" t="str">
        <f ca="1">IFERROR(__xludf.DUMMYFUNCTION("""COMPUTED_VALUE"""),"SAR")</f>
        <v>SAR</v>
      </c>
      <c r="H289" s="11">
        <f ca="1">IFERROR(__xludf.DUMMYFUNCTION("""COMPUTED_VALUE"""),10)</f>
        <v>10</v>
      </c>
      <c r="I289" s="148">
        <f ca="1">IFERROR(__xludf.DUMMYFUNCTION("""COMPUTED_VALUE"""),2.0859489)</f>
        <v>2.0859489</v>
      </c>
      <c r="J289" s="149">
        <f ca="1">IFERROR(__xludf.DUMMYFUNCTION("""COMPUTED_VALUE"""),42.95)</f>
        <v>42.95</v>
      </c>
      <c r="K289" s="43"/>
      <c r="L289" s="149">
        <f ca="1">IFERROR(__xludf.DUMMYFUNCTION("""COMPUTED_VALUE"""),43.1)</f>
        <v>43.1</v>
      </c>
      <c r="M289" s="160" t="str">
        <f ca="1">IFERROR(__xludf.DUMMYFUNCTION("""COMPUTED_VALUE"""),"Equity Key Stats")</f>
        <v>Equity Key Stats</v>
      </c>
      <c r="N289" s="43"/>
      <c r="O289" s="43"/>
      <c r="P289" s="150">
        <f ca="1">IFERROR(__xludf.DUMMYFUNCTION("""COMPUTED_VALUE"""),-895.91505255)</f>
        <v>-895.91505255000004</v>
      </c>
      <c r="Q289" s="151"/>
      <c r="R289" s="152">
        <f ca="1">IFERROR(__xludf.DUMMYFUNCTION("""COMPUTED_VALUE"""),42.6)</f>
        <v>42.6</v>
      </c>
      <c r="S289" s="127">
        <f ca="1">IFERROR(__xludf.DUMMYFUNCTION("""COMPUTED_VALUE"""),888.6142314)</f>
        <v>888.61423139999999</v>
      </c>
      <c r="T289" s="108">
        <f ca="1">IFERROR(__xludf.DUMMYFUNCTION("""COMPUTED_VALUE"""),2)</f>
        <v>2</v>
      </c>
      <c r="U289" s="108">
        <f ca="1">IFERROR(__xludf.DUMMYFUNCTION("""COMPUTED_VALUE"""),1)</f>
        <v>1</v>
      </c>
      <c r="V289" s="153">
        <f ca="1">IFERROR(__xludf.DUMMYFUNCTION("""COMPUTED_VALUE"""),-21.9024634500001)</f>
        <v>-21.902463450000099</v>
      </c>
      <c r="W289" s="145" t="str">
        <f ca="1">IFERROR(__xludf.DUMMYFUNCTION("""COMPUTED_VALUE"""),"")</f>
        <v/>
      </c>
      <c r="X289" s="11" t="str">
        <f ca="1">IFERROR(__xludf.DUMMYFUNCTION("""COMPUTED_VALUE"""),"")</f>
        <v/>
      </c>
      <c r="Y289" s="11" t="str">
        <f ca="1">IFERROR(__xludf.DUMMYFUNCTION("""COMPUTED_VALUE"""),"")</f>
        <v/>
      </c>
      <c r="Z289" s="4" t="str">
        <f ca="1">IFERROR(__xludf.DUMMYFUNCTION("""COMPUTED_VALUE"""),"")</f>
        <v/>
      </c>
    </row>
    <row r="290" spans="1:26" ht="13" x14ac:dyDescent="0.15">
      <c r="A290" s="43" t="str">
        <f ca="1">IFERROR(__xludf.DUMMYFUNCTION("""COMPUTED_VALUE"""),"40433")</f>
        <v>40433</v>
      </c>
      <c r="B290" s="43" t="str">
        <f ca="1">IFERROR(__xludf.DUMMYFUNCTION("""COMPUTED_VALUE"""),"40433")</f>
        <v>40433</v>
      </c>
      <c r="C290" s="146">
        <f ca="1">IFERROR(__xludf.DUMMYFUNCTION("""COMPUTED_VALUE"""),44641000759)</f>
        <v>44641000759</v>
      </c>
      <c r="D290" s="43" t="str">
        <f ca="1">IFERROR(__xludf.DUMMYFUNCTION("""COMPUTED_VALUE"""),"GOLD")</f>
        <v>GOLD</v>
      </c>
      <c r="E290" s="147">
        <f ca="1">IFERROR(__xludf.DUMMYFUNCTION("""COMPUTED_VALUE"""),44641)</f>
        <v>44641</v>
      </c>
      <c r="F290" s="43" t="str">
        <f ca="1">IFERROR(__xludf.DUMMYFUNCTION("""COMPUTED_VALUE"""),"Stock")</f>
        <v>Stock</v>
      </c>
      <c r="G290" s="43" t="str">
        <f ca="1">IFERROR(__xludf.DUMMYFUNCTION("""COMPUTED_VALUE"""),"USD")</f>
        <v>USD</v>
      </c>
      <c r="H290" s="154">
        <f ca="1">IFERROR(__xludf.DUMMYFUNCTION("""COMPUTED_VALUE"""),5)</f>
        <v>5</v>
      </c>
      <c r="I290" s="148">
        <f ca="1">IFERROR(__xludf.DUMMYFUNCTION("""COMPUTED_VALUE"""),7.82545)</f>
        <v>7.82545</v>
      </c>
      <c r="J290" s="149">
        <f ca="1">IFERROR(__xludf.DUMMYFUNCTION("""COMPUTED_VALUE"""),24.3)</f>
        <v>24.3</v>
      </c>
      <c r="K290" s="43"/>
      <c r="L290" s="149">
        <f ca="1">IFERROR(__xludf.DUMMYFUNCTION("""COMPUTED_VALUE"""),24.23)</f>
        <v>24.23</v>
      </c>
      <c r="M290" s="155" t="str">
        <f ca="1">IFERROR(__xludf.DUMMYFUNCTION("""COMPUTED_VALUE"""),"Equity Key Stats")</f>
        <v>Equity Key Stats</v>
      </c>
      <c r="N290" s="43"/>
      <c r="O290" s="43"/>
      <c r="P290" s="157">
        <f ca="1">IFERROR(__xludf.DUMMYFUNCTION("""COMPUTED_VALUE"""),-950.792175)</f>
        <v>-950.79217500000004</v>
      </c>
      <c r="Q290" s="151"/>
      <c r="R290" s="152">
        <f ca="1">IFERROR(__xludf.DUMMYFUNCTION("""COMPUTED_VALUE"""),24.57)</f>
        <v>24.57</v>
      </c>
      <c r="S290" s="150">
        <f ca="1">IFERROR(__xludf.DUMMYFUNCTION("""COMPUTED_VALUE"""),961.3565325)</f>
        <v>961.35653249999996</v>
      </c>
      <c r="T290" s="108">
        <f ca="1">IFERROR(__xludf.DUMMYFUNCTION("""COMPUTED_VALUE"""),1)</f>
        <v>1</v>
      </c>
      <c r="U290" s="108">
        <f ca="1">IFERROR(__xludf.DUMMYFUNCTION("""COMPUTED_VALUE"""),1)</f>
        <v>1</v>
      </c>
      <c r="V290" s="158">
        <f ca="1">IFERROR(__xludf.DUMMYFUNCTION("""COMPUTED_VALUE"""),10.5643574999999)</f>
        <v>10.5643574999999</v>
      </c>
      <c r="W290" s="145">
        <f ca="1">IFERROR(__xludf.DUMMYFUNCTION("""COMPUTED_VALUE"""),496399.49123285)</f>
        <v>496399.49123285001</v>
      </c>
      <c r="X290" s="11">
        <f ca="1">IFERROR(__xludf.DUMMYFUNCTION("""COMPUTED_VALUE"""),464939.76030575)</f>
        <v>464939.76030575001</v>
      </c>
      <c r="Y290" s="11">
        <f ca="1">IFERROR(__xludf.DUMMYFUNCTION("""COMPUTED_VALUE"""),0)</f>
        <v>0</v>
      </c>
      <c r="Z290" s="4">
        <f ca="1">IFERROR(__xludf.DUMMYFUNCTION("""COMPUTED_VALUE"""),-0.00720101753430002)</f>
        <v>-7.2010175343000197E-3</v>
      </c>
    </row>
    <row r="291" spans="1:26" ht="13" x14ac:dyDescent="0.15">
      <c r="A291" s="43" t="str">
        <f ca="1">IFERROR(__xludf.DUMMYFUNCTION("""COMPUTED_VALUE"""),"40658")</f>
        <v>40658</v>
      </c>
      <c r="B291" s="43" t="str">
        <f ca="1">IFERROR(__xludf.DUMMYFUNCTION("""COMPUTED_VALUE"""),"40658")</f>
        <v>40658</v>
      </c>
      <c r="C291" s="146">
        <f ca="1">IFERROR(__xludf.DUMMYFUNCTION("""COMPUTED_VALUE"""),44597000095)</f>
        <v>44597000095</v>
      </c>
      <c r="D291" s="43" t="str">
        <f ca="1">IFERROR(__xludf.DUMMYFUNCTION("""COMPUTED_VALUE"""),"Cash")</f>
        <v>Cash</v>
      </c>
      <c r="E291" s="147">
        <f ca="1">IFERROR(__xludf.DUMMYFUNCTION("""COMPUTED_VALUE"""),44597)</f>
        <v>44597</v>
      </c>
      <c r="F291" s="43" t="str">
        <f ca="1">IFERROR(__xludf.DUMMYFUNCTION("""COMPUTED_VALUE"""),"Cash")</f>
        <v>Cash</v>
      </c>
      <c r="G291" s="43" t="str">
        <f ca="1">IFERROR(__xludf.DUMMYFUNCTION("""COMPUTED_VALUE"""),"HKD")</f>
        <v>HKD</v>
      </c>
      <c r="H291" s="154" t="str">
        <f ca="1">IFERROR(__xludf.DUMMYFUNCTION("""COMPUTED_VALUE"""),"")</f>
        <v/>
      </c>
      <c r="I291" s="148">
        <f ca="1">IFERROR(__xludf.DUMMYFUNCTION("""COMPUTED_VALUE"""),1)</f>
        <v>1</v>
      </c>
      <c r="J291" s="149">
        <f ca="1">IFERROR(__xludf.DUMMYFUNCTION("""COMPUTED_VALUE"""),1)</f>
        <v>1</v>
      </c>
      <c r="K291" s="43"/>
      <c r="L291" s="149">
        <f ca="1">IFERROR(__xludf.DUMMYFUNCTION("""COMPUTED_VALUE"""),1)</f>
        <v>1</v>
      </c>
      <c r="M291" s="155" t="str">
        <f ca="1">IFERROR(__xludf.DUMMYFUNCTION("""COMPUTED_VALUE"""),"")</f>
        <v/>
      </c>
      <c r="N291" s="43"/>
      <c r="O291" s="43"/>
      <c r="P291" s="157">
        <f ca="1">IFERROR(__xludf.DUMMYFUNCTION("""COMPUTED_VALUE"""),500000)</f>
        <v>500000</v>
      </c>
      <c r="Q291" s="151"/>
      <c r="R291" s="152">
        <f ca="1">IFERROR(__xludf.DUMMYFUNCTION("""COMPUTED_VALUE"""),1)</f>
        <v>1</v>
      </c>
      <c r="S291" s="150" t="str">
        <f ca="1">IFERROR(__xludf.DUMMYFUNCTION("""COMPUTED_VALUE"""),"")</f>
        <v/>
      </c>
      <c r="T291" s="108">
        <f ca="1">IFERROR(__xludf.DUMMYFUNCTION("""COMPUTED_VALUE"""),1)</f>
        <v>1</v>
      </c>
      <c r="U291" s="43">
        <f ca="1">IFERROR(__xludf.DUMMYFUNCTION("""COMPUTED_VALUE"""),1)</f>
        <v>1</v>
      </c>
      <c r="V291" s="144">
        <f ca="1">IFERROR(__xludf.DUMMYFUNCTION("""COMPUTED_VALUE"""),500000)</f>
        <v>500000</v>
      </c>
      <c r="W291" s="145">
        <f ca="1">IFERROR(__xludf.DUMMYFUNCTION("""COMPUTED_VALUE"""),500000)</f>
        <v>500000</v>
      </c>
      <c r="X291" s="11">
        <f ca="1">IFERROR(__xludf.DUMMYFUNCTION("""COMPUTED_VALUE"""),500000)</f>
        <v>500000</v>
      </c>
      <c r="Y291" s="11">
        <f ca="1">IFERROR(__xludf.DUMMYFUNCTION("""COMPUTED_VALUE"""),0)</f>
        <v>0</v>
      </c>
      <c r="Z291" s="4">
        <f ca="1">IFERROR(__xludf.DUMMYFUNCTION("""COMPUTED_VALUE"""),0)</f>
        <v>0</v>
      </c>
    </row>
    <row r="292" spans="1:26" ht="13" x14ac:dyDescent="0.15">
      <c r="A292" s="43" t="str">
        <f ca="1">IFERROR(__xludf.DUMMYFUNCTION("""COMPUTED_VALUE"""),"40776")</f>
        <v>40776</v>
      </c>
      <c r="B292" s="43" t="str">
        <f ca="1">IFERROR(__xludf.DUMMYFUNCTION("""COMPUTED_VALUE"""),"40776")</f>
        <v>40776</v>
      </c>
      <c r="C292" s="146">
        <f ca="1">IFERROR(__xludf.DUMMYFUNCTION("""COMPUTED_VALUE"""),44597000034)</f>
        <v>44597000034</v>
      </c>
      <c r="D292" s="163" t="str">
        <f ca="1">IFERROR(__xludf.DUMMYFUNCTION("""COMPUTED_VALUE"""),"Cash")</f>
        <v>Cash</v>
      </c>
      <c r="E292" s="147">
        <f ca="1">IFERROR(__xludf.DUMMYFUNCTION("""COMPUTED_VALUE"""),44597)</f>
        <v>44597</v>
      </c>
      <c r="F292" s="43" t="str">
        <f ca="1">IFERROR(__xludf.DUMMYFUNCTION("""COMPUTED_VALUE"""),"Cash")</f>
        <v>Cash</v>
      </c>
      <c r="G292" s="43" t="str">
        <f ca="1">IFERROR(__xludf.DUMMYFUNCTION("""COMPUTED_VALUE"""),"HKD")</f>
        <v>HKD</v>
      </c>
      <c r="H292" s="154" t="str">
        <f ca="1">IFERROR(__xludf.DUMMYFUNCTION("""COMPUTED_VALUE"""),"")</f>
        <v/>
      </c>
      <c r="I292" s="148">
        <f ca="1">IFERROR(__xludf.DUMMYFUNCTION("""COMPUTED_VALUE"""),1)</f>
        <v>1</v>
      </c>
      <c r="J292" s="149">
        <f ca="1">IFERROR(__xludf.DUMMYFUNCTION("""COMPUTED_VALUE"""),1)</f>
        <v>1</v>
      </c>
      <c r="K292" s="43"/>
      <c r="L292" s="149">
        <f ca="1">IFERROR(__xludf.DUMMYFUNCTION("""COMPUTED_VALUE"""),1)</f>
        <v>1</v>
      </c>
      <c r="M292" s="155" t="str">
        <f ca="1">IFERROR(__xludf.DUMMYFUNCTION("""COMPUTED_VALUE"""),"")</f>
        <v/>
      </c>
      <c r="N292" s="43"/>
      <c r="O292" s="43"/>
      <c r="P292" s="157">
        <f ca="1">IFERROR(__xludf.DUMMYFUNCTION("""COMPUTED_VALUE"""),500000)</f>
        <v>500000</v>
      </c>
      <c r="Q292" s="151"/>
      <c r="R292" s="152">
        <f ca="1">IFERROR(__xludf.DUMMYFUNCTION("""COMPUTED_VALUE"""),1)</f>
        <v>1</v>
      </c>
      <c r="S292" s="150" t="str">
        <f ca="1">IFERROR(__xludf.DUMMYFUNCTION("""COMPUTED_VALUE"""),"")</f>
        <v/>
      </c>
      <c r="T292" s="108">
        <f ca="1">IFERROR(__xludf.DUMMYFUNCTION("""COMPUTED_VALUE"""),1)</f>
        <v>1</v>
      </c>
      <c r="U292" s="108">
        <f ca="1">IFERROR(__xludf.DUMMYFUNCTION("""COMPUTED_VALUE"""),1)</f>
        <v>1</v>
      </c>
      <c r="V292" s="153">
        <f ca="1">IFERROR(__xludf.DUMMYFUNCTION("""COMPUTED_VALUE"""),500000)</f>
        <v>500000</v>
      </c>
      <c r="W292" s="145">
        <f ca="1">IFERROR(__xludf.DUMMYFUNCTION("""COMPUTED_VALUE"""),500000)</f>
        <v>500000</v>
      </c>
      <c r="X292" s="11">
        <f ca="1">IFERROR(__xludf.DUMMYFUNCTION("""COMPUTED_VALUE"""),500000)</f>
        <v>500000</v>
      </c>
      <c r="Y292" s="11">
        <f ca="1">IFERROR(__xludf.DUMMYFUNCTION("""COMPUTED_VALUE"""),0)</f>
        <v>0</v>
      </c>
      <c r="Z292" s="4">
        <f ca="1">IFERROR(__xludf.DUMMYFUNCTION("""COMPUTED_VALUE"""),0)</f>
        <v>0</v>
      </c>
    </row>
    <row r="293" spans="1:26" ht="13" x14ac:dyDescent="0.15">
      <c r="A293" s="43" t="str">
        <f ca="1">IFERROR(__xludf.DUMMYFUNCTION("""COMPUTED_VALUE"""),"")</f>
        <v/>
      </c>
      <c r="B293" s="43" t="str">
        <f ca="1">IFERROR(__xludf.DUMMYFUNCTION("""COMPUTED_VALUE"""),"45962")</f>
        <v>45962</v>
      </c>
      <c r="C293" s="146">
        <f ca="1">IFERROR(__xludf.DUMMYFUNCTION("""COMPUTED_VALUE"""),44597000083)</f>
        <v>44597000083</v>
      </c>
      <c r="D293" s="43" t="str">
        <f ca="1">IFERROR(__xludf.DUMMYFUNCTION("""COMPUTED_VALUE"""),"Cash")</f>
        <v>Cash</v>
      </c>
      <c r="E293" s="147">
        <f ca="1">IFERROR(__xludf.DUMMYFUNCTION("""COMPUTED_VALUE"""),44597)</f>
        <v>44597</v>
      </c>
      <c r="F293" s="43" t="str">
        <f ca="1">IFERROR(__xludf.DUMMYFUNCTION("""COMPUTED_VALUE"""),"Cash")</f>
        <v>Cash</v>
      </c>
      <c r="G293" s="43" t="str">
        <f ca="1">IFERROR(__xludf.DUMMYFUNCTION("""COMPUTED_VALUE"""),"HKD")</f>
        <v>HKD</v>
      </c>
      <c r="H293" s="154" t="str">
        <f ca="1">IFERROR(__xludf.DUMMYFUNCTION("""COMPUTED_VALUE"""),"")</f>
        <v/>
      </c>
      <c r="I293" s="148">
        <f ca="1">IFERROR(__xludf.DUMMYFUNCTION("""COMPUTED_VALUE"""),1)</f>
        <v>1</v>
      </c>
      <c r="J293" s="149">
        <f ca="1">IFERROR(__xludf.DUMMYFUNCTION("""COMPUTED_VALUE"""),1)</f>
        <v>1</v>
      </c>
      <c r="K293" s="43"/>
      <c r="L293" s="149">
        <f ca="1">IFERROR(__xludf.DUMMYFUNCTION("""COMPUTED_VALUE"""),1)</f>
        <v>1</v>
      </c>
      <c r="M293" s="155" t="str">
        <f ca="1">IFERROR(__xludf.DUMMYFUNCTION("""COMPUTED_VALUE"""),"")</f>
        <v/>
      </c>
      <c r="N293" s="43"/>
      <c r="O293" s="43"/>
      <c r="P293" s="157">
        <f ca="1">IFERROR(__xludf.DUMMYFUNCTION("""COMPUTED_VALUE"""),500000)</f>
        <v>500000</v>
      </c>
      <c r="Q293" s="151"/>
      <c r="R293" s="152">
        <f ca="1">IFERROR(__xludf.DUMMYFUNCTION("""COMPUTED_VALUE"""),1)</f>
        <v>1</v>
      </c>
      <c r="S293" s="150" t="str">
        <f ca="1">IFERROR(__xludf.DUMMYFUNCTION("""COMPUTED_VALUE"""),"")</f>
        <v/>
      </c>
      <c r="T293" s="108">
        <f ca="1">IFERROR(__xludf.DUMMYFUNCTION("""COMPUTED_VALUE"""),1)</f>
        <v>1</v>
      </c>
      <c r="U293" s="108">
        <f ca="1">IFERROR(__xludf.DUMMYFUNCTION("""COMPUTED_VALUE"""),1)</f>
        <v>1</v>
      </c>
      <c r="V293" s="153">
        <f ca="1">IFERROR(__xludf.DUMMYFUNCTION("""COMPUTED_VALUE"""),500000)</f>
        <v>500000</v>
      </c>
      <c r="W293" s="145" t="str">
        <f ca="1">IFERROR(__xludf.DUMMYFUNCTION("""COMPUTED_VALUE"""),"")</f>
        <v/>
      </c>
      <c r="X293" s="11" t="str">
        <f ca="1">IFERROR(__xludf.DUMMYFUNCTION("""COMPUTED_VALUE"""),"")</f>
        <v/>
      </c>
      <c r="Y293" s="11" t="str">
        <f ca="1">IFERROR(__xludf.DUMMYFUNCTION("""COMPUTED_VALUE"""),"")</f>
        <v/>
      </c>
      <c r="Z293" s="4" t="str">
        <f ca="1">IFERROR(__xludf.DUMMYFUNCTION("""COMPUTED_VALUE"""),"")</f>
        <v/>
      </c>
    </row>
    <row r="294" spans="1:26" ht="13" x14ac:dyDescent="0.15">
      <c r="A294" s="43" t="str">
        <f ca="1">IFERROR(__xludf.DUMMYFUNCTION("""COMPUTED_VALUE"""),"")</f>
        <v/>
      </c>
      <c r="B294" s="43" t="str">
        <f ca="1">IFERROR(__xludf.DUMMYFUNCTION("""COMPUTED_VALUE"""),"45962")</f>
        <v>45962</v>
      </c>
      <c r="C294" s="146">
        <f ca="1">IFERROR(__xludf.DUMMYFUNCTION("""COMPUTED_VALUE"""),44621000381)</f>
        <v>44621000381</v>
      </c>
      <c r="D294" s="161" t="str">
        <f ca="1">IFERROR(__xludf.DUMMYFUNCTION("""COMPUTED_VALUE"""),"0700.HK")</f>
        <v>0700.HK</v>
      </c>
      <c r="E294" s="147">
        <f ca="1">IFERROR(__xludf.DUMMYFUNCTION("""COMPUTED_VALUE"""),44621)</f>
        <v>44621</v>
      </c>
      <c r="F294" s="43" t="str">
        <f ca="1">IFERROR(__xludf.DUMMYFUNCTION("""COMPUTED_VALUE"""),"Stock")</f>
        <v>Stock</v>
      </c>
      <c r="G294" s="43" t="str">
        <f ca="1">IFERROR(__xludf.DUMMYFUNCTION("""COMPUTED_VALUE"""),"HKD")</f>
        <v>HKD</v>
      </c>
      <c r="H294" s="154">
        <f ca="1">IFERROR(__xludf.DUMMYFUNCTION("""COMPUTED_VALUE"""),1000)</f>
        <v>1000</v>
      </c>
      <c r="I294" s="148">
        <f ca="1">IFERROR(__xludf.DUMMYFUNCTION("""COMPUTED_VALUE"""),1)</f>
        <v>1</v>
      </c>
      <c r="J294" s="149">
        <f ca="1">IFERROR(__xludf.DUMMYFUNCTION("""COMPUTED_VALUE"""),421.2)</f>
        <v>421.2</v>
      </c>
      <c r="K294" s="43"/>
      <c r="L294" s="149">
        <f ca="1">IFERROR(__xludf.DUMMYFUNCTION("""COMPUTED_VALUE"""),388)</f>
        <v>388</v>
      </c>
      <c r="M294" s="155" t="str">
        <f ca="1">IFERROR(__xludf.DUMMYFUNCTION("""COMPUTED_VALUE"""),"Equity Key Stats")</f>
        <v>Equity Key Stats</v>
      </c>
      <c r="N294" s="43"/>
      <c r="O294" s="43"/>
      <c r="P294" s="157">
        <f ca="1">IFERROR(__xludf.DUMMYFUNCTION("""COMPUTED_VALUE"""),-421200)</f>
        <v>-421200</v>
      </c>
      <c r="Q294" s="151"/>
      <c r="R294" s="152">
        <f ca="1">IFERROR(__xludf.DUMMYFUNCTION("""COMPUTED_VALUE"""),389)</f>
        <v>389</v>
      </c>
      <c r="S294" s="150">
        <f ca="1">IFERROR(__xludf.DUMMYFUNCTION("""COMPUTED_VALUE"""),389000)</f>
        <v>389000</v>
      </c>
      <c r="T294" s="108">
        <f ca="1">IFERROR(__xludf.DUMMYFUNCTION("""COMPUTED_VALUE"""),2)</f>
        <v>2</v>
      </c>
      <c r="U294" s="108" t="str">
        <f ca="1">IFERROR(__xludf.DUMMYFUNCTION("""COMPUTED_VALUE"""),"")</f>
        <v/>
      </c>
      <c r="V294" s="153" t="str">
        <f ca="1">IFERROR(__xludf.DUMMYFUNCTION("""COMPUTED_VALUE"""),"")</f>
        <v/>
      </c>
      <c r="W294" s="44" t="str">
        <f ca="1">IFERROR(__xludf.DUMMYFUNCTION("""COMPUTED_VALUE"""),"")</f>
        <v/>
      </c>
      <c r="X294" s="156" t="str">
        <f ca="1">IFERROR(__xludf.DUMMYFUNCTION("""COMPUTED_VALUE"""),"")</f>
        <v/>
      </c>
      <c r="Y294" s="154" t="str">
        <f ca="1">IFERROR(__xludf.DUMMYFUNCTION("""COMPUTED_VALUE"""),"")</f>
        <v/>
      </c>
      <c r="Z294" s="159" t="str">
        <f ca="1">IFERROR(__xludf.DUMMYFUNCTION("""COMPUTED_VALUE"""),"")</f>
        <v/>
      </c>
    </row>
    <row r="295" spans="1:26" ht="13" x14ac:dyDescent="0.15">
      <c r="A295" s="43" t="str">
        <f ca="1">IFERROR(__xludf.DUMMYFUNCTION("""COMPUTED_VALUE"""),"45962")</f>
        <v>45962</v>
      </c>
      <c r="B295" s="43" t="str">
        <f ca="1">IFERROR(__xludf.DUMMYFUNCTION("""COMPUTED_VALUE"""),"45962")</f>
        <v>45962</v>
      </c>
      <c r="C295" s="146">
        <f ca="1">IFERROR(__xludf.DUMMYFUNCTION("""COMPUTED_VALUE"""),44636000640)</f>
        <v>44636000640</v>
      </c>
      <c r="D295" s="161" t="str">
        <f ca="1">IFERROR(__xludf.DUMMYFUNCTION("""COMPUTED_VALUE"""),"0700.hk")</f>
        <v>0700.hk</v>
      </c>
      <c r="E295" s="147">
        <f ca="1">IFERROR(__xludf.DUMMYFUNCTION("""COMPUTED_VALUE"""),44636)</f>
        <v>44636</v>
      </c>
      <c r="F295" s="43" t="str">
        <f ca="1">IFERROR(__xludf.DUMMYFUNCTION("""COMPUTED_VALUE"""),"Stock")</f>
        <v>Stock</v>
      </c>
      <c r="G295" s="43" t="str">
        <f ca="1">IFERROR(__xludf.DUMMYFUNCTION("""COMPUTED_VALUE"""),"HKD")</f>
        <v>HKD</v>
      </c>
      <c r="H295" s="11">
        <f ca="1">IFERROR(__xludf.DUMMYFUNCTION("""COMPUTED_VALUE"""),200)</f>
        <v>200</v>
      </c>
      <c r="I295" s="148">
        <f ca="1">IFERROR(__xludf.DUMMYFUNCTION("""COMPUTED_VALUE"""),1)</f>
        <v>1</v>
      </c>
      <c r="J295" s="149">
        <f ca="1">IFERROR(__xludf.DUMMYFUNCTION("""COMPUTED_VALUE"""),367)</f>
        <v>367</v>
      </c>
      <c r="K295" s="43"/>
      <c r="L295" s="149">
        <f ca="1">IFERROR(__xludf.DUMMYFUNCTION("""COMPUTED_VALUE"""),388)</f>
        <v>388</v>
      </c>
      <c r="M295" s="160" t="str">
        <f ca="1">IFERROR(__xludf.DUMMYFUNCTION("""COMPUTED_VALUE"""),"Equity Key Stats")</f>
        <v>Equity Key Stats</v>
      </c>
      <c r="N295" s="43"/>
      <c r="O295" s="43"/>
      <c r="P295" s="150">
        <f ca="1">IFERROR(__xludf.DUMMYFUNCTION("""COMPUTED_VALUE"""),-73400)</f>
        <v>-73400</v>
      </c>
      <c r="Q295" s="151"/>
      <c r="R295" s="152">
        <f ca="1">IFERROR(__xludf.DUMMYFUNCTION("""COMPUTED_VALUE"""),389)</f>
        <v>389</v>
      </c>
      <c r="S295" s="127">
        <f ca="1">IFERROR(__xludf.DUMMYFUNCTION("""COMPUTED_VALUE"""),77800)</f>
        <v>77800</v>
      </c>
      <c r="T295" s="108">
        <f ca="1">IFERROR(__xludf.DUMMYFUNCTION("""COMPUTED_VALUE"""),2)</f>
        <v>2</v>
      </c>
      <c r="U295" s="108">
        <f ca="1">IFERROR(__xludf.DUMMYFUNCTION("""COMPUTED_VALUE"""),1)</f>
        <v>1</v>
      </c>
      <c r="V295" s="153">
        <f ca="1">IFERROR(__xludf.DUMMYFUNCTION("""COMPUTED_VALUE"""),-27800)</f>
        <v>-27800</v>
      </c>
      <c r="W295" s="145">
        <f ca="1">IFERROR(__xludf.DUMMYFUNCTION("""COMPUTED_VALUE"""),472200)</f>
        <v>472200</v>
      </c>
      <c r="X295" s="11">
        <f ca="1">IFERROR(__xludf.DUMMYFUNCTION("""COMPUTED_VALUE"""),5400)</f>
        <v>5400</v>
      </c>
      <c r="Y295" s="11">
        <f ca="1">IFERROR(__xludf.DUMMYFUNCTION("""COMPUTED_VALUE"""),0)</f>
        <v>0</v>
      </c>
      <c r="Z295" s="4">
        <f ca="1">IFERROR(__xludf.DUMMYFUNCTION("""COMPUTED_VALUE"""),-0.0555999999999999)</f>
        <v>-5.55999999999999E-2</v>
      </c>
    </row>
    <row r="296" spans="1:26" ht="13" x14ac:dyDescent="0.15">
      <c r="A296" s="43" t="str">
        <f ca="1">IFERROR(__xludf.DUMMYFUNCTION("""COMPUTED_VALUE"""),"")</f>
        <v/>
      </c>
      <c r="B296" s="43" t="str">
        <f ca="1">IFERROR(__xludf.DUMMYFUNCTION("""COMPUTED_VALUE"""),"45969")</f>
        <v>45969</v>
      </c>
      <c r="C296" s="146">
        <f ca="1">IFERROR(__xludf.DUMMYFUNCTION("""COMPUTED_VALUE"""),44597000055)</f>
        <v>44597000055</v>
      </c>
      <c r="D296" s="163" t="str">
        <f ca="1">IFERROR(__xludf.DUMMYFUNCTION("""COMPUTED_VALUE"""),"Cash")</f>
        <v>Cash</v>
      </c>
      <c r="E296" s="147">
        <f ca="1">IFERROR(__xludf.DUMMYFUNCTION("""COMPUTED_VALUE"""),44597)</f>
        <v>44597</v>
      </c>
      <c r="F296" s="43" t="str">
        <f ca="1">IFERROR(__xludf.DUMMYFUNCTION("""COMPUTED_VALUE"""),"Cash")</f>
        <v>Cash</v>
      </c>
      <c r="G296" s="43" t="str">
        <f ca="1">IFERROR(__xludf.DUMMYFUNCTION("""COMPUTED_VALUE"""),"HKD")</f>
        <v>HKD</v>
      </c>
      <c r="H296" s="154" t="str">
        <f ca="1">IFERROR(__xludf.DUMMYFUNCTION("""COMPUTED_VALUE"""),"")</f>
        <v/>
      </c>
      <c r="I296" s="148">
        <f ca="1">IFERROR(__xludf.DUMMYFUNCTION("""COMPUTED_VALUE"""),1)</f>
        <v>1</v>
      </c>
      <c r="J296" s="149">
        <f ca="1">IFERROR(__xludf.DUMMYFUNCTION("""COMPUTED_VALUE"""),1)</f>
        <v>1</v>
      </c>
      <c r="K296" s="43"/>
      <c r="L296" s="149">
        <f ca="1">IFERROR(__xludf.DUMMYFUNCTION("""COMPUTED_VALUE"""),1)</f>
        <v>1</v>
      </c>
      <c r="M296" s="155" t="str">
        <f ca="1">IFERROR(__xludf.DUMMYFUNCTION("""COMPUTED_VALUE"""),"")</f>
        <v/>
      </c>
      <c r="N296" s="43"/>
      <c r="O296" s="43"/>
      <c r="P296" s="157">
        <f ca="1">IFERROR(__xludf.DUMMYFUNCTION("""COMPUTED_VALUE"""),500000)</f>
        <v>500000</v>
      </c>
      <c r="Q296" s="151"/>
      <c r="R296" s="152">
        <f ca="1">IFERROR(__xludf.DUMMYFUNCTION("""COMPUTED_VALUE"""),1)</f>
        <v>1</v>
      </c>
      <c r="S296" s="150" t="str">
        <f ca="1">IFERROR(__xludf.DUMMYFUNCTION("""COMPUTED_VALUE"""),"")</f>
        <v/>
      </c>
      <c r="T296" s="108">
        <f ca="1">IFERROR(__xludf.DUMMYFUNCTION("""COMPUTED_VALUE"""),1)</f>
        <v>1</v>
      </c>
      <c r="U296" s="43">
        <f ca="1">IFERROR(__xludf.DUMMYFUNCTION("""COMPUTED_VALUE"""),1)</f>
        <v>1</v>
      </c>
      <c r="V296" s="144">
        <f ca="1">IFERROR(__xludf.DUMMYFUNCTION("""COMPUTED_VALUE"""),500000)</f>
        <v>500000</v>
      </c>
      <c r="W296" s="145" t="str">
        <f ca="1">IFERROR(__xludf.DUMMYFUNCTION("""COMPUTED_VALUE"""),"")</f>
        <v/>
      </c>
      <c r="X296" s="11" t="str">
        <f ca="1">IFERROR(__xludf.DUMMYFUNCTION("""COMPUTED_VALUE"""),"")</f>
        <v/>
      </c>
      <c r="Y296" s="11" t="str">
        <f ca="1">IFERROR(__xludf.DUMMYFUNCTION("""COMPUTED_VALUE"""),"")</f>
        <v/>
      </c>
      <c r="Z296" s="4" t="str">
        <f ca="1">IFERROR(__xludf.DUMMYFUNCTION("""COMPUTED_VALUE"""),"")</f>
        <v/>
      </c>
    </row>
    <row r="297" spans="1:26" ht="13" x14ac:dyDescent="0.15">
      <c r="A297" s="43" t="str">
        <f ca="1">IFERROR(__xludf.DUMMYFUNCTION("""COMPUTED_VALUE"""),"")</f>
        <v/>
      </c>
      <c r="B297" s="43" t="str">
        <f ca="1">IFERROR(__xludf.DUMMYFUNCTION("""COMPUTED_VALUE"""),"45969")</f>
        <v>45969</v>
      </c>
      <c r="C297" s="146">
        <f ca="1">IFERROR(__xludf.DUMMYFUNCTION("""COMPUTED_VALUE"""),44600000134)</f>
        <v>44600000134</v>
      </c>
      <c r="D297" s="163" t="str">
        <f ca="1">IFERROR(__xludf.DUMMYFUNCTION("""COMPUTED_VALUE"""),"BILI220318P00040000")</f>
        <v>BILI220318P00040000</v>
      </c>
      <c r="E297" s="147">
        <f ca="1">IFERROR(__xludf.DUMMYFUNCTION("""COMPUTED_VALUE"""),44600)</f>
        <v>44600</v>
      </c>
      <c r="F297" s="43" t="str">
        <f ca="1">IFERROR(__xludf.DUMMYFUNCTION("""COMPUTED_VALUE"""),"Option")</f>
        <v>Option</v>
      </c>
      <c r="G297" s="43" t="str">
        <f ca="1">IFERROR(__xludf.DUMMYFUNCTION("""COMPUTED_VALUE"""),"USD")</f>
        <v>USD</v>
      </c>
      <c r="H297" s="156">
        <f ca="1">IFERROR(__xludf.DUMMYFUNCTION("""COMPUTED_VALUE"""),7)</f>
        <v>7</v>
      </c>
      <c r="I297" s="148">
        <f ca="1">IFERROR(__xludf.DUMMYFUNCTION("""COMPUTED_VALUE"""),7.793545)</f>
        <v>7.7935449999999999</v>
      </c>
      <c r="J297" s="149">
        <f ca="1">IFERROR(__xludf.DUMMYFUNCTION("""COMPUTED_VALUE"""),8.5)</f>
        <v>8.5</v>
      </c>
      <c r="K297" s="43"/>
      <c r="L297" s="149">
        <f ca="1">IFERROR(__xludf.DUMMYFUNCTION("""COMPUTED_VALUE"""),10.1)</f>
        <v>10.1</v>
      </c>
      <c r="M297" s="155" t="str">
        <f ca="1">IFERROR(__xludf.DUMMYFUNCTION("""COMPUTED_VALUE"""),"")</f>
        <v/>
      </c>
      <c r="N297" s="43"/>
      <c r="O297" s="43"/>
      <c r="P297" s="150">
        <f ca="1">IFERROR(__xludf.DUMMYFUNCTION("""COMPUTED_VALUE"""),-46371.5927499999)</f>
        <v>-46371.592749999902</v>
      </c>
      <c r="Q297" s="151"/>
      <c r="R297" s="152">
        <f ca="1">IFERROR(__xludf.DUMMYFUNCTION("""COMPUTED_VALUE"""),0)</f>
        <v>0</v>
      </c>
      <c r="S297" s="157">
        <f ca="1">IFERROR(__xludf.DUMMYFUNCTION("""COMPUTED_VALUE"""),0)</f>
        <v>0</v>
      </c>
      <c r="T297" s="108">
        <f ca="1">IFERROR(__xludf.DUMMYFUNCTION("""COMPUTED_VALUE"""),2)</f>
        <v>2</v>
      </c>
      <c r="U297" s="108" t="str">
        <f ca="1">IFERROR(__xludf.DUMMYFUNCTION("""COMPUTED_VALUE"""),"")</f>
        <v/>
      </c>
      <c r="V297" s="158" t="str">
        <f ca="1">IFERROR(__xludf.DUMMYFUNCTION("""COMPUTED_VALUE"""),"")</f>
        <v/>
      </c>
      <c r="W297" s="44" t="str">
        <f ca="1">IFERROR(__xludf.DUMMYFUNCTION("""COMPUTED_VALUE"""),"")</f>
        <v/>
      </c>
      <c r="X297" s="154" t="str">
        <f ca="1">IFERROR(__xludf.DUMMYFUNCTION("""COMPUTED_VALUE"""),"")</f>
        <v/>
      </c>
      <c r="Y297" s="154" t="str">
        <f ca="1">IFERROR(__xludf.DUMMYFUNCTION("""COMPUTED_VALUE"""),"")</f>
        <v/>
      </c>
      <c r="Z297" s="162" t="str">
        <f ca="1">IFERROR(__xludf.DUMMYFUNCTION("""COMPUTED_VALUE"""),"")</f>
        <v/>
      </c>
    </row>
    <row r="298" spans="1:26" ht="13" x14ac:dyDescent="0.15">
      <c r="A298" s="43" t="str">
        <f ca="1">IFERROR(__xludf.DUMMYFUNCTION("""COMPUTED_VALUE"""),"")</f>
        <v/>
      </c>
      <c r="B298" s="43" t="str">
        <f ca="1">IFERROR(__xludf.DUMMYFUNCTION("""COMPUTED_VALUE"""),"45969")</f>
        <v>45969</v>
      </c>
      <c r="C298" s="146">
        <f ca="1">IFERROR(__xludf.DUMMYFUNCTION("""COMPUTED_VALUE"""),44600000135)</f>
        <v>44600000135</v>
      </c>
      <c r="D298" s="43" t="str">
        <f ca="1">IFERROR(__xludf.DUMMYFUNCTION("""COMPUTED_VALUE"""),"FB220325P00210000")</f>
        <v>FB220325P00210000</v>
      </c>
      <c r="E298" s="147">
        <f ca="1">IFERROR(__xludf.DUMMYFUNCTION("""COMPUTED_VALUE"""),44600)</f>
        <v>44600</v>
      </c>
      <c r="F298" s="43" t="str">
        <f ca="1">IFERROR(__xludf.DUMMYFUNCTION("""COMPUTED_VALUE"""),"Option")</f>
        <v>Option</v>
      </c>
      <c r="G298" s="43" t="str">
        <f ca="1">IFERROR(__xludf.DUMMYFUNCTION("""COMPUTED_VALUE"""),"USD")</f>
        <v>USD</v>
      </c>
      <c r="H298" s="11">
        <f ca="1">IFERROR(__xludf.DUMMYFUNCTION("""COMPUTED_VALUE"""),16)</f>
        <v>16</v>
      </c>
      <c r="I298" s="148">
        <f ca="1">IFERROR(__xludf.DUMMYFUNCTION("""COMPUTED_VALUE"""),7.793545)</f>
        <v>7.7935449999999999</v>
      </c>
      <c r="J298" s="149">
        <f ca="1">IFERROR(__xludf.DUMMYFUNCTION("""COMPUTED_VALUE"""),8.95)</f>
        <v>8.9499999999999993</v>
      </c>
      <c r="K298" s="43"/>
      <c r="L298" s="149">
        <f ca="1">IFERROR(__xludf.DUMMYFUNCTION("""COMPUTED_VALUE"""),1.07)</f>
        <v>1.07</v>
      </c>
      <c r="M298" s="3" t="str">
        <f ca="1">IFERROR(__xludf.DUMMYFUNCTION("""COMPUTED_VALUE"""),"")</f>
        <v/>
      </c>
      <c r="N298" s="43"/>
      <c r="O298" s="43"/>
      <c r="P298" s="150">
        <f ca="1">IFERROR(__xludf.DUMMYFUNCTION("""COMPUTED_VALUE"""),-111603.564399999)</f>
        <v>-111603.564399999</v>
      </c>
      <c r="Q298" s="151"/>
      <c r="R298" s="152">
        <f ca="1">IFERROR(__xludf.DUMMYFUNCTION("""COMPUTED_VALUE"""),1.43)</f>
        <v>1.43</v>
      </c>
      <c r="S298" s="127">
        <f ca="1">IFERROR(__xludf.DUMMYFUNCTION("""COMPUTED_VALUE"""),17831.63096)</f>
        <v>17831.630959999999</v>
      </c>
      <c r="T298" s="108">
        <f ca="1">IFERROR(__xludf.DUMMYFUNCTION("""COMPUTED_VALUE"""),2)</f>
        <v>2</v>
      </c>
      <c r="U298" s="108" t="str">
        <f ca="1">IFERROR(__xludf.DUMMYFUNCTION("""COMPUTED_VALUE"""),"")</f>
        <v/>
      </c>
      <c r="V298" s="153" t="str">
        <f ca="1">IFERROR(__xludf.DUMMYFUNCTION("""COMPUTED_VALUE"""),"")</f>
        <v/>
      </c>
      <c r="W298" s="44" t="str">
        <f ca="1">IFERROR(__xludf.DUMMYFUNCTION("""COMPUTED_VALUE"""),"")</f>
        <v/>
      </c>
      <c r="X298" s="154" t="str">
        <f ca="1">IFERROR(__xludf.DUMMYFUNCTION("""COMPUTED_VALUE"""),"")</f>
        <v/>
      </c>
      <c r="Y298" s="154" t="str">
        <f ca="1">IFERROR(__xludf.DUMMYFUNCTION("""COMPUTED_VALUE"""),"")</f>
        <v/>
      </c>
      <c r="Z298" s="159" t="str">
        <f ca="1">IFERROR(__xludf.DUMMYFUNCTION("""COMPUTED_VALUE"""),"")</f>
        <v/>
      </c>
    </row>
    <row r="299" spans="1:26" ht="13" x14ac:dyDescent="0.15">
      <c r="A299" s="43" t="str">
        <f ca="1">IFERROR(__xludf.DUMMYFUNCTION("""COMPUTED_VALUE"""),"")</f>
        <v/>
      </c>
      <c r="B299" s="43" t="str">
        <f ca="1">IFERROR(__xludf.DUMMYFUNCTION("""COMPUTED_VALUE"""),"45969")</f>
        <v>45969</v>
      </c>
      <c r="C299" s="146">
        <f ca="1">IFERROR(__xludf.DUMMYFUNCTION("""COMPUTED_VALUE"""),44600000136)</f>
        <v>44600000136</v>
      </c>
      <c r="D299" s="43" t="str">
        <f ca="1">IFERROR(__xludf.DUMMYFUNCTION("""COMPUTED_VALUE"""),"BAC220325C00045000")</f>
        <v>BAC220325C00045000</v>
      </c>
      <c r="E299" s="147">
        <f ca="1">IFERROR(__xludf.DUMMYFUNCTION("""COMPUTED_VALUE"""),44600)</f>
        <v>44600</v>
      </c>
      <c r="F299" s="43" t="str">
        <f ca="1">IFERROR(__xludf.DUMMYFUNCTION("""COMPUTED_VALUE"""),"Option")</f>
        <v>Option</v>
      </c>
      <c r="G299" s="43" t="str">
        <f ca="1">IFERROR(__xludf.DUMMYFUNCTION("""COMPUTED_VALUE"""),"USD")</f>
        <v>USD</v>
      </c>
      <c r="H299" s="11">
        <f ca="1">IFERROR(__xludf.DUMMYFUNCTION("""COMPUTED_VALUE"""),30)</f>
        <v>30</v>
      </c>
      <c r="I299" s="148">
        <f ca="1">IFERROR(__xludf.DUMMYFUNCTION("""COMPUTED_VALUE"""),7.793545)</f>
        <v>7.7935449999999999</v>
      </c>
      <c r="J299" s="149">
        <f ca="1">IFERROR(__xludf.DUMMYFUNCTION("""COMPUTED_VALUE"""),5)</f>
        <v>5</v>
      </c>
      <c r="K299" s="43"/>
      <c r="L299" s="149">
        <f ca="1">IFERROR(__xludf.DUMMYFUNCTION("""COMPUTED_VALUE"""),0.19)</f>
        <v>0.19</v>
      </c>
      <c r="M299" s="3" t="str">
        <f ca="1">IFERROR(__xludf.DUMMYFUNCTION("""COMPUTED_VALUE"""),"")</f>
        <v/>
      </c>
      <c r="N299" s="43"/>
      <c r="O299" s="43"/>
      <c r="P299" s="150">
        <f ca="1">IFERROR(__xludf.DUMMYFUNCTION("""COMPUTED_VALUE"""),-116903.175)</f>
        <v>-116903.175</v>
      </c>
      <c r="Q299" s="151"/>
      <c r="R299" s="152">
        <f ca="1">IFERROR(__xludf.DUMMYFUNCTION("""COMPUTED_VALUE"""),0.04)</f>
        <v>0.04</v>
      </c>
      <c r="S299" s="127">
        <f ca="1">IFERROR(__xludf.DUMMYFUNCTION("""COMPUTED_VALUE"""),935.2254)</f>
        <v>935.22540000000004</v>
      </c>
      <c r="T299" s="108">
        <f ca="1">IFERROR(__xludf.DUMMYFUNCTION("""COMPUTED_VALUE"""),1)</f>
        <v>1</v>
      </c>
      <c r="U299" s="108">
        <f ca="1">IFERROR(__xludf.DUMMYFUNCTION("""COMPUTED_VALUE"""),1)</f>
        <v>1</v>
      </c>
      <c r="V299" s="153">
        <f ca="1">IFERROR(__xludf.DUMMYFUNCTION("""COMPUTED_VALUE"""),-115967.9496)</f>
        <v>-115967.94960000001</v>
      </c>
      <c r="W299" s="44" t="str">
        <f ca="1">IFERROR(__xludf.DUMMYFUNCTION("""COMPUTED_VALUE"""),"")</f>
        <v/>
      </c>
      <c r="X299" s="154" t="str">
        <f ca="1">IFERROR(__xludf.DUMMYFUNCTION("""COMPUTED_VALUE"""),"")</f>
        <v/>
      </c>
      <c r="Y299" s="154" t="str">
        <f ca="1">IFERROR(__xludf.DUMMYFUNCTION("""COMPUTED_VALUE"""),"")</f>
        <v/>
      </c>
      <c r="Z299" s="159" t="str">
        <f ca="1">IFERROR(__xludf.DUMMYFUNCTION("""COMPUTED_VALUE"""),"")</f>
        <v/>
      </c>
    </row>
    <row r="300" spans="1:26" ht="13" x14ac:dyDescent="0.15">
      <c r="A300" s="43" t="str">
        <f ca="1">IFERROR(__xludf.DUMMYFUNCTION("""COMPUTED_VALUE"""),"")</f>
        <v/>
      </c>
      <c r="B300" s="43" t="str">
        <f ca="1">IFERROR(__xludf.DUMMYFUNCTION("""COMPUTED_VALUE"""),"45969")</f>
        <v>45969</v>
      </c>
      <c r="C300" s="146">
        <f ca="1">IFERROR(__xludf.DUMMYFUNCTION("""COMPUTED_VALUE"""),44628000485)</f>
        <v>44628000485</v>
      </c>
      <c r="D300" s="43" t="str">
        <f ca="1">IFERROR(__xludf.DUMMYFUNCTION("""COMPUTED_VALUE"""),"BILI220318P00040000")</f>
        <v>BILI220318P00040000</v>
      </c>
      <c r="E300" s="147">
        <f ca="1">IFERROR(__xludf.DUMMYFUNCTION("""COMPUTED_VALUE"""),44628)</f>
        <v>44628</v>
      </c>
      <c r="F300" s="43" t="str">
        <f ca="1">IFERROR(__xludf.DUMMYFUNCTION("""COMPUTED_VALUE"""),"Option")</f>
        <v>Option</v>
      </c>
      <c r="G300" s="43" t="str">
        <f ca="1">IFERROR(__xludf.DUMMYFUNCTION("""COMPUTED_VALUE"""),"USD")</f>
        <v>USD</v>
      </c>
      <c r="H300" s="11">
        <f ca="1">IFERROR(__xludf.DUMMYFUNCTION("""COMPUTED_VALUE"""),-7)</f>
        <v>-7</v>
      </c>
      <c r="I300" s="148">
        <f ca="1">IFERROR(__xludf.DUMMYFUNCTION("""COMPUTED_VALUE"""),7.818975)</f>
        <v>7.818975</v>
      </c>
      <c r="J300" s="149">
        <f ca="1">IFERROR(__xludf.DUMMYFUNCTION("""COMPUTED_VALUE"""),18.15)</f>
        <v>18.149999999999999</v>
      </c>
      <c r="K300" s="43"/>
      <c r="L300" s="149">
        <f ca="1">IFERROR(__xludf.DUMMYFUNCTION("""COMPUTED_VALUE"""),10.1)</f>
        <v>10.1</v>
      </c>
      <c r="M300" s="3" t="str">
        <f ca="1">IFERROR(__xludf.DUMMYFUNCTION("""COMPUTED_VALUE"""),"")</f>
        <v/>
      </c>
      <c r="N300" s="43"/>
      <c r="O300" s="43"/>
      <c r="P300" s="150">
        <f ca="1">IFERROR(__xludf.DUMMYFUNCTION("""COMPUTED_VALUE"""),99340.077375)</f>
        <v>99340.077374999993</v>
      </c>
      <c r="Q300" s="151"/>
      <c r="R300" s="152">
        <f ca="1">IFERROR(__xludf.DUMMYFUNCTION("""COMPUTED_VALUE"""),0)</f>
        <v>0</v>
      </c>
      <c r="S300" s="127">
        <f ca="1">IFERROR(__xludf.DUMMYFUNCTION("""COMPUTED_VALUE"""),0)</f>
        <v>0</v>
      </c>
      <c r="T300" s="108">
        <f ca="1">IFERROR(__xludf.DUMMYFUNCTION("""COMPUTED_VALUE"""),2)</f>
        <v>2</v>
      </c>
      <c r="U300" s="108">
        <f ca="1">IFERROR(__xludf.DUMMYFUNCTION("""COMPUTED_VALUE"""),1)</f>
        <v>1</v>
      </c>
      <c r="V300" s="153">
        <f ca="1">IFERROR(__xludf.DUMMYFUNCTION("""COMPUTED_VALUE"""),52968.484625)</f>
        <v>52968.484624999997</v>
      </c>
      <c r="W300" s="145" t="str">
        <f ca="1">IFERROR(__xludf.DUMMYFUNCTION("""COMPUTED_VALUE"""),"")</f>
        <v/>
      </c>
      <c r="X300" s="11" t="str">
        <f ca="1">IFERROR(__xludf.DUMMYFUNCTION("""COMPUTED_VALUE"""),"")</f>
        <v/>
      </c>
      <c r="Y300" s="11" t="str">
        <f ca="1">IFERROR(__xludf.DUMMYFUNCTION("""COMPUTED_VALUE"""),"")</f>
        <v/>
      </c>
      <c r="Z300" s="4" t="str">
        <f ca="1">IFERROR(__xludf.DUMMYFUNCTION("""COMPUTED_VALUE"""),"")</f>
        <v/>
      </c>
    </row>
    <row r="301" spans="1:26" ht="13" x14ac:dyDescent="0.15">
      <c r="A301" s="43" t="str">
        <f ca="1">IFERROR(__xludf.DUMMYFUNCTION("""COMPUTED_VALUE"""),"")</f>
        <v/>
      </c>
      <c r="B301" s="43" t="str">
        <f ca="1">IFERROR(__xludf.DUMMYFUNCTION("""COMPUTED_VALUE"""),"45969")</f>
        <v>45969</v>
      </c>
      <c r="C301" s="146">
        <f ca="1">IFERROR(__xludf.DUMMYFUNCTION("""COMPUTED_VALUE"""),44628000486)</f>
        <v>44628000486</v>
      </c>
      <c r="D301" s="163" t="str">
        <f ca="1">IFERROR(__xludf.DUMMYFUNCTION("""COMPUTED_VALUE"""),"FB220325P00210000")</f>
        <v>FB220325P00210000</v>
      </c>
      <c r="E301" s="147">
        <f ca="1">IFERROR(__xludf.DUMMYFUNCTION("""COMPUTED_VALUE"""),44628)</f>
        <v>44628</v>
      </c>
      <c r="F301" s="43" t="str">
        <f ca="1">IFERROR(__xludf.DUMMYFUNCTION("""COMPUTED_VALUE"""),"Option")</f>
        <v>Option</v>
      </c>
      <c r="G301" s="43" t="str">
        <f ca="1">IFERROR(__xludf.DUMMYFUNCTION("""COMPUTED_VALUE"""),"USD")</f>
        <v>USD</v>
      </c>
      <c r="H301" s="154">
        <f ca="1">IFERROR(__xludf.DUMMYFUNCTION("""COMPUTED_VALUE"""),-16)</f>
        <v>-16</v>
      </c>
      <c r="I301" s="148">
        <f ca="1">IFERROR(__xludf.DUMMYFUNCTION("""COMPUTED_VALUE"""),7.818975)</f>
        <v>7.818975</v>
      </c>
      <c r="J301" s="149">
        <f ca="1">IFERROR(__xludf.DUMMYFUNCTION("""COMPUTED_VALUE"""),19.36)</f>
        <v>19.36</v>
      </c>
      <c r="K301" s="43"/>
      <c r="L301" s="149">
        <f ca="1">IFERROR(__xludf.DUMMYFUNCTION("""COMPUTED_VALUE"""),1.07)</f>
        <v>1.07</v>
      </c>
      <c r="M301" s="155" t="str">
        <f ca="1">IFERROR(__xludf.DUMMYFUNCTION("""COMPUTED_VALUE"""),"")</f>
        <v/>
      </c>
      <c r="N301" s="43"/>
      <c r="O301" s="43"/>
      <c r="P301" s="150">
        <f ca="1">IFERROR(__xludf.DUMMYFUNCTION("""COMPUTED_VALUE"""),242200.569599999)</f>
        <v>242200.569599999</v>
      </c>
      <c r="Q301" s="151"/>
      <c r="R301" s="152">
        <f ca="1">IFERROR(__xludf.DUMMYFUNCTION("""COMPUTED_VALUE"""),1.43)</f>
        <v>1.43</v>
      </c>
      <c r="S301" s="150">
        <f ca="1">IFERROR(__xludf.DUMMYFUNCTION("""COMPUTED_VALUE"""),-17889.8148)</f>
        <v>-17889.8148</v>
      </c>
      <c r="T301" s="108">
        <f ca="1">IFERROR(__xludf.DUMMYFUNCTION("""COMPUTED_VALUE"""),2)</f>
        <v>2</v>
      </c>
      <c r="U301" s="43">
        <f ca="1">IFERROR(__xludf.DUMMYFUNCTION("""COMPUTED_VALUE"""),1)</f>
        <v>1</v>
      </c>
      <c r="V301" s="144">
        <f ca="1">IFERROR(__xludf.DUMMYFUNCTION("""COMPUTED_VALUE"""),130538.821359999)</f>
        <v>130538.821359999</v>
      </c>
      <c r="W301" s="145" t="str">
        <f ca="1">IFERROR(__xludf.DUMMYFUNCTION("""COMPUTED_VALUE"""),"")</f>
        <v/>
      </c>
      <c r="X301" s="11" t="str">
        <f ca="1">IFERROR(__xludf.DUMMYFUNCTION("""COMPUTED_VALUE"""),"")</f>
        <v/>
      </c>
      <c r="Y301" s="11" t="str">
        <f ca="1">IFERROR(__xludf.DUMMYFUNCTION("""COMPUTED_VALUE"""),"")</f>
        <v/>
      </c>
      <c r="Z301" s="4" t="str">
        <f ca="1">IFERROR(__xludf.DUMMYFUNCTION("""COMPUTED_VALUE"""),"")</f>
        <v/>
      </c>
    </row>
    <row r="302" spans="1:26" ht="13" x14ac:dyDescent="0.15">
      <c r="A302" s="43" t="str">
        <f ca="1">IFERROR(__xludf.DUMMYFUNCTION("""COMPUTED_VALUE"""),"45969")</f>
        <v>45969</v>
      </c>
      <c r="B302" s="43" t="str">
        <f ca="1">IFERROR(__xludf.DUMMYFUNCTION("""COMPUTED_VALUE"""),"45969")</f>
        <v>45969</v>
      </c>
      <c r="C302" s="146">
        <f ca="1">IFERROR(__xludf.DUMMYFUNCTION("""COMPUTED_VALUE"""),44631000538)</f>
        <v>44631000538</v>
      </c>
      <c r="D302" s="163" t="str">
        <f ca="1">IFERROR(__xludf.DUMMYFUNCTION("""COMPUTED_VALUE"""),"BILI220401P00020000")</f>
        <v>BILI220401P00020000</v>
      </c>
      <c r="E302" s="147">
        <f ca="1">IFERROR(__xludf.DUMMYFUNCTION("""COMPUTED_VALUE"""),44631)</f>
        <v>44631</v>
      </c>
      <c r="F302" s="43" t="str">
        <f ca="1">IFERROR(__xludf.DUMMYFUNCTION("""COMPUTED_VALUE"""),"Option")</f>
        <v>Option</v>
      </c>
      <c r="G302" s="43" t="str">
        <f ca="1">IFERROR(__xludf.DUMMYFUNCTION("""COMPUTED_VALUE"""),"USD")</f>
        <v>USD</v>
      </c>
      <c r="H302" s="154">
        <f ca="1">IFERROR(__xludf.DUMMYFUNCTION("""COMPUTED_VALUE"""),30)</f>
        <v>30</v>
      </c>
      <c r="I302" s="148">
        <f ca="1">IFERROR(__xludf.DUMMYFUNCTION("""COMPUTED_VALUE"""),7.8295)</f>
        <v>7.8295000000000003</v>
      </c>
      <c r="J302" s="149">
        <f ca="1">IFERROR(__xludf.DUMMYFUNCTION("""COMPUTED_VALUE"""),2.82)</f>
        <v>2.82</v>
      </c>
      <c r="K302" s="43"/>
      <c r="L302" s="149">
        <f ca="1">IFERROR(__xludf.DUMMYFUNCTION("""COMPUTED_VALUE"""),0.19)</f>
        <v>0.19</v>
      </c>
      <c r="M302" s="155" t="str">
        <f ca="1">IFERROR(__xludf.DUMMYFUNCTION("""COMPUTED_VALUE"""),"")</f>
        <v/>
      </c>
      <c r="N302" s="43"/>
      <c r="O302" s="43"/>
      <c r="P302" s="150">
        <f ca="1">IFERROR(__xludf.DUMMYFUNCTION("""COMPUTED_VALUE"""),-66237.57)</f>
        <v>-66237.570000000007</v>
      </c>
      <c r="Q302" s="151"/>
      <c r="R302" s="152">
        <f ca="1">IFERROR(__xludf.DUMMYFUNCTION("""COMPUTED_VALUE"""),0.1)</f>
        <v>0.1</v>
      </c>
      <c r="S302" s="150">
        <f ca="1">IFERROR(__xludf.DUMMYFUNCTION("""COMPUTED_VALUE"""),2348.85)</f>
        <v>2348.85</v>
      </c>
      <c r="T302" s="108">
        <f ca="1">IFERROR(__xludf.DUMMYFUNCTION("""COMPUTED_VALUE"""),1)</f>
        <v>1</v>
      </c>
      <c r="U302" s="43">
        <f ca="1">IFERROR(__xludf.DUMMYFUNCTION("""COMPUTED_VALUE"""),1)</f>
        <v>1</v>
      </c>
      <c r="V302" s="144">
        <f ca="1">IFERROR(__xludf.DUMMYFUNCTION("""COMPUTED_VALUE"""),-63888.72)</f>
        <v>-63888.72</v>
      </c>
      <c r="W302" s="145">
        <f ca="1">IFERROR(__xludf.DUMMYFUNCTION("""COMPUTED_VALUE"""),503650.636384999)</f>
        <v>503650.63638499897</v>
      </c>
      <c r="X302" s="11">
        <f ca="1">IFERROR(__xludf.DUMMYFUNCTION("""COMPUTED_VALUE"""),658399.901975)</f>
        <v>658399.90197500004</v>
      </c>
      <c r="Y302" s="11">
        <f ca="1">IFERROR(__xludf.DUMMYFUNCTION("""COMPUTED_VALUE"""),0)</f>
        <v>0</v>
      </c>
      <c r="Z302" s="4">
        <f ca="1">IFERROR(__xludf.DUMMYFUNCTION("""COMPUTED_VALUE"""),0.0073012727699997)</f>
        <v>7.3012727699997004E-3</v>
      </c>
    </row>
    <row r="303" spans="1:26" ht="13" x14ac:dyDescent="0.15">
      <c r="A303" s="43" t="str">
        <f ca="1">IFERROR(__xludf.DUMMYFUNCTION("""COMPUTED_VALUE"""),"46104")</f>
        <v>46104</v>
      </c>
      <c r="B303" s="43" t="str">
        <f ca="1">IFERROR(__xludf.DUMMYFUNCTION("""COMPUTED_VALUE"""),"46104")</f>
        <v>46104</v>
      </c>
      <c r="C303" s="146">
        <f ca="1">IFERROR(__xludf.DUMMYFUNCTION("""COMPUTED_VALUE"""),44597000047)</f>
        <v>44597000047</v>
      </c>
      <c r="D303" s="163" t="str">
        <f ca="1">IFERROR(__xludf.DUMMYFUNCTION("""COMPUTED_VALUE"""),"Cash")</f>
        <v>Cash</v>
      </c>
      <c r="E303" s="147">
        <f ca="1">IFERROR(__xludf.DUMMYFUNCTION("""COMPUTED_VALUE"""),44597)</f>
        <v>44597</v>
      </c>
      <c r="F303" s="43" t="str">
        <f ca="1">IFERROR(__xludf.DUMMYFUNCTION("""COMPUTED_VALUE"""),"Cash")</f>
        <v>Cash</v>
      </c>
      <c r="G303" s="43" t="str">
        <f ca="1">IFERROR(__xludf.DUMMYFUNCTION("""COMPUTED_VALUE"""),"HKD")</f>
        <v>HKD</v>
      </c>
      <c r="H303" s="154" t="str">
        <f ca="1">IFERROR(__xludf.DUMMYFUNCTION("""COMPUTED_VALUE"""),"")</f>
        <v/>
      </c>
      <c r="I303" s="148">
        <f ca="1">IFERROR(__xludf.DUMMYFUNCTION("""COMPUTED_VALUE"""),1)</f>
        <v>1</v>
      </c>
      <c r="J303" s="149">
        <f ca="1">IFERROR(__xludf.DUMMYFUNCTION("""COMPUTED_VALUE"""),1)</f>
        <v>1</v>
      </c>
      <c r="K303" s="43"/>
      <c r="L303" s="149">
        <f ca="1">IFERROR(__xludf.DUMMYFUNCTION("""COMPUTED_VALUE"""),1)</f>
        <v>1</v>
      </c>
      <c r="M303" s="155" t="str">
        <f ca="1">IFERROR(__xludf.DUMMYFUNCTION("""COMPUTED_VALUE"""),"")</f>
        <v/>
      </c>
      <c r="N303" s="43"/>
      <c r="O303" s="43"/>
      <c r="P303" s="150">
        <f ca="1">IFERROR(__xludf.DUMMYFUNCTION("""COMPUTED_VALUE"""),500000)</f>
        <v>500000</v>
      </c>
      <c r="Q303" s="151"/>
      <c r="R303" s="152">
        <f ca="1">IFERROR(__xludf.DUMMYFUNCTION("""COMPUTED_VALUE"""),1)</f>
        <v>1</v>
      </c>
      <c r="S303" s="150" t="str">
        <f ca="1">IFERROR(__xludf.DUMMYFUNCTION("""COMPUTED_VALUE"""),"")</f>
        <v/>
      </c>
      <c r="T303" s="108">
        <f ca="1">IFERROR(__xludf.DUMMYFUNCTION("""COMPUTED_VALUE"""),1)</f>
        <v>1</v>
      </c>
      <c r="U303" s="108">
        <f ca="1">IFERROR(__xludf.DUMMYFUNCTION("""COMPUTED_VALUE"""),1)</f>
        <v>1</v>
      </c>
      <c r="V303" s="153">
        <f ca="1">IFERROR(__xludf.DUMMYFUNCTION("""COMPUTED_VALUE"""),500000)</f>
        <v>500000</v>
      </c>
      <c r="W303" s="145">
        <f ca="1">IFERROR(__xludf.DUMMYFUNCTION("""COMPUTED_VALUE"""),500000)</f>
        <v>500000</v>
      </c>
      <c r="X303" s="11">
        <f ca="1">IFERROR(__xludf.DUMMYFUNCTION("""COMPUTED_VALUE"""),500000)</f>
        <v>500000</v>
      </c>
      <c r="Y303" s="11">
        <f ca="1">IFERROR(__xludf.DUMMYFUNCTION("""COMPUTED_VALUE"""),0)</f>
        <v>0</v>
      </c>
      <c r="Z303" s="4">
        <f ca="1">IFERROR(__xludf.DUMMYFUNCTION("""COMPUTED_VALUE"""),0)</f>
        <v>0</v>
      </c>
    </row>
    <row r="304" spans="1:26" ht="13" x14ac:dyDescent="0.15">
      <c r="A304" s="43" t="str">
        <f ca="1">IFERROR(__xludf.DUMMYFUNCTION("""COMPUTED_VALUE"""),"")</f>
        <v/>
      </c>
      <c r="B304" s="43" t="str">
        <f ca="1">IFERROR(__xludf.DUMMYFUNCTION("""COMPUTED_VALUE"""),"46220")</f>
        <v>46220</v>
      </c>
      <c r="C304" s="146">
        <f ca="1">IFERROR(__xludf.DUMMYFUNCTION("""COMPUTED_VALUE"""),44597000074)</f>
        <v>44597000074</v>
      </c>
      <c r="D304" s="163" t="str">
        <f ca="1">IFERROR(__xludf.DUMMYFUNCTION("""COMPUTED_VALUE"""),"Cash")</f>
        <v>Cash</v>
      </c>
      <c r="E304" s="147">
        <f ca="1">IFERROR(__xludf.DUMMYFUNCTION("""COMPUTED_VALUE"""),44597)</f>
        <v>44597</v>
      </c>
      <c r="F304" s="43" t="str">
        <f ca="1">IFERROR(__xludf.DUMMYFUNCTION("""COMPUTED_VALUE"""),"Cash")</f>
        <v>Cash</v>
      </c>
      <c r="G304" s="43" t="str">
        <f ca="1">IFERROR(__xludf.DUMMYFUNCTION("""COMPUTED_VALUE"""),"HKD")</f>
        <v>HKD</v>
      </c>
      <c r="H304" s="154" t="str">
        <f ca="1">IFERROR(__xludf.DUMMYFUNCTION("""COMPUTED_VALUE"""),"")</f>
        <v/>
      </c>
      <c r="I304" s="148">
        <f ca="1">IFERROR(__xludf.DUMMYFUNCTION("""COMPUTED_VALUE"""),1)</f>
        <v>1</v>
      </c>
      <c r="J304" s="149">
        <f ca="1">IFERROR(__xludf.DUMMYFUNCTION("""COMPUTED_VALUE"""),1)</f>
        <v>1</v>
      </c>
      <c r="K304" s="43"/>
      <c r="L304" s="149">
        <f ca="1">IFERROR(__xludf.DUMMYFUNCTION("""COMPUTED_VALUE"""),1)</f>
        <v>1</v>
      </c>
      <c r="M304" s="155" t="str">
        <f ca="1">IFERROR(__xludf.DUMMYFUNCTION("""COMPUTED_VALUE"""),"")</f>
        <v/>
      </c>
      <c r="N304" s="43"/>
      <c r="O304" s="43"/>
      <c r="P304" s="150">
        <f ca="1">IFERROR(__xludf.DUMMYFUNCTION("""COMPUTED_VALUE"""),500000)</f>
        <v>500000</v>
      </c>
      <c r="Q304" s="151"/>
      <c r="R304" s="152">
        <f ca="1">IFERROR(__xludf.DUMMYFUNCTION("""COMPUTED_VALUE"""),1)</f>
        <v>1</v>
      </c>
      <c r="S304" s="150" t="str">
        <f ca="1">IFERROR(__xludf.DUMMYFUNCTION("""COMPUTED_VALUE"""),"")</f>
        <v/>
      </c>
      <c r="T304" s="108">
        <f ca="1">IFERROR(__xludf.DUMMYFUNCTION("""COMPUTED_VALUE"""),1)</f>
        <v>1</v>
      </c>
      <c r="U304" s="43">
        <f ca="1">IFERROR(__xludf.DUMMYFUNCTION("""COMPUTED_VALUE"""),1)</f>
        <v>1</v>
      </c>
      <c r="V304" s="144">
        <f ca="1">IFERROR(__xludf.DUMMYFUNCTION("""COMPUTED_VALUE"""),500000)</f>
        <v>500000</v>
      </c>
      <c r="W304" s="145" t="str">
        <f ca="1">IFERROR(__xludf.DUMMYFUNCTION("""COMPUTED_VALUE"""),"")</f>
        <v/>
      </c>
      <c r="X304" s="11" t="str">
        <f ca="1">IFERROR(__xludf.DUMMYFUNCTION("""COMPUTED_VALUE"""),"")</f>
        <v/>
      </c>
      <c r="Y304" s="11" t="str">
        <f ca="1">IFERROR(__xludf.DUMMYFUNCTION("""COMPUTED_VALUE"""),"")</f>
        <v/>
      </c>
      <c r="Z304" s="4" t="str">
        <f ca="1">IFERROR(__xludf.DUMMYFUNCTION("""COMPUTED_VALUE"""),"")</f>
        <v/>
      </c>
    </row>
    <row r="305" spans="1:26" ht="13" x14ac:dyDescent="0.15">
      <c r="A305" s="43" t="str">
        <f ca="1">IFERROR(__xludf.DUMMYFUNCTION("""COMPUTED_VALUE"""),"")</f>
        <v/>
      </c>
      <c r="B305" s="43" t="str">
        <f ca="1">IFERROR(__xludf.DUMMYFUNCTION("""COMPUTED_VALUE"""),"46220")</f>
        <v>46220</v>
      </c>
      <c r="C305" s="146">
        <f ca="1">IFERROR(__xludf.DUMMYFUNCTION("""COMPUTED_VALUE"""),44599000126)</f>
        <v>44599000126</v>
      </c>
      <c r="D305" s="163" t="str">
        <f ca="1">IFERROR(__xludf.DUMMYFUNCTION("""COMPUTED_VALUE"""),"FB")</f>
        <v>FB</v>
      </c>
      <c r="E305" s="147">
        <f ca="1">IFERROR(__xludf.DUMMYFUNCTION("""COMPUTED_VALUE"""),44599)</f>
        <v>44599</v>
      </c>
      <c r="F305" s="43" t="str">
        <f ca="1">IFERROR(__xludf.DUMMYFUNCTION("""COMPUTED_VALUE"""),"Stock")</f>
        <v>Stock</v>
      </c>
      <c r="G305" s="43" t="str">
        <f ca="1">IFERROR(__xludf.DUMMYFUNCTION("""COMPUTED_VALUE"""),"USD")</f>
        <v>USD</v>
      </c>
      <c r="H305" s="154">
        <f ca="1">IFERROR(__xludf.DUMMYFUNCTION("""COMPUTED_VALUE"""),25)</f>
        <v>25</v>
      </c>
      <c r="I305" s="148">
        <f ca="1">IFERROR(__xludf.DUMMYFUNCTION("""COMPUTED_VALUE"""),7.79205)</f>
        <v>7.7920499999999997</v>
      </c>
      <c r="J305" s="149">
        <f ca="1">IFERROR(__xludf.DUMMYFUNCTION("""COMPUTED_VALUE"""),224.91)</f>
        <v>224.91</v>
      </c>
      <c r="K305" s="43"/>
      <c r="L305" s="149">
        <f ca="1">IFERROR(__xludf.DUMMYFUNCTION("""COMPUTED_VALUE"""),216.65)</f>
        <v>216.65</v>
      </c>
      <c r="M305" s="155" t="str">
        <f ca="1">IFERROR(__xludf.DUMMYFUNCTION("""COMPUTED_VALUE"""),"Equity Key Stats")</f>
        <v>Equity Key Stats</v>
      </c>
      <c r="N305" s="43"/>
      <c r="O305" s="43"/>
      <c r="P305" s="157">
        <f ca="1">IFERROR(__xludf.DUMMYFUNCTION("""COMPUTED_VALUE"""),-43812.7491374999)</f>
        <v>-43812.749137499901</v>
      </c>
      <c r="Q305" s="151"/>
      <c r="R305" s="152">
        <f ca="1">IFERROR(__xludf.DUMMYFUNCTION("""COMPUTED_VALUE"""),213.46)</f>
        <v>213.46</v>
      </c>
      <c r="S305" s="150">
        <f ca="1">IFERROR(__xludf.DUMMYFUNCTION("""COMPUTED_VALUE"""),41582.274825)</f>
        <v>41582.274825</v>
      </c>
      <c r="T305" s="108">
        <f ca="1">IFERROR(__xludf.DUMMYFUNCTION("""COMPUTED_VALUE"""),2)</f>
        <v>2</v>
      </c>
      <c r="U305" s="43" t="str">
        <f ca="1">IFERROR(__xludf.DUMMYFUNCTION("""COMPUTED_VALUE"""),"")</f>
        <v/>
      </c>
      <c r="V305" s="144" t="str">
        <f ca="1">IFERROR(__xludf.DUMMYFUNCTION("""COMPUTED_VALUE"""),"")</f>
        <v/>
      </c>
      <c r="W305" s="145" t="str">
        <f ca="1">IFERROR(__xludf.DUMMYFUNCTION("""COMPUTED_VALUE"""),"")</f>
        <v/>
      </c>
      <c r="X305" s="11" t="str">
        <f ca="1">IFERROR(__xludf.DUMMYFUNCTION("""COMPUTED_VALUE"""),"")</f>
        <v/>
      </c>
      <c r="Y305" s="11" t="str">
        <f ca="1">IFERROR(__xludf.DUMMYFUNCTION("""COMPUTED_VALUE"""),"")</f>
        <v/>
      </c>
      <c r="Z305" s="4" t="str">
        <f ca="1">IFERROR(__xludf.DUMMYFUNCTION("""COMPUTED_VALUE"""),"")</f>
        <v/>
      </c>
    </row>
    <row r="306" spans="1:26" ht="13" x14ac:dyDescent="0.15">
      <c r="A306" s="43" t="str">
        <f ca="1">IFERROR(__xludf.DUMMYFUNCTION("""COMPUTED_VALUE"""),"")</f>
        <v/>
      </c>
      <c r="B306" s="43" t="str">
        <f ca="1">IFERROR(__xludf.DUMMYFUNCTION("""COMPUTED_VALUE"""),"46220")</f>
        <v>46220</v>
      </c>
      <c r="C306" s="146">
        <f ca="1">IFERROR(__xludf.DUMMYFUNCTION("""COMPUTED_VALUE"""),44600000131)</f>
        <v>44600000131</v>
      </c>
      <c r="D306" s="163" t="str">
        <f ca="1">IFERROR(__xludf.DUMMYFUNCTION("""COMPUTED_VALUE"""),"0883.HK")</f>
        <v>0883.HK</v>
      </c>
      <c r="E306" s="147">
        <f ca="1">IFERROR(__xludf.DUMMYFUNCTION("""COMPUTED_VALUE"""),44600)</f>
        <v>44600</v>
      </c>
      <c r="F306" s="43" t="str">
        <f ca="1">IFERROR(__xludf.DUMMYFUNCTION("""COMPUTED_VALUE"""),"Stock")</f>
        <v>Stock</v>
      </c>
      <c r="G306" s="43" t="str">
        <f ca="1">IFERROR(__xludf.DUMMYFUNCTION("""COMPUTED_VALUE"""),"HKD")</f>
        <v>HKD</v>
      </c>
      <c r="H306" s="154">
        <f ca="1">IFERROR(__xludf.DUMMYFUNCTION("""COMPUTED_VALUE"""),20)</f>
        <v>20</v>
      </c>
      <c r="I306" s="148">
        <f ca="1">IFERROR(__xludf.DUMMYFUNCTION("""COMPUTED_VALUE"""),1)</f>
        <v>1</v>
      </c>
      <c r="J306" s="149">
        <f ca="1">IFERROR(__xludf.DUMMYFUNCTION("""COMPUTED_VALUE"""),9.79)</f>
        <v>9.7899999999999991</v>
      </c>
      <c r="K306" s="43"/>
      <c r="L306" s="149">
        <f ca="1">IFERROR(__xludf.DUMMYFUNCTION("""COMPUTED_VALUE"""),10.36)</f>
        <v>10.36</v>
      </c>
      <c r="M306" s="155" t="str">
        <f ca="1">IFERROR(__xludf.DUMMYFUNCTION("""COMPUTED_VALUE"""),"Equity Key Stats")</f>
        <v>Equity Key Stats</v>
      </c>
      <c r="N306" s="43"/>
      <c r="O306" s="43"/>
      <c r="P306" s="157">
        <f ca="1">IFERROR(__xludf.DUMMYFUNCTION("""COMPUTED_VALUE"""),-195.799999999999)</f>
        <v>-195.79999999999899</v>
      </c>
      <c r="Q306" s="151"/>
      <c r="R306" s="152">
        <f ca="1">IFERROR(__xludf.DUMMYFUNCTION("""COMPUTED_VALUE"""),10.2)</f>
        <v>10.199999999999999</v>
      </c>
      <c r="S306" s="150">
        <f ca="1">IFERROR(__xludf.DUMMYFUNCTION("""COMPUTED_VALUE"""),204)</f>
        <v>204</v>
      </c>
      <c r="T306" s="108">
        <f ca="1">IFERROR(__xludf.DUMMYFUNCTION("""COMPUTED_VALUE"""),2)</f>
        <v>2</v>
      </c>
      <c r="U306" s="108" t="str">
        <f ca="1">IFERROR(__xludf.DUMMYFUNCTION("""COMPUTED_VALUE"""),"")</f>
        <v/>
      </c>
      <c r="V306" s="153" t="str">
        <f ca="1">IFERROR(__xludf.DUMMYFUNCTION("""COMPUTED_VALUE"""),"")</f>
        <v/>
      </c>
      <c r="W306" s="145" t="str">
        <f ca="1">IFERROR(__xludf.DUMMYFUNCTION("""COMPUTED_VALUE"""),"")</f>
        <v/>
      </c>
      <c r="X306" s="11" t="str">
        <f ca="1">IFERROR(__xludf.DUMMYFUNCTION("""COMPUTED_VALUE"""),"")</f>
        <v/>
      </c>
      <c r="Y306" s="11" t="str">
        <f ca="1">IFERROR(__xludf.DUMMYFUNCTION("""COMPUTED_VALUE"""),"")</f>
        <v/>
      </c>
      <c r="Z306" s="4" t="str">
        <f ca="1">IFERROR(__xludf.DUMMYFUNCTION("""COMPUTED_VALUE"""),"")</f>
        <v/>
      </c>
    </row>
    <row r="307" spans="1:26" ht="13" x14ac:dyDescent="0.15">
      <c r="A307" s="43" t="str">
        <f ca="1">IFERROR(__xludf.DUMMYFUNCTION("""COMPUTED_VALUE"""),"")</f>
        <v/>
      </c>
      <c r="B307" s="43" t="str">
        <f ca="1">IFERROR(__xludf.DUMMYFUNCTION("""COMPUTED_VALUE"""),"46220")</f>
        <v>46220</v>
      </c>
      <c r="C307" s="146">
        <f ca="1">IFERROR(__xludf.DUMMYFUNCTION("""COMPUTED_VALUE"""),44600000132)</f>
        <v>44600000132</v>
      </c>
      <c r="D307" s="163" t="str">
        <f ca="1">IFERROR(__xludf.DUMMYFUNCTION("""COMPUTED_VALUE"""),"FB")</f>
        <v>FB</v>
      </c>
      <c r="E307" s="147">
        <f ca="1">IFERROR(__xludf.DUMMYFUNCTION("""COMPUTED_VALUE"""),44600)</f>
        <v>44600</v>
      </c>
      <c r="F307" s="43" t="str">
        <f ca="1">IFERROR(__xludf.DUMMYFUNCTION("""COMPUTED_VALUE"""),"Stock")</f>
        <v>Stock</v>
      </c>
      <c r="G307" s="43" t="str">
        <f ca="1">IFERROR(__xludf.DUMMYFUNCTION("""COMPUTED_VALUE"""),"USD")</f>
        <v>USD</v>
      </c>
      <c r="H307" s="154">
        <f ca="1">IFERROR(__xludf.DUMMYFUNCTION("""COMPUTED_VALUE"""),20)</f>
        <v>20</v>
      </c>
      <c r="I307" s="148">
        <f ca="1">IFERROR(__xludf.DUMMYFUNCTION("""COMPUTED_VALUE"""),7.793545)</f>
        <v>7.7935449999999999</v>
      </c>
      <c r="J307" s="149">
        <f ca="1">IFERROR(__xludf.DUMMYFUNCTION("""COMPUTED_VALUE"""),220.18)</f>
        <v>220.18</v>
      </c>
      <c r="K307" s="43"/>
      <c r="L307" s="149">
        <f ca="1">IFERROR(__xludf.DUMMYFUNCTION("""COMPUTED_VALUE"""),216.65)</f>
        <v>216.65</v>
      </c>
      <c r="M307" s="155" t="str">
        <f ca="1">IFERROR(__xludf.DUMMYFUNCTION("""COMPUTED_VALUE"""),"Equity Key Stats")</f>
        <v>Equity Key Stats</v>
      </c>
      <c r="N307" s="43"/>
      <c r="O307" s="43"/>
      <c r="P307" s="150">
        <f ca="1">IFERROR(__xludf.DUMMYFUNCTION("""COMPUTED_VALUE"""),-34319.654762)</f>
        <v>-34319.654761999998</v>
      </c>
      <c r="Q307" s="151"/>
      <c r="R307" s="152">
        <f ca="1">IFERROR(__xludf.DUMMYFUNCTION("""COMPUTED_VALUE"""),213.46)</f>
        <v>213.46</v>
      </c>
      <c r="S307" s="150">
        <f ca="1">IFERROR(__xludf.DUMMYFUNCTION("""COMPUTED_VALUE"""),33272.202314)</f>
        <v>33272.202314000002</v>
      </c>
      <c r="T307" s="108">
        <f ca="1">IFERROR(__xludf.DUMMYFUNCTION("""COMPUTED_VALUE"""),2)</f>
        <v>2</v>
      </c>
      <c r="U307" s="43">
        <f ca="1">IFERROR(__xludf.DUMMYFUNCTION("""COMPUTED_VALUE"""),1)</f>
        <v>1</v>
      </c>
      <c r="V307" s="144">
        <f ca="1">IFERROR(__xludf.DUMMYFUNCTION("""COMPUTED_VALUE"""),-3277.9267605)</f>
        <v>-3277.9267605</v>
      </c>
      <c r="W307" s="145" t="str">
        <f ca="1">IFERROR(__xludf.DUMMYFUNCTION("""COMPUTED_VALUE"""),"")</f>
        <v/>
      </c>
      <c r="X307" s="11" t="str">
        <f ca="1">IFERROR(__xludf.DUMMYFUNCTION("""COMPUTED_VALUE"""),"")</f>
        <v/>
      </c>
      <c r="Y307" s="11" t="str">
        <f ca="1">IFERROR(__xludf.DUMMYFUNCTION("""COMPUTED_VALUE"""),"")</f>
        <v/>
      </c>
      <c r="Z307" s="4" t="str">
        <f ca="1">IFERROR(__xludf.DUMMYFUNCTION("""COMPUTED_VALUE"""),"")</f>
        <v/>
      </c>
    </row>
    <row r="308" spans="1:26" ht="13" x14ac:dyDescent="0.15">
      <c r="A308" s="43" t="str">
        <f ca="1">IFERROR(__xludf.DUMMYFUNCTION("""COMPUTED_VALUE"""),"")</f>
        <v/>
      </c>
      <c r="B308" s="43" t="str">
        <f ca="1">IFERROR(__xludf.DUMMYFUNCTION("""COMPUTED_VALUE"""),"46220")</f>
        <v>46220</v>
      </c>
      <c r="C308" s="146">
        <f ca="1">IFERROR(__xludf.DUMMYFUNCTION("""COMPUTED_VALUE"""),44601000140)</f>
        <v>44601000140</v>
      </c>
      <c r="D308" s="163" t="str">
        <f ca="1">IFERROR(__xludf.DUMMYFUNCTION("""COMPUTED_VALUE"""),"BTC-USD")</f>
        <v>BTC-USD</v>
      </c>
      <c r="E308" s="147">
        <f ca="1">IFERROR(__xludf.DUMMYFUNCTION("""COMPUTED_VALUE"""),44601)</f>
        <v>44601</v>
      </c>
      <c r="F308" s="43" t="str">
        <f ca="1">IFERROR(__xludf.DUMMYFUNCTION("""COMPUTED_VALUE"""),"Stock")</f>
        <v>Stock</v>
      </c>
      <c r="G308" s="43" t="str">
        <f ca="1">IFERROR(__xludf.DUMMYFUNCTION("""COMPUTED_VALUE"""),"USD")</f>
        <v>USD</v>
      </c>
      <c r="H308" s="154" t="str">
        <f ca="1">IFERROR(__xludf.DUMMYFUNCTION("""COMPUTED_VALUE"""),"")</f>
        <v/>
      </c>
      <c r="I308" s="148">
        <f ca="1">IFERROR(__xludf.DUMMYFUNCTION("""COMPUTED_VALUE"""),7.79135)</f>
        <v>7.7913500000000004</v>
      </c>
      <c r="J308" s="149">
        <f ca="1">IFERROR(__xludf.DUMMYFUNCTION("""COMPUTED_VALUE"""),44162.117)</f>
        <v>44162.116999999998</v>
      </c>
      <c r="K308" s="43"/>
      <c r="L308" s="149">
        <f ca="1">IFERROR(__xludf.DUMMYFUNCTION("""COMPUTED_VALUE"""),42068.76)</f>
        <v>42068.76</v>
      </c>
      <c r="M308" s="155" t="str">
        <f ca="1">IFERROR(__xludf.DUMMYFUNCTION("""COMPUTED_VALUE"""),"Equity Key Stats")</f>
        <v>Equity Key Stats</v>
      </c>
      <c r="N308" s="43"/>
      <c r="O308" s="43"/>
      <c r="P308" s="157">
        <f ca="1">IFERROR(__xludf.DUMMYFUNCTION("""COMPUTED_VALUE"""),0)</f>
        <v>0</v>
      </c>
      <c r="Q308" s="151"/>
      <c r="R308" s="152">
        <f ca="1">IFERROR(__xludf.DUMMYFUNCTION("""COMPUTED_VALUE"""),42977.3)</f>
        <v>42977.3</v>
      </c>
      <c r="S308" s="150">
        <f ca="1">IFERROR(__xludf.DUMMYFUNCTION("""COMPUTED_VALUE"""),0)</f>
        <v>0</v>
      </c>
      <c r="T308" s="108">
        <f ca="1">IFERROR(__xludf.DUMMYFUNCTION("""COMPUTED_VALUE"""),3)</f>
        <v>3</v>
      </c>
      <c r="U308" s="108" t="str">
        <f ca="1">IFERROR(__xludf.DUMMYFUNCTION("""COMPUTED_VALUE"""),"")</f>
        <v/>
      </c>
      <c r="V308" s="158" t="str">
        <f ca="1">IFERROR(__xludf.DUMMYFUNCTION("""COMPUTED_VALUE"""),"")</f>
        <v/>
      </c>
      <c r="W308" s="145" t="str">
        <f ca="1">IFERROR(__xludf.DUMMYFUNCTION("""COMPUTED_VALUE"""),"")</f>
        <v/>
      </c>
      <c r="X308" s="11" t="str">
        <f ca="1">IFERROR(__xludf.DUMMYFUNCTION("""COMPUTED_VALUE"""),"")</f>
        <v/>
      </c>
      <c r="Y308" s="11" t="str">
        <f ca="1">IFERROR(__xludf.DUMMYFUNCTION("""COMPUTED_VALUE"""),"")</f>
        <v/>
      </c>
      <c r="Z308" s="4" t="str">
        <f ca="1">IFERROR(__xludf.DUMMYFUNCTION("""COMPUTED_VALUE"""),"")</f>
        <v/>
      </c>
    </row>
    <row r="309" spans="1:26" ht="13" x14ac:dyDescent="0.15">
      <c r="A309" s="43" t="str">
        <f ca="1">IFERROR(__xludf.DUMMYFUNCTION("""COMPUTED_VALUE"""),"")</f>
        <v/>
      </c>
      <c r="B309" s="43" t="str">
        <f ca="1">IFERROR(__xludf.DUMMYFUNCTION("""COMPUTED_VALUE"""),"46220")</f>
        <v>46220</v>
      </c>
      <c r="C309" s="146">
        <f ca="1">IFERROR(__xludf.DUMMYFUNCTION("""COMPUTED_VALUE"""),44601000141)</f>
        <v>44601000141</v>
      </c>
      <c r="D309" s="163" t="str">
        <f ca="1">IFERROR(__xludf.DUMMYFUNCTION("""COMPUTED_VALUE"""),"NFLX")</f>
        <v>NFLX</v>
      </c>
      <c r="E309" s="147">
        <f ca="1">IFERROR(__xludf.DUMMYFUNCTION("""COMPUTED_VALUE"""),44601)</f>
        <v>44601</v>
      </c>
      <c r="F309" s="43" t="str">
        <f ca="1">IFERROR(__xludf.DUMMYFUNCTION("""COMPUTED_VALUE"""),"Stock")</f>
        <v>Stock</v>
      </c>
      <c r="G309" s="43" t="str">
        <f ca="1">IFERROR(__xludf.DUMMYFUNCTION("""COMPUTED_VALUE"""),"USD")</f>
        <v>USD</v>
      </c>
      <c r="H309" s="154">
        <f ca="1">IFERROR(__xludf.DUMMYFUNCTION("""COMPUTED_VALUE"""),15)</f>
        <v>15</v>
      </c>
      <c r="I309" s="148">
        <f ca="1">IFERROR(__xludf.DUMMYFUNCTION("""COMPUTED_VALUE"""),7.79135)</f>
        <v>7.7913500000000004</v>
      </c>
      <c r="J309" s="149">
        <f ca="1">IFERROR(__xludf.DUMMYFUNCTION("""COMPUTED_VALUE"""),412.89)</f>
        <v>412.89</v>
      </c>
      <c r="K309" s="43"/>
      <c r="L309" s="149">
        <f ca="1">IFERROR(__xludf.DUMMYFUNCTION("""COMPUTED_VALUE"""),382.92)</f>
        <v>382.92</v>
      </c>
      <c r="M309" s="155" t="str">
        <f ca="1">IFERROR(__xludf.DUMMYFUNCTION("""COMPUTED_VALUE"""),"Equity Key Stats")</f>
        <v>Equity Key Stats</v>
      </c>
      <c r="N309" s="43"/>
      <c r="O309" s="43"/>
      <c r="P309" s="157">
        <f ca="1">IFERROR(__xludf.DUMMYFUNCTION("""COMPUTED_VALUE"""),-48254.5575225)</f>
        <v>-48254.557522499999</v>
      </c>
      <c r="Q309" s="151"/>
      <c r="R309" s="152">
        <f ca="1">IFERROR(__xludf.DUMMYFUNCTION("""COMPUTED_VALUE"""),374.49)</f>
        <v>374.49</v>
      </c>
      <c r="S309" s="150">
        <f ca="1">IFERROR(__xludf.DUMMYFUNCTION("""COMPUTED_VALUE"""),43766.7399225)</f>
        <v>43766.739922499997</v>
      </c>
      <c r="T309" s="108">
        <f ca="1">IFERROR(__xludf.DUMMYFUNCTION("""COMPUTED_VALUE"""),2)</f>
        <v>2</v>
      </c>
      <c r="U309" s="108" t="str">
        <f ca="1">IFERROR(__xludf.DUMMYFUNCTION("""COMPUTED_VALUE"""),"")</f>
        <v/>
      </c>
      <c r="V309" s="158" t="str">
        <f ca="1">IFERROR(__xludf.DUMMYFUNCTION("""COMPUTED_VALUE"""),"")</f>
        <v/>
      </c>
      <c r="W309" s="145" t="str">
        <f ca="1">IFERROR(__xludf.DUMMYFUNCTION("""COMPUTED_VALUE"""),"")</f>
        <v/>
      </c>
      <c r="X309" s="11" t="str">
        <f ca="1">IFERROR(__xludf.DUMMYFUNCTION("""COMPUTED_VALUE"""),"")</f>
        <v/>
      </c>
      <c r="Y309" s="11" t="str">
        <f ca="1">IFERROR(__xludf.DUMMYFUNCTION("""COMPUTED_VALUE"""),"")</f>
        <v/>
      </c>
      <c r="Z309" s="4" t="str">
        <f ca="1">IFERROR(__xludf.DUMMYFUNCTION("""COMPUTED_VALUE"""),"")</f>
        <v/>
      </c>
    </row>
    <row r="310" spans="1:26" ht="13" x14ac:dyDescent="0.15">
      <c r="A310" s="43" t="str">
        <f ca="1">IFERROR(__xludf.DUMMYFUNCTION("""COMPUTED_VALUE"""),"")</f>
        <v/>
      </c>
      <c r="B310" s="43" t="str">
        <f ca="1">IFERROR(__xludf.DUMMYFUNCTION("""COMPUTED_VALUE"""),"46220")</f>
        <v>46220</v>
      </c>
      <c r="C310" s="146">
        <f ca="1">IFERROR(__xludf.DUMMYFUNCTION("""COMPUTED_VALUE"""),44602000156)</f>
        <v>44602000156</v>
      </c>
      <c r="D310" s="163" t="str">
        <f ca="1">IFERROR(__xludf.DUMMYFUNCTION("""COMPUTED_VALUE"""),"MCD")</f>
        <v>MCD</v>
      </c>
      <c r="E310" s="147">
        <f ca="1">IFERROR(__xludf.DUMMYFUNCTION("""COMPUTED_VALUE"""),44602)</f>
        <v>44602</v>
      </c>
      <c r="F310" s="43" t="str">
        <f ca="1">IFERROR(__xludf.DUMMYFUNCTION("""COMPUTED_VALUE"""),"Stock")</f>
        <v>Stock</v>
      </c>
      <c r="G310" s="43" t="str">
        <f ca="1">IFERROR(__xludf.DUMMYFUNCTION("""COMPUTED_VALUE"""),"USD")</f>
        <v>USD</v>
      </c>
      <c r="H310" s="154">
        <f ca="1">IFERROR(__xludf.DUMMYFUNCTION("""COMPUTED_VALUE"""),10)</f>
        <v>10</v>
      </c>
      <c r="I310" s="148">
        <f ca="1">IFERROR(__xludf.DUMMYFUNCTION("""COMPUTED_VALUE"""),7.796775)</f>
        <v>7.7967750000000002</v>
      </c>
      <c r="J310" s="149">
        <f ca="1">IFERROR(__xludf.DUMMYFUNCTION("""COMPUTED_VALUE"""),256.87)</f>
        <v>256.87</v>
      </c>
      <c r="K310" s="43"/>
      <c r="L310" s="149">
        <f ca="1">IFERROR(__xludf.DUMMYFUNCTION("""COMPUTED_VALUE"""),238.12)</f>
        <v>238.12</v>
      </c>
      <c r="M310" s="155" t="str">
        <f ca="1">IFERROR(__xludf.DUMMYFUNCTION("""COMPUTED_VALUE"""),"Equity Key Stats")</f>
        <v>Equity Key Stats</v>
      </c>
      <c r="N310" s="43"/>
      <c r="O310" s="43"/>
      <c r="P310" s="157">
        <f ca="1">IFERROR(__xludf.DUMMYFUNCTION("""COMPUTED_VALUE"""),-20027.5759425)</f>
        <v>-20027.5759425</v>
      </c>
      <c r="Q310" s="151"/>
      <c r="R310" s="152">
        <f ca="1">IFERROR(__xludf.DUMMYFUNCTION("""COMPUTED_VALUE"""),236.12)</f>
        <v>236.12</v>
      </c>
      <c r="S310" s="150">
        <f ca="1">IFERROR(__xludf.DUMMYFUNCTION("""COMPUTED_VALUE"""),18409.74513)</f>
        <v>18409.745129999999</v>
      </c>
      <c r="T310" s="108">
        <f ca="1">IFERROR(__xludf.DUMMYFUNCTION("""COMPUTED_VALUE"""),1)</f>
        <v>1</v>
      </c>
      <c r="U310" s="108">
        <f ca="1">IFERROR(__xludf.DUMMYFUNCTION("""COMPUTED_VALUE"""),1)</f>
        <v>1</v>
      </c>
      <c r="V310" s="158">
        <f ca="1">IFERROR(__xludf.DUMMYFUNCTION("""COMPUTED_VALUE"""),-1617.8308125)</f>
        <v>-1617.8308125000001</v>
      </c>
      <c r="W310" s="44" t="str">
        <f ca="1">IFERROR(__xludf.DUMMYFUNCTION("""COMPUTED_VALUE"""),"")</f>
        <v/>
      </c>
      <c r="X310" s="154" t="str">
        <f ca="1">IFERROR(__xludf.DUMMYFUNCTION("""COMPUTED_VALUE"""),"")</f>
        <v/>
      </c>
      <c r="Y310" s="154" t="str">
        <f ca="1">IFERROR(__xludf.DUMMYFUNCTION("""COMPUTED_VALUE"""),"")</f>
        <v/>
      </c>
      <c r="Z310" s="162" t="str">
        <f ca="1">IFERROR(__xludf.DUMMYFUNCTION("""COMPUTED_VALUE"""),"")</f>
        <v/>
      </c>
    </row>
    <row r="311" spans="1:26" ht="13" x14ac:dyDescent="0.15">
      <c r="A311" s="43" t="str">
        <f ca="1">IFERROR(__xludf.DUMMYFUNCTION("""COMPUTED_VALUE"""),"")</f>
        <v/>
      </c>
      <c r="B311" s="43" t="str">
        <f ca="1">IFERROR(__xludf.DUMMYFUNCTION("""COMPUTED_VALUE"""),"46220")</f>
        <v>46220</v>
      </c>
      <c r="C311" s="146">
        <f ca="1">IFERROR(__xludf.DUMMYFUNCTION("""COMPUTED_VALUE"""),44603000171)</f>
        <v>44603000171</v>
      </c>
      <c r="D311" s="43" t="str">
        <f ca="1">IFERROR(__xludf.DUMMYFUNCTION("""COMPUTED_VALUE"""),"TSLA")</f>
        <v>TSLA</v>
      </c>
      <c r="E311" s="147">
        <f ca="1">IFERROR(__xludf.DUMMYFUNCTION("""COMPUTED_VALUE"""),44603)</f>
        <v>44603</v>
      </c>
      <c r="F311" s="43" t="str">
        <f ca="1">IFERROR(__xludf.DUMMYFUNCTION("""COMPUTED_VALUE"""),"Stock")</f>
        <v>Stock</v>
      </c>
      <c r="G311" s="43" t="str">
        <f ca="1">IFERROR(__xludf.DUMMYFUNCTION("""COMPUTED_VALUE"""),"USD")</f>
        <v>USD</v>
      </c>
      <c r="H311" s="11">
        <f ca="1">IFERROR(__xludf.DUMMYFUNCTION("""COMPUTED_VALUE"""),15)</f>
        <v>15</v>
      </c>
      <c r="I311" s="148">
        <f ca="1">IFERROR(__xludf.DUMMYFUNCTION("""COMPUTED_VALUE"""),7.800485)</f>
        <v>7.8004850000000001</v>
      </c>
      <c r="J311" s="149">
        <f ca="1">IFERROR(__xludf.DUMMYFUNCTION("""COMPUTED_VALUE"""),860)</f>
        <v>860</v>
      </c>
      <c r="K311" s="43"/>
      <c r="L311" s="149">
        <f ca="1">IFERROR(__xludf.DUMMYFUNCTION("""COMPUTED_VALUE"""),993.98)</f>
        <v>993.98</v>
      </c>
      <c r="M311" s="160" t="str">
        <f ca="1">IFERROR(__xludf.DUMMYFUNCTION("""COMPUTED_VALUE"""),"Equity Key Stats")</f>
        <v>Equity Key Stats</v>
      </c>
      <c r="N311" s="43"/>
      <c r="O311" s="43"/>
      <c r="P311" s="150">
        <f ca="1">IFERROR(__xludf.DUMMYFUNCTION("""COMPUTED_VALUE"""),-100626.2565)</f>
        <v>-100626.2565</v>
      </c>
      <c r="Q311" s="151"/>
      <c r="R311" s="152">
        <f ca="1">IFERROR(__xludf.DUMMYFUNCTION("""COMPUTED_VALUE"""),999.11)</f>
        <v>999.11</v>
      </c>
      <c r="S311" s="127">
        <f ca="1">IFERROR(__xludf.DUMMYFUNCTION("""COMPUTED_VALUE"""),116903.13852525)</f>
        <v>116903.13852525</v>
      </c>
      <c r="T311" s="108">
        <f ca="1">IFERROR(__xludf.DUMMYFUNCTION("""COMPUTED_VALUE"""),2)</f>
        <v>2</v>
      </c>
      <c r="U311" s="108" t="str">
        <f ca="1">IFERROR(__xludf.DUMMYFUNCTION("""COMPUTED_VALUE"""),"")</f>
        <v/>
      </c>
      <c r="V311" s="153" t="str">
        <f ca="1">IFERROR(__xludf.DUMMYFUNCTION("""COMPUTED_VALUE"""),"")</f>
        <v/>
      </c>
      <c r="W311" s="44" t="str">
        <f ca="1">IFERROR(__xludf.DUMMYFUNCTION("""COMPUTED_VALUE"""),"")</f>
        <v/>
      </c>
      <c r="X311" s="154" t="str">
        <f ca="1">IFERROR(__xludf.DUMMYFUNCTION("""COMPUTED_VALUE"""),"")</f>
        <v/>
      </c>
      <c r="Y311" s="154" t="str">
        <f ca="1">IFERROR(__xludf.DUMMYFUNCTION("""COMPUTED_VALUE"""),"")</f>
        <v/>
      </c>
      <c r="Z311" s="159" t="str">
        <f ca="1">IFERROR(__xludf.DUMMYFUNCTION("""COMPUTED_VALUE"""),"")</f>
        <v/>
      </c>
    </row>
    <row r="312" spans="1:26" ht="13" x14ac:dyDescent="0.15">
      <c r="A312" s="43" t="str">
        <f ca="1">IFERROR(__xludf.DUMMYFUNCTION("""COMPUTED_VALUE"""),"")</f>
        <v/>
      </c>
      <c r="B312" s="43" t="str">
        <f ca="1">IFERROR(__xludf.DUMMYFUNCTION("""COMPUTED_VALUE"""),"46220")</f>
        <v>46220</v>
      </c>
      <c r="C312" s="146">
        <f ca="1">IFERROR(__xludf.DUMMYFUNCTION("""COMPUTED_VALUE"""),44608000217)</f>
        <v>44608000217</v>
      </c>
      <c r="D312" s="43" t="str">
        <f ca="1">IFERROR(__xludf.DUMMYFUNCTION("""COMPUTED_VALUE"""),"BTC-USD")</f>
        <v>BTC-USD</v>
      </c>
      <c r="E312" s="147">
        <f ca="1">IFERROR(__xludf.DUMMYFUNCTION("""COMPUTED_VALUE"""),44608)</f>
        <v>44608</v>
      </c>
      <c r="F312" s="43" t="str">
        <f ca="1">IFERROR(__xludf.DUMMYFUNCTION("""COMPUTED_VALUE"""),"Stock")</f>
        <v>Stock</v>
      </c>
      <c r="G312" s="43" t="str">
        <f ca="1">IFERROR(__xludf.DUMMYFUNCTION("""COMPUTED_VALUE"""),"USD")</f>
        <v>USD</v>
      </c>
      <c r="H312" s="11" t="str">
        <f ca="1">IFERROR(__xludf.DUMMYFUNCTION("""COMPUTED_VALUE"""),"")</f>
        <v/>
      </c>
      <c r="I312" s="148">
        <f ca="1">IFERROR(__xludf.DUMMYFUNCTION("""COMPUTED_VALUE"""),7.8005)</f>
        <v>7.8005000000000004</v>
      </c>
      <c r="J312" s="149">
        <f ca="1">IFERROR(__xludf.DUMMYFUNCTION("""COMPUTED_VALUE"""),43926.6)</f>
        <v>43926.6</v>
      </c>
      <c r="K312" s="43"/>
      <c r="L312" s="149">
        <f ca="1">IFERROR(__xludf.DUMMYFUNCTION("""COMPUTED_VALUE"""),42068.76)</f>
        <v>42068.76</v>
      </c>
      <c r="M312" s="160" t="str">
        <f ca="1">IFERROR(__xludf.DUMMYFUNCTION("""COMPUTED_VALUE"""),"Equity Key Stats")</f>
        <v>Equity Key Stats</v>
      </c>
      <c r="N312" s="43"/>
      <c r="O312" s="43"/>
      <c r="P312" s="150">
        <f ca="1">IFERROR(__xludf.DUMMYFUNCTION("""COMPUTED_VALUE"""),0)</f>
        <v>0</v>
      </c>
      <c r="Q312" s="151"/>
      <c r="R312" s="152">
        <f ca="1">IFERROR(__xludf.DUMMYFUNCTION("""COMPUTED_VALUE"""),42977.3)</f>
        <v>42977.3</v>
      </c>
      <c r="S312" s="127">
        <f ca="1">IFERROR(__xludf.DUMMYFUNCTION("""COMPUTED_VALUE"""),0)</f>
        <v>0</v>
      </c>
      <c r="T312" s="108">
        <f ca="1">IFERROR(__xludf.DUMMYFUNCTION("""COMPUTED_VALUE"""),3)</f>
        <v>3</v>
      </c>
      <c r="U312" s="108" t="str">
        <f ca="1">IFERROR(__xludf.DUMMYFUNCTION("""COMPUTED_VALUE"""),"")</f>
        <v/>
      </c>
      <c r="V312" s="153" t="str">
        <f ca="1">IFERROR(__xludf.DUMMYFUNCTION("""COMPUTED_VALUE"""),"")</f>
        <v/>
      </c>
      <c r="W312" s="44" t="str">
        <f ca="1">IFERROR(__xludf.DUMMYFUNCTION("""COMPUTED_VALUE"""),"")</f>
        <v/>
      </c>
      <c r="X312" s="154" t="str">
        <f ca="1">IFERROR(__xludf.DUMMYFUNCTION("""COMPUTED_VALUE"""),"")</f>
        <v/>
      </c>
      <c r="Y312" s="154" t="str">
        <f ca="1">IFERROR(__xludf.DUMMYFUNCTION("""COMPUTED_VALUE"""),"")</f>
        <v/>
      </c>
      <c r="Z312" s="159" t="str">
        <f ca="1">IFERROR(__xludf.DUMMYFUNCTION("""COMPUTED_VALUE"""),"")</f>
        <v/>
      </c>
    </row>
    <row r="313" spans="1:26" ht="13" x14ac:dyDescent="0.15">
      <c r="A313" s="43" t="str">
        <f ca="1">IFERROR(__xludf.DUMMYFUNCTION("""COMPUTED_VALUE"""),"")</f>
        <v/>
      </c>
      <c r="B313" s="43" t="str">
        <f ca="1">IFERROR(__xludf.DUMMYFUNCTION("""COMPUTED_VALUE"""),"46220")</f>
        <v>46220</v>
      </c>
      <c r="C313" s="146">
        <f ca="1">IFERROR(__xludf.DUMMYFUNCTION("""COMPUTED_VALUE"""),44608000218)</f>
        <v>44608000218</v>
      </c>
      <c r="D313" s="161" t="str">
        <f ca="1">IFERROR(__xludf.DUMMYFUNCTION("""COMPUTED_VALUE"""),"0883.hk")</f>
        <v>0883.hk</v>
      </c>
      <c r="E313" s="147">
        <f ca="1">IFERROR(__xludf.DUMMYFUNCTION("""COMPUTED_VALUE"""),44608)</f>
        <v>44608</v>
      </c>
      <c r="F313" s="43" t="str">
        <f ca="1">IFERROR(__xludf.DUMMYFUNCTION("""COMPUTED_VALUE"""),"Stock")</f>
        <v>Stock</v>
      </c>
      <c r="G313" s="43" t="str">
        <f ca="1">IFERROR(__xludf.DUMMYFUNCTION("""COMPUTED_VALUE"""),"HKD")</f>
        <v>HKD</v>
      </c>
      <c r="H313" s="11">
        <f ca="1">IFERROR(__xludf.DUMMYFUNCTION("""COMPUTED_VALUE"""),-20)</f>
        <v>-20</v>
      </c>
      <c r="I313" s="148">
        <f ca="1">IFERROR(__xludf.DUMMYFUNCTION("""COMPUTED_VALUE"""),1)</f>
        <v>1</v>
      </c>
      <c r="J313" s="149">
        <f ca="1">IFERROR(__xludf.DUMMYFUNCTION("""COMPUTED_VALUE"""),9.82)</f>
        <v>9.82</v>
      </c>
      <c r="K313" s="43"/>
      <c r="L313" s="149">
        <f ca="1">IFERROR(__xludf.DUMMYFUNCTION("""COMPUTED_VALUE"""),10.36)</f>
        <v>10.36</v>
      </c>
      <c r="M313" s="160" t="str">
        <f ca="1">IFERROR(__xludf.DUMMYFUNCTION("""COMPUTED_VALUE"""),"Equity Key Stats")</f>
        <v>Equity Key Stats</v>
      </c>
      <c r="N313" s="43"/>
      <c r="O313" s="43"/>
      <c r="P313" s="150">
        <f ca="1">IFERROR(__xludf.DUMMYFUNCTION("""COMPUTED_VALUE"""),196.4)</f>
        <v>196.4</v>
      </c>
      <c r="Q313" s="151"/>
      <c r="R313" s="152">
        <f ca="1">IFERROR(__xludf.DUMMYFUNCTION("""COMPUTED_VALUE"""),10.2)</f>
        <v>10.199999999999999</v>
      </c>
      <c r="S313" s="127">
        <f ca="1">IFERROR(__xludf.DUMMYFUNCTION("""COMPUTED_VALUE"""),-204)</f>
        <v>-204</v>
      </c>
      <c r="T313" s="108">
        <f ca="1">IFERROR(__xludf.DUMMYFUNCTION("""COMPUTED_VALUE"""),2)</f>
        <v>2</v>
      </c>
      <c r="U313" s="108">
        <f ca="1">IFERROR(__xludf.DUMMYFUNCTION("""COMPUTED_VALUE"""),1)</f>
        <v>1</v>
      </c>
      <c r="V313" s="153">
        <f ca="1">IFERROR(__xludf.DUMMYFUNCTION("""COMPUTED_VALUE"""),0.600000000000022)</f>
        <v>0.60000000000002196</v>
      </c>
      <c r="W313" s="44" t="str">
        <f ca="1">IFERROR(__xludf.DUMMYFUNCTION("""COMPUTED_VALUE"""),"")</f>
        <v/>
      </c>
      <c r="X313" s="154" t="str">
        <f ca="1">IFERROR(__xludf.DUMMYFUNCTION("""COMPUTED_VALUE"""),"")</f>
        <v/>
      </c>
      <c r="Y313" s="154" t="str">
        <f ca="1">IFERROR(__xludf.DUMMYFUNCTION("""COMPUTED_VALUE"""),"")</f>
        <v/>
      </c>
      <c r="Z313" s="159" t="str">
        <f ca="1">IFERROR(__xludf.DUMMYFUNCTION("""COMPUTED_VALUE"""),"")</f>
        <v/>
      </c>
    </row>
    <row r="314" spans="1:26" ht="13" x14ac:dyDescent="0.15">
      <c r="A314" s="43" t="str">
        <f ca="1">IFERROR(__xludf.DUMMYFUNCTION("""COMPUTED_VALUE"""),"")</f>
        <v/>
      </c>
      <c r="B314" s="43" t="str">
        <f ca="1">IFERROR(__xludf.DUMMYFUNCTION("""COMPUTED_VALUE"""),"46220")</f>
        <v>46220</v>
      </c>
      <c r="C314" s="146">
        <f ca="1">IFERROR(__xludf.DUMMYFUNCTION("""COMPUTED_VALUE"""),44608000219)</f>
        <v>44608000219</v>
      </c>
      <c r="D314" s="43" t="str">
        <f ca="1">IFERROR(__xludf.DUMMYFUNCTION("""COMPUTED_VALUE"""),"GOOG")</f>
        <v>GOOG</v>
      </c>
      <c r="E314" s="147">
        <f ca="1">IFERROR(__xludf.DUMMYFUNCTION("""COMPUTED_VALUE"""),44608)</f>
        <v>44608</v>
      </c>
      <c r="F314" s="43" t="str">
        <f ca="1">IFERROR(__xludf.DUMMYFUNCTION("""COMPUTED_VALUE"""),"Stock")</f>
        <v>Stock</v>
      </c>
      <c r="G314" s="43" t="str">
        <f ca="1">IFERROR(__xludf.DUMMYFUNCTION("""COMPUTED_VALUE"""),"USD")</f>
        <v>USD</v>
      </c>
      <c r="H314" s="11">
        <f ca="1">IFERROR(__xludf.DUMMYFUNCTION("""COMPUTED_VALUE"""),20)</f>
        <v>20</v>
      </c>
      <c r="I314" s="148">
        <f ca="1">IFERROR(__xludf.DUMMYFUNCTION("""COMPUTED_VALUE"""),7.8005)</f>
        <v>7.8005000000000004</v>
      </c>
      <c r="J314" s="149">
        <f ca="1">IFERROR(__xludf.DUMMYFUNCTION("""COMPUTED_VALUE"""),2749.75)</f>
        <v>2749.75</v>
      </c>
      <c r="K314" s="43"/>
      <c r="L314" s="149">
        <f ca="1">IFERROR(__xludf.DUMMYFUNCTION("""COMPUTED_VALUE"""),2805.55)</f>
        <v>2805.55</v>
      </c>
      <c r="M314" s="160" t="str">
        <f ca="1">IFERROR(__xludf.DUMMYFUNCTION("""COMPUTED_VALUE"""),"Equity Key Stats")</f>
        <v>Equity Key Stats</v>
      </c>
      <c r="N314" s="43"/>
      <c r="O314" s="43"/>
      <c r="P314" s="150">
        <f ca="1">IFERROR(__xludf.DUMMYFUNCTION("""COMPUTED_VALUE"""),-428988.4975)</f>
        <v>-428988.4975</v>
      </c>
      <c r="Q314" s="151"/>
      <c r="R314" s="152">
        <f ca="1">IFERROR(__xludf.DUMMYFUNCTION("""COMPUTED_VALUE"""),2770.07)</f>
        <v>2770.07</v>
      </c>
      <c r="S314" s="127">
        <f ca="1">IFERROR(__xludf.DUMMYFUNCTION("""COMPUTED_VALUE"""),432158.6207)</f>
        <v>432158.62070000003</v>
      </c>
      <c r="T314" s="108">
        <f ca="1">IFERROR(__xludf.DUMMYFUNCTION("""COMPUTED_VALUE"""),1)</f>
        <v>1</v>
      </c>
      <c r="U314" s="108">
        <f ca="1">IFERROR(__xludf.DUMMYFUNCTION("""COMPUTED_VALUE"""),1)</f>
        <v>1</v>
      </c>
      <c r="V314" s="153">
        <f ca="1">IFERROR(__xludf.DUMMYFUNCTION("""COMPUTED_VALUE"""),3170.12320000003)</f>
        <v>3170.12320000003</v>
      </c>
      <c r="W314" s="145" t="str">
        <f ca="1">IFERROR(__xludf.DUMMYFUNCTION("""COMPUTED_VALUE"""),"")</f>
        <v/>
      </c>
      <c r="X314" s="11" t="str">
        <f ca="1">IFERROR(__xludf.DUMMYFUNCTION("""COMPUTED_VALUE"""),"")</f>
        <v/>
      </c>
      <c r="Y314" s="11" t="str">
        <f ca="1">IFERROR(__xludf.DUMMYFUNCTION("""COMPUTED_VALUE"""),"")</f>
        <v/>
      </c>
      <c r="Z314" s="4" t="str">
        <f ca="1">IFERROR(__xludf.DUMMYFUNCTION("""COMPUTED_VALUE"""),"")</f>
        <v/>
      </c>
    </row>
    <row r="315" spans="1:26" ht="13" x14ac:dyDescent="0.15">
      <c r="A315" s="43" t="str">
        <f ca="1">IFERROR(__xludf.DUMMYFUNCTION("""COMPUTED_VALUE"""),"")</f>
        <v/>
      </c>
      <c r="B315" s="43" t="str">
        <f ca="1">IFERROR(__xludf.DUMMYFUNCTION("""COMPUTED_VALUE"""),"46220")</f>
        <v>46220</v>
      </c>
      <c r="C315" s="146">
        <f ca="1">IFERROR(__xludf.DUMMYFUNCTION("""COMPUTED_VALUE"""),44609000243)</f>
        <v>44609000243</v>
      </c>
      <c r="D315" s="163" t="str">
        <f ca="1">IFERROR(__xludf.DUMMYFUNCTION("""COMPUTED_VALUE"""),"RBLX")</f>
        <v>RBLX</v>
      </c>
      <c r="E315" s="147">
        <f ca="1">IFERROR(__xludf.DUMMYFUNCTION("""COMPUTED_VALUE"""),44609)</f>
        <v>44609</v>
      </c>
      <c r="F315" s="43" t="str">
        <f ca="1">IFERROR(__xludf.DUMMYFUNCTION("""COMPUTED_VALUE"""),"Stock")</f>
        <v>Stock</v>
      </c>
      <c r="G315" s="43" t="str">
        <f ca="1">IFERROR(__xludf.DUMMYFUNCTION("""COMPUTED_VALUE"""),"USD")</f>
        <v>USD</v>
      </c>
      <c r="H315" s="154">
        <f ca="1">IFERROR(__xludf.DUMMYFUNCTION("""COMPUTED_VALUE"""),50)</f>
        <v>50</v>
      </c>
      <c r="I315" s="148">
        <f ca="1">IFERROR(__xludf.DUMMYFUNCTION("""COMPUTED_VALUE"""),7.799115)</f>
        <v>7.7991149999999996</v>
      </c>
      <c r="J315" s="149">
        <f ca="1">IFERROR(__xludf.DUMMYFUNCTION("""COMPUTED_VALUE"""),54.49)</f>
        <v>54.49</v>
      </c>
      <c r="K315" s="43"/>
      <c r="L315" s="149">
        <f ca="1">IFERROR(__xludf.DUMMYFUNCTION("""COMPUTED_VALUE"""),50.51)</f>
        <v>50.51</v>
      </c>
      <c r="M315" s="155" t="str">
        <f ca="1">IFERROR(__xludf.DUMMYFUNCTION("""COMPUTED_VALUE"""),"Equity Key Stats")</f>
        <v>Equity Key Stats</v>
      </c>
      <c r="N315" s="43"/>
      <c r="O315" s="43"/>
      <c r="P315" s="157">
        <f ca="1">IFERROR(__xludf.DUMMYFUNCTION("""COMPUTED_VALUE"""),-21248.6888175)</f>
        <v>-21248.688817499999</v>
      </c>
      <c r="Q315" s="151"/>
      <c r="R315" s="152">
        <f ca="1">IFERROR(__xludf.DUMMYFUNCTION("""COMPUTED_VALUE"""),50.71)</f>
        <v>50.71</v>
      </c>
      <c r="S315" s="150">
        <f ca="1">IFERROR(__xludf.DUMMYFUNCTION("""COMPUTED_VALUE"""),19774.6560824999)</f>
        <v>19774.6560824999</v>
      </c>
      <c r="T315" s="108">
        <f ca="1">IFERROR(__xludf.DUMMYFUNCTION("""COMPUTED_VALUE"""),1)</f>
        <v>1</v>
      </c>
      <c r="U315" s="108">
        <f ca="1">IFERROR(__xludf.DUMMYFUNCTION("""COMPUTED_VALUE"""),1)</f>
        <v>1</v>
      </c>
      <c r="V315" s="153">
        <f ca="1">IFERROR(__xludf.DUMMYFUNCTION("""COMPUTED_VALUE"""),-1474.032735)</f>
        <v>-1474.032735</v>
      </c>
      <c r="W315" s="145" t="str">
        <f ca="1">IFERROR(__xludf.DUMMYFUNCTION("""COMPUTED_VALUE"""),"")</f>
        <v/>
      </c>
      <c r="X315" s="11" t="str">
        <f ca="1">IFERROR(__xludf.DUMMYFUNCTION("""COMPUTED_VALUE"""),"")</f>
        <v/>
      </c>
      <c r="Y315" s="11" t="str">
        <f ca="1">IFERROR(__xludf.DUMMYFUNCTION("""COMPUTED_VALUE"""),"")</f>
        <v/>
      </c>
      <c r="Z315" s="4" t="str">
        <f ca="1">IFERROR(__xludf.DUMMYFUNCTION("""COMPUTED_VALUE"""),"")</f>
        <v/>
      </c>
    </row>
    <row r="316" spans="1:26" ht="13" x14ac:dyDescent="0.15">
      <c r="A316" s="43" t="str">
        <f ca="1">IFERROR(__xludf.DUMMYFUNCTION("""COMPUTED_VALUE"""),"")</f>
        <v/>
      </c>
      <c r="B316" s="43" t="str">
        <f ca="1">IFERROR(__xludf.DUMMYFUNCTION("""COMPUTED_VALUE"""),"46220")</f>
        <v>46220</v>
      </c>
      <c r="C316" s="146">
        <f ca="1">IFERROR(__xludf.DUMMYFUNCTION("""COMPUTED_VALUE"""),44610000266)</f>
        <v>44610000266</v>
      </c>
      <c r="D316" s="163" t="str">
        <f ca="1">IFERROR(__xludf.DUMMYFUNCTION("""COMPUTED_VALUE"""),"BTC-USD")</f>
        <v>BTC-USD</v>
      </c>
      <c r="E316" s="147">
        <f ca="1">IFERROR(__xludf.DUMMYFUNCTION("""COMPUTED_VALUE"""),44610)</f>
        <v>44610</v>
      </c>
      <c r="F316" s="43" t="str">
        <f ca="1">IFERROR(__xludf.DUMMYFUNCTION("""COMPUTED_VALUE"""),"Stock")</f>
        <v>Stock</v>
      </c>
      <c r="G316" s="43" t="str">
        <f ca="1">IFERROR(__xludf.DUMMYFUNCTION("""COMPUTED_VALUE"""),"USD")</f>
        <v>USD</v>
      </c>
      <c r="H316" s="154" t="str">
        <f ca="1">IFERROR(__xludf.DUMMYFUNCTION("""COMPUTED_VALUE"""),"")</f>
        <v/>
      </c>
      <c r="I316" s="148">
        <f ca="1">IFERROR(__xludf.DUMMYFUNCTION("""COMPUTED_VALUE"""),7.80051)</f>
        <v>7.8005100000000001</v>
      </c>
      <c r="J316" s="149">
        <f ca="1">IFERROR(__xludf.DUMMYFUNCTION("""COMPUTED_VALUE"""),40132.258)</f>
        <v>40132.258000000002</v>
      </c>
      <c r="K316" s="43"/>
      <c r="L316" s="149">
        <f ca="1">IFERROR(__xludf.DUMMYFUNCTION("""COMPUTED_VALUE"""),42068.76)</f>
        <v>42068.76</v>
      </c>
      <c r="M316" s="155" t="str">
        <f ca="1">IFERROR(__xludf.DUMMYFUNCTION("""COMPUTED_VALUE"""),"Equity Key Stats")</f>
        <v>Equity Key Stats</v>
      </c>
      <c r="N316" s="43"/>
      <c r="O316" s="43"/>
      <c r="P316" s="157">
        <f ca="1">IFERROR(__xludf.DUMMYFUNCTION("""COMPUTED_VALUE"""),0)</f>
        <v>0</v>
      </c>
      <c r="Q316" s="151"/>
      <c r="R316" s="152">
        <f ca="1">IFERROR(__xludf.DUMMYFUNCTION("""COMPUTED_VALUE"""),42977.3)</f>
        <v>42977.3</v>
      </c>
      <c r="S316" s="150">
        <f ca="1">IFERROR(__xludf.DUMMYFUNCTION("""COMPUTED_VALUE"""),0)</f>
        <v>0</v>
      </c>
      <c r="T316" s="108">
        <f ca="1">IFERROR(__xludf.DUMMYFUNCTION("""COMPUTED_VALUE"""),3)</f>
        <v>3</v>
      </c>
      <c r="U316" s="108">
        <f ca="1">IFERROR(__xludf.DUMMYFUNCTION("""COMPUTED_VALUE"""),1)</f>
        <v>1</v>
      </c>
      <c r="V316" s="153">
        <f ca="1">IFERROR(__xludf.DUMMYFUNCTION("""COMPUTED_VALUE"""),0)</f>
        <v>0</v>
      </c>
      <c r="W316" s="44" t="str">
        <f ca="1">IFERROR(__xludf.DUMMYFUNCTION("""COMPUTED_VALUE"""),"")</f>
        <v/>
      </c>
      <c r="X316" s="154" t="str">
        <f ca="1">IFERROR(__xludf.DUMMYFUNCTION("""COMPUTED_VALUE"""),"")</f>
        <v/>
      </c>
      <c r="Y316" s="154" t="str">
        <f ca="1">IFERROR(__xludf.DUMMYFUNCTION("""COMPUTED_VALUE"""),"")</f>
        <v/>
      </c>
      <c r="Z316" s="159" t="str">
        <f ca="1">IFERROR(__xludf.DUMMYFUNCTION("""COMPUTED_VALUE"""),"")</f>
        <v/>
      </c>
    </row>
    <row r="317" spans="1:26" ht="13" x14ac:dyDescent="0.15">
      <c r="A317" s="43" t="str">
        <f ca="1">IFERROR(__xludf.DUMMYFUNCTION("""COMPUTED_VALUE"""),"")</f>
        <v/>
      </c>
      <c r="B317" s="43" t="str">
        <f ca="1">IFERROR(__xludf.DUMMYFUNCTION("""COMPUTED_VALUE"""),"46220")</f>
        <v>46220</v>
      </c>
      <c r="C317" s="146">
        <f ca="1">IFERROR(__xludf.DUMMYFUNCTION("""COMPUTED_VALUE"""),44613000268)</f>
        <v>44613000268</v>
      </c>
      <c r="D317" s="161" t="str">
        <f ca="1">IFERROR(__xludf.DUMMYFUNCTION("""COMPUTED_VALUE"""),"6969.HK")</f>
        <v>6969.HK</v>
      </c>
      <c r="E317" s="147">
        <f ca="1">IFERROR(__xludf.DUMMYFUNCTION("""COMPUTED_VALUE"""),44613)</f>
        <v>44613</v>
      </c>
      <c r="F317" s="43" t="str">
        <f ca="1">IFERROR(__xludf.DUMMYFUNCTION("""COMPUTED_VALUE"""),"Stock")</f>
        <v>Stock</v>
      </c>
      <c r="G317" s="43" t="str">
        <f ca="1">IFERROR(__xludf.DUMMYFUNCTION("""COMPUTED_VALUE"""),"HKD")</f>
        <v>HKD</v>
      </c>
      <c r="H317" s="11" t="str">
        <f ca="1">IFERROR(__xludf.DUMMYFUNCTION("""COMPUTED_VALUE"""),"")</f>
        <v/>
      </c>
      <c r="I317" s="148">
        <f ca="1">IFERROR(__xludf.DUMMYFUNCTION("""COMPUTED_VALUE"""),1)</f>
        <v>1</v>
      </c>
      <c r="J317" s="149">
        <f ca="1">IFERROR(__xludf.DUMMYFUNCTION("""COMPUTED_VALUE"""),35.5)</f>
        <v>35.5</v>
      </c>
      <c r="K317" s="43"/>
      <c r="L317" s="149">
        <f ca="1">IFERROR(__xludf.DUMMYFUNCTION("""COMPUTED_VALUE"""),20.75)</f>
        <v>20.75</v>
      </c>
      <c r="M317" s="160" t="str">
        <f ca="1">IFERROR(__xludf.DUMMYFUNCTION("""COMPUTED_VALUE"""),"Equity Key Stats")</f>
        <v>Equity Key Stats</v>
      </c>
      <c r="N317" s="43"/>
      <c r="O317" s="43"/>
      <c r="P317" s="150">
        <f ca="1">IFERROR(__xludf.DUMMYFUNCTION("""COMPUTED_VALUE"""),0)</f>
        <v>0</v>
      </c>
      <c r="Q317" s="151"/>
      <c r="R317" s="152">
        <f ca="1">IFERROR(__xludf.DUMMYFUNCTION("""COMPUTED_VALUE"""),20.9)</f>
        <v>20.9</v>
      </c>
      <c r="S317" s="127">
        <f ca="1">IFERROR(__xludf.DUMMYFUNCTION("""COMPUTED_VALUE"""),0)</f>
        <v>0</v>
      </c>
      <c r="T317" s="108">
        <f ca="1">IFERROR(__xludf.DUMMYFUNCTION("""COMPUTED_VALUE"""),1)</f>
        <v>1</v>
      </c>
      <c r="U317" s="108">
        <f ca="1">IFERROR(__xludf.DUMMYFUNCTION("""COMPUTED_VALUE"""),1)</f>
        <v>1</v>
      </c>
      <c r="V317" s="153">
        <f ca="1">IFERROR(__xludf.DUMMYFUNCTION("""COMPUTED_VALUE"""),0)</f>
        <v>0</v>
      </c>
      <c r="W317" s="145" t="str">
        <f ca="1">IFERROR(__xludf.DUMMYFUNCTION("""COMPUTED_VALUE"""),"")</f>
        <v/>
      </c>
      <c r="X317" s="11" t="str">
        <f ca="1">IFERROR(__xludf.DUMMYFUNCTION("""COMPUTED_VALUE"""),"")</f>
        <v/>
      </c>
      <c r="Y317" s="11" t="str">
        <f ca="1">IFERROR(__xludf.DUMMYFUNCTION("""COMPUTED_VALUE"""),"")</f>
        <v/>
      </c>
      <c r="Z317" s="4" t="str">
        <f ca="1">IFERROR(__xludf.DUMMYFUNCTION("""COMPUTED_VALUE"""),"")</f>
        <v/>
      </c>
    </row>
    <row r="318" spans="1:26" ht="13" x14ac:dyDescent="0.15">
      <c r="A318" s="43" t="str">
        <f ca="1">IFERROR(__xludf.DUMMYFUNCTION("""COMPUTED_VALUE"""),"")</f>
        <v/>
      </c>
      <c r="B318" s="43" t="str">
        <f ca="1">IFERROR(__xludf.DUMMYFUNCTION("""COMPUTED_VALUE"""),"46220")</f>
        <v>46220</v>
      </c>
      <c r="C318" s="146">
        <f ca="1">IFERROR(__xludf.DUMMYFUNCTION("""COMPUTED_VALUE"""),44615000303)</f>
        <v>44615000303</v>
      </c>
      <c r="D318" s="43" t="str">
        <f ca="1">IFERROR(__xludf.DUMMYFUNCTION("""COMPUTED_VALUE"""),"TSLA")</f>
        <v>TSLA</v>
      </c>
      <c r="E318" s="147">
        <f ca="1">IFERROR(__xludf.DUMMYFUNCTION("""COMPUTED_VALUE"""),44615)</f>
        <v>44615</v>
      </c>
      <c r="F318" s="43" t="str">
        <f ca="1">IFERROR(__xludf.DUMMYFUNCTION("""COMPUTED_VALUE"""),"Stock")</f>
        <v>Stock</v>
      </c>
      <c r="G318" s="43" t="str">
        <f ca="1">IFERROR(__xludf.DUMMYFUNCTION("""COMPUTED_VALUE"""),"USD")</f>
        <v>USD</v>
      </c>
      <c r="H318" s="154" t="str">
        <f ca="1">IFERROR(__xludf.DUMMYFUNCTION("""COMPUTED_VALUE"""),"")</f>
        <v/>
      </c>
      <c r="I318" s="148">
        <f ca="1">IFERROR(__xludf.DUMMYFUNCTION("""COMPUTED_VALUE"""),7.80545)</f>
        <v>7.8054500000000004</v>
      </c>
      <c r="J318" s="149">
        <f ca="1">IFERROR(__xludf.DUMMYFUNCTION("""COMPUTED_VALUE"""),764.04)</f>
        <v>764.04</v>
      </c>
      <c r="K318" s="43"/>
      <c r="L318" s="149">
        <f ca="1">IFERROR(__xludf.DUMMYFUNCTION("""COMPUTED_VALUE"""),993.98)</f>
        <v>993.98</v>
      </c>
      <c r="M318" s="155" t="str">
        <f ca="1">IFERROR(__xludf.DUMMYFUNCTION("""COMPUTED_VALUE"""),"Equity Key Stats")</f>
        <v>Equity Key Stats</v>
      </c>
      <c r="N318" s="43"/>
      <c r="O318" s="43"/>
      <c r="P318" s="157">
        <f ca="1">IFERROR(__xludf.DUMMYFUNCTION("""COMPUTED_VALUE"""),0)</f>
        <v>0</v>
      </c>
      <c r="Q318" s="151"/>
      <c r="R318" s="152">
        <f ca="1">IFERROR(__xludf.DUMMYFUNCTION("""COMPUTED_VALUE"""),999.11)</f>
        <v>999.11</v>
      </c>
      <c r="S318" s="150">
        <f ca="1">IFERROR(__xludf.DUMMYFUNCTION("""COMPUTED_VALUE"""),0)</f>
        <v>0</v>
      </c>
      <c r="T318" s="108">
        <f ca="1">IFERROR(__xludf.DUMMYFUNCTION("""COMPUTED_VALUE"""),2)</f>
        <v>2</v>
      </c>
      <c r="U318" s="43">
        <f ca="1">IFERROR(__xludf.DUMMYFUNCTION("""COMPUTED_VALUE"""),1)</f>
        <v>1</v>
      </c>
      <c r="V318" s="144">
        <f ca="1">IFERROR(__xludf.DUMMYFUNCTION("""COMPUTED_VALUE"""),16276.88202525)</f>
        <v>16276.882025250001</v>
      </c>
      <c r="W318" s="145" t="str">
        <f ca="1">IFERROR(__xludf.DUMMYFUNCTION("""COMPUTED_VALUE"""),"")</f>
        <v/>
      </c>
      <c r="X318" s="11" t="str">
        <f ca="1">IFERROR(__xludf.DUMMYFUNCTION("""COMPUTED_VALUE"""),"")</f>
        <v/>
      </c>
      <c r="Y318" s="11" t="str">
        <f ca="1">IFERROR(__xludf.DUMMYFUNCTION("""COMPUTED_VALUE"""),"")</f>
        <v/>
      </c>
      <c r="Z318" s="4" t="str">
        <f ca="1">IFERROR(__xludf.DUMMYFUNCTION("""COMPUTED_VALUE"""),"")</f>
        <v/>
      </c>
    </row>
    <row r="319" spans="1:26" ht="13" x14ac:dyDescent="0.15">
      <c r="A319" s="43" t="str">
        <f ca="1">IFERROR(__xludf.DUMMYFUNCTION("""COMPUTED_VALUE"""),"")</f>
        <v/>
      </c>
      <c r="B319" s="43" t="str">
        <f ca="1">IFERROR(__xludf.DUMMYFUNCTION("""COMPUTED_VALUE"""),"46220")</f>
        <v>46220</v>
      </c>
      <c r="C319" s="146">
        <f ca="1">IFERROR(__xludf.DUMMYFUNCTION("""COMPUTED_VALUE"""),44615000304)</f>
        <v>44615000304</v>
      </c>
      <c r="D319" s="163" t="str">
        <f ca="1">IFERROR(__xludf.DUMMYFUNCTION("""COMPUTED_VALUE"""),"YINN")</f>
        <v>YINN</v>
      </c>
      <c r="E319" s="147">
        <f ca="1">IFERROR(__xludf.DUMMYFUNCTION("""COMPUTED_VALUE"""),44615)</f>
        <v>44615</v>
      </c>
      <c r="F319" s="43" t="str">
        <f ca="1">IFERROR(__xludf.DUMMYFUNCTION("""COMPUTED_VALUE"""),"Stock")</f>
        <v>Stock</v>
      </c>
      <c r="G319" s="43" t="str">
        <f ca="1">IFERROR(__xludf.DUMMYFUNCTION("""COMPUTED_VALUE"""),"USD")</f>
        <v>USD</v>
      </c>
      <c r="H319" s="154">
        <f ca="1">IFERROR(__xludf.DUMMYFUNCTION("""COMPUTED_VALUE"""),50)</f>
        <v>50</v>
      </c>
      <c r="I319" s="148">
        <f ca="1">IFERROR(__xludf.DUMMYFUNCTION("""COMPUTED_VALUE"""),7.80545)</f>
        <v>7.8054500000000004</v>
      </c>
      <c r="J319" s="149">
        <f ca="1">IFERROR(__xludf.DUMMYFUNCTION("""COMPUTED_VALUE"""),7.24)</f>
        <v>7.24</v>
      </c>
      <c r="K319" s="43"/>
      <c r="L319" s="149">
        <f ca="1">IFERROR(__xludf.DUMMYFUNCTION("""COMPUTED_VALUE"""),5.15)</f>
        <v>5.15</v>
      </c>
      <c r="M319" s="155" t="str">
        <f ca="1">IFERROR(__xludf.DUMMYFUNCTION("""COMPUTED_VALUE"""),"Equity Key Stats")</f>
        <v>Equity Key Stats</v>
      </c>
      <c r="N319" s="43"/>
      <c r="O319" s="43"/>
      <c r="P319" s="157">
        <f ca="1">IFERROR(__xludf.DUMMYFUNCTION("""COMPUTED_VALUE"""),-2825.5729)</f>
        <v>-2825.5729000000001</v>
      </c>
      <c r="Q319" s="151"/>
      <c r="R319" s="152">
        <f ca="1">IFERROR(__xludf.DUMMYFUNCTION("""COMPUTED_VALUE"""),5.09)</f>
        <v>5.09</v>
      </c>
      <c r="S319" s="150">
        <f ca="1">IFERROR(__xludf.DUMMYFUNCTION("""COMPUTED_VALUE"""),1986.487025)</f>
        <v>1986.4870249999999</v>
      </c>
      <c r="T319" s="108">
        <f ca="1">IFERROR(__xludf.DUMMYFUNCTION("""COMPUTED_VALUE"""),1)</f>
        <v>1</v>
      </c>
      <c r="U319" s="43">
        <f ca="1">IFERROR(__xludf.DUMMYFUNCTION("""COMPUTED_VALUE"""),1)</f>
        <v>1</v>
      </c>
      <c r="V319" s="144">
        <f ca="1">IFERROR(__xludf.DUMMYFUNCTION("""COMPUTED_VALUE"""),-839.085875)</f>
        <v>-839.08587499999999</v>
      </c>
      <c r="W319" s="145" t="str">
        <f ca="1">IFERROR(__xludf.DUMMYFUNCTION("""COMPUTED_VALUE"""),"")</f>
        <v/>
      </c>
      <c r="X319" s="11" t="str">
        <f ca="1">IFERROR(__xludf.DUMMYFUNCTION("""COMPUTED_VALUE"""),"")</f>
        <v/>
      </c>
      <c r="Y319" s="11" t="str">
        <f ca="1">IFERROR(__xludf.DUMMYFUNCTION("""COMPUTED_VALUE"""),"")</f>
        <v/>
      </c>
      <c r="Z319" s="4" t="str">
        <f ca="1">IFERROR(__xludf.DUMMYFUNCTION("""COMPUTED_VALUE"""),"")</f>
        <v/>
      </c>
    </row>
    <row r="320" spans="1:26" ht="13" x14ac:dyDescent="0.15">
      <c r="A320" s="43" t="str">
        <f ca="1">IFERROR(__xludf.DUMMYFUNCTION("""COMPUTED_VALUE"""),"")</f>
        <v/>
      </c>
      <c r="B320" s="43" t="str">
        <f ca="1">IFERROR(__xludf.DUMMYFUNCTION("""COMPUTED_VALUE"""),"46220")</f>
        <v>46220</v>
      </c>
      <c r="C320" s="146">
        <f ca="1">IFERROR(__xludf.DUMMYFUNCTION("""COMPUTED_VALUE"""),44616000326)</f>
        <v>44616000326</v>
      </c>
      <c r="D320" s="43" t="str">
        <f ca="1">IFERROR(__xludf.DUMMYFUNCTION("""COMPUTED_VALUE"""),"AMZN")</f>
        <v>AMZN</v>
      </c>
      <c r="E320" s="147">
        <f ca="1">IFERROR(__xludf.DUMMYFUNCTION("""COMPUTED_VALUE"""),44616)</f>
        <v>44616</v>
      </c>
      <c r="F320" s="43" t="str">
        <f ca="1">IFERROR(__xludf.DUMMYFUNCTION("""COMPUTED_VALUE"""),"Stock")</f>
        <v>Stock</v>
      </c>
      <c r="G320" s="43" t="str">
        <f ca="1">IFERROR(__xludf.DUMMYFUNCTION("""COMPUTED_VALUE"""),"USD")</f>
        <v>USD</v>
      </c>
      <c r="H320" s="154" t="str">
        <f ca="1">IFERROR(__xludf.DUMMYFUNCTION("""COMPUTED_VALUE"""),"")</f>
        <v/>
      </c>
      <c r="I320" s="148">
        <f ca="1">IFERROR(__xludf.DUMMYFUNCTION("""COMPUTED_VALUE"""),7.80775)</f>
        <v>7.8077500000000004</v>
      </c>
      <c r="J320" s="149">
        <f ca="1">IFERROR(__xludf.DUMMYFUNCTION("""COMPUTED_VALUE"""),3027.16)</f>
        <v>3027.16</v>
      </c>
      <c r="K320" s="43"/>
      <c r="L320" s="149">
        <f ca="1">IFERROR(__xludf.DUMMYFUNCTION("""COMPUTED_VALUE"""),3297.78)</f>
        <v>3297.78</v>
      </c>
      <c r="M320" s="155" t="str">
        <f ca="1">IFERROR(__xludf.DUMMYFUNCTION("""COMPUTED_VALUE"""),"Equity Key Stats")</f>
        <v>Equity Key Stats</v>
      </c>
      <c r="N320" s="43"/>
      <c r="O320" s="43"/>
      <c r="P320" s="157">
        <f ca="1">IFERROR(__xludf.DUMMYFUNCTION("""COMPUTED_VALUE"""),0)</f>
        <v>0</v>
      </c>
      <c r="Q320" s="151"/>
      <c r="R320" s="152">
        <f ca="1">IFERROR(__xludf.DUMMYFUNCTION("""COMPUTED_VALUE"""),3268.16)</f>
        <v>3268.16</v>
      </c>
      <c r="S320" s="150">
        <f ca="1">IFERROR(__xludf.DUMMYFUNCTION("""COMPUTED_VALUE"""),0)</f>
        <v>0</v>
      </c>
      <c r="T320" s="108">
        <f ca="1">IFERROR(__xludf.DUMMYFUNCTION("""COMPUTED_VALUE"""),1)</f>
        <v>1</v>
      </c>
      <c r="U320" s="43">
        <f ca="1">IFERROR(__xludf.DUMMYFUNCTION("""COMPUTED_VALUE"""),1)</f>
        <v>1</v>
      </c>
      <c r="V320" s="144">
        <f ca="1">IFERROR(__xludf.DUMMYFUNCTION("""COMPUTED_VALUE"""),0)</f>
        <v>0</v>
      </c>
      <c r="W320" s="145" t="str">
        <f ca="1">IFERROR(__xludf.DUMMYFUNCTION("""COMPUTED_VALUE"""),"")</f>
        <v/>
      </c>
      <c r="X320" s="11" t="str">
        <f ca="1">IFERROR(__xludf.DUMMYFUNCTION("""COMPUTED_VALUE"""),"")</f>
        <v/>
      </c>
      <c r="Y320" s="11" t="str">
        <f ca="1">IFERROR(__xludf.DUMMYFUNCTION("""COMPUTED_VALUE"""),"")</f>
        <v/>
      </c>
      <c r="Z320" s="4" t="str">
        <f ca="1">IFERROR(__xludf.DUMMYFUNCTION("""COMPUTED_VALUE"""),"")</f>
        <v/>
      </c>
    </row>
    <row r="321" spans="1:26" ht="13" x14ac:dyDescent="0.15">
      <c r="A321" s="43" t="str">
        <f ca="1">IFERROR(__xludf.DUMMYFUNCTION("""COMPUTED_VALUE"""),"")</f>
        <v/>
      </c>
      <c r="B321" s="43" t="str">
        <f ca="1">IFERROR(__xludf.DUMMYFUNCTION("""COMPUTED_VALUE"""),"46220")</f>
        <v>46220</v>
      </c>
      <c r="C321" s="146">
        <f ca="1">IFERROR(__xludf.DUMMYFUNCTION("""COMPUTED_VALUE"""),44617000361)</f>
        <v>44617000361</v>
      </c>
      <c r="D321" s="43" t="str">
        <f ca="1">IFERROR(__xludf.DUMMYFUNCTION("""COMPUTED_VALUE"""),"NFLX")</f>
        <v>NFLX</v>
      </c>
      <c r="E321" s="147">
        <f ca="1">IFERROR(__xludf.DUMMYFUNCTION("""COMPUTED_VALUE"""),44617)</f>
        <v>44617</v>
      </c>
      <c r="F321" s="43" t="str">
        <f ca="1">IFERROR(__xludf.DUMMYFUNCTION("""COMPUTED_VALUE"""),"Stock")</f>
        <v>Stock</v>
      </c>
      <c r="G321" s="43" t="str">
        <f ca="1">IFERROR(__xludf.DUMMYFUNCTION("""COMPUTED_VALUE"""),"USD")</f>
        <v>USD</v>
      </c>
      <c r="H321" s="154" t="str">
        <f ca="1">IFERROR(__xludf.DUMMYFUNCTION("""COMPUTED_VALUE"""),"")</f>
        <v/>
      </c>
      <c r="I321" s="148">
        <f ca="1">IFERROR(__xludf.DUMMYFUNCTION("""COMPUTED_VALUE"""),7.808395)</f>
        <v>7.808395</v>
      </c>
      <c r="J321" s="149">
        <f ca="1">IFERROR(__xludf.DUMMYFUNCTION("""COMPUTED_VALUE"""),390.8)</f>
        <v>390.8</v>
      </c>
      <c r="K321" s="43"/>
      <c r="L321" s="149">
        <f ca="1">IFERROR(__xludf.DUMMYFUNCTION("""COMPUTED_VALUE"""),382.92)</f>
        <v>382.92</v>
      </c>
      <c r="M321" s="155" t="str">
        <f ca="1">IFERROR(__xludf.DUMMYFUNCTION("""COMPUTED_VALUE"""),"Equity Key Stats")</f>
        <v>Equity Key Stats</v>
      </c>
      <c r="N321" s="43"/>
      <c r="O321" s="43"/>
      <c r="P321" s="157">
        <f ca="1">IFERROR(__xludf.DUMMYFUNCTION("""COMPUTED_VALUE"""),0)</f>
        <v>0</v>
      </c>
      <c r="Q321" s="151"/>
      <c r="R321" s="152">
        <f ca="1">IFERROR(__xludf.DUMMYFUNCTION("""COMPUTED_VALUE"""),374.49)</f>
        <v>374.49</v>
      </c>
      <c r="S321" s="150">
        <f ca="1">IFERROR(__xludf.DUMMYFUNCTION("""COMPUTED_VALUE"""),0)</f>
        <v>0</v>
      </c>
      <c r="T321" s="108">
        <f ca="1">IFERROR(__xludf.DUMMYFUNCTION("""COMPUTED_VALUE"""),2)</f>
        <v>2</v>
      </c>
      <c r="U321" s="43">
        <f ca="1">IFERROR(__xludf.DUMMYFUNCTION("""COMPUTED_VALUE"""),1)</f>
        <v>1</v>
      </c>
      <c r="V321" s="144">
        <f ca="1">IFERROR(__xludf.DUMMYFUNCTION("""COMPUTED_VALUE"""),-4487.8176)</f>
        <v>-4487.8176000000003</v>
      </c>
      <c r="W321" s="145" t="str">
        <f ca="1">IFERROR(__xludf.DUMMYFUNCTION("""COMPUTED_VALUE"""),"")</f>
        <v/>
      </c>
      <c r="X321" s="11" t="str">
        <f ca="1">IFERROR(__xludf.DUMMYFUNCTION("""COMPUTED_VALUE"""),"")</f>
        <v/>
      </c>
      <c r="Y321" s="11" t="str">
        <f ca="1">IFERROR(__xludf.DUMMYFUNCTION("""COMPUTED_VALUE"""),"")</f>
        <v/>
      </c>
      <c r="Z321" s="4" t="str">
        <f ca="1">IFERROR(__xludf.DUMMYFUNCTION("""COMPUTED_VALUE"""),"")</f>
        <v/>
      </c>
    </row>
    <row r="322" spans="1:26" ht="13" x14ac:dyDescent="0.15">
      <c r="A322" s="43" t="str">
        <f ca="1">IFERROR(__xludf.DUMMYFUNCTION("""COMPUTED_VALUE"""),"")</f>
        <v/>
      </c>
      <c r="B322" s="43" t="str">
        <f ca="1">IFERROR(__xludf.DUMMYFUNCTION("""COMPUTED_VALUE"""),"46220")</f>
        <v>46220</v>
      </c>
      <c r="C322" s="146">
        <f ca="1">IFERROR(__xludf.DUMMYFUNCTION("""COMPUTED_VALUE"""),44624000429)</f>
        <v>44624000429</v>
      </c>
      <c r="D322" s="161" t="str">
        <f ca="1">IFERROR(__xludf.DUMMYFUNCTION("""COMPUTED_VALUE"""),"9988.HK")</f>
        <v>9988.HK</v>
      </c>
      <c r="E322" s="147">
        <f ca="1">IFERROR(__xludf.DUMMYFUNCTION("""COMPUTED_VALUE"""),44624)</f>
        <v>44624</v>
      </c>
      <c r="F322" s="43" t="str">
        <f ca="1">IFERROR(__xludf.DUMMYFUNCTION("""COMPUTED_VALUE"""),"Stock")</f>
        <v>Stock</v>
      </c>
      <c r="G322" s="43" t="str">
        <f ca="1">IFERROR(__xludf.DUMMYFUNCTION("""COMPUTED_VALUE"""),"HKD")</f>
        <v>HKD</v>
      </c>
      <c r="H322" s="156" t="str">
        <f ca="1">IFERROR(__xludf.DUMMYFUNCTION("""COMPUTED_VALUE"""),"")</f>
        <v/>
      </c>
      <c r="I322" s="148">
        <f ca="1">IFERROR(__xludf.DUMMYFUNCTION("""COMPUTED_VALUE"""),1)</f>
        <v>1</v>
      </c>
      <c r="J322" s="149">
        <f ca="1">IFERROR(__xludf.DUMMYFUNCTION("""COMPUTED_VALUE"""),99)</f>
        <v>99</v>
      </c>
      <c r="K322" s="43"/>
      <c r="L322" s="149">
        <f ca="1">IFERROR(__xludf.DUMMYFUNCTION("""COMPUTED_VALUE"""),110.2)</f>
        <v>110.2</v>
      </c>
      <c r="M322" s="155" t="str">
        <f ca="1">IFERROR(__xludf.DUMMYFUNCTION("""COMPUTED_VALUE"""),"Equity Key Stats")</f>
        <v>Equity Key Stats</v>
      </c>
      <c r="N322" s="43"/>
      <c r="O322" s="43"/>
      <c r="P322" s="150">
        <f ca="1">IFERROR(__xludf.DUMMYFUNCTION("""COMPUTED_VALUE"""),0)</f>
        <v>0</v>
      </c>
      <c r="Q322" s="151"/>
      <c r="R322" s="152">
        <f ca="1">IFERROR(__xludf.DUMMYFUNCTION("""COMPUTED_VALUE"""),117.6)</f>
        <v>117.6</v>
      </c>
      <c r="S322" s="157">
        <f ca="1">IFERROR(__xludf.DUMMYFUNCTION("""COMPUTED_VALUE"""),0)</f>
        <v>0</v>
      </c>
      <c r="T322" s="108">
        <f ca="1">IFERROR(__xludf.DUMMYFUNCTION("""COMPUTED_VALUE"""),1)</f>
        <v>1</v>
      </c>
      <c r="U322" s="43">
        <f ca="1">IFERROR(__xludf.DUMMYFUNCTION("""COMPUTED_VALUE"""),1)</f>
        <v>1</v>
      </c>
      <c r="V322" s="144">
        <f ca="1">IFERROR(__xludf.DUMMYFUNCTION("""COMPUTED_VALUE"""),0)</f>
        <v>0</v>
      </c>
      <c r="W322" s="145" t="str">
        <f ca="1">IFERROR(__xludf.DUMMYFUNCTION("""COMPUTED_VALUE"""),"")</f>
        <v/>
      </c>
      <c r="X322" s="11" t="str">
        <f ca="1">IFERROR(__xludf.DUMMYFUNCTION("""COMPUTED_VALUE"""),"")</f>
        <v/>
      </c>
      <c r="Y322" s="11" t="str">
        <f ca="1">IFERROR(__xludf.DUMMYFUNCTION("""COMPUTED_VALUE"""),"")</f>
        <v/>
      </c>
      <c r="Z322" s="4" t="str">
        <f ca="1">IFERROR(__xludf.DUMMYFUNCTION("""COMPUTED_VALUE"""),"")</f>
        <v/>
      </c>
    </row>
    <row r="323" spans="1:26" ht="13" x14ac:dyDescent="0.15">
      <c r="A323" s="43" t="str">
        <f ca="1">IFERROR(__xludf.DUMMYFUNCTION("""COMPUTED_VALUE"""),"46220")</f>
        <v>46220</v>
      </c>
      <c r="B323" s="43" t="str">
        <f ca="1">IFERROR(__xludf.DUMMYFUNCTION("""COMPUTED_VALUE"""),"46220")</f>
        <v>46220</v>
      </c>
      <c r="C323" s="146">
        <f ca="1">IFERROR(__xludf.DUMMYFUNCTION("""COMPUTED_VALUE"""),44634000553)</f>
        <v>44634000553</v>
      </c>
      <c r="D323" s="163" t="str">
        <f ca="1">IFERROR(__xludf.DUMMYFUNCTION("""COMPUTED_VALUE"""),"GC=F")</f>
        <v>GC=F</v>
      </c>
      <c r="E323" s="147">
        <f ca="1">IFERROR(__xludf.DUMMYFUNCTION("""COMPUTED_VALUE"""),44634)</f>
        <v>44634</v>
      </c>
      <c r="F323" s="43" t="str">
        <f ca="1">IFERROR(__xludf.DUMMYFUNCTION("""COMPUTED_VALUE"""),"Stock")</f>
        <v>Stock</v>
      </c>
      <c r="G323" s="43" t="str">
        <f ca="1">IFERROR(__xludf.DUMMYFUNCTION("""COMPUTED_VALUE"""),"USD")</f>
        <v>USD</v>
      </c>
      <c r="H323" s="154" t="str">
        <f ca="1">IFERROR(__xludf.DUMMYFUNCTION("""COMPUTED_VALUE"""),"")</f>
        <v/>
      </c>
      <c r="I323" s="148">
        <f ca="1">IFERROR(__xludf.DUMMYFUNCTION("""COMPUTED_VALUE"""),7.82925)</f>
        <v>7.82925</v>
      </c>
      <c r="J323" s="149">
        <f ca="1">IFERROR(__xludf.DUMMYFUNCTION("""COMPUTED_VALUE"""),1954.6)</f>
        <v>1954.6</v>
      </c>
      <c r="K323" s="43"/>
      <c r="L323" s="149">
        <f ca="1">IFERROR(__xludf.DUMMYFUNCTION("""COMPUTED_VALUE"""),1917.9)</f>
        <v>1917.9</v>
      </c>
      <c r="M323" s="155" t="str">
        <f ca="1">IFERROR(__xludf.DUMMYFUNCTION("""COMPUTED_VALUE"""),"Equity Key Stats")</f>
        <v>Equity Key Stats</v>
      </c>
      <c r="N323" s="43"/>
      <c r="O323" s="43"/>
      <c r="P323" s="157">
        <f ca="1">IFERROR(__xludf.DUMMYFUNCTION("""COMPUTED_VALUE"""),0)</f>
        <v>0</v>
      </c>
      <c r="Q323" s="151"/>
      <c r="R323" s="152">
        <f ca="1">IFERROR(__xludf.DUMMYFUNCTION("""COMPUTED_VALUE"""),1947.3)</f>
        <v>1947.3</v>
      </c>
      <c r="S323" s="150">
        <f ca="1">IFERROR(__xludf.DUMMYFUNCTION("""COMPUTED_VALUE"""),0)</f>
        <v>0</v>
      </c>
      <c r="T323" s="108">
        <f ca="1">IFERROR(__xludf.DUMMYFUNCTION("""COMPUTED_VALUE"""),1)</f>
        <v>1</v>
      </c>
      <c r="U323" s="43">
        <f ca="1">IFERROR(__xludf.DUMMYFUNCTION("""COMPUTED_VALUE"""),1)</f>
        <v>1</v>
      </c>
      <c r="V323" s="144">
        <f ca="1">IFERROR(__xludf.DUMMYFUNCTION("""COMPUTED_VALUE"""),0)</f>
        <v>0</v>
      </c>
      <c r="W323" s="145">
        <f ca="1">IFERROR(__xludf.DUMMYFUNCTION("""COMPUTED_VALUE"""),507750.91144225)</f>
        <v>507750.91144225001</v>
      </c>
      <c r="X323" s="11">
        <f ca="1">IFERROR(__xludf.DUMMYFUNCTION("""COMPUTED_VALUE"""),-200102.953082)</f>
        <v>-200102.95308199999</v>
      </c>
      <c r="Y323" s="11">
        <f ca="1">IFERROR(__xludf.DUMMYFUNCTION("""COMPUTED_VALUE"""),200102.953082)</f>
        <v>200102.95308199999</v>
      </c>
      <c r="Z323" s="4">
        <f ca="1">IFERROR(__xludf.DUMMYFUNCTION("""COMPUTED_VALUE"""),0.0155018228845)</f>
        <v>1.5501822884499999E-2</v>
      </c>
    </row>
    <row r="324" spans="1:26" ht="13" x14ac:dyDescent="0.15">
      <c r="A324" s="43" t="str">
        <f ca="1">IFERROR(__xludf.DUMMYFUNCTION("""COMPUTED_VALUE"""),"46225")</f>
        <v>46225</v>
      </c>
      <c r="B324" s="43" t="str">
        <f ca="1">IFERROR(__xludf.DUMMYFUNCTION("""COMPUTED_VALUE"""),"46225")</f>
        <v>46225</v>
      </c>
      <c r="C324" s="146">
        <f ca="1">IFERROR(__xludf.DUMMYFUNCTION("""COMPUTED_VALUE"""),44597000061)</f>
        <v>44597000061</v>
      </c>
      <c r="D324" s="163" t="str">
        <f ca="1">IFERROR(__xludf.DUMMYFUNCTION("""COMPUTED_VALUE"""),"Cash")</f>
        <v>Cash</v>
      </c>
      <c r="E324" s="147">
        <f ca="1">IFERROR(__xludf.DUMMYFUNCTION("""COMPUTED_VALUE"""),44597)</f>
        <v>44597</v>
      </c>
      <c r="F324" s="43" t="str">
        <f ca="1">IFERROR(__xludf.DUMMYFUNCTION("""COMPUTED_VALUE"""),"Cash")</f>
        <v>Cash</v>
      </c>
      <c r="G324" s="43" t="str">
        <f ca="1">IFERROR(__xludf.DUMMYFUNCTION("""COMPUTED_VALUE"""),"HKD")</f>
        <v>HKD</v>
      </c>
      <c r="H324" s="154" t="str">
        <f ca="1">IFERROR(__xludf.DUMMYFUNCTION("""COMPUTED_VALUE"""),"")</f>
        <v/>
      </c>
      <c r="I324" s="148">
        <f ca="1">IFERROR(__xludf.DUMMYFUNCTION("""COMPUTED_VALUE"""),1)</f>
        <v>1</v>
      </c>
      <c r="J324" s="149">
        <f ca="1">IFERROR(__xludf.DUMMYFUNCTION("""COMPUTED_VALUE"""),1)</f>
        <v>1</v>
      </c>
      <c r="K324" s="43"/>
      <c r="L324" s="149">
        <f ca="1">IFERROR(__xludf.DUMMYFUNCTION("""COMPUTED_VALUE"""),1)</f>
        <v>1</v>
      </c>
      <c r="M324" s="155" t="str">
        <f ca="1">IFERROR(__xludf.DUMMYFUNCTION("""COMPUTED_VALUE"""),"")</f>
        <v/>
      </c>
      <c r="N324" s="43"/>
      <c r="O324" s="43"/>
      <c r="P324" s="150">
        <f ca="1">IFERROR(__xludf.DUMMYFUNCTION("""COMPUTED_VALUE"""),500000)</f>
        <v>500000</v>
      </c>
      <c r="Q324" s="151"/>
      <c r="R324" s="152">
        <f ca="1">IFERROR(__xludf.DUMMYFUNCTION("""COMPUTED_VALUE"""),1)</f>
        <v>1</v>
      </c>
      <c r="S324" s="150" t="str">
        <f ca="1">IFERROR(__xludf.DUMMYFUNCTION("""COMPUTED_VALUE"""),"")</f>
        <v/>
      </c>
      <c r="T324" s="108">
        <f ca="1">IFERROR(__xludf.DUMMYFUNCTION("""COMPUTED_VALUE"""),1)</f>
        <v>1</v>
      </c>
      <c r="U324" s="108">
        <f ca="1">IFERROR(__xludf.DUMMYFUNCTION("""COMPUTED_VALUE"""),1)</f>
        <v>1</v>
      </c>
      <c r="V324" s="153">
        <f ca="1">IFERROR(__xludf.DUMMYFUNCTION("""COMPUTED_VALUE"""),500000)</f>
        <v>500000</v>
      </c>
      <c r="W324" s="145">
        <f ca="1">IFERROR(__xludf.DUMMYFUNCTION("""COMPUTED_VALUE"""),500000)</f>
        <v>500000</v>
      </c>
      <c r="X324" s="11">
        <f ca="1">IFERROR(__xludf.DUMMYFUNCTION("""COMPUTED_VALUE"""),500000)</f>
        <v>500000</v>
      </c>
      <c r="Y324" s="11">
        <f ca="1">IFERROR(__xludf.DUMMYFUNCTION("""COMPUTED_VALUE"""),0)</f>
        <v>0</v>
      </c>
      <c r="Z324" s="4">
        <f ca="1">IFERROR(__xludf.DUMMYFUNCTION("""COMPUTED_VALUE"""),0)</f>
        <v>0</v>
      </c>
    </row>
    <row r="325" spans="1:26" ht="13" x14ac:dyDescent="0.15">
      <c r="A325" s="43" t="str">
        <f ca="1">IFERROR(__xludf.DUMMYFUNCTION("""COMPUTED_VALUE"""),"")</f>
        <v/>
      </c>
      <c r="B325" s="43" t="str">
        <f ca="1">IFERROR(__xludf.DUMMYFUNCTION("""COMPUTED_VALUE"""),"46276")</f>
        <v>46276</v>
      </c>
      <c r="C325" s="146">
        <f ca="1">IFERROR(__xludf.DUMMYFUNCTION("""COMPUTED_VALUE"""),44597000019)</f>
        <v>44597000019</v>
      </c>
      <c r="D325" s="43" t="str">
        <f ca="1">IFERROR(__xludf.DUMMYFUNCTION("""COMPUTED_VALUE"""),"Cash")</f>
        <v>Cash</v>
      </c>
      <c r="E325" s="147">
        <f ca="1">IFERROR(__xludf.DUMMYFUNCTION("""COMPUTED_VALUE"""),44597)</f>
        <v>44597</v>
      </c>
      <c r="F325" s="43" t="str">
        <f ca="1">IFERROR(__xludf.DUMMYFUNCTION("""COMPUTED_VALUE"""),"Cash")</f>
        <v>Cash</v>
      </c>
      <c r="G325" s="43" t="str">
        <f ca="1">IFERROR(__xludf.DUMMYFUNCTION("""COMPUTED_VALUE"""),"HKD")</f>
        <v>HKD</v>
      </c>
      <c r="H325" s="154" t="str">
        <f ca="1">IFERROR(__xludf.DUMMYFUNCTION("""COMPUTED_VALUE"""),"")</f>
        <v/>
      </c>
      <c r="I325" s="148">
        <f ca="1">IFERROR(__xludf.DUMMYFUNCTION("""COMPUTED_VALUE"""),1)</f>
        <v>1</v>
      </c>
      <c r="J325" s="149">
        <f ca="1">IFERROR(__xludf.DUMMYFUNCTION("""COMPUTED_VALUE"""),1)</f>
        <v>1</v>
      </c>
      <c r="K325" s="43"/>
      <c r="L325" s="149">
        <f ca="1">IFERROR(__xludf.DUMMYFUNCTION("""COMPUTED_VALUE"""),1)</f>
        <v>1</v>
      </c>
      <c r="M325" s="155" t="str">
        <f ca="1">IFERROR(__xludf.DUMMYFUNCTION("""COMPUTED_VALUE"""),"")</f>
        <v/>
      </c>
      <c r="N325" s="43"/>
      <c r="O325" s="43"/>
      <c r="P325" s="157">
        <f ca="1">IFERROR(__xludf.DUMMYFUNCTION("""COMPUTED_VALUE"""),500000)</f>
        <v>500000</v>
      </c>
      <c r="Q325" s="151"/>
      <c r="R325" s="152">
        <f ca="1">IFERROR(__xludf.DUMMYFUNCTION("""COMPUTED_VALUE"""),1)</f>
        <v>1</v>
      </c>
      <c r="S325" s="150" t="str">
        <f ca="1">IFERROR(__xludf.DUMMYFUNCTION("""COMPUTED_VALUE"""),"")</f>
        <v/>
      </c>
      <c r="T325" s="108">
        <f ca="1">IFERROR(__xludf.DUMMYFUNCTION("""COMPUTED_VALUE"""),1)</f>
        <v>1</v>
      </c>
      <c r="U325" s="43">
        <f ca="1">IFERROR(__xludf.DUMMYFUNCTION("""COMPUTED_VALUE"""),1)</f>
        <v>1</v>
      </c>
      <c r="V325" s="144">
        <f ca="1">IFERROR(__xludf.DUMMYFUNCTION("""COMPUTED_VALUE"""),500000)</f>
        <v>500000</v>
      </c>
      <c r="W325" s="145" t="str">
        <f ca="1">IFERROR(__xludf.DUMMYFUNCTION("""COMPUTED_VALUE"""),"")</f>
        <v/>
      </c>
      <c r="X325" s="11" t="str">
        <f ca="1">IFERROR(__xludf.DUMMYFUNCTION("""COMPUTED_VALUE"""),"")</f>
        <v/>
      </c>
      <c r="Y325" s="11" t="str">
        <f ca="1">IFERROR(__xludf.DUMMYFUNCTION("""COMPUTED_VALUE"""),"")</f>
        <v/>
      </c>
      <c r="Z325" s="4" t="str">
        <f ca="1">IFERROR(__xludf.DUMMYFUNCTION("""COMPUTED_VALUE"""),"")</f>
        <v/>
      </c>
    </row>
    <row r="326" spans="1:26" ht="13" x14ac:dyDescent="0.15">
      <c r="A326" s="43" t="str">
        <f ca="1">IFERROR(__xludf.DUMMYFUNCTION("""COMPUTED_VALUE"""),"")</f>
        <v/>
      </c>
      <c r="B326" s="43" t="str">
        <f ca="1">IFERROR(__xludf.DUMMYFUNCTION("""COMPUTED_VALUE"""),"46276")</f>
        <v>46276</v>
      </c>
      <c r="C326" s="146">
        <f ca="1">IFERROR(__xludf.DUMMYFUNCTION("""COMPUTED_VALUE"""),44607000198)</f>
        <v>44607000198</v>
      </c>
      <c r="D326" s="43" t="str">
        <f ca="1">IFERROR(__xludf.DUMMYFUNCTION("""COMPUTED_VALUE"""),"BAC")</f>
        <v>BAC</v>
      </c>
      <c r="E326" s="147">
        <f ca="1">IFERROR(__xludf.DUMMYFUNCTION("""COMPUTED_VALUE"""),44607)</f>
        <v>44607</v>
      </c>
      <c r="F326" s="43" t="str">
        <f ca="1">IFERROR(__xludf.DUMMYFUNCTION("""COMPUTED_VALUE"""),"Stock")</f>
        <v>Stock</v>
      </c>
      <c r="G326" s="43" t="str">
        <f ca="1">IFERROR(__xludf.DUMMYFUNCTION("""COMPUTED_VALUE"""),"USD")</f>
        <v>USD</v>
      </c>
      <c r="H326" s="154">
        <f ca="1">IFERROR(__xludf.DUMMYFUNCTION("""COMPUTED_VALUE"""),400)</f>
        <v>400</v>
      </c>
      <c r="I326" s="148">
        <f ca="1">IFERROR(__xludf.DUMMYFUNCTION("""COMPUTED_VALUE"""),7.801355)</f>
        <v>7.801355</v>
      </c>
      <c r="J326" s="149">
        <f ca="1">IFERROR(__xludf.DUMMYFUNCTION("""COMPUTED_VALUE"""),47.79)</f>
        <v>47.79</v>
      </c>
      <c r="K326" s="43"/>
      <c r="L326" s="149">
        <f ca="1">IFERROR(__xludf.DUMMYFUNCTION("""COMPUTED_VALUE"""),44.18)</f>
        <v>44.18</v>
      </c>
      <c r="M326" s="155" t="str">
        <f ca="1">IFERROR(__xludf.DUMMYFUNCTION("""COMPUTED_VALUE"""),"Equity Key Stats")</f>
        <v>Equity Key Stats</v>
      </c>
      <c r="N326" s="43"/>
      <c r="O326" s="43"/>
      <c r="P326" s="150">
        <f ca="1">IFERROR(__xludf.DUMMYFUNCTION("""COMPUTED_VALUE"""),-149130.70218)</f>
        <v>-149130.70217999999</v>
      </c>
      <c r="Q326" s="151"/>
      <c r="R326" s="152">
        <f ca="1">IFERROR(__xludf.DUMMYFUNCTION("""COMPUTED_VALUE"""),43.09)</f>
        <v>43.09</v>
      </c>
      <c r="S326" s="150">
        <f ca="1">IFERROR(__xludf.DUMMYFUNCTION("""COMPUTED_VALUE"""),134464.15478)</f>
        <v>134464.15478000001</v>
      </c>
      <c r="T326" s="108">
        <f ca="1">IFERROR(__xludf.DUMMYFUNCTION("""COMPUTED_VALUE"""),1)</f>
        <v>1</v>
      </c>
      <c r="U326" s="43">
        <f ca="1">IFERROR(__xludf.DUMMYFUNCTION("""COMPUTED_VALUE"""),1)</f>
        <v>1</v>
      </c>
      <c r="V326" s="144">
        <f ca="1">IFERROR(__xludf.DUMMYFUNCTION("""COMPUTED_VALUE"""),-14666.5473999999)</f>
        <v>-14666.547399999899</v>
      </c>
      <c r="W326" s="145" t="str">
        <f ca="1">IFERROR(__xludf.DUMMYFUNCTION("""COMPUTED_VALUE"""),"")</f>
        <v/>
      </c>
      <c r="X326" s="11" t="str">
        <f ca="1">IFERROR(__xludf.DUMMYFUNCTION("""COMPUTED_VALUE"""),"")</f>
        <v/>
      </c>
      <c r="Y326" s="11" t="str">
        <f ca="1">IFERROR(__xludf.DUMMYFUNCTION("""COMPUTED_VALUE"""),"")</f>
        <v/>
      </c>
      <c r="Z326" s="4" t="str">
        <f ca="1">IFERROR(__xludf.DUMMYFUNCTION("""COMPUTED_VALUE"""),"")</f>
        <v/>
      </c>
    </row>
    <row r="327" spans="1:26" ht="13" x14ac:dyDescent="0.15">
      <c r="A327" s="43" t="str">
        <f ca="1">IFERROR(__xludf.DUMMYFUNCTION("""COMPUTED_VALUE"""),"")</f>
        <v/>
      </c>
      <c r="B327" s="43" t="str">
        <f ca="1">IFERROR(__xludf.DUMMYFUNCTION("""COMPUTED_VALUE"""),"46276")</f>
        <v>46276</v>
      </c>
      <c r="C327" s="146">
        <f ca="1">IFERROR(__xludf.DUMMYFUNCTION("""COMPUTED_VALUE"""),44607000199)</f>
        <v>44607000199</v>
      </c>
      <c r="D327" s="43" t="str">
        <f ca="1">IFERROR(__xludf.DUMMYFUNCTION("""COMPUTED_VALUE"""),"BRK-B")</f>
        <v>BRK-B</v>
      </c>
      <c r="E327" s="147">
        <f ca="1">IFERROR(__xludf.DUMMYFUNCTION("""COMPUTED_VALUE"""),44607)</f>
        <v>44607</v>
      </c>
      <c r="F327" s="43" t="str">
        <f ca="1">IFERROR(__xludf.DUMMYFUNCTION("""COMPUTED_VALUE"""),"Stock")</f>
        <v>Stock</v>
      </c>
      <c r="G327" s="43" t="str">
        <f ca="1">IFERROR(__xludf.DUMMYFUNCTION("""COMPUTED_VALUE"""),"USD")</f>
        <v>USD</v>
      </c>
      <c r="H327" s="154">
        <f ca="1">IFERROR(__xludf.DUMMYFUNCTION("""COMPUTED_VALUE"""),65)</f>
        <v>65</v>
      </c>
      <c r="I327" s="148">
        <f ca="1">IFERROR(__xludf.DUMMYFUNCTION("""COMPUTED_VALUE"""),7.801355)</f>
        <v>7.801355</v>
      </c>
      <c r="J327" s="149">
        <f ca="1">IFERROR(__xludf.DUMMYFUNCTION("""COMPUTED_VALUE"""),316.2)</f>
        <v>316.2</v>
      </c>
      <c r="K327" s="43"/>
      <c r="L327" s="149">
        <f ca="1">IFERROR(__xludf.DUMMYFUNCTION("""COMPUTED_VALUE"""),349.93)</f>
        <v>349.93</v>
      </c>
      <c r="M327" s="155" t="str">
        <f ca="1">IFERROR(__xludf.DUMMYFUNCTION("""COMPUTED_VALUE"""),"Equity Key Stats")</f>
        <v>Equity Key Stats</v>
      </c>
      <c r="N327" s="43"/>
      <c r="O327" s="43"/>
      <c r="P327" s="150">
        <f ca="1">IFERROR(__xludf.DUMMYFUNCTION("""COMPUTED_VALUE"""),-160341.249315)</f>
        <v>-160341.24931499999</v>
      </c>
      <c r="Q327" s="151"/>
      <c r="R327" s="152">
        <f ca="1">IFERROR(__xludf.DUMMYFUNCTION("""COMPUTED_VALUE"""),348.16)</f>
        <v>348.16</v>
      </c>
      <c r="S327" s="150">
        <f ca="1">IFERROR(__xludf.DUMMYFUNCTION("""COMPUTED_VALUE"""),176547.784192)</f>
        <v>176547.78419199999</v>
      </c>
      <c r="T327" s="108">
        <f ca="1">IFERROR(__xludf.DUMMYFUNCTION("""COMPUTED_VALUE"""),2)</f>
        <v>2</v>
      </c>
      <c r="U327" s="43" t="str">
        <f ca="1">IFERROR(__xludf.DUMMYFUNCTION("""COMPUTED_VALUE"""),"")</f>
        <v/>
      </c>
      <c r="V327" s="144" t="str">
        <f ca="1">IFERROR(__xludf.DUMMYFUNCTION("""COMPUTED_VALUE"""),"")</f>
        <v/>
      </c>
      <c r="W327" s="145" t="str">
        <f ca="1">IFERROR(__xludf.DUMMYFUNCTION("""COMPUTED_VALUE"""),"")</f>
        <v/>
      </c>
      <c r="X327" s="11" t="str">
        <f ca="1">IFERROR(__xludf.DUMMYFUNCTION("""COMPUTED_VALUE"""),"")</f>
        <v/>
      </c>
      <c r="Y327" s="11" t="str">
        <f ca="1">IFERROR(__xludf.DUMMYFUNCTION("""COMPUTED_VALUE"""),"")</f>
        <v/>
      </c>
      <c r="Z327" s="4" t="str">
        <f ca="1">IFERROR(__xludf.DUMMYFUNCTION("""COMPUTED_VALUE"""),"")</f>
        <v/>
      </c>
    </row>
    <row r="328" spans="1:26" ht="13" x14ac:dyDescent="0.15">
      <c r="A328" s="43" t="str">
        <f ca="1">IFERROR(__xludf.DUMMYFUNCTION("""COMPUTED_VALUE"""),"46276")</f>
        <v>46276</v>
      </c>
      <c r="B328" s="43" t="str">
        <f ca="1">IFERROR(__xludf.DUMMYFUNCTION("""COMPUTED_VALUE"""),"46276")</f>
        <v>46276</v>
      </c>
      <c r="C328" s="146">
        <f ca="1">IFERROR(__xludf.DUMMYFUNCTION("""COMPUTED_VALUE"""),44610000270)</f>
        <v>44610000270</v>
      </c>
      <c r="D328" s="43" t="str">
        <f ca="1">IFERROR(__xludf.DUMMYFUNCTION("""COMPUTED_VALUE"""),"BRK-B")</f>
        <v>BRK-B</v>
      </c>
      <c r="E328" s="147">
        <f ca="1">IFERROR(__xludf.DUMMYFUNCTION("""COMPUTED_VALUE"""),44610)</f>
        <v>44610</v>
      </c>
      <c r="F328" s="43" t="str">
        <f ca="1">IFERROR(__xludf.DUMMYFUNCTION("""COMPUTED_VALUE"""),"Stock")</f>
        <v>Stock</v>
      </c>
      <c r="G328" s="43" t="str">
        <f ca="1">IFERROR(__xludf.DUMMYFUNCTION("""COMPUTED_VALUE"""),"USD")</f>
        <v>USD</v>
      </c>
      <c r="H328" s="154">
        <f ca="1">IFERROR(__xludf.DUMMYFUNCTION("""COMPUTED_VALUE"""),10)</f>
        <v>10</v>
      </c>
      <c r="I328" s="148">
        <f ca="1">IFERROR(__xludf.DUMMYFUNCTION("""COMPUTED_VALUE"""),7.80051)</f>
        <v>7.8005100000000001</v>
      </c>
      <c r="J328" s="149">
        <f ca="1">IFERROR(__xludf.DUMMYFUNCTION("""COMPUTED_VALUE"""),314.8)</f>
        <v>314.8</v>
      </c>
      <c r="K328" s="43"/>
      <c r="L328" s="149">
        <f ca="1">IFERROR(__xludf.DUMMYFUNCTION("""COMPUTED_VALUE"""),349.93)</f>
        <v>349.93</v>
      </c>
      <c r="M328" s="155" t="str">
        <f ca="1">IFERROR(__xludf.DUMMYFUNCTION("""COMPUTED_VALUE"""),"Equity Key Stats")</f>
        <v>Equity Key Stats</v>
      </c>
      <c r="N328" s="43"/>
      <c r="O328" s="43"/>
      <c r="P328" s="157">
        <f ca="1">IFERROR(__xludf.DUMMYFUNCTION("""COMPUTED_VALUE"""),-24556.00548)</f>
        <v>-24556.00548</v>
      </c>
      <c r="Q328" s="151"/>
      <c r="R328" s="152">
        <f ca="1">IFERROR(__xludf.DUMMYFUNCTION("""COMPUTED_VALUE"""),348.16)</f>
        <v>348.16</v>
      </c>
      <c r="S328" s="150">
        <f ca="1">IFERROR(__xludf.DUMMYFUNCTION("""COMPUTED_VALUE"""),27158.255616)</f>
        <v>27158.255615999999</v>
      </c>
      <c r="T328" s="108">
        <f ca="1">IFERROR(__xludf.DUMMYFUNCTION("""COMPUTED_VALUE"""),2)</f>
        <v>2</v>
      </c>
      <c r="U328" s="43">
        <f ca="1">IFERROR(__xludf.DUMMYFUNCTION("""COMPUTED_VALUE"""),1)</f>
        <v>1</v>
      </c>
      <c r="V328" s="144">
        <f ca="1">IFERROR(__xludf.DUMMYFUNCTION("""COMPUTED_VALUE"""),18808.785013)</f>
        <v>18808.785013000001</v>
      </c>
      <c r="W328" s="145">
        <f ca="1">IFERROR(__xludf.DUMMYFUNCTION("""COMPUTED_VALUE"""),504142.237613)</f>
        <v>504142.23761299998</v>
      </c>
      <c r="X328" s="11">
        <f ca="1">IFERROR(__xludf.DUMMYFUNCTION("""COMPUTED_VALUE"""),165972.043025)</f>
        <v>165972.04302499999</v>
      </c>
      <c r="Y328" s="11">
        <f ca="1">IFERROR(__xludf.DUMMYFUNCTION("""COMPUTED_VALUE"""),0)</f>
        <v>0</v>
      </c>
      <c r="Z328" s="4">
        <f ca="1">IFERROR(__xludf.DUMMYFUNCTION("""COMPUTED_VALUE"""),0.00828447522600028)</f>
        <v>8.2844752260002805E-3</v>
      </c>
    </row>
    <row r="329" spans="1:26" ht="13" x14ac:dyDescent="0.15">
      <c r="A329" s="43" t="str">
        <f ca="1">IFERROR(__xludf.DUMMYFUNCTION("""COMPUTED_VALUE"""),"")</f>
        <v/>
      </c>
      <c r="B329" s="43" t="str">
        <f ca="1">IFERROR(__xludf.DUMMYFUNCTION("""COMPUTED_VALUE"""),"46322")</f>
        <v>46322</v>
      </c>
      <c r="C329" s="146">
        <f ca="1">IFERROR(__xludf.DUMMYFUNCTION("""COMPUTED_VALUE"""),44597000106)</f>
        <v>44597000106</v>
      </c>
      <c r="D329" s="43" t="str">
        <f ca="1">IFERROR(__xludf.DUMMYFUNCTION("""COMPUTED_VALUE"""),"Cash")</f>
        <v>Cash</v>
      </c>
      <c r="E329" s="147">
        <f ca="1">IFERROR(__xludf.DUMMYFUNCTION("""COMPUTED_VALUE"""),44597)</f>
        <v>44597</v>
      </c>
      <c r="F329" s="43" t="str">
        <f ca="1">IFERROR(__xludf.DUMMYFUNCTION("""COMPUTED_VALUE"""),"Cash")</f>
        <v>Cash</v>
      </c>
      <c r="G329" s="43" t="str">
        <f ca="1">IFERROR(__xludf.DUMMYFUNCTION("""COMPUTED_VALUE"""),"HKD")</f>
        <v>HKD</v>
      </c>
      <c r="H329" s="154" t="str">
        <f ca="1">IFERROR(__xludf.DUMMYFUNCTION("""COMPUTED_VALUE"""),"")</f>
        <v/>
      </c>
      <c r="I329" s="148">
        <f ca="1">IFERROR(__xludf.DUMMYFUNCTION("""COMPUTED_VALUE"""),1)</f>
        <v>1</v>
      </c>
      <c r="J329" s="149">
        <f ca="1">IFERROR(__xludf.DUMMYFUNCTION("""COMPUTED_VALUE"""),1)</f>
        <v>1</v>
      </c>
      <c r="K329" s="43"/>
      <c r="L329" s="149">
        <f ca="1">IFERROR(__xludf.DUMMYFUNCTION("""COMPUTED_VALUE"""),1)</f>
        <v>1</v>
      </c>
      <c r="M329" s="155" t="str">
        <f ca="1">IFERROR(__xludf.DUMMYFUNCTION("""COMPUTED_VALUE"""),"")</f>
        <v/>
      </c>
      <c r="N329" s="43"/>
      <c r="O329" s="43"/>
      <c r="P329" s="157">
        <f ca="1">IFERROR(__xludf.DUMMYFUNCTION("""COMPUTED_VALUE"""),500000)</f>
        <v>500000</v>
      </c>
      <c r="Q329" s="151"/>
      <c r="R329" s="152">
        <f ca="1">IFERROR(__xludf.DUMMYFUNCTION("""COMPUTED_VALUE"""),1)</f>
        <v>1</v>
      </c>
      <c r="S329" s="150" t="str">
        <f ca="1">IFERROR(__xludf.DUMMYFUNCTION("""COMPUTED_VALUE"""),"")</f>
        <v/>
      </c>
      <c r="T329" s="108">
        <f ca="1">IFERROR(__xludf.DUMMYFUNCTION("""COMPUTED_VALUE"""),1)</f>
        <v>1</v>
      </c>
      <c r="U329" s="43">
        <f ca="1">IFERROR(__xludf.DUMMYFUNCTION("""COMPUTED_VALUE"""),1)</f>
        <v>1</v>
      </c>
      <c r="V329" s="144">
        <f ca="1">IFERROR(__xludf.DUMMYFUNCTION("""COMPUTED_VALUE"""),500000)</f>
        <v>500000</v>
      </c>
      <c r="W329" s="145" t="str">
        <f ca="1">IFERROR(__xludf.DUMMYFUNCTION("""COMPUTED_VALUE"""),"")</f>
        <v/>
      </c>
      <c r="X329" s="11" t="str">
        <f ca="1">IFERROR(__xludf.DUMMYFUNCTION("""COMPUTED_VALUE"""),"")</f>
        <v/>
      </c>
      <c r="Y329" s="11" t="str">
        <f ca="1">IFERROR(__xludf.DUMMYFUNCTION("""COMPUTED_VALUE"""),"")</f>
        <v/>
      </c>
      <c r="Z329" s="4" t="str">
        <f ca="1">IFERROR(__xludf.DUMMYFUNCTION("""COMPUTED_VALUE"""),"")</f>
        <v/>
      </c>
    </row>
    <row r="330" spans="1:26" ht="13" x14ac:dyDescent="0.15">
      <c r="A330" s="43" t="str">
        <f ca="1">IFERROR(__xludf.DUMMYFUNCTION("""COMPUTED_VALUE"""),"")</f>
        <v/>
      </c>
      <c r="B330" s="43" t="str">
        <f ca="1">IFERROR(__xludf.DUMMYFUNCTION("""COMPUTED_VALUE"""),"46322")</f>
        <v>46322</v>
      </c>
      <c r="C330" s="146">
        <f ca="1">IFERROR(__xludf.DUMMYFUNCTION("""COMPUTED_VALUE"""),44616000313)</f>
        <v>44616000313</v>
      </c>
      <c r="D330" s="161" t="str">
        <f ca="1">IFERROR(__xludf.DUMMYFUNCTION("""COMPUTED_VALUE"""),"3047.HK")</f>
        <v>3047.HK</v>
      </c>
      <c r="E330" s="147">
        <f ca="1">IFERROR(__xludf.DUMMYFUNCTION("""COMPUTED_VALUE"""),44616)</f>
        <v>44616</v>
      </c>
      <c r="F330" s="43" t="str">
        <f ca="1">IFERROR(__xludf.DUMMYFUNCTION("""COMPUTED_VALUE"""),"Stock")</f>
        <v>Stock</v>
      </c>
      <c r="G330" s="43" t="str">
        <f ca="1">IFERROR(__xludf.DUMMYFUNCTION("""COMPUTED_VALUE"""),"HKD")</f>
        <v>HKD</v>
      </c>
      <c r="H330" s="154">
        <f ca="1">IFERROR(__xludf.DUMMYFUNCTION("""COMPUTED_VALUE"""),5)</f>
        <v>5</v>
      </c>
      <c r="I330" s="148">
        <f ca="1">IFERROR(__xludf.DUMMYFUNCTION("""COMPUTED_VALUE"""),1)</f>
        <v>1</v>
      </c>
      <c r="J330" s="149">
        <f ca="1">IFERROR(__xludf.DUMMYFUNCTION("""COMPUTED_VALUE"""),13)</f>
        <v>13</v>
      </c>
      <c r="K330" s="43"/>
      <c r="L330" s="149">
        <f ca="1">IFERROR(__xludf.DUMMYFUNCTION("""COMPUTED_VALUE"""),14.71)</f>
        <v>14.71</v>
      </c>
      <c r="M330" s="155" t="str">
        <f ca="1">IFERROR(__xludf.DUMMYFUNCTION("""COMPUTED_VALUE"""),"Equity Key Stats")</f>
        <v>Equity Key Stats</v>
      </c>
      <c r="N330" s="43"/>
      <c r="O330" s="43"/>
      <c r="P330" s="157">
        <f ca="1">IFERROR(__xludf.DUMMYFUNCTION("""COMPUTED_VALUE"""),-65)</f>
        <v>-65</v>
      </c>
      <c r="Q330" s="151"/>
      <c r="R330" s="152">
        <f ca="1">IFERROR(__xludf.DUMMYFUNCTION("""COMPUTED_VALUE"""),14.9)</f>
        <v>14.9</v>
      </c>
      <c r="S330" s="150">
        <f ca="1">IFERROR(__xludf.DUMMYFUNCTION("""COMPUTED_VALUE"""),74.5)</f>
        <v>74.5</v>
      </c>
      <c r="T330" s="108">
        <f ca="1">IFERROR(__xludf.DUMMYFUNCTION("""COMPUTED_VALUE"""),3)</f>
        <v>3</v>
      </c>
      <c r="U330" s="43" t="str">
        <f ca="1">IFERROR(__xludf.DUMMYFUNCTION("""COMPUTED_VALUE"""),"")</f>
        <v/>
      </c>
      <c r="V330" s="144" t="str">
        <f ca="1">IFERROR(__xludf.DUMMYFUNCTION("""COMPUTED_VALUE"""),"")</f>
        <v/>
      </c>
      <c r="W330" s="145" t="str">
        <f ca="1">IFERROR(__xludf.DUMMYFUNCTION("""COMPUTED_VALUE"""),"")</f>
        <v/>
      </c>
      <c r="X330" s="11" t="str">
        <f ca="1">IFERROR(__xludf.DUMMYFUNCTION("""COMPUTED_VALUE"""),"")</f>
        <v/>
      </c>
      <c r="Y330" s="11" t="str">
        <f ca="1">IFERROR(__xludf.DUMMYFUNCTION("""COMPUTED_VALUE"""),"")</f>
        <v/>
      </c>
      <c r="Z330" s="4" t="str">
        <f ca="1">IFERROR(__xludf.DUMMYFUNCTION("""COMPUTED_VALUE"""),"")</f>
        <v/>
      </c>
    </row>
    <row r="331" spans="1:26" ht="13" x14ac:dyDescent="0.15">
      <c r="A331" s="43" t="str">
        <f ca="1">IFERROR(__xludf.DUMMYFUNCTION("""COMPUTED_VALUE"""),"")</f>
        <v/>
      </c>
      <c r="B331" s="43" t="str">
        <f ca="1">IFERROR(__xludf.DUMMYFUNCTION("""COMPUTED_VALUE"""),"46322")</f>
        <v>46322</v>
      </c>
      <c r="C331" s="146">
        <f ca="1">IFERROR(__xludf.DUMMYFUNCTION("""COMPUTED_VALUE"""),44616000314)</f>
        <v>44616000314</v>
      </c>
      <c r="D331" s="161" t="str">
        <f ca="1">IFERROR(__xludf.DUMMYFUNCTION("""COMPUTED_VALUE"""),"9988.HK")</f>
        <v>9988.HK</v>
      </c>
      <c r="E331" s="147">
        <f ca="1">IFERROR(__xludf.DUMMYFUNCTION("""COMPUTED_VALUE"""),44616)</f>
        <v>44616</v>
      </c>
      <c r="F331" s="43" t="str">
        <f ca="1">IFERROR(__xludf.DUMMYFUNCTION("""COMPUTED_VALUE"""),"Stock")</f>
        <v>Stock</v>
      </c>
      <c r="G331" s="43" t="str">
        <f ca="1">IFERROR(__xludf.DUMMYFUNCTION("""COMPUTED_VALUE"""),"HKD")</f>
        <v>HKD</v>
      </c>
      <c r="H331" s="156">
        <f ca="1">IFERROR(__xludf.DUMMYFUNCTION("""COMPUTED_VALUE"""),2)</f>
        <v>2</v>
      </c>
      <c r="I331" s="148">
        <f ca="1">IFERROR(__xludf.DUMMYFUNCTION("""COMPUTED_VALUE"""),1)</f>
        <v>1</v>
      </c>
      <c r="J331" s="149">
        <f ca="1">IFERROR(__xludf.DUMMYFUNCTION("""COMPUTED_VALUE"""),104.9)</f>
        <v>104.9</v>
      </c>
      <c r="K331" s="43"/>
      <c r="L331" s="149">
        <f ca="1">IFERROR(__xludf.DUMMYFUNCTION("""COMPUTED_VALUE"""),110.2)</f>
        <v>110.2</v>
      </c>
      <c r="M331" s="155" t="str">
        <f ca="1">IFERROR(__xludf.DUMMYFUNCTION("""COMPUTED_VALUE"""),"Equity Key Stats")</f>
        <v>Equity Key Stats</v>
      </c>
      <c r="N331" s="43"/>
      <c r="O331" s="43"/>
      <c r="P331" s="150">
        <f ca="1">IFERROR(__xludf.DUMMYFUNCTION("""COMPUTED_VALUE"""),-209.8)</f>
        <v>-209.8</v>
      </c>
      <c r="Q331" s="151"/>
      <c r="R331" s="152">
        <f ca="1">IFERROR(__xludf.DUMMYFUNCTION("""COMPUTED_VALUE"""),117.6)</f>
        <v>117.6</v>
      </c>
      <c r="S331" s="157">
        <f ca="1">IFERROR(__xludf.DUMMYFUNCTION("""COMPUTED_VALUE"""),235.2)</f>
        <v>235.2</v>
      </c>
      <c r="T331" s="108">
        <f ca="1">IFERROR(__xludf.DUMMYFUNCTION("""COMPUTED_VALUE"""),4)</f>
        <v>4</v>
      </c>
      <c r="U331" s="108" t="str">
        <f ca="1">IFERROR(__xludf.DUMMYFUNCTION("""COMPUTED_VALUE"""),"")</f>
        <v/>
      </c>
      <c r="V331" s="158" t="str">
        <f ca="1">IFERROR(__xludf.DUMMYFUNCTION("""COMPUTED_VALUE"""),"")</f>
        <v/>
      </c>
      <c r="W331" s="145" t="str">
        <f ca="1">IFERROR(__xludf.DUMMYFUNCTION("""COMPUTED_VALUE"""),"")</f>
        <v/>
      </c>
      <c r="X331" s="11" t="str">
        <f ca="1">IFERROR(__xludf.DUMMYFUNCTION("""COMPUTED_VALUE"""),"")</f>
        <v/>
      </c>
      <c r="Y331" s="11" t="str">
        <f ca="1">IFERROR(__xludf.DUMMYFUNCTION("""COMPUTED_VALUE"""),"")</f>
        <v/>
      </c>
      <c r="Z331" s="4" t="str">
        <f ca="1">IFERROR(__xludf.DUMMYFUNCTION("""COMPUTED_VALUE"""),"")</f>
        <v/>
      </c>
    </row>
    <row r="332" spans="1:26" ht="13" x14ac:dyDescent="0.15">
      <c r="A332" s="43" t="str">
        <f ca="1">IFERROR(__xludf.DUMMYFUNCTION("""COMPUTED_VALUE"""),"")</f>
        <v/>
      </c>
      <c r="B332" s="43" t="str">
        <f ca="1">IFERROR(__xludf.DUMMYFUNCTION("""COMPUTED_VALUE"""),"46322")</f>
        <v>46322</v>
      </c>
      <c r="C332" s="146">
        <f ca="1">IFERROR(__xludf.DUMMYFUNCTION("""COMPUTED_VALUE"""),44616000315)</f>
        <v>44616000315</v>
      </c>
      <c r="D332" s="161" t="str">
        <f ca="1">IFERROR(__xludf.DUMMYFUNCTION("""COMPUTED_VALUE"""),"0941.HK")</f>
        <v>0941.HK</v>
      </c>
      <c r="E332" s="147">
        <f ca="1">IFERROR(__xludf.DUMMYFUNCTION("""COMPUTED_VALUE"""),44616)</f>
        <v>44616</v>
      </c>
      <c r="F332" s="43" t="str">
        <f ca="1">IFERROR(__xludf.DUMMYFUNCTION("""COMPUTED_VALUE"""),"Stock")</f>
        <v>Stock</v>
      </c>
      <c r="G332" s="43" t="str">
        <f ca="1">IFERROR(__xludf.DUMMYFUNCTION("""COMPUTED_VALUE"""),"HKD")</f>
        <v>HKD</v>
      </c>
      <c r="H332" s="156">
        <f ca="1">IFERROR(__xludf.DUMMYFUNCTION("""COMPUTED_VALUE"""),2)</f>
        <v>2</v>
      </c>
      <c r="I332" s="148">
        <f ca="1">IFERROR(__xludf.DUMMYFUNCTION("""COMPUTED_VALUE"""),1)</f>
        <v>1</v>
      </c>
      <c r="J332" s="149">
        <f ca="1">IFERROR(__xludf.DUMMYFUNCTION("""COMPUTED_VALUE"""),54)</f>
        <v>54</v>
      </c>
      <c r="K332" s="43"/>
      <c r="L332" s="149">
        <f ca="1">IFERROR(__xludf.DUMMYFUNCTION("""COMPUTED_VALUE"""),54.1)</f>
        <v>54.1</v>
      </c>
      <c r="M332" s="155" t="str">
        <f ca="1">IFERROR(__xludf.DUMMYFUNCTION("""COMPUTED_VALUE"""),"Equity Key Stats")</f>
        <v>Equity Key Stats</v>
      </c>
      <c r="N332" s="43"/>
      <c r="O332" s="43"/>
      <c r="P332" s="150">
        <f ca="1">IFERROR(__xludf.DUMMYFUNCTION("""COMPUTED_VALUE"""),-108)</f>
        <v>-108</v>
      </c>
      <c r="Q332" s="151"/>
      <c r="R332" s="152">
        <f ca="1">IFERROR(__xludf.DUMMYFUNCTION("""COMPUTED_VALUE"""),54.35)</f>
        <v>54.35</v>
      </c>
      <c r="S332" s="157">
        <f ca="1">IFERROR(__xludf.DUMMYFUNCTION("""COMPUTED_VALUE"""),108.7)</f>
        <v>108.7</v>
      </c>
      <c r="T332" s="108">
        <f ca="1">IFERROR(__xludf.DUMMYFUNCTION("""COMPUTED_VALUE"""),1)</f>
        <v>1</v>
      </c>
      <c r="U332" s="108">
        <f ca="1">IFERROR(__xludf.DUMMYFUNCTION("""COMPUTED_VALUE"""),1)</f>
        <v>1</v>
      </c>
      <c r="V332" s="158">
        <f ca="1">IFERROR(__xludf.DUMMYFUNCTION("""COMPUTED_VALUE"""),0.700000000000002)</f>
        <v>0.70000000000000195</v>
      </c>
      <c r="W332" s="145" t="str">
        <f ca="1">IFERROR(__xludf.DUMMYFUNCTION("""COMPUTED_VALUE"""),"")</f>
        <v/>
      </c>
      <c r="X332" s="11" t="str">
        <f ca="1">IFERROR(__xludf.DUMMYFUNCTION("""COMPUTED_VALUE"""),"")</f>
        <v/>
      </c>
      <c r="Y332" s="11" t="str">
        <f ca="1">IFERROR(__xludf.DUMMYFUNCTION("""COMPUTED_VALUE"""),"")</f>
        <v/>
      </c>
      <c r="Z332" s="4" t="str">
        <f ca="1">IFERROR(__xludf.DUMMYFUNCTION("""COMPUTED_VALUE"""),"")</f>
        <v/>
      </c>
    </row>
    <row r="333" spans="1:26" ht="13" x14ac:dyDescent="0.15">
      <c r="A333" s="43" t="str">
        <f ca="1">IFERROR(__xludf.DUMMYFUNCTION("""COMPUTED_VALUE"""),"")</f>
        <v/>
      </c>
      <c r="B333" s="43" t="str">
        <f ca="1">IFERROR(__xludf.DUMMYFUNCTION("""COMPUTED_VALUE"""),"46322")</f>
        <v>46322</v>
      </c>
      <c r="C333" s="146">
        <f ca="1">IFERROR(__xludf.DUMMYFUNCTION("""COMPUTED_VALUE"""),44617000338)</f>
        <v>44617000338</v>
      </c>
      <c r="D333" s="43" t="str">
        <f ca="1">IFERROR(__xludf.DUMMYFUNCTION("""COMPUTED_VALUE"""),"SARK")</f>
        <v>SARK</v>
      </c>
      <c r="E333" s="147">
        <f ca="1">IFERROR(__xludf.DUMMYFUNCTION("""COMPUTED_VALUE"""),44617)</f>
        <v>44617</v>
      </c>
      <c r="F333" s="43" t="str">
        <f ca="1">IFERROR(__xludf.DUMMYFUNCTION("""COMPUTED_VALUE"""),"Stock")</f>
        <v>Stock</v>
      </c>
      <c r="G333" s="43" t="str">
        <f ca="1">IFERROR(__xludf.DUMMYFUNCTION("""COMPUTED_VALUE"""),"USD")</f>
        <v>USD</v>
      </c>
      <c r="H333" s="156">
        <f ca="1">IFERROR(__xludf.DUMMYFUNCTION("""COMPUTED_VALUE"""),200)</f>
        <v>200</v>
      </c>
      <c r="I333" s="148">
        <f ca="1">IFERROR(__xludf.DUMMYFUNCTION("""COMPUTED_VALUE"""),7.808395)</f>
        <v>7.808395</v>
      </c>
      <c r="J333" s="149">
        <f ca="1">IFERROR(__xludf.DUMMYFUNCTION("""COMPUTED_VALUE"""),48)</f>
        <v>48</v>
      </c>
      <c r="K333" s="43"/>
      <c r="L333" s="149">
        <f ca="1">IFERROR(__xludf.DUMMYFUNCTION("""COMPUTED_VALUE"""),46.34)</f>
        <v>46.34</v>
      </c>
      <c r="M333" s="155" t="str">
        <f ca="1">IFERROR(__xludf.DUMMYFUNCTION("""COMPUTED_VALUE"""),"Equity Key Stats")</f>
        <v>Equity Key Stats</v>
      </c>
      <c r="N333" s="43"/>
      <c r="O333" s="43"/>
      <c r="P333" s="150">
        <f ca="1">IFERROR(__xludf.DUMMYFUNCTION("""COMPUTED_VALUE"""),-74960.592)</f>
        <v>-74960.592000000004</v>
      </c>
      <c r="Q333" s="151"/>
      <c r="R333" s="152">
        <f ca="1">IFERROR(__xludf.DUMMYFUNCTION("""COMPUTED_VALUE"""),47.17)</f>
        <v>47.17</v>
      </c>
      <c r="S333" s="157">
        <f ca="1">IFERROR(__xludf.DUMMYFUNCTION("""COMPUTED_VALUE"""),73664.39843)</f>
        <v>73664.398430000001</v>
      </c>
      <c r="T333" s="108">
        <f ca="1">IFERROR(__xludf.DUMMYFUNCTION("""COMPUTED_VALUE"""),5)</f>
        <v>5</v>
      </c>
      <c r="U333" s="108" t="str">
        <f ca="1">IFERROR(__xludf.DUMMYFUNCTION("""COMPUTED_VALUE"""),"")</f>
        <v/>
      </c>
      <c r="V333" s="158" t="str">
        <f ca="1">IFERROR(__xludf.DUMMYFUNCTION("""COMPUTED_VALUE"""),"")</f>
        <v/>
      </c>
      <c r="W333" s="145" t="str">
        <f ca="1">IFERROR(__xludf.DUMMYFUNCTION("""COMPUTED_VALUE"""),"")</f>
        <v/>
      </c>
      <c r="X333" s="11" t="str">
        <f ca="1">IFERROR(__xludf.DUMMYFUNCTION("""COMPUTED_VALUE"""),"")</f>
        <v/>
      </c>
      <c r="Y333" s="11" t="str">
        <f ca="1">IFERROR(__xludf.DUMMYFUNCTION("""COMPUTED_VALUE"""),"")</f>
        <v/>
      </c>
      <c r="Z333" s="4" t="str">
        <f ca="1">IFERROR(__xludf.DUMMYFUNCTION("""COMPUTED_VALUE"""),"")</f>
        <v/>
      </c>
    </row>
    <row r="334" spans="1:26" ht="13" x14ac:dyDescent="0.15">
      <c r="A334" s="43" t="str">
        <f ca="1">IFERROR(__xludf.DUMMYFUNCTION("""COMPUTED_VALUE"""),"")</f>
        <v/>
      </c>
      <c r="B334" s="43" t="str">
        <f ca="1">IFERROR(__xludf.DUMMYFUNCTION("""COMPUTED_VALUE"""),"46322")</f>
        <v>46322</v>
      </c>
      <c r="C334" s="146">
        <f ca="1">IFERROR(__xludf.DUMMYFUNCTION("""COMPUTED_VALUE"""),44619000371)</f>
        <v>44619000371</v>
      </c>
      <c r="D334" s="43" t="str">
        <f ca="1">IFERROR(__xludf.DUMMYFUNCTION("""COMPUTED_VALUE"""),"ARKK")</f>
        <v>ARKK</v>
      </c>
      <c r="E334" s="147">
        <f ca="1">IFERROR(__xludf.DUMMYFUNCTION("""COMPUTED_VALUE"""),44619)</f>
        <v>44619</v>
      </c>
      <c r="F334" s="43" t="str">
        <f ca="1">IFERROR(__xludf.DUMMYFUNCTION("""COMPUTED_VALUE"""),"Stock")</f>
        <v>Stock</v>
      </c>
      <c r="G334" s="43" t="str">
        <f ca="1">IFERROR(__xludf.DUMMYFUNCTION("""COMPUTED_VALUE"""),"USD")</f>
        <v>USD</v>
      </c>
      <c r="H334" s="156">
        <f ca="1">IFERROR(__xludf.DUMMYFUNCTION("""COMPUTED_VALUE"""),200)</f>
        <v>200</v>
      </c>
      <c r="I334" s="148">
        <f ca="1">IFERROR(__xludf.DUMMYFUNCTION("""COMPUTED_VALUE"""),7.8082)</f>
        <v>7.8082000000000003</v>
      </c>
      <c r="J334" s="149">
        <f ca="1">IFERROR(__xludf.DUMMYFUNCTION("""COMPUTED_VALUE"""),70.47)</f>
        <v>70.47</v>
      </c>
      <c r="K334" s="43"/>
      <c r="L334" s="149">
        <f ca="1">IFERROR(__xludf.DUMMYFUNCTION("""COMPUTED_VALUE"""),66.97)</f>
        <v>66.97</v>
      </c>
      <c r="M334" s="155" t="str">
        <f ca="1">IFERROR(__xludf.DUMMYFUNCTION("""COMPUTED_VALUE"""),"Equity Key Stats")</f>
        <v>Equity Key Stats</v>
      </c>
      <c r="N334" s="43"/>
      <c r="O334" s="43"/>
      <c r="P334" s="150">
        <f ca="1">IFERROR(__xludf.DUMMYFUNCTION("""COMPUTED_VALUE"""),-110048.7708)</f>
        <v>-110048.7708</v>
      </c>
      <c r="Q334" s="151"/>
      <c r="R334" s="152">
        <f ca="1">IFERROR(__xludf.DUMMYFUNCTION("""COMPUTED_VALUE"""),65.67)</f>
        <v>65.67</v>
      </c>
      <c r="S334" s="157">
        <f ca="1">IFERROR(__xludf.DUMMYFUNCTION("""COMPUTED_VALUE"""),102552.8988)</f>
        <v>102552.8988</v>
      </c>
      <c r="T334" s="108">
        <f ca="1">IFERROR(__xludf.DUMMYFUNCTION("""COMPUTED_VALUE"""),2)</f>
        <v>2</v>
      </c>
      <c r="U334" s="108" t="str">
        <f ca="1">IFERROR(__xludf.DUMMYFUNCTION("""COMPUTED_VALUE"""),"")</f>
        <v/>
      </c>
      <c r="V334" s="158" t="str">
        <f ca="1">IFERROR(__xludf.DUMMYFUNCTION("""COMPUTED_VALUE"""),"")</f>
        <v/>
      </c>
      <c r="W334" s="145" t="str">
        <f ca="1">IFERROR(__xludf.DUMMYFUNCTION("""COMPUTED_VALUE"""),"")</f>
        <v/>
      </c>
      <c r="X334" s="11" t="str">
        <f ca="1">IFERROR(__xludf.DUMMYFUNCTION("""COMPUTED_VALUE"""),"")</f>
        <v/>
      </c>
      <c r="Y334" s="11" t="str">
        <f ca="1">IFERROR(__xludf.DUMMYFUNCTION("""COMPUTED_VALUE"""),"")</f>
        <v/>
      </c>
      <c r="Z334" s="4" t="str">
        <f ca="1">IFERROR(__xludf.DUMMYFUNCTION("""COMPUTED_VALUE"""),"")</f>
        <v/>
      </c>
    </row>
    <row r="335" spans="1:26" ht="13" x14ac:dyDescent="0.15">
      <c r="A335" s="43" t="str">
        <f ca="1">IFERROR(__xludf.DUMMYFUNCTION("""COMPUTED_VALUE"""),"")</f>
        <v/>
      </c>
      <c r="B335" s="43" t="str">
        <f ca="1">IFERROR(__xludf.DUMMYFUNCTION("""COMPUTED_VALUE"""),"46322")</f>
        <v>46322</v>
      </c>
      <c r="C335" s="146">
        <f ca="1">IFERROR(__xludf.DUMMYFUNCTION("""COMPUTED_VALUE"""),44622000406)</f>
        <v>44622000406</v>
      </c>
      <c r="D335" s="43" t="str">
        <f ca="1">IFERROR(__xludf.DUMMYFUNCTION("""COMPUTED_VALUE"""),"ARKK")</f>
        <v>ARKK</v>
      </c>
      <c r="E335" s="147">
        <f ca="1">IFERROR(__xludf.DUMMYFUNCTION("""COMPUTED_VALUE"""),44622)</f>
        <v>44622</v>
      </c>
      <c r="F335" s="43" t="str">
        <f ca="1">IFERROR(__xludf.DUMMYFUNCTION("""COMPUTED_VALUE"""),"Stock")</f>
        <v>Stock</v>
      </c>
      <c r="G335" s="43" t="str">
        <f ca="1">IFERROR(__xludf.DUMMYFUNCTION("""COMPUTED_VALUE"""),"USD")</f>
        <v>USD</v>
      </c>
      <c r="H335" s="154">
        <f ca="1">IFERROR(__xludf.DUMMYFUNCTION("""COMPUTED_VALUE"""),-200)</f>
        <v>-200</v>
      </c>
      <c r="I335" s="148">
        <f ca="1">IFERROR(__xludf.DUMMYFUNCTION("""COMPUTED_VALUE"""),7.81395)</f>
        <v>7.8139500000000002</v>
      </c>
      <c r="J335" s="149">
        <f ca="1">IFERROR(__xludf.DUMMYFUNCTION("""COMPUTED_VALUE"""),67.56)</f>
        <v>67.56</v>
      </c>
      <c r="K335" s="43"/>
      <c r="L335" s="149">
        <f ca="1">IFERROR(__xludf.DUMMYFUNCTION("""COMPUTED_VALUE"""),66.97)</f>
        <v>66.97</v>
      </c>
      <c r="M335" s="155" t="str">
        <f ca="1">IFERROR(__xludf.DUMMYFUNCTION("""COMPUTED_VALUE"""),"Equity Key Stats")</f>
        <v>Equity Key Stats</v>
      </c>
      <c r="N335" s="43"/>
      <c r="O335" s="43"/>
      <c r="P335" s="157">
        <f ca="1">IFERROR(__xludf.DUMMYFUNCTION("""COMPUTED_VALUE"""),105582.0924)</f>
        <v>105582.09239999999</v>
      </c>
      <c r="Q335" s="151"/>
      <c r="R335" s="152">
        <f ca="1">IFERROR(__xludf.DUMMYFUNCTION("""COMPUTED_VALUE"""),65.67)</f>
        <v>65.67</v>
      </c>
      <c r="S335" s="150">
        <f ca="1">IFERROR(__xludf.DUMMYFUNCTION("""COMPUTED_VALUE"""),-102628.4193)</f>
        <v>-102628.41929999999</v>
      </c>
      <c r="T335" s="108">
        <f ca="1">IFERROR(__xludf.DUMMYFUNCTION("""COMPUTED_VALUE"""),2)</f>
        <v>2</v>
      </c>
      <c r="U335" s="108">
        <f ca="1">IFERROR(__xludf.DUMMYFUNCTION("""COMPUTED_VALUE"""),1)</f>
        <v>1</v>
      </c>
      <c r="V335" s="153">
        <f ca="1">IFERROR(__xludf.DUMMYFUNCTION("""COMPUTED_VALUE"""),-4542.19889999998)</f>
        <v>-4542.1988999999803</v>
      </c>
      <c r="W335" s="145" t="str">
        <f ca="1">IFERROR(__xludf.DUMMYFUNCTION("""COMPUTED_VALUE"""),"")</f>
        <v/>
      </c>
      <c r="X335" s="11" t="str">
        <f ca="1">IFERROR(__xludf.DUMMYFUNCTION("""COMPUTED_VALUE"""),"")</f>
        <v/>
      </c>
      <c r="Y335" s="11" t="str">
        <f ca="1">IFERROR(__xludf.DUMMYFUNCTION("""COMPUTED_VALUE"""),"")</f>
        <v/>
      </c>
      <c r="Z335" s="4" t="str">
        <f ca="1">IFERROR(__xludf.DUMMYFUNCTION("""COMPUTED_VALUE"""),"")</f>
        <v/>
      </c>
    </row>
    <row r="336" spans="1:26" ht="13" x14ac:dyDescent="0.15">
      <c r="A336" s="43" t="str">
        <f ca="1">IFERROR(__xludf.DUMMYFUNCTION("""COMPUTED_VALUE"""),"")</f>
        <v/>
      </c>
      <c r="B336" s="43" t="str">
        <f ca="1">IFERROR(__xludf.DUMMYFUNCTION("""COMPUTED_VALUE"""),"46322")</f>
        <v>46322</v>
      </c>
      <c r="C336" s="146">
        <f ca="1">IFERROR(__xludf.DUMMYFUNCTION("""COMPUTED_VALUE"""),44627000470)</f>
        <v>44627000470</v>
      </c>
      <c r="D336" s="43" t="str">
        <f ca="1">IFERROR(__xludf.DUMMYFUNCTION("""COMPUTED_VALUE"""),"SARK")</f>
        <v>SARK</v>
      </c>
      <c r="E336" s="147">
        <f ca="1">IFERROR(__xludf.DUMMYFUNCTION("""COMPUTED_VALUE"""),44627)</f>
        <v>44627</v>
      </c>
      <c r="F336" s="43" t="str">
        <f ca="1">IFERROR(__xludf.DUMMYFUNCTION("""COMPUTED_VALUE"""),"Stock")</f>
        <v>Stock</v>
      </c>
      <c r="G336" s="43" t="str">
        <f ca="1">IFERROR(__xludf.DUMMYFUNCTION("""COMPUTED_VALUE"""),"USD")</f>
        <v>USD</v>
      </c>
      <c r="H336" s="154">
        <f ca="1">IFERROR(__xludf.DUMMYFUNCTION("""COMPUTED_VALUE"""),300)</f>
        <v>300</v>
      </c>
      <c r="I336" s="148">
        <f ca="1">IFERROR(__xludf.DUMMYFUNCTION("""COMPUTED_VALUE"""),7.81855)</f>
        <v>7.8185500000000001</v>
      </c>
      <c r="J336" s="149">
        <f ca="1">IFERROR(__xludf.DUMMYFUNCTION("""COMPUTED_VALUE"""),55.25)</f>
        <v>55.25</v>
      </c>
      <c r="K336" s="43"/>
      <c r="L336" s="149">
        <f ca="1">IFERROR(__xludf.DUMMYFUNCTION("""COMPUTED_VALUE"""),46.34)</f>
        <v>46.34</v>
      </c>
      <c r="M336" s="155" t="str">
        <f ca="1">IFERROR(__xludf.DUMMYFUNCTION("""COMPUTED_VALUE"""),"Equity Key Stats")</f>
        <v>Equity Key Stats</v>
      </c>
      <c r="N336" s="43"/>
      <c r="O336" s="43"/>
      <c r="P336" s="150">
        <f ca="1">IFERROR(__xludf.DUMMYFUNCTION("""COMPUTED_VALUE"""),-129592.46625)</f>
        <v>-129592.46625</v>
      </c>
      <c r="Q336" s="151"/>
      <c r="R336" s="152">
        <f ca="1">IFERROR(__xludf.DUMMYFUNCTION("""COMPUTED_VALUE"""),47.17)</f>
        <v>47.17</v>
      </c>
      <c r="S336" s="150">
        <f ca="1">IFERROR(__xludf.DUMMYFUNCTION("""COMPUTED_VALUE"""),110640.30105)</f>
        <v>110640.30104999999</v>
      </c>
      <c r="T336" s="108">
        <f ca="1">IFERROR(__xludf.DUMMYFUNCTION("""COMPUTED_VALUE"""),5)</f>
        <v>5</v>
      </c>
      <c r="U336" s="108" t="str">
        <f ca="1">IFERROR(__xludf.DUMMYFUNCTION("""COMPUTED_VALUE"""),"")</f>
        <v/>
      </c>
      <c r="V336" s="153" t="str">
        <f ca="1">IFERROR(__xludf.DUMMYFUNCTION("""COMPUTED_VALUE"""),"")</f>
        <v/>
      </c>
      <c r="W336" s="145" t="str">
        <f ca="1">IFERROR(__xludf.DUMMYFUNCTION("""COMPUTED_VALUE"""),"")</f>
        <v/>
      </c>
      <c r="X336" s="11" t="str">
        <f ca="1">IFERROR(__xludf.DUMMYFUNCTION("""COMPUTED_VALUE"""),"")</f>
        <v/>
      </c>
      <c r="Y336" s="11" t="str">
        <f ca="1">IFERROR(__xludf.DUMMYFUNCTION("""COMPUTED_VALUE"""),"")</f>
        <v/>
      </c>
      <c r="Z336" s="4" t="str">
        <f ca="1">IFERROR(__xludf.DUMMYFUNCTION("""COMPUTED_VALUE"""),"")</f>
        <v/>
      </c>
    </row>
    <row r="337" spans="1:26" ht="13" x14ac:dyDescent="0.15">
      <c r="A337" s="43" t="str">
        <f ca="1">IFERROR(__xludf.DUMMYFUNCTION("""COMPUTED_VALUE"""),"")</f>
        <v/>
      </c>
      <c r="B337" s="43" t="str">
        <f ca="1">IFERROR(__xludf.DUMMYFUNCTION("""COMPUTED_VALUE"""),"46322")</f>
        <v>46322</v>
      </c>
      <c r="C337" s="146">
        <f ca="1">IFERROR(__xludf.DUMMYFUNCTION("""COMPUTED_VALUE"""),44628000466)</f>
        <v>44628000466</v>
      </c>
      <c r="D337" s="163" t="str">
        <f ca="1">IFERROR(__xludf.DUMMYFUNCTION("""COMPUTED_VALUE"""),"3047.HK")</f>
        <v>3047.HK</v>
      </c>
      <c r="E337" s="147">
        <f ca="1">IFERROR(__xludf.DUMMYFUNCTION("""COMPUTED_VALUE"""),44628)</f>
        <v>44628</v>
      </c>
      <c r="F337" s="43" t="str">
        <f ca="1">IFERROR(__xludf.DUMMYFUNCTION("""COMPUTED_VALUE"""),"Stock")</f>
        <v>Stock</v>
      </c>
      <c r="G337" s="43" t="str">
        <f ca="1">IFERROR(__xludf.DUMMYFUNCTION("""COMPUTED_VALUE"""),"HKD")</f>
        <v>HKD</v>
      </c>
      <c r="H337" s="156">
        <f ca="1">IFERROR(__xludf.DUMMYFUNCTION("""COMPUTED_VALUE"""),5)</f>
        <v>5</v>
      </c>
      <c r="I337" s="148">
        <f ca="1">IFERROR(__xludf.DUMMYFUNCTION("""COMPUTED_VALUE"""),1)</f>
        <v>1</v>
      </c>
      <c r="J337" s="149">
        <f ca="1">IFERROR(__xludf.DUMMYFUNCTION("""COMPUTED_VALUE"""),15.6)</f>
        <v>15.6</v>
      </c>
      <c r="K337" s="43"/>
      <c r="L337" s="149">
        <f ca="1">IFERROR(__xludf.DUMMYFUNCTION("""COMPUTED_VALUE"""),14.71)</f>
        <v>14.71</v>
      </c>
      <c r="M337" s="155" t="str">
        <f ca="1">IFERROR(__xludf.DUMMYFUNCTION("""COMPUTED_VALUE"""),"Equity Key Stats")</f>
        <v>Equity Key Stats</v>
      </c>
      <c r="N337" s="43"/>
      <c r="O337" s="43"/>
      <c r="P337" s="150">
        <f ca="1">IFERROR(__xludf.DUMMYFUNCTION("""COMPUTED_VALUE"""),-78)</f>
        <v>-78</v>
      </c>
      <c r="Q337" s="151"/>
      <c r="R337" s="152">
        <f ca="1">IFERROR(__xludf.DUMMYFUNCTION("""COMPUTED_VALUE"""),14.9)</f>
        <v>14.9</v>
      </c>
      <c r="S337" s="157">
        <f ca="1">IFERROR(__xludf.DUMMYFUNCTION("""COMPUTED_VALUE"""),74.5)</f>
        <v>74.5</v>
      </c>
      <c r="T337" s="108">
        <f ca="1">IFERROR(__xludf.DUMMYFUNCTION("""COMPUTED_VALUE"""),3)</f>
        <v>3</v>
      </c>
      <c r="U337" s="108" t="str">
        <f ca="1">IFERROR(__xludf.DUMMYFUNCTION("""COMPUTED_VALUE"""),"")</f>
        <v/>
      </c>
      <c r="V337" s="158" t="str">
        <f ca="1">IFERROR(__xludf.DUMMYFUNCTION("""COMPUTED_VALUE"""),"")</f>
        <v/>
      </c>
      <c r="W337" s="44" t="str">
        <f ca="1">IFERROR(__xludf.DUMMYFUNCTION("""COMPUTED_VALUE"""),"")</f>
        <v/>
      </c>
      <c r="X337" s="154" t="str">
        <f ca="1">IFERROR(__xludf.DUMMYFUNCTION("""COMPUTED_VALUE"""),"")</f>
        <v/>
      </c>
      <c r="Y337" s="154" t="str">
        <f ca="1">IFERROR(__xludf.DUMMYFUNCTION("""COMPUTED_VALUE"""),"")</f>
        <v/>
      </c>
      <c r="Z337" s="159" t="str">
        <f ca="1">IFERROR(__xludf.DUMMYFUNCTION("""COMPUTED_VALUE"""),"")</f>
        <v/>
      </c>
    </row>
    <row r="338" spans="1:26" ht="13" x14ac:dyDescent="0.15">
      <c r="A338" s="43" t="str">
        <f ca="1">IFERROR(__xludf.DUMMYFUNCTION("""COMPUTED_VALUE"""),"")</f>
        <v/>
      </c>
      <c r="B338" s="43" t="str">
        <f ca="1">IFERROR(__xludf.DUMMYFUNCTION("""COMPUTED_VALUE"""),"46322")</f>
        <v>46322</v>
      </c>
      <c r="C338" s="146">
        <f ca="1">IFERROR(__xludf.DUMMYFUNCTION("""COMPUTED_VALUE"""),44628000467)</f>
        <v>44628000467</v>
      </c>
      <c r="D338" s="161" t="str">
        <f ca="1">IFERROR(__xludf.DUMMYFUNCTION("""COMPUTED_VALUE"""),"9988.HK")</f>
        <v>9988.HK</v>
      </c>
      <c r="E338" s="147">
        <f ca="1">IFERROR(__xludf.DUMMYFUNCTION("""COMPUTED_VALUE"""),44628)</f>
        <v>44628</v>
      </c>
      <c r="F338" s="43" t="str">
        <f ca="1">IFERROR(__xludf.DUMMYFUNCTION("""COMPUTED_VALUE"""),"Stock")</f>
        <v>Stock</v>
      </c>
      <c r="G338" s="43" t="str">
        <f ca="1">IFERROR(__xludf.DUMMYFUNCTION("""COMPUTED_VALUE"""),"HKD")</f>
        <v>HKD</v>
      </c>
      <c r="H338" s="11" t="str">
        <f ca="1">IFERROR(__xludf.DUMMYFUNCTION("""COMPUTED_VALUE"""),"")</f>
        <v/>
      </c>
      <c r="I338" s="148">
        <f ca="1">IFERROR(__xludf.DUMMYFUNCTION("""COMPUTED_VALUE"""),1)</f>
        <v>1</v>
      </c>
      <c r="J338" s="149">
        <f ca="1">IFERROR(__xludf.DUMMYFUNCTION("""COMPUTED_VALUE"""),96)</f>
        <v>96</v>
      </c>
      <c r="K338" s="43"/>
      <c r="L338" s="149">
        <f ca="1">IFERROR(__xludf.DUMMYFUNCTION("""COMPUTED_VALUE"""),110.2)</f>
        <v>110.2</v>
      </c>
      <c r="M338" s="160" t="str">
        <f ca="1">IFERROR(__xludf.DUMMYFUNCTION("""COMPUTED_VALUE"""),"Equity Key Stats")</f>
        <v>Equity Key Stats</v>
      </c>
      <c r="N338" s="43"/>
      <c r="O338" s="43"/>
      <c r="P338" s="150">
        <f ca="1">IFERROR(__xludf.DUMMYFUNCTION("""COMPUTED_VALUE"""),0)</f>
        <v>0</v>
      </c>
      <c r="Q338" s="151"/>
      <c r="R338" s="152">
        <f ca="1">IFERROR(__xludf.DUMMYFUNCTION("""COMPUTED_VALUE"""),117.6)</f>
        <v>117.6</v>
      </c>
      <c r="S338" s="127">
        <f ca="1">IFERROR(__xludf.DUMMYFUNCTION("""COMPUTED_VALUE"""),0)</f>
        <v>0</v>
      </c>
      <c r="T338" s="108">
        <f ca="1">IFERROR(__xludf.DUMMYFUNCTION("""COMPUTED_VALUE"""),4)</f>
        <v>4</v>
      </c>
      <c r="U338" s="108" t="str">
        <f ca="1">IFERROR(__xludf.DUMMYFUNCTION("""COMPUTED_VALUE"""),"")</f>
        <v/>
      </c>
      <c r="V338" s="153" t="str">
        <f ca="1">IFERROR(__xludf.DUMMYFUNCTION("""COMPUTED_VALUE"""),"")</f>
        <v/>
      </c>
      <c r="W338" s="145" t="str">
        <f ca="1">IFERROR(__xludf.DUMMYFUNCTION("""COMPUTED_VALUE"""),"")</f>
        <v/>
      </c>
      <c r="X338" s="11" t="str">
        <f ca="1">IFERROR(__xludf.DUMMYFUNCTION("""COMPUTED_VALUE"""),"")</f>
        <v/>
      </c>
      <c r="Y338" s="11" t="str">
        <f ca="1">IFERROR(__xludf.DUMMYFUNCTION("""COMPUTED_VALUE"""),"")</f>
        <v/>
      </c>
      <c r="Z338" s="4" t="str">
        <f ca="1">IFERROR(__xludf.DUMMYFUNCTION("""COMPUTED_VALUE"""),"")</f>
        <v/>
      </c>
    </row>
    <row r="339" spans="1:26" ht="13" x14ac:dyDescent="0.15">
      <c r="A339" s="43" t="str">
        <f ca="1">IFERROR(__xludf.DUMMYFUNCTION("""COMPUTED_VALUE"""),"")</f>
        <v/>
      </c>
      <c r="B339" s="43" t="str">
        <f ca="1">IFERROR(__xludf.DUMMYFUNCTION("""COMPUTED_VALUE"""),"46322")</f>
        <v>46322</v>
      </c>
      <c r="C339" s="146">
        <f ca="1">IFERROR(__xludf.DUMMYFUNCTION("""COMPUTED_VALUE"""),44628000491)</f>
        <v>44628000491</v>
      </c>
      <c r="D339" s="163" t="str">
        <f ca="1">IFERROR(__xludf.DUMMYFUNCTION("""COMPUTED_VALUE"""),"NET")</f>
        <v>NET</v>
      </c>
      <c r="E339" s="147">
        <f ca="1">IFERROR(__xludf.DUMMYFUNCTION("""COMPUTED_VALUE"""),44628)</f>
        <v>44628</v>
      </c>
      <c r="F339" s="43" t="str">
        <f ca="1">IFERROR(__xludf.DUMMYFUNCTION("""COMPUTED_VALUE"""),"Stock")</f>
        <v>Stock</v>
      </c>
      <c r="G339" s="43" t="str">
        <f ca="1">IFERROR(__xludf.DUMMYFUNCTION("""COMPUTED_VALUE"""),"USD")</f>
        <v>USD</v>
      </c>
      <c r="H339" s="154">
        <f ca="1">IFERROR(__xludf.DUMMYFUNCTION("""COMPUTED_VALUE"""),0)</f>
        <v>0</v>
      </c>
      <c r="I339" s="148">
        <f ca="1">IFERROR(__xludf.DUMMYFUNCTION("""COMPUTED_VALUE"""),7.818975)</f>
        <v>7.818975</v>
      </c>
      <c r="J339" s="149" t="str">
        <f ca="1">IFERROR(__xludf.DUMMYFUNCTION("""COMPUTED_VALUE"""),"")</f>
        <v/>
      </c>
      <c r="K339" s="43"/>
      <c r="L339" s="149">
        <f ca="1">IFERROR(__xludf.DUMMYFUNCTION("""COMPUTED_VALUE"""),114.86)</f>
        <v>114.86</v>
      </c>
      <c r="M339" s="155" t="str">
        <f ca="1">IFERROR(__xludf.DUMMYFUNCTION("""COMPUTED_VALUE"""),"Equity Key Stats")</f>
        <v>Equity Key Stats</v>
      </c>
      <c r="N339" s="43"/>
      <c r="O339" s="43"/>
      <c r="P339" s="150">
        <f ca="1">IFERROR(__xludf.DUMMYFUNCTION("""COMPUTED_VALUE"""),0)</f>
        <v>0</v>
      </c>
      <c r="Q339" s="151"/>
      <c r="R339" s="152">
        <f ca="1">IFERROR(__xludf.DUMMYFUNCTION("""COMPUTED_VALUE"""),117.59)</f>
        <v>117.59</v>
      </c>
      <c r="S339" s="150">
        <f ca="1">IFERROR(__xludf.DUMMYFUNCTION("""COMPUTED_VALUE"""),0)</f>
        <v>0</v>
      </c>
      <c r="T339" s="108">
        <f ca="1">IFERROR(__xludf.DUMMYFUNCTION("""COMPUTED_VALUE"""),1)</f>
        <v>1</v>
      </c>
      <c r="U339" s="108">
        <f ca="1">IFERROR(__xludf.DUMMYFUNCTION("""COMPUTED_VALUE"""),1)</f>
        <v>1</v>
      </c>
      <c r="V339" s="153">
        <f ca="1">IFERROR(__xludf.DUMMYFUNCTION("""COMPUTED_VALUE"""),0)</f>
        <v>0</v>
      </c>
      <c r="W339" s="145" t="str">
        <f ca="1">IFERROR(__xludf.DUMMYFUNCTION("""COMPUTED_VALUE"""),"")</f>
        <v/>
      </c>
      <c r="X339" s="11" t="str">
        <f ca="1">IFERROR(__xludf.DUMMYFUNCTION("""COMPUTED_VALUE"""),"")</f>
        <v/>
      </c>
      <c r="Y339" s="11" t="str">
        <f ca="1">IFERROR(__xludf.DUMMYFUNCTION("""COMPUTED_VALUE"""),"")</f>
        <v/>
      </c>
      <c r="Z339" s="4" t="str">
        <f ca="1">IFERROR(__xludf.DUMMYFUNCTION("""COMPUTED_VALUE"""),"")</f>
        <v/>
      </c>
    </row>
    <row r="340" spans="1:26" ht="13" x14ac:dyDescent="0.15">
      <c r="A340" s="43" t="str">
        <f ca="1">IFERROR(__xludf.DUMMYFUNCTION("""COMPUTED_VALUE"""),"")</f>
        <v/>
      </c>
      <c r="B340" s="43" t="str">
        <f ca="1">IFERROR(__xludf.DUMMYFUNCTION("""COMPUTED_VALUE"""),"46322")</f>
        <v>46322</v>
      </c>
      <c r="C340" s="146">
        <f ca="1">IFERROR(__xludf.DUMMYFUNCTION("""COMPUTED_VALUE"""),44628000492)</f>
        <v>44628000492</v>
      </c>
      <c r="D340" s="163" t="str">
        <f ca="1">IFERROR(__xludf.DUMMYFUNCTION("""COMPUTED_VALUE"""),"9988.HK")</f>
        <v>9988.HK</v>
      </c>
      <c r="E340" s="147">
        <f ca="1">IFERROR(__xludf.DUMMYFUNCTION("""COMPUTED_VALUE"""),44628)</f>
        <v>44628</v>
      </c>
      <c r="F340" s="43" t="str">
        <f ca="1">IFERROR(__xludf.DUMMYFUNCTION("""COMPUTED_VALUE"""),"Stock")</f>
        <v>Stock</v>
      </c>
      <c r="G340" s="43" t="str">
        <f ca="1">IFERROR(__xludf.DUMMYFUNCTION("""COMPUTED_VALUE"""),"HKD")</f>
        <v>HKD</v>
      </c>
      <c r="H340" s="154">
        <f ca="1">IFERROR(__xludf.DUMMYFUNCTION("""COMPUTED_VALUE"""),300)</f>
        <v>300</v>
      </c>
      <c r="I340" s="148">
        <f ca="1">IFERROR(__xludf.DUMMYFUNCTION("""COMPUTED_VALUE"""),1)</f>
        <v>1</v>
      </c>
      <c r="J340" s="149">
        <f ca="1">IFERROR(__xludf.DUMMYFUNCTION("""COMPUTED_VALUE"""),92.15)</f>
        <v>92.15</v>
      </c>
      <c r="K340" s="43"/>
      <c r="L340" s="149">
        <f ca="1">IFERROR(__xludf.DUMMYFUNCTION("""COMPUTED_VALUE"""),110.2)</f>
        <v>110.2</v>
      </c>
      <c r="M340" s="155" t="str">
        <f ca="1">IFERROR(__xludf.DUMMYFUNCTION("""COMPUTED_VALUE"""),"Equity Key Stats")</f>
        <v>Equity Key Stats</v>
      </c>
      <c r="N340" s="43"/>
      <c r="O340" s="43"/>
      <c r="P340" s="157">
        <f ca="1">IFERROR(__xludf.DUMMYFUNCTION("""COMPUTED_VALUE"""),-27645)</f>
        <v>-27645</v>
      </c>
      <c r="Q340" s="151"/>
      <c r="R340" s="152">
        <f ca="1">IFERROR(__xludf.DUMMYFUNCTION("""COMPUTED_VALUE"""),117.6)</f>
        <v>117.6</v>
      </c>
      <c r="S340" s="150">
        <f ca="1">IFERROR(__xludf.DUMMYFUNCTION("""COMPUTED_VALUE"""),35280)</f>
        <v>35280</v>
      </c>
      <c r="T340" s="108">
        <f ca="1">IFERROR(__xludf.DUMMYFUNCTION("""COMPUTED_VALUE"""),4)</f>
        <v>4</v>
      </c>
      <c r="U340" s="108" t="str">
        <f ca="1">IFERROR(__xludf.DUMMYFUNCTION("""COMPUTED_VALUE"""),"")</f>
        <v/>
      </c>
      <c r="V340" s="158" t="str">
        <f ca="1">IFERROR(__xludf.DUMMYFUNCTION("""COMPUTED_VALUE"""),"")</f>
        <v/>
      </c>
      <c r="W340" s="145" t="str">
        <f ca="1">IFERROR(__xludf.DUMMYFUNCTION("""COMPUTED_VALUE"""),"")</f>
        <v/>
      </c>
      <c r="X340" s="11" t="str">
        <f ca="1">IFERROR(__xludf.DUMMYFUNCTION("""COMPUTED_VALUE"""),"")</f>
        <v/>
      </c>
      <c r="Y340" s="11" t="str">
        <f ca="1">IFERROR(__xludf.DUMMYFUNCTION("""COMPUTED_VALUE"""),"")</f>
        <v/>
      </c>
      <c r="Z340" s="4" t="str">
        <f ca="1">IFERROR(__xludf.DUMMYFUNCTION("""COMPUTED_VALUE"""),"")</f>
        <v/>
      </c>
    </row>
    <row r="341" spans="1:26" ht="13" x14ac:dyDescent="0.15">
      <c r="A341" s="43" t="str">
        <f ca="1">IFERROR(__xludf.DUMMYFUNCTION("""COMPUTED_VALUE"""),"")</f>
        <v/>
      </c>
      <c r="B341" s="43" t="str">
        <f ca="1">IFERROR(__xludf.DUMMYFUNCTION("""COMPUTED_VALUE"""),"46322")</f>
        <v>46322</v>
      </c>
      <c r="C341" s="146">
        <f ca="1">IFERROR(__xludf.DUMMYFUNCTION("""COMPUTED_VALUE"""),44634000577)</f>
        <v>44634000577</v>
      </c>
      <c r="D341" s="163" t="str">
        <f ca="1">IFERROR(__xludf.DUMMYFUNCTION("""COMPUTED_VALUE"""),"SARK")</f>
        <v>SARK</v>
      </c>
      <c r="E341" s="147">
        <f ca="1">IFERROR(__xludf.DUMMYFUNCTION("""COMPUTED_VALUE"""),44634)</f>
        <v>44634</v>
      </c>
      <c r="F341" s="43" t="str">
        <f ca="1">IFERROR(__xludf.DUMMYFUNCTION("""COMPUTED_VALUE"""),"Stock")</f>
        <v>Stock</v>
      </c>
      <c r="G341" s="43" t="str">
        <f ca="1">IFERROR(__xludf.DUMMYFUNCTION("""COMPUTED_VALUE"""),"USD")</f>
        <v>USD</v>
      </c>
      <c r="H341" s="154">
        <f ca="1">IFERROR(__xludf.DUMMYFUNCTION("""COMPUTED_VALUE"""),1000)</f>
        <v>1000</v>
      </c>
      <c r="I341" s="148">
        <f ca="1">IFERROR(__xludf.DUMMYFUNCTION("""COMPUTED_VALUE"""),7.82925)</f>
        <v>7.82925</v>
      </c>
      <c r="J341" s="149">
        <f ca="1">IFERROR(__xludf.DUMMYFUNCTION("""COMPUTED_VALUE"""),60.61)</f>
        <v>60.61</v>
      </c>
      <c r="K341" s="43"/>
      <c r="L341" s="149">
        <f ca="1">IFERROR(__xludf.DUMMYFUNCTION("""COMPUTED_VALUE"""),46.34)</f>
        <v>46.34</v>
      </c>
      <c r="M341" s="155" t="str">
        <f ca="1">IFERROR(__xludf.DUMMYFUNCTION("""COMPUTED_VALUE"""),"Equity Key Stats")</f>
        <v>Equity Key Stats</v>
      </c>
      <c r="N341" s="43"/>
      <c r="O341" s="43"/>
      <c r="P341" s="150">
        <f ca="1">IFERROR(__xludf.DUMMYFUNCTION("""COMPUTED_VALUE"""),-474530.842499999)</f>
        <v>-474530.84249999898</v>
      </c>
      <c r="Q341" s="151"/>
      <c r="R341" s="152">
        <f ca="1">IFERROR(__xludf.DUMMYFUNCTION("""COMPUTED_VALUE"""),47.17)</f>
        <v>47.17</v>
      </c>
      <c r="S341" s="150">
        <f ca="1">IFERROR(__xludf.DUMMYFUNCTION("""COMPUTED_VALUE"""),369305.7225)</f>
        <v>369305.72249999997</v>
      </c>
      <c r="T341" s="108">
        <f ca="1">IFERROR(__xludf.DUMMYFUNCTION("""COMPUTED_VALUE"""),5)</f>
        <v>5</v>
      </c>
      <c r="U341" s="108" t="str">
        <f ca="1">IFERROR(__xludf.DUMMYFUNCTION("""COMPUTED_VALUE"""),"")</f>
        <v/>
      </c>
      <c r="V341" s="153" t="str">
        <f ca="1">IFERROR(__xludf.DUMMYFUNCTION("""COMPUTED_VALUE"""),"")</f>
        <v/>
      </c>
      <c r="W341" s="145" t="str">
        <f ca="1">IFERROR(__xludf.DUMMYFUNCTION("""COMPUTED_VALUE"""),"")</f>
        <v/>
      </c>
      <c r="X341" s="11" t="str">
        <f ca="1">IFERROR(__xludf.DUMMYFUNCTION("""COMPUTED_VALUE"""),"")</f>
        <v/>
      </c>
      <c r="Y341" s="11" t="str">
        <f ca="1">IFERROR(__xludf.DUMMYFUNCTION("""COMPUTED_VALUE"""),"")</f>
        <v/>
      </c>
      <c r="Z341" s="4" t="str">
        <f ca="1">IFERROR(__xludf.DUMMYFUNCTION("""COMPUTED_VALUE"""),"")</f>
        <v/>
      </c>
    </row>
    <row r="342" spans="1:26" ht="13" x14ac:dyDescent="0.15">
      <c r="A342" s="43" t="str">
        <f ca="1">IFERROR(__xludf.DUMMYFUNCTION("""COMPUTED_VALUE"""),"")</f>
        <v/>
      </c>
      <c r="B342" s="43" t="str">
        <f ca="1">IFERROR(__xludf.DUMMYFUNCTION("""COMPUTED_VALUE"""),"46322")</f>
        <v>46322</v>
      </c>
      <c r="C342" s="146">
        <f ca="1">IFERROR(__xludf.DUMMYFUNCTION("""COMPUTED_VALUE"""),44634000590)</f>
        <v>44634000590</v>
      </c>
      <c r="D342" s="163" t="str">
        <f ca="1">IFERROR(__xludf.DUMMYFUNCTION("""COMPUTED_VALUE"""),"SARK")</f>
        <v>SARK</v>
      </c>
      <c r="E342" s="147">
        <f ca="1">IFERROR(__xludf.DUMMYFUNCTION("""COMPUTED_VALUE"""),44634)</f>
        <v>44634</v>
      </c>
      <c r="F342" s="43" t="str">
        <f ca="1">IFERROR(__xludf.DUMMYFUNCTION("""COMPUTED_VALUE"""),"Stock")</f>
        <v>Stock</v>
      </c>
      <c r="G342" s="43" t="str">
        <f ca="1">IFERROR(__xludf.DUMMYFUNCTION("""COMPUTED_VALUE"""),"USD")</f>
        <v>USD</v>
      </c>
      <c r="H342" s="154">
        <f ca="1">IFERROR(__xludf.DUMMYFUNCTION("""COMPUTED_VALUE"""),-800)</f>
        <v>-800</v>
      </c>
      <c r="I342" s="148">
        <f ca="1">IFERROR(__xludf.DUMMYFUNCTION("""COMPUTED_VALUE"""),7.82925)</f>
        <v>7.82925</v>
      </c>
      <c r="J342" s="149">
        <f ca="1">IFERROR(__xludf.DUMMYFUNCTION("""COMPUTED_VALUE"""),60.61)</f>
        <v>60.61</v>
      </c>
      <c r="K342" s="43"/>
      <c r="L342" s="149">
        <f ca="1">IFERROR(__xludf.DUMMYFUNCTION("""COMPUTED_VALUE"""),46.34)</f>
        <v>46.34</v>
      </c>
      <c r="M342" s="155" t="str">
        <f ca="1">IFERROR(__xludf.DUMMYFUNCTION("""COMPUTED_VALUE"""),"Equity Key Stats")</f>
        <v>Equity Key Stats</v>
      </c>
      <c r="N342" s="43"/>
      <c r="O342" s="43"/>
      <c r="P342" s="157">
        <f ca="1">IFERROR(__xludf.DUMMYFUNCTION("""COMPUTED_VALUE"""),379624.674)</f>
        <v>379624.674</v>
      </c>
      <c r="Q342" s="151"/>
      <c r="R342" s="152">
        <f ca="1">IFERROR(__xludf.DUMMYFUNCTION("""COMPUTED_VALUE"""),47.17)</f>
        <v>47.17</v>
      </c>
      <c r="S342" s="150">
        <f ca="1">IFERROR(__xludf.DUMMYFUNCTION("""COMPUTED_VALUE"""),-295444.578)</f>
        <v>-295444.57799999998</v>
      </c>
      <c r="T342" s="108">
        <f ca="1">IFERROR(__xludf.DUMMYFUNCTION("""COMPUTED_VALUE"""),5)</f>
        <v>5</v>
      </c>
      <c r="U342" s="108" t="str">
        <f ca="1">IFERROR(__xludf.DUMMYFUNCTION("""COMPUTED_VALUE"""),"")</f>
        <v/>
      </c>
      <c r="V342" s="158" t="str">
        <f ca="1">IFERROR(__xludf.DUMMYFUNCTION("""COMPUTED_VALUE"""),"")</f>
        <v/>
      </c>
      <c r="W342" s="44" t="str">
        <f ca="1">IFERROR(__xludf.DUMMYFUNCTION("""COMPUTED_VALUE"""),"")</f>
        <v/>
      </c>
      <c r="X342" s="154" t="str">
        <f ca="1">IFERROR(__xludf.DUMMYFUNCTION("""COMPUTED_VALUE"""),"")</f>
        <v/>
      </c>
      <c r="Y342" s="154" t="str">
        <f ca="1">IFERROR(__xludf.DUMMYFUNCTION("""COMPUTED_VALUE"""),"")</f>
        <v/>
      </c>
      <c r="Z342" s="162" t="str">
        <f ca="1">IFERROR(__xludf.DUMMYFUNCTION("""COMPUTED_VALUE"""),"")</f>
        <v/>
      </c>
    </row>
    <row r="343" spans="1:26" ht="13" x14ac:dyDescent="0.15">
      <c r="A343" s="43" t="str">
        <f ca="1">IFERROR(__xludf.DUMMYFUNCTION("""COMPUTED_VALUE"""),"")</f>
        <v/>
      </c>
      <c r="B343" s="43" t="str">
        <f ca="1">IFERROR(__xludf.DUMMYFUNCTION("""COMPUTED_VALUE"""),"46322")</f>
        <v>46322</v>
      </c>
      <c r="C343" s="146">
        <f ca="1">IFERROR(__xludf.DUMMYFUNCTION("""COMPUTED_VALUE"""),44638000712)</f>
        <v>44638000712</v>
      </c>
      <c r="D343" s="43" t="str">
        <f ca="1">IFERROR(__xludf.DUMMYFUNCTION("""COMPUTED_VALUE"""),"SARK")</f>
        <v>SARK</v>
      </c>
      <c r="E343" s="147">
        <f ca="1">IFERROR(__xludf.DUMMYFUNCTION("""COMPUTED_VALUE"""),44638)</f>
        <v>44638</v>
      </c>
      <c r="F343" s="43" t="str">
        <f ca="1">IFERROR(__xludf.DUMMYFUNCTION("""COMPUTED_VALUE"""),"Stock")</f>
        <v>Stock</v>
      </c>
      <c r="G343" s="43" t="str">
        <f ca="1">IFERROR(__xludf.DUMMYFUNCTION("""COMPUTED_VALUE"""),"USD")</f>
        <v>USD</v>
      </c>
      <c r="H343" s="11">
        <f ca="1">IFERROR(__xludf.DUMMYFUNCTION("""COMPUTED_VALUE"""),800)</f>
        <v>800</v>
      </c>
      <c r="I343" s="148">
        <f ca="1">IFERROR(__xludf.DUMMYFUNCTION("""COMPUTED_VALUE"""),7.82495)</f>
        <v>7.8249500000000003</v>
      </c>
      <c r="J343" s="149">
        <f ca="1">IFERROR(__xludf.DUMMYFUNCTION("""COMPUTED_VALUE"""),47.37)</f>
        <v>47.37</v>
      </c>
      <c r="K343" s="43"/>
      <c r="L343" s="149">
        <f ca="1">IFERROR(__xludf.DUMMYFUNCTION("""COMPUTED_VALUE"""),46.34)</f>
        <v>46.34</v>
      </c>
      <c r="M343" s="160" t="str">
        <f ca="1">IFERROR(__xludf.DUMMYFUNCTION("""COMPUTED_VALUE"""),"Equity Key Stats")</f>
        <v>Equity Key Stats</v>
      </c>
      <c r="N343" s="43"/>
      <c r="O343" s="43"/>
      <c r="P343" s="150">
        <f ca="1">IFERROR(__xludf.DUMMYFUNCTION("""COMPUTED_VALUE"""),-296534.3052)</f>
        <v>-296534.3052</v>
      </c>
      <c r="Q343" s="151"/>
      <c r="R343" s="152">
        <f ca="1">IFERROR(__xludf.DUMMYFUNCTION("""COMPUTED_VALUE"""),47.17)</f>
        <v>47.17</v>
      </c>
      <c r="S343" s="127">
        <f ca="1">IFERROR(__xludf.DUMMYFUNCTION("""COMPUTED_VALUE"""),295282.3132)</f>
        <v>295282.31319999998</v>
      </c>
      <c r="T343" s="108">
        <f ca="1">IFERROR(__xludf.DUMMYFUNCTION("""COMPUTED_VALUE"""),5)</f>
        <v>5</v>
      </c>
      <c r="U343" s="108">
        <f ca="1">IFERROR(__xludf.DUMMYFUNCTION("""COMPUTED_VALUE"""),1)</f>
        <v>1</v>
      </c>
      <c r="V343" s="153">
        <f ca="1">IFERROR(__xludf.DUMMYFUNCTION("""COMPUTED_VALUE"""),-42545.3747699998)</f>
        <v>-42545.374769999798</v>
      </c>
      <c r="W343" s="44" t="str">
        <f ca="1">IFERROR(__xludf.DUMMYFUNCTION("""COMPUTED_VALUE"""),"")</f>
        <v/>
      </c>
      <c r="X343" s="154" t="str">
        <f ca="1">IFERROR(__xludf.DUMMYFUNCTION("""COMPUTED_VALUE"""),"")</f>
        <v/>
      </c>
      <c r="Y343" s="154" t="str">
        <f ca="1">IFERROR(__xludf.DUMMYFUNCTION("""COMPUTED_VALUE"""),"")</f>
        <v/>
      </c>
      <c r="Z343" s="159" t="str">
        <f ca="1">IFERROR(__xludf.DUMMYFUNCTION("""COMPUTED_VALUE"""),"")</f>
        <v/>
      </c>
    </row>
    <row r="344" spans="1:26" ht="13" x14ac:dyDescent="0.15">
      <c r="A344" s="43" t="str">
        <f ca="1">IFERROR(__xludf.DUMMYFUNCTION("""COMPUTED_VALUE"""),"")</f>
        <v/>
      </c>
      <c r="B344" s="43" t="str">
        <f ca="1">IFERROR(__xludf.DUMMYFUNCTION("""COMPUTED_VALUE"""),"46322")</f>
        <v>46322</v>
      </c>
      <c r="C344" s="146">
        <f ca="1">IFERROR(__xludf.DUMMYFUNCTION("""COMPUTED_VALUE"""),44643000789)</f>
        <v>44643000789</v>
      </c>
      <c r="D344" s="161" t="str">
        <f ca="1">IFERROR(__xludf.DUMMYFUNCTION("""COMPUTED_VALUE"""),"9988.HK")</f>
        <v>9988.HK</v>
      </c>
      <c r="E344" s="147">
        <f ca="1">IFERROR(__xludf.DUMMYFUNCTION("""COMPUTED_VALUE"""),44643)</f>
        <v>44643</v>
      </c>
      <c r="F344" s="43" t="str">
        <f ca="1">IFERROR(__xludf.DUMMYFUNCTION("""COMPUTED_VALUE"""),"Stock")</f>
        <v>Stock</v>
      </c>
      <c r="G344" s="43" t="str">
        <f ca="1">IFERROR(__xludf.DUMMYFUNCTION("""COMPUTED_VALUE"""),"HKD")</f>
        <v>HKD</v>
      </c>
      <c r="H344" s="11">
        <f ca="1">IFERROR(__xludf.DUMMYFUNCTION("""COMPUTED_VALUE"""),-200)</f>
        <v>-200</v>
      </c>
      <c r="I344" s="148">
        <f ca="1">IFERROR(__xludf.DUMMYFUNCTION("""COMPUTED_VALUE"""),1)</f>
        <v>1</v>
      </c>
      <c r="J344" s="149">
        <f ca="1">IFERROR(__xludf.DUMMYFUNCTION("""COMPUTED_VALUE"""),117.6)</f>
        <v>117.6</v>
      </c>
      <c r="K344" s="43"/>
      <c r="L344" s="149">
        <f ca="1">IFERROR(__xludf.DUMMYFUNCTION("""COMPUTED_VALUE"""),110.2)</f>
        <v>110.2</v>
      </c>
      <c r="M344" s="160" t="str">
        <f ca="1">IFERROR(__xludf.DUMMYFUNCTION("""COMPUTED_VALUE"""),"Equity Key Stats")</f>
        <v>Equity Key Stats</v>
      </c>
      <c r="N344" s="43"/>
      <c r="O344" s="43"/>
      <c r="P344" s="150">
        <f ca="1">IFERROR(__xludf.DUMMYFUNCTION("""COMPUTED_VALUE"""),23520)</f>
        <v>23520</v>
      </c>
      <c r="Q344" s="151"/>
      <c r="R344" s="152">
        <f ca="1">IFERROR(__xludf.DUMMYFUNCTION("""COMPUTED_VALUE"""),117.6)</f>
        <v>117.6</v>
      </c>
      <c r="S344" s="127">
        <f ca="1">IFERROR(__xludf.DUMMYFUNCTION("""COMPUTED_VALUE"""),-23520)</f>
        <v>-23520</v>
      </c>
      <c r="T344" s="108">
        <f ca="1">IFERROR(__xludf.DUMMYFUNCTION("""COMPUTED_VALUE"""),4)</f>
        <v>4</v>
      </c>
      <c r="U344" s="108">
        <f ca="1">IFERROR(__xludf.DUMMYFUNCTION("""COMPUTED_VALUE"""),1)</f>
        <v>1</v>
      </c>
      <c r="V344" s="153">
        <f ca="1">IFERROR(__xludf.DUMMYFUNCTION("""COMPUTED_VALUE"""),7660.39999999999)</f>
        <v>7660.3999999999896</v>
      </c>
      <c r="W344" s="44" t="str">
        <f ca="1">IFERROR(__xludf.DUMMYFUNCTION("""COMPUTED_VALUE"""),"")</f>
        <v/>
      </c>
      <c r="X344" s="154" t="str">
        <f ca="1">IFERROR(__xludf.DUMMYFUNCTION("""COMPUTED_VALUE"""),"")</f>
        <v/>
      </c>
      <c r="Y344" s="154" t="str">
        <f ca="1">IFERROR(__xludf.DUMMYFUNCTION("""COMPUTED_VALUE"""),"")</f>
        <v/>
      </c>
      <c r="Z344" s="159" t="str">
        <f ca="1">IFERROR(__xludf.DUMMYFUNCTION("""COMPUTED_VALUE"""),"")</f>
        <v/>
      </c>
    </row>
    <row r="345" spans="1:26" ht="13" x14ac:dyDescent="0.15">
      <c r="A345" s="43" t="str">
        <f ca="1">IFERROR(__xludf.DUMMYFUNCTION("""COMPUTED_VALUE"""),"46322")</f>
        <v>46322</v>
      </c>
      <c r="B345" s="43" t="str">
        <f ca="1">IFERROR(__xludf.DUMMYFUNCTION("""COMPUTED_VALUE"""),"46322")</f>
        <v>46322</v>
      </c>
      <c r="C345" s="146">
        <f ca="1">IFERROR(__xludf.DUMMYFUNCTION("""COMPUTED_VALUE"""),44643000790)</f>
        <v>44643000790</v>
      </c>
      <c r="D345" s="161" t="str">
        <f ca="1">IFERROR(__xludf.DUMMYFUNCTION("""COMPUTED_VALUE"""),"3047.HK")</f>
        <v>3047.HK</v>
      </c>
      <c r="E345" s="147">
        <f ca="1">IFERROR(__xludf.DUMMYFUNCTION("""COMPUTED_VALUE"""),44643)</f>
        <v>44643</v>
      </c>
      <c r="F345" s="43" t="str">
        <f ca="1">IFERROR(__xludf.DUMMYFUNCTION("""COMPUTED_VALUE"""),"Stock")</f>
        <v>Stock</v>
      </c>
      <c r="G345" s="43" t="str">
        <f ca="1">IFERROR(__xludf.DUMMYFUNCTION("""COMPUTED_VALUE"""),"HKD")</f>
        <v>HKD</v>
      </c>
      <c r="H345" s="11">
        <f ca="1">IFERROR(__xludf.DUMMYFUNCTION("""COMPUTED_VALUE"""),-5)</f>
        <v>-5</v>
      </c>
      <c r="I345" s="148">
        <f ca="1">IFERROR(__xludf.DUMMYFUNCTION("""COMPUTED_VALUE"""),1)</f>
        <v>1</v>
      </c>
      <c r="J345" s="149">
        <f ca="1">IFERROR(__xludf.DUMMYFUNCTION("""COMPUTED_VALUE"""),14.9)</f>
        <v>14.9</v>
      </c>
      <c r="K345" s="43"/>
      <c r="L345" s="149">
        <f ca="1">IFERROR(__xludf.DUMMYFUNCTION("""COMPUTED_VALUE"""),14.71)</f>
        <v>14.71</v>
      </c>
      <c r="M345" s="160" t="str">
        <f ca="1">IFERROR(__xludf.DUMMYFUNCTION("""COMPUTED_VALUE"""),"Equity Key Stats")</f>
        <v>Equity Key Stats</v>
      </c>
      <c r="N345" s="43"/>
      <c r="O345" s="43"/>
      <c r="P345" s="150">
        <f ca="1">IFERROR(__xludf.DUMMYFUNCTION("""COMPUTED_VALUE"""),74.5)</f>
        <v>74.5</v>
      </c>
      <c r="Q345" s="151"/>
      <c r="R345" s="152">
        <f ca="1">IFERROR(__xludf.DUMMYFUNCTION("""COMPUTED_VALUE"""),14.9)</f>
        <v>14.9</v>
      </c>
      <c r="S345" s="127">
        <f ca="1">IFERROR(__xludf.DUMMYFUNCTION("""COMPUTED_VALUE"""),-74.5)</f>
        <v>-74.5</v>
      </c>
      <c r="T345" s="108">
        <f ca="1">IFERROR(__xludf.DUMMYFUNCTION("""COMPUTED_VALUE"""),3)</f>
        <v>3</v>
      </c>
      <c r="U345" s="108">
        <f ca="1">IFERROR(__xludf.DUMMYFUNCTION("""COMPUTED_VALUE"""),1)</f>
        <v>1</v>
      </c>
      <c r="V345" s="153">
        <f ca="1">IFERROR(__xludf.DUMMYFUNCTION("""COMPUTED_VALUE"""),6)</f>
        <v>6</v>
      </c>
      <c r="W345" s="145">
        <f ca="1">IFERROR(__xludf.DUMMYFUNCTION("""COMPUTED_VALUE"""),460579.52633)</f>
        <v>460579.52633000002</v>
      </c>
      <c r="X345" s="11">
        <f ca="1">IFERROR(__xludf.DUMMYFUNCTION("""COMPUTED_VALUE"""),-104971.51035)</f>
        <v>-104971.51035</v>
      </c>
      <c r="Y345" s="11">
        <f ca="1">IFERROR(__xludf.DUMMYFUNCTION("""COMPUTED_VALUE"""),104971.51035)</f>
        <v>104971.51035</v>
      </c>
      <c r="Z345" s="4">
        <f ca="1">IFERROR(__xludf.DUMMYFUNCTION("""COMPUTED_VALUE"""),-0.0788409473399996)</f>
        <v>-7.8840947339999606E-2</v>
      </c>
    </row>
    <row r="346" spans="1:26" ht="13" x14ac:dyDescent="0.15">
      <c r="A346" s="43" t="str">
        <f ca="1">IFERROR(__xludf.DUMMYFUNCTION("""COMPUTED_VALUE"""),"46446")</f>
        <v>46446</v>
      </c>
      <c r="B346" s="43" t="str">
        <f ca="1">IFERROR(__xludf.DUMMYFUNCTION("""COMPUTED_VALUE"""),"46446")</f>
        <v>46446</v>
      </c>
      <c r="C346" s="146">
        <f ca="1">IFERROR(__xludf.DUMMYFUNCTION("""COMPUTED_VALUE"""),44597000059)</f>
        <v>44597000059</v>
      </c>
      <c r="D346" s="43" t="str">
        <f ca="1">IFERROR(__xludf.DUMMYFUNCTION("""COMPUTED_VALUE"""),"Cash")</f>
        <v>Cash</v>
      </c>
      <c r="E346" s="147">
        <f ca="1">IFERROR(__xludf.DUMMYFUNCTION("""COMPUTED_VALUE"""),44597)</f>
        <v>44597</v>
      </c>
      <c r="F346" s="43" t="str">
        <f ca="1">IFERROR(__xludf.DUMMYFUNCTION("""COMPUTED_VALUE"""),"Cash")</f>
        <v>Cash</v>
      </c>
      <c r="G346" s="43" t="str">
        <f ca="1">IFERROR(__xludf.DUMMYFUNCTION("""COMPUTED_VALUE"""),"HKD")</f>
        <v>HKD</v>
      </c>
      <c r="H346" s="154" t="str">
        <f ca="1">IFERROR(__xludf.DUMMYFUNCTION("""COMPUTED_VALUE"""),"")</f>
        <v/>
      </c>
      <c r="I346" s="148">
        <f ca="1">IFERROR(__xludf.DUMMYFUNCTION("""COMPUTED_VALUE"""),1)</f>
        <v>1</v>
      </c>
      <c r="J346" s="149">
        <f ca="1">IFERROR(__xludf.DUMMYFUNCTION("""COMPUTED_VALUE"""),1)</f>
        <v>1</v>
      </c>
      <c r="K346" s="43"/>
      <c r="L346" s="149">
        <f ca="1">IFERROR(__xludf.DUMMYFUNCTION("""COMPUTED_VALUE"""),1)</f>
        <v>1</v>
      </c>
      <c r="M346" s="155" t="str">
        <f ca="1">IFERROR(__xludf.DUMMYFUNCTION("""COMPUTED_VALUE"""),"")</f>
        <v/>
      </c>
      <c r="N346" s="43"/>
      <c r="O346" s="43"/>
      <c r="P346" s="157">
        <f ca="1">IFERROR(__xludf.DUMMYFUNCTION("""COMPUTED_VALUE"""),500000)</f>
        <v>500000</v>
      </c>
      <c r="Q346" s="151"/>
      <c r="R346" s="152">
        <f ca="1">IFERROR(__xludf.DUMMYFUNCTION("""COMPUTED_VALUE"""),1)</f>
        <v>1</v>
      </c>
      <c r="S346" s="150" t="str">
        <f ca="1">IFERROR(__xludf.DUMMYFUNCTION("""COMPUTED_VALUE"""),"")</f>
        <v/>
      </c>
      <c r="T346" s="108">
        <f ca="1">IFERROR(__xludf.DUMMYFUNCTION("""COMPUTED_VALUE"""),1)</f>
        <v>1</v>
      </c>
      <c r="U346" s="108">
        <f ca="1">IFERROR(__xludf.DUMMYFUNCTION("""COMPUTED_VALUE"""),1)</f>
        <v>1</v>
      </c>
      <c r="V346" s="153">
        <f ca="1">IFERROR(__xludf.DUMMYFUNCTION("""COMPUTED_VALUE"""),500000)</f>
        <v>500000</v>
      </c>
      <c r="W346" s="44">
        <f ca="1">IFERROR(__xludf.DUMMYFUNCTION("""COMPUTED_VALUE"""),500000)</f>
        <v>500000</v>
      </c>
      <c r="X346" s="154">
        <f ca="1">IFERROR(__xludf.DUMMYFUNCTION("""COMPUTED_VALUE"""),500000)</f>
        <v>500000</v>
      </c>
      <c r="Y346" s="154">
        <f ca="1">IFERROR(__xludf.DUMMYFUNCTION("""COMPUTED_VALUE"""),0)</f>
        <v>0</v>
      </c>
      <c r="Z346" s="159">
        <f ca="1">IFERROR(__xludf.DUMMYFUNCTION("""COMPUTED_VALUE"""),0)</f>
        <v>0</v>
      </c>
    </row>
    <row r="347" spans="1:26" ht="13" x14ac:dyDescent="0.15">
      <c r="A347" s="43" t="str">
        <f ca="1">IFERROR(__xludf.DUMMYFUNCTION("""COMPUTED_VALUE"""),"")</f>
        <v/>
      </c>
      <c r="B347" s="43" t="str">
        <f ca="1">IFERROR(__xludf.DUMMYFUNCTION("""COMPUTED_VALUE"""),"46600")</f>
        <v>46600</v>
      </c>
      <c r="C347" s="146">
        <f ca="1">IFERROR(__xludf.DUMMYFUNCTION("""COMPUTED_VALUE"""),44597000099)</f>
        <v>44597000099</v>
      </c>
      <c r="D347" s="43" t="str">
        <f ca="1">IFERROR(__xludf.DUMMYFUNCTION("""COMPUTED_VALUE"""),"Cash")</f>
        <v>Cash</v>
      </c>
      <c r="E347" s="147">
        <f ca="1">IFERROR(__xludf.DUMMYFUNCTION("""COMPUTED_VALUE"""),44597)</f>
        <v>44597</v>
      </c>
      <c r="F347" s="43" t="str">
        <f ca="1">IFERROR(__xludf.DUMMYFUNCTION("""COMPUTED_VALUE"""),"Cash")</f>
        <v>Cash</v>
      </c>
      <c r="G347" s="43" t="str">
        <f ca="1">IFERROR(__xludf.DUMMYFUNCTION("""COMPUTED_VALUE"""),"HKD")</f>
        <v>HKD</v>
      </c>
      <c r="H347" s="11" t="str">
        <f ca="1">IFERROR(__xludf.DUMMYFUNCTION("""COMPUTED_VALUE"""),"")</f>
        <v/>
      </c>
      <c r="I347" s="148">
        <f ca="1">IFERROR(__xludf.DUMMYFUNCTION("""COMPUTED_VALUE"""),1)</f>
        <v>1</v>
      </c>
      <c r="J347" s="108">
        <f ca="1">IFERROR(__xludf.DUMMYFUNCTION("""COMPUTED_VALUE"""),1)</f>
        <v>1</v>
      </c>
      <c r="K347" s="43"/>
      <c r="L347" s="149">
        <f ca="1">IFERROR(__xludf.DUMMYFUNCTION("""COMPUTED_VALUE"""),1)</f>
        <v>1</v>
      </c>
      <c r="M347" s="3" t="str">
        <f ca="1">IFERROR(__xludf.DUMMYFUNCTION("""COMPUTED_VALUE"""),"")</f>
        <v/>
      </c>
      <c r="N347" s="43"/>
      <c r="O347" s="43"/>
      <c r="P347" s="150">
        <f ca="1">IFERROR(__xludf.DUMMYFUNCTION("""COMPUTED_VALUE"""),500000)</f>
        <v>500000</v>
      </c>
      <c r="Q347" s="151"/>
      <c r="R347" s="152">
        <f ca="1">IFERROR(__xludf.DUMMYFUNCTION("""COMPUTED_VALUE"""),1)</f>
        <v>1</v>
      </c>
      <c r="S347" s="127" t="str">
        <f ca="1">IFERROR(__xludf.DUMMYFUNCTION("""COMPUTED_VALUE"""),"")</f>
        <v/>
      </c>
      <c r="T347" s="108">
        <f ca="1">IFERROR(__xludf.DUMMYFUNCTION("""COMPUTED_VALUE"""),1)</f>
        <v>1</v>
      </c>
      <c r="U347" s="108">
        <f ca="1">IFERROR(__xludf.DUMMYFUNCTION("""COMPUTED_VALUE"""),1)</f>
        <v>1</v>
      </c>
      <c r="V347" s="153">
        <f ca="1">IFERROR(__xludf.DUMMYFUNCTION("""COMPUTED_VALUE"""),500000)</f>
        <v>500000</v>
      </c>
      <c r="W347" s="145" t="str">
        <f ca="1">IFERROR(__xludf.DUMMYFUNCTION("""COMPUTED_VALUE"""),"")</f>
        <v/>
      </c>
      <c r="X347" s="11" t="str">
        <f ca="1">IFERROR(__xludf.DUMMYFUNCTION("""COMPUTED_VALUE"""),"")</f>
        <v/>
      </c>
      <c r="Y347" s="11" t="str">
        <f ca="1">IFERROR(__xludf.DUMMYFUNCTION("""COMPUTED_VALUE"""),"")</f>
        <v/>
      </c>
      <c r="Z347" s="4" t="str">
        <f ca="1">IFERROR(__xludf.DUMMYFUNCTION("""COMPUTED_VALUE"""),"")</f>
        <v/>
      </c>
    </row>
    <row r="348" spans="1:26" ht="13" x14ac:dyDescent="0.15">
      <c r="A348" s="43" t="str">
        <f ca="1">IFERROR(__xludf.DUMMYFUNCTION("""COMPUTED_VALUE"""),"")</f>
        <v/>
      </c>
      <c r="B348" s="43" t="str">
        <f ca="1">IFERROR(__xludf.DUMMYFUNCTION("""COMPUTED_VALUE"""),"46600")</f>
        <v>46600</v>
      </c>
      <c r="C348" s="146">
        <f ca="1">IFERROR(__xludf.DUMMYFUNCTION("""COMPUTED_VALUE"""),44635000572)</f>
        <v>44635000572</v>
      </c>
      <c r="D348" s="163" t="str">
        <f ca="1">IFERROR(__xludf.DUMMYFUNCTION("""COMPUTED_VALUE"""),"0700.HK")</f>
        <v>0700.HK</v>
      </c>
      <c r="E348" s="147">
        <f ca="1">IFERROR(__xludf.DUMMYFUNCTION("""COMPUTED_VALUE"""),44635)</f>
        <v>44635</v>
      </c>
      <c r="F348" s="43" t="str">
        <f ca="1">IFERROR(__xludf.DUMMYFUNCTION("""COMPUTED_VALUE"""),"Stock")</f>
        <v>Stock</v>
      </c>
      <c r="G348" s="43" t="str">
        <f ca="1">IFERROR(__xludf.DUMMYFUNCTION("""COMPUTED_VALUE"""),"HKD")</f>
        <v>HKD</v>
      </c>
      <c r="H348" s="154">
        <f ca="1">IFERROR(__xludf.DUMMYFUNCTION("""COMPUTED_VALUE"""),200)</f>
        <v>200</v>
      </c>
      <c r="I348" s="148">
        <f ca="1">IFERROR(__xludf.DUMMYFUNCTION("""COMPUTED_VALUE"""),1)</f>
        <v>1</v>
      </c>
      <c r="J348" s="149">
        <f ca="1">IFERROR(__xludf.DUMMYFUNCTION("""COMPUTED_VALUE"""),298)</f>
        <v>298</v>
      </c>
      <c r="K348" s="43"/>
      <c r="L348" s="149">
        <f ca="1">IFERROR(__xludf.DUMMYFUNCTION("""COMPUTED_VALUE"""),388)</f>
        <v>388</v>
      </c>
      <c r="M348" s="155" t="str">
        <f ca="1">IFERROR(__xludf.DUMMYFUNCTION("""COMPUTED_VALUE"""),"Equity Key Stats")</f>
        <v>Equity Key Stats</v>
      </c>
      <c r="N348" s="43"/>
      <c r="O348" s="43"/>
      <c r="P348" s="157">
        <f ca="1">IFERROR(__xludf.DUMMYFUNCTION("""COMPUTED_VALUE"""),-59600)</f>
        <v>-59600</v>
      </c>
      <c r="Q348" s="151"/>
      <c r="R348" s="152">
        <f ca="1">IFERROR(__xludf.DUMMYFUNCTION("""COMPUTED_VALUE"""),389)</f>
        <v>389</v>
      </c>
      <c r="S348" s="150">
        <f ca="1">IFERROR(__xludf.DUMMYFUNCTION("""COMPUTED_VALUE"""),77800)</f>
        <v>77800</v>
      </c>
      <c r="T348" s="108">
        <f ca="1">IFERROR(__xludf.DUMMYFUNCTION("""COMPUTED_VALUE"""),4)</f>
        <v>4</v>
      </c>
      <c r="U348" s="43" t="str">
        <f ca="1">IFERROR(__xludf.DUMMYFUNCTION("""COMPUTED_VALUE"""),"")</f>
        <v/>
      </c>
      <c r="V348" s="144" t="str">
        <f ca="1">IFERROR(__xludf.DUMMYFUNCTION("""COMPUTED_VALUE"""),"")</f>
        <v/>
      </c>
      <c r="W348" s="145" t="str">
        <f ca="1">IFERROR(__xludf.DUMMYFUNCTION("""COMPUTED_VALUE"""),"")</f>
        <v/>
      </c>
      <c r="X348" s="11" t="str">
        <f ca="1">IFERROR(__xludf.DUMMYFUNCTION("""COMPUTED_VALUE"""),"")</f>
        <v/>
      </c>
      <c r="Y348" s="11" t="str">
        <f ca="1">IFERROR(__xludf.DUMMYFUNCTION("""COMPUTED_VALUE"""),"")</f>
        <v/>
      </c>
      <c r="Z348" s="4" t="str">
        <f ca="1">IFERROR(__xludf.DUMMYFUNCTION("""COMPUTED_VALUE"""),"")</f>
        <v/>
      </c>
    </row>
    <row r="349" spans="1:26" ht="13" x14ac:dyDescent="0.15">
      <c r="A349" s="43" t="str">
        <f ca="1">IFERROR(__xludf.DUMMYFUNCTION("""COMPUTED_VALUE"""),"")</f>
        <v/>
      </c>
      <c r="B349" s="43" t="str">
        <f ca="1">IFERROR(__xludf.DUMMYFUNCTION("""COMPUTED_VALUE"""),"46600")</f>
        <v>46600</v>
      </c>
      <c r="C349" s="146">
        <f ca="1">IFERROR(__xludf.DUMMYFUNCTION("""COMPUTED_VALUE"""),44637000668)</f>
        <v>44637000668</v>
      </c>
      <c r="D349" s="163" t="str">
        <f ca="1">IFERROR(__xludf.DUMMYFUNCTION("""COMPUTED_VALUE"""),"0700.HK")</f>
        <v>0700.HK</v>
      </c>
      <c r="E349" s="147">
        <f ca="1">IFERROR(__xludf.DUMMYFUNCTION("""COMPUTED_VALUE"""),44637)</f>
        <v>44637</v>
      </c>
      <c r="F349" s="43" t="str">
        <f ca="1">IFERROR(__xludf.DUMMYFUNCTION("""COMPUTED_VALUE"""),"Stock")</f>
        <v>Stock</v>
      </c>
      <c r="G349" s="43" t="str">
        <f ca="1">IFERROR(__xludf.DUMMYFUNCTION("""COMPUTED_VALUE"""),"HKD")</f>
        <v>HKD</v>
      </c>
      <c r="H349" s="154">
        <f ca="1">IFERROR(__xludf.DUMMYFUNCTION("""COMPUTED_VALUE"""),0)</f>
        <v>0</v>
      </c>
      <c r="I349" s="148">
        <f ca="1">IFERROR(__xludf.DUMMYFUNCTION("""COMPUTED_VALUE"""),1)</f>
        <v>1</v>
      </c>
      <c r="J349" s="149">
        <f ca="1">IFERROR(__xludf.DUMMYFUNCTION("""COMPUTED_VALUE"""),0)</f>
        <v>0</v>
      </c>
      <c r="K349" s="43"/>
      <c r="L349" s="149">
        <f ca="1">IFERROR(__xludf.DUMMYFUNCTION("""COMPUTED_VALUE"""),388)</f>
        <v>388</v>
      </c>
      <c r="M349" s="155" t="str">
        <f ca="1">IFERROR(__xludf.DUMMYFUNCTION("""COMPUTED_VALUE"""),"Equity Key Stats")</f>
        <v>Equity Key Stats</v>
      </c>
      <c r="N349" s="43"/>
      <c r="O349" s="43"/>
      <c r="P349" s="157">
        <f ca="1">IFERROR(__xludf.DUMMYFUNCTION("""COMPUTED_VALUE"""),0)</f>
        <v>0</v>
      </c>
      <c r="Q349" s="151"/>
      <c r="R349" s="152">
        <f ca="1">IFERROR(__xludf.DUMMYFUNCTION("""COMPUTED_VALUE"""),389)</f>
        <v>389</v>
      </c>
      <c r="S349" s="150">
        <f ca="1">IFERROR(__xludf.DUMMYFUNCTION("""COMPUTED_VALUE"""),0)</f>
        <v>0</v>
      </c>
      <c r="T349" s="108">
        <f ca="1">IFERROR(__xludf.DUMMYFUNCTION("""COMPUTED_VALUE"""),4)</f>
        <v>4</v>
      </c>
      <c r="U349" s="108" t="str">
        <f ca="1">IFERROR(__xludf.DUMMYFUNCTION("""COMPUTED_VALUE"""),"")</f>
        <v/>
      </c>
      <c r="V349" s="158" t="str">
        <f ca="1">IFERROR(__xludf.DUMMYFUNCTION("""COMPUTED_VALUE"""),"")</f>
        <v/>
      </c>
      <c r="W349" s="145" t="str">
        <f ca="1">IFERROR(__xludf.DUMMYFUNCTION("""COMPUTED_VALUE"""),"")</f>
        <v/>
      </c>
      <c r="X349" s="11" t="str">
        <f ca="1">IFERROR(__xludf.DUMMYFUNCTION("""COMPUTED_VALUE"""),"")</f>
        <v/>
      </c>
      <c r="Y349" s="11" t="str">
        <f ca="1">IFERROR(__xludf.DUMMYFUNCTION("""COMPUTED_VALUE"""),"")</f>
        <v/>
      </c>
      <c r="Z349" s="4" t="str">
        <f ca="1">IFERROR(__xludf.DUMMYFUNCTION("""COMPUTED_VALUE"""),"")</f>
        <v/>
      </c>
    </row>
    <row r="350" spans="1:26" ht="13" x14ac:dyDescent="0.15">
      <c r="A350" s="43" t="str">
        <f ca="1">IFERROR(__xludf.DUMMYFUNCTION("""COMPUTED_VALUE"""),"")</f>
        <v/>
      </c>
      <c r="B350" s="43" t="str">
        <f ca="1">IFERROR(__xludf.DUMMYFUNCTION("""COMPUTED_VALUE"""),"46600")</f>
        <v>46600</v>
      </c>
      <c r="C350" s="146">
        <f ca="1">IFERROR(__xludf.DUMMYFUNCTION("""COMPUTED_VALUE"""),44638000675)</f>
        <v>44638000675</v>
      </c>
      <c r="D350" s="163" t="str">
        <f ca="1">IFERROR(__xludf.DUMMYFUNCTION("""COMPUTED_VALUE"""),"9988.HK")</f>
        <v>9988.HK</v>
      </c>
      <c r="E350" s="147">
        <f ca="1">IFERROR(__xludf.DUMMYFUNCTION("""COMPUTED_VALUE"""),44638)</f>
        <v>44638</v>
      </c>
      <c r="F350" s="43" t="str">
        <f ca="1">IFERROR(__xludf.DUMMYFUNCTION("""COMPUTED_VALUE"""),"Stock")</f>
        <v>Stock</v>
      </c>
      <c r="G350" s="43" t="str">
        <f ca="1">IFERROR(__xludf.DUMMYFUNCTION("""COMPUTED_VALUE"""),"HKD")</f>
        <v>HKD</v>
      </c>
      <c r="H350" s="156">
        <f ca="1">IFERROR(__xludf.DUMMYFUNCTION("""COMPUTED_VALUE"""),30)</f>
        <v>30</v>
      </c>
      <c r="I350" s="148">
        <f ca="1">IFERROR(__xludf.DUMMYFUNCTION("""COMPUTED_VALUE"""),1)</f>
        <v>1</v>
      </c>
      <c r="J350" s="149">
        <f ca="1">IFERROR(__xludf.DUMMYFUNCTION("""COMPUTED_VALUE"""),98.35)</f>
        <v>98.35</v>
      </c>
      <c r="K350" s="43"/>
      <c r="L350" s="149">
        <f ca="1">IFERROR(__xludf.DUMMYFUNCTION("""COMPUTED_VALUE"""),110.2)</f>
        <v>110.2</v>
      </c>
      <c r="M350" s="155" t="str">
        <f ca="1">IFERROR(__xludf.DUMMYFUNCTION("""COMPUTED_VALUE"""),"Equity Key Stats")</f>
        <v>Equity Key Stats</v>
      </c>
      <c r="N350" s="43"/>
      <c r="O350" s="43"/>
      <c r="P350" s="150">
        <f ca="1">IFERROR(__xludf.DUMMYFUNCTION("""COMPUTED_VALUE"""),-2950.5)</f>
        <v>-2950.5</v>
      </c>
      <c r="Q350" s="151"/>
      <c r="R350" s="152">
        <f ca="1">IFERROR(__xludf.DUMMYFUNCTION("""COMPUTED_VALUE"""),117.6)</f>
        <v>117.6</v>
      </c>
      <c r="S350" s="157">
        <f ca="1">IFERROR(__xludf.DUMMYFUNCTION("""COMPUTED_VALUE"""),3528)</f>
        <v>3528</v>
      </c>
      <c r="T350" s="108">
        <f ca="1">IFERROR(__xludf.DUMMYFUNCTION("""COMPUTED_VALUE"""),3)</f>
        <v>3</v>
      </c>
      <c r="U350" s="108" t="str">
        <f ca="1">IFERROR(__xludf.DUMMYFUNCTION("""COMPUTED_VALUE"""),"")</f>
        <v/>
      </c>
      <c r="V350" s="158" t="str">
        <f ca="1">IFERROR(__xludf.DUMMYFUNCTION("""COMPUTED_VALUE"""),"")</f>
        <v/>
      </c>
      <c r="W350" s="44" t="str">
        <f ca="1">IFERROR(__xludf.DUMMYFUNCTION("""COMPUTED_VALUE"""),"")</f>
        <v/>
      </c>
      <c r="X350" s="154" t="str">
        <f ca="1">IFERROR(__xludf.DUMMYFUNCTION("""COMPUTED_VALUE"""),"")</f>
        <v/>
      </c>
      <c r="Y350" s="154" t="str">
        <f ca="1">IFERROR(__xludf.DUMMYFUNCTION("""COMPUTED_VALUE"""),"")</f>
        <v/>
      </c>
      <c r="Z350" s="162" t="str">
        <f ca="1">IFERROR(__xludf.DUMMYFUNCTION("""COMPUTED_VALUE"""),"")</f>
        <v/>
      </c>
    </row>
    <row r="351" spans="1:26" ht="13" x14ac:dyDescent="0.15">
      <c r="A351" s="43" t="str">
        <f ca="1">IFERROR(__xludf.DUMMYFUNCTION("""COMPUTED_VALUE"""),"")</f>
        <v/>
      </c>
      <c r="B351" s="43" t="str">
        <f ca="1">IFERROR(__xludf.DUMMYFUNCTION("""COMPUTED_VALUE"""),"46600")</f>
        <v>46600</v>
      </c>
      <c r="C351" s="146">
        <f ca="1">IFERROR(__xludf.DUMMYFUNCTION("""COMPUTED_VALUE"""),44638000692)</f>
        <v>44638000692</v>
      </c>
      <c r="D351" s="161" t="str">
        <f ca="1">IFERROR(__xludf.DUMMYFUNCTION("""COMPUTED_VALUE"""),"0700.HK")</f>
        <v>0700.HK</v>
      </c>
      <c r="E351" s="147">
        <f ca="1">IFERROR(__xludf.DUMMYFUNCTION("""COMPUTED_VALUE"""),44638)</f>
        <v>44638</v>
      </c>
      <c r="F351" s="43" t="str">
        <f ca="1">IFERROR(__xludf.DUMMYFUNCTION("""COMPUTED_VALUE"""),"Stock")</f>
        <v>Stock</v>
      </c>
      <c r="G351" s="43" t="str">
        <f ca="1">IFERROR(__xludf.DUMMYFUNCTION("""COMPUTED_VALUE"""),"HKD")</f>
        <v>HKD</v>
      </c>
      <c r="H351" s="11">
        <f ca="1">IFERROR(__xludf.DUMMYFUNCTION("""COMPUTED_VALUE"""),50)</f>
        <v>50</v>
      </c>
      <c r="I351" s="148">
        <f ca="1">IFERROR(__xludf.DUMMYFUNCTION("""COMPUTED_VALUE"""),1)</f>
        <v>1</v>
      </c>
      <c r="J351" s="149">
        <f ca="1">IFERROR(__xludf.DUMMYFUNCTION("""COMPUTED_VALUE"""),381)</f>
        <v>381</v>
      </c>
      <c r="K351" s="43"/>
      <c r="L351" s="149">
        <f ca="1">IFERROR(__xludf.DUMMYFUNCTION("""COMPUTED_VALUE"""),388)</f>
        <v>388</v>
      </c>
      <c r="M351" s="160" t="str">
        <f ca="1">IFERROR(__xludf.DUMMYFUNCTION("""COMPUTED_VALUE"""),"Equity Key Stats")</f>
        <v>Equity Key Stats</v>
      </c>
      <c r="N351" s="43"/>
      <c r="O351" s="43"/>
      <c r="P351" s="150">
        <f ca="1">IFERROR(__xludf.DUMMYFUNCTION("""COMPUTED_VALUE"""),-19050)</f>
        <v>-19050</v>
      </c>
      <c r="Q351" s="151"/>
      <c r="R351" s="152">
        <f ca="1">IFERROR(__xludf.DUMMYFUNCTION("""COMPUTED_VALUE"""),389)</f>
        <v>389</v>
      </c>
      <c r="S351" s="127">
        <f ca="1">IFERROR(__xludf.DUMMYFUNCTION("""COMPUTED_VALUE"""),19450)</f>
        <v>19450</v>
      </c>
      <c r="T351" s="108">
        <f ca="1">IFERROR(__xludf.DUMMYFUNCTION("""COMPUTED_VALUE"""),4)</f>
        <v>4</v>
      </c>
      <c r="U351" s="108" t="str">
        <f ca="1">IFERROR(__xludf.DUMMYFUNCTION("""COMPUTED_VALUE"""),"")</f>
        <v/>
      </c>
      <c r="V351" s="153" t="str">
        <f ca="1">IFERROR(__xludf.DUMMYFUNCTION("""COMPUTED_VALUE"""),"")</f>
        <v/>
      </c>
      <c r="W351" s="44" t="str">
        <f ca="1">IFERROR(__xludf.DUMMYFUNCTION("""COMPUTED_VALUE"""),"")</f>
        <v/>
      </c>
      <c r="X351" s="154" t="str">
        <f ca="1">IFERROR(__xludf.DUMMYFUNCTION("""COMPUTED_VALUE"""),"")</f>
        <v/>
      </c>
      <c r="Y351" s="154" t="str">
        <f ca="1">IFERROR(__xludf.DUMMYFUNCTION("""COMPUTED_VALUE"""),"")</f>
        <v/>
      </c>
      <c r="Z351" s="159" t="str">
        <f ca="1">IFERROR(__xludf.DUMMYFUNCTION("""COMPUTED_VALUE"""),"")</f>
        <v/>
      </c>
    </row>
    <row r="352" spans="1:26" ht="13" x14ac:dyDescent="0.15">
      <c r="A352" s="43" t="str">
        <f ca="1">IFERROR(__xludf.DUMMYFUNCTION("""COMPUTED_VALUE"""),"")</f>
        <v/>
      </c>
      <c r="B352" s="43" t="str">
        <f ca="1">IFERROR(__xludf.DUMMYFUNCTION("""COMPUTED_VALUE"""),"46600")</f>
        <v>46600</v>
      </c>
      <c r="C352" s="146">
        <f ca="1">IFERROR(__xludf.DUMMYFUNCTION("""COMPUTED_VALUE"""),44641000705)</f>
        <v>44641000705</v>
      </c>
      <c r="D352" s="161" t="str">
        <f ca="1">IFERROR(__xludf.DUMMYFUNCTION("""COMPUTED_VALUE"""),"9988.HK")</f>
        <v>9988.HK</v>
      </c>
      <c r="E352" s="147">
        <f ca="1">IFERROR(__xludf.DUMMYFUNCTION("""COMPUTED_VALUE"""),44641)</f>
        <v>44641</v>
      </c>
      <c r="F352" s="43" t="str">
        <f ca="1">IFERROR(__xludf.DUMMYFUNCTION("""COMPUTED_VALUE"""),"Stock")</f>
        <v>Stock</v>
      </c>
      <c r="G352" s="43" t="str">
        <f ca="1">IFERROR(__xludf.DUMMYFUNCTION("""COMPUTED_VALUE"""),"HKD")</f>
        <v>HKD</v>
      </c>
      <c r="H352" s="11">
        <f ca="1">IFERROR(__xludf.DUMMYFUNCTION("""COMPUTED_VALUE"""),100)</f>
        <v>100</v>
      </c>
      <c r="I352" s="148">
        <f ca="1">IFERROR(__xludf.DUMMYFUNCTION("""COMPUTED_VALUE"""),1)</f>
        <v>1</v>
      </c>
      <c r="J352" s="149">
        <f ca="1">IFERROR(__xludf.DUMMYFUNCTION("""COMPUTED_VALUE"""),99.1)</f>
        <v>99.1</v>
      </c>
      <c r="K352" s="43"/>
      <c r="L352" s="149">
        <f ca="1">IFERROR(__xludf.DUMMYFUNCTION("""COMPUTED_VALUE"""),110.2)</f>
        <v>110.2</v>
      </c>
      <c r="M352" s="160" t="str">
        <f ca="1">IFERROR(__xludf.DUMMYFUNCTION("""COMPUTED_VALUE"""),"Equity Key Stats")</f>
        <v>Equity Key Stats</v>
      </c>
      <c r="N352" s="43"/>
      <c r="O352" s="43"/>
      <c r="P352" s="150">
        <f ca="1">IFERROR(__xludf.DUMMYFUNCTION("""COMPUTED_VALUE"""),-9910)</f>
        <v>-9910</v>
      </c>
      <c r="Q352" s="151"/>
      <c r="R352" s="152">
        <f ca="1">IFERROR(__xludf.DUMMYFUNCTION("""COMPUTED_VALUE"""),117.6)</f>
        <v>117.6</v>
      </c>
      <c r="S352" s="127">
        <f ca="1">IFERROR(__xludf.DUMMYFUNCTION("""COMPUTED_VALUE"""),11760)</f>
        <v>11760</v>
      </c>
      <c r="T352" s="108">
        <f ca="1">IFERROR(__xludf.DUMMYFUNCTION("""COMPUTED_VALUE"""),3)</f>
        <v>3</v>
      </c>
      <c r="U352" s="108" t="str">
        <f ca="1">IFERROR(__xludf.DUMMYFUNCTION("""COMPUTED_VALUE"""),"")</f>
        <v/>
      </c>
      <c r="V352" s="153" t="str">
        <f ca="1">IFERROR(__xludf.DUMMYFUNCTION("""COMPUTED_VALUE"""),"")</f>
        <v/>
      </c>
      <c r="W352" s="145" t="str">
        <f ca="1">IFERROR(__xludf.DUMMYFUNCTION("""COMPUTED_VALUE"""),"")</f>
        <v/>
      </c>
      <c r="X352" s="11" t="str">
        <f ca="1">IFERROR(__xludf.DUMMYFUNCTION("""COMPUTED_VALUE"""),"")</f>
        <v/>
      </c>
      <c r="Y352" s="11" t="str">
        <f ca="1">IFERROR(__xludf.DUMMYFUNCTION("""COMPUTED_VALUE"""),"")</f>
        <v/>
      </c>
      <c r="Z352" s="4" t="str">
        <f ca="1">IFERROR(__xludf.DUMMYFUNCTION("""COMPUTED_VALUE"""),"")</f>
        <v/>
      </c>
    </row>
    <row r="353" spans="1:26" ht="13" x14ac:dyDescent="0.15">
      <c r="A353" s="43" t="str">
        <f ca="1">IFERROR(__xludf.DUMMYFUNCTION("""COMPUTED_VALUE"""),"")</f>
        <v/>
      </c>
      <c r="B353" s="43" t="str">
        <f ca="1">IFERROR(__xludf.DUMMYFUNCTION("""COMPUTED_VALUE"""),"46600")</f>
        <v>46600</v>
      </c>
      <c r="C353" s="146">
        <f ca="1">IFERROR(__xludf.DUMMYFUNCTION("""COMPUTED_VALUE"""),44643000807)</f>
        <v>44643000807</v>
      </c>
      <c r="D353" s="161" t="str">
        <f ca="1">IFERROR(__xludf.DUMMYFUNCTION("""COMPUTED_VALUE"""),"9988.HK")</f>
        <v>9988.HK</v>
      </c>
      <c r="E353" s="147">
        <f ca="1">IFERROR(__xludf.DUMMYFUNCTION("""COMPUTED_VALUE"""),44643)</f>
        <v>44643</v>
      </c>
      <c r="F353" s="43" t="str">
        <f ca="1">IFERROR(__xludf.DUMMYFUNCTION("""COMPUTED_VALUE"""),"Stock")</f>
        <v>Stock</v>
      </c>
      <c r="G353" s="43" t="str">
        <f ca="1">IFERROR(__xludf.DUMMYFUNCTION("""COMPUTED_VALUE"""),"HKD")</f>
        <v>HKD</v>
      </c>
      <c r="H353" s="154">
        <f ca="1">IFERROR(__xludf.DUMMYFUNCTION("""COMPUTED_VALUE"""),-130)</f>
        <v>-130</v>
      </c>
      <c r="I353" s="148">
        <f ca="1">IFERROR(__xludf.DUMMYFUNCTION("""COMPUTED_VALUE"""),1)</f>
        <v>1</v>
      </c>
      <c r="J353" s="149">
        <f ca="1">IFERROR(__xludf.DUMMYFUNCTION("""COMPUTED_VALUE"""),117.6)</f>
        <v>117.6</v>
      </c>
      <c r="K353" s="43"/>
      <c r="L353" s="149">
        <f ca="1">IFERROR(__xludf.DUMMYFUNCTION("""COMPUTED_VALUE"""),110.2)</f>
        <v>110.2</v>
      </c>
      <c r="M353" s="155" t="str">
        <f ca="1">IFERROR(__xludf.DUMMYFUNCTION("""COMPUTED_VALUE"""),"Equity Key Stats")</f>
        <v>Equity Key Stats</v>
      </c>
      <c r="N353" s="43"/>
      <c r="O353" s="43"/>
      <c r="P353" s="157">
        <f ca="1">IFERROR(__xludf.DUMMYFUNCTION("""COMPUTED_VALUE"""),15288)</f>
        <v>15288</v>
      </c>
      <c r="Q353" s="151"/>
      <c r="R353" s="152">
        <f ca="1">IFERROR(__xludf.DUMMYFUNCTION("""COMPUTED_VALUE"""),117.6)</f>
        <v>117.6</v>
      </c>
      <c r="S353" s="150">
        <f ca="1">IFERROR(__xludf.DUMMYFUNCTION("""COMPUTED_VALUE"""),-15288)</f>
        <v>-15288</v>
      </c>
      <c r="T353" s="108">
        <f ca="1">IFERROR(__xludf.DUMMYFUNCTION("""COMPUTED_VALUE"""),3)</f>
        <v>3</v>
      </c>
      <c r="U353" s="43">
        <f ca="1">IFERROR(__xludf.DUMMYFUNCTION("""COMPUTED_VALUE"""),1)</f>
        <v>1</v>
      </c>
      <c r="V353" s="144">
        <f ca="1">IFERROR(__xludf.DUMMYFUNCTION("""COMPUTED_VALUE"""),2427.5)</f>
        <v>2427.5</v>
      </c>
      <c r="W353" s="145" t="str">
        <f ca="1">IFERROR(__xludf.DUMMYFUNCTION("""COMPUTED_VALUE"""),"")</f>
        <v/>
      </c>
      <c r="X353" s="11" t="str">
        <f ca="1">IFERROR(__xludf.DUMMYFUNCTION("""COMPUTED_VALUE"""),"")</f>
        <v/>
      </c>
      <c r="Y353" s="11" t="str">
        <f ca="1">IFERROR(__xludf.DUMMYFUNCTION("""COMPUTED_VALUE"""),"")</f>
        <v/>
      </c>
      <c r="Z353" s="4" t="str">
        <f ca="1">IFERROR(__xludf.DUMMYFUNCTION("""COMPUTED_VALUE"""),"")</f>
        <v/>
      </c>
    </row>
    <row r="354" spans="1:26" ht="13" x14ac:dyDescent="0.15">
      <c r="A354" s="43" t="str">
        <f ca="1">IFERROR(__xludf.DUMMYFUNCTION("""COMPUTED_VALUE"""),"")</f>
        <v/>
      </c>
      <c r="B354" s="43" t="str">
        <f ca="1">IFERROR(__xludf.DUMMYFUNCTION("""COMPUTED_VALUE"""),"46600")</f>
        <v>46600</v>
      </c>
      <c r="C354" s="146">
        <f ca="1">IFERROR(__xludf.DUMMYFUNCTION("""COMPUTED_VALUE"""),44643000808)</f>
        <v>44643000808</v>
      </c>
      <c r="D354" s="161" t="str">
        <f ca="1">IFERROR(__xludf.DUMMYFUNCTION("""COMPUTED_VALUE"""),"0700.HK")</f>
        <v>0700.HK</v>
      </c>
      <c r="E354" s="147">
        <f ca="1">IFERROR(__xludf.DUMMYFUNCTION("""COMPUTED_VALUE"""),44643)</f>
        <v>44643</v>
      </c>
      <c r="F354" s="43" t="str">
        <f ca="1">IFERROR(__xludf.DUMMYFUNCTION("""COMPUTED_VALUE"""),"Stock")</f>
        <v>Stock</v>
      </c>
      <c r="G354" s="43" t="str">
        <f ca="1">IFERROR(__xludf.DUMMYFUNCTION("""COMPUTED_VALUE"""),"HKD")</f>
        <v>HKD</v>
      </c>
      <c r="H354" s="154">
        <f ca="1">IFERROR(__xludf.DUMMYFUNCTION("""COMPUTED_VALUE"""),-250)</f>
        <v>-250</v>
      </c>
      <c r="I354" s="148">
        <f ca="1">IFERROR(__xludf.DUMMYFUNCTION("""COMPUTED_VALUE"""),1)</f>
        <v>1</v>
      </c>
      <c r="J354" s="149">
        <f ca="1">IFERROR(__xludf.DUMMYFUNCTION("""COMPUTED_VALUE"""),389)</f>
        <v>389</v>
      </c>
      <c r="K354" s="43"/>
      <c r="L354" s="149">
        <f ca="1">IFERROR(__xludf.DUMMYFUNCTION("""COMPUTED_VALUE"""),388)</f>
        <v>388</v>
      </c>
      <c r="M354" s="155" t="str">
        <f ca="1">IFERROR(__xludf.DUMMYFUNCTION("""COMPUTED_VALUE"""),"Equity Key Stats")</f>
        <v>Equity Key Stats</v>
      </c>
      <c r="N354" s="43"/>
      <c r="O354" s="43"/>
      <c r="P354" s="157">
        <f ca="1">IFERROR(__xludf.DUMMYFUNCTION("""COMPUTED_VALUE"""),97250)</f>
        <v>97250</v>
      </c>
      <c r="Q354" s="151"/>
      <c r="R354" s="152">
        <f ca="1">IFERROR(__xludf.DUMMYFUNCTION("""COMPUTED_VALUE"""),389)</f>
        <v>389</v>
      </c>
      <c r="S354" s="150">
        <f ca="1">IFERROR(__xludf.DUMMYFUNCTION("""COMPUTED_VALUE"""),-97250)</f>
        <v>-97250</v>
      </c>
      <c r="T354" s="108">
        <f ca="1">IFERROR(__xludf.DUMMYFUNCTION("""COMPUTED_VALUE"""),4)</f>
        <v>4</v>
      </c>
      <c r="U354" s="43">
        <f ca="1">IFERROR(__xludf.DUMMYFUNCTION("""COMPUTED_VALUE"""),1)</f>
        <v>1</v>
      </c>
      <c r="V354" s="144">
        <f ca="1">IFERROR(__xludf.DUMMYFUNCTION("""COMPUTED_VALUE"""),18600)</f>
        <v>18600</v>
      </c>
      <c r="W354" s="145" t="str">
        <f ca="1">IFERROR(__xludf.DUMMYFUNCTION("""COMPUTED_VALUE"""),"")</f>
        <v/>
      </c>
      <c r="X354" s="11" t="str">
        <f ca="1">IFERROR(__xludf.DUMMYFUNCTION("""COMPUTED_VALUE"""),"")</f>
        <v/>
      </c>
      <c r="Y354" s="11" t="str">
        <f ca="1">IFERROR(__xludf.DUMMYFUNCTION("""COMPUTED_VALUE"""),"")</f>
        <v/>
      </c>
      <c r="Z354" s="4" t="str">
        <f ca="1">IFERROR(__xludf.DUMMYFUNCTION("""COMPUTED_VALUE"""),"")</f>
        <v/>
      </c>
    </row>
    <row r="355" spans="1:26" ht="13" x14ac:dyDescent="0.15">
      <c r="A355" s="43" t="str">
        <f ca="1">IFERROR(__xludf.DUMMYFUNCTION("""COMPUTED_VALUE"""),"")</f>
        <v/>
      </c>
      <c r="B355" s="43" t="str">
        <f ca="1">IFERROR(__xludf.DUMMYFUNCTION("""COMPUTED_VALUE"""),"46600")</f>
        <v>46600</v>
      </c>
      <c r="C355" s="146">
        <f ca="1">IFERROR(__xludf.DUMMYFUNCTION("""COMPUTED_VALUE"""),44643000810)</f>
        <v>44643000810</v>
      </c>
      <c r="D355" s="161" t="str">
        <f ca="1">IFERROR(__xludf.DUMMYFUNCTION("""COMPUTED_VALUE"""),"1810.HK")</f>
        <v>1810.HK</v>
      </c>
      <c r="E355" s="147">
        <f ca="1">IFERROR(__xludf.DUMMYFUNCTION("""COMPUTED_VALUE"""),44643)</f>
        <v>44643</v>
      </c>
      <c r="F355" s="43" t="str">
        <f ca="1">IFERROR(__xludf.DUMMYFUNCTION("""COMPUTED_VALUE"""),"Stock")</f>
        <v>Stock</v>
      </c>
      <c r="G355" s="43" t="str">
        <f ca="1">IFERROR(__xludf.DUMMYFUNCTION("""COMPUTED_VALUE"""),"HKD")</f>
        <v>HKD</v>
      </c>
      <c r="H355" s="154">
        <f ca="1">IFERROR(__xludf.DUMMYFUNCTION("""COMPUTED_VALUE"""),300)</f>
        <v>300</v>
      </c>
      <c r="I355" s="148">
        <f ca="1">IFERROR(__xludf.DUMMYFUNCTION("""COMPUTED_VALUE"""),1)</f>
        <v>1</v>
      </c>
      <c r="J355" s="149">
        <f ca="1">IFERROR(__xludf.DUMMYFUNCTION("""COMPUTED_VALUE"""),14.78)</f>
        <v>14.78</v>
      </c>
      <c r="K355" s="43"/>
      <c r="L355" s="149">
        <f ca="1">IFERROR(__xludf.DUMMYFUNCTION("""COMPUTED_VALUE"""),14.2)</f>
        <v>14.2</v>
      </c>
      <c r="M355" s="155" t="str">
        <f ca="1">IFERROR(__xludf.DUMMYFUNCTION("""COMPUTED_VALUE"""),"Equity Key Stats")</f>
        <v>Equity Key Stats</v>
      </c>
      <c r="N355" s="43"/>
      <c r="O355" s="43"/>
      <c r="P355" s="157">
        <f ca="1">IFERROR(__xludf.DUMMYFUNCTION("""COMPUTED_VALUE"""),-4434)</f>
        <v>-4434</v>
      </c>
      <c r="Q355" s="151"/>
      <c r="R355" s="152">
        <f ca="1">IFERROR(__xludf.DUMMYFUNCTION("""COMPUTED_VALUE"""),14.78)</f>
        <v>14.78</v>
      </c>
      <c r="S355" s="150">
        <f ca="1">IFERROR(__xludf.DUMMYFUNCTION("""COMPUTED_VALUE"""),4434)</f>
        <v>4434</v>
      </c>
      <c r="T355" s="108">
        <f ca="1">IFERROR(__xludf.DUMMYFUNCTION("""COMPUTED_VALUE"""),1)</f>
        <v>1</v>
      </c>
      <c r="U355" s="108">
        <f ca="1">IFERROR(__xludf.DUMMYFUNCTION("""COMPUTED_VALUE"""),1)</f>
        <v>1</v>
      </c>
      <c r="V355" s="153">
        <f ca="1">IFERROR(__xludf.DUMMYFUNCTION("""COMPUTED_VALUE"""),0)</f>
        <v>0</v>
      </c>
      <c r="W355" s="145" t="str">
        <f ca="1">IFERROR(__xludf.DUMMYFUNCTION("""COMPUTED_VALUE"""),"")</f>
        <v/>
      </c>
      <c r="X355" s="11" t="str">
        <f ca="1">IFERROR(__xludf.DUMMYFUNCTION("""COMPUTED_VALUE"""),"")</f>
        <v/>
      </c>
      <c r="Y355" s="11" t="str">
        <f ca="1">IFERROR(__xludf.DUMMYFUNCTION("""COMPUTED_VALUE"""),"")</f>
        <v/>
      </c>
      <c r="Z355" s="4" t="str">
        <f ca="1">IFERROR(__xludf.DUMMYFUNCTION("""COMPUTED_VALUE"""),"")</f>
        <v/>
      </c>
    </row>
    <row r="356" spans="1:26" ht="13" x14ac:dyDescent="0.15">
      <c r="A356" s="43" t="str">
        <f ca="1">IFERROR(__xludf.DUMMYFUNCTION("""COMPUTED_VALUE"""),"46600")</f>
        <v>46600</v>
      </c>
      <c r="B356" s="43" t="str">
        <f ca="1">IFERROR(__xludf.DUMMYFUNCTION("""COMPUTED_VALUE"""),"46600")</f>
        <v>46600</v>
      </c>
      <c r="C356" s="146">
        <f ca="1">IFERROR(__xludf.DUMMYFUNCTION("""COMPUTED_VALUE"""),44643000811)</f>
        <v>44643000811</v>
      </c>
      <c r="D356" s="161" t="str">
        <f ca="1">IFERROR(__xludf.DUMMYFUNCTION("""COMPUTED_VALUE"""),"1299.HK")</f>
        <v>1299.HK</v>
      </c>
      <c r="E356" s="147">
        <f ca="1">IFERROR(__xludf.DUMMYFUNCTION("""COMPUTED_VALUE"""),44643)</f>
        <v>44643</v>
      </c>
      <c r="F356" s="43" t="str">
        <f ca="1">IFERROR(__xludf.DUMMYFUNCTION("""COMPUTED_VALUE"""),"Stock")</f>
        <v>Stock</v>
      </c>
      <c r="G356" s="43" t="str">
        <f ca="1">IFERROR(__xludf.DUMMYFUNCTION("""COMPUTED_VALUE"""),"HKD")</f>
        <v>HKD</v>
      </c>
      <c r="H356" s="156">
        <f ca="1">IFERROR(__xludf.DUMMYFUNCTION("""COMPUTED_VALUE"""),200)</f>
        <v>200</v>
      </c>
      <c r="I356" s="148">
        <f ca="1">IFERROR(__xludf.DUMMYFUNCTION("""COMPUTED_VALUE"""),1)</f>
        <v>1</v>
      </c>
      <c r="J356" s="149">
        <f ca="1">IFERROR(__xludf.DUMMYFUNCTION("""COMPUTED_VALUE"""),83.25)</f>
        <v>83.25</v>
      </c>
      <c r="K356" s="43"/>
      <c r="L356" s="149" t="str">
        <f ca="1">IFERROR(__xludf.DUMMYFUNCTION("""COMPUTED_VALUE"""),"")</f>
        <v/>
      </c>
      <c r="M356" s="155" t="str">
        <f ca="1">IFERROR(__xludf.DUMMYFUNCTION("""COMPUTED_VALUE"""),"Equity Key Stats")</f>
        <v>Equity Key Stats</v>
      </c>
      <c r="N356" s="43"/>
      <c r="O356" s="43"/>
      <c r="P356" s="150">
        <f ca="1">IFERROR(__xludf.DUMMYFUNCTION("""COMPUTED_VALUE"""),-16650)</f>
        <v>-16650</v>
      </c>
      <c r="Q356" s="151"/>
      <c r="R356" s="152">
        <f ca="1">IFERROR(__xludf.DUMMYFUNCTION("""COMPUTED_VALUE"""),83.25)</f>
        <v>83.25</v>
      </c>
      <c r="S356" s="157">
        <f ca="1">IFERROR(__xludf.DUMMYFUNCTION("""COMPUTED_VALUE"""),16650)</f>
        <v>16650</v>
      </c>
      <c r="T356" s="108">
        <f ca="1">IFERROR(__xludf.DUMMYFUNCTION("""COMPUTED_VALUE"""),1)</f>
        <v>1</v>
      </c>
      <c r="U356" s="108">
        <f ca="1">IFERROR(__xludf.DUMMYFUNCTION("""COMPUTED_VALUE"""),1)</f>
        <v>1</v>
      </c>
      <c r="V356" s="158">
        <f ca="1">IFERROR(__xludf.DUMMYFUNCTION("""COMPUTED_VALUE"""),0)</f>
        <v>0</v>
      </c>
      <c r="W356" s="145">
        <f ca="1">IFERROR(__xludf.DUMMYFUNCTION("""COMPUTED_VALUE"""),521027.5)</f>
        <v>521027.5</v>
      </c>
      <c r="X356" s="11">
        <f ca="1">IFERROR(__xludf.DUMMYFUNCTION("""COMPUTED_VALUE"""),499943.5)</f>
        <v>499943.5</v>
      </c>
      <c r="Y356" s="11">
        <f ca="1">IFERROR(__xludf.DUMMYFUNCTION("""COMPUTED_VALUE"""),0)</f>
        <v>0</v>
      </c>
      <c r="Z356" s="4">
        <f ca="1">IFERROR(__xludf.DUMMYFUNCTION("""COMPUTED_VALUE"""),0.0420549999999999)</f>
        <v>4.2054999999999898E-2</v>
      </c>
    </row>
    <row r="357" spans="1:26" ht="13" x14ac:dyDescent="0.15">
      <c r="A357" s="43" t="str">
        <f ca="1">IFERROR(__xludf.DUMMYFUNCTION("""COMPUTED_VALUE"""),"")</f>
        <v/>
      </c>
      <c r="B357" s="43" t="str">
        <f ca="1">IFERROR(__xludf.DUMMYFUNCTION("""COMPUTED_VALUE"""),"46699")</f>
        <v>46699</v>
      </c>
      <c r="C357" s="146">
        <f ca="1">IFERROR(__xludf.DUMMYFUNCTION("""COMPUTED_VALUE"""),44597000108)</f>
        <v>44597000108</v>
      </c>
      <c r="D357" s="43" t="str">
        <f ca="1">IFERROR(__xludf.DUMMYFUNCTION("""COMPUTED_VALUE"""),"Cash")</f>
        <v>Cash</v>
      </c>
      <c r="E357" s="147">
        <f ca="1">IFERROR(__xludf.DUMMYFUNCTION("""COMPUTED_VALUE"""),44597)</f>
        <v>44597</v>
      </c>
      <c r="F357" s="43" t="str">
        <f ca="1">IFERROR(__xludf.DUMMYFUNCTION("""COMPUTED_VALUE"""),"Cash")</f>
        <v>Cash</v>
      </c>
      <c r="G357" s="43" t="str">
        <f ca="1">IFERROR(__xludf.DUMMYFUNCTION("""COMPUTED_VALUE"""),"HKD")</f>
        <v>HKD</v>
      </c>
      <c r="H357" s="156" t="str">
        <f ca="1">IFERROR(__xludf.DUMMYFUNCTION("""COMPUTED_VALUE"""),"")</f>
        <v/>
      </c>
      <c r="I357" s="148">
        <f ca="1">IFERROR(__xludf.DUMMYFUNCTION("""COMPUTED_VALUE"""),1)</f>
        <v>1</v>
      </c>
      <c r="J357" s="149">
        <f ca="1">IFERROR(__xludf.DUMMYFUNCTION("""COMPUTED_VALUE"""),1)</f>
        <v>1</v>
      </c>
      <c r="K357" s="43"/>
      <c r="L357" s="149">
        <f ca="1">IFERROR(__xludf.DUMMYFUNCTION("""COMPUTED_VALUE"""),1)</f>
        <v>1</v>
      </c>
      <c r="M357" s="155" t="str">
        <f ca="1">IFERROR(__xludf.DUMMYFUNCTION("""COMPUTED_VALUE"""),"")</f>
        <v/>
      </c>
      <c r="N357" s="43"/>
      <c r="O357" s="43"/>
      <c r="P357" s="150">
        <f ca="1">IFERROR(__xludf.DUMMYFUNCTION("""COMPUTED_VALUE"""),500000)</f>
        <v>500000</v>
      </c>
      <c r="Q357" s="151"/>
      <c r="R357" s="152">
        <f ca="1">IFERROR(__xludf.DUMMYFUNCTION("""COMPUTED_VALUE"""),1)</f>
        <v>1</v>
      </c>
      <c r="S357" s="157" t="str">
        <f ca="1">IFERROR(__xludf.DUMMYFUNCTION("""COMPUTED_VALUE"""),"")</f>
        <v/>
      </c>
      <c r="T357" s="108">
        <f ca="1">IFERROR(__xludf.DUMMYFUNCTION("""COMPUTED_VALUE"""),1)</f>
        <v>1</v>
      </c>
      <c r="U357" s="108">
        <f ca="1">IFERROR(__xludf.DUMMYFUNCTION("""COMPUTED_VALUE"""),1)</f>
        <v>1</v>
      </c>
      <c r="V357" s="158">
        <f ca="1">IFERROR(__xludf.DUMMYFUNCTION("""COMPUTED_VALUE"""),500000)</f>
        <v>500000</v>
      </c>
      <c r="W357" s="44" t="str">
        <f ca="1">IFERROR(__xludf.DUMMYFUNCTION("""COMPUTED_VALUE"""),"")</f>
        <v/>
      </c>
      <c r="X357" s="154" t="str">
        <f ca="1">IFERROR(__xludf.DUMMYFUNCTION("""COMPUTED_VALUE"""),"")</f>
        <v/>
      </c>
      <c r="Y357" s="154" t="str">
        <f ca="1">IFERROR(__xludf.DUMMYFUNCTION("""COMPUTED_VALUE"""),"")</f>
        <v/>
      </c>
      <c r="Z357" s="162" t="str">
        <f ca="1">IFERROR(__xludf.DUMMYFUNCTION("""COMPUTED_VALUE"""),"")</f>
        <v/>
      </c>
    </row>
    <row r="358" spans="1:26" ht="13" x14ac:dyDescent="0.15">
      <c r="A358" s="43" t="str">
        <f ca="1">IFERROR(__xludf.DUMMYFUNCTION("""COMPUTED_VALUE"""),"")</f>
        <v/>
      </c>
      <c r="B358" s="43" t="str">
        <f ca="1">IFERROR(__xludf.DUMMYFUNCTION("""COMPUTED_VALUE"""),"46699")</f>
        <v>46699</v>
      </c>
      <c r="C358" s="146">
        <f ca="1">IFERROR(__xludf.DUMMYFUNCTION("""COMPUTED_VALUE"""),44600000133)</f>
        <v>44600000133</v>
      </c>
      <c r="D358" s="43" t="str">
        <f ca="1">IFERROR(__xludf.DUMMYFUNCTION("""COMPUTED_VALUE"""),"AAPL")</f>
        <v>AAPL</v>
      </c>
      <c r="E358" s="147">
        <f ca="1">IFERROR(__xludf.DUMMYFUNCTION("""COMPUTED_VALUE"""),44600)</f>
        <v>44600</v>
      </c>
      <c r="F358" s="43" t="str">
        <f ca="1">IFERROR(__xludf.DUMMYFUNCTION("""COMPUTED_VALUE"""),"Stock")</f>
        <v>Stock</v>
      </c>
      <c r="G358" s="43" t="str">
        <f ca="1">IFERROR(__xludf.DUMMYFUNCTION("""COMPUTED_VALUE"""),"USD")</f>
        <v>USD</v>
      </c>
      <c r="H358" s="11">
        <f ca="1">IFERROR(__xludf.DUMMYFUNCTION("""COMPUTED_VALUE"""),20)</f>
        <v>20</v>
      </c>
      <c r="I358" s="148">
        <f ca="1">IFERROR(__xludf.DUMMYFUNCTION("""COMPUTED_VALUE"""),7.793545)</f>
        <v>7.7935449999999999</v>
      </c>
      <c r="J358" s="149">
        <f ca="1">IFERROR(__xludf.DUMMYFUNCTION("""COMPUTED_VALUE"""),174.83)</f>
        <v>174.83</v>
      </c>
      <c r="K358" s="43"/>
      <c r="L358" s="149">
        <f ca="1">IFERROR(__xludf.DUMMYFUNCTION("""COMPUTED_VALUE"""),168.82)</f>
        <v>168.82</v>
      </c>
      <c r="M358" s="160" t="str">
        <f ca="1">IFERROR(__xludf.DUMMYFUNCTION("""COMPUTED_VALUE"""),"Equity Key Stats")</f>
        <v>Equity Key Stats</v>
      </c>
      <c r="N358" s="43"/>
      <c r="O358" s="43"/>
      <c r="P358" s="150">
        <f ca="1">IFERROR(__xludf.DUMMYFUNCTION("""COMPUTED_VALUE"""),-27250.909447)</f>
        <v>-27250.909446999998</v>
      </c>
      <c r="Q358" s="151"/>
      <c r="R358" s="152">
        <f ca="1">IFERROR(__xludf.DUMMYFUNCTION("""COMPUTED_VALUE"""),170.21)</f>
        <v>170.21</v>
      </c>
      <c r="S358" s="127">
        <f ca="1">IFERROR(__xludf.DUMMYFUNCTION("""COMPUTED_VALUE"""),26530.785889)</f>
        <v>26530.785888999999</v>
      </c>
      <c r="T358" s="108">
        <f ca="1">IFERROR(__xludf.DUMMYFUNCTION("""COMPUTED_VALUE"""),1)</f>
        <v>1</v>
      </c>
      <c r="U358" s="108">
        <f ca="1">IFERROR(__xludf.DUMMYFUNCTION("""COMPUTED_VALUE"""),1)</f>
        <v>1</v>
      </c>
      <c r="V358" s="153">
        <f ca="1">IFERROR(__xludf.DUMMYFUNCTION("""COMPUTED_VALUE"""),-720.123557999999)</f>
        <v>-720.12355799999898</v>
      </c>
      <c r="W358" s="44" t="str">
        <f ca="1">IFERROR(__xludf.DUMMYFUNCTION("""COMPUTED_VALUE"""),"")</f>
        <v/>
      </c>
      <c r="X358" s="154" t="str">
        <f ca="1">IFERROR(__xludf.DUMMYFUNCTION("""COMPUTED_VALUE"""),"")</f>
        <v/>
      </c>
      <c r="Y358" s="154" t="str">
        <f ca="1">IFERROR(__xludf.DUMMYFUNCTION("""COMPUTED_VALUE"""),"")</f>
        <v/>
      </c>
      <c r="Z358" s="159" t="str">
        <f ca="1">IFERROR(__xludf.DUMMYFUNCTION("""COMPUTED_VALUE"""),"")</f>
        <v/>
      </c>
    </row>
    <row r="359" spans="1:26" ht="13" x14ac:dyDescent="0.15">
      <c r="A359" s="43" t="str">
        <f ca="1">IFERROR(__xludf.DUMMYFUNCTION("""COMPUTED_VALUE"""),"46699")</f>
        <v>46699</v>
      </c>
      <c r="B359" s="43" t="str">
        <f ca="1">IFERROR(__xludf.DUMMYFUNCTION("""COMPUTED_VALUE"""),"46699")</f>
        <v>46699</v>
      </c>
      <c r="C359" s="146">
        <f ca="1">IFERROR(__xludf.DUMMYFUNCTION("""COMPUTED_VALUE"""),44603000161)</f>
        <v>44603000161</v>
      </c>
      <c r="D359" s="43" t="str">
        <f ca="1">IFERROR(__xludf.DUMMYFUNCTION("""COMPUTED_VALUE"""),"NFLX")</f>
        <v>NFLX</v>
      </c>
      <c r="E359" s="147">
        <f ca="1">IFERROR(__xludf.DUMMYFUNCTION("""COMPUTED_VALUE"""),44603)</f>
        <v>44603</v>
      </c>
      <c r="F359" s="43" t="str">
        <f ca="1">IFERROR(__xludf.DUMMYFUNCTION("""COMPUTED_VALUE"""),"Stock")</f>
        <v>Stock</v>
      </c>
      <c r="G359" s="43" t="str">
        <f ca="1">IFERROR(__xludf.DUMMYFUNCTION("""COMPUTED_VALUE"""),"USD")</f>
        <v>USD</v>
      </c>
      <c r="H359" s="11">
        <f ca="1">IFERROR(__xludf.DUMMYFUNCTION("""COMPUTED_VALUE"""),20)</f>
        <v>20</v>
      </c>
      <c r="I359" s="148">
        <f ca="1">IFERROR(__xludf.DUMMYFUNCTION("""COMPUTED_VALUE"""),7.800485)</f>
        <v>7.8004850000000001</v>
      </c>
      <c r="J359" s="149">
        <f ca="1">IFERROR(__xludf.DUMMYFUNCTION("""COMPUTED_VALUE"""),391.31)</f>
        <v>391.31</v>
      </c>
      <c r="K359" s="43"/>
      <c r="L359" s="149">
        <f ca="1">IFERROR(__xludf.DUMMYFUNCTION("""COMPUTED_VALUE"""),382.92)</f>
        <v>382.92</v>
      </c>
      <c r="M359" s="160" t="str">
        <f ca="1">IFERROR(__xludf.DUMMYFUNCTION("""COMPUTED_VALUE"""),"Equity Key Stats")</f>
        <v>Equity Key Stats</v>
      </c>
      <c r="N359" s="43"/>
      <c r="O359" s="43"/>
      <c r="P359" s="150">
        <f ca="1">IFERROR(__xludf.DUMMYFUNCTION("""COMPUTED_VALUE"""),-61048.155707)</f>
        <v>-61048.155706999998</v>
      </c>
      <c r="Q359" s="151"/>
      <c r="R359" s="152">
        <f ca="1">IFERROR(__xludf.DUMMYFUNCTION("""COMPUTED_VALUE"""),374.49)</f>
        <v>374.49</v>
      </c>
      <c r="S359" s="127">
        <f ca="1">IFERROR(__xludf.DUMMYFUNCTION("""COMPUTED_VALUE"""),58424.072553)</f>
        <v>58424.072552999998</v>
      </c>
      <c r="T359" s="108">
        <f ca="1">IFERROR(__xludf.DUMMYFUNCTION("""COMPUTED_VALUE"""),1)</f>
        <v>1</v>
      </c>
      <c r="U359" s="108">
        <f ca="1">IFERROR(__xludf.DUMMYFUNCTION("""COMPUTED_VALUE"""),1)</f>
        <v>1</v>
      </c>
      <c r="V359" s="153">
        <f ca="1">IFERROR(__xludf.DUMMYFUNCTION("""COMPUTED_VALUE"""),-2624.083154)</f>
        <v>-2624.0831539999999</v>
      </c>
      <c r="W359" s="145">
        <f ca="1">IFERROR(__xludf.DUMMYFUNCTION("""COMPUTED_VALUE"""),496655.793288)</f>
        <v>496655.79328799999</v>
      </c>
      <c r="X359" s="11">
        <f ca="1">IFERROR(__xludf.DUMMYFUNCTION("""COMPUTED_VALUE"""),411700.934846)</f>
        <v>411700.93484599999</v>
      </c>
      <c r="Y359" s="11">
        <f ca="1">IFERROR(__xludf.DUMMYFUNCTION("""COMPUTED_VALUE"""),0)</f>
        <v>0</v>
      </c>
      <c r="Z359" s="4">
        <f ca="1">IFERROR(__xludf.DUMMYFUNCTION("""COMPUTED_VALUE"""),-0.00668841342400006)</f>
        <v>-6.6884134240000597E-3</v>
      </c>
    </row>
    <row r="360" spans="1:26" ht="13" x14ac:dyDescent="0.15">
      <c r="A360" s="43" t="str">
        <f ca="1">IFERROR(__xludf.DUMMYFUNCTION("""COMPUTED_VALUE"""),"")</f>
        <v/>
      </c>
      <c r="B360" s="43" t="str">
        <f ca="1">IFERROR(__xludf.DUMMYFUNCTION("""COMPUTED_VALUE"""),"46763")</f>
        <v>46763</v>
      </c>
      <c r="C360" s="146">
        <f ca="1">IFERROR(__xludf.DUMMYFUNCTION("""COMPUTED_VALUE"""),44597000058)</f>
        <v>44597000058</v>
      </c>
      <c r="D360" s="43" t="str">
        <f ca="1">IFERROR(__xludf.DUMMYFUNCTION("""COMPUTED_VALUE"""),"Cash")</f>
        <v>Cash</v>
      </c>
      <c r="E360" s="147">
        <f ca="1">IFERROR(__xludf.DUMMYFUNCTION("""COMPUTED_VALUE"""),44597)</f>
        <v>44597</v>
      </c>
      <c r="F360" s="43" t="str">
        <f ca="1">IFERROR(__xludf.DUMMYFUNCTION("""COMPUTED_VALUE"""),"Cash")</f>
        <v>Cash</v>
      </c>
      <c r="G360" s="43" t="str">
        <f ca="1">IFERROR(__xludf.DUMMYFUNCTION("""COMPUTED_VALUE"""),"HKD")</f>
        <v>HKD</v>
      </c>
      <c r="H360" s="154" t="str">
        <f ca="1">IFERROR(__xludf.DUMMYFUNCTION("""COMPUTED_VALUE"""),"")</f>
        <v/>
      </c>
      <c r="I360" s="148">
        <f ca="1">IFERROR(__xludf.DUMMYFUNCTION("""COMPUTED_VALUE"""),1)</f>
        <v>1</v>
      </c>
      <c r="J360" s="149">
        <f ca="1">IFERROR(__xludf.DUMMYFUNCTION("""COMPUTED_VALUE"""),1)</f>
        <v>1</v>
      </c>
      <c r="K360" s="43"/>
      <c r="L360" s="149">
        <f ca="1">IFERROR(__xludf.DUMMYFUNCTION("""COMPUTED_VALUE"""),1)</f>
        <v>1</v>
      </c>
      <c r="M360" s="155" t="str">
        <f ca="1">IFERROR(__xludf.DUMMYFUNCTION("""COMPUTED_VALUE"""),"")</f>
        <v/>
      </c>
      <c r="N360" s="43"/>
      <c r="O360" s="43"/>
      <c r="P360" s="157">
        <f ca="1">IFERROR(__xludf.DUMMYFUNCTION("""COMPUTED_VALUE"""),500000)</f>
        <v>500000</v>
      </c>
      <c r="Q360" s="151"/>
      <c r="R360" s="152">
        <f ca="1">IFERROR(__xludf.DUMMYFUNCTION("""COMPUTED_VALUE"""),1)</f>
        <v>1</v>
      </c>
      <c r="S360" s="150" t="str">
        <f ca="1">IFERROR(__xludf.DUMMYFUNCTION("""COMPUTED_VALUE"""),"")</f>
        <v/>
      </c>
      <c r="T360" s="108">
        <f ca="1">IFERROR(__xludf.DUMMYFUNCTION("""COMPUTED_VALUE"""),1)</f>
        <v>1</v>
      </c>
      <c r="U360" s="108">
        <f ca="1">IFERROR(__xludf.DUMMYFUNCTION("""COMPUTED_VALUE"""),1)</f>
        <v>1</v>
      </c>
      <c r="V360" s="153">
        <f ca="1">IFERROR(__xludf.DUMMYFUNCTION("""COMPUTED_VALUE"""),500000)</f>
        <v>500000</v>
      </c>
      <c r="W360" s="145" t="str">
        <f ca="1">IFERROR(__xludf.DUMMYFUNCTION("""COMPUTED_VALUE"""),"")</f>
        <v/>
      </c>
      <c r="X360" s="11" t="str">
        <f ca="1">IFERROR(__xludf.DUMMYFUNCTION("""COMPUTED_VALUE"""),"")</f>
        <v/>
      </c>
      <c r="Y360" s="11" t="str">
        <f ca="1">IFERROR(__xludf.DUMMYFUNCTION("""COMPUTED_VALUE"""),"")</f>
        <v/>
      </c>
      <c r="Z360" s="4" t="str">
        <f ca="1">IFERROR(__xludf.DUMMYFUNCTION("""COMPUTED_VALUE"""),"")</f>
        <v/>
      </c>
    </row>
    <row r="361" spans="1:26" ht="13" x14ac:dyDescent="0.15">
      <c r="A361" s="43" t="str">
        <f ca="1">IFERROR(__xludf.DUMMYFUNCTION("""COMPUTED_VALUE"""),"")</f>
        <v/>
      </c>
      <c r="B361" s="43" t="str">
        <f ca="1">IFERROR(__xludf.DUMMYFUNCTION("""COMPUTED_VALUE"""),"46763")</f>
        <v>46763</v>
      </c>
      <c r="C361" s="146">
        <f ca="1">IFERROR(__xludf.DUMMYFUNCTION("""COMPUTED_VALUE"""),44627000450)</f>
        <v>44627000450</v>
      </c>
      <c r="D361" s="161" t="str">
        <f ca="1">IFERROR(__xludf.DUMMYFUNCTION("""COMPUTED_VALUE"""),"0151.HK")</f>
        <v>0151.HK</v>
      </c>
      <c r="E361" s="147">
        <f ca="1">IFERROR(__xludf.DUMMYFUNCTION("""COMPUTED_VALUE"""),44627)</f>
        <v>44627</v>
      </c>
      <c r="F361" s="43" t="str">
        <f ca="1">IFERROR(__xludf.DUMMYFUNCTION("""COMPUTED_VALUE"""),"Stock")</f>
        <v>Stock</v>
      </c>
      <c r="G361" s="43" t="str">
        <f ca="1">IFERROR(__xludf.DUMMYFUNCTION("""COMPUTED_VALUE"""),"HKD")</f>
        <v>HKD</v>
      </c>
      <c r="H361" s="154">
        <f ca="1">IFERROR(__xludf.DUMMYFUNCTION("""COMPUTED_VALUE"""),10000)</f>
        <v>10000</v>
      </c>
      <c r="I361" s="148">
        <f ca="1">IFERROR(__xludf.DUMMYFUNCTION("""COMPUTED_VALUE"""),1)</f>
        <v>1</v>
      </c>
      <c r="J361" s="149">
        <f ca="1">IFERROR(__xludf.DUMMYFUNCTION("""COMPUTED_VALUE"""),7.95)</f>
        <v>7.95</v>
      </c>
      <c r="K361" s="43"/>
      <c r="L361" s="149">
        <f ca="1">IFERROR(__xludf.DUMMYFUNCTION("""COMPUTED_VALUE"""),7.33)</f>
        <v>7.33</v>
      </c>
      <c r="M361" s="155" t="str">
        <f ca="1">IFERROR(__xludf.DUMMYFUNCTION("""COMPUTED_VALUE"""),"Equity Key Stats")</f>
        <v>Equity Key Stats</v>
      </c>
      <c r="N361" s="43"/>
      <c r="O361" s="43"/>
      <c r="P361" s="157">
        <f ca="1">IFERROR(__xludf.DUMMYFUNCTION("""COMPUTED_VALUE"""),-79500)</f>
        <v>-79500</v>
      </c>
      <c r="Q361" s="151"/>
      <c r="R361" s="152">
        <f ca="1">IFERROR(__xludf.DUMMYFUNCTION("""COMPUTED_VALUE"""),7.14)</f>
        <v>7.14</v>
      </c>
      <c r="S361" s="150">
        <f ca="1">IFERROR(__xludf.DUMMYFUNCTION("""COMPUTED_VALUE"""),71400)</f>
        <v>71400</v>
      </c>
      <c r="T361" s="108">
        <f ca="1">IFERROR(__xludf.DUMMYFUNCTION("""COMPUTED_VALUE"""),3)</f>
        <v>3</v>
      </c>
      <c r="U361" s="108" t="str">
        <f ca="1">IFERROR(__xludf.DUMMYFUNCTION("""COMPUTED_VALUE"""),"")</f>
        <v/>
      </c>
      <c r="V361" s="153" t="str">
        <f ca="1">IFERROR(__xludf.DUMMYFUNCTION("""COMPUTED_VALUE"""),"")</f>
        <v/>
      </c>
      <c r="W361" s="145" t="str">
        <f ca="1">IFERROR(__xludf.DUMMYFUNCTION("""COMPUTED_VALUE"""),"")</f>
        <v/>
      </c>
      <c r="X361" s="11" t="str">
        <f ca="1">IFERROR(__xludf.DUMMYFUNCTION("""COMPUTED_VALUE"""),"")</f>
        <v/>
      </c>
      <c r="Y361" s="11" t="str">
        <f ca="1">IFERROR(__xludf.DUMMYFUNCTION("""COMPUTED_VALUE"""),"")</f>
        <v/>
      </c>
      <c r="Z361" s="4" t="str">
        <f ca="1">IFERROR(__xludf.DUMMYFUNCTION("""COMPUTED_VALUE"""),"")</f>
        <v/>
      </c>
    </row>
    <row r="362" spans="1:26" ht="13" x14ac:dyDescent="0.15">
      <c r="A362" s="43" t="str">
        <f ca="1">IFERROR(__xludf.DUMMYFUNCTION("""COMPUTED_VALUE"""),"")</f>
        <v/>
      </c>
      <c r="B362" s="43" t="str">
        <f ca="1">IFERROR(__xludf.DUMMYFUNCTION("""COMPUTED_VALUE"""),"46763")</f>
        <v>46763</v>
      </c>
      <c r="C362" s="146">
        <f ca="1">IFERROR(__xludf.DUMMYFUNCTION("""COMPUTED_VALUE"""),44627000451)</f>
        <v>44627000451</v>
      </c>
      <c r="D362" s="161" t="str">
        <f ca="1">IFERROR(__xludf.DUMMYFUNCTION("""COMPUTED_VALUE"""),"0001.HK")</f>
        <v>0001.HK</v>
      </c>
      <c r="E362" s="147">
        <f ca="1">IFERROR(__xludf.DUMMYFUNCTION("""COMPUTED_VALUE"""),44627)</f>
        <v>44627</v>
      </c>
      <c r="F362" s="43" t="str">
        <f ca="1">IFERROR(__xludf.DUMMYFUNCTION("""COMPUTED_VALUE"""),"Stock")</f>
        <v>Stock</v>
      </c>
      <c r="G362" s="43" t="str">
        <f ca="1">IFERROR(__xludf.DUMMYFUNCTION("""COMPUTED_VALUE"""),"HKD")</f>
        <v>HKD</v>
      </c>
      <c r="H362" s="11">
        <f ca="1">IFERROR(__xludf.DUMMYFUNCTION("""COMPUTED_VALUE"""),1500)</f>
        <v>1500</v>
      </c>
      <c r="I362" s="148">
        <f ca="1">IFERROR(__xludf.DUMMYFUNCTION("""COMPUTED_VALUE"""),1)</f>
        <v>1</v>
      </c>
      <c r="J362" s="149">
        <f ca="1">IFERROR(__xludf.DUMMYFUNCTION("""COMPUTED_VALUE"""),52.5)</f>
        <v>52.5</v>
      </c>
      <c r="K362" s="43"/>
      <c r="L362" s="149">
        <f ca="1">IFERROR(__xludf.DUMMYFUNCTION("""COMPUTED_VALUE"""),57.55)</f>
        <v>57.55</v>
      </c>
      <c r="M362" s="155" t="str">
        <f ca="1">IFERROR(__xludf.DUMMYFUNCTION("""COMPUTED_VALUE"""),"Equity Key Stats")</f>
        <v>Equity Key Stats</v>
      </c>
      <c r="N362" s="43"/>
      <c r="O362" s="43"/>
      <c r="P362" s="150">
        <f ca="1">IFERROR(__xludf.DUMMYFUNCTION("""COMPUTED_VALUE"""),-78750)</f>
        <v>-78750</v>
      </c>
      <c r="Q362" s="151"/>
      <c r="R362" s="152">
        <f ca="1">IFERROR(__xludf.DUMMYFUNCTION("""COMPUTED_VALUE"""),57.75)</f>
        <v>57.75</v>
      </c>
      <c r="S362" s="150">
        <f ca="1">IFERROR(__xludf.DUMMYFUNCTION("""COMPUTED_VALUE"""),86625)</f>
        <v>86625</v>
      </c>
      <c r="T362" s="108">
        <f ca="1">IFERROR(__xludf.DUMMYFUNCTION("""COMPUTED_VALUE"""),1)</f>
        <v>1</v>
      </c>
      <c r="U362" s="108">
        <f ca="1">IFERROR(__xludf.DUMMYFUNCTION("""COMPUTED_VALUE"""),1)</f>
        <v>1</v>
      </c>
      <c r="V362" s="153">
        <f ca="1">IFERROR(__xludf.DUMMYFUNCTION("""COMPUTED_VALUE"""),7875)</f>
        <v>7875</v>
      </c>
      <c r="W362" s="44" t="str">
        <f ca="1">IFERROR(__xludf.DUMMYFUNCTION("""COMPUTED_VALUE"""),"")</f>
        <v/>
      </c>
      <c r="X362" s="154" t="str">
        <f ca="1">IFERROR(__xludf.DUMMYFUNCTION("""COMPUTED_VALUE"""),"")</f>
        <v/>
      </c>
      <c r="Y362" s="154" t="str">
        <f ca="1">IFERROR(__xludf.DUMMYFUNCTION("""COMPUTED_VALUE"""),"")</f>
        <v/>
      </c>
      <c r="Z362" s="159" t="str">
        <f ca="1">IFERROR(__xludf.DUMMYFUNCTION("""COMPUTED_VALUE"""),"")</f>
        <v/>
      </c>
    </row>
    <row r="363" spans="1:26" ht="13" x14ac:dyDescent="0.15">
      <c r="A363" s="43" t="str">
        <f ca="1">IFERROR(__xludf.DUMMYFUNCTION("""COMPUTED_VALUE"""),"")</f>
        <v/>
      </c>
      <c r="B363" s="43" t="str">
        <f ca="1">IFERROR(__xludf.DUMMYFUNCTION("""COMPUTED_VALUE"""),"46763")</f>
        <v>46763</v>
      </c>
      <c r="C363" s="146">
        <f ca="1">IFERROR(__xludf.DUMMYFUNCTION("""COMPUTED_VALUE"""),44628000471)</f>
        <v>44628000471</v>
      </c>
      <c r="D363" s="161" t="str">
        <f ca="1">IFERROR(__xludf.DUMMYFUNCTION("""COMPUTED_VALUE"""),"0151.HK")</f>
        <v>0151.HK</v>
      </c>
      <c r="E363" s="147">
        <f ca="1">IFERROR(__xludf.DUMMYFUNCTION("""COMPUTED_VALUE"""),44628)</f>
        <v>44628</v>
      </c>
      <c r="F363" s="43" t="str">
        <f ca="1">IFERROR(__xludf.DUMMYFUNCTION("""COMPUTED_VALUE"""),"Stock")</f>
        <v>Stock</v>
      </c>
      <c r="G363" s="43" t="str">
        <f ca="1">IFERROR(__xludf.DUMMYFUNCTION("""COMPUTED_VALUE"""),"HKD")</f>
        <v>HKD</v>
      </c>
      <c r="H363" s="11">
        <f ca="1">IFERROR(__xludf.DUMMYFUNCTION("""COMPUTED_VALUE"""),-10000)</f>
        <v>-10000</v>
      </c>
      <c r="I363" s="148">
        <f ca="1">IFERROR(__xludf.DUMMYFUNCTION("""COMPUTED_VALUE"""),1)</f>
        <v>1</v>
      </c>
      <c r="J363" s="149">
        <f ca="1">IFERROR(__xludf.DUMMYFUNCTION("""COMPUTED_VALUE"""),7.95)</f>
        <v>7.95</v>
      </c>
      <c r="K363" s="43"/>
      <c r="L363" s="149">
        <f ca="1">IFERROR(__xludf.DUMMYFUNCTION("""COMPUTED_VALUE"""),7.33)</f>
        <v>7.33</v>
      </c>
      <c r="M363" s="160" t="str">
        <f ca="1">IFERROR(__xludf.DUMMYFUNCTION("""COMPUTED_VALUE"""),"Equity Key Stats")</f>
        <v>Equity Key Stats</v>
      </c>
      <c r="N363" s="43"/>
      <c r="O363" s="43"/>
      <c r="P363" s="150">
        <f ca="1">IFERROR(__xludf.DUMMYFUNCTION("""COMPUTED_VALUE"""),79500)</f>
        <v>79500</v>
      </c>
      <c r="Q363" s="151"/>
      <c r="R363" s="152">
        <f ca="1">IFERROR(__xludf.DUMMYFUNCTION("""COMPUTED_VALUE"""),7.14)</f>
        <v>7.14</v>
      </c>
      <c r="S363" s="127">
        <f ca="1">IFERROR(__xludf.DUMMYFUNCTION("""COMPUTED_VALUE"""),-71400)</f>
        <v>-71400</v>
      </c>
      <c r="T363" s="108">
        <f ca="1">IFERROR(__xludf.DUMMYFUNCTION("""COMPUTED_VALUE"""),3)</f>
        <v>3</v>
      </c>
      <c r="U363" s="108" t="str">
        <f ca="1">IFERROR(__xludf.DUMMYFUNCTION("""COMPUTED_VALUE"""),"")</f>
        <v/>
      </c>
      <c r="V363" s="153" t="str">
        <f ca="1">IFERROR(__xludf.DUMMYFUNCTION("""COMPUTED_VALUE"""),"")</f>
        <v/>
      </c>
      <c r="W363" s="44" t="str">
        <f ca="1">IFERROR(__xludf.DUMMYFUNCTION("""COMPUTED_VALUE"""),"")</f>
        <v/>
      </c>
      <c r="X363" s="154" t="str">
        <f ca="1">IFERROR(__xludf.DUMMYFUNCTION("""COMPUTED_VALUE"""),"")</f>
        <v/>
      </c>
      <c r="Y363" s="154" t="str">
        <f ca="1">IFERROR(__xludf.DUMMYFUNCTION("""COMPUTED_VALUE"""),"")</f>
        <v/>
      </c>
      <c r="Z363" s="159" t="str">
        <f ca="1">IFERROR(__xludf.DUMMYFUNCTION("""COMPUTED_VALUE"""),"")</f>
        <v/>
      </c>
    </row>
    <row r="364" spans="1:26" ht="13" x14ac:dyDescent="0.15">
      <c r="A364" s="43" t="str">
        <f ca="1">IFERROR(__xludf.DUMMYFUNCTION("""COMPUTED_VALUE"""),"46763")</f>
        <v>46763</v>
      </c>
      <c r="B364" s="43" t="str">
        <f ca="1">IFERROR(__xludf.DUMMYFUNCTION("""COMPUTED_VALUE"""),"46763")</f>
        <v>46763</v>
      </c>
      <c r="C364" s="146">
        <f ca="1">IFERROR(__xludf.DUMMYFUNCTION("""COMPUTED_VALUE"""),44634000532)</f>
        <v>44634000532</v>
      </c>
      <c r="D364" s="161" t="str">
        <f ca="1">IFERROR(__xludf.DUMMYFUNCTION("""COMPUTED_VALUE"""),"0151.HK")</f>
        <v>0151.HK</v>
      </c>
      <c r="E364" s="147">
        <f ca="1">IFERROR(__xludf.DUMMYFUNCTION("""COMPUTED_VALUE"""),44634)</f>
        <v>44634</v>
      </c>
      <c r="F364" s="43" t="str">
        <f ca="1">IFERROR(__xludf.DUMMYFUNCTION("""COMPUTED_VALUE"""),"Stock")</f>
        <v>Stock</v>
      </c>
      <c r="G364" s="43" t="str">
        <f ca="1">IFERROR(__xludf.DUMMYFUNCTION("""COMPUTED_VALUE"""),"HKD")</f>
        <v>HKD</v>
      </c>
      <c r="H364" s="11">
        <f ca="1">IFERROR(__xludf.DUMMYFUNCTION("""COMPUTED_VALUE"""),10000)</f>
        <v>10000</v>
      </c>
      <c r="I364" s="148">
        <f ca="1">IFERROR(__xludf.DUMMYFUNCTION("""COMPUTED_VALUE"""),1)</f>
        <v>1</v>
      </c>
      <c r="J364" s="149">
        <f ca="1">IFERROR(__xludf.DUMMYFUNCTION("""COMPUTED_VALUE"""),7.78)</f>
        <v>7.78</v>
      </c>
      <c r="K364" s="43"/>
      <c r="L364" s="149">
        <f ca="1">IFERROR(__xludf.DUMMYFUNCTION("""COMPUTED_VALUE"""),7.33)</f>
        <v>7.33</v>
      </c>
      <c r="M364" s="160" t="str">
        <f ca="1">IFERROR(__xludf.DUMMYFUNCTION("""COMPUTED_VALUE"""),"Equity Key Stats")</f>
        <v>Equity Key Stats</v>
      </c>
      <c r="N364" s="43"/>
      <c r="O364" s="43"/>
      <c r="P364" s="150">
        <f ca="1">IFERROR(__xludf.DUMMYFUNCTION("""COMPUTED_VALUE"""),-77800)</f>
        <v>-77800</v>
      </c>
      <c r="Q364" s="151"/>
      <c r="R364" s="152">
        <f ca="1">IFERROR(__xludf.DUMMYFUNCTION("""COMPUTED_VALUE"""),7.14)</f>
        <v>7.14</v>
      </c>
      <c r="S364" s="127">
        <f ca="1">IFERROR(__xludf.DUMMYFUNCTION("""COMPUTED_VALUE"""),71400)</f>
        <v>71400</v>
      </c>
      <c r="T364" s="108">
        <f ca="1">IFERROR(__xludf.DUMMYFUNCTION("""COMPUTED_VALUE"""),3)</f>
        <v>3</v>
      </c>
      <c r="U364" s="108">
        <f ca="1">IFERROR(__xludf.DUMMYFUNCTION("""COMPUTED_VALUE"""),1)</f>
        <v>1</v>
      </c>
      <c r="V364" s="153">
        <f ca="1">IFERROR(__xludf.DUMMYFUNCTION("""COMPUTED_VALUE"""),-6400)</f>
        <v>-6400</v>
      </c>
      <c r="W364" s="145">
        <f ca="1">IFERROR(__xludf.DUMMYFUNCTION("""COMPUTED_VALUE"""),501475)</f>
        <v>501475</v>
      </c>
      <c r="X364" s="11">
        <f ca="1">IFERROR(__xludf.DUMMYFUNCTION("""COMPUTED_VALUE"""),343450)</f>
        <v>343450</v>
      </c>
      <c r="Y364" s="11">
        <f ca="1">IFERROR(__xludf.DUMMYFUNCTION("""COMPUTED_VALUE"""),0)</f>
        <v>0</v>
      </c>
      <c r="Z364" s="4">
        <f ca="1">IFERROR(__xludf.DUMMYFUNCTION("""COMPUTED_VALUE"""),0.00295)</f>
        <v>2.9499999999999999E-3</v>
      </c>
    </row>
    <row r="365" spans="1:26" ht="13" x14ac:dyDescent="0.15">
      <c r="A365" s="43" t="str">
        <f ca="1">IFERROR(__xludf.DUMMYFUNCTION("""COMPUTED_VALUE"""),"")</f>
        <v/>
      </c>
      <c r="B365" s="43" t="str">
        <f ca="1">IFERROR(__xludf.DUMMYFUNCTION("""COMPUTED_VALUE"""),"46876")</f>
        <v>46876</v>
      </c>
      <c r="C365" s="146">
        <f ca="1">IFERROR(__xludf.DUMMYFUNCTION("""COMPUTED_VALUE"""),44597000035)</f>
        <v>44597000035</v>
      </c>
      <c r="D365" s="43" t="str">
        <f ca="1">IFERROR(__xludf.DUMMYFUNCTION("""COMPUTED_VALUE"""),"Cash")</f>
        <v>Cash</v>
      </c>
      <c r="E365" s="147">
        <f ca="1">IFERROR(__xludf.DUMMYFUNCTION("""COMPUTED_VALUE"""),44597)</f>
        <v>44597</v>
      </c>
      <c r="F365" s="43" t="str">
        <f ca="1">IFERROR(__xludf.DUMMYFUNCTION("""COMPUTED_VALUE"""),"Cash")</f>
        <v>Cash</v>
      </c>
      <c r="G365" s="43" t="str">
        <f ca="1">IFERROR(__xludf.DUMMYFUNCTION("""COMPUTED_VALUE"""),"HKD")</f>
        <v>HKD</v>
      </c>
      <c r="H365" s="154" t="str">
        <f ca="1">IFERROR(__xludf.DUMMYFUNCTION("""COMPUTED_VALUE"""),"")</f>
        <v/>
      </c>
      <c r="I365" s="148">
        <f ca="1">IFERROR(__xludf.DUMMYFUNCTION("""COMPUTED_VALUE"""),1)</f>
        <v>1</v>
      </c>
      <c r="J365" s="149">
        <f ca="1">IFERROR(__xludf.DUMMYFUNCTION("""COMPUTED_VALUE"""),1)</f>
        <v>1</v>
      </c>
      <c r="K365" s="43"/>
      <c r="L365" s="149">
        <f ca="1">IFERROR(__xludf.DUMMYFUNCTION("""COMPUTED_VALUE"""),1)</f>
        <v>1</v>
      </c>
      <c r="M365" s="155" t="str">
        <f ca="1">IFERROR(__xludf.DUMMYFUNCTION("""COMPUTED_VALUE"""),"")</f>
        <v/>
      </c>
      <c r="N365" s="43"/>
      <c r="O365" s="43"/>
      <c r="P365" s="157">
        <f ca="1">IFERROR(__xludf.DUMMYFUNCTION("""COMPUTED_VALUE"""),500000)</f>
        <v>500000</v>
      </c>
      <c r="Q365" s="151"/>
      <c r="R365" s="152">
        <f ca="1">IFERROR(__xludf.DUMMYFUNCTION("""COMPUTED_VALUE"""),1)</f>
        <v>1</v>
      </c>
      <c r="S365" s="150" t="str">
        <f ca="1">IFERROR(__xludf.DUMMYFUNCTION("""COMPUTED_VALUE"""),"")</f>
        <v/>
      </c>
      <c r="T365" s="108">
        <f ca="1">IFERROR(__xludf.DUMMYFUNCTION("""COMPUTED_VALUE"""),1)</f>
        <v>1</v>
      </c>
      <c r="U365" s="108">
        <f ca="1">IFERROR(__xludf.DUMMYFUNCTION("""COMPUTED_VALUE"""),1)</f>
        <v>1</v>
      </c>
      <c r="V365" s="158">
        <f ca="1">IFERROR(__xludf.DUMMYFUNCTION("""COMPUTED_VALUE"""),500000)</f>
        <v>500000</v>
      </c>
      <c r="W365" s="145" t="str">
        <f ca="1">IFERROR(__xludf.DUMMYFUNCTION("""COMPUTED_VALUE"""),"")</f>
        <v/>
      </c>
      <c r="X365" s="11" t="str">
        <f ca="1">IFERROR(__xludf.DUMMYFUNCTION("""COMPUTED_VALUE"""),"")</f>
        <v/>
      </c>
      <c r="Y365" s="11" t="str">
        <f ca="1">IFERROR(__xludf.DUMMYFUNCTION("""COMPUTED_VALUE"""),"")</f>
        <v/>
      </c>
      <c r="Z365" s="4" t="str">
        <f ca="1">IFERROR(__xludf.DUMMYFUNCTION("""COMPUTED_VALUE"""),"")</f>
        <v/>
      </c>
    </row>
    <row r="366" spans="1:26" ht="13" x14ac:dyDescent="0.15">
      <c r="A366" s="43" t="str">
        <f ca="1">IFERROR(__xludf.DUMMYFUNCTION("""COMPUTED_VALUE"""),"")</f>
        <v/>
      </c>
      <c r="B366" s="43" t="str">
        <f ca="1">IFERROR(__xludf.DUMMYFUNCTION("""COMPUTED_VALUE"""),"46876")</f>
        <v>46876</v>
      </c>
      <c r="C366" s="146">
        <f ca="1">IFERROR(__xludf.DUMMYFUNCTION("""COMPUTED_VALUE"""),44628000479)</f>
        <v>44628000479</v>
      </c>
      <c r="D366" s="43" t="str">
        <f ca="1">IFERROR(__xludf.DUMMYFUNCTION("""COMPUTED_VALUE"""),"FSR")</f>
        <v>FSR</v>
      </c>
      <c r="E366" s="147">
        <f ca="1">IFERROR(__xludf.DUMMYFUNCTION("""COMPUTED_VALUE"""),44628)</f>
        <v>44628</v>
      </c>
      <c r="F366" s="43" t="str">
        <f ca="1">IFERROR(__xludf.DUMMYFUNCTION("""COMPUTED_VALUE"""),"Stock")</f>
        <v>Stock</v>
      </c>
      <c r="G366" s="43" t="str">
        <f ca="1">IFERROR(__xludf.DUMMYFUNCTION("""COMPUTED_VALUE"""),"USD")</f>
        <v>USD</v>
      </c>
      <c r="H366" s="154">
        <f ca="1">IFERROR(__xludf.DUMMYFUNCTION("""COMPUTED_VALUE"""),0)</f>
        <v>0</v>
      </c>
      <c r="I366" s="148">
        <f ca="1">IFERROR(__xludf.DUMMYFUNCTION("""COMPUTED_VALUE"""),7.818975)</f>
        <v>7.818975</v>
      </c>
      <c r="J366" s="149">
        <f ca="1">IFERROR(__xludf.DUMMYFUNCTION("""COMPUTED_VALUE"""),0)</f>
        <v>0</v>
      </c>
      <c r="K366" s="43"/>
      <c r="L366" s="149">
        <f ca="1">IFERROR(__xludf.DUMMYFUNCTION("""COMPUTED_VALUE"""),12.52)</f>
        <v>12.52</v>
      </c>
      <c r="M366" s="155" t="str">
        <f ca="1">IFERROR(__xludf.DUMMYFUNCTION("""COMPUTED_VALUE"""),"Equity Key Stats")</f>
        <v>Equity Key Stats</v>
      </c>
      <c r="N366" s="43"/>
      <c r="O366" s="43"/>
      <c r="P366" s="157">
        <f ca="1">IFERROR(__xludf.DUMMYFUNCTION("""COMPUTED_VALUE"""),0)</f>
        <v>0</v>
      </c>
      <c r="Q366" s="151"/>
      <c r="R366" s="152">
        <f ca="1">IFERROR(__xludf.DUMMYFUNCTION("""COMPUTED_VALUE"""),12.19)</f>
        <v>12.19</v>
      </c>
      <c r="S366" s="150">
        <f ca="1">IFERROR(__xludf.DUMMYFUNCTION("""COMPUTED_VALUE"""),0)</f>
        <v>0</v>
      </c>
      <c r="T366" s="108">
        <f ca="1">IFERROR(__xludf.DUMMYFUNCTION("""COMPUTED_VALUE"""),1)</f>
        <v>1</v>
      </c>
      <c r="U366" s="108">
        <f ca="1">IFERROR(__xludf.DUMMYFUNCTION("""COMPUTED_VALUE"""),1)</f>
        <v>1</v>
      </c>
      <c r="V366" s="158">
        <f ca="1">IFERROR(__xludf.DUMMYFUNCTION("""COMPUTED_VALUE"""),0)</f>
        <v>0</v>
      </c>
      <c r="W366" s="145" t="str">
        <f ca="1">IFERROR(__xludf.DUMMYFUNCTION("""COMPUTED_VALUE"""),"")</f>
        <v/>
      </c>
      <c r="X366" s="11" t="str">
        <f ca="1">IFERROR(__xludf.DUMMYFUNCTION("""COMPUTED_VALUE"""),"")</f>
        <v/>
      </c>
      <c r="Y366" s="11" t="str">
        <f ca="1">IFERROR(__xludf.DUMMYFUNCTION("""COMPUTED_VALUE"""),"")</f>
        <v/>
      </c>
      <c r="Z366" s="4" t="str">
        <f ca="1">IFERROR(__xludf.DUMMYFUNCTION("""COMPUTED_VALUE"""),"")</f>
        <v/>
      </c>
    </row>
    <row r="367" spans="1:26" ht="13" x14ac:dyDescent="0.15">
      <c r="A367" s="43" t="str">
        <f ca="1">IFERROR(__xludf.DUMMYFUNCTION("""COMPUTED_VALUE"""),"")</f>
        <v/>
      </c>
      <c r="B367" s="43" t="str">
        <f ca="1">IFERROR(__xludf.DUMMYFUNCTION("""COMPUTED_VALUE"""),"46876")</f>
        <v>46876</v>
      </c>
      <c r="C367" s="146">
        <f ca="1">IFERROR(__xludf.DUMMYFUNCTION("""COMPUTED_VALUE"""),44634000550)</f>
        <v>44634000550</v>
      </c>
      <c r="D367" s="163" t="str">
        <f ca="1">IFERROR(__xludf.DUMMYFUNCTION("""COMPUTED_VALUE"""),"1898.HK")</f>
        <v>1898.HK</v>
      </c>
      <c r="E367" s="147">
        <f ca="1">IFERROR(__xludf.DUMMYFUNCTION("""COMPUTED_VALUE"""),44634)</f>
        <v>44634</v>
      </c>
      <c r="F367" s="43" t="str">
        <f ca="1">IFERROR(__xludf.DUMMYFUNCTION("""COMPUTED_VALUE"""),"Stock")</f>
        <v>Stock</v>
      </c>
      <c r="G367" s="43" t="str">
        <f ca="1">IFERROR(__xludf.DUMMYFUNCTION("""COMPUTED_VALUE"""),"HKD")</f>
        <v>HKD</v>
      </c>
      <c r="H367" s="154">
        <f ca="1">IFERROR(__xludf.DUMMYFUNCTION("""COMPUTED_VALUE"""),55000)</f>
        <v>55000</v>
      </c>
      <c r="I367" s="148">
        <f ca="1">IFERROR(__xludf.DUMMYFUNCTION("""COMPUTED_VALUE"""),1)</f>
        <v>1</v>
      </c>
      <c r="J367" s="149">
        <f ca="1">IFERROR(__xludf.DUMMYFUNCTION("""COMPUTED_VALUE"""),4.59)</f>
        <v>4.59</v>
      </c>
      <c r="K367" s="43"/>
      <c r="L367" s="149">
        <f ca="1">IFERROR(__xludf.DUMMYFUNCTION("""COMPUTED_VALUE"""),5.46)</f>
        <v>5.46</v>
      </c>
      <c r="M367" s="155" t="str">
        <f ca="1">IFERROR(__xludf.DUMMYFUNCTION("""COMPUTED_VALUE"""),"Equity Key Stats")</f>
        <v>Equity Key Stats</v>
      </c>
      <c r="N367" s="43"/>
      <c r="O367" s="43"/>
      <c r="P367" s="157">
        <f ca="1">IFERROR(__xludf.DUMMYFUNCTION("""COMPUTED_VALUE"""),-252450)</f>
        <v>-252450</v>
      </c>
      <c r="Q367" s="151"/>
      <c r="R367" s="152">
        <f ca="1">IFERROR(__xludf.DUMMYFUNCTION("""COMPUTED_VALUE"""),5.47)</f>
        <v>5.47</v>
      </c>
      <c r="S367" s="150">
        <f ca="1">IFERROR(__xludf.DUMMYFUNCTION("""COMPUTED_VALUE"""),300850)</f>
        <v>300850</v>
      </c>
      <c r="T367" s="108">
        <f ca="1">IFERROR(__xludf.DUMMYFUNCTION("""COMPUTED_VALUE"""),1)</f>
        <v>1</v>
      </c>
      <c r="U367" s="108">
        <f ca="1">IFERROR(__xludf.DUMMYFUNCTION("""COMPUTED_VALUE"""),1)</f>
        <v>1</v>
      </c>
      <c r="V367" s="158">
        <f ca="1">IFERROR(__xludf.DUMMYFUNCTION("""COMPUTED_VALUE"""),48400)</f>
        <v>48400</v>
      </c>
      <c r="W367" s="145" t="str">
        <f ca="1">IFERROR(__xludf.DUMMYFUNCTION("""COMPUTED_VALUE"""),"")</f>
        <v/>
      </c>
      <c r="X367" s="11" t="str">
        <f ca="1">IFERROR(__xludf.DUMMYFUNCTION("""COMPUTED_VALUE"""),"")</f>
        <v/>
      </c>
      <c r="Y367" s="11" t="str">
        <f ca="1">IFERROR(__xludf.DUMMYFUNCTION("""COMPUTED_VALUE"""),"")</f>
        <v/>
      </c>
      <c r="Z367" s="4" t="str">
        <f ca="1">IFERROR(__xludf.DUMMYFUNCTION("""COMPUTED_VALUE"""),"")</f>
        <v/>
      </c>
    </row>
    <row r="368" spans="1:26" ht="13" x14ac:dyDescent="0.15">
      <c r="A368" s="43" t="str">
        <f ca="1">IFERROR(__xludf.DUMMYFUNCTION("""COMPUTED_VALUE"""),"46876")</f>
        <v>46876</v>
      </c>
      <c r="B368" s="43" t="str">
        <f ca="1">IFERROR(__xludf.DUMMYFUNCTION("""COMPUTED_VALUE"""),"46876")</f>
        <v>46876</v>
      </c>
      <c r="C368" s="146">
        <f ca="1">IFERROR(__xludf.DUMMYFUNCTION("""COMPUTED_VALUE"""),44638000685)</f>
        <v>44638000685</v>
      </c>
      <c r="D368" s="163" t="str">
        <f ca="1">IFERROR(__xludf.DUMMYFUNCTION("""COMPUTED_VALUE"""),"9988.HK")</f>
        <v>9988.HK</v>
      </c>
      <c r="E368" s="147">
        <f ca="1">IFERROR(__xludf.DUMMYFUNCTION("""COMPUTED_VALUE"""),44638)</f>
        <v>44638</v>
      </c>
      <c r="F368" s="43" t="str">
        <f ca="1">IFERROR(__xludf.DUMMYFUNCTION("""COMPUTED_VALUE"""),"Stock")</f>
        <v>Stock</v>
      </c>
      <c r="G368" s="43" t="str">
        <f ca="1">IFERROR(__xludf.DUMMYFUNCTION("""COMPUTED_VALUE"""),"HKD")</f>
        <v>HKD</v>
      </c>
      <c r="H368" s="154">
        <f ca="1">IFERROR(__xludf.DUMMYFUNCTION("""COMPUTED_VALUE"""),-1000)</f>
        <v>-1000</v>
      </c>
      <c r="I368" s="148">
        <f ca="1">IFERROR(__xludf.DUMMYFUNCTION("""COMPUTED_VALUE"""),1)</f>
        <v>1</v>
      </c>
      <c r="J368" s="149">
        <f ca="1">IFERROR(__xludf.DUMMYFUNCTION("""COMPUTED_VALUE"""),98.35)</f>
        <v>98.35</v>
      </c>
      <c r="K368" s="43"/>
      <c r="L368" s="149">
        <f ca="1">IFERROR(__xludf.DUMMYFUNCTION("""COMPUTED_VALUE"""),110.2)</f>
        <v>110.2</v>
      </c>
      <c r="M368" s="155" t="str">
        <f ca="1">IFERROR(__xludf.DUMMYFUNCTION("""COMPUTED_VALUE"""),"Equity Key Stats")</f>
        <v>Equity Key Stats</v>
      </c>
      <c r="N368" s="43"/>
      <c r="O368" s="43"/>
      <c r="P368" s="157">
        <f ca="1">IFERROR(__xludf.DUMMYFUNCTION("""COMPUTED_VALUE"""),98350)</f>
        <v>98350</v>
      </c>
      <c r="Q368" s="151"/>
      <c r="R368" s="152">
        <f ca="1">IFERROR(__xludf.DUMMYFUNCTION("""COMPUTED_VALUE"""),117.6)</f>
        <v>117.6</v>
      </c>
      <c r="S368" s="150">
        <f ca="1">IFERROR(__xludf.DUMMYFUNCTION("""COMPUTED_VALUE"""),-117600)</f>
        <v>-117600</v>
      </c>
      <c r="T368" s="108">
        <f ca="1">IFERROR(__xludf.DUMMYFUNCTION("""COMPUTED_VALUE"""),1)</f>
        <v>1</v>
      </c>
      <c r="U368" s="43">
        <f ca="1">IFERROR(__xludf.DUMMYFUNCTION("""COMPUTED_VALUE"""),1)</f>
        <v>1</v>
      </c>
      <c r="V368" s="144">
        <f ca="1">IFERROR(__xludf.DUMMYFUNCTION("""COMPUTED_VALUE"""),-19250)</f>
        <v>-19250</v>
      </c>
      <c r="W368" s="145">
        <f ca="1">IFERROR(__xludf.DUMMYFUNCTION("""COMPUTED_VALUE"""),529150)</f>
        <v>529150</v>
      </c>
      <c r="X368" s="11">
        <f ca="1">IFERROR(__xludf.DUMMYFUNCTION("""COMPUTED_VALUE"""),149200)</f>
        <v>149200</v>
      </c>
      <c r="Y368" s="11">
        <f ca="1">IFERROR(__xludf.DUMMYFUNCTION("""COMPUTED_VALUE"""),0)</f>
        <v>0</v>
      </c>
      <c r="Z368" s="4">
        <f ca="1">IFERROR(__xludf.DUMMYFUNCTION("""COMPUTED_VALUE"""),0.0583)</f>
        <v>5.8299999999999998E-2</v>
      </c>
    </row>
    <row r="369" spans="1:26" ht="13" x14ac:dyDescent="0.15">
      <c r="A369" s="43" t="str">
        <f ca="1">IFERROR(__xludf.DUMMYFUNCTION("""COMPUTED_VALUE"""),"")</f>
        <v/>
      </c>
      <c r="B369" s="43" t="str">
        <f ca="1">IFERROR(__xludf.DUMMYFUNCTION("""COMPUTED_VALUE"""),"46975")</f>
        <v>46975</v>
      </c>
      <c r="C369" s="146">
        <f ca="1">IFERROR(__xludf.DUMMYFUNCTION("""COMPUTED_VALUE"""),44597000116)</f>
        <v>44597000116</v>
      </c>
      <c r="D369" s="163" t="str">
        <f ca="1">IFERROR(__xludf.DUMMYFUNCTION("""COMPUTED_VALUE"""),"Cash")</f>
        <v>Cash</v>
      </c>
      <c r="E369" s="147">
        <f ca="1">IFERROR(__xludf.DUMMYFUNCTION("""COMPUTED_VALUE"""),44597)</f>
        <v>44597</v>
      </c>
      <c r="F369" s="43" t="str">
        <f ca="1">IFERROR(__xludf.DUMMYFUNCTION("""COMPUTED_VALUE"""),"Cash")</f>
        <v>Cash</v>
      </c>
      <c r="G369" s="43" t="str">
        <f ca="1">IFERROR(__xludf.DUMMYFUNCTION("""COMPUTED_VALUE"""),"HKD")</f>
        <v>HKD</v>
      </c>
      <c r="H369" s="154" t="str">
        <f ca="1">IFERROR(__xludf.DUMMYFUNCTION("""COMPUTED_VALUE"""),"")</f>
        <v/>
      </c>
      <c r="I369" s="148">
        <f ca="1">IFERROR(__xludf.DUMMYFUNCTION("""COMPUTED_VALUE"""),1)</f>
        <v>1</v>
      </c>
      <c r="J369" s="149">
        <f ca="1">IFERROR(__xludf.DUMMYFUNCTION("""COMPUTED_VALUE"""),1)</f>
        <v>1</v>
      </c>
      <c r="K369" s="43"/>
      <c r="L369" s="149">
        <f ca="1">IFERROR(__xludf.DUMMYFUNCTION("""COMPUTED_VALUE"""),1)</f>
        <v>1</v>
      </c>
      <c r="M369" s="155" t="str">
        <f ca="1">IFERROR(__xludf.DUMMYFUNCTION("""COMPUTED_VALUE"""),"")</f>
        <v/>
      </c>
      <c r="N369" s="43"/>
      <c r="O369" s="43"/>
      <c r="P369" s="157">
        <f ca="1">IFERROR(__xludf.DUMMYFUNCTION("""COMPUTED_VALUE"""),500000)</f>
        <v>500000</v>
      </c>
      <c r="Q369" s="151"/>
      <c r="R369" s="152">
        <f ca="1">IFERROR(__xludf.DUMMYFUNCTION("""COMPUTED_VALUE"""),1)</f>
        <v>1</v>
      </c>
      <c r="S369" s="150" t="str">
        <f ca="1">IFERROR(__xludf.DUMMYFUNCTION("""COMPUTED_VALUE"""),"")</f>
        <v/>
      </c>
      <c r="T369" s="108">
        <f ca="1">IFERROR(__xludf.DUMMYFUNCTION("""COMPUTED_VALUE"""),1)</f>
        <v>1</v>
      </c>
      <c r="U369" s="43">
        <f ca="1">IFERROR(__xludf.DUMMYFUNCTION("""COMPUTED_VALUE"""),1)</f>
        <v>1</v>
      </c>
      <c r="V369" s="144">
        <f ca="1">IFERROR(__xludf.DUMMYFUNCTION("""COMPUTED_VALUE"""),500000)</f>
        <v>500000</v>
      </c>
      <c r="W369" s="145" t="str">
        <f ca="1">IFERROR(__xludf.DUMMYFUNCTION("""COMPUTED_VALUE"""),"")</f>
        <v/>
      </c>
      <c r="X369" s="11" t="str">
        <f ca="1">IFERROR(__xludf.DUMMYFUNCTION("""COMPUTED_VALUE"""),"")</f>
        <v/>
      </c>
      <c r="Y369" s="11" t="str">
        <f ca="1">IFERROR(__xludf.DUMMYFUNCTION("""COMPUTED_VALUE"""),"")</f>
        <v/>
      </c>
      <c r="Z369" s="4" t="str">
        <f ca="1">IFERROR(__xludf.DUMMYFUNCTION("""COMPUTED_VALUE"""),"")</f>
        <v/>
      </c>
    </row>
    <row r="370" spans="1:26" ht="13" x14ac:dyDescent="0.15">
      <c r="A370" s="43" t="str">
        <f ca="1">IFERROR(__xludf.DUMMYFUNCTION("""COMPUTED_VALUE"""),"")</f>
        <v/>
      </c>
      <c r="B370" s="43" t="str">
        <f ca="1">IFERROR(__xludf.DUMMYFUNCTION("""COMPUTED_VALUE"""),"46975")</f>
        <v>46975</v>
      </c>
      <c r="C370" s="146">
        <f ca="1">IFERROR(__xludf.DUMMYFUNCTION("""COMPUTED_VALUE"""),44621000396)</f>
        <v>44621000396</v>
      </c>
      <c r="D370" s="163" t="str">
        <f ca="1">IFERROR(__xludf.DUMMYFUNCTION("""COMPUTED_VALUE"""),"AAPL")</f>
        <v>AAPL</v>
      </c>
      <c r="E370" s="147">
        <f ca="1">IFERROR(__xludf.DUMMYFUNCTION("""COMPUTED_VALUE"""),44621)</f>
        <v>44621</v>
      </c>
      <c r="F370" s="43" t="str">
        <f ca="1">IFERROR(__xludf.DUMMYFUNCTION("""COMPUTED_VALUE"""),"Stock")</f>
        <v>Stock</v>
      </c>
      <c r="G370" s="43" t="str">
        <f ca="1">IFERROR(__xludf.DUMMYFUNCTION("""COMPUTED_VALUE"""),"USD")</f>
        <v>USD</v>
      </c>
      <c r="H370" s="154">
        <f ca="1">IFERROR(__xludf.DUMMYFUNCTION("""COMPUTED_VALUE"""),100)</f>
        <v>100</v>
      </c>
      <c r="I370" s="148">
        <f ca="1">IFERROR(__xludf.DUMMYFUNCTION("""COMPUTED_VALUE"""),7.815805)</f>
        <v>7.8158050000000001</v>
      </c>
      <c r="J370" s="149">
        <f ca="1">IFERROR(__xludf.DUMMYFUNCTION("""COMPUTED_VALUE"""),163.2)</f>
        <v>163.19999999999999</v>
      </c>
      <c r="K370" s="43"/>
      <c r="L370" s="149">
        <f ca="1">IFERROR(__xludf.DUMMYFUNCTION("""COMPUTED_VALUE"""),168.82)</f>
        <v>168.82</v>
      </c>
      <c r="M370" s="155" t="str">
        <f ca="1">IFERROR(__xludf.DUMMYFUNCTION("""COMPUTED_VALUE"""),"Equity Key Stats")</f>
        <v>Equity Key Stats</v>
      </c>
      <c r="N370" s="43"/>
      <c r="O370" s="43"/>
      <c r="P370" s="157">
        <f ca="1">IFERROR(__xludf.DUMMYFUNCTION("""COMPUTED_VALUE"""),-127553.937599999)</f>
        <v>-127553.937599999</v>
      </c>
      <c r="Q370" s="151"/>
      <c r="R370" s="152">
        <f ca="1">IFERROR(__xludf.DUMMYFUNCTION("""COMPUTED_VALUE"""),170.21)</f>
        <v>170.21</v>
      </c>
      <c r="S370" s="150">
        <f ca="1">IFERROR(__xludf.DUMMYFUNCTION("""COMPUTED_VALUE"""),133032.816905)</f>
        <v>133032.81690500001</v>
      </c>
      <c r="T370" s="108">
        <f ca="1">IFERROR(__xludf.DUMMYFUNCTION("""COMPUTED_VALUE"""),1)</f>
        <v>1</v>
      </c>
      <c r="U370" s="43">
        <f ca="1">IFERROR(__xludf.DUMMYFUNCTION("""COMPUTED_VALUE"""),1)</f>
        <v>1</v>
      </c>
      <c r="V370" s="144">
        <f ca="1">IFERROR(__xludf.DUMMYFUNCTION("""COMPUTED_VALUE"""),5478.87930500002)</f>
        <v>5478.8793050000204</v>
      </c>
      <c r="W370" s="145" t="str">
        <f ca="1">IFERROR(__xludf.DUMMYFUNCTION("""COMPUTED_VALUE"""),"")</f>
        <v/>
      </c>
      <c r="X370" s="11" t="str">
        <f ca="1">IFERROR(__xludf.DUMMYFUNCTION("""COMPUTED_VALUE"""),"")</f>
        <v/>
      </c>
      <c r="Y370" s="11" t="str">
        <f ca="1">IFERROR(__xludf.DUMMYFUNCTION("""COMPUTED_VALUE"""),"")</f>
        <v/>
      </c>
      <c r="Z370" s="4" t="str">
        <f ca="1">IFERROR(__xludf.DUMMYFUNCTION("""COMPUTED_VALUE"""),"")</f>
        <v/>
      </c>
    </row>
    <row r="371" spans="1:26" ht="13" x14ac:dyDescent="0.15">
      <c r="A371" s="43" t="str">
        <f ca="1">IFERROR(__xludf.DUMMYFUNCTION("""COMPUTED_VALUE"""),"")</f>
        <v/>
      </c>
      <c r="B371" s="43" t="str">
        <f ca="1">IFERROR(__xludf.DUMMYFUNCTION("""COMPUTED_VALUE"""),"46975")</f>
        <v>46975</v>
      </c>
      <c r="C371" s="146">
        <f ca="1">IFERROR(__xludf.DUMMYFUNCTION("""COMPUTED_VALUE"""),44634000565)</f>
        <v>44634000565</v>
      </c>
      <c r="D371" s="163" t="str">
        <f ca="1">IFERROR(__xludf.DUMMYFUNCTION("""COMPUTED_VALUE"""),"6862.HK")</f>
        <v>6862.HK</v>
      </c>
      <c r="E371" s="147">
        <f ca="1">IFERROR(__xludf.DUMMYFUNCTION("""COMPUTED_VALUE"""),44634)</f>
        <v>44634</v>
      </c>
      <c r="F371" s="43" t="str">
        <f ca="1">IFERROR(__xludf.DUMMYFUNCTION("""COMPUTED_VALUE"""),"Stock")</f>
        <v>Stock</v>
      </c>
      <c r="G371" s="43" t="str">
        <f ca="1">IFERROR(__xludf.DUMMYFUNCTION("""COMPUTED_VALUE"""),"HKD")</f>
        <v>HKD</v>
      </c>
      <c r="H371" s="154">
        <f ca="1">IFERROR(__xludf.DUMMYFUNCTION("""COMPUTED_VALUE"""),-100)</f>
        <v>-100</v>
      </c>
      <c r="I371" s="148">
        <f ca="1">IFERROR(__xludf.DUMMYFUNCTION("""COMPUTED_VALUE"""),1)</f>
        <v>1</v>
      </c>
      <c r="J371" s="149">
        <f ca="1">IFERROR(__xludf.DUMMYFUNCTION("""COMPUTED_VALUE"""),11.22)</f>
        <v>11.22</v>
      </c>
      <c r="K371" s="43"/>
      <c r="L371" s="149">
        <f ca="1">IFERROR(__xludf.DUMMYFUNCTION("""COMPUTED_VALUE"""),12.78)</f>
        <v>12.78</v>
      </c>
      <c r="M371" s="155" t="str">
        <f ca="1">IFERROR(__xludf.DUMMYFUNCTION("""COMPUTED_VALUE"""),"Equity Key Stats")</f>
        <v>Equity Key Stats</v>
      </c>
      <c r="N371" s="43"/>
      <c r="O371" s="43"/>
      <c r="P371" s="157">
        <f ca="1">IFERROR(__xludf.DUMMYFUNCTION("""COMPUTED_VALUE"""),1122)</f>
        <v>1122</v>
      </c>
      <c r="Q371" s="151"/>
      <c r="R371" s="152">
        <f ca="1">IFERROR(__xludf.DUMMYFUNCTION("""COMPUTED_VALUE"""),13.24)</f>
        <v>13.24</v>
      </c>
      <c r="S371" s="150">
        <f ca="1">IFERROR(__xludf.DUMMYFUNCTION("""COMPUTED_VALUE"""),-1324)</f>
        <v>-1324</v>
      </c>
      <c r="T371" s="108">
        <f ca="1">IFERROR(__xludf.DUMMYFUNCTION("""COMPUTED_VALUE"""),2)</f>
        <v>2</v>
      </c>
      <c r="U371" s="43" t="str">
        <f ca="1">IFERROR(__xludf.DUMMYFUNCTION("""COMPUTED_VALUE"""),"")</f>
        <v/>
      </c>
      <c r="V371" s="144" t="str">
        <f ca="1">IFERROR(__xludf.DUMMYFUNCTION("""COMPUTED_VALUE"""),"")</f>
        <v/>
      </c>
      <c r="W371" s="145" t="str">
        <f ca="1">IFERROR(__xludf.DUMMYFUNCTION("""COMPUTED_VALUE"""),"")</f>
        <v/>
      </c>
      <c r="X371" s="11" t="str">
        <f ca="1">IFERROR(__xludf.DUMMYFUNCTION("""COMPUTED_VALUE"""),"")</f>
        <v/>
      </c>
      <c r="Y371" s="11" t="str">
        <f ca="1">IFERROR(__xludf.DUMMYFUNCTION("""COMPUTED_VALUE"""),"")</f>
        <v/>
      </c>
      <c r="Z371" s="4" t="str">
        <f ca="1">IFERROR(__xludf.DUMMYFUNCTION("""COMPUTED_VALUE"""),"")</f>
        <v/>
      </c>
    </row>
    <row r="372" spans="1:26" ht="13" x14ac:dyDescent="0.15">
      <c r="A372" s="43" t="str">
        <f ca="1">IFERROR(__xludf.DUMMYFUNCTION("""COMPUTED_VALUE"""),"")</f>
        <v/>
      </c>
      <c r="B372" s="43" t="str">
        <f ca="1">IFERROR(__xludf.DUMMYFUNCTION("""COMPUTED_VALUE"""),"46975")</f>
        <v>46975</v>
      </c>
      <c r="C372" s="146">
        <f ca="1">IFERROR(__xludf.DUMMYFUNCTION("""COMPUTED_VALUE"""),44635000607)</f>
        <v>44635000607</v>
      </c>
      <c r="D372" s="163" t="str">
        <f ca="1">IFERROR(__xludf.DUMMYFUNCTION("""COMPUTED_VALUE"""),"0700.HK")</f>
        <v>0700.HK</v>
      </c>
      <c r="E372" s="147">
        <f ca="1">IFERROR(__xludf.DUMMYFUNCTION("""COMPUTED_VALUE"""),44635)</f>
        <v>44635</v>
      </c>
      <c r="F372" s="43" t="str">
        <f ca="1">IFERROR(__xludf.DUMMYFUNCTION("""COMPUTED_VALUE"""),"Stock")</f>
        <v>Stock</v>
      </c>
      <c r="G372" s="43" t="str">
        <f ca="1">IFERROR(__xludf.DUMMYFUNCTION("""COMPUTED_VALUE"""),"HKD")</f>
        <v>HKD</v>
      </c>
      <c r="H372" s="154">
        <f ca="1">IFERROR(__xludf.DUMMYFUNCTION("""COMPUTED_VALUE"""),-100)</f>
        <v>-100</v>
      </c>
      <c r="I372" s="148">
        <f ca="1">IFERROR(__xludf.DUMMYFUNCTION("""COMPUTED_VALUE"""),1)</f>
        <v>1</v>
      </c>
      <c r="J372" s="149">
        <f ca="1">IFERROR(__xludf.DUMMYFUNCTION("""COMPUTED_VALUE"""),298)</f>
        <v>298</v>
      </c>
      <c r="K372" s="43"/>
      <c r="L372" s="149">
        <f ca="1">IFERROR(__xludf.DUMMYFUNCTION("""COMPUTED_VALUE"""),388)</f>
        <v>388</v>
      </c>
      <c r="M372" s="155" t="str">
        <f ca="1">IFERROR(__xludf.DUMMYFUNCTION("""COMPUTED_VALUE"""),"Equity Key Stats")</f>
        <v>Equity Key Stats</v>
      </c>
      <c r="N372" s="43"/>
      <c r="O372" s="43"/>
      <c r="P372" s="157">
        <f ca="1">IFERROR(__xludf.DUMMYFUNCTION("""COMPUTED_VALUE"""),29800)</f>
        <v>29800</v>
      </c>
      <c r="Q372" s="151"/>
      <c r="R372" s="152">
        <f ca="1">IFERROR(__xludf.DUMMYFUNCTION("""COMPUTED_VALUE"""),389)</f>
        <v>389</v>
      </c>
      <c r="S372" s="150">
        <f ca="1">IFERROR(__xludf.DUMMYFUNCTION("""COMPUTED_VALUE"""),-38900)</f>
        <v>-38900</v>
      </c>
      <c r="T372" s="108">
        <f ca="1">IFERROR(__xludf.DUMMYFUNCTION("""COMPUTED_VALUE"""),2)</f>
        <v>2</v>
      </c>
      <c r="U372" s="43" t="str">
        <f ca="1">IFERROR(__xludf.DUMMYFUNCTION("""COMPUTED_VALUE"""),"")</f>
        <v/>
      </c>
      <c r="V372" s="144" t="str">
        <f ca="1">IFERROR(__xludf.DUMMYFUNCTION("""COMPUTED_VALUE"""),"")</f>
        <v/>
      </c>
      <c r="W372" s="145" t="str">
        <f ca="1">IFERROR(__xludf.DUMMYFUNCTION("""COMPUTED_VALUE"""),"")</f>
        <v/>
      </c>
      <c r="X372" s="11" t="str">
        <f ca="1">IFERROR(__xludf.DUMMYFUNCTION("""COMPUTED_VALUE"""),"")</f>
        <v/>
      </c>
      <c r="Y372" s="11" t="str">
        <f ca="1">IFERROR(__xludf.DUMMYFUNCTION("""COMPUTED_VALUE"""),"")</f>
        <v/>
      </c>
      <c r="Z372" s="4" t="str">
        <f ca="1">IFERROR(__xludf.DUMMYFUNCTION("""COMPUTED_VALUE"""),"")</f>
        <v/>
      </c>
    </row>
    <row r="373" spans="1:26" ht="13" x14ac:dyDescent="0.15">
      <c r="A373" s="43" t="str">
        <f ca="1">IFERROR(__xludf.DUMMYFUNCTION("""COMPUTED_VALUE"""),"")</f>
        <v/>
      </c>
      <c r="B373" s="43" t="str">
        <f ca="1">IFERROR(__xludf.DUMMYFUNCTION("""COMPUTED_VALUE"""),"46975")</f>
        <v>46975</v>
      </c>
      <c r="C373" s="146">
        <f ca="1">IFERROR(__xludf.DUMMYFUNCTION("""COMPUTED_VALUE"""),44636000645)</f>
        <v>44636000645</v>
      </c>
      <c r="D373" s="163" t="str">
        <f ca="1">IFERROR(__xludf.DUMMYFUNCTION("""COMPUTED_VALUE"""),"0700.HK")</f>
        <v>0700.HK</v>
      </c>
      <c r="E373" s="147">
        <f ca="1">IFERROR(__xludf.DUMMYFUNCTION("""COMPUTED_VALUE"""),44636)</f>
        <v>44636</v>
      </c>
      <c r="F373" s="43" t="str">
        <f ca="1">IFERROR(__xludf.DUMMYFUNCTION("""COMPUTED_VALUE"""),"Stock")</f>
        <v>Stock</v>
      </c>
      <c r="G373" s="43" t="str">
        <f ca="1">IFERROR(__xludf.DUMMYFUNCTION("""COMPUTED_VALUE"""),"HKD")</f>
        <v>HKD</v>
      </c>
      <c r="H373" s="154">
        <f ca="1">IFERROR(__xludf.DUMMYFUNCTION("""COMPUTED_VALUE"""),200)</f>
        <v>200</v>
      </c>
      <c r="I373" s="148">
        <f ca="1">IFERROR(__xludf.DUMMYFUNCTION("""COMPUTED_VALUE"""),1)</f>
        <v>1</v>
      </c>
      <c r="J373" s="149">
        <f ca="1">IFERROR(__xludf.DUMMYFUNCTION("""COMPUTED_VALUE"""),367)</f>
        <v>367</v>
      </c>
      <c r="K373" s="43"/>
      <c r="L373" s="149">
        <f ca="1">IFERROR(__xludf.DUMMYFUNCTION("""COMPUTED_VALUE"""),388)</f>
        <v>388</v>
      </c>
      <c r="M373" s="155" t="str">
        <f ca="1">IFERROR(__xludf.DUMMYFUNCTION("""COMPUTED_VALUE"""),"Equity Key Stats")</f>
        <v>Equity Key Stats</v>
      </c>
      <c r="N373" s="43"/>
      <c r="O373" s="43"/>
      <c r="P373" s="157">
        <f ca="1">IFERROR(__xludf.DUMMYFUNCTION("""COMPUTED_VALUE"""),-73400)</f>
        <v>-73400</v>
      </c>
      <c r="Q373" s="151"/>
      <c r="R373" s="152">
        <f ca="1">IFERROR(__xludf.DUMMYFUNCTION("""COMPUTED_VALUE"""),389)</f>
        <v>389</v>
      </c>
      <c r="S373" s="150">
        <f ca="1">IFERROR(__xludf.DUMMYFUNCTION("""COMPUTED_VALUE"""),77800)</f>
        <v>77800</v>
      </c>
      <c r="T373" s="108">
        <f ca="1">IFERROR(__xludf.DUMMYFUNCTION("""COMPUTED_VALUE"""),2)</f>
        <v>2</v>
      </c>
      <c r="U373" s="43">
        <f ca="1">IFERROR(__xludf.DUMMYFUNCTION("""COMPUTED_VALUE"""),1)</f>
        <v>1</v>
      </c>
      <c r="V373" s="144">
        <f ca="1">IFERROR(__xludf.DUMMYFUNCTION("""COMPUTED_VALUE"""),-4700)</f>
        <v>-4700</v>
      </c>
      <c r="W373" s="145" t="str">
        <f ca="1">IFERROR(__xludf.DUMMYFUNCTION("""COMPUTED_VALUE"""),"")</f>
        <v/>
      </c>
      <c r="X373" s="11" t="str">
        <f ca="1">IFERROR(__xludf.DUMMYFUNCTION("""COMPUTED_VALUE"""),"")</f>
        <v/>
      </c>
      <c r="Y373" s="11" t="str">
        <f ca="1">IFERROR(__xludf.DUMMYFUNCTION("""COMPUTED_VALUE"""),"")</f>
        <v/>
      </c>
      <c r="Z373" s="4" t="str">
        <f ca="1">IFERROR(__xludf.DUMMYFUNCTION("""COMPUTED_VALUE"""),"")</f>
        <v/>
      </c>
    </row>
    <row r="374" spans="1:26" ht="13" x14ac:dyDescent="0.15">
      <c r="A374" s="43" t="str">
        <f ca="1">IFERROR(__xludf.DUMMYFUNCTION("""COMPUTED_VALUE"""),"46975")</f>
        <v>46975</v>
      </c>
      <c r="B374" s="43" t="str">
        <f ca="1">IFERROR(__xludf.DUMMYFUNCTION("""COMPUTED_VALUE"""),"46975")</f>
        <v>46975</v>
      </c>
      <c r="C374" s="146">
        <f ca="1">IFERROR(__xludf.DUMMYFUNCTION("""COMPUTED_VALUE"""),44636000646)</f>
        <v>44636000646</v>
      </c>
      <c r="D374" s="163" t="str">
        <f ca="1">IFERROR(__xludf.DUMMYFUNCTION("""COMPUTED_VALUE"""),"6862.HK")</f>
        <v>6862.HK</v>
      </c>
      <c r="E374" s="147">
        <f ca="1">IFERROR(__xludf.DUMMYFUNCTION("""COMPUTED_VALUE"""),44636)</f>
        <v>44636</v>
      </c>
      <c r="F374" s="43" t="str">
        <f ca="1">IFERROR(__xludf.DUMMYFUNCTION("""COMPUTED_VALUE"""),"Stock")</f>
        <v>Stock</v>
      </c>
      <c r="G374" s="43" t="str">
        <f ca="1">IFERROR(__xludf.DUMMYFUNCTION("""COMPUTED_VALUE"""),"HKD")</f>
        <v>HKD</v>
      </c>
      <c r="H374" s="154">
        <f ca="1">IFERROR(__xludf.DUMMYFUNCTION("""COMPUTED_VALUE"""),200)</f>
        <v>200</v>
      </c>
      <c r="I374" s="148">
        <f ca="1">IFERROR(__xludf.DUMMYFUNCTION("""COMPUTED_VALUE"""),1)</f>
        <v>1</v>
      </c>
      <c r="J374" s="149">
        <f ca="1">IFERROR(__xludf.DUMMYFUNCTION("""COMPUTED_VALUE"""),12.22)</f>
        <v>12.22</v>
      </c>
      <c r="K374" s="43"/>
      <c r="L374" s="149">
        <f ca="1">IFERROR(__xludf.DUMMYFUNCTION("""COMPUTED_VALUE"""),12.78)</f>
        <v>12.78</v>
      </c>
      <c r="M374" s="155" t="str">
        <f ca="1">IFERROR(__xludf.DUMMYFUNCTION("""COMPUTED_VALUE"""),"Equity Key Stats")</f>
        <v>Equity Key Stats</v>
      </c>
      <c r="N374" s="43"/>
      <c r="O374" s="43"/>
      <c r="P374" s="157">
        <f ca="1">IFERROR(__xludf.DUMMYFUNCTION("""COMPUTED_VALUE"""),-2444)</f>
        <v>-2444</v>
      </c>
      <c r="Q374" s="151"/>
      <c r="R374" s="152">
        <f ca="1">IFERROR(__xludf.DUMMYFUNCTION("""COMPUTED_VALUE"""),13.24)</f>
        <v>13.24</v>
      </c>
      <c r="S374" s="150">
        <f ca="1">IFERROR(__xludf.DUMMYFUNCTION("""COMPUTED_VALUE"""),2648)</f>
        <v>2648</v>
      </c>
      <c r="T374" s="108">
        <f ca="1">IFERROR(__xludf.DUMMYFUNCTION("""COMPUTED_VALUE"""),2)</f>
        <v>2</v>
      </c>
      <c r="U374" s="43">
        <f ca="1">IFERROR(__xludf.DUMMYFUNCTION("""COMPUTED_VALUE"""),1)</f>
        <v>1</v>
      </c>
      <c r="V374" s="144">
        <f ca="1">IFERROR(__xludf.DUMMYFUNCTION("""COMPUTED_VALUE"""),2)</f>
        <v>2</v>
      </c>
      <c r="W374" s="145">
        <f ca="1">IFERROR(__xludf.DUMMYFUNCTION("""COMPUTED_VALUE"""),500780.879305)</f>
        <v>500780.87930500001</v>
      </c>
      <c r="X374" s="11">
        <f ca="1">IFERROR(__xludf.DUMMYFUNCTION("""COMPUTED_VALUE"""),341524.0624)</f>
        <v>341524.0624</v>
      </c>
      <c r="Y374" s="11">
        <f ca="1">IFERROR(__xludf.DUMMYFUNCTION("""COMPUTED_VALUE"""),0)</f>
        <v>0</v>
      </c>
      <c r="Z374" s="4">
        <f ca="1">IFERROR(__xludf.DUMMYFUNCTION("""COMPUTED_VALUE"""),0.00156175861000007)</f>
        <v>1.5617586100000701E-3</v>
      </c>
    </row>
    <row r="375" spans="1:26" ht="13" x14ac:dyDescent="0.15">
      <c r="A375" s="43" t="str">
        <f ca="1">IFERROR(__xludf.DUMMYFUNCTION("""COMPUTED_VALUE"""),"52981")</f>
        <v>52981</v>
      </c>
      <c r="B375" s="43" t="str">
        <f ca="1">IFERROR(__xludf.DUMMYFUNCTION("""COMPUTED_VALUE"""),"52981")</f>
        <v>52981</v>
      </c>
      <c r="C375" s="146">
        <f ca="1">IFERROR(__xludf.DUMMYFUNCTION("""COMPUTED_VALUE"""),44597000018)</f>
        <v>44597000018</v>
      </c>
      <c r="D375" s="163" t="str">
        <f ca="1">IFERROR(__xludf.DUMMYFUNCTION("""COMPUTED_VALUE"""),"Cash")</f>
        <v>Cash</v>
      </c>
      <c r="E375" s="147">
        <f ca="1">IFERROR(__xludf.DUMMYFUNCTION("""COMPUTED_VALUE"""),44597)</f>
        <v>44597</v>
      </c>
      <c r="F375" s="43" t="str">
        <f ca="1">IFERROR(__xludf.DUMMYFUNCTION("""COMPUTED_VALUE"""),"Cash")</f>
        <v>Cash</v>
      </c>
      <c r="G375" s="43" t="str">
        <f ca="1">IFERROR(__xludf.DUMMYFUNCTION("""COMPUTED_VALUE"""),"HKD")</f>
        <v>HKD</v>
      </c>
      <c r="H375" s="156" t="str">
        <f ca="1">IFERROR(__xludf.DUMMYFUNCTION("""COMPUTED_VALUE"""),"")</f>
        <v/>
      </c>
      <c r="I375" s="148">
        <f ca="1">IFERROR(__xludf.DUMMYFUNCTION("""COMPUTED_VALUE"""),1)</f>
        <v>1</v>
      </c>
      <c r="J375" s="149">
        <f ca="1">IFERROR(__xludf.DUMMYFUNCTION("""COMPUTED_VALUE"""),1)</f>
        <v>1</v>
      </c>
      <c r="K375" s="43"/>
      <c r="L375" s="149">
        <f ca="1">IFERROR(__xludf.DUMMYFUNCTION("""COMPUTED_VALUE"""),1)</f>
        <v>1</v>
      </c>
      <c r="M375" s="155" t="str">
        <f ca="1">IFERROR(__xludf.DUMMYFUNCTION("""COMPUTED_VALUE"""),"")</f>
        <v/>
      </c>
      <c r="N375" s="43"/>
      <c r="O375" s="43"/>
      <c r="P375" s="150">
        <f ca="1">IFERROR(__xludf.DUMMYFUNCTION("""COMPUTED_VALUE"""),500000)</f>
        <v>500000</v>
      </c>
      <c r="Q375" s="151"/>
      <c r="R375" s="152">
        <f ca="1">IFERROR(__xludf.DUMMYFUNCTION("""COMPUTED_VALUE"""),1)</f>
        <v>1</v>
      </c>
      <c r="S375" s="157" t="str">
        <f ca="1">IFERROR(__xludf.DUMMYFUNCTION("""COMPUTED_VALUE"""),"")</f>
        <v/>
      </c>
      <c r="T375" s="108">
        <f ca="1">IFERROR(__xludf.DUMMYFUNCTION("""COMPUTED_VALUE"""),1)</f>
        <v>1</v>
      </c>
      <c r="U375" s="108">
        <f ca="1">IFERROR(__xludf.DUMMYFUNCTION("""COMPUTED_VALUE"""),1)</f>
        <v>1</v>
      </c>
      <c r="V375" s="158">
        <f ca="1">IFERROR(__xludf.DUMMYFUNCTION("""COMPUTED_VALUE"""),500000)</f>
        <v>500000</v>
      </c>
      <c r="W375" s="145">
        <f ca="1">IFERROR(__xludf.DUMMYFUNCTION("""COMPUTED_VALUE"""),500000)</f>
        <v>500000</v>
      </c>
      <c r="X375" s="11">
        <f ca="1">IFERROR(__xludf.DUMMYFUNCTION("""COMPUTED_VALUE"""),500000)</f>
        <v>500000</v>
      </c>
      <c r="Y375" s="11">
        <f ca="1">IFERROR(__xludf.DUMMYFUNCTION("""COMPUTED_VALUE"""),0)</f>
        <v>0</v>
      </c>
      <c r="Z375" s="4">
        <f ca="1">IFERROR(__xludf.DUMMYFUNCTION("""COMPUTED_VALUE"""),0)</f>
        <v>0</v>
      </c>
    </row>
    <row r="376" spans="1:26" ht="13" x14ac:dyDescent="0.15">
      <c r="A376" s="43" t="str">
        <f ca="1">IFERROR(__xludf.DUMMYFUNCTION("""COMPUTED_VALUE"""),"")</f>
        <v/>
      </c>
      <c r="B376" s="43" t="str">
        <f ca="1">IFERROR(__xludf.DUMMYFUNCTION("""COMPUTED_VALUE"""),"56118")</f>
        <v>56118</v>
      </c>
      <c r="C376" s="146">
        <f ca="1">IFERROR(__xludf.DUMMYFUNCTION("""COMPUTED_VALUE"""),44597000015)</f>
        <v>44597000015</v>
      </c>
      <c r="D376" s="163" t="str">
        <f ca="1">IFERROR(__xludf.DUMMYFUNCTION("""COMPUTED_VALUE"""),"Cash")</f>
        <v>Cash</v>
      </c>
      <c r="E376" s="147">
        <f ca="1">IFERROR(__xludf.DUMMYFUNCTION("""COMPUTED_VALUE"""),44597)</f>
        <v>44597</v>
      </c>
      <c r="F376" s="43" t="str">
        <f ca="1">IFERROR(__xludf.DUMMYFUNCTION("""COMPUTED_VALUE"""),"Cash")</f>
        <v>Cash</v>
      </c>
      <c r="G376" s="43" t="str">
        <f ca="1">IFERROR(__xludf.DUMMYFUNCTION("""COMPUTED_VALUE"""),"HKD")</f>
        <v>HKD</v>
      </c>
      <c r="H376" s="156" t="str">
        <f ca="1">IFERROR(__xludf.DUMMYFUNCTION("""COMPUTED_VALUE"""),"")</f>
        <v/>
      </c>
      <c r="I376" s="148">
        <f ca="1">IFERROR(__xludf.DUMMYFUNCTION("""COMPUTED_VALUE"""),1)</f>
        <v>1</v>
      </c>
      <c r="J376" s="149">
        <f ca="1">IFERROR(__xludf.DUMMYFUNCTION("""COMPUTED_VALUE"""),1)</f>
        <v>1</v>
      </c>
      <c r="K376" s="43"/>
      <c r="L376" s="149">
        <f ca="1">IFERROR(__xludf.DUMMYFUNCTION("""COMPUTED_VALUE"""),1)</f>
        <v>1</v>
      </c>
      <c r="M376" s="155" t="str">
        <f ca="1">IFERROR(__xludf.DUMMYFUNCTION("""COMPUTED_VALUE"""),"")</f>
        <v/>
      </c>
      <c r="N376" s="43"/>
      <c r="O376" s="43"/>
      <c r="P376" s="150">
        <f ca="1">IFERROR(__xludf.DUMMYFUNCTION("""COMPUTED_VALUE"""),500000)</f>
        <v>500000</v>
      </c>
      <c r="Q376" s="151"/>
      <c r="R376" s="152">
        <f ca="1">IFERROR(__xludf.DUMMYFUNCTION("""COMPUTED_VALUE"""),1)</f>
        <v>1</v>
      </c>
      <c r="S376" s="157" t="str">
        <f ca="1">IFERROR(__xludf.DUMMYFUNCTION("""COMPUTED_VALUE"""),"")</f>
        <v/>
      </c>
      <c r="T376" s="108">
        <f ca="1">IFERROR(__xludf.DUMMYFUNCTION("""COMPUTED_VALUE"""),1)</f>
        <v>1</v>
      </c>
      <c r="U376" s="108">
        <f ca="1">IFERROR(__xludf.DUMMYFUNCTION("""COMPUTED_VALUE"""),1)</f>
        <v>1</v>
      </c>
      <c r="V376" s="158">
        <f ca="1">IFERROR(__xludf.DUMMYFUNCTION("""COMPUTED_VALUE"""),500000)</f>
        <v>500000</v>
      </c>
      <c r="W376" s="145" t="str">
        <f ca="1">IFERROR(__xludf.DUMMYFUNCTION("""COMPUTED_VALUE"""),"")</f>
        <v/>
      </c>
      <c r="X376" s="11" t="str">
        <f ca="1">IFERROR(__xludf.DUMMYFUNCTION("""COMPUTED_VALUE"""),"")</f>
        <v/>
      </c>
      <c r="Y376" s="11" t="str">
        <f ca="1">IFERROR(__xludf.DUMMYFUNCTION("""COMPUTED_VALUE"""),"")</f>
        <v/>
      </c>
      <c r="Z376" s="4" t="str">
        <f ca="1">IFERROR(__xludf.DUMMYFUNCTION("""COMPUTED_VALUE"""),"")</f>
        <v/>
      </c>
    </row>
    <row r="377" spans="1:26" ht="13" x14ac:dyDescent="0.15">
      <c r="A377" s="43" t="str">
        <f ca="1">IFERROR(__xludf.DUMMYFUNCTION("""COMPUTED_VALUE"""),"")</f>
        <v/>
      </c>
      <c r="B377" s="43" t="str">
        <f ca="1">IFERROR(__xludf.DUMMYFUNCTION("""COMPUTED_VALUE"""),"56118")</f>
        <v>56118</v>
      </c>
      <c r="C377" s="146">
        <f ca="1">IFERROR(__xludf.DUMMYFUNCTION("""COMPUTED_VALUE"""),44635000599)</f>
        <v>44635000599</v>
      </c>
      <c r="D377" s="163" t="str">
        <f ca="1">IFERROR(__xludf.DUMMYFUNCTION("""COMPUTED_VALUE"""),"LMT")</f>
        <v>LMT</v>
      </c>
      <c r="E377" s="147">
        <f ca="1">IFERROR(__xludf.DUMMYFUNCTION("""COMPUTED_VALUE"""),44635)</f>
        <v>44635</v>
      </c>
      <c r="F377" s="43" t="str">
        <f ca="1">IFERROR(__xludf.DUMMYFUNCTION("""COMPUTED_VALUE"""),"Stock")</f>
        <v>Stock</v>
      </c>
      <c r="G377" s="43" t="str">
        <f ca="1">IFERROR(__xludf.DUMMYFUNCTION("""COMPUTED_VALUE"""),"USD")</f>
        <v>USD</v>
      </c>
      <c r="H377" s="156">
        <f ca="1">IFERROR(__xludf.DUMMYFUNCTION("""COMPUTED_VALUE"""),20)</f>
        <v>20</v>
      </c>
      <c r="I377" s="148">
        <f ca="1">IFERROR(__xludf.DUMMYFUNCTION("""COMPUTED_VALUE"""),7.82695)</f>
        <v>7.8269500000000001</v>
      </c>
      <c r="J377" s="149">
        <f ca="1">IFERROR(__xludf.DUMMYFUNCTION("""COMPUTED_VALUE"""),448.67)</f>
        <v>448.67</v>
      </c>
      <c r="K377" s="43"/>
      <c r="L377" s="149">
        <f ca="1">IFERROR(__xludf.DUMMYFUNCTION("""COMPUTED_VALUE"""),440.59)</f>
        <v>440.59</v>
      </c>
      <c r="M377" s="155" t="str">
        <f ca="1">IFERROR(__xludf.DUMMYFUNCTION("""COMPUTED_VALUE"""),"Equity Key Stats")</f>
        <v>Equity Key Stats</v>
      </c>
      <c r="N377" s="43"/>
      <c r="O377" s="43"/>
      <c r="P377" s="150">
        <f ca="1">IFERROR(__xludf.DUMMYFUNCTION("""COMPUTED_VALUE"""),-70234.35313)</f>
        <v>-70234.353130000003</v>
      </c>
      <c r="Q377" s="151"/>
      <c r="R377" s="152">
        <f ca="1">IFERROR(__xludf.DUMMYFUNCTION("""COMPUTED_VALUE"""),445.25)</f>
        <v>445.25</v>
      </c>
      <c r="S377" s="157">
        <f ca="1">IFERROR(__xludf.DUMMYFUNCTION("""COMPUTED_VALUE"""),69698.98975)</f>
        <v>69698.989749999993</v>
      </c>
      <c r="T377" s="108">
        <f ca="1">IFERROR(__xludf.DUMMYFUNCTION("""COMPUTED_VALUE"""),2)</f>
        <v>2</v>
      </c>
      <c r="U377" s="108" t="str">
        <f ca="1">IFERROR(__xludf.DUMMYFUNCTION("""COMPUTED_VALUE"""),"")</f>
        <v/>
      </c>
      <c r="V377" s="158" t="str">
        <f ca="1">IFERROR(__xludf.DUMMYFUNCTION("""COMPUTED_VALUE"""),"")</f>
        <v/>
      </c>
      <c r="W377" s="145" t="str">
        <f ca="1">IFERROR(__xludf.DUMMYFUNCTION("""COMPUTED_VALUE"""),"")</f>
        <v/>
      </c>
      <c r="X377" s="11" t="str">
        <f ca="1">IFERROR(__xludf.DUMMYFUNCTION("""COMPUTED_VALUE"""),"")</f>
        <v/>
      </c>
      <c r="Y377" s="11" t="str">
        <f ca="1">IFERROR(__xludf.DUMMYFUNCTION("""COMPUTED_VALUE"""),"")</f>
        <v/>
      </c>
      <c r="Z377" s="4" t="str">
        <f ca="1">IFERROR(__xludf.DUMMYFUNCTION("""COMPUTED_VALUE"""),"")</f>
        <v/>
      </c>
    </row>
    <row r="378" spans="1:26" ht="13" x14ac:dyDescent="0.15">
      <c r="A378" s="43" t="str">
        <f ca="1">IFERROR(__xludf.DUMMYFUNCTION("""COMPUTED_VALUE"""),"")</f>
        <v/>
      </c>
      <c r="B378" s="43" t="str">
        <f ca="1">IFERROR(__xludf.DUMMYFUNCTION("""COMPUTED_VALUE"""),"56118")</f>
        <v>56118</v>
      </c>
      <c r="C378" s="146">
        <f ca="1">IFERROR(__xludf.DUMMYFUNCTION("""COMPUTED_VALUE"""),44635000600)</f>
        <v>44635000600</v>
      </c>
      <c r="D378" s="163" t="str">
        <f ca="1">IFERROR(__xludf.DUMMYFUNCTION("""COMPUTED_VALUE"""),"PFE")</f>
        <v>PFE</v>
      </c>
      <c r="E378" s="147">
        <f ca="1">IFERROR(__xludf.DUMMYFUNCTION("""COMPUTED_VALUE"""),44635)</f>
        <v>44635</v>
      </c>
      <c r="F378" s="43" t="str">
        <f ca="1">IFERROR(__xludf.DUMMYFUNCTION("""COMPUTED_VALUE"""),"Stock")</f>
        <v>Stock</v>
      </c>
      <c r="G378" s="43" t="str">
        <f ca="1">IFERROR(__xludf.DUMMYFUNCTION("""COMPUTED_VALUE"""),"USD")</f>
        <v>USD</v>
      </c>
      <c r="H378" s="156">
        <f ca="1">IFERROR(__xludf.DUMMYFUNCTION("""COMPUTED_VALUE"""),500)</f>
        <v>500</v>
      </c>
      <c r="I378" s="148">
        <f ca="1">IFERROR(__xludf.DUMMYFUNCTION("""COMPUTED_VALUE"""),7.82695)</f>
        <v>7.8269500000000001</v>
      </c>
      <c r="J378" s="149">
        <f ca="1">IFERROR(__xludf.DUMMYFUNCTION("""COMPUTED_VALUE"""),52.21)</f>
        <v>52.21</v>
      </c>
      <c r="K378" s="43"/>
      <c r="L378" s="149">
        <f ca="1">IFERROR(__xludf.DUMMYFUNCTION("""COMPUTED_VALUE"""),53.04)</f>
        <v>53.04</v>
      </c>
      <c r="M378" s="155" t="str">
        <f ca="1">IFERROR(__xludf.DUMMYFUNCTION("""COMPUTED_VALUE"""),"Equity Key Stats")</f>
        <v>Equity Key Stats</v>
      </c>
      <c r="N378" s="43"/>
      <c r="O378" s="43"/>
      <c r="P378" s="150">
        <f ca="1">IFERROR(__xludf.DUMMYFUNCTION("""COMPUTED_VALUE"""),-204322.52975)</f>
        <v>-204322.52974999999</v>
      </c>
      <c r="Q378" s="151"/>
      <c r="R378" s="152">
        <f ca="1">IFERROR(__xludf.DUMMYFUNCTION("""COMPUTED_VALUE"""),52.19)</f>
        <v>52.19</v>
      </c>
      <c r="S378" s="157">
        <f ca="1">IFERROR(__xludf.DUMMYFUNCTION("""COMPUTED_VALUE"""),204244.26025)</f>
        <v>204244.26024999999</v>
      </c>
      <c r="T378" s="108">
        <f ca="1">IFERROR(__xludf.DUMMYFUNCTION("""COMPUTED_VALUE"""),2)</f>
        <v>2</v>
      </c>
      <c r="U378" s="43" t="str">
        <f ca="1">IFERROR(__xludf.DUMMYFUNCTION("""COMPUTED_VALUE"""),"")</f>
        <v/>
      </c>
      <c r="V378" s="144" t="str">
        <f ca="1">IFERROR(__xludf.DUMMYFUNCTION("""COMPUTED_VALUE"""),"")</f>
        <v/>
      </c>
      <c r="W378" s="145" t="str">
        <f ca="1">IFERROR(__xludf.DUMMYFUNCTION("""COMPUTED_VALUE"""),"")</f>
        <v/>
      </c>
      <c r="X378" s="11" t="str">
        <f ca="1">IFERROR(__xludf.DUMMYFUNCTION("""COMPUTED_VALUE"""),"")</f>
        <v/>
      </c>
      <c r="Y378" s="11" t="str">
        <f ca="1">IFERROR(__xludf.DUMMYFUNCTION("""COMPUTED_VALUE"""),"")</f>
        <v/>
      </c>
      <c r="Z378" s="4" t="str">
        <f ca="1">IFERROR(__xludf.DUMMYFUNCTION("""COMPUTED_VALUE"""),"")</f>
        <v/>
      </c>
    </row>
    <row r="379" spans="1:26" ht="13" x14ac:dyDescent="0.15">
      <c r="A379" s="43" t="str">
        <f ca="1">IFERROR(__xludf.DUMMYFUNCTION("""COMPUTED_VALUE"""),"")</f>
        <v/>
      </c>
      <c r="B379" s="43" t="str">
        <f ca="1">IFERROR(__xludf.DUMMYFUNCTION("""COMPUTED_VALUE"""),"56118")</f>
        <v>56118</v>
      </c>
      <c r="C379" s="146">
        <f ca="1">IFERROR(__xludf.DUMMYFUNCTION("""COMPUTED_VALUE"""),44635000601)</f>
        <v>44635000601</v>
      </c>
      <c r="D379" s="163" t="str">
        <f ca="1">IFERROR(__xludf.DUMMYFUNCTION("""COMPUTED_VALUE"""),"3339.HK")</f>
        <v>3339.HK</v>
      </c>
      <c r="E379" s="147">
        <f ca="1">IFERROR(__xludf.DUMMYFUNCTION("""COMPUTED_VALUE"""),44635)</f>
        <v>44635</v>
      </c>
      <c r="F379" s="43" t="str">
        <f ca="1">IFERROR(__xludf.DUMMYFUNCTION("""COMPUTED_VALUE"""),"Stock")</f>
        <v>Stock</v>
      </c>
      <c r="G379" s="43" t="str">
        <f ca="1">IFERROR(__xludf.DUMMYFUNCTION("""COMPUTED_VALUE"""),"HKD")</f>
        <v>HKD</v>
      </c>
      <c r="H379" s="154">
        <f ca="1">IFERROR(__xludf.DUMMYFUNCTION("""COMPUTED_VALUE"""),100000)</f>
        <v>100000</v>
      </c>
      <c r="I379" s="148">
        <f ca="1">IFERROR(__xludf.DUMMYFUNCTION("""COMPUTED_VALUE"""),1)</f>
        <v>1</v>
      </c>
      <c r="J379" s="149">
        <f ca="1">IFERROR(__xludf.DUMMYFUNCTION("""COMPUTED_VALUE"""),1.98)</f>
        <v>1.98</v>
      </c>
      <c r="K379" s="43"/>
      <c r="L379" s="149">
        <f ca="1">IFERROR(__xludf.DUMMYFUNCTION("""COMPUTED_VALUE"""),2.11)</f>
        <v>2.11</v>
      </c>
      <c r="M379" s="155" t="str">
        <f ca="1">IFERROR(__xludf.DUMMYFUNCTION("""COMPUTED_VALUE"""),"Equity Key Stats")</f>
        <v>Equity Key Stats</v>
      </c>
      <c r="N379" s="43"/>
      <c r="O379" s="43"/>
      <c r="P379" s="157">
        <f ca="1">IFERROR(__xludf.DUMMYFUNCTION("""COMPUTED_VALUE"""),-198000)</f>
        <v>-198000</v>
      </c>
      <c r="Q379" s="151"/>
      <c r="R379" s="152">
        <f ca="1">IFERROR(__xludf.DUMMYFUNCTION("""COMPUTED_VALUE"""),2.15)</f>
        <v>2.15</v>
      </c>
      <c r="S379" s="150">
        <f ca="1">IFERROR(__xludf.DUMMYFUNCTION("""COMPUTED_VALUE"""),215000)</f>
        <v>215000</v>
      </c>
      <c r="T379" s="108">
        <f ca="1">IFERROR(__xludf.DUMMYFUNCTION("""COMPUTED_VALUE"""),1)</f>
        <v>1</v>
      </c>
      <c r="U379" s="43">
        <f ca="1">IFERROR(__xludf.DUMMYFUNCTION("""COMPUTED_VALUE"""),1)</f>
        <v>1</v>
      </c>
      <c r="V379" s="144">
        <f ca="1">IFERROR(__xludf.DUMMYFUNCTION("""COMPUTED_VALUE"""),17000)</f>
        <v>17000</v>
      </c>
      <c r="W379" s="145" t="str">
        <f ca="1">IFERROR(__xludf.DUMMYFUNCTION("""COMPUTED_VALUE"""),"")</f>
        <v/>
      </c>
      <c r="X379" s="11" t="str">
        <f ca="1">IFERROR(__xludf.DUMMYFUNCTION("""COMPUTED_VALUE"""),"")</f>
        <v/>
      </c>
      <c r="Y379" s="11" t="str">
        <f ca="1">IFERROR(__xludf.DUMMYFUNCTION("""COMPUTED_VALUE"""),"")</f>
        <v/>
      </c>
      <c r="Z379" s="4" t="str">
        <f ca="1">IFERROR(__xludf.DUMMYFUNCTION("""COMPUTED_VALUE"""),"")</f>
        <v/>
      </c>
    </row>
    <row r="380" spans="1:26" ht="13" x14ac:dyDescent="0.15">
      <c r="A380" s="43" t="str">
        <f ca="1">IFERROR(__xludf.DUMMYFUNCTION("""COMPUTED_VALUE"""),"")</f>
        <v/>
      </c>
      <c r="B380" s="43" t="str">
        <f ca="1">IFERROR(__xludf.DUMMYFUNCTION("""COMPUTED_VALUE"""),"56118")</f>
        <v>56118</v>
      </c>
      <c r="C380" s="146">
        <f ca="1">IFERROR(__xludf.DUMMYFUNCTION("""COMPUTED_VALUE"""),44636000630)</f>
        <v>44636000630</v>
      </c>
      <c r="D380" s="163" t="str">
        <f ca="1">IFERROR(__xludf.DUMMYFUNCTION("""COMPUTED_VALUE"""),"PFE")</f>
        <v>PFE</v>
      </c>
      <c r="E380" s="147">
        <f ca="1">IFERROR(__xludf.DUMMYFUNCTION("""COMPUTED_VALUE"""),44636)</f>
        <v>44636</v>
      </c>
      <c r="F380" s="43" t="str">
        <f ca="1">IFERROR(__xludf.DUMMYFUNCTION("""COMPUTED_VALUE"""),"Stock")</f>
        <v>Stock</v>
      </c>
      <c r="G380" s="43" t="str">
        <f ca="1">IFERROR(__xludf.DUMMYFUNCTION("""COMPUTED_VALUE"""),"USD")</f>
        <v>USD</v>
      </c>
      <c r="H380" s="156">
        <f ca="1">IFERROR(__xludf.DUMMYFUNCTION("""COMPUTED_VALUE"""),500)</f>
        <v>500</v>
      </c>
      <c r="I380" s="148">
        <f ca="1">IFERROR(__xludf.DUMMYFUNCTION("""COMPUTED_VALUE"""),7.82055)</f>
        <v>7.8205499999999999</v>
      </c>
      <c r="J380" s="149">
        <f ca="1">IFERROR(__xludf.DUMMYFUNCTION("""COMPUTED_VALUE"""),52.92)</f>
        <v>52.92</v>
      </c>
      <c r="K380" s="43"/>
      <c r="L380" s="149">
        <f ca="1">IFERROR(__xludf.DUMMYFUNCTION("""COMPUTED_VALUE"""),53.04)</f>
        <v>53.04</v>
      </c>
      <c r="M380" s="155" t="str">
        <f ca="1">IFERROR(__xludf.DUMMYFUNCTION("""COMPUTED_VALUE"""),"Equity Key Stats")</f>
        <v>Equity Key Stats</v>
      </c>
      <c r="N380" s="43"/>
      <c r="O380" s="43"/>
      <c r="P380" s="150">
        <f ca="1">IFERROR(__xludf.DUMMYFUNCTION("""COMPUTED_VALUE"""),-206931.753)</f>
        <v>-206931.753</v>
      </c>
      <c r="Q380" s="151"/>
      <c r="R380" s="152">
        <f ca="1">IFERROR(__xludf.DUMMYFUNCTION("""COMPUTED_VALUE"""),52.19)</f>
        <v>52.19</v>
      </c>
      <c r="S380" s="157">
        <f ca="1">IFERROR(__xludf.DUMMYFUNCTION("""COMPUTED_VALUE"""),204077.25225)</f>
        <v>204077.25224999999</v>
      </c>
      <c r="T380" s="108">
        <f ca="1">IFERROR(__xludf.DUMMYFUNCTION("""COMPUTED_VALUE"""),2)</f>
        <v>2</v>
      </c>
      <c r="U380" s="108">
        <f ca="1">IFERROR(__xludf.DUMMYFUNCTION("""COMPUTED_VALUE"""),1)</f>
        <v>1</v>
      </c>
      <c r="V380" s="158">
        <f ca="1">IFERROR(__xludf.DUMMYFUNCTION("""COMPUTED_VALUE"""),-2932.77025000005)</f>
        <v>-2932.7702500000501</v>
      </c>
      <c r="W380" s="145" t="str">
        <f ca="1">IFERROR(__xludf.DUMMYFUNCTION("""COMPUTED_VALUE"""),"")</f>
        <v/>
      </c>
      <c r="X380" s="11" t="str">
        <f ca="1">IFERROR(__xludf.DUMMYFUNCTION("""COMPUTED_VALUE"""),"")</f>
        <v/>
      </c>
      <c r="Y380" s="11" t="str">
        <f ca="1">IFERROR(__xludf.DUMMYFUNCTION("""COMPUTED_VALUE"""),"")</f>
        <v/>
      </c>
      <c r="Z380" s="4" t="str">
        <f ca="1">IFERROR(__xludf.DUMMYFUNCTION("""COMPUTED_VALUE"""),"")</f>
        <v/>
      </c>
    </row>
    <row r="381" spans="1:26" ht="13" x14ac:dyDescent="0.15">
      <c r="A381" s="43" t="str">
        <f ca="1">IFERROR(__xludf.DUMMYFUNCTION("""COMPUTED_VALUE"""),"")</f>
        <v/>
      </c>
      <c r="B381" s="43" t="str">
        <f ca="1">IFERROR(__xludf.DUMMYFUNCTION("""COMPUTED_VALUE"""),"56118")</f>
        <v>56118</v>
      </c>
      <c r="C381" s="146">
        <f ca="1">IFERROR(__xludf.DUMMYFUNCTION("""COMPUTED_VALUE"""),44637000679)</f>
        <v>44637000679</v>
      </c>
      <c r="D381" s="163" t="str">
        <f ca="1">IFERROR(__xludf.DUMMYFUNCTION("""COMPUTED_VALUE"""),"SOFI")</f>
        <v>SOFI</v>
      </c>
      <c r="E381" s="147">
        <f ca="1">IFERROR(__xludf.DUMMYFUNCTION("""COMPUTED_VALUE"""),44637)</f>
        <v>44637</v>
      </c>
      <c r="F381" s="43" t="str">
        <f ca="1">IFERROR(__xludf.DUMMYFUNCTION("""COMPUTED_VALUE"""),"Stock")</f>
        <v>Stock</v>
      </c>
      <c r="G381" s="43" t="str">
        <f ca="1">IFERROR(__xludf.DUMMYFUNCTION("""COMPUTED_VALUE"""),"USD")</f>
        <v>USD</v>
      </c>
      <c r="H381" s="156">
        <f ca="1">IFERROR(__xludf.DUMMYFUNCTION("""COMPUTED_VALUE"""),200)</f>
        <v>200</v>
      </c>
      <c r="I381" s="148">
        <f ca="1">IFERROR(__xludf.DUMMYFUNCTION("""COMPUTED_VALUE"""),7.81854)</f>
        <v>7.8185399999999996</v>
      </c>
      <c r="J381" s="149">
        <f ca="1">IFERROR(__xludf.DUMMYFUNCTION("""COMPUTED_VALUE"""),8.91)</f>
        <v>8.91</v>
      </c>
      <c r="K381" s="43"/>
      <c r="L381" s="149">
        <f ca="1">IFERROR(__xludf.DUMMYFUNCTION("""COMPUTED_VALUE"""),9.72)</f>
        <v>9.7200000000000006</v>
      </c>
      <c r="M381" s="155" t="str">
        <f ca="1">IFERROR(__xludf.DUMMYFUNCTION("""COMPUTED_VALUE"""),"Equity Key Stats")</f>
        <v>Equity Key Stats</v>
      </c>
      <c r="N381" s="43"/>
      <c r="O381" s="43"/>
      <c r="P381" s="150">
        <f ca="1">IFERROR(__xludf.DUMMYFUNCTION("""COMPUTED_VALUE"""),-13932.63828)</f>
        <v>-13932.638279999999</v>
      </c>
      <c r="Q381" s="151"/>
      <c r="R381" s="152">
        <f ca="1">IFERROR(__xludf.DUMMYFUNCTION("""COMPUTED_VALUE"""),9.37)</f>
        <v>9.3699999999999992</v>
      </c>
      <c r="S381" s="157">
        <f ca="1">IFERROR(__xludf.DUMMYFUNCTION("""COMPUTED_VALUE"""),14651.9439599999)</f>
        <v>14651.9439599999</v>
      </c>
      <c r="T381" s="108">
        <f ca="1">IFERROR(__xludf.DUMMYFUNCTION("""COMPUTED_VALUE"""),2)</f>
        <v>2</v>
      </c>
      <c r="U381" s="108" t="str">
        <f ca="1">IFERROR(__xludf.DUMMYFUNCTION("""COMPUTED_VALUE"""),"")</f>
        <v/>
      </c>
      <c r="V381" s="153" t="str">
        <f ca="1">IFERROR(__xludf.DUMMYFUNCTION("""COMPUTED_VALUE"""),"")</f>
        <v/>
      </c>
      <c r="W381" s="145" t="str">
        <f ca="1">IFERROR(__xludf.DUMMYFUNCTION("""COMPUTED_VALUE"""),"")</f>
        <v/>
      </c>
      <c r="X381" s="11" t="str">
        <f ca="1">IFERROR(__xludf.DUMMYFUNCTION("""COMPUTED_VALUE"""),"")</f>
        <v/>
      </c>
      <c r="Y381" s="11" t="str">
        <f ca="1">IFERROR(__xludf.DUMMYFUNCTION("""COMPUTED_VALUE"""),"")</f>
        <v/>
      </c>
      <c r="Z381" s="4" t="str">
        <f ca="1">IFERROR(__xludf.DUMMYFUNCTION("""COMPUTED_VALUE"""),"")</f>
        <v/>
      </c>
    </row>
    <row r="382" spans="1:26" ht="13" x14ac:dyDescent="0.15">
      <c r="A382" s="43" t="str">
        <f ca="1">IFERROR(__xludf.DUMMYFUNCTION("""COMPUTED_VALUE"""),"")</f>
        <v/>
      </c>
      <c r="B382" s="43" t="str">
        <f ca="1">IFERROR(__xludf.DUMMYFUNCTION("""COMPUTED_VALUE"""),"56118")</f>
        <v>56118</v>
      </c>
      <c r="C382" s="146">
        <f ca="1">IFERROR(__xludf.DUMMYFUNCTION("""COMPUTED_VALUE"""),44641000734)</f>
        <v>44641000734</v>
      </c>
      <c r="D382" s="163" t="str">
        <f ca="1">IFERROR(__xludf.DUMMYFUNCTION("""COMPUTED_VALUE"""),"NFLX")</f>
        <v>NFLX</v>
      </c>
      <c r="E382" s="147">
        <f ca="1">IFERROR(__xludf.DUMMYFUNCTION("""COMPUTED_VALUE"""),44641)</f>
        <v>44641</v>
      </c>
      <c r="F382" s="43" t="str">
        <f ca="1">IFERROR(__xludf.DUMMYFUNCTION("""COMPUTED_VALUE"""),"Stock")</f>
        <v>Stock</v>
      </c>
      <c r="G382" s="43" t="str">
        <f ca="1">IFERROR(__xludf.DUMMYFUNCTION("""COMPUTED_VALUE"""),"USD")</f>
        <v>USD</v>
      </c>
      <c r="H382" s="156">
        <f ca="1">IFERROR(__xludf.DUMMYFUNCTION("""COMPUTED_VALUE"""),10)</f>
        <v>10</v>
      </c>
      <c r="I382" s="148">
        <f ca="1">IFERROR(__xludf.DUMMYFUNCTION("""COMPUTED_VALUE"""),7.82545)</f>
        <v>7.82545</v>
      </c>
      <c r="J382" s="149">
        <f ca="1">IFERROR(__xludf.DUMMYFUNCTION("""COMPUTED_VALUE"""),374.59)</f>
        <v>374.59</v>
      </c>
      <c r="K382" s="43"/>
      <c r="L382" s="149">
        <f ca="1">IFERROR(__xludf.DUMMYFUNCTION("""COMPUTED_VALUE"""),382.92)</f>
        <v>382.92</v>
      </c>
      <c r="M382" s="155" t="str">
        <f ca="1">IFERROR(__xludf.DUMMYFUNCTION("""COMPUTED_VALUE"""),"Equity Key Stats")</f>
        <v>Equity Key Stats</v>
      </c>
      <c r="N382" s="43"/>
      <c r="O382" s="43"/>
      <c r="P382" s="150">
        <f ca="1">IFERROR(__xludf.DUMMYFUNCTION("""COMPUTED_VALUE"""),-29313.353155)</f>
        <v>-29313.353155000001</v>
      </c>
      <c r="Q382" s="151"/>
      <c r="R382" s="152">
        <f ca="1">IFERROR(__xludf.DUMMYFUNCTION("""COMPUTED_VALUE"""),374.49)</f>
        <v>374.49</v>
      </c>
      <c r="S382" s="157">
        <f ca="1">IFERROR(__xludf.DUMMYFUNCTION("""COMPUTED_VALUE"""),29305.527705)</f>
        <v>29305.527705</v>
      </c>
      <c r="T382" s="108">
        <f ca="1">IFERROR(__xludf.DUMMYFUNCTION("""COMPUTED_VALUE"""),1)</f>
        <v>1</v>
      </c>
      <c r="U382" s="108">
        <f ca="1">IFERROR(__xludf.DUMMYFUNCTION("""COMPUTED_VALUE"""),1)</f>
        <v>1</v>
      </c>
      <c r="V382" s="158">
        <f ca="1">IFERROR(__xludf.DUMMYFUNCTION("""COMPUTED_VALUE"""),-7.82544999999663)</f>
        <v>-7.8254499999966303</v>
      </c>
      <c r="W382" s="145" t="str">
        <f ca="1">IFERROR(__xludf.DUMMYFUNCTION("""COMPUTED_VALUE"""),"")</f>
        <v/>
      </c>
      <c r="X382" s="11" t="str">
        <f ca="1">IFERROR(__xludf.DUMMYFUNCTION("""COMPUTED_VALUE"""),"")</f>
        <v/>
      </c>
      <c r="Y382" s="11" t="str">
        <f ca="1">IFERROR(__xludf.DUMMYFUNCTION("""COMPUTED_VALUE"""),"")</f>
        <v/>
      </c>
      <c r="Z382" s="4" t="str">
        <f ca="1">IFERROR(__xludf.DUMMYFUNCTION("""COMPUTED_VALUE"""),"")</f>
        <v/>
      </c>
    </row>
    <row r="383" spans="1:26" ht="13" x14ac:dyDescent="0.15">
      <c r="A383" s="43" t="str">
        <f ca="1">IFERROR(__xludf.DUMMYFUNCTION("""COMPUTED_VALUE"""),"")</f>
        <v/>
      </c>
      <c r="B383" s="43" t="str">
        <f ca="1">IFERROR(__xludf.DUMMYFUNCTION("""COMPUTED_VALUE"""),"56118")</f>
        <v>56118</v>
      </c>
      <c r="C383" s="146">
        <f ca="1">IFERROR(__xludf.DUMMYFUNCTION("""COMPUTED_VALUE"""),44641000735)</f>
        <v>44641000735</v>
      </c>
      <c r="D383" s="163" t="str">
        <f ca="1">IFERROR(__xludf.DUMMYFUNCTION("""COMPUTED_VALUE"""),"SOFI")</f>
        <v>SOFI</v>
      </c>
      <c r="E383" s="147">
        <f ca="1">IFERROR(__xludf.DUMMYFUNCTION("""COMPUTED_VALUE"""),44641)</f>
        <v>44641</v>
      </c>
      <c r="F383" s="43" t="str">
        <f ca="1">IFERROR(__xludf.DUMMYFUNCTION("""COMPUTED_VALUE"""),"Stock")</f>
        <v>Stock</v>
      </c>
      <c r="G383" s="43" t="str">
        <f ca="1">IFERROR(__xludf.DUMMYFUNCTION("""COMPUTED_VALUE"""),"USD")</f>
        <v>USD</v>
      </c>
      <c r="H383" s="154">
        <f ca="1">IFERROR(__xludf.DUMMYFUNCTION("""COMPUTED_VALUE"""),0)</f>
        <v>0</v>
      </c>
      <c r="I383" s="148">
        <f ca="1">IFERROR(__xludf.DUMMYFUNCTION("""COMPUTED_VALUE"""),7.82545)</f>
        <v>7.82545</v>
      </c>
      <c r="J383" s="149">
        <f ca="1">IFERROR(__xludf.DUMMYFUNCTION("""COMPUTED_VALUE"""),0)</f>
        <v>0</v>
      </c>
      <c r="K383" s="43"/>
      <c r="L383" s="149">
        <f ca="1">IFERROR(__xludf.DUMMYFUNCTION("""COMPUTED_VALUE"""),9.72)</f>
        <v>9.7200000000000006</v>
      </c>
      <c r="M383" s="155" t="str">
        <f ca="1">IFERROR(__xludf.DUMMYFUNCTION("""COMPUTED_VALUE"""),"Equity Key Stats")</f>
        <v>Equity Key Stats</v>
      </c>
      <c r="N383" s="43"/>
      <c r="O383" s="43"/>
      <c r="P383" s="157">
        <f ca="1">IFERROR(__xludf.DUMMYFUNCTION("""COMPUTED_VALUE"""),0)</f>
        <v>0</v>
      </c>
      <c r="Q383" s="151"/>
      <c r="R383" s="152">
        <f ca="1">IFERROR(__xludf.DUMMYFUNCTION("""COMPUTED_VALUE"""),9.37)</f>
        <v>9.3699999999999992</v>
      </c>
      <c r="S383" s="150">
        <f ca="1">IFERROR(__xludf.DUMMYFUNCTION("""COMPUTED_VALUE"""),0)</f>
        <v>0</v>
      </c>
      <c r="T383" s="108">
        <f ca="1">IFERROR(__xludf.DUMMYFUNCTION("""COMPUTED_VALUE"""),2)</f>
        <v>2</v>
      </c>
      <c r="U383" s="43">
        <f ca="1">IFERROR(__xludf.DUMMYFUNCTION("""COMPUTED_VALUE"""),1)</f>
        <v>1</v>
      </c>
      <c r="V383" s="144">
        <f ca="1">IFERROR(__xludf.DUMMYFUNCTION("""COMPUTED_VALUE"""),719.305679999997)</f>
        <v>719.30567999999698</v>
      </c>
      <c r="W383" s="145" t="str">
        <f ca="1">IFERROR(__xludf.DUMMYFUNCTION("""COMPUTED_VALUE"""),"")</f>
        <v/>
      </c>
      <c r="X383" s="11" t="str">
        <f ca="1">IFERROR(__xludf.DUMMYFUNCTION("""COMPUTED_VALUE"""),"")</f>
        <v/>
      </c>
      <c r="Y383" s="11" t="str">
        <f ca="1">IFERROR(__xludf.DUMMYFUNCTION("""COMPUTED_VALUE"""),"")</f>
        <v/>
      </c>
      <c r="Z383" s="4" t="str">
        <f ca="1">IFERROR(__xludf.DUMMYFUNCTION("""COMPUTED_VALUE"""),"")</f>
        <v/>
      </c>
    </row>
    <row r="384" spans="1:26" ht="13" x14ac:dyDescent="0.15">
      <c r="A384" s="43" t="str">
        <f ca="1">IFERROR(__xludf.DUMMYFUNCTION("""COMPUTED_VALUE"""),"56118")</f>
        <v>56118</v>
      </c>
      <c r="B384" s="43" t="str">
        <f ca="1">IFERROR(__xludf.DUMMYFUNCTION("""COMPUTED_VALUE"""),"56118")</f>
        <v>56118</v>
      </c>
      <c r="C384" s="146">
        <f ca="1">IFERROR(__xludf.DUMMYFUNCTION("""COMPUTED_VALUE"""),44641000736)</f>
        <v>44641000736</v>
      </c>
      <c r="D384" s="163" t="str">
        <f ca="1">IFERROR(__xludf.DUMMYFUNCTION("""COMPUTED_VALUE"""),"LMT")</f>
        <v>LMT</v>
      </c>
      <c r="E384" s="147">
        <f ca="1">IFERROR(__xludf.DUMMYFUNCTION("""COMPUTED_VALUE"""),44641)</f>
        <v>44641</v>
      </c>
      <c r="F384" s="43" t="str">
        <f ca="1">IFERROR(__xludf.DUMMYFUNCTION("""COMPUTED_VALUE"""),"Stock")</f>
        <v>Stock</v>
      </c>
      <c r="G384" s="43" t="str">
        <f ca="1">IFERROR(__xludf.DUMMYFUNCTION("""COMPUTED_VALUE"""),"USD")</f>
        <v>USD</v>
      </c>
      <c r="H384" s="156">
        <f ca="1">IFERROR(__xludf.DUMMYFUNCTION("""COMPUTED_VALUE"""),-20)</f>
        <v>-20</v>
      </c>
      <c r="I384" s="148">
        <f ca="1">IFERROR(__xludf.DUMMYFUNCTION("""COMPUTED_VALUE"""),7.82545)</f>
        <v>7.82545</v>
      </c>
      <c r="J384" s="149">
        <f ca="1">IFERROR(__xludf.DUMMYFUNCTION("""COMPUTED_VALUE"""),440)</f>
        <v>440</v>
      </c>
      <c r="K384" s="43"/>
      <c r="L384" s="149">
        <f ca="1">IFERROR(__xludf.DUMMYFUNCTION("""COMPUTED_VALUE"""),440.59)</f>
        <v>440.59</v>
      </c>
      <c r="M384" s="155" t="str">
        <f ca="1">IFERROR(__xludf.DUMMYFUNCTION("""COMPUTED_VALUE"""),"Equity Key Stats")</f>
        <v>Equity Key Stats</v>
      </c>
      <c r="N384" s="43"/>
      <c r="O384" s="43"/>
      <c r="P384" s="150">
        <f ca="1">IFERROR(__xludf.DUMMYFUNCTION("""COMPUTED_VALUE"""),68863.96)</f>
        <v>68863.960000000006</v>
      </c>
      <c r="Q384" s="151"/>
      <c r="R384" s="152">
        <f ca="1">IFERROR(__xludf.DUMMYFUNCTION("""COMPUTED_VALUE"""),445.25)</f>
        <v>445.25</v>
      </c>
      <c r="S384" s="157">
        <f ca="1">IFERROR(__xludf.DUMMYFUNCTION("""COMPUTED_VALUE"""),-69685.63225)</f>
        <v>-69685.632249999995</v>
      </c>
      <c r="T384" s="108">
        <f ca="1">IFERROR(__xludf.DUMMYFUNCTION("""COMPUTED_VALUE"""),2)</f>
        <v>2</v>
      </c>
      <c r="U384" s="43">
        <f ca="1">IFERROR(__xludf.DUMMYFUNCTION("""COMPUTED_VALUE"""),1)</f>
        <v>1</v>
      </c>
      <c r="V384" s="144">
        <f ca="1">IFERROR(__xludf.DUMMYFUNCTION("""COMPUTED_VALUE"""),-1357.03563000001)</f>
        <v>-1357.0356300000101</v>
      </c>
      <c r="W384" s="145">
        <f ca="1">IFERROR(__xludf.DUMMYFUNCTION("""COMPUTED_VALUE"""),513421.674349999)</f>
        <v>513421.674349999</v>
      </c>
      <c r="X384" s="11">
        <f ca="1">IFERROR(__xludf.DUMMYFUNCTION("""COMPUTED_VALUE"""),-153870.667315)</f>
        <v>-153870.667315</v>
      </c>
      <c r="Y384" s="11">
        <f ca="1">IFERROR(__xludf.DUMMYFUNCTION("""COMPUTED_VALUE"""),153870.667315)</f>
        <v>153870.667315</v>
      </c>
      <c r="Z384" s="4">
        <f ca="1">IFERROR(__xludf.DUMMYFUNCTION("""COMPUTED_VALUE"""),0.0268433486999999)</f>
        <v>2.6843348699999901E-2</v>
      </c>
    </row>
    <row r="385" spans="1:26" ht="13" x14ac:dyDescent="0.15">
      <c r="A385" s="43" t="str">
        <f ca="1">IFERROR(__xludf.DUMMYFUNCTION("""COMPUTED_VALUE"""),"")</f>
        <v/>
      </c>
      <c r="B385" s="43" t="str">
        <f ca="1">IFERROR(__xludf.DUMMYFUNCTION("""COMPUTED_VALUE"""),"69930")</f>
        <v>69930</v>
      </c>
      <c r="C385" s="146">
        <f ca="1">IFERROR(__xludf.DUMMYFUNCTION("""COMPUTED_VALUE"""),44597000065)</f>
        <v>44597000065</v>
      </c>
      <c r="D385" s="163" t="str">
        <f ca="1">IFERROR(__xludf.DUMMYFUNCTION("""COMPUTED_VALUE"""),"Cash")</f>
        <v>Cash</v>
      </c>
      <c r="E385" s="147">
        <f ca="1">IFERROR(__xludf.DUMMYFUNCTION("""COMPUTED_VALUE"""),44597)</f>
        <v>44597</v>
      </c>
      <c r="F385" s="43" t="str">
        <f ca="1">IFERROR(__xludf.DUMMYFUNCTION("""COMPUTED_VALUE"""),"Cash")</f>
        <v>Cash</v>
      </c>
      <c r="G385" s="43" t="str">
        <f ca="1">IFERROR(__xludf.DUMMYFUNCTION("""COMPUTED_VALUE"""),"HKD")</f>
        <v>HKD</v>
      </c>
      <c r="H385" s="154" t="str">
        <f ca="1">IFERROR(__xludf.DUMMYFUNCTION("""COMPUTED_VALUE"""),"")</f>
        <v/>
      </c>
      <c r="I385" s="148">
        <f ca="1">IFERROR(__xludf.DUMMYFUNCTION("""COMPUTED_VALUE"""),1)</f>
        <v>1</v>
      </c>
      <c r="J385" s="149">
        <f ca="1">IFERROR(__xludf.DUMMYFUNCTION("""COMPUTED_VALUE"""),1)</f>
        <v>1</v>
      </c>
      <c r="K385" s="43"/>
      <c r="L385" s="149">
        <f ca="1">IFERROR(__xludf.DUMMYFUNCTION("""COMPUTED_VALUE"""),1)</f>
        <v>1</v>
      </c>
      <c r="M385" s="155" t="str">
        <f ca="1">IFERROR(__xludf.DUMMYFUNCTION("""COMPUTED_VALUE"""),"")</f>
        <v/>
      </c>
      <c r="N385" s="43"/>
      <c r="O385" s="43"/>
      <c r="P385" s="157">
        <f ca="1">IFERROR(__xludf.DUMMYFUNCTION("""COMPUTED_VALUE"""),500000)</f>
        <v>500000</v>
      </c>
      <c r="Q385" s="151"/>
      <c r="R385" s="152">
        <f ca="1">IFERROR(__xludf.DUMMYFUNCTION("""COMPUTED_VALUE"""),1)</f>
        <v>1</v>
      </c>
      <c r="S385" s="150" t="str">
        <f ca="1">IFERROR(__xludf.DUMMYFUNCTION("""COMPUTED_VALUE"""),"")</f>
        <v/>
      </c>
      <c r="T385" s="108">
        <f ca="1">IFERROR(__xludf.DUMMYFUNCTION("""COMPUTED_VALUE"""),1)</f>
        <v>1</v>
      </c>
      <c r="U385" s="108">
        <f ca="1">IFERROR(__xludf.DUMMYFUNCTION("""COMPUTED_VALUE"""),1)</f>
        <v>1</v>
      </c>
      <c r="V385" s="158">
        <f ca="1">IFERROR(__xludf.DUMMYFUNCTION("""COMPUTED_VALUE"""),500000)</f>
        <v>500000</v>
      </c>
      <c r="W385" s="145" t="str">
        <f ca="1">IFERROR(__xludf.DUMMYFUNCTION("""COMPUTED_VALUE"""),"")</f>
        <v/>
      </c>
      <c r="X385" s="11" t="str">
        <f ca="1">IFERROR(__xludf.DUMMYFUNCTION("""COMPUTED_VALUE"""),"")</f>
        <v/>
      </c>
      <c r="Y385" s="11" t="str">
        <f ca="1">IFERROR(__xludf.DUMMYFUNCTION("""COMPUTED_VALUE"""),"")</f>
        <v/>
      </c>
      <c r="Z385" s="4" t="str">
        <f ca="1">IFERROR(__xludf.DUMMYFUNCTION("""COMPUTED_VALUE"""),"")</f>
        <v/>
      </c>
    </row>
    <row r="386" spans="1:26" ht="13" x14ac:dyDescent="0.15">
      <c r="A386" s="43" t="str">
        <f ca="1">IFERROR(__xludf.DUMMYFUNCTION("""COMPUTED_VALUE"""),"")</f>
        <v/>
      </c>
      <c r="B386" s="43" t="str">
        <f ca="1">IFERROR(__xludf.DUMMYFUNCTION("""COMPUTED_VALUE"""),"69930")</f>
        <v>69930</v>
      </c>
      <c r="C386" s="146">
        <f ca="1">IFERROR(__xludf.DUMMYFUNCTION("""COMPUTED_VALUE"""),44603000162)</f>
        <v>44603000162</v>
      </c>
      <c r="D386" s="161" t="str">
        <f ca="1">IFERROR(__xludf.DUMMYFUNCTION("""COMPUTED_VALUE"""),"2318.HK")</f>
        <v>2318.HK</v>
      </c>
      <c r="E386" s="147">
        <f ca="1">IFERROR(__xludf.DUMMYFUNCTION("""COMPUTED_VALUE"""),44603)</f>
        <v>44603</v>
      </c>
      <c r="F386" s="43" t="str">
        <f ca="1">IFERROR(__xludf.DUMMYFUNCTION("""COMPUTED_VALUE"""),"Stock")</f>
        <v>Stock</v>
      </c>
      <c r="G386" s="43" t="str">
        <f ca="1">IFERROR(__xludf.DUMMYFUNCTION("""COMPUTED_VALUE"""),"HKD")</f>
        <v>HKD</v>
      </c>
      <c r="H386" s="154">
        <f ca="1">IFERROR(__xludf.DUMMYFUNCTION("""COMPUTED_VALUE"""),100)</f>
        <v>100</v>
      </c>
      <c r="I386" s="148">
        <f ca="1">IFERROR(__xludf.DUMMYFUNCTION("""COMPUTED_VALUE"""),1)</f>
        <v>1</v>
      </c>
      <c r="J386" s="149">
        <f ca="1">IFERROR(__xludf.DUMMYFUNCTION("""COMPUTED_VALUE"""),69.3)</f>
        <v>69.3</v>
      </c>
      <c r="K386" s="43"/>
      <c r="L386" s="149">
        <f ca="1">IFERROR(__xludf.DUMMYFUNCTION("""COMPUTED_VALUE"""),55.9)</f>
        <v>55.9</v>
      </c>
      <c r="M386" s="155" t="str">
        <f ca="1">IFERROR(__xludf.DUMMYFUNCTION("""COMPUTED_VALUE"""),"Equity Key Stats")</f>
        <v>Equity Key Stats</v>
      </c>
      <c r="N386" s="43"/>
      <c r="O386" s="43"/>
      <c r="P386" s="157">
        <f ca="1">IFERROR(__xludf.DUMMYFUNCTION("""COMPUTED_VALUE"""),-6930)</f>
        <v>-6930</v>
      </c>
      <c r="Q386" s="151"/>
      <c r="R386" s="152">
        <f ca="1">IFERROR(__xludf.DUMMYFUNCTION("""COMPUTED_VALUE"""),56.7)</f>
        <v>56.7</v>
      </c>
      <c r="S386" s="150">
        <f ca="1">IFERROR(__xludf.DUMMYFUNCTION("""COMPUTED_VALUE"""),5670)</f>
        <v>5670</v>
      </c>
      <c r="T386" s="108">
        <f ca="1">IFERROR(__xludf.DUMMYFUNCTION("""COMPUTED_VALUE"""),2)</f>
        <v>2</v>
      </c>
      <c r="U386" s="43" t="str">
        <f ca="1">IFERROR(__xludf.DUMMYFUNCTION("""COMPUTED_VALUE"""),"")</f>
        <v/>
      </c>
      <c r="V386" s="144" t="str">
        <f ca="1">IFERROR(__xludf.DUMMYFUNCTION("""COMPUTED_VALUE"""),"")</f>
        <v/>
      </c>
      <c r="W386" s="145" t="str">
        <f ca="1">IFERROR(__xludf.DUMMYFUNCTION("""COMPUTED_VALUE"""),"")</f>
        <v/>
      </c>
      <c r="X386" s="11" t="str">
        <f ca="1">IFERROR(__xludf.DUMMYFUNCTION("""COMPUTED_VALUE"""),"")</f>
        <v/>
      </c>
      <c r="Y386" s="11" t="str">
        <f ca="1">IFERROR(__xludf.DUMMYFUNCTION("""COMPUTED_VALUE"""),"")</f>
        <v/>
      </c>
      <c r="Z386" s="4" t="str">
        <f ca="1">IFERROR(__xludf.DUMMYFUNCTION("""COMPUTED_VALUE"""),"")</f>
        <v/>
      </c>
    </row>
    <row r="387" spans="1:26" ht="13" x14ac:dyDescent="0.15">
      <c r="A387" s="43" t="str">
        <f ca="1">IFERROR(__xludf.DUMMYFUNCTION("""COMPUTED_VALUE"""),"69930")</f>
        <v>69930</v>
      </c>
      <c r="B387" s="43" t="str">
        <f ca="1">IFERROR(__xludf.DUMMYFUNCTION("""COMPUTED_VALUE"""),"69930")</f>
        <v>69930</v>
      </c>
      <c r="C387" s="146">
        <f ca="1">IFERROR(__xludf.DUMMYFUNCTION("""COMPUTED_VALUE"""),44629000497)</f>
        <v>44629000497</v>
      </c>
      <c r="D387" s="163" t="str">
        <f ca="1">IFERROR(__xludf.DUMMYFUNCTION("""COMPUTED_VALUE"""),"2318.HK")</f>
        <v>2318.HK</v>
      </c>
      <c r="E387" s="147">
        <f ca="1">IFERROR(__xludf.DUMMYFUNCTION("""COMPUTED_VALUE"""),44629)</f>
        <v>44629</v>
      </c>
      <c r="F387" s="43" t="str">
        <f ca="1">IFERROR(__xludf.DUMMYFUNCTION("""COMPUTED_VALUE"""),"Stock")</f>
        <v>Stock</v>
      </c>
      <c r="G387" s="43" t="str">
        <f ca="1">IFERROR(__xludf.DUMMYFUNCTION("""COMPUTED_VALUE"""),"HKD")</f>
        <v>HKD</v>
      </c>
      <c r="H387" s="154">
        <f ca="1">IFERROR(__xludf.DUMMYFUNCTION("""COMPUTED_VALUE"""),-50)</f>
        <v>-50</v>
      </c>
      <c r="I387" s="148">
        <f ca="1">IFERROR(__xludf.DUMMYFUNCTION("""COMPUTED_VALUE"""),1)</f>
        <v>1</v>
      </c>
      <c r="J387" s="149">
        <f ca="1">IFERROR(__xludf.DUMMYFUNCTION("""COMPUTED_VALUE"""),53.35)</f>
        <v>53.35</v>
      </c>
      <c r="K387" s="43"/>
      <c r="L387" s="149">
        <f ca="1">IFERROR(__xludf.DUMMYFUNCTION("""COMPUTED_VALUE"""),55.9)</f>
        <v>55.9</v>
      </c>
      <c r="M387" s="155" t="str">
        <f ca="1">IFERROR(__xludf.DUMMYFUNCTION("""COMPUTED_VALUE"""),"Equity Key Stats")</f>
        <v>Equity Key Stats</v>
      </c>
      <c r="N387" s="43"/>
      <c r="O387" s="43"/>
      <c r="P387" s="157">
        <f ca="1">IFERROR(__xludf.DUMMYFUNCTION("""COMPUTED_VALUE"""),2667.5)</f>
        <v>2667.5</v>
      </c>
      <c r="Q387" s="151"/>
      <c r="R387" s="152">
        <f ca="1">IFERROR(__xludf.DUMMYFUNCTION("""COMPUTED_VALUE"""),56.7)</f>
        <v>56.7</v>
      </c>
      <c r="S387" s="150">
        <f ca="1">IFERROR(__xludf.DUMMYFUNCTION("""COMPUTED_VALUE"""),-2835)</f>
        <v>-2835</v>
      </c>
      <c r="T387" s="108">
        <f ca="1">IFERROR(__xludf.DUMMYFUNCTION("""COMPUTED_VALUE"""),2)</f>
        <v>2</v>
      </c>
      <c r="U387" s="108">
        <f ca="1">IFERROR(__xludf.DUMMYFUNCTION("""COMPUTED_VALUE"""),1)</f>
        <v>1</v>
      </c>
      <c r="V387" s="153">
        <f ca="1">IFERROR(__xludf.DUMMYFUNCTION("""COMPUTED_VALUE"""),-1427.5)</f>
        <v>-1427.5</v>
      </c>
      <c r="W387" s="145">
        <f ca="1">IFERROR(__xludf.DUMMYFUNCTION("""COMPUTED_VALUE"""),498572.5)</f>
        <v>498572.5</v>
      </c>
      <c r="X387" s="11">
        <f ca="1">IFERROR(__xludf.DUMMYFUNCTION("""COMPUTED_VALUE"""),495737.5)</f>
        <v>495737.5</v>
      </c>
      <c r="Y387" s="11">
        <f ca="1">IFERROR(__xludf.DUMMYFUNCTION("""COMPUTED_VALUE"""),0)</f>
        <v>0</v>
      </c>
      <c r="Z387" s="4">
        <f ca="1">IFERROR(__xludf.DUMMYFUNCTION("""COMPUTED_VALUE"""),-0.00285500000000005)</f>
        <v>-2.8550000000000502E-3</v>
      </c>
    </row>
    <row r="388" spans="1:26" ht="13" x14ac:dyDescent="0.15">
      <c r="A388" s="43" t="str">
        <f ca="1">IFERROR(__xludf.DUMMYFUNCTION("""COMPUTED_VALUE"""),"70227")</f>
        <v>70227</v>
      </c>
      <c r="B388" s="43" t="str">
        <f ca="1">IFERROR(__xludf.DUMMYFUNCTION("""COMPUTED_VALUE"""),"70227")</f>
        <v>70227</v>
      </c>
      <c r="C388" s="146">
        <f ca="1">IFERROR(__xludf.DUMMYFUNCTION("""COMPUTED_VALUE"""),44597000022)</f>
        <v>44597000022</v>
      </c>
      <c r="D388" s="163" t="str">
        <f ca="1">IFERROR(__xludf.DUMMYFUNCTION("""COMPUTED_VALUE"""),"Cash")</f>
        <v>Cash</v>
      </c>
      <c r="E388" s="147">
        <f ca="1">IFERROR(__xludf.DUMMYFUNCTION("""COMPUTED_VALUE"""),44597)</f>
        <v>44597</v>
      </c>
      <c r="F388" s="43" t="str">
        <f ca="1">IFERROR(__xludf.DUMMYFUNCTION("""COMPUTED_VALUE"""),"Cash")</f>
        <v>Cash</v>
      </c>
      <c r="G388" s="43" t="str">
        <f ca="1">IFERROR(__xludf.DUMMYFUNCTION("""COMPUTED_VALUE"""),"HKD")</f>
        <v>HKD</v>
      </c>
      <c r="H388" s="154" t="str">
        <f ca="1">IFERROR(__xludf.DUMMYFUNCTION("""COMPUTED_VALUE"""),"")</f>
        <v/>
      </c>
      <c r="I388" s="148">
        <f ca="1">IFERROR(__xludf.DUMMYFUNCTION("""COMPUTED_VALUE"""),1)</f>
        <v>1</v>
      </c>
      <c r="J388" s="149">
        <f ca="1">IFERROR(__xludf.DUMMYFUNCTION("""COMPUTED_VALUE"""),1)</f>
        <v>1</v>
      </c>
      <c r="K388" s="43"/>
      <c r="L388" s="149">
        <f ca="1">IFERROR(__xludf.DUMMYFUNCTION("""COMPUTED_VALUE"""),1)</f>
        <v>1</v>
      </c>
      <c r="M388" s="155" t="str">
        <f ca="1">IFERROR(__xludf.DUMMYFUNCTION("""COMPUTED_VALUE"""),"")</f>
        <v/>
      </c>
      <c r="N388" s="43"/>
      <c r="O388" s="43"/>
      <c r="P388" s="157">
        <f ca="1">IFERROR(__xludf.DUMMYFUNCTION("""COMPUTED_VALUE"""),500000)</f>
        <v>500000</v>
      </c>
      <c r="Q388" s="151"/>
      <c r="R388" s="152">
        <f ca="1">IFERROR(__xludf.DUMMYFUNCTION("""COMPUTED_VALUE"""),1)</f>
        <v>1</v>
      </c>
      <c r="S388" s="150" t="str">
        <f ca="1">IFERROR(__xludf.DUMMYFUNCTION("""COMPUTED_VALUE"""),"")</f>
        <v/>
      </c>
      <c r="T388" s="108">
        <f ca="1">IFERROR(__xludf.DUMMYFUNCTION("""COMPUTED_VALUE"""),1)</f>
        <v>1</v>
      </c>
      <c r="U388" s="108">
        <f ca="1">IFERROR(__xludf.DUMMYFUNCTION("""COMPUTED_VALUE"""),1)</f>
        <v>1</v>
      </c>
      <c r="V388" s="153">
        <f ca="1">IFERROR(__xludf.DUMMYFUNCTION("""COMPUTED_VALUE"""),500000)</f>
        <v>500000</v>
      </c>
      <c r="W388" s="145">
        <f ca="1">IFERROR(__xludf.DUMMYFUNCTION("""COMPUTED_VALUE"""),500000)</f>
        <v>500000</v>
      </c>
      <c r="X388" s="11">
        <f ca="1">IFERROR(__xludf.DUMMYFUNCTION("""COMPUTED_VALUE"""),500000)</f>
        <v>500000</v>
      </c>
      <c r="Y388" s="11">
        <f ca="1">IFERROR(__xludf.DUMMYFUNCTION("""COMPUTED_VALUE"""),0)</f>
        <v>0</v>
      </c>
      <c r="Z388" s="4">
        <f ca="1">IFERROR(__xludf.DUMMYFUNCTION("""COMPUTED_VALUE"""),0)</f>
        <v>0</v>
      </c>
    </row>
    <row r="389" spans="1:26" ht="13" x14ac:dyDescent="0.15">
      <c r="A389" s="43" t="str">
        <f ca="1">IFERROR(__xludf.DUMMYFUNCTION("""COMPUTED_VALUE"""),"70236")</f>
        <v>70236</v>
      </c>
      <c r="B389" s="43" t="str">
        <f ca="1">IFERROR(__xludf.DUMMYFUNCTION("""COMPUTED_VALUE"""),"70236")</f>
        <v>70236</v>
      </c>
      <c r="C389" s="146">
        <f ca="1">IFERROR(__xludf.DUMMYFUNCTION("""COMPUTED_VALUE"""),44597000026)</f>
        <v>44597000026</v>
      </c>
      <c r="D389" s="43" t="str">
        <f ca="1">IFERROR(__xludf.DUMMYFUNCTION("""COMPUTED_VALUE"""),"Cash")</f>
        <v>Cash</v>
      </c>
      <c r="E389" s="147">
        <f ca="1">IFERROR(__xludf.DUMMYFUNCTION("""COMPUTED_VALUE"""),44597)</f>
        <v>44597</v>
      </c>
      <c r="F389" s="43" t="str">
        <f ca="1">IFERROR(__xludf.DUMMYFUNCTION("""COMPUTED_VALUE"""),"Cash")</f>
        <v>Cash</v>
      </c>
      <c r="G389" s="43" t="str">
        <f ca="1">IFERROR(__xludf.DUMMYFUNCTION("""COMPUTED_VALUE"""),"HKD")</f>
        <v>HKD</v>
      </c>
      <c r="H389" s="156" t="str">
        <f ca="1">IFERROR(__xludf.DUMMYFUNCTION("""COMPUTED_VALUE"""),"")</f>
        <v/>
      </c>
      <c r="I389" s="148">
        <f ca="1">IFERROR(__xludf.DUMMYFUNCTION("""COMPUTED_VALUE"""),1)</f>
        <v>1</v>
      </c>
      <c r="J389" s="149">
        <f ca="1">IFERROR(__xludf.DUMMYFUNCTION("""COMPUTED_VALUE"""),1)</f>
        <v>1</v>
      </c>
      <c r="K389" s="43"/>
      <c r="L389" s="149">
        <f ca="1">IFERROR(__xludf.DUMMYFUNCTION("""COMPUTED_VALUE"""),1)</f>
        <v>1</v>
      </c>
      <c r="M389" s="155" t="str">
        <f ca="1">IFERROR(__xludf.DUMMYFUNCTION("""COMPUTED_VALUE"""),"")</f>
        <v/>
      </c>
      <c r="N389" s="43"/>
      <c r="O389" s="43"/>
      <c r="P389" s="150">
        <f ca="1">IFERROR(__xludf.DUMMYFUNCTION("""COMPUTED_VALUE"""),500000)</f>
        <v>500000</v>
      </c>
      <c r="Q389" s="151"/>
      <c r="R389" s="152">
        <f ca="1">IFERROR(__xludf.DUMMYFUNCTION("""COMPUTED_VALUE"""),1)</f>
        <v>1</v>
      </c>
      <c r="S389" s="157" t="str">
        <f ca="1">IFERROR(__xludf.DUMMYFUNCTION("""COMPUTED_VALUE"""),"")</f>
        <v/>
      </c>
      <c r="T389" s="108">
        <f ca="1">IFERROR(__xludf.DUMMYFUNCTION("""COMPUTED_VALUE"""),1)</f>
        <v>1</v>
      </c>
      <c r="U389" s="43">
        <f ca="1">IFERROR(__xludf.DUMMYFUNCTION("""COMPUTED_VALUE"""),1)</f>
        <v>1</v>
      </c>
      <c r="V389" s="144">
        <f ca="1">IFERROR(__xludf.DUMMYFUNCTION("""COMPUTED_VALUE"""),500000)</f>
        <v>500000</v>
      </c>
      <c r="W389" s="145">
        <f ca="1">IFERROR(__xludf.DUMMYFUNCTION("""COMPUTED_VALUE"""),500000)</f>
        <v>500000</v>
      </c>
      <c r="X389" s="11">
        <f ca="1">IFERROR(__xludf.DUMMYFUNCTION("""COMPUTED_VALUE"""),500000)</f>
        <v>500000</v>
      </c>
      <c r="Y389" s="11">
        <f ca="1">IFERROR(__xludf.DUMMYFUNCTION("""COMPUTED_VALUE"""),0)</f>
        <v>0</v>
      </c>
      <c r="Z389" s="4">
        <f ca="1">IFERROR(__xludf.DUMMYFUNCTION("""COMPUTED_VALUE"""),0)</f>
        <v>0</v>
      </c>
    </row>
    <row r="390" spans="1:26" ht="13" x14ac:dyDescent="0.15">
      <c r="A390" s="43" t="str">
        <f ca="1">IFERROR(__xludf.DUMMYFUNCTION("""COMPUTED_VALUE"""),"")</f>
        <v/>
      </c>
      <c r="B390" s="43" t="str">
        <f ca="1">IFERROR(__xludf.DUMMYFUNCTION("""COMPUTED_VALUE"""),"70628")</f>
        <v>70628</v>
      </c>
      <c r="C390" s="146">
        <f ca="1">IFERROR(__xludf.DUMMYFUNCTION("""COMPUTED_VALUE"""),44597000086)</f>
        <v>44597000086</v>
      </c>
      <c r="D390" s="43" t="str">
        <f ca="1">IFERROR(__xludf.DUMMYFUNCTION("""COMPUTED_VALUE"""),"Cash")</f>
        <v>Cash</v>
      </c>
      <c r="E390" s="147">
        <f ca="1">IFERROR(__xludf.DUMMYFUNCTION("""COMPUTED_VALUE"""),44597)</f>
        <v>44597</v>
      </c>
      <c r="F390" s="43" t="str">
        <f ca="1">IFERROR(__xludf.DUMMYFUNCTION("""COMPUTED_VALUE"""),"Cash")</f>
        <v>Cash</v>
      </c>
      <c r="G390" s="43" t="str">
        <f ca="1">IFERROR(__xludf.DUMMYFUNCTION("""COMPUTED_VALUE"""),"HKD")</f>
        <v>HKD</v>
      </c>
      <c r="H390" s="154" t="str">
        <f ca="1">IFERROR(__xludf.DUMMYFUNCTION("""COMPUTED_VALUE"""),"")</f>
        <v/>
      </c>
      <c r="I390" s="148">
        <f ca="1">IFERROR(__xludf.DUMMYFUNCTION("""COMPUTED_VALUE"""),1)</f>
        <v>1</v>
      </c>
      <c r="J390" s="149">
        <f ca="1">IFERROR(__xludf.DUMMYFUNCTION("""COMPUTED_VALUE"""),1)</f>
        <v>1</v>
      </c>
      <c r="K390" s="43"/>
      <c r="L390" s="149">
        <f ca="1">IFERROR(__xludf.DUMMYFUNCTION("""COMPUTED_VALUE"""),1)</f>
        <v>1</v>
      </c>
      <c r="M390" s="155" t="str">
        <f ca="1">IFERROR(__xludf.DUMMYFUNCTION("""COMPUTED_VALUE"""),"")</f>
        <v/>
      </c>
      <c r="N390" s="43"/>
      <c r="O390" s="43"/>
      <c r="P390" s="157">
        <f ca="1">IFERROR(__xludf.DUMMYFUNCTION("""COMPUTED_VALUE"""),500000)</f>
        <v>500000</v>
      </c>
      <c r="Q390" s="151"/>
      <c r="R390" s="152">
        <f ca="1">IFERROR(__xludf.DUMMYFUNCTION("""COMPUTED_VALUE"""),1)</f>
        <v>1</v>
      </c>
      <c r="S390" s="150" t="str">
        <f ca="1">IFERROR(__xludf.DUMMYFUNCTION("""COMPUTED_VALUE"""),"")</f>
        <v/>
      </c>
      <c r="T390" s="108">
        <f ca="1">IFERROR(__xludf.DUMMYFUNCTION("""COMPUTED_VALUE"""),1)</f>
        <v>1</v>
      </c>
      <c r="U390" s="108">
        <f ca="1">IFERROR(__xludf.DUMMYFUNCTION("""COMPUTED_VALUE"""),1)</f>
        <v>1</v>
      </c>
      <c r="V390" s="158">
        <f ca="1">IFERROR(__xludf.DUMMYFUNCTION("""COMPUTED_VALUE"""),500000)</f>
        <v>500000</v>
      </c>
      <c r="W390" s="44" t="str">
        <f ca="1">IFERROR(__xludf.DUMMYFUNCTION("""COMPUTED_VALUE"""),"")</f>
        <v/>
      </c>
      <c r="X390" s="154" t="str">
        <f ca="1">IFERROR(__xludf.DUMMYFUNCTION("""COMPUTED_VALUE"""),"")</f>
        <v/>
      </c>
      <c r="Y390" s="154" t="str">
        <f ca="1">IFERROR(__xludf.DUMMYFUNCTION("""COMPUTED_VALUE"""),"")</f>
        <v/>
      </c>
      <c r="Z390" s="162" t="str">
        <f ca="1">IFERROR(__xludf.DUMMYFUNCTION("""COMPUTED_VALUE"""),"")</f>
        <v/>
      </c>
    </row>
    <row r="391" spans="1:26" ht="13" x14ac:dyDescent="0.15">
      <c r="A391" s="43" t="str">
        <f ca="1">IFERROR(__xludf.DUMMYFUNCTION("""COMPUTED_VALUE"""),"")</f>
        <v/>
      </c>
      <c r="B391" s="43" t="str">
        <f ca="1">IFERROR(__xludf.DUMMYFUNCTION("""COMPUTED_VALUE"""),"70628")</f>
        <v>70628</v>
      </c>
      <c r="C391" s="146">
        <f ca="1">IFERROR(__xludf.DUMMYFUNCTION("""COMPUTED_VALUE"""),44607000191)</f>
        <v>44607000191</v>
      </c>
      <c r="D391" s="161" t="str">
        <f ca="1">IFERROR(__xludf.DUMMYFUNCTION("""COMPUTED_VALUE"""),"2333.HK")</f>
        <v>2333.HK</v>
      </c>
      <c r="E391" s="147">
        <f ca="1">IFERROR(__xludf.DUMMYFUNCTION("""COMPUTED_VALUE"""),44607)</f>
        <v>44607</v>
      </c>
      <c r="F391" s="43" t="str">
        <f ca="1">IFERROR(__xludf.DUMMYFUNCTION("""COMPUTED_VALUE"""),"Stock")</f>
        <v>Stock</v>
      </c>
      <c r="G391" s="43" t="str">
        <f ca="1">IFERROR(__xludf.DUMMYFUNCTION("""COMPUTED_VALUE"""),"HKD")</f>
        <v>HKD</v>
      </c>
      <c r="H391" s="11">
        <f ca="1">IFERROR(__xludf.DUMMYFUNCTION("""COMPUTED_VALUE"""),0)</f>
        <v>0</v>
      </c>
      <c r="I391" s="148">
        <f ca="1">IFERROR(__xludf.DUMMYFUNCTION("""COMPUTED_VALUE"""),1)</f>
        <v>1</v>
      </c>
      <c r="J391" s="149">
        <f ca="1">IFERROR(__xludf.DUMMYFUNCTION("""COMPUTED_VALUE"""),0)</f>
        <v>0</v>
      </c>
      <c r="K391" s="43"/>
      <c r="L391" s="149">
        <f ca="1">IFERROR(__xludf.DUMMYFUNCTION("""COMPUTED_VALUE"""),12.86)</f>
        <v>12.86</v>
      </c>
      <c r="M391" s="160" t="str">
        <f ca="1">IFERROR(__xludf.DUMMYFUNCTION("""COMPUTED_VALUE"""),"Equity Key Stats")</f>
        <v>Equity Key Stats</v>
      </c>
      <c r="N391" s="43"/>
      <c r="O391" s="43"/>
      <c r="P391" s="150">
        <f ca="1">IFERROR(__xludf.DUMMYFUNCTION("""COMPUTED_VALUE"""),0)</f>
        <v>0</v>
      </c>
      <c r="Q391" s="151"/>
      <c r="R391" s="152">
        <f ca="1">IFERROR(__xludf.DUMMYFUNCTION("""COMPUTED_VALUE"""),13.08)</f>
        <v>13.08</v>
      </c>
      <c r="S391" s="127">
        <f ca="1">IFERROR(__xludf.DUMMYFUNCTION("""COMPUTED_VALUE"""),0)</f>
        <v>0</v>
      </c>
      <c r="T391" s="108">
        <f ca="1">IFERROR(__xludf.DUMMYFUNCTION("""COMPUTED_VALUE"""),3)</f>
        <v>3</v>
      </c>
      <c r="U391" s="108" t="str">
        <f ca="1">IFERROR(__xludf.DUMMYFUNCTION("""COMPUTED_VALUE"""),"")</f>
        <v/>
      </c>
      <c r="V391" s="153" t="str">
        <f ca="1">IFERROR(__xludf.DUMMYFUNCTION("""COMPUTED_VALUE"""),"")</f>
        <v/>
      </c>
      <c r="W391" s="145" t="str">
        <f ca="1">IFERROR(__xludf.DUMMYFUNCTION("""COMPUTED_VALUE"""),"")</f>
        <v/>
      </c>
      <c r="X391" s="11" t="str">
        <f ca="1">IFERROR(__xludf.DUMMYFUNCTION("""COMPUTED_VALUE"""),"")</f>
        <v/>
      </c>
      <c r="Y391" s="11" t="str">
        <f ca="1">IFERROR(__xludf.DUMMYFUNCTION("""COMPUTED_VALUE"""),"")</f>
        <v/>
      </c>
      <c r="Z391" s="4" t="str">
        <f ca="1">IFERROR(__xludf.DUMMYFUNCTION("""COMPUTED_VALUE"""),"")</f>
        <v/>
      </c>
    </row>
    <row r="392" spans="1:26" ht="13" x14ac:dyDescent="0.15">
      <c r="A392" s="43" t="str">
        <f ca="1">IFERROR(__xludf.DUMMYFUNCTION("""COMPUTED_VALUE"""),"")</f>
        <v/>
      </c>
      <c r="B392" s="43" t="str">
        <f ca="1">IFERROR(__xludf.DUMMYFUNCTION("""COMPUTED_VALUE"""),"70628")</f>
        <v>70628</v>
      </c>
      <c r="C392" s="146">
        <f ca="1">IFERROR(__xludf.DUMMYFUNCTION("""COMPUTED_VALUE"""),44607000192)</f>
        <v>44607000192</v>
      </c>
      <c r="D392" s="161" t="str">
        <f ca="1">IFERROR(__xludf.DUMMYFUNCTION("""COMPUTED_VALUE"""),"3339.HK")</f>
        <v>3339.HK</v>
      </c>
      <c r="E392" s="147">
        <f ca="1">IFERROR(__xludf.DUMMYFUNCTION("""COMPUTED_VALUE"""),44607)</f>
        <v>44607</v>
      </c>
      <c r="F392" s="43" t="str">
        <f ca="1">IFERROR(__xludf.DUMMYFUNCTION("""COMPUTED_VALUE"""),"Stock")</f>
        <v>Stock</v>
      </c>
      <c r="G392" s="43" t="str">
        <f ca="1">IFERROR(__xludf.DUMMYFUNCTION("""COMPUTED_VALUE"""),"HKD")</f>
        <v>HKD</v>
      </c>
      <c r="H392" s="11">
        <f ca="1">IFERROR(__xludf.DUMMYFUNCTION("""COMPUTED_VALUE"""),0)</f>
        <v>0</v>
      </c>
      <c r="I392" s="148">
        <f ca="1">IFERROR(__xludf.DUMMYFUNCTION("""COMPUTED_VALUE"""),1)</f>
        <v>1</v>
      </c>
      <c r="J392" s="149">
        <f ca="1">IFERROR(__xludf.DUMMYFUNCTION("""COMPUTED_VALUE"""),0)</f>
        <v>0</v>
      </c>
      <c r="K392" s="43"/>
      <c r="L392" s="149">
        <f ca="1">IFERROR(__xludf.DUMMYFUNCTION("""COMPUTED_VALUE"""),2.11)</f>
        <v>2.11</v>
      </c>
      <c r="M392" s="155" t="str">
        <f ca="1">IFERROR(__xludf.DUMMYFUNCTION("""COMPUTED_VALUE"""),"Equity Key Stats")</f>
        <v>Equity Key Stats</v>
      </c>
      <c r="N392" s="43"/>
      <c r="O392" s="43"/>
      <c r="P392" s="150">
        <f ca="1">IFERROR(__xludf.DUMMYFUNCTION("""COMPUTED_VALUE"""),0)</f>
        <v>0</v>
      </c>
      <c r="Q392" s="151"/>
      <c r="R392" s="152">
        <f ca="1">IFERROR(__xludf.DUMMYFUNCTION("""COMPUTED_VALUE"""),2.15)</f>
        <v>2.15</v>
      </c>
      <c r="S392" s="150">
        <f ca="1">IFERROR(__xludf.DUMMYFUNCTION("""COMPUTED_VALUE"""),0)</f>
        <v>0</v>
      </c>
      <c r="T392" s="108">
        <f ca="1">IFERROR(__xludf.DUMMYFUNCTION("""COMPUTED_VALUE"""),3)</f>
        <v>3</v>
      </c>
      <c r="U392" s="108" t="str">
        <f ca="1">IFERROR(__xludf.DUMMYFUNCTION("""COMPUTED_VALUE"""),"")</f>
        <v/>
      </c>
      <c r="V392" s="153" t="str">
        <f ca="1">IFERROR(__xludf.DUMMYFUNCTION("""COMPUTED_VALUE"""),"")</f>
        <v/>
      </c>
      <c r="W392" s="145" t="str">
        <f ca="1">IFERROR(__xludf.DUMMYFUNCTION("""COMPUTED_VALUE"""),"")</f>
        <v/>
      </c>
      <c r="X392" s="11" t="str">
        <f ca="1">IFERROR(__xludf.DUMMYFUNCTION("""COMPUTED_VALUE"""),"")</f>
        <v/>
      </c>
      <c r="Y392" s="11" t="str">
        <f ca="1">IFERROR(__xludf.DUMMYFUNCTION("""COMPUTED_VALUE"""),"")</f>
        <v/>
      </c>
      <c r="Z392" s="4" t="str">
        <f ca="1">IFERROR(__xludf.DUMMYFUNCTION("""COMPUTED_VALUE"""),"")</f>
        <v/>
      </c>
    </row>
    <row r="393" spans="1:26" ht="13" x14ac:dyDescent="0.15">
      <c r="A393" s="43" t="str">
        <f ca="1">IFERROR(__xludf.DUMMYFUNCTION("""COMPUTED_VALUE"""),"")</f>
        <v/>
      </c>
      <c r="B393" s="43" t="str">
        <f ca="1">IFERROR(__xludf.DUMMYFUNCTION("""COMPUTED_VALUE"""),"70628")</f>
        <v>70628</v>
      </c>
      <c r="C393" s="146">
        <f ca="1">IFERROR(__xludf.DUMMYFUNCTION("""COMPUTED_VALUE"""),44607000193)</f>
        <v>44607000193</v>
      </c>
      <c r="D393" s="161" t="str">
        <f ca="1">IFERROR(__xludf.DUMMYFUNCTION("""COMPUTED_VALUE"""),"1610.HK")</f>
        <v>1610.HK</v>
      </c>
      <c r="E393" s="147">
        <f ca="1">IFERROR(__xludf.DUMMYFUNCTION("""COMPUTED_VALUE"""),44607)</f>
        <v>44607</v>
      </c>
      <c r="F393" s="43" t="str">
        <f ca="1">IFERROR(__xludf.DUMMYFUNCTION("""COMPUTED_VALUE"""),"Stock")</f>
        <v>Stock</v>
      </c>
      <c r="G393" s="43" t="str">
        <f ca="1">IFERROR(__xludf.DUMMYFUNCTION("""COMPUTED_VALUE"""),"HKD")</f>
        <v>HKD</v>
      </c>
      <c r="H393" s="154">
        <f ca="1">IFERROR(__xludf.DUMMYFUNCTION("""COMPUTED_VALUE"""),0)</f>
        <v>0</v>
      </c>
      <c r="I393" s="148">
        <f ca="1">IFERROR(__xludf.DUMMYFUNCTION("""COMPUTED_VALUE"""),1)</f>
        <v>1</v>
      </c>
      <c r="J393" s="149">
        <f ca="1">IFERROR(__xludf.DUMMYFUNCTION("""COMPUTED_VALUE"""),0)</f>
        <v>0</v>
      </c>
      <c r="K393" s="43"/>
      <c r="L393" s="149">
        <f ca="1">IFERROR(__xludf.DUMMYFUNCTION("""COMPUTED_VALUE"""),3.38)</f>
        <v>3.38</v>
      </c>
      <c r="M393" s="155" t="str">
        <f ca="1">IFERROR(__xludf.DUMMYFUNCTION("""COMPUTED_VALUE"""),"Equity Key Stats")</f>
        <v>Equity Key Stats</v>
      </c>
      <c r="N393" s="43"/>
      <c r="O393" s="43"/>
      <c r="P393" s="157">
        <f ca="1">IFERROR(__xludf.DUMMYFUNCTION("""COMPUTED_VALUE"""),0)</f>
        <v>0</v>
      </c>
      <c r="Q393" s="151"/>
      <c r="R393" s="152">
        <f ca="1">IFERROR(__xludf.DUMMYFUNCTION("""COMPUTED_VALUE"""),3.36)</f>
        <v>3.36</v>
      </c>
      <c r="S393" s="150">
        <f ca="1">IFERROR(__xludf.DUMMYFUNCTION("""COMPUTED_VALUE"""),0)</f>
        <v>0</v>
      </c>
      <c r="T393" s="108">
        <f ca="1">IFERROR(__xludf.DUMMYFUNCTION("""COMPUTED_VALUE"""),1)</f>
        <v>1</v>
      </c>
      <c r="U393" s="108">
        <f ca="1">IFERROR(__xludf.DUMMYFUNCTION("""COMPUTED_VALUE"""),1)</f>
        <v>1</v>
      </c>
      <c r="V393" s="158">
        <f ca="1">IFERROR(__xludf.DUMMYFUNCTION("""COMPUTED_VALUE"""),0)</f>
        <v>0</v>
      </c>
      <c r="W393" s="145" t="str">
        <f ca="1">IFERROR(__xludf.DUMMYFUNCTION("""COMPUTED_VALUE"""),"")</f>
        <v/>
      </c>
      <c r="X393" s="11" t="str">
        <f ca="1">IFERROR(__xludf.DUMMYFUNCTION("""COMPUTED_VALUE"""),"")</f>
        <v/>
      </c>
      <c r="Y393" s="11" t="str">
        <f ca="1">IFERROR(__xludf.DUMMYFUNCTION("""COMPUTED_VALUE"""),"")</f>
        <v/>
      </c>
      <c r="Z393" s="4" t="str">
        <f ca="1">IFERROR(__xludf.DUMMYFUNCTION("""COMPUTED_VALUE"""),"")</f>
        <v/>
      </c>
    </row>
    <row r="394" spans="1:26" ht="13" x14ac:dyDescent="0.15">
      <c r="A394" s="43" t="str">
        <f ca="1">IFERROR(__xludf.DUMMYFUNCTION("""COMPUTED_VALUE"""),"")</f>
        <v/>
      </c>
      <c r="B394" s="43" t="str">
        <f ca="1">IFERROR(__xludf.DUMMYFUNCTION("""COMPUTED_VALUE"""),"70628")</f>
        <v>70628</v>
      </c>
      <c r="C394" s="146">
        <f ca="1">IFERROR(__xludf.DUMMYFUNCTION("""COMPUTED_VALUE"""),44607000196)</f>
        <v>44607000196</v>
      </c>
      <c r="D394" s="161" t="str">
        <f ca="1">IFERROR(__xludf.DUMMYFUNCTION("""COMPUTED_VALUE"""),"1810.HK")</f>
        <v>1810.HK</v>
      </c>
      <c r="E394" s="147">
        <f ca="1">IFERROR(__xludf.DUMMYFUNCTION("""COMPUTED_VALUE"""),44607)</f>
        <v>44607</v>
      </c>
      <c r="F394" s="43" t="str">
        <f ca="1">IFERROR(__xludf.DUMMYFUNCTION("""COMPUTED_VALUE"""),"Stock")</f>
        <v>Stock</v>
      </c>
      <c r="G394" s="43" t="str">
        <f ca="1">IFERROR(__xludf.DUMMYFUNCTION("""COMPUTED_VALUE"""),"HKD")</f>
        <v>HKD</v>
      </c>
      <c r="H394" s="11">
        <f ca="1">IFERROR(__xludf.DUMMYFUNCTION("""COMPUTED_VALUE"""),0)</f>
        <v>0</v>
      </c>
      <c r="I394" s="148">
        <f ca="1">IFERROR(__xludf.DUMMYFUNCTION("""COMPUTED_VALUE"""),1)</f>
        <v>1</v>
      </c>
      <c r="J394" s="149">
        <f ca="1">IFERROR(__xludf.DUMMYFUNCTION("""COMPUTED_VALUE"""),0)</f>
        <v>0</v>
      </c>
      <c r="K394" s="43"/>
      <c r="L394" s="149">
        <f ca="1">IFERROR(__xludf.DUMMYFUNCTION("""COMPUTED_VALUE"""),14.2)</f>
        <v>14.2</v>
      </c>
      <c r="M394" s="155" t="str">
        <f ca="1">IFERROR(__xludf.DUMMYFUNCTION("""COMPUTED_VALUE"""),"Equity Key Stats")</f>
        <v>Equity Key Stats</v>
      </c>
      <c r="N394" s="43"/>
      <c r="O394" s="43"/>
      <c r="P394" s="150">
        <f ca="1">IFERROR(__xludf.DUMMYFUNCTION("""COMPUTED_VALUE"""),0)</f>
        <v>0</v>
      </c>
      <c r="Q394" s="151"/>
      <c r="R394" s="152">
        <f ca="1">IFERROR(__xludf.DUMMYFUNCTION("""COMPUTED_VALUE"""),14.78)</f>
        <v>14.78</v>
      </c>
      <c r="S394" s="150">
        <f ca="1">IFERROR(__xludf.DUMMYFUNCTION("""COMPUTED_VALUE"""),0)</f>
        <v>0</v>
      </c>
      <c r="T394" s="108">
        <f ca="1">IFERROR(__xludf.DUMMYFUNCTION("""COMPUTED_VALUE"""),2)</f>
        <v>2</v>
      </c>
      <c r="U394" s="108" t="str">
        <f ca="1">IFERROR(__xludf.DUMMYFUNCTION("""COMPUTED_VALUE"""),"")</f>
        <v/>
      </c>
      <c r="V394" s="153" t="str">
        <f ca="1">IFERROR(__xludf.DUMMYFUNCTION("""COMPUTED_VALUE"""),"")</f>
        <v/>
      </c>
      <c r="W394" s="145" t="str">
        <f ca="1">IFERROR(__xludf.DUMMYFUNCTION("""COMPUTED_VALUE"""),"")</f>
        <v/>
      </c>
      <c r="X394" s="11" t="str">
        <f ca="1">IFERROR(__xludf.DUMMYFUNCTION("""COMPUTED_VALUE"""),"")</f>
        <v/>
      </c>
      <c r="Y394" s="11" t="str">
        <f ca="1">IFERROR(__xludf.DUMMYFUNCTION("""COMPUTED_VALUE"""),"")</f>
        <v/>
      </c>
      <c r="Z394" s="4" t="str">
        <f ca="1">IFERROR(__xludf.DUMMYFUNCTION("""COMPUTED_VALUE"""),"")</f>
        <v/>
      </c>
    </row>
    <row r="395" spans="1:26" ht="13" x14ac:dyDescent="0.15">
      <c r="A395" s="43" t="str">
        <f ca="1">IFERROR(__xludf.DUMMYFUNCTION("""COMPUTED_VALUE"""),"")</f>
        <v/>
      </c>
      <c r="B395" s="43" t="str">
        <f ca="1">IFERROR(__xludf.DUMMYFUNCTION("""COMPUTED_VALUE"""),"70628")</f>
        <v>70628</v>
      </c>
      <c r="C395" s="146">
        <f ca="1">IFERROR(__xludf.DUMMYFUNCTION("""COMPUTED_VALUE"""),44608000209)</f>
        <v>44608000209</v>
      </c>
      <c r="D395" s="161" t="str">
        <f ca="1">IFERROR(__xludf.DUMMYFUNCTION("""COMPUTED_VALUE"""),"3339.HK")</f>
        <v>3339.HK</v>
      </c>
      <c r="E395" s="147">
        <f ca="1">IFERROR(__xludf.DUMMYFUNCTION("""COMPUTED_VALUE"""),44608)</f>
        <v>44608</v>
      </c>
      <c r="F395" s="43" t="str">
        <f ca="1">IFERROR(__xludf.DUMMYFUNCTION("""COMPUTED_VALUE"""),"Stock")</f>
        <v>Stock</v>
      </c>
      <c r="G395" s="43" t="str">
        <f ca="1">IFERROR(__xludf.DUMMYFUNCTION("""COMPUTED_VALUE"""),"HKD")</f>
        <v>HKD</v>
      </c>
      <c r="H395" s="11">
        <f ca="1">IFERROR(__xludf.DUMMYFUNCTION("""COMPUTED_VALUE"""),50000)</f>
        <v>50000</v>
      </c>
      <c r="I395" s="148">
        <f ca="1">IFERROR(__xludf.DUMMYFUNCTION("""COMPUTED_VALUE"""),1)</f>
        <v>1</v>
      </c>
      <c r="J395" s="149">
        <f ca="1">IFERROR(__xludf.DUMMYFUNCTION("""COMPUTED_VALUE"""),2.1)</f>
        <v>2.1</v>
      </c>
      <c r="K395" s="43"/>
      <c r="L395" s="149">
        <f ca="1">IFERROR(__xludf.DUMMYFUNCTION("""COMPUTED_VALUE"""),2.11)</f>
        <v>2.11</v>
      </c>
      <c r="M395" s="155" t="str">
        <f ca="1">IFERROR(__xludf.DUMMYFUNCTION("""COMPUTED_VALUE"""),"Equity Key Stats")</f>
        <v>Equity Key Stats</v>
      </c>
      <c r="N395" s="43"/>
      <c r="O395" s="43"/>
      <c r="P395" s="150">
        <f ca="1">IFERROR(__xludf.DUMMYFUNCTION("""COMPUTED_VALUE"""),-105000)</f>
        <v>-105000</v>
      </c>
      <c r="Q395" s="151"/>
      <c r="R395" s="152">
        <f ca="1">IFERROR(__xludf.DUMMYFUNCTION("""COMPUTED_VALUE"""),2.15)</f>
        <v>2.15</v>
      </c>
      <c r="S395" s="150">
        <f ca="1">IFERROR(__xludf.DUMMYFUNCTION("""COMPUTED_VALUE"""),107500)</f>
        <v>107500</v>
      </c>
      <c r="T395" s="108">
        <f ca="1">IFERROR(__xludf.DUMMYFUNCTION("""COMPUTED_VALUE"""),3)</f>
        <v>3</v>
      </c>
      <c r="U395" s="108" t="str">
        <f ca="1">IFERROR(__xludf.DUMMYFUNCTION("""COMPUTED_VALUE"""),"")</f>
        <v/>
      </c>
      <c r="V395" s="153" t="str">
        <f ca="1">IFERROR(__xludf.DUMMYFUNCTION("""COMPUTED_VALUE"""),"")</f>
        <v/>
      </c>
      <c r="W395" s="145" t="str">
        <f ca="1">IFERROR(__xludf.DUMMYFUNCTION("""COMPUTED_VALUE"""),"")</f>
        <v/>
      </c>
      <c r="X395" s="11" t="str">
        <f ca="1">IFERROR(__xludf.DUMMYFUNCTION("""COMPUTED_VALUE"""),"")</f>
        <v/>
      </c>
      <c r="Y395" s="11" t="str">
        <f ca="1">IFERROR(__xludf.DUMMYFUNCTION("""COMPUTED_VALUE"""),"")</f>
        <v/>
      </c>
      <c r="Z395" s="4" t="str">
        <f ca="1">IFERROR(__xludf.DUMMYFUNCTION("""COMPUTED_VALUE"""),"")</f>
        <v/>
      </c>
    </row>
    <row r="396" spans="1:26" ht="13" x14ac:dyDescent="0.15">
      <c r="A396" s="43" t="str">
        <f ca="1">IFERROR(__xludf.DUMMYFUNCTION("""COMPUTED_VALUE"""),"")</f>
        <v/>
      </c>
      <c r="B396" s="43" t="str">
        <f ca="1">IFERROR(__xludf.DUMMYFUNCTION("""COMPUTED_VALUE"""),"70628")</f>
        <v>70628</v>
      </c>
      <c r="C396" s="146">
        <f ca="1">IFERROR(__xludf.DUMMYFUNCTION("""COMPUTED_VALUE"""),44608000210)</f>
        <v>44608000210</v>
      </c>
      <c r="D396" s="161" t="str">
        <f ca="1">IFERROR(__xludf.DUMMYFUNCTION("""COMPUTED_VALUE"""),"3339.HK")</f>
        <v>3339.HK</v>
      </c>
      <c r="E396" s="147">
        <f ca="1">IFERROR(__xludf.DUMMYFUNCTION("""COMPUTED_VALUE"""),44608)</f>
        <v>44608</v>
      </c>
      <c r="F396" s="43" t="str">
        <f ca="1">IFERROR(__xludf.DUMMYFUNCTION("""COMPUTED_VALUE"""),"Stock")</f>
        <v>Stock</v>
      </c>
      <c r="G396" s="43" t="str">
        <f ca="1">IFERROR(__xludf.DUMMYFUNCTION("""COMPUTED_VALUE"""),"HKD")</f>
        <v>HKD</v>
      </c>
      <c r="H396" s="11">
        <f ca="1">IFERROR(__xludf.DUMMYFUNCTION("""COMPUTED_VALUE"""),30000)</f>
        <v>30000</v>
      </c>
      <c r="I396" s="148">
        <f ca="1">IFERROR(__xludf.DUMMYFUNCTION("""COMPUTED_VALUE"""),1)</f>
        <v>1</v>
      </c>
      <c r="J396" s="149">
        <f ca="1">IFERROR(__xludf.DUMMYFUNCTION("""COMPUTED_VALUE"""),2.1)</f>
        <v>2.1</v>
      </c>
      <c r="K396" s="43"/>
      <c r="L396" s="149">
        <f ca="1">IFERROR(__xludf.DUMMYFUNCTION("""COMPUTED_VALUE"""),2.11)</f>
        <v>2.11</v>
      </c>
      <c r="M396" s="155" t="str">
        <f ca="1">IFERROR(__xludf.DUMMYFUNCTION("""COMPUTED_VALUE"""),"Equity Key Stats")</f>
        <v>Equity Key Stats</v>
      </c>
      <c r="N396" s="43"/>
      <c r="O396" s="43"/>
      <c r="P396" s="150">
        <f ca="1">IFERROR(__xludf.DUMMYFUNCTION("""COMPUTED_VALUE"""),-63000)</f>
        <v>-63000</v>
      </c>
      <c r="Q396" s="151"/>
      <c r="R396" s="152">
        <f ca="1">IFERROR(__xludf.DUMMYFUNCTION("""COMPUTED_VALUE"""),2.15)</f>
        <v>2.15</v>
      </c>
      <c r="S396" s="150">
        <f ca="1">IFERROR(__xludf.DUMMYFUNCTION("""COMPUTED_VALUE"""),64500)</f>
        <v>64500</v>
      </c>
      <c r="T396" s="108">
        <f ca="1">IFERROR(__xludf.DUMMYFUNCTION("""COMPUTED_VALUE"""),3)</f>
        <v>3</v>
      </c>
      <c r="U396" s="108">
        <f ca="1">IFERROR(__xludf.DUMMYFUNCTION("""COMPUTED_VALUE"""),1)</f>
        <v>1</v>
      </c>
      <c r="V396" s="153">
        <f ca="1">IFERROR(__xludf.DUMMYFUNCTION("""COMPUTED_VALUE"""),4000)</f>
        <v>4000</v>
      </c>
      <c r="W396" s="44" t="str">
        <f ca="1">IFERROR(__xludf.DUMMYFUNCTION("""COMPUTED_VALUE"""),"")</f>
        <v/>
      </c>
      <c r="X396" s="154" t="str">
        <f ca="1">IFERROR(__xludf.DUMMYFUNCTION("""COMPUTED_VALUE"""),"")</f>
        <v/>
      </c>
      <c r="Y396" s="154" t="str">
        <f ca="1">IFERROR(__xludf.DUMMYFUNCTION("""COMPUTED_VALUE"""),"")</f>
        <v/>
      </c>
      <c r="Z396" s="162" t="str">
        <f ca="1">IFERROR(__xludf.DUMMYFUNCTION("""COMPUTED_VALUE"""),"")</f>
        <v/>
      </c>
    </row>
    <row r="397" spans="1:26" ht="13" x14ac:dyDescent="0.15">
      <c r="A397" s="43" t="str">
        <f ca="1">IFERROR(__xludf.DUMMYFUNCTION("""COMPUTED_VALUE"""),"")</f>
        <v/>
      </c>
      <c r="B397" s="43" t="str">
        <f ca="1">IFERROR(__xludf.DUMMYFUNCTION("""COMPUTED_VALUE"""),"70628")</f>
        <v>70628</v>
      </c>
      <c r="C397" s="146">
        <f ca="1">IFERROR(__xludf.DUMMYFUNCTION("""COMPUTED_VALUE"""),44608000211)</f>
        <v>44608000211</v>
      </c>
      <c r="D397" s="161" t="str">
        <f ca="1">IFERROR(__xludf.DUMMYFUNCTION("""COMPUTED_VALUE"""),"2333.HK")</f>
        <v>2333.HK</v>
      </c>
      <c r="E397" s="147">
        <f ca="1">IFERROR(__xludf.DUMMYFUNCTION("""COMPUTED_VALUE"""),44608)</f>
        <v>44608</v>
      </c>
      <c r="F397" s="43" t="str">
        <f ca="1">IFERROR(__xludf.DUMMYFUNCTION("""COMPUTED_VALUE"""),"Stock")</f>
        <v>Stock</v>
      </c>
      <c r="G397" s="43" t="str">
        <f ca="1">IFERROR(__xludf.DUMMYFUNCTION("""COMPUTED_VALUE"""),"HKD")</f>
        <v>HKD</v>
      </c>
      <c r="H397" s="11">
        <f ca="1">IFERROR(__xludf.DUMMYFUNCTION("""COMPUTED_VALUE"""),0)</f>
        <v>0</v>
      </c>
      <c r="I397" s="148">
        <f ca="1">IFERROR(__xludf.DUMMYFUNCTION("""COMPUTED_VALUE"""),1)</f>
        <v>1</v>
      </c>
      <c r="J397" s="149">
        <f ca="1">IFERROR(__xludf.DUMMYFUNCTION("""COMPUTED_VALUE"""),0)</f>
        <v>0</v>
      </c>
      <c r="K397" s="43"/>
      <c r="L397" s="149">
        <f ca="1">IFERROR(__xludf.DUMMYFUNCTION("""COMPUTED_VALUE"""),12.86)</f>
        <v>12.86</v>
      </c>
      <c r="M397" s="160" t="str">
        <f ca="1">IFERROR(__xludf.DUMMYFUNCTION("""COMPUTED_VALUE"""),"Equity Key Stats")</f>
        <v>Equity Key Stats</v>
      </c>
      <c r="N397" s="43"/>
      <c r="O397" s="43"/>
      <c r="P397" s="150">
        <f ca="1">IFERROR(__xludf.DUMMYFUNCTION("""COMPUTED_VALUE"""),0)</f>
        <v>0</v>
      </c>
      <c r="Q397" s="151"/>
      <c r="R397" s="152">
        <f ca="1">IFERROR(__xludf.DUMMYFUNCTION("""COMPUTED_VALUE"""),13.08)</f>
        <v>13.08</v>
      </c>
      <c r="S397" s="127">
        <f ca="1">IFERROR(__xludf.DUMMYFUNCTION("""COMPUTED_VALUE"""),0)</f>
        <v>0</v>
      </c>
      <c r="T397" s="108">
        <f ca="1">IFERROR(__xludf.DUMMYFUNCTION("""COMPUTED_VALUE"""),3)</f>
        <v>3</v>
      </c>
      <c r="U397" s="108" t="str">
        <f ca="1">IFERROR(__xludf.DUMMYFUNCTION("""COMPUTED_VALUE"""),"")</f>
        <v/>
      </c>
      <c r="V397" s="153" t="str">
        <f ca="1">IFERROR(__xludf.DUMMYFUNCTION("""COMPUTED_VALUE"""),"")</f>
        <v/>
      </c>
      <c r="W397" s="145" t="str">
        <f ca="1">IFERROR(__xludf.DUMMYFUNCTION("""COMPUTED_VALUE"""),"")</f>
        <v/>
      </c>
      <c r="X397" s="11" t="str">
        <f ca="1">IFERROR(__xludf.DUMMYFUNCTION("""COMPUTED_VALUE"""),"")</f>
        <v/>
      </c>
      <c r="Y397" s="11" t="str">
        <f ca="1">IFERROR(__xludf.DUMMYFUNCTION("""COMPUTED_VALUE"""),"")</f>
        <v/>
      </c>
      <c r="Z397" s="4" t="str">
        <f ca="1">IFERROR(__xludf.DUMMYFUNCTION("""COMPUTED_VALUE"""),"")</f>
        <v/>
      </c>
    </row>
    <row r="398" spans="1:26" ht="13" x14ac:dyDescent="0.15">
      <c r="A398" s="43" t="str">
        <f ca="1">IFERROR(__xludf.DUMMYFUNCTION("""COMPUTED_VALUE"""),"")</f>
        <v/>
      </c>
      <c r="B398" s="43" t="str">
        <f ca="1">IFERROR(__xludf.DUMMYFUNCTION("""COMPUTED_VALUE"""),"70628")</f>
        <v>70628</v>
      </c>
      <c r="C398" s="146">
        <f ca="1">IFERROR(__xludf.DUMMYFUNCTION("""COMPUTED_VALUE"""),44608000212)</f>
        <v>44608000212</v>
      </c>
      <c r="D398" s="161" t="str">
        <f ca="1">IFERROR(__xludf.DUMMYFUNCTION("""COMPUTED_VALUE"""),"1810.HK")</f>
        <v>1810.HK</v>
      </c>
      <c r="E398" s="147">
        <f ca="1">IFERROR(__xludf.DUMMYFUNCTION("""COMPUTED_VALUE"""),44608)</f>
        <v>44608</v>
      </c>
      <c r="F398" s="43" t="str">
        <f ca="1">IFERROR(__xludf.DUMMYFUNCTION("""COMPUTED_VALUE"""),"Stock")</f>
        <v>Stock</v>
      </c>
      <c r="G398" s="43" t="str">
        <f ca="1">IFERROR(__xludf.DUMMYFUNCTION("""COMPUTED_VALUE"""),"HKD")</f>
        <v>HKD</v>
      </c>
      <c r="H398" s="154">
        <f ca="1">IFERROR(__xludf.DUMMYFUNCTION("""COMPUTED_VALUE"""),9000)</f>
        <v>9000</v>
      </c>
      <c r="I398" s="148">
        <f ca="1">IFERROR(__xludf.DUMMYFUNCTION("""COMPUTED_VALUE"""),1)</f>
        <v>1</v>
      </c>
      <c r="J398" s="149">
        <f ca="1">IFERROR(__xludf.DUMMYFUNCTION("""COMPUTED_VALUE"""),16.6)</f>
        <v>16.600000000000001</v>
      </c>
      <c r="K398" s="43"/>
      <c r="L398" s="149">
        <f ca="1">IFERROR(__xludf.DUMMYFUNCTION("""COMPUTED_VALUE"""),14.2)</f>
        <v>14.2</v>
      </c>
      <c r="M398" s="155" t="str">
        <f ca="1">IFERROR(__xludf.DUMMYFUNCTION("""COMPUTED_VALUE"""),"Equity Key Stats")</f>
        <v>Equity Key Stats</v>
      </c>
      <c r="N398" s="43"/>
      <c r="O398" s="43"/>
      <c r="P398" s="157">
        <f ca="1">IFERROR(__xludf.DUMMYFUNCTION("""COMPUTED_VALUE"""),-149400)</f>
        <v>-149400</v>
      </c>
      <c r="Q398" s="151"/>
      <c r="R398" s="152">
        <f ca="1">IFERROR(__xludf.DUMMYFUNCTION("""COMPUTED_VALUE"""),14.78)</f>
        <v>14.78</v>
      </c>
      <c r="S398" s="150">
        <f ca="1">IFERROR(__xludf.DUMMYFUNCTION("""COMPUTED_VALUE"""),133020)</f>
        <v>133020</v>
      </c>
      <c r="T398" s="108">
        <f ca="1">IFERROR(__xludf.DUMMYFUNCTION("""COMPUTED_VALUE"""),2)</f>
        <v>2</v>
      </c>
      <c r="U398" s="43">
        <f ca="1">IFERROR(__xludf.DUMMYFUNCTION("""COMPUTED_VALUE"""),1)</f>
        <v>1</v>
      </c>
      <c r="V398" s="144">
        <f ca="1">IFERROR(__xludf.DUMMYFUNCTION("""COMPUTED_VALUE"""),-16380)</f>
        <v>-16380</v>
      </c>
      <c r="W398" s="145" t="str">
        <f ca="1">IFERROR(__xludf.DUMMYFUNCTION("""COMPUTED_VALUE"""),"")</f>
        <v/>
      </c>
      <c r="X398" s="11" t="str">
        <f ca="1">IFERROR(__xludf.DUMMYFUNCTION("""COMPUTED_VALUE"""),"")</f>
        <v/>
      </c>
      <c r="Y398" s="11" t="str">
        <f ca="1">IFERROR(__xludf.DUMMYFUNCTION("""COMPUTED_VALUE"""),"")</f>
        <v/>
      </c>
      <c r="Z398" s="4" t="str">
        <f ca="1">IFERROR(__xludf.DUMMYFUNCTION("""COMPUTED_VALUE"""),"")</f>
        <v/>
      </c>
    </row>
    <row r="399" spans="1:26" ht="13" x14ac:dyDescent="0.15">
      <c r="A399" s="43" t="str">
        <f ca="1">IFERROR(__xludf.DUMMYFUNCTION("""COMPUTED_VALUE"""),"")</f>
        <v/>
      </c>
      <c r="B399" s="43" t="str">
        <f ca="1">IFERROR(__xludf.DUMMYFUNCTION("""COMPUTED_VALUE"""),"70628")</f>
        <v>70628</v>
      </c>
      <c r="C399" s="146">
        <f ca="1">IFERROR(__xludf.DUMMYFUNCTION("""COMPUTED_VALUE"""),44610000248)</f>
        <v>44610000248</v>
      </c>
      <c r="D399" s="163" t="str">
        <f ca="1">IFERROR(__xludf.DUMMYFUNCTION("""COMPUTED_VALUE"""),"2333.HK")</f>
        <v>2333.HK</v>
      </c>
      <c r="E399" s="147">
        <f ca="1">IFERROR(__xludf.DUMMYFUNCTION("""COMPUTED_VALUE"""),44610)</f>
        <v>44610</v>
      </c>
      <c r="F399" s="43" t="str">
        <f ca="1">IFERROR(__xludf.DUMMYFUNCTION("""COMPUTED_VALUE"""),"Stock")</f>
        <v>Stock</v>
      </c>
      <c r="G399" s="43" t="str">
        <f ca="1">IFERROR(__xludf.DUMMYFUNCTION("""COMPUTED_VALUE"""),"HKD")</f>
        <v>HKD</v>
      </c>
      <c r="H399" s="154">
        <f ca="1">IFERROR(__xludf.DUMMYFUNCTION("""COMPUTED_VALUE"""),4000)</f>
        <v>4000</v>
      </c>
      <c r="I399" s="148">
        <f ca="1">IFERROR(__xludf.DUMMYFUNCTION("""COMPUTED_VALUE"""),1)</f>
        <v>1</v>
      </c>
      <c r="J399" s="149">
        <f ca="1">IFERROR(__xludf.DUMMYFUNCTION("""COMPUTED_VALUE"""),19.2)</f>
        <v>19.2</v>
      </c>
      <c r="K399" s="43"/>
      <c r="L399" s="149">
        <f ca="1">IFERROR(__xludf.DUMMYFUNCTION("""COMPUTED_VALUE"""),12.86)</f>
        <v>12.86</v>
      </c>
      <c r="M399" s="155" t="str">
        <f ca="1">IFERROR(__xludf.DUMMYFUNCTION("""COMPUTED_VALUE"""),"Equity Key Stats")</f>
        <v>Equity Key Stats</v>
      </c>
      <c r="N399" s="43"/>
      <c r="O399" s="43"/>
      <c r="P399" s="157">
        <f ca="1">IFERROR(__xludf.DUMMYFUNCTION("""COMPUTED_VALUE"""),-76800)</f>
        <v>-76800</v>
      </c>
      <c r="Q399" s="151"/>
      <c r="R399" s="152">
        <f ca="1">IFERROR(__xludf.DUMMYFUNCTION("""COMPUTED_VALUE"""),13.08)</f>
        <v>13.08</v>
      </c>
      <c r="S399" s="150">
        <f ca="1">IFERROR(__xludf.DUMMYFUNCTION("""COMPUTED_VALUE"""),52320)</f>
        <v>52320</v>
      </c>
      <c r="T399" s="108">
        <f ca="1">IFERROR(__xludf.DUMMYFUNCTION("""COMPUTED_VALUE"""),3)</f>
        <v>3</v>
      </c>
      <c r="U399" s="43">
        <f ca="1">IFERROR(__xludf.DUMMYFUNCTION("""COMPUTED_VALUE"""),1)</f>
        <v>1</v>
      </c>
      <c r="V399" s="144">
        <f ca="1">IFERROR(__xludf.DUMMYFUNCTION("""COMPUTED_VALUE"""),-24480)</f>
        <v>-24480</v>
      </c>
      <c r="W399" s="145" t="str">
        <f ca="1">IFERROR(__xludf.DUMMYFUNCTION("""COMPUTED_VALUE"""),"")</f>
        <v/>
      </c>
      <c r="X399" s="11" t="str">
        <f ca="1">IFERROR(__xludf.DUMMYFUNCTION("""COMPUTED_VALUE"""),"")</f>
        <v/>
      </c>
      <c r="Y399" s="11" t="str">
        <f ca="1">IFERROR(__xludf.DUMMYFUNCTION("""COMPUTED_VALUE"""),"")</f>
        <v/>
      </c>
      <c r="Z399" s="4" t="str">
        <f ca="1">IFERROR(__xludf.DUMMYFUNCTION("""COMPUTED_VALUE"""),"")</f>
        <v/>
      </c>
    </row>
    <row r="400" spans="1:26" ht="13" x14ac:dyDescent="0.15">
      <c r="A400" s="43" t="str">
        <f ca="1">IFERROR(__xludf.DUMMYFUNCTION("""COMPUTED_VALUE"""),"70628")</f>
        <v>70628</v>
      </c>
      <c r="B400" s="43" t="str">
        <f ca="1">IFERROR(__xludf.DUMMYFUNCTION("""COMPUTED_VALUE"""),"70628")</f>
        <v>70628</v>
      </c>
      <c r="C400" s="146">
        <f ca="1">IFERROR(__xludf.DUMMYFUNCTION("""COMPUTED_VALUE"""),44610000249)</f>
        <v>44610000249</v>
      </c>
      <c r="D400" s="161" t="str">
        <f ca="1">IFERROR(__xludf.DUMMYFUNCTION("""COMPUTED_VALUE"""),"0175.HK")</f>
        <v>0175.HK</v>
      </c>
      <c r="E400" s="147">
        <f ca="1">IFERROR(__xludf.DUMMYFUNCTION("""COMPUTED_VALUE"""),44610)</f>
        <v>44610</v>
      </c>
      <c r="F400" s="43" t="str">
        <f ca="1">IFERROR(__xludf.DUMMYFUNCTION("""COMPUTED_VALUE"""),"Stock")</f>
        <v>Stock</v>
      </c>
      <c r="G400" s="43" t="str">
        <f ca="1">IFERROR(__xludf.DUMMYFUNCTION("""COMPUTED_VALUE"""),"HKD")</f>
        <v>HKD</v>
      </c>
      <c r="H400" s="154">
        <f ca="1">IFERROR(__xludf.DUMMYFUNCTION("""COMPUTED_VALUE"""),16.85)</f>
        <v>16.850000000000001</v>
      </c>
      <c r="I400" s="148">
        <f ca="1">IFERROR(__xludf.DUMMYFUNCTION("""COMPUTED_VALUE"""),1)</f>
        <v>1</v>
      </c>
      <c r="J400" s="149">
        <f ca="1">IFERROR(__xludf.DUMMYFUNCTION("""COMPUTED_VALUE"""),16.66)</f>
        <v>16.66</v>
      </c>
      <c r="K400" s="43"/>
      <c r="L400" s="149">
        <f ca="1">IFERROR(__xludf.DUMMYFUNCTION("""COMPUTED_VALUE"""),11.78)</f>
        <v>11.78</v>
      </c>
      <c r="M400" s="155" t="str">
        <f ca="1">IFERROR(__xludf.DUMMYFUNCTION("""COMPUTED_VALUE"""),"Equity Key Stats")</f>
        <v>Equity Key Stats</v>
      </c>
      <c r="N400" s="43"/>
      <c r="O400" s="43"/>
      <c r="P400" s="157">
        <f ca="1">IFERROR(__xludf.DUMMYFUNCTION("""COMPUTED_VALUE"""),-280.721)</f>
        <v>-280.721</v>
      </c>
      <c r="Q400" s="151"/>
      <c r="R400" s="152">
        <f ca="1">IFERROR(__xludf.DUMMYFUNCTION("""COMPUTED_VALUE"""),11.96)</f>
        <v>11.96</v>
      </c>
      <c r="S400" s="150">
        <f ca="1">IFERROR(__xludf.DUMMYFUNCTION("""COMPUTED_VALUE"""),201.526)</f>
        <v>201.52600000000001</v>
      </c>
      <c r="T400" s="108">
        <f ca="1">IFERROR(__xludf.DUMMYFUNCTION("""COMPUTED_VALUE"""),1)</f>
        <v>1</v>
      </c>
      <c r="U400" s="43">
        <f ca="1">IFERROR(__xludf.DUMMYFUNCTION("""COMPUTED_VALUE"""),1)</f>
        <v>1</v>
      </c>
      <c r="V400" s="144">
        <f ca="1">IFERROR(__xludf.DUMMYFUNCTION("""COMPUTED_VALUE"""),-79.1949999999999)</f>
        <v>-79.194999999999894</v>
      </c>
      <c r="W400" s="145">
        <f ca="1">IFERROR(__xludf.DUMMYFUNCTION("""COMPUTED_VALUE"""),463060.805)</f>
        <v>463060.80499999999</v>
      </c>
      <c r="X400" s="11">
        <f ca="1">IFERROR(__xludf.DUMMYFUNCTION("""COMPUTED_VALUE"""),105519.279)</f>
        <v>105519.27899999999</v>
      </c>
      <c r="Y400" s="11">
        <f ca="1">IFERROR(__xludf.DUMMYFUNCTION("""COMPUTED_VALUE"""),0)</f>
        <v>0</v>
      </c>
      <c r="Z400" s="4">
        <f ca="1">IFERROR(__xludf.DUMMYFUNCTION("""COMPUTED_VALUE"""),-0.0738783899999999)</f>
        <v>-7.3878389999999905E-2</v>
      </c>
    </row>
    <row r="401" spans="1:26" ht="13" x14ac:dyDescent="0.15">
      <c r="A401" s="43" t="str">
        <f ca="1">IFERROR(__xludf.DUMMYFUNCTION("""COMPUTED_VALUE"""),"71502")</f>
        <v>71502</v>
      </c>
      <c r="B401" s="43" t="str">
        <f ca="1">IFERROR(__xludf.DUMMYFUNCTION("""COMPUTED_VALUE"""),"71502")</f>
        <v>71502</v>
      </c>
      <c r="C401" s="146">
        <f ca="1">IFERROR(__xludf.DUMMYFUNCTION("""COMPUTED_VALUE"""),44597000067)</f>
        <v>44597000067</v>
      </c>
      <c r="D401" s="43" t="str">
        <f ca="1">IFERROR(__xludf.DUMMYFUNCTION("""COMPUTED_VALUE"""),"Cash")</f>
        <v>Cash</v>
      </c>
      <c r="E401" s="147">
        <f ca="1">IFERROR(__xludf.DUMMYFUNCTION("""COMPUTED_VALUE"""),44597)</f>
        <v>44597</v>
      </c>
      <c r="F401" s="43" t="str">
        <f ca="1">IFERROR(__xludf.DUMMYFUNCTION("""COMPUTED_VALUE"""),"Cash")</f>
        <v>Cash</v>
      </c>
      <c r="G401" s="43" t="str">
        <f ca="1">IFERROR(__xludf.DUMMYFUNCTION("""COMPUTED_VALUE"""),"HKD")</f>
        <v>HKD</v>
      </c>
      <c r="H401" s="154" t="str">
        <f ca="1">IFERROR(__xludf.DUMMYFUNCTION("""COMPUTED_VALUE"""),"")</f>
        <v/>
      </c>
      <c r="I401" s="148">
        <f ca="1">IFERROR(__xludf.DUMMYFUNCTION("""COMPUTED_VALUE"""),1)</f>
        <v>1</v>
      </c>
      <c r="J401" s="149">
        <f ca="1">IFERROR(__xludf.DUMMYFUNCTION("""COMPUTED_VALUE"""),1)</f>
        <v>1</v>
      </c>
      <c r="K401" s="43"/>
      <c r="L401" s="149">
        <f ca="1">IFERROR(__xludf.DUMMYFUNCTION("""COMPUTED_VALUE"""),1)</f>
        <v>1</v>
      </c>
      <c r="M401" s="155" t="str">
        <f ca="1">IFERROR(__xludf.DUMMYFUNCTION("""COMPUTED_VALUE"""),"")</f>
        <v/>
      </c>
      <c r="N401" s="43"/>
      <c r="O401" s="43"/>
      <c r="P401" s="157">
        <f ca="1">IFERROR(__xludf.DUMMYFUNCTION("""COMPUTED_VALUE"""),500000)</f>
        <v>500000</v>
      </c>
      <c r="Q401" s="151"/>
      <c r="R401" s="152">
        <f ca="1">IFERROR(__xludf.DUMMYFUNCTION("""COMPUTED_VALUE"""),1)</f>
        <v>1</v>
      </c>
      <c r="S401" s="150" t="str">
        <f ca="1">IFERROR(__xludf.DUMMYFUNCTION("""COMPUTED_VALUE"""),"")</f>
        <v/>
      </c>
      <c r="T401" s="108">
        <f ca="1">IFERROR(__xludf.DUMMYFUNCTION("""COMPUTED_VALUE"""),1)</f>
        <v>1</v>
      </c>
      <c r="U401" s="43">
        <f ca="1">IFERROR(__xludf.DUMMYFUNCTION("""COMPUTED_VALUE"""),1)</f>
        <v>1</v>
      </c>
      <c r="V401" s="144">
        <f ca="1">IFERROR(__xludf.DUMMYFUNCTION("""COMPUTED_VALUE"""),500000)</f>
        <v>500000</v>
      </c>
      <c r="W401" s="145">
        <f ca="1">IFERROR(__xludf.DUMMYFUNCTION("""COMPUTED_VALUE"""),500000)</f>
        <v>500000</v>
      </c>
      <c r="X401" s="11">
        <f ca="1">IFERROR(__xludf.DUMMYFUNCTION("""COMPUTED_VALUE"""),500000)</f>
        <v>500000</v>
      </c>
      <c r="Y401" s="11">
        <f ca="1">IFERROR(__xludf.DUMMYFUNCTION("""COMPUTED_VALUE"""),0)</f>
        <v>0</v>
      </c>
      <c r="Z401" s="4">
        <f ca="1">IFERROR(__xludf.DUMMYFUNCTION("""COMPUTED_VALUE"""),0)</f>
        <v>0</v>
      </c>
    </row>
    <row r="402" spans="1:26" ht="13" x14ac:dyDescent="0.15">
      <c r="A402" s="43" t="str">
        <f ca="1">IFERROR(__xludf.DUMMYFUNCTION("""COMPUTED_VALUE"""),"73341")</f>
        <v>73341</v>
      </c>
      <c r="B402" s="43" t="str">
        <f ca="1">IFERROR(__xludf.DUMMYFUNCTION("""COMPUTED_VALUE"""),"73341")</f>
        <v>73341</v>
      </c>
      <c r="C402" s="146">
        <f ca="1">IFERROR(__xludf.DUMMYFUNCTION("""COMPUTED_VALUE"""),44597000121)</f>
        <v>44597000121</v>
      </c>
      <c r="D402" s="43" t="str">
        <f ca="1">IFERROR(__xludf.DUMMYFUNCTION("""COMPUTED_VALUE"""),"Cash")</f>
        <v>Cash</v>
      </c>
      <c r="E402" s="147">
        <f ca="1">IFERROR(__xludf.DUMMYFUNCTION("""COMPUTED_VALUE"""),44597)</f>
        <v>44597</v>
      </c>
      <c r="F402" s="43" t="str">
        <f ca="1">IFERROR(__xludf.DUMMYFUNCTION("""COMPUTED_VALUE"""),"Cash")</f>
        <v>Cash</v>
      </c>
      <c r="G402" s="43" t="str">
        <f ca="1">IFERROR(__xludf.DUMMYFUNCTION("""COMPUTED_VALUE"""),"HKD")</f>
        <v>HKD</v>
      </c>
      <c r="H402" s="156" t="str">
        <f ca="1">IFERROR(__xludf.DUMMYFUNCTION("""COMPUTED_VALUE"""),"")</f>
        <v/>
      </c>
      <c r="I402" s="148">
        <f ca="1">IFERROR(__xludf.DUMMYFUNCTION("""COMPUTED_VALUE"""),1)</f>
        <v>1</v>
      </c>
      <c r="J402" s="149">
        <f ca="1">IFERROR(__xludf.DUMMYFUNCTION("""COMPUTED_VALUE"""),1)</f>
        <v>1</v>
      </c>
      <c r="K402" s="43"/>
      <c r="L402" s="149">
        <f ca="1">IFERROR(__xludf.DUMMYFUNCTION("""COMPUTED_VALUE"""),1)</f>
        <v>1</v>
      </c>
      <c r="M402" s="155" t="str">
        <f ca="1">IFERROR(__xludf.DUMMYFUNCTION("""COMPUTED_VALUE"""),"")</f>
        <v/>
      </c>
      <c r="N402" s="43"/>
      <c r="O402" s="43"/>
      <c r="P402" s="150">
        <f ca="1">IFERROR(__xludf.DUMMYFUNCTION("""COMPUTED_VALUE"""),500000)</f>
        <v>500000</v>
      </c>
      <c r="Q402" s="151"/>
      <c r="R402" s="152">
        <f ca="1">IFERROR(__xludf.DUMMYFUNCTION("""COMPUTED_VALUE"""),1)</f>
        <v>1</v>
      </c>
      <c r="S402" s="157" t="str">
        <f ca="1">IFERROR(__xludf.DUMMYFUNCTION("""COMPUTED_VALUE"""),"")</f>
        <v/>
      </c>
      <c r="T402" s="108">
        <f ca="1">IFERROR(__xludf.DUMMYFUNCTION("""COMPUTED_VALUE"""),1)</f>
        <v>1</v>
      </c>
      <c r="U402" s="108">
        <f ca="1">IFERROR(__xludf.DUMMYFUNCTION("""COMPUTED_VALUE"""),1)</f>
        <v>1</v>
      </c>
      <c r="V402" s="153">
        <f ca="1">IFERROR(__xludf.DUMMYFUNCTION("""COMPUTED_VALUE"""),500000)</f>
        <v>500000</v>
      </c>
      <c r="W402" s="145">
        <f ca="1">IFERROR(__xludf.DUMMYFUNCTION("""COMPUTED_VALUE"""),500000)</f>
        <v>500000</v>
      </c>
      <c r="X402" s="11">
        <f ca="1">IFERROR(__xludf.DUMMYFUNCTION("""COMPUTED_VALUE"""),500000)</f>
        <v>500000</v>
      </c>
      <c r="Y402" s="11">
        <f ca="1">IFERROR(__xludf.DUMMYFUNCTION("""COMPUTED_VALUE"""),0)</f>
        <v>0</v>
      </c>
      <c r="Z402" s="4">
        <f ca="1">IFERROR(__xludf.DUMMYFUNCTION("""COMPUTED_VALUE"""),0)</f>
        <v>0</v>
      </c>
    </row>
    <row r="403" spans="1:26" ht="13" x14ac:dyDescent="0.15">
      <c r="A403" s="43" t="str">
        <f ca="1">IFERROR(__xludf.DUMMYFUNCTION("""COMPUTED_VALUE"""),"")</f>
        <v/>
      </c>
      <c r="B403" s="43" t="str">
        <f ca="1">IFERROR(__xludf.DUMMYFUNCTION("""COMPUTED_VALUE"""),"73542")</f>
        <v>73542</v>
      </c>
      <c r="C403" s="146">
        <f ca="1">IFERROR(__xludf.DUMMYFUNCTION("""COMPUTED_VALUE"""),44597000114)</f>
        <v>44597000114</v>
      </c>
      <c r="D403" s="163" t="str">
        <f ca="1">IFERROR(__xludf.DUMMYFUNCTION("""COMPUTED_VALUE"""),"Cash")</f>
        <v>Cash</v>
      </c>
      <c r="E403" s="147">
        <f ca="1">IFERROR(__xludf.DUMMYFUNCTION("""COMPUTED_VALUE"""),44597)</f>
        <v>44597</v>
      </c>
      <c r="F403" s="43" t="str">
        <f ca="1">IFERROR(__xludf.DUMMYFUNCTION("""COMPUTED_VALUE"""),"Cash")</f>
        <v>Cash</v>
      </c>
      <c r="G403" s="43" t="str">
        <f ca="1">IFERROR(__xludf.DUMMYFUNCTION("""COMPUTED_VALUE"""),"HKD")</f>
        <v>HKD</v>
      </c>
      <c r="H403" s="154" t="str">
        <f ca="1">IFERROR(__xludf.DUMMYFUNCTION("""COMPUTED_VALUE"""),"")</f>
        <v/>
      </c>
      <c r="I403" s="148">
        <f ca="1">IFERROR(__xludf.DUMMYFUNCTION("""COMPUTED_VALUE"""),1)</f>
        <v>1</v>
      </c>
      <c r="J403" s="149">
        <f ca="1">IFERROR(__xludf.DUMMYFUNCTION("""COMPUTED_VALUE"""),1)</f>
        <v>1</v>
      </c>
      <c r="K403" s="43"/>
      <c r="L403" s="149">
        <f ca="1">IFERROR(__xludf.DUMMYFUNCTION("""COMPUTED_VALUE"""),1)</f>
        <v>1</v>
      </c>
      <c r="M403" s="155" t="str">
        <f ca="1">IFERROR(__xludf.DUMMYFUNCTION("""COMPUTED_VALUE"""),"")</f>
        <v/>
      </c>
      <c r="N403" s="43"/>
      <c r="O403" s="43"/>
      <c r="P403" s="157">
        <f ca="1">IFERROR(__xludf.DUMMYFUNCTION("""COMPUTED_VALUE"""),500000)</f>
        <v>500000</v>
      </c>
      <c r="Q403" s="151"/>
      <c r="R403" s="152">
        <f ca="1">IFERROR(__xludf.DUMMYFUNCTION("""COMPUTED_VALUE"""),1)</f>
        <v>1</v>
      </c>
      <c r="S403" s="150" t="str">
        <f ca="1">IFERROR(__xludf.DUMMYFUNCTION("""COMPUTED_VALUE"""),"")</f>
        <v/>
      </c>
      <c r="T403" s="108">
        <f ca="1">IFERROR(__xludf.DUMMYFUNCTION("""COMPUTED_VALUE"""),1)</f>
        <v>1</v>
      </c>
      <c r="U403" s="43">
        <f ca="1">IFERROR(__xludf.DUMMYFUNCTION("""COMPUTED_VALUE"""),1)</f>
        <v>1</v>
      </c>
      <c r="V403" s="144">
        <f ca="1">IFERROR(__xludf.DUMMYFUNCTION("""COMPUTED_VALUE"""),500000)</f>
        <v>500000</v>
      </c>
      <c r="W403" s="145" t="str">
        <f ca="1">IFERROR(__xludf.DUMMYFUNCTION("""COMPUTED_VALUE"""),"")</f>
        <v/>
      </c>
      <c r="X403" s="11" t="str">
        <f ca="1">IFERROR(__xludf.DUMMYFUNCTION("""COMPUTED_VALUE"""),"")</f>
        <v/>
      </c>
      <c r="Y403" s="11" t="str">
        <f ca="1">IFERROR(__xludf.DUMMYFUNCTION("""COMPUTED_VALUE"""),"")</f>
        <v/>
      </c>
      <c r="Z403" s="4" t="str">
        <f ca="1">IFERROR(__xludf.DUMMYFUNCTION("""COMPUTED_VALUE"""),"")</f>
        <v/>
      </c>
    </row>
    <row r="404" spans="1:26" ht="13" x14ac:dyDescent="0.15">
      <c r="A404" s="43" t="str">
        <f ca="1">IFERROR(__xludf.DUMMYFUNCTION("""COMPUTED_VALUE"""),"73542")</f>
        <v>73542</v>
      </c>
      <c r="B404" s="43" t="str">
        <f ca="1">IFERROR(__xludf.DUMMYFUNCTION("""COMPUTED_VALUE"""),"73542")</f>
        <v>73542</v>
      </c>
      <c r="C404" s="146">
        <f ca="1">IFERROR(__xludf.DUMMYFUNCTION("""COMPUTED_VALUE"""),44643000837)</f>
        <v>44643000837</v>
      </c>
      <c r="D404" s="163" t="str">
        <f ca="1">IFERROR(__xludf.DUMMYFUNCTION("""COMPUTED_VALUE"""),"TSLA")</f>
        <v>TSLA</v>
      </c>
      <c r="E404" s="147">
        <f ca="1">IFERROR(__xludf.DUMMYFUNCTION("""COMPUTED_VALUE"""),44643)</f>
        <v>44643</v>
      </c>
      <c r="F404" s="43" t="str">
        <f ca="1">IFERROR(__xludf.DUMMYFUNCTION("""COMPUTED_VALUE"""),"Stock")</f>
        <v>Stock</v>
      </c>
      <c r="G404" s="43" t="str">
        <f ca="1">IFERROR(__xludf.DUMMYFUNCTION("""COMPUTED_VALUE"""),"USD")</f>
        <v>USD</v>
      </c>
      <c r="H404" s="154">
        <f ca="1">IFERROR(__xludf.DUMMYFUNCTION("""COMPUTED_VALUE"""),12)</f>
        <v>12</v>
      </c>
      <c r="I404" s="148">
        <f ca="1">IFERROR(__xludf.DUMMYFUNCTION("""COMPUTED_VALUE"""),7.823645)</f>
        <v>7.823645</v>
      </c>
      <c r="J404" s="149">
        <f ca="1">IFERROR(__xludf.DUMMYFUNCTION("""COMPUTED_VALUE"""),999.11)</f>
        <v>999.11</v>
      </c>
      <c r="K404" s="43"/>
      <c r="L404" s="149">
        <f ca="1">IFERROR(__xludf.DUMMYFUNCTION("""COMPUTED_VALUE"""),993.98)</f>
        <v>993.98</v>
      </c>
      <c r="M404" s="155" t="str">
        <f ca="1">IFERROR(__xludf.DUMMYFUNCTION("""COMPUTED_VALUE"""),"Equity Key Stats")</f>
        <v>Equity Key Stats</v>
      </c>
      <c r="N404" s="43"/>
      <c r="O404" s="43"/>
      <c r="P404" s="150">
        <f ca="1">IFERROR(__xludf.DUMMYFUNCTION("""COMPUTED_VALUE"""),-93800.1834714)</f>
        <v>-93800.1834714</v>
      </c>
      <c r="Q404" s="151"/>
      <c r="R404" s="152">
        <f ca="1">IFERROR(__xludf.DUMMYFUNCTION("""COMPUTED_VALUE"""),999.11)</f>
        <v>999.11</v>
      </c>
      <c r="S404" s="150">
        <f ca="1">IFERROR(__xludf.DUMMYFUNCTION("""COMPUTED_VALUE"""),93800.1834714)</f>
        <v>93800.1834714</v>
      </c>
      <c r="T404" s="108">
        <f ca="1">IFERROR(__xludf.DUMMYFUNCTION("""COMPUTED_VALUE"""),1)</f>
        <v>1</v>
      </c>
      <c r="U404" s="108">
        <f ca="1">IFERROR(__xludf.DUMMYFUNCTION("""COMPUTED_VALUE"""),1)</f>
        <v>1</v>
      </c>
      <c r="V404" s="153">
        <f ca="1">IFERROR(__xludf.DUMMYFUNCTION("""COMPUTED_VALUE"""),0)</f>
        <v>0</v>
      </c>
      <c r="W404" s="145">
        <f ca="1">IFERROR(__xludf.DUMMYFUNCTION("""COMPUTED_VALUE"""),500000)</f>
        <v>500000</v>
      </c>
      <c r="X404" s="11">
        <f ca="1">IFERROR(__xludf.DUMMYFUNCTION("""COMPUTED_VALUE"""),406199.8165286)</f>
        <v>406199.8165286</v>
      </c>
      <c r="Y404" s="11">
        <f ca="1">IFERROR(__xludf.DUMMYFUNCTION("""COMPUTED_VALUE"""),0)</f>
        <v>0</v>
      </c>
      <c r="Z404" s="4">
        <f ca="1">IFERROR(__xludf.DUMMYFUNCTION("""COMPUTED_VALUE"""),0)</f>
        <v>0</v>
      </c>
    </row>
    <row r="405" spans="1:26" ht="13" x14ac:dyDescent="0.15">
      <c r="A405" s="43" t="str">
        <f ca="1">IFERROR(__xludf.DUMMYFUNCTION("""COMPUTED_VALUE"""),"")</f>
        <v/>
      </c>
      <c r="B405" s="43" t="str">
        <f ca="1">IFERROR(__xludf.DUMMYFUNCTION("""COMPUTED_VALUE"""),"73879")</f>
        <v>73879</v>
      </c>
      <c r="C405" s="146">
        <f ca="1">IFERROR(__xludf.DUMMYFUNCTION("""COMPUTED_VALUE"""),44597000111)</f>
        <v>44597000111</v>
      </c>
      <c r="D405" s="43" t="str">
        <f ca="1">IFERROR(__xludf.DUMMYFUNCTION("""COMPUTED_VALUE"""),"Cash")</f>
        <v>Cash</v>
      </c>
      <c r="E405" s="147">
        <f ca="1">IFERROR(__xludf.DUMMYFUNCTION("""COMPUTED_VALUE"""),44597)</f>
        <v>44597</v>
      </c>
      <c r="F405" s="43" t="str">
        <f ca="1">IFERROR(__xludf.DUMMYFUNCTION("""COMPUTED_VALUE"""),"Cash")</f>
        <v>Cash</v>
      </c>
      <c r="G405" s="43" t="str">
        <f ca="1">IFERROR(__xludf.DUMMYFUNCTION("""COMPUTED_VALUE"""),"HKD")</f>
        <v>HKD</v>
      </c>
      <c r="H405" s="154" t="str">
        <f ca="1">IFERROR(__xludf.DUMMYFUNCTION("""COMPUTED_VALUE"""),"")</f>
        <v/>
      </c>
      <c r="I405" s="148">
        <f ca="1">IFERROR(__xludf.DUMMYFUNCTION("""COMPUTED_VALUE"""),1)</f>
        <v>1</v>
      </c>
      <c r="J405" s="149">
        <f ca="1">IFERROR(__xludf.DUMMYFUNCTION("""COMPUTED_VALUE"""),1)</f>
        <v>1</v>
      </c>
      <c r="K405" s="43"/>
      <c r="L405" s="149">
        <f ca="1">IFERROR(__xludf.DUMMYFUNCTION("""COMPUTED_VALUE"""),1)</f>
        <v>1</v>
      </c>
      <c r="M405" s="155" t="str">
        <f ca="1">IFERROR(__xludf.DUMMYFUNCTION("""COMPUTED_VALUE"""),"")</f>
        <v/>
      </c>
      <c r="N405" s="43"/>
      <c r="O405" s="43"/>
      <c r="P405" s="150">
        <f ca="1">IFERROR(__xludf.DUMMYFUNCTION("""COMPUTED_VALUE"""),500000)</f>
        <v>500000</v>
      </c>
      <c r="Q405" s="151"/>
      <c r="R405" s="152">
        <f ca="1">IFERROR(__xludf.DUMMYFUNCTION("""COMPUTED_VALUE"""),1)</f>
        <v>1</v>
      </c>
      <c r="S405" s="150" t="str">
        <f ca="1">IFERROR(__xludf.DUMMYFUNCTION("""COMPUTED_VALUE"""),"")</f>
        <v/>
      </c>
      <c r="T405" s="108">
        <f ca="1">IFERROR(__xludf.DUMMYFUNCTION("""COMPUTED_VALUE"""),1)</f>
        <v>1</v>
      </c>
      <c r="U405" s="108">
        <f ca="1">IFERROR(__xludf.DUMMYFUNCTION("""COMPUTED_VALUE"""),1)</f>
        <v>1</v>
      </c>
      <c r="V405" s="158">
        <f ca="1">IFERROR(__xludf.DUMMYFUNCTION("""COMPUTED_VALUE"""),500000)</f>
        <v>500000</v>
      </c>
      <c r="W405" s="145" t="str">
        <f ca="1">IFERROR(__xludf.DUMMYFUNCTION("""COMPUTED_VALUE"""),"")</f>
        <v/>
      </c>
      <c r="X405" s="11" t="str">
        <f ca="1">IFERROR(__xludf.DUMMYFUNCTION("""COMPUTED_VALUE"""),"")</f>
        <v/>
      </c>
      <c r="Y405" s="11" t="str">
        <f ca="1">IFERROR(__xludf.DUMMYFUNCTION("""COMPUTED_VALUE"""),"")</f>
        <v/>
      </c>
      <c r="Z405" s="4" t="str">
        <f ca="1">IFERROR(__xludf.DUMMYFUNCTION("""COMPUTED_VALUE"""),"")</f>
        <v/>
      </c>
    </row>
    <row r="406" spans="1:26" ht="13" x14ac:dyDescent="0.15">
      <c r="A406" s="43" t="str">
        <f ca="1">IFERROR(__xludf.DUMMYFUNCTION("""COMPUTED_VALUE"""),"")</f>
        <v/>
      </c>
      <c r="B406" s="43" t="str">
        <f ca="1">IFERROR(__xludf.DUMMYFUNCTION("""COMPUTED_VALUE"""),"73879")</f>
        <v>73879</v>
      </c>
      <c r="C406" s="146">
        <f ca="1">IFERROR(__xludf.DUMMYFUNCTION("""COMPUTED_VALUE"""),44627000447)</f>
        <v>44627000447</v>
      </c>
      <c r="D406" s="161" t="str">
        <f ca="1">IFERROR(__xludf.DUMMYFUNCTION("""COMPUTED_VALUE"""),"0700.HK")</f>
        <v>0700.HK</v>
      </c>
      <c r="E406" s="147">
        <f ca="1">IFERROR(__xludf.DUMMYFUNCTION("""COMPUTED_VALUE"""),44627)</f>
        <v>44627</v>
      </c>
      <c r="F406" s="43" t="str">
        <f ca="1">IFERROR(__xludf.DUMMYFUNCTION("""COMPUTED_VALUE"""),"Stock")</f>
        <v>Stock</v>
      </c>
      <c r="G406" s="43" t="str">
        <f ca="1">IFERROR(__xludf.DUMMYFUNCTION("""COMPUTED_VALUE"""),"HKD")</f>
        <v>HKD</v>
      </c>
      <c r="H406" s="156">
        <f ca="1">IFERROR(__xludf.DUMMYFUNCTION("""COMPUTED_VALUE"""),248)</f>
        <v>248</v>
      </c>
      <c r="I406" s="148">
        <f ca="1">IFERROR(__xludf.DUMMYFUNCTION("""COMPUTED_VALUE"""),1)</f>
        <v>1</v>
      </c>
      <c r="J406" s="149">
        <f ca="1">IFERROR(__xludf.DUMMYFUNCTION("""COMPUTED_VALUE"""),388)</f>
        <v>388</v>
      </c>
      <c r="K406" s="43"/>
      <c r="L406" s="149">
        <f ca="1">IFERROR(__xludf.DUMMYFUNCTION("""COMPUTED_VALUE"""),388)</f>
        <v>388</v>
      </c>
      <c r="M406" s="155" t="str">
        <f ca="1">IFERROR(__xludf.DUMMYFUNCTION("""COMPUTED_VALUE"""),"Equity Key Stats")</f>
        <v>Equity Key Stats</v>
      </c>
      <c r="N406" s="43"/>
      <c r="O406" s="43"/>
      <c r="P406" s="150">
        <f ca="1">IFERROR(__xludf.DUMMYFUNCTION("""COMPUTED_VALUE"""),-96224)</f>
        <v>-96224</v>
      </c>
      <c r="Q406" s="151"/>
      <c r="R406" s="152">
        <f ca="1">IFERROR(__xludf.DUMMYFUNCTION("""COMPUTED_VALUE"""),389)</f>
        <v>389</v>
      </c>
      <c r="S406" s="157">
        <f ca="1">IFERROR(__xludf.DUMMYFUNCTION("""COMPUTED_VALUE"""),96472)</f>
        <v>96472</v>
      </c>
      <c r="T406" s="108">
        <f ca="1">IFERROR(__xludf.DUMMYFUNCTION("""COMPUTED_VALUE"""),1)</f>
        <v>1</v>
      </c>
      <c r="U406" s="43">
        <f ca="1">IFERROR(__xludf.DUMMYFUNCTION("""COMPUTED_VALUE"""),1)</f>
        <v>1</v>
      </c>
      <c r="V406" s="144">
        <f ca="1">IFERROR(__xludf.DUMMYFUNCTION("""COMPUTED_VALUE"""),248)</f>
        <v>248</v>
      </c>
      <c r="W406" s="145" t="str">
        <f ca="1">IFERROR(__xludf.DUMMYFUNCTION("""COMPUTED_VALUE"""),"")</f>
        <v/>
      </c>
      <c r="X406" s="11" t="str">
        <f ca="1">IFERROR(__xludf.DUMMYFUNCTION("""COMPUTED_VALUE"""),"")</f>
        <v/>
      </c>
      <c r="Y406" s="11" t="str">
        <f ca="1">IFERROR(__xludf.DUMMYFUNCTION("""COMPUTED_VALUE"""),"")</f>
        <v/>
      </c>
      <c r="Z406" s="4" t="str">
        <f ca="1">IFERROR(__xludf.DUMMYFUNCTION("""COMPUTED_VALUE"""),"")</f>
        <v/>
      </c>
    </row>
    <row r="407" spans="1:26" ht="13" x14ac:dyDescent="0.15">
      <c r="A407" s="43" t="str">
        <f ca="1">IFERROR(__xludf.DUMMYFUNCTION("""COMPUTED_VALUE"""),"73879")</f>
        <v>73879</v>
      </c>
      <c r="B407" s="43" t="str">
        <f ca="1">IFERROR(__xludf.DUMMYFUNCTION("""COMPUTED_VALUE"""),"73879")</f>
        <v>73879</v>
      </c>
      <c r="C407" s="146">
        <f ca="1">IFERROR(__xludf.DUMMYFUNCTION("""COMPUTED_VALUE"""),44627000458)</f>
        <v>44627000458</v>
      </c>
      <c r="D407" s="161" t="str">
        <f ca="1">IFERROR(__xludf.DUMMYFUNCTION("""COMPUTED_VALUE"""),"3690.HK")</f>
        <v>3690.HK</v>
      </c>
      <c r="E407" s="147">
        <f ca="1">IFERROR(__xludf.DUMMYFUNCTION("""COMPUTED_VALUE"""),44627)</f>
        <v>44627</v>
      </c>
      <c r="F407" s="43" t="str">
        <f ca="1">IFERROR(__xludf.DUMMYFUNCTION("""COMPUTED_VALUE"""),"Stock")</f>
        <v>Stock</v>
      </c>
      <c r="G407" s="43" t="str">
        <f ca="1">IFERROR(__xludf.DUMMYFUNCTION("""COMPUTED_VALUE"""),"HKD")</f>
        <v>HKD</v>
      </c>
      <c r="H407" s="154">
        <f ca="1">IFERROR(__xludf.DUMMYFUNCTION("""COMPUTED_VALUE"""),666)</f>
        <v>666</v>
      </c>
      <c r="I407" s="148">
        <f ca="1">IFERROR(__xludf.DUMMYFUNCTION("""COMPUTED_VALUE"""),1)</f>
        <v>1</v>
      </c>
      <c r="J407" s="149">
        <f ca="1">IFERROR(__xludf.DUMMYFUNCTION("""COMPUTED_VALUE"""),146.2)</f>
        <v>146.19999999999999</v>
      </c>
      <c r="K407" s="43"/>
      <c r="L407" s="149">
        <f ca="1">IFERROR(__xludf.DUMMYFUNCTION("""COMPUTED_VALUE"""),153)</f>
        <v>153</v>
      </c>
      <c r="M407" s="155" t="str">
        <f ca="1">IFERROR(__xludf.DUMMYFUNCTION("""COMPUTED_VALUE"""),"Equity Key Stats")</f>
        <v>Equity Key Stats</v>
      </c>
      <c r="N407" s="43"/>
      <c r="O407" s="43"/>
      <c r="P407" s="157">
        <f ca="1">IFERROR(__xludf.DUMMYFUNCTION("""COMPUTED_VALUE"""),-97369.2)</f>
        <v>-97369.2</v>
      </c>
      <c r="Q407" s="151"/>
      <c r="R407" s="152">
        <f ca="1">IFERROR(__xludf.DUMMYFUNCTION("""COMPUTED_VALUE"""),156.2)</f>
        <v>156.19999999999999</v>
      </c>
      <c r="S407" s="150">
        <f ca="1">IFERROR(__xludf.DUMMYFUNCTION("""COMPUTED_VALUE"""),104029.2)</f>
        <v>104029.2</v>
      </c>
      <c r="T407" s="108">
        <f ca="1">IFERROR(__xludf.DUMMYFUNCTION("""COMPUTED_VALUE"""),1)</f>
        <v>1</v>
      </c>
      <c r="U407" s="108">
        <f ca="1">IFERROR(__xludf.DUMMYFUNCTION("""COMPUTED_VALUE"""),1)</f>
        <v>1</v>
      </c>
      <c r="V407" s="158">
        <f ca="1">IFERROR(__xludf.DUMMYFUNCTION("""COMPUTED_VALUE"""),6660)</f>
        <v>6660</v>
      </c>
      <c r="W407" s="145">
        <f ca="1">IFERROR(__xludf.DUMMYFUNCTION("""COMPUTED_VALUE"""),506908)</f>
        <v>506908</v>
      </c>
      <c r="X407" s="11">
        <f ca="1">IFERROR(__xludf.DUMMYFUNCTION("""COMPUTED_VALUE"""),306406.8)</f>
        <v>306406.8</v>
      </c>
      <c r="Y407" s="11">
        <f ca="1">IFERROR(__xludf.DUMMYFUNCTION("""COMPUTED_VALUE"""),0)</f>
        <v>0</v>
      </c>
      <c r="Z407" s="4">
        <f ca="1">IFERROR(__xludf.DUMMYFUNCTION("""COMPUTED_VALUE"""),0.013816)</f>
        <v>1.3816E-2</v>
      </c>
    </row>
    <row r="408" spans="1:26" ht="13" x14ac:dyDescent="0.15">
      <c r="A408" s="43" t="str">
        <f ca="1">IFERROR(__xludf.DUMMYFUNCTION("""COMPUTED_VALUE"""),"")</f>
        <v/>
      </c>
      <c r="B408" s="43" t="str">
        <f ca="1">IFERROR(__xludf.DUMMYFUNCTION("""COMPUTED_VALUE"""),"74356")</f>
        <v>74356</v>
      </c>
      <c r="C408" s="146">
        <f ca="1">IFERROR(__xludf.DUMMYFUNCTION("""COMPUTED_VALUE"""),44597000066)</f>
        <v>44597000066</v>
      </c>
      <c r="D408" s="43" t="str">
        <f ca="1">IFERROR(__xludf.DUMMYFUNCTION("""COMPUTED_VALUE"""),"Cash")</f>
        <v>Cash</v>
      </c>
      <c r="E408" s="147">
        <f ca="1">IFERROR(__xludf.DUMMYFUNCTION("""COMPUTED_VALUE"""),44597)</f>
        <v>44597</v>
      </c>
      <c r="F408" s="43" t="str">
        <f ca="1">IFERROR(__xludf.DUMMYFUNCTION("""COMPUTED_VALUE"""),"Cash")</f>
        <v>Cash</v>
      </c>
      <c r="G408" s="43" t="str">
        <f ca="1">IFERROR(__xludf.DUMMYFUNCTION("""COMPUTED_VALUE"""),"HKD")</f>
        <v>HKD</v>
      </c>
      <c r="H408" s="154" t="str">
        <f ca="1">IFERROR(__xludf.DUMMYFUNCTION("""COMPUTED_VALUE"""),"")</f>
        <v/>
      </c>
      <c r="I408" s="148">
        <f ca="1">IFERROR(__xludf.DUMMYFUNCTION("""COMPUTED_VALUE"""),1)</f>
        <v>1</v>
      </c>
      <c r="J408" s="149">
        <f ca="1">IFERROR(__xludf.DUMMYFUNCTION("""COMPUTED_VALUE"""),1)</f>
        <v>1</v>
      </c>
      <c r="K408" s="43"/>
      <c r="L408" s="149">
        <f ca="1">IFERROR(__xludf.DUMMYFUNCTION("""COMPUTED_VALUE"""),1)</f>
        <v>1</v>
      </c>
      <c r="M408" s="155" t="str">
        <f ca="1">IFERROR(__xludf.DUMMYFUNCTION("""COMPUTED_VALUE"""),"")</f>
        <v/>
      </c>
      <c r="N408" s="43"/>
      <c r="O408" s="43"/>
      <c r="P408" s="157">
        <f ca="1">IFERROR(__xludf.DUMMYFUNCTION("""COMPUTED_VALUE"""),500000)</f>
        <v>500000</v>
      </c>
      <c r="Q408" s="151"/>
      <c r="R408" s="152">
        <f ca="1">IFERROR(__xludf.DUMMYFUNCTION("""COMPUTED_VALUE"""),1)</f>
        <v>1</v>
      </c>
      <c r="S408" s="150" t="str">
        <f ca="1">IFERROR(__xludf.DUMMYFUNCTION("""COMPUTED_VALUE"""),"")</f>
        <v/>
      </c>
      <c r="T408" s="108">
        <f ca="1">IFERROR(__xludf.DUMMYFUNCTION("""COMPUTED_VALUE"""),1)</f>
        <v>1</v>
      </c>
      <c r="U408" s="43">
        <f ca="1">IFERROR(__xludf.DUMMYFUNCTION("""COMPUTED_VALUE"""),1)</f>
        <v>1</v>
      </c>
      <c r="V408" s="144">
        <f ca="1">IFERROR(__xludf.DUMMYFUNCTION("""COMPUTED_VALUE"""),500000)</f>
        <v>500000</v>
      </c>
      <c r="W408" s="145" t="str">
        <f ca="1">IFERROR(__xludf.DUMMYFUNCTION("""COMPUTED_VALUE"""),"")</f>
        <v/>
      </c>
      <c r="X408" s="11" t="str">
        <f ca="1">IFERROR(__xludf.DUMMYFUNCTION("""COMPUTED_VALUE"""),"")</f>
        <v/>
      </c>
      <c r="Y408" s="11" t="str">
        <f ca="1">IFERROR(__xludf.DUMMYFUNCTION("""COMPUTED_VALUE"""),"")</f>
        <v/>
      </c>
      <c r="Z408" s="4" t="str">
        <f ca="1">IFERROR(__xludf.DUMMYFUNCTION("""COMPUTED_VALUE"""),"")</f>
        <v/>
      </c>
    </row>
    <row r="409" spans="1:26" ht="13" x14ac:dyDescent="0.15">
      <c r="A409" s="43" t="str">
        <f ca="1">IFERROR(__xludf.DUMMYFUNCTION("""COMPUTED_VALUE"""),"")</f>
        <v/>
      </c>
      <c r="B409" s="43" t="str">
        <f ca="1">IFERROR(__xludf.DUMMYFUNCTION("""COMPUTED_VALUE"""),"74356")</f>
        <v>74356</v>
      </c>
      <c r="C409" s="146">
        <f ca="1">IFERROR(__xludf.DUMMYFUNCTION("""COMPUTED_VALUE"""),44603000167)</f>
        <v>44603000167</v>
      </c>
      <c r="D409" s="43" t="str">
        <f ca="1">IFERROR(__xludf.DUMMYFUNCTION("""COMPUTED_VALUE"""),"NET")</f>
        <v>NET</v>
      </c>
      <c r="E409" s="147">
        <f ca="1">IFERROR(__xludf.DUMMYFUNCTION("""COMPUTED_VALUE"""),44603)</f>
        <v>44603</v>
      </c>
      <c r="F409" s="43" t="str">
        <f ca="1">IFERROR(__xludf.DUMMYFUNCTION("""COMPUTED_VALUE"""),"Stock")</f>
        <v>Stock</v>
      </c>
      <c r="G409" s="43" t="str">
        <f ca="1">IFERROR(__xludf.DUMMYFUNCTION("""COMPUTED_VALUE"""),"USD")</f>
        <v>USD</v>
      </c>
      <c r="H409" s="154">
        <f ca="1">IFERROR(__xludf.DUMMYFUNCTION("""COMPUTED_VALUE"""),10)</f>
        <v>10</v>
      </c>
      <c r="I409" s="148">
        <f ca="1">IFERROR(__xludf.DUMMYFUNCTION("""COMPUTED_VALUE"""),7.800485)</f>
        <v>7.8004850000000001</v>
      </c>
      <c r="J409" s="149">
        <f ca="1">IFERROR(__xludf.DUMMYFUNCTION("""COMPUTED_VALUE"""),104.92)</f>
        <v>104.92</v>
      </c>
      <c r="K409" s="43"/>
      <c r="L409" s="149">
        <f ca="1">IFERROR(__xludf.DUMMYFUNCTION("""COMPUTED_VALUE"""),114.86)</f>
        <v>114.86</v>
      </c>
      <c r="M409" s="155" t="str">
        <f ca="1">IFERROR(__xludf.DUMMYFUNCTION("""COMPUTED_VALUE"""),"Equity Key Stats")</f>
        <v>Equity Key Stats</v>
      </c>
      <c r="N409" s="43"/>
      <c r="O409" s="43"/>
      <c r="P409" s="157">
        <f ca="1">IFERROR(__xludf.DUMMYFUNCTION("""COMPUTED_VALUE"""),-8184.268862)</f>
        <v>-8184.2688619999999</v>
      </c>
      <c r="Q409" s="151"/>
      <c r="R409" s="152">
        <f ca="1">IFERROR(__xludf.DUMMYFUNCTION("""COMPUTED_VALUE"""),117.59)</f>
        <v>117.59</v>
      </c>
      <c r="S409" s="150">
        <f ca="1">IFERROR(__xludf.DUMMYFUNCTION("""COMPUTED_VALUE"""),9172.5903115)</f>
        <v>9172.5903115000001</v>
      </c>
      <c r="T409" s="108">
        <f ca="1">IFERROR(__xludf.DUMMYFUNCTION("""COMPUTED_VALUE"""),4)</f>
        <v>4</v>
      </c>
      <c r="U409" s="108" t="str">
        <f ca="1">IFERROR(__xludf.DUMMYFUNCTION("""COMPUTED_VALUE"""),"")</f>
        <v/>
      </c>
      <c r="V409" s="158" t="str">
        <f ca="1">IFERROR(__xludf.DUMMYFUNCTION("""COMPUTED_VALUE"""),"")</f>
        <v/>
      </c>
      <c r="W409" s="145" t="str">
        <f ca="1">IFERROR(__xludf.DUMMYFUNCTION("""COMPUTED_VALUE"""),"")</f>
        <v/>
      </c>
      <c r="X409" s="11" t="str">
        <f ca="1">IFERROR(__xludf.DUMMYFUNCTION("""COMPUTED_VALUE"""),"")</f>
        <v/>
      </c>
      <c r="Y409" s="11" t="str">
        <f ca="1">IFERROR(__xludf.DUMMYFUNCTION("""COMPUTED_VALUE"""),"")</f>
        <v/>
      </c>
      <c r="Z409" s="4" t="str">
        <f ca="1">IFERROR(__xludf.DUMMYFUNCTION("""COMPUTED_VALUE"""),"")</f>
        <v/>
      </c>
    </row>
    <row r="410" spans="1:26" ht="13" x14ac:dyDescent="0.15">
      <c r="A410" s="43" t="str">
        <f ca="1">IFERROR(__xludf.DUMMYFUNCTION("""COMPUTED_VALUE"""),"")</f>
        <v/>
      </c>
      <c r="B410" s="43" t="str">
        <f ca="1">IFERROR(__xludf.DUMMYFUNCTION("""COMPUTED_VALUE"""),"74356")</f>
        <v>74356</v>
      </c>
      <c r="C410" s="146">
        <f ca="1">IFERROR(__xludf.DUMMYFUNCTION("""COMPUTED_VALUE"""),44603000169)</f>
        <v>44603000169</v>
      </c>
      <c r="D410" s="161" t="str">
        <f ca="1">IFERROR(__xludf.DUMMYFUNCTION("""COMPUTED_VALUE"""),"1398.HK")</f>
        <v>1398.HK</v>
      </c>
      <c r="E410" s="147">
        <f ca="1">IFERROR(__xludf.DUMMYFUNCTION("""COMPUTED_VALUE"""),44603)</f>
        <v>44603</v>
      </c>
      <c r="F410" s="43" t="str">
        <f ca="1">IFERROR(__xludf.DUMMYFUNCTION("""COMPUTED_VALUE"""),"Stock")</f>
        <v>Stock</v>
      </c>
      <c r="G410" s="43" t="str">
        <f ca="1">IFERROR(__xludf.DUMMYFUNCTION("""COMPUTED_VALUE"""),"HKD")</f>
        <v>HKD</v>
      </c>
      <c r="H410" s="156">
        <f ca="1">IFERROR(__xludf.DUMMYFUNCTION("""COMPUTED_VALUE"""),500)</f>
        <v>500</v>
      </c>
      <c r="I410" s="148">
        <f ca="1">IFERROR(__xludf.DUMMYFUNCTION("""COMPUTED_VALUE"""),1)</f>
        <v>1</v>
      </c>
      <c r="J410" s="149">
        <f ca="1">IFERROR(__xludf.DUMMYFUNCTION("""COMPUTED_VALUE"""),4.93)</f>
        <v>4.93</v>
      </c>
      <c r="K410" s="43"/>
      <c r="L410" s="149">
        <f ca="1">IFERROR(__xludf.DUMMYFUNCTION("""COMPUTED_VALUE"""),4.63)</f>
        <v>4.63</v>
      </c>
      <c r="M410" s="155" t="str">
        <f ca="1">IFERROR(__xludf.DUMMYFUNCTION("""COMPUTED_VALUE"""),"Equity Key Stats")</f>
        <v>Equity Key Stats</v>
      </c>
      <c r="N410" s="43"/>
      <c r="O410" s="43"/>
      <c r="P410" s="150">
        <f ca="1">IFERROR(__xludf.DUMMYFUNCTION("""COMPUTED_VALUE"""),-2465)</f>
        <v>-2465</v>
      </c>
      <c r="Q410" s="151"/>
      <c r="R410" s="152">
        <f ca="1">IFERROR(__xludf.DUMMYFUNCTION("""COMPUTED_VALUE"""),4.63)</f>
        <v>4.63</v>
      </c>
      <c r="S410" s="157">
        <f ca="1">IFERROR(__xludf.DUMMYFUNCTION("""COMPUTED_VALUE"""),2315)</f>
        <v>2315</v>
      </c>
      <c r="T410" s="108">
        <f ca="1">IFERROR(__xludf.DUMMYFUNCTION("""COMPUTED_VALUE"""),3)</f>
        <v>3</v>
      </c>
      <c r="U410" s="108" t="str">
        <f ca="1">IFERROR(__xludf.DUMMYFUNCTION("""COMPUTED_VALUE"""),"")</f>
        <v/>
      </c>
      <c r="V410" s="158" t="str">
        <f ca="1">IFERROR(__xludf.DUMMYFUNCTION("""COMPUTED_VALUE"""),"")</f>
        <v/>
      </c>
      <c r="W410" s="145" t="str">
        <f ca="1">IFERROR(__xludf.DUMMYFUNCTION("""COMPUTED_VALUE"""),"")</f>
        <v/>
      </c>
      <c r="X410" s="11" t="str">
        <f ca="1">IFERROR(__xludf.DUMMYFUNCTION("""COMPUTED_VALUE"""),"")</f>
        <v/>
      </c>
      <c r="Y410" s="11" t="str">
        <f ca="1">IFERROR(__xludf.DUMMYFUNCTION("""COMPUTED_VALUE"""),"")</f>
        <v/>
      </c>
      <c r="Z410" s="4" t="str">
        <f ca="1">IFERROR(__xludf.DUMMYFUNCTION("""COMPUTED_VALUE"""),"")</f>
        <v/>
      </c>
    </row>
    <row r="411" spans="1:26" ht="13" x14ac:dyDescent="0.15">
      <c r="A411" s="43" t="str">
        <f ca="1">IFERROR(__xludf.DUMMYFUNCTION("""COMPUTED_VALUE"""),"")</f>
        <v/>
      </c>
      <c r="B411" s="43" t="str">
        <f ca="1">IFERROR(__xludf.DUMMYFUNCTION("""COMPUTED_VALUE"""),"74356")</f>
        <v>74356</v>
      </c>
      <c r="C411" s="146">
        <f ca="1">IFERROR(__xludf.DUMMYFUNCTION("""COMPUTED_VALUE"""),44609000231)</f>
        <v>44609000231</v>
      </c>
      <c r="D411" s="43" t="str">
        <f ca="1">IFERROR(__xludf.DUMMYFUNCTION("""COMPUTED_VALUE"""),"AMAT")</f>
        <v>AMAT</v>
      </c>
      <c r="E411" s="147">
        <f ca="1">IFERROR(__xludf.DUMMYFUNCTION("""COMPUTED_VALUE"""),44609)</f>
        <v>44609</v>
      </c>
      <c r="F411" s="43" t="str">
        <f ca="1">IFERROR(__xludf.DUMMYFUNCTION("""COMPUTED_VALUE"""),"Stock")</f>
        <v>Stock</v>
      </c>
      <c r="G411" s="43" t="str">
        <f ca="1">IFERROR(__xludf.DUMMYFUNCTION("""COMPUTED_VALUE"""),"USD")</f>
        <v>USD</v>
      </c>
      <c r="H411" s="154">
        <f ca="1">IFERROR(__xludf.DUMMYFUNCTION("""COMPUTED_VALUE"""),50)</f>
        <v>50</v>
      </c>
      <c r="I411" s="148">
        <f ca="1">IFERROR(__xludf.DUMMYFUNCTION("""COMPUTED_VALUE"""),7.799115)</f>
        <v>7.7991149999999996</v>
      </c>
      <c r="J411" s="149">
        <f ca="1">IFERROR(__xludf.DUMMYFUNCTION("""COMPUTED_VALUE"""),136.47)</f>
        <v>136.47</v>
      </c>
      <c r="K411" s="43"/>
      <c r="L411" s="149">
        <f ca="1">IFERROR(__xludf.DUMMYFUNCTION("""COMPUTED_VALUE"""),135.48)</f>
        <v>135.47999999999999</v>
      </c>
      <c r="M411" s="155" t="str">
        <f ca="1">IFERROR(__xludf.DUMMYFUNCTION("""COMPUTED_VALUE"""),"Equity Key Stats")</f>
        <v>Equity Key Stats</v>
      </c>
      <c r="N411" s="43"/>
      <c r="O411" s="43"/>
      <c r="P411" s="150">
        <f ca="1">IFERROR(__xludf.DUMMYFUNCTION("""COMPUTED_VALUE"""),-53217.2612025)</f>
        <v>-53217.261202499998</v>
      </c>
      <c r="Q411" s="151"/>
      <c r="R411" s="152">
        <f ca="1">IFERROR(__xludf.DUMMYFUNCTION("""COMPUTED_VALUE"""),131.42)</f>
        <v>131.41999999999999</v>
      </c>
      <c r="S411" s="150">
        <f ca="1">IFERROR(__xludf.DUMMYFUNCTION("""COMPUTED_VALUE"""),51247.9846649999)</f>
        <v>51247.984664999902</v>
      </c>
      <c r="T411" s="108">
        <f ca="1">IFERROR(__xludf.DUMMYFUNCTION("""COMPUTED_VALUE"""),3)</f>
        <v>3</v>
      </c>
      <c r="U411" s="43" t="str">
        <f ca="1">IFERROR(__xludf.DUMMYFUNCTION("""COMPUTED_VALUE"""),"")</f>
        <v/>
      </c>
      <c r="V411" s="144" t="str">
        <f ca="1">IFERROR(__xludf.DUMMYFUNCTION("""COMPUTED_VALUE"""),"")</f>
        <v/>
      </c>
      <c r="W411" s="145" t="str">
        <f ca="1">IFERROR(__xludf.DUMMYFUNCTION("""COMPUTED_VALUE"""),"")</f>
        <v/>
      </c>
      <c r="X411" s="11" t="str">
        <f ca="1">IFERROR(__xludf.DUMMYFUNCTION("""COMPUTED_VALUE"""),"")</f>
        <v/>
      </c>
      <c r="Y411" s="11" t="str">
        <f ca="1">IFERROR(__xludf.DUMMYFUNCTION("""COMPUTED_VALUE"""),"")</f>
        <v/>
      </c>
      <c r="Z411" s="4" t="str">
        <f ca="1">IFERROR(__xludf.DUMMYFUNCTION("""COMPUTED_VALUE"""),"")</f>
        <v/>
      </c>
    </row>
    <row r="412" spans="1:26" ht="13" x14ac:dyDescent="0.15">
      <c r="A412" s="43" t="str">
        <f ca="1">IFERROR(__xludf.DUMMYFUNCTION("""COMPUTED_VALUE"""),"")</f>
        <v/>
      </c>
      <c r="B412" s="43" t="str">
        <f ca="1">IFERROR(__xludf.DUMMYFUNCTION("""COMPUTED_VALUE"""),"74356")</f>
        <v>74356</v>
      </c>
      <c r="C412" s="146">
        <f ca="1">IFERROR(__xludf.DUMMYFUNCTION("""COMPUTED_VALUE"""),44616000329)</f>
        <v>44616000329</v>
      </c>
      <c r="D412" s="163" t="str">
        <f ca="1">IFERROR(__xludf.DUMMYFUNCTION("""COMPUTED_VALUE"""),"CL=F")</f>
        <v>CL=F</v>
      </c>
      <c r="E412" s="147">
        <f ca="1">IFERROR(__xludf.DUMMYFUNCTION("""COMPUTED_VALUE"""),44616)</f>
        <v>44616</v>
      </c>
      <c r="F412" s="43" t="str">
        <f ca="1">IFERROR(__xludf.DUMMYFUNCTION("""COMPUTED_VALUE"""),"Stock")</f>
        <v>Stock</v>
      </c>
      <c r="G412" s="43" t="str">
        <f ca="1">IFERROR(__xludf.DUMMYFUNCTION("""COMPUTED_VALUE"""),"USD")</f>
        <v>USD</v>
      </c>
      <c r="H412" s="154">
        <f ca="1">IFERROR(__xludf.DUMMYFUNCTION("""COMPUTED_VALUE"""),100)</f>
        <v>100</v>
      </c>
      <c r="I412" s="148">
        <f ca="1">IFERROR(__xludf.DUMMYFUNCTION("""COMPUTED_VALUE"""),7.80775)</f>
        <v>7.8077500000000004</v>
      </c>
      <c r="J412" s="149">
        <f ca="1">IFERROR(__xludf.DUMMYFUNCTION("""COMPUTED_VALUE"""),92.81)</f>
        <v>92.81</v>
      </c>
      <c r="K412" s="43"/>
      <c r="L412" s="149">
        <f ca="1">IFERROR(__xludf.DUMMYFUNCTION("""COMPUTED_VALUE"""),111.3)</f>
        <v>111.3</v>
      </c>
      <c r="M412" s="155" t="str">
        <f ca="1">IFERROR(__xludf.DUMMYFUNCTION("""COMPUTED_VALUE"""),"Equity Key Stats")</f>
        <v>Equity Key Stats</v>
      </c>
      <c r="N412" s="43"/>
      <c r="O412" s="43"/>
      <c r="P412" s="150">
        <f ca="1">IFERROR(__xludf.DUMMYFUNCTION("""COMPUTED_VALUE"""),-72463.72775)</f>
        <v>-72463.727750000005</v>
      </c>
      <c r="Q412" s="151"/>
      <c r="R412" s="152">
        <f ca="1">IFERROR(__xludf.DUMMYFUNCTION("""COMPUTED_VALUE"""),115.83)</f>
        <v>115.83</v>
      </c>
      <c r="S412" s="150">
        <f ca="1">IFERROR(__xludf.DUMMYFUNCTION("""COMPUTED_VALUE"""),90437.16825)</f>
        <v>90437.168250000002</v>
      </c>
      <c r="T412" s="108">
        <f ca="1">IFERROR(__xludf.DUMMYFUNCTION("""COMPUTED_VALUE"""),3)</f>
        <v>3</v>
      </c>
      <c r="U412" s="108" t="str">
        <f ca="1">IFERROR(__xludf.DUMMYFUNCTION("""COMPUTED_VALUE"""),"")</f>
        <v/>
      </c>
      <c r="V412" s="158" t="str">
        <f ca="1">IFERROR(__xludf.DUMMYFUNCTION("""COMPUTED_VALUE"""),"")</f>
        <v/>
      </c>
      <c r="W412" s="145" t="str">
        <f ca="1">IFERROR(__xludf.DUMMYFUNCTION("""COMPUTED_VALUE"""),"")</f>
        <v/>
      </c>
      <c r="X412" s="11" t="str">
        <f ca="1">IFERROR(__xludf.DUMMYFUNCTION("""COMPUTED_VALUE"""),"")</f>
        <v/>
      </c>
      <c r="Y412" s="11" t="str">
        <f ca="1">IFERROR(__xludf.DUMMYFUNCTION("""COMPUTED_VALUE"""),"")</f>
        <v/>
      </c>
      <c r="Z412" s="4" t="str">
        <f ca="1">IFERROR(__xludf.DUMMYFUNCTION("""COMPUTED_VALUE"""),"")</f>
        <v/>
      </c>
    </row>
    <row r="413" spans="1:26" ht="13" x14ac:dyDescent="0.15">
      <c r="A413" s="43" t="str">
        <f ca="1">IFERROR(__xludf.DUMMYFUNCTION("""COMPUTED_VALUE"""),"")</f>
        <v/>
      </c>
      <c r="B413" s="43" t="str">
        <f ca="1">IFERROR(__xludf.DUMMYFUNCTION("""COMPUTED_VALUE"""),"74356")</f>
        <v>74356</v>
      </c>
      <c r="C413" s="146">
        <f ca="1">IFERROR(__xludf.DUMMYFUNCTION("""COMPUTED_VALUE"""),44616000331)</f>
        <v>44616000331</v>
      </c>
      <c r="D413" s="43" t="str">
        <f ca="1">IFERROR(__xludf.DUMMYFUNCTION("""COMPUTED_VALUE"""),"NET")</f>
        <v>NET</v>
      </c>
      <c r="E413" s="147">
        <f ca="1">IFERROR(__xludf.DUMMYFUNCTION("""COMPUTED_VALUE"""),44616)</f>
        <v>44616</v>
      </c>
      <c r="F413" s="43" t="str">
        <f ca="1">IFERROR(__xludf.DUMMYFUNCTION("""COMPUTED_VALUE"""),"Stock")</f>
        <v>Stock</v>
      </c>
      <c r="G413" s="43" t="str">
        <f ca="1">IFERROR(__xludf.DUMMYFUNCTION("""COMPUTED_VALUE"""),"USD")</f>
        <v>USD</v>
      </c>
      <c r="H413" s="154">
        <f ca="1">IFERROR(__xludf.DUMMYFUNCTION("""COMPUTED_VALUE"""),-10)</f>
        <v>-10</v>
      </c>
      <c r="I413" s="148">
        <f ca="1">IFERROR(__xludf.DUMMYFUNCTION("""COMPUTED_VALUE"""),7.80775)</f>
        <v>7.8077500000000004</v>
      </c>
      <c r="J413" s="149">
        <f ca="1">IFERROR(__xludf.DUMMYFUNCTION("""COMPUTED_VALUE"""),108.38)</f>
        <v>108.38</v>
      </c>
      <c r="K413" s="43"/>
      <c r="L413" s="149">
        <f ca="1">IFERROR(__xludf.DUMMYFUNCTION("""COMPUTED_VALUE"""),114.86)</f>
        <v>114.86</v>
      </c>
      <c r="M413" s="155" t="str">
        <f ca="1">IFERROR(__xludf.DUMMYFUNCTION("""COMPUTED_VALUE"""),"Equity Key Stats")</f>
        <v>Equity Key Stats</v>
      </c>
      <c r="N413" s="43"/>
      <c r="O413" s="43"/>
      <c r="P413" s="150">
        <f ca="1">IFERROR(__xludf.DUMMYFUNCTION("""COMPUTED_VALUE"""),8462.03945)</f>
        <v>8462.0394500000002</v>
      </c>
      <c r="Q413" s="151"/>
      <c r="R413" s="152">
        <f ca="1">IFERROR(__xludf.DUMMYFUNCTION("""COMPUTED_VALUE"""),117.59)</f>
        <v>117.59</v>
      </c>
      <c r="S413" s="150">
        <f ca="1">IFERROR(__xludf.DUMMYFUNCTION("""COMPUTED_VALUE"""),-9181.133225)</f>
        <v>-9181.1332249999996</v>
      </c>
      <c r="T413" s="108">
        <f ca="1">IFERROR(__xludf.DUMMYFUNCTION("""COMPUTED_VALUE"""),4)</f>
        <v>4</v>
      </c>
      <c r="U413" s="108" t="str">
        <f ca="1">IFERROR(__xludf.DUMMYFUNCTION("""COMPUTED_VALUE"""),"")</f>
        <v/>
      </c>
      <c r="V413" s="153" t="str">
        <f ca="1">IFERROR(__xludf.DUMMYFUNCTION("""COMPUTED_VALUE"""),"")</f>
        <v/>
      </c>
      <c r="W413" s="44" t="str">
        <f ca="1">IFERROR(__xludf.DUMMYFUNCTION("""COMPUTED_VALUE"""),"")</f>
        <v/>
      </c>
      <c r="X413" s="154" t="str">
        <f ca="1">IFERROR(__xludf.DUMMYFUNCTION("""COMPUTED_VALUE"""),"")</f>
        <v/>
      </c>
      <c r="Y413" s="154" t="str">
        <f ca="1">IFERROR(__xludf.DUMMYFUNCTION("""COMPUTED_VALUE"""),"")</f>
        <v/>
      </c>
      <c r="Z413" s="162" t="str">
        <f ca="1">IFERROR(__xludf.DUMMYFUNCTION("""COMPUTED_VALUE"""),"")</f>
        <v/>
      </c>
    </row>
    <row r="414" spans="1:26" ht="13" x14ac:dyDescent="0.15">
      <c r="A414" s="43" t="str">
        <f ca="1">IFERROR(__xludf.DUMMYFUNCTION("""COMPUTED_VALUE"""),"")</f>
        <v/>
      </c>
      <c r="B414" s="43" t="str">
        <f ca="1">IFERROR(__xludf.DUMMYFUNCTION("""COMPUTED_VALUE"""),"74356")</f>
        <v>74356</v>
      </c>
      <c r="C414" s="146">
        <f ca="1">IFERROR(__xludf.DUMMYFUNCTION("""COMPUTED_VALUE"""),44617000328)</f>
        <v>44617000328</v>
      </c>
      <c r="D414" s="161" t="str">
        <f ca="1">IFERROR(__xludf.DUMMYFUNCTION("""COMPUTED_VALUE"""),"1398.HK")</f>
        <v>1398.HK</v>
      </c>
      <c r="E414" s="147">
        <f ca="1">IFERROR(__xludf.DUMMYFUNCTION("""COMPUTED_VALUE"""),44617)</f>
        <v>44617</v>
      </c>
      <c r="F414" s="43" t="str">
        <f ca="1">IFERROR(__xludf.DUMMYFUNCTION("""COMPUTED_VALUE"""),"Stock")</f>
        <v>Stock</v>
      </c>
      <c r="G414" s="43" t="str">
        <f ca="1">IFERROR(__xludf.DUMMYFUNCTION("""COMPUTED_VALUE"""),"HKD")</f>
        <v>HKD</v>
      </c>
      <c r="H414" s="11">
        <f ca="1">IFERROR(__xludf.DUMMYFUNCTION("""COMPUTED_VALUE"""),1000)</f>
        <v>1000</v>
      </c>
      <c r="I414" s="148">
        <f ca="1">IFERROR(__xludf.DUMMYFUNCTION("""COMPUTED_VALUE"""),1)</f>
        <v>1</v>
      </c>
      <c r="J414" s="149">
        <f ca="1">IFERROR(__xludf.DUMMYFUNCTION("""COMPUTED_VALUE"""),4.58)</f>
        <v>4.58</v>
      </c>
      <c r="K414" s="43"/>
      <c r="L414" s="149">
        <f ca="1">IFERROR(__xludf.DUMMYFUNCTION("""COMPUTED_VALUE"""),4.63)</f>
        <v>4.63</v>
      </c>
      <c r="M414" s="160" t="str">
        <f ca="1">IFERROR(__xludf.DUMMYFUNCTION("""COMPUTED_VALUE"""),"Equity Key Stats")</f>
        <v>Equity Key Stats</v>
      </c>
      <c r="N414" s="43"/>
      <c r="O414" s="43"/>
      <c r="P414" s="150">
        <f ca="1">IFERROR(__xludf.DUMMYFUNCTION("""COMPUTED_VALUE"""),-4580)</f>
        <v>-4580</v>
      </c>
      <c r="Q414" s="151"/>
      <c r="R414" s="152">
        <f ca="1">IFERROR(__xludf.DUMMYFUNCTION("""COMPUTED_VALUE"""),4.63)</f>
        <v>4.63</v>
      </c>
      <c r="S414" s="127">
        <f ca="1">IFERROR(__xludf.DUMMYFUNCTION("""COMPUTED_VALUE"""),4630)</f>
        <v>4630</v>
      </c>
      <c r="T414" s="108">
        <f ca="1">IFERROR(__xludf.DUMMYFUNCTION("""COMPUTED_VALUE"""),3)</f>
        <v>3</v>
      </c>
      <c r="U414" s="108" t="str">
        <f ca="1">IFERROR(__xludf.DUMMYFUNCTION("""COMPUTED_VALUE"""),"")</f>
        <v/>
      </c>
      <c r="V414" s="153" t="str">
        <f ca="1">IFERROR(__xludf.DUMMYFUNCTION("""COMPUTED_VALUE"""),"")</f>
        <v/>
      </c>
      <c r="W414" s="44" t="str">
        <f ca="1">IFERROR(__xludf.DUMMYFUNCTION("""COMPUTED_VALUE"""),"")</f>
        <v/>
      </c>
      <c r="X414" s="154" t="str">
        <f ca="1">IFERROR(__xludf.DUMMYFUNCTION("""COMPUTED_VALUE"""),"")</f>
        <v/>
      </c>
      <c r="Y414" s="154" t="str">
        <f ca="1">IFERROR(__xludf.DUMMYFUNCTION("""COMPUTED_VALUE"""),"")</f>
        <v/>
      </c>
      <c r="Z414" s="159" t="str">
        <f ca="1">IFERROR(__xludf.DUMMYFUNCTION("""COMPUTED_VALUE"""),"")</f>
        <v/>
      </c>
    </row>
    <row r="415" spans="1:26" ht="13" x14ac:dyDescent="0.15">
      <c r="A415" s="43" t="str">
        <f ca="1">IFERROR(__xludf.DUMMYFUNCTION("""COMPUTED_VALUE"""),"")</f>
        <v/>
      </c>
      <c r="B415" s="43" t="str">
        <f ca="1">IFERROR(__xludf.DUMMYFUNCTION("""COMPUTED_VALUE"""),"74356")</f>
        <v>74356</v>
      </c>
      <c r="C415" s="146">
        <f ca="1">IFERROR(__xludf.DUMMYFUNCTION("""COMPUTED_VALUE"""),44617000333)</f>
        <v>44617000333</v>
      </c>
      <c r="D415" s="161" t="str">
        <f ca="1">IFERROR(__xludf.DUMMYFUNCTION("""COMPUTED_VALUE"""),"300157.SZ")</f>
        <v>300157.SZ</v>
      </c>
      <c r="E415" s="147">
        <f ca="1">IFERROR(__xludf.DUMMYFUNCTION("""COMPUTED_VALUE"""),44617)</f>
        <v>44617</v>
      </c>
      <c r="F415" s="43" t="str">
        <f ca="1">IFERROR(__xludf.DUMMYFUNCTION("""COMPUTED_VALUE"""),"Stock")</f>
        <v>Stock</v>
      </c>
      <c r="G415" s="43" t="str">
        <f ca="1">IFERROR(__xludf.DUMMYFUNCTION("""COMPUTED_VALUE"""),"CNY")</f>
        <v>CNY</v>
      </c>
      <c r="H415" s="11">
        <f ca="1">IFERROR(__xludf.DUMMYFUNCTION("""COMPUTED_VALUE"""),0)</f>
        <v>0</v>
      </c>
      <c r="I415" s="148">
        <f ca="1">IFERROR(__xludf.DUMMYFUNCTION("""COMPUTED_VALUE"""),1.235635)</f>
        <v>1.235635</v>
      </c>
      <c r="J415" s="149">
        <f ca="1">IFERROR(__xludf.DUMMYFUNCTION("""COMPUTED_VALUE"""),0)</f>
        <v>0</v>
      </c>
      <c r="K415" s="43"/>
      <c r="L415" s="149">
        <f ca="1">IFERROR(__xludf.DUMMYFUNCTION("""COMPUTED_VALUE"""),5.27)</f>
        <v>5.27</v>
      </c>
      <c r="M415" s="160" t="str">
        <f ca="1">IFERROR(__xludf.DUMMYFUNCTION("""COMPUTED_VALUE"""),"Equity Key Stats")</f>
        <v>Equity Key Stats</v>
      </c>
      <c r="N415" s="43"/>
      <c r="O415" s="43"/>
      <c r="P415" s="150">
        <f ca="1">IFERROR(__xludf.DUMMYFUNCTION("""COMPUTED_VALUE"""),0)</f>
        <v>0</v>
      </c>
      <c r="Q415" s="151"/>
      <c r="R415" s="152">
        <f ca="1">IFERROR(__xludf.DUMMYFUNCTION("""COMPUTED_VALUE"""),5.15)</f>
        <v>5.15</v>
      </c>
      <c r="S415" s="127">
        <f ca="1">IFERROR(__xludf.DUMMYFUNCTION("""COMPUTED_VALUE"""),0)</f>
        <v>0</v>
      </c>
      <c r="T415" s="108">
        <f ca="1">IFERROR(__xludf.DUMMYFUNCTION("""COMPUTED_VALUE"""),1)</f>
        <v>1</v>
      </c>
      <c r="U415" s="108">
        <f ca="1">IFERROR(__xludf.DUMMYFUNCTION("""COMPUTED_VALUE"""),1)</f>
        <v>1</v>
      </c>
      <c r="V415" s="153">
        <f ca="1">IFERROR(__xludf.DUMMYFUNCTION("""COMPUTED_VALUE"""),0)</f>
        <v>0</v>
      </c>
      <c r="W415" s="44" t="str">
        <f ca="1">IFERROR(__xludf.DUMMYFUNCTION("""COMPUTED_VALUE"""),"")</f>
        <v/>
      </c>
      <c r="X415" s="154" t="str">
        <f ca="1">IFERROR(__xludf.DUMMYFUNCTION("""COMPUTED_VALUE"""),"")</f>
        <v/>
      </c>
      <c r="Y415" s="154" t="str">
        <f ca="1">IFERROR(__xludf.DUMMYFUNCTION("""COMPUTED_VALUE"""),"")</f>
        <v/>
      </c>
      <c r="Z415" s="159" t="str">
        <f ca="1">IFERROR(__xludf.DUMMYFUNCTION("""COMPUTED_VALUE"""),"")</f>
        <v/>
      </c>
    </row>
    <row r="416" spans="1:26" ht="13" x14ac:dyDescent="0.15">
      <c r="A416" s="43" t="str">
        <f ca="1">IFERROR(__xludf.DUMMYFUNCTION("""COMPUTED_VALUE"""),"")</f>
        <v/>
      </c>
      <c r="B416" s="43" t="str">
        <f ca="1">IFERROR(__xludf.DUMMYFUNCTION("""COMPUTED_VALUE"""),"74356")</f>
        <v>74356</v>
      </c>
      <c r="C416" s="146">
        <f ca="1">IFERROR(__xludf.DUMMYFUNCTION("""COMPUTED_VALUE"""),44624000433)</f>
        <v>44624000433</v>
      </c>
      <c r="D416" s="43" t="str">
        <f ca="1">IFERROR(__xludf.DUMMYFUNCTION("""COMPUTED_VALUE"""),"NET")</f>
        <v>NET</v>
      </c>
      <c r="E416" s="147">
        <f ca="1">IFERROR(__xludf.DUMMYFUNCTION("""COMPUTED_VALUE"""),44624)</f>
        <v>44624</v>
      </c>
      <c r="F416" s="43" t="str">
        <f ca="1">IFERROR(__xludf.DUMMYFUNCTION("""COMPUTED_VALUE"""),"Stock")</f>
        <v>Stock</v>
      </c>
      <c r="G416" s="43" t="str">
        <f ca="1">IFERROR(__xludf.DUMMYFUNCTION("""COMPUTED_VALUE"""),"USD")</f>
        <v>USD</v>
      </c>
      <c r="H416" s="11">
        <f ca="1">IFERROR(__xludf.DUMMYFUNCTION("""COMPUTED_VALUE"""),10)</f>
        <v>10</v>
      </c>
      <c r="I416" s="148">
        <f ca="1">IFERROR(__xludf.DUMMYFUNCTION("""COMPUTED_VALUE"""),7.81428)</f>
        <v>7.8142800000000001</v>
      </c>
      <c r="J416" s="149">
        <f ca="1">IFERROR(__xludf.DUMMYFUNCTION("""COMPUTED_VALUE"""),100.91)</f>
        <v>100.91</v>
      </c>
      <c r="K416" s="43"/>
      <c r="L416" s="149">
        <f ca="1">IFERROR(__xludf.DUMMYFUNCTION("""COMPUTED_VALUE"""),114.86)</f>
        <v>114.86</v>
      </c>
      <c r="M416" s="160" t="str">
        <f ca="1">IFERROR(__xludf.DUMMYFUNCTION("""COMPUTED_VALUE"""),"Equity Key Stats")</f>
        <v>Equity Key Stats</v>
      </c>
      <c r="N416" s="43"/>
      <c r="O416" s="43"/>
      <c r="P416" s="150">
        <f ca="1">IFERROR(__xludf.DUMMYFUNCTION("""COMPUTED_VALUE"""),-7885.38994799999)</f>
        <v>-7885.38994799999</v>
      </c>
      <c r="Q416" s="151"/>
      <c r="R416" s="152">
        <f ca="1">IFERROR(__xludf.DUMMYFUNCTION("""COMPUTED_VALUE"""),117.59)</f>
        <v>117.59</v>
      </c>
      <c r="S416" s="127">
        <f ca="1">IFERROR(__xludf.DUMMYFUNCTION("""COMPUTED_VALUE"""),9188.81185199999)</f>
        <v>9188.8118519999898</v>
      </c>
      <c r="T416" s="108">
        <f ca="1">IFERROR(__xludf.DUMMYFUNCTION("""COMPUTED_VALUE"""),4)</f>
        <v>4</v>
      </c>
      <c r="U416" s="108" t="str">
        <f ca="1">IFERROR(__xludf.DUMMYFUNCTION("""COMPUTED_VALUE"""),"")</f>
        <v/>
      </c>
      <c r="V416" s="153" t="str">
        <f ca="1">IFERROR(__xludf.DUMMYFUNCTION("""COMPUTED_VALUE"""),"")</f>
        <v/>
      </c>
      <c r="W416" s="145" t="str">
        <f ca="1">IFERROR(__xludf.DUMMYFUNCTION("""COMPUTED_VALUE"""),"")</f>
        <v/>
      </c>
      <c r="X416" s="11" t="str">
        <f ca="1">IFERROR(__xludf.DUMMYFUNCTION("""COMPUTED_VALUE"""),"")</f>
        <v/>
      </c>
      <c r="Y416" s="11" t="str">
        <f ca="1">IFERROR(__xludf.DUMMYFUNCTION("""COMPUTED_VALUE"""),"")</f>
        <v/>
      </c>
      <c r="Z416" s="4" t="str">
        <f ca="1">IFERROR(__xludf.DUMMYFUNCTION("""COMPUTED_VALUE"""),"")</f>
        <v/>
      </c>
    </row>
    <row r="417" spans="1:26" ht="13" x14ac:dyDescent="0.15">
      <c r="A417" s="43" t="str">
        <f ca="1">IFERROR(__xludf.DUMMYFUNCTION("""COMPUTED_VALUE"""),"")</f>
        <v/>
      </c>
      <c r="B417" s="43" t="str">
        <f ca="1">IFERROR(__xludf.DUMMYFUNCTION("""COMPUTED_VALUE"""),"74356")</f>
        <v>74356</v>
      </c>
      <c r="C417" s="146">
        <f ca="1">IFERROR(__xludf.DUMMYFUNCTION("""COMPUTED_VALUE"""),44624000434)</f>
        <v>44624000434</v>
      </c>
      <c r="D417" s="43" t="str">
        <f ca="1">IFERROR(__xludf.DUMMYFUNCTION("""COMPUTED_VALUE"""),"AMAT")</f>
        <v>AMAT</v>
      </c>
      <c r="E417" s="147">
        <f ca="1">IFERROR(__xludf.DUMMYFUNCTION("""COMPUTED_VALUE"""),44624)</f>
        <v>44624</v>
      </c>
      <c r="F417" s="43" t="str">
        <f ca="1">IFERROR(__xludf.DUMMYFUNCTION("""COMPUTED_VALUE"""),"Stock")</f>
        <v>Stock</v>
      </c>
      <c r="G417" s="43" t="str">
        <f ca="1">IFERROR(__xludf.DUMMYFUNCTION("""COMPUTED_VALUE"""),"USD")</f>
        <v>USD</v>
      </c>
      <c r="H417" s="154">
        <f ca="1">IFERROR(__xludf.DUMMYFUNCTION("""COMPUTED_VALUE"""),0)</f>
        <v>0</v>
      </c>
      <c r="I417" s="148">
        <f ca="1">IFERROR(__xludf.DUMMYFUNCTION("""COMPUTED_VALUE"""),7.81428)</f>
        <v>7.8142800000000001</v>
      </c>
      <c r="J417" s="149">
        <f ca="1">IFERROR(__xludf.DUMMYFUNCTION("""COMPUTED_VALUE"""),0)</f>
        <v>0</v>
      </c>
      <c r="K417" s="43"/>
      <c r="L417" s="149">
        <f ca="1">IFERROR(__xludf.DUMMYFUNCTION("""COMPUTED_VALUE"""),135.48)</f>
        <v>135.47999999999999</v>
      </c>
      <c r="M417" s="155" t="str">
        <f ca="1">IFERROR(__xludf.DUMMYFUNCTION("""COMPUTED_VALUE"""),"Equity Key Stats")</f>
        <v>Equity Key Stats</v>
      </c>
      <c r="N417" s="43"/>
      <c r="O417" s="43"/>
      <c r="P417" s="150">
        <f ca="1">IFERROR(__xludf.DUMMYFUNCTION("""COMPUTED_VALUE"""),0)</f>
        <v>0</v>
      </c>
      <c r="Q417" s="151"/>
      <c r="R417" s="152">
        <f ca="1">IFERROR(__xludf.DUMMYFUNCTION("""COMPUTED_VALUE"""),131.42)</f>
        <v>131.41999999999999</v>
      </c>
      <c r="S417" s="150">
        <f ca="1">IFERROR(__xludf.DUMMYFUNCTION("""COMPUTED_VALUE"""),0)</f>
        <v>0</v>
      </c>
      <c r="T417" s="108">
        <f ca="1">IFERROR(__xludf.DUMMYFUNCTION("""COMPUTED_VALUE"""),3)</f>
        <v>3</v>
      </c>
      <c r="U417" s="43" t="str">
        <f ca="1">IFERROR(__xludf.DUMMYFUNCTION("""COMPUTED_VALUE"""),"")</f>
        <v/>
      </c>
      <c r="V417" s="144" t="str">
        <f ca="1">IFERROR(__xludf.DUMMYFUNCTION("""COMPUTED_VALUE"""),"")</f>
        <v/>
      </c>
      <c r="W417" s="145" t="str">
        <f ca="1">IFERROR(__xludf.DUMMYFUNCTION("""COMPUTED_VALUE"""),"")</f>
        <v/>
      </c>
      <c r="X417" s="11" t="str">
        <f ca="1">IFERROR(__xludf.DUMMYFUNCTION("""COMPUTED_VALUE"""),"")</f>
        <v/>
      </c>
      <c r="Y417" s="11" t="str">
        <f ca="1">IFERROR(__xludf.DUMMYFUNCTION("""COMPUTED_VALUE"""),"")</f>
        <v/>
      </c>
      <c r="Z417" s="4" t="str">
        <f ca="1">IFERROR(__xludf.DUMMYFUNCTION("""COMPUTED_VALUE"""),"")</f>
        <v/>
      </c>
    </row>
    <row r="418" spans="1:26" ht="13" x14ac:dyDescent="0.15">
      <c r="A418" s="43" t="str">
        <f ca="1">IFERROR(__xludf.DUMMYFUNCTION("""COMPUTED_VALUE"""),"")</f>
        <v/>
      </c>
      <c r="B418" s="43" t="str">
        <f ca="1">IFERROR(__xludf.DUMMYFUNCTION("""COMPUTED_VALUE"""),"74356")</f>
        <v>74356</v>
      </c>
      <c r="C418" s="146">
        <f ca="1">IFERROR(__xludf.DUMMYFUNCTION("""COMPUTED_VALUE"""),44624000436)</f>
        <v>44624000436</v>
      </c>
      <c r="D418" s="163" t="str">
        <f ca="1">IFERROR(__xludf.DUMMYFUNCTION("""COMPUTED_VALUE"""),"BRK-B")</f>
        <v>BRK-B</v>
      </c>
      <c r="E418" s="147">
        <f ca="1">IFERROR(__xludf.DUMMYFUNCTION("""COMPUTED_VALUE"""),44624)</f>
        <v>44624</v>
      </c>
      <c r="F418" s="43" t="str">
        <f ca="1">IFERROR(__xludf.DUMMYFUNCTION("""COMPUTED_VALUE"""),"Stock")</f>
        <v>Stock</v>
      </c>
      <c r="G418" s="43" t="str">
        <f ca="1">IFERROR(__xludf.DUMMYFUNCTION("""COMPUTED_VALUE"""),"USD")</f>
        <v>USD</v>
      </c>
      <c r="H418" s="154">
        <f ca="1">IFERROR(__xludf.DUMMYFUNCTION("""COMPUTED_VALUE"""),0)</f>
        <v>0</v>
      </c>
      <c r="I418" s="148">
        <f ca="1">IFERROR(__xludf.DUMMYFUNCTION("""COMPUTED_VALUE"""),7.81428)</f>
        <v>7.8142800000000001</v>
      </c>
      <c r="J418" s="149">
        <f ca="1">IFERROR(__xludf.DUMMYFUNCTION("""COMPUTED_VALUE"""),0)</f>
        <v>0</v>
      </c>
      <c r="K418" s="43"/>
      <c r="L418" s="149">
        <f ca="1">IFERROR(__xludf.DUMMYFUNCTION("""COMPUTED_VALUE"""),349.93)</f>
        <v>349.93</v>
      </c>
      <c r="M418" s="155" t="str">
        <f ca="1">IFERROR(__xludf.DUMMYFUNCTION("""COMPUTED_VALUE"""),"Equity Key Stats")</f>
        <v>Equity Key Stats</v>
      </c>
      <c r="N418" s="43"/>
      <c r="O418" s="43"/>
      <c r="P418" s="157">
        <f ca="1">IFERROR(__xludf.DUMMYFUNCTION("""COMPUTED_VALUE"""),0)</f>
        <v>0</v>
      </c>
      <c r="Q418" s="151"/>
      <c r="R418" s="152">
        <f ca="1">IFERROR(__xludf.DUMMYFUNCTION("""COMPUTED_VALUE"""),348.16)</f>
        <v>348.16</v>
      </c>
      <c r="S418" s="150">
        <f ca="1">IFERROR(__xludf.DUMMYFUNCTION("""COMPUTED_VALUE"""),0)</f>
        <v>0</v>
      </c>
      <c r="T418" s="108">
        <f ca="1">IFERROR(__xludf.DUMMYFUNCTION("""COMPUTED_VALUE"""),3)</f>
        <v>3</v>
      </c>
      <c r="U418" s="43" t="str">
        <f ca="1">IFERROR(__xludf.DUMMYFUNCTION("""COMPUTED_VALUE"""),"")</f>
        <v/>
      </c>
      <c r="V418" s="144" t="str">
        <f ca="1">IFERROR(__xludf.DUMMYFUNCTION("""COMPUTED_VALUE"""),"")</f>
        <v/>
      </c>
      <c r="W418" s="145" t="str">
        <f ca="1">IFERROR(__xludf.DUMMYFUNCTION("""COMPUTED_VALUE"""),"")</f>
        <v/>
      </c>
      <c r="X418" s="11" t="str">
        <f ca="1">IFERROR(__xludf.DUMMYFUNCTION("""COMPUTED_VALUE"""),"")</f>
        <v/>
      </c>
      <c r="Y418" s="11" t="str">
        <f ca="1">IFERROR(__xludf.DUMMYFUNCTION("""COMPUTED_VALUE"""),"")</f>
        <v/>
      </c>
      <c r="Z418" s="4" t="str">
        <f ca="1">IFERROR(__xludf.DUMMYFUNCTION("""COMPUTED_VALUE"""),"")</f>
        <v/>
      </c>
    </row>
    <row r="419" spans="1:26" ht="13" x14ac:dyDescent="0.15">
      <c r="A419" s="43" t="str">
        <f ca="1">IFERROR(__xludf.DUMMYFUNCTION("""COMPUTED_VALUE"""),"")</f>
        <v/>
      </c>
      <c r="B419" s="43" t="str">
        <f ca="1">IFERROR(__xludf.DUMMYFUNCTION("""COMPUTED_VALUE"""),"74356")</f>
        <v>74356</v>
      </c>
      <c r="C419" s="146">
        <f ca="1">IFERROR(__xludf.DUMMYFUNCTION("""COMPUTED_VALUE"""),44630000523)</f>
        <v>44630000523</v>
      </c>
      <c r="D419" s="163" t="str">
        <f ca="1">IFERROR(__xludf.DUMMYFUNCTION("""COMPUTED_VALUE"""),"BRK-B")</f>
        <v>BRK-B</v>
      </c>
      <c r="E419" s="147">
        <f ca="1">IFERROR(__xludf.DUMMYFUNCTION("""COMPUTED_VALUE"""),44630)</f>
        <v>44630</v>
      </c>
      <c r="F419" s="43" t="str">
        <f ca="1">IFERROR(__xludf.DUMMYFUNCTION("""COMPUTED_VALUE"""),"Stock")</f>
        <v>Stock</v>
      </c>
      <c r="G419" s="43" t="str">
        <f ca="1">IFERROR(__xludf.DUMMYFUNCTION("""COMPUTED_VALUE"""),"USD")</f>
        <v>USD</v>
      </c>
      <c r="H419" s="154">
        <f ca="1">IFERROR(__xludf.DUMMYFUNCTION("""COMPUTED_VALUE"""),40)</f>
        <v>40</v>
      </c>
      <c r="I419" s="148">
        <f ca="1">IFERROR(__xludf.DUMMYFUNCTION("""COMPUTED_VALUE"""),7.82295)</f>
        <v>7.8229499999999996</v>
      </c>
      <c r="J419" s="149">
        <f ca="1">IFERROR(__xludf.DUMMYFUNCTION("""COMPUTED_VALUE"""),325.4)</f>
        <v>325.39999999999998</v>
      </c>
      <c r="K419" s="43"/>
      <c r="L419" s="149">
        <f ca="1">IFERROR(__xludf.DUMMYFUNCTION("""COMPUTED_VALUE"""),349.93)</f>
        <v>349.93</v>
      </c>
      <c r="M419" s="155" t="str">
        <f ca="1">IFERROR(__xludf.DUMMYFUNCTION("""COMPUTED_VALUE"""),"Equity Key Stats")</f>
        <v>Equity Key Stats</v>
      </c>
      <c r="N419" s="43"/>
      <c r="O419" s="43"/>
      <c r="P419" s="157">
        <f ca="1">IFERROR(__xludf.DUMMYFUNCTION("""COMPUTED_VALUE"""),-101823.5172)</f>
        <v>-101823.5172</v>
      </c>
      <c r="Q419" s="151"/>
      <c r="R419" s="152">
        <f ca="1">IFERROR(__xludf.DUMMYFUNCTION("""COMPUTED_VALUE"""),348.16)</f>
        <v>348.16</v>
      </c>
      <c r="S419" s="150">
        <f ca="1">IFERROR(__xludf.DUMMYFUNCTION("""COMPUTED_VALUE"""),108945.53088)</f>
        <v>108945.53088000001</v>
      </c>
      <c r="T419" s="108">
        <f ca="1">IFERROR(__xludf.DUMMYFUNCTION("""COMPUTED_VALUE"""),3)</f>
        <v>3</v>
      </c>
      <c r="U419" s="108" t="str">
        <f ca="1">IFERROR(__xludf.DUMMYFUNCTION("""COMPUTED_VALUE"""),"")</f>
        <v/>
      </c>
      <c r="V419" s="158" t="str">
        <f ca="1">IFERROR(__xludf.DUMMYFUNCTION("""COMPUTED_VALUE"""),"")</f>
        <v/>
      </c>
      <c r="W419" s="145" t="str">
        <f ca="1">IFERROR(__xludf.DUMMYFUNCTION("""COMPUTED_VALUE"""),"")</f>
        <v/>
      </c>
      <c r="X419" s="11" t="str">
        <f ca="1">IFERROR(__xludf.DUMMYFUNCTION("""COMPUTED_VALUE"""),"")</f>
        <v/>
      </c>
      <c r="Y419" s="11" t="str">
        <f ca="1">IFERROR(__xludf.DUMMYFUNCTION("""COMPUTED_VALUE"""),"")</f>
        <v/>
      </c>
      <c r="Z419" s="4" t="str">
        <f ca="1">IFERROR(__xludf.DUMMYFUNCTION("""COMPUTED_VALUE"""),"")</f>
        <v/>
      </c>
    </row>
    <row r="420" spans="1:26" ht="13" x14ac:dyDescent="0.15">
      <c r="A420" s="43" t="str">
        <f ca="1">IFERROR(__xludf.DUMMYFUNCTION("""COMPUTED_VALUE"""),"")</f>
        <v/>
      </c>
      <c r="B420" s="43" t="str">
        <f ca="1">IFERROR(__xludf.DUMMYFUNCTION("""COMPUTED_VALUE"""),"74356")</f>
        <v>74356</v>
      </c>
      <c r="C420" s="146">
        <f ca="1">IFERROR(__xludf.DUMMYFUNCTION("""COMPUTED_VALUE"""),44630000525)</f>
        <v>44630000525</v>
      </c>
      <c r="D420" s="43" t="str">
        <f ca="1">IFERROR(__xludf.DUMMYFUNCTION("""COMPUTED_VALUE"""),"CL=F")</f>
        <v>CL=F</v>
      </c>
      <c r="E420" s="147">
        <f ca="1">IFERROR(__xludf.DUMMYFUNCTION("""COMPUTED_VALUE"""),44630)</f>
        <v>44630</v>
      </c>
      <c r="F420" s="43" t="str">
        <f ca="1">IFERROR(__xludf.DUMMYFUNCTION("""COMPUTED_VALUE"""),"Stock")</f>
        <v>Stock</v>
      </c>
      <c r="G420" s="43" t="str">
        <f ca="1">IFERROR(__xludf.DUMMYFUNCTION("""COMPUTED_VALUE"""),"USD")</f>
        <v>USD</v>
      </c>
      <c r="H420" s="154">
        <f ca="1">IFERROR(__xludf.DUMMYFUNCTION("""COMPUTED_VALUE"""),100)</f>
        <v>100</v>
      </c>
      <c r="I420" s="148">
        <f ca="1">IFERROR(__xludf.DUMMYFUNCTION("""COMPUTED_VALUE"""),7.82295)</f>
        <v>7.8229499999999996</v>
      </c>
      <c r="J420" s="149">
        <f ca="1">IFERROR(__xludf.DUMMYFUNCTION("""COMPUTED_VALUE"""),106.04)</f>
        <v>106.04</v>
      </c>
      <c r="K420" s="43"/>
      <c r="L420" s="149">
        <f ca="1">IFERROR(__xludf.DUMMYFUNCTION("""COMPUTED_VALUE"""),111.3)</f>
        <v>111.3</v>
      </c>
      <c r="M420" s="155" t="str">
        <f ca="1">IFERROR(__xludf.DUMMYFUNCTION("""COMPUTED_VALUE"""),"Equity Key Stats")</f>
        <v>Equity Key Stats</v>
      </c>
      <c r="N420" s="43"/>
      <c r="O420" s="43"/>
      <c r="P420" s="157">
        <f ca="1">IFERROR(__xludf.DUMMYFUNCTION("""COMPUTED_VALUE"""),-82954.5618)</f>
        <v>-82954.561799999996</v>
      </c>
      <c r="Q420" s="151"/>
      <c r="R420" s="152">
        <f ca="1">IFERROR(__xludf.DUMMYFUNCTION("""COMPUTED_VALUE"""),115.83)</f>
        <v>115.83</v>
      </c>
      <c r="S420" s="150">
        <f ca="1">IFERROR(__xludf.DUMMYFUNCTION("""COMPUTED_VALUE"""),90613.2298499999)</f>
        <v>90613.229849999901</v>
      </c>
      <c r="T420" s="108">
        <f ca="1">IFERROR(__xludf.DUMMYFUNCTION("""COMPUTED_VALUE"""),3)</f>
        <v>3</v>
      </c>
      <c r="U420" s="108" t="str">
        <f ca="1">IFERROR(__xludf.DUMMYFUNCTION("""COMPUTED_VALUE"""),"")</f>
        <v/>
      </c>
      <c r="V420" s="158" t="str">
        <f ca="1">IFERROR(__xludf.DUMMYFUNCTION("""COMPUTED_VALUE"""),"")</f>
        <v/>
      </c>
      <c r="W420" s="145" t="str">
        <f ca="1">IFERROR(__xludf.DUMMYFUNCTION("""COMPUTED_VALUE"""),"")</f>
        <v/>
      </c>
      <c r="X420" s="11" t="str">
        <f ca="1">IFERROR(__xludf.DUMMYFUNCTION("""COMPUTED_VALUE"""),"")</f>
        <v/>
      </c>
      <c r="Y420" s="11" t="str">
        <f ca="1">IFERROR(__xludf.DUMMYFUNCTION("""COMPUTED_VALUE"""),"")</f>
        <v/>
      </c>
      <c r="Z420" s="4" t="str">
        <f ca="1">IFERROR(__xludf.DUMMYFUNCTION("""COMPUTED_VALUE"""),"")</f>
        <v/>
      </c>
    </row>
    <row r="421" spans="1:26" ht="13" x14ac:dyDescent="0.15">
      <c r="A421" s="43" t="str">
        <f ca="1">IFERROR(__xludf.DUMMYFUNCTION("""COMPUTED_VALUE"""),"")</f>
        <v/>
      </c>
      <c r="B421" s="43" t="str">
        <f ca="1">IFERROR(__xludf.DUMMYFUNCTION("""COMPUTED_VALUE"""),"74356")</f>
        <v>74356</v>
      </c>
      <c r="C421" s="146">
        <f ca="1">IFERROR(__xludf.DUMMYFUNCTION("""COMPUTED_VALUE"""),44630000528)</f>
        <v>44630000528</v>
      </c>
      <c r="D421" s="163" t="str">
        <f ca="1">IFERROR(__xludf.DUMMYFUNCTION("""COMPUTED_VALUE"""),"AAPL")</f>
        <v>AAPL</v>
      </c>
      <c r="E421" s="147">
        <f ca="1">IFERROR(__xludf.DUMMYFUNCTION("""COMPUTED_VALUE"""),44630)</f>
        <v>44630</v>
      </c>
      <c r="F421" s="43" t="str">
        <f ca="1">IFERROR(__xludf.DUMMYFUNCTION("""COMPUTED_VALUE"""),"Stock")</f>
        <v>Stock</v>
      </c>
      <c r="G421" s="43" t="str">
        <f ca="1">IFERROR(__xludf.DUMMYFUNCTION("""COMPUTED_VALUE"""),"USD")</f>
        <v>USD</v>
      </c>
      <c r="H421" s="154">
        <f ca="1">IFERROR(__xludf.DUMMYFUNCTION("""COMPUTED_VALUE"""),20)</f>
        <v>20</v>
      </c>
      <c r="I421" s="148">
        <f ca="1">IFERROR(__xludf.DUMMYFUNCTION("""COMPUTED_VALUE"""),7.82295)</f>
        <v>7.8229499999999996</v>
      </c>
      <c r="J421" s="149">
        <f ca="1">IFERROR(__xludf.DUMMYFUNCTION("""COMPUTED_VALUE"""),162.95)</f>
        <v>162.94999999999999</v>
      </c>
      <c r="K421" s="43"/>
      <c r="L421" s="149">
        <f ca="1">IFERROR(__xludf.DUMMYFUNCTION("""COMPUTED_VALUE"""),168.82)</f>
        <v>168.82</v>
      </c>
      <c r="M421" s="155" t="str">
        <f ca="1">IFERROR(__xludf.DUMMYFUNCTION("""COMPUTED_VALUE"""),"Equity Key Stats")</f>
        <v>Equity Key Stats</v>
      </c>
      <c r="N421" s="43"/>
      <c r="O421" s="43"/>
      <c r="P421" s="157">
        <f ca="1">IFERROR(__xludf.DUMMYFUNCTION("""COMPUTED_VALUE"""),-25494.9940499999)</f>
        <v>-25494.994049999899</v>
      </c>
      <c r="Q421" s="151"/>
      <c r="R421" s="152">
        <f ca="1">IFERROR(__xludf.DUMMYFUNCTION("""COMPUTED_VALUE"""),170.21)</f>
        <v>170.21</v>
      </c>
      <c r="S421" s="150">
        <f ca="1">IFERROR(__xludf.DUMMYFUNCTION("""COMPUTED_VALUE"""),26630.88639)</f>
        <v>26630.88639</v>
      </c>
      <c r="T421" s="108">
        <f ca="1">IFERROR(__xludf.DUMMYFUNCTION("""COMPUTED_VALUE"""),2)</f>
        <v>2</v>
      </c>
      <c r="U421" s="43" t="str">
        <f ca="1">IFERROR(__xludf.DUMMYFUNCTION("""COMPUTED_VALUE"""),"")</f>
        <v/>
      </c>
      <c r="V421" s="144" t="str">
        <f ca="1">IFERROR(__xludf.DUMMYFUNCTION("""COMPUTED_VALUE"""),"")</f>
        <v/>
      </c>
      <c r="W421" s="145" t="str">
        <f ca="1">IFERROR(__xludf.DUMMYFUNCTION("""COMPUTED_VALUE"""),"")</f>
        <v/>
      </c>
      <c r="X421" s="11" t="str">
        <f ca="1">IFERROR(__xludf.DUMMYFUNCTION("""COMPUTED_VALUE"""),"")</f>
        <v/>
      </c>
      <c r="Y421" s="11" t="str">
        <f ca="1">IFERROR(__xludf.DUMMYFUNCTION("""COMPUTED_VALUE"""),"")</f>
        <v/>
      </c>
      <c r="Z421" s="4" t="str">
        <f ca="1">IFERROR(__xludf.DUMMYFUNCTION("""COMPUTED_VALUE"""),"")</f>
        <v/>
      </c>
    </row>
    <row r="422" spans="1:26" ht="13" x14ac:dyDescent="0.15">
      <c r="A422" s="43" t="str">
        <f ca="1">IFERROR(__xludf.DUMMYFUNCTION("""COMPUTED_VALUE"""),"")</f>
        <v/>
      </c>
      <c r="B422" s="43" t="str">
        <f ca="1">IFERROR(__xludf.DUMMYFUNCTION("""COMPUTED_VALUE"""),"74356")</f>
        <v>74356</v>
      </c>
      <c r="C422" s="146">
        <f ca="1">IFERROR(__xludf.DUMMYFUNCTION("""COMPUTED_VALUE"""),44635000613)</f>
        <v>44635000613</v>
      </c>
      <c r="D422" s="163" t="str">
        <f ca="1">IFERROR(__xludf.DUMMYFUNCTION("""COMPUTED_VALUE"""),"CL=F")</f>
        <v>CL=F</v>
      </c>
      <c r="E422" s="147">
        <f ca="1">IFERROR(__xludf.DUMMYFUNCTION("""COMPUTED_VALUE"""),44635)</f>
        <v>44635</v>
      </c>
      <c r="F422" s="43" t="str">
        <f ca="1">IFERROR(__xludf.DUMMYFUNCTION("""COMPUTED_VALUE"""),"Stock")</f>
        <v>Stock</v>
      </c>
      <c r="G422" s="43" t="str">
        <f ca="1">IFERROR(__xludf.DUMMYFUNCTION("""COMPUTED_VALUE"""),"USD")</f>
        <v>USD</v>
      </c>
      <c r="H422" s="154">
        <f ca="1">IFERROR(__xludf.DUMMYFUNCTION("""COMPUTED_VALUE"""),-200)</f>
        <v>-200</v>
      </c>
      <c r="I422" s="148">
        <f ca="1">IFERROR(__xludf.DUMMYFUNCTION("""COMPUTED_VALUE"""),7.82695)</f>
        <v>7.8269500000000001</v>
      </c>
      <c r="J422" s="149">
        <f ca="1">IFERROR(__xludf.DUMMYFUNCTION("""COMPUTED_VALUE"""),96.13)</f>
        <v>96.13</v>
      </c>
      <c r="K422" s="43"/>
      <c r="L422" s="149">
        <f ca="1">IFERROR(__xludf.DUMMYFUNCTION("""COMPUTED_VALUE"""),111.3)</f>
        <v>111.3</v>
      </c>
      <c r="M422" s="155" t="str">
        <f ca="1">IFERROR(__xludf.DUMMYFUNCTION("""COMPUTED_VALUE"""),"Equity Key Stats")</f>
        <v>Equity Key Stats</v>
      </c>
      <c r="N422" s="43"/>
      <c r="O422" s="43"/>
      <c r="P422" s="157">
        <f ca="1">IFERROR(__xludf.DUMMYFUNCTION("""COMPUTED_VALUE"""),150480.9407)</f>
        <v>150480.94070000001</v>
      </c>
      <c r="Q422" s="151"/>
      <c r="R422" s="152">
        <f ca="1">IFERROR(__xludf.DUMMYFUNCTION("""COMPUTED_VALUE"""),115.83)</f>
        <v>115.83</v>
      </c>
      <c r="S422" s="150">
        <f ca="1">IFERROR(__xludf.DUMMYFUNCTION("""COMPUTED_VALUE"""),-181319.1237)</f>
        <v>-181319.1237</v>
      </c>
      <c r="T422" s="108">
        <f ca="1">IFERROR(__xludf.DUMMYFUNCTION("""COMPUTED_VALUE"""),3)</f>
        <v>3</v>
      </c>
      <c r="U422" s="108">
        <f ca="1">IFERROR(__xludf.DUMMYFUNCTION("""COMPUTED_VALUE"""),1)</f>
        <v>1</v>
      </c>
      <c r="V422" s="158">
        <f ca="1">IFERROR(__xludf.DUMMYFUNCTION("""COMPUTED_VALUE"""),-5206.07444999998)</f>
        <v>-5206.0744499999801</v>
      </c>
      <c r="W422" s="44" t="str">
        <f ca="1">IFERROR(__xludf.DUMMYFUNCTION("""COMPUTED_VALUE"""),"")</f>
        <v/>
      </c>
      <c r="X422" s="154" t="str">
        <f ca="1">IFERROR(__xludf.DUMMYFUNCTION("""COMPUTED_VALUE"""),"")</f>
        <v/>
      </c>
      <c r="Y422" s="154" t="str">
        <f ca="1">IFERROR(__xludf.DUMMYFUNCTION("""COMPUTED_VALUE"""),"")</f>
        <v/>
      </c>
      <c r="Z422" s="162" t="str">
        <f ca="1">IFERROR(__xludf.DUMMYFUNCTION("""COMPUTED_VALUE"""),"")</f>
        <v/>
      </c>
    </row>
    <row r="423" spans="1:26" ht="13" x14ac:dyDescent="0.15">
      <c r="A423" s="43" t="str">
        <f ca="1">IFERROR(__xludf.DUMMYFUNCTION("""COMPUTED_VALUE"""),"")</f>
        <v/>
      </c>
      <c r="B423" s="43" t="str">
        <f ca="1">IFERROR(__xludf.DUMMYFUNCTION("""COMPUTED_VALUE"""),"74356")</f>
        <v>74356</v>
      </c>
      <c r="C423" s="146">
        <f ca="1">IFERROR(__xludf.DUMMYFUNCTION("""COMPUTED_VALUE"""),44635000614)</f>
        <v>44635000614</v>
      </c>
      <c r="D423" s="43" t="str">
        <f ca="1">IFERROR(__xludf.DUMMYFUNCTION("""COMPUTED_VALUE"""),"AAPL")</f>
        <v>AAPL</v>
      </c>
      <c r="E423" s="147">
        <f ca="1">IFERROR(__xludf.DUMMYFUNCTION("""COMPUTED_VALUE"""),44635)</f>
        <v>44635</v>
      </c>
      <c r="F423" s="43" t="str">
        <f ca="1">IFERROR(__xludf.DUMMYFUNCTION("""COMPUTED_VALUE"""),"Stock")</f>
        <v>Stock</v>
      </c>
      <c r="G423" s="43" t="str">
        <f ca="1">IFERROR(__xludf.DUMMYFUNCTION("""COMPUTED_VALUE"""),"USD")</f>
        <v>USD</v>
      </c>
      <c r="H423" s="11">
        <f ca="1">IFERROR(__xludf.DUMMYFUNCTION("""COMPUTED_VALUE"""),-20)</f>
        <v>-20</v>
      </c>
      <c r="I423" s="148">
        <f ca="1">IFERROR(__xludf.DUMMYFUNCTION("""COMPUTED_VALUE"""),7.82695)</f>
        <v>7.8269500000000001</v>
      </c>
      <c r="J423" s="149">
        <f ca="1">IFERROR(__xludf.DUMMYFUNCTION("""COMPUTED_VALUE"""),155.09)</f>
        <v>155.09</v>
      </c>
      <c r="K423" s="43"/>
      <c r="L423" s="149">
        <f ca="1">IFERROR(__xludf.DUMMYFUNCTION("""COMPUTED_VALUE"""),168.82)</f>
        <v>168.82</v>
      </c>
      <c r="M423" s="160" t="str">
        <f ca="1">IFERROR(__xludf.DUMMYFUNCTION("""COMPUTED_VALUE"""),"Equity Key Stats")</f>
        <v>Equity Key Stats</v>
      </c>
      <c r="N423" s="43"/>
      <c r="O423" s="43"/>
      <c r="P423" s="150">
        <f ca="1">IFERROR(__xludf.DUMMYFUNCTION("""COMPUTED_VALUE"""),24277.63351)</f>
        <v>24277.63351</v>
      </c>
      <c r="Q423" s="151"/>
      <c r="R423" s="152">
        <f ca="1">IFERROR(__xludf.DUMMYFUNCTION("""COMPUTED_VALUE"""),170.21)</f>
        <v>170.21</v>
      </c>
      <c r="S423" s="127">
        <f ca="1">IFERROR(__xludf.DUMMYFUNCTION("""COMPUTED_VALUE"""),-26644.50319)</f>
        <v>-26644.503189999999</v>
      </c>
      <c r="T423" s="108">
        <f ca="1">IFERROR(__xludf.DUMMYFUNCTION("""COMPUTED_VALUE"""),2)</f>
        <v>2</v>
      </c>
      <c r="U423" s="108">
        <f ca="1">IFERROR(__xludf.DUMMYFUNCTION("""COMPUTED_VALUE"""),1)</f>
        <v>1</v>
      </c>
      <c r="V423" s="153">
        <f ca="1">IFERROR(__xludf.DUMMYFUNCTION("""COMPUTED_VALUE"""),-1230.97733999999)</f>
        <v>-1230.9773399999899</v>
      </c>
      <c r="W423" s="44" t="str">
        <f ca="1">IFERROR(__xludf.DUMMYFUNCTION("""COMPUTED_VALUE"""),"")</f>
        <v/>
      </c>
      <c r="X423" s="154" t="str">
        <f ca="1">IFERROR(__xludf.DUMMYFUNCTION("""COMPUTED_VALUE"""),"")</f>
        <v/>
      </c>
      <c r="Y423" s="154" t="str">
        <f ca="1">IFERROR(__xludf.DUMMYFUNCTION("""COMPUTED_VALUE"""),"")</f>
        <v/>
      </c>
      <c r="Z423" s="159" t="str">
        <f ca="1">IFERROR(__xludf.DUMMYFUNCTION("""COMPUTED_VALUE"""),"")</f>
        <v/>
      </c>
    </row>
    <row r="424" spans="1:26" ht="13" x14ac:dyDescent="0.15">
      <c r="A424" s="43" t="str">
        <f ca="1">IFERROR(__xludf.DUMMYFUNCTION("""COMPUTED_VALUE"""),"")</f>
        <v/>
      </c>
      <c r="B424" s="43" t="str">
        <f ca="1">IFERROR(__xludf.DUMMYFUNCTION("""COMPUTED_VALUE"""),"74356")</f>
        <v>74356</v>
      </c>
      <c r="C424" s="146">
        <f ca="1">IFERROR(__xludf.DUMMYFUNCTION("""COMPUTED_VALUE"""),44635000615)</f>
        <v>44635000615</v>
      </c>
      <c r="D424" s="43" t="str">
        <f ca="1">IFERROR(__xludf.DUMMYFUNCTION("""COMPUTED_VALUE"""),"AMAT")</f>
        <v>AMAT</v>
      </c>
      <c r="E424" s="147">
        <f ca="1">IFERROR(__xludf.DUMMYFUNCTION("""COMPUTED_VALUE"""),44635)</f>
        <v>44635</v>
      </c>
      <c r="F424" s="43" t="str">
        <f ca="1">IFERROR(__xludf.DUMMYFUNCTION("""COMPUTED_VALUE"""),"Stock")</f>
        <v>Stock</v>
      </c>
      <c r="G424" s="43" t="str">
        <f ca="1">IFERROR(__xludf.DUMMYFUNCTION("""COMPUTED_VALUE"""),"USD")</f>
        <v>USD</v>
      </c>
      <c r="H424" s="11">
        <f ca="1">IFERROR(__xludf.DUMMYFUNCTION("""COMPUTED_VALUE"""),-50)</f>
        <v>-50</v>
      </c>
      <c r="I424" s="148">
        <f ca="1">IFERROR(__xludf.DUMMYFUNCTION("""COMPUTED_VALUE"""),7.82695)</f>
        <v>7.8269500000000001</v>
      </c>
      <c r="J424" s="149">
        <f ca="1">IFERROR(__xludf.DUMMYFUNCTION("""COMPUTED_VALUE"""),124.41)</f>
        <v>124.41</v>
      </c>
      <c r="K424" s="43"/>
      <c r="L424" s="149">
        <f ca="1">IFERROR(__xludf.DUMMYFUNCTION("""COMPUTED_VALUE"""),135.48)</f>
        <v>135.47999999999999</v>
      </c>
      <c r="M424" s="160" t="str">
        <f ca="1">IFERROR(__xludf.DUMMYFUNCTION("""COMPUTED_VALUE"""),"Equity Key Stats")</f>
        <v>Equity Key Stats</v>
      </c>
      <c r="N424" s="43"/>
      <c r="O424" s="43"/>
      <c r="P424" s="150">
        <f ca="1">IFERROR(__xludf.DUMMYFUNCTION("""COMPUTED_VALUE"""),48687.542475)</f>
        <v>48687.542475000002</v>
      </c>
      <c r="Q424" s="151"/>
      <c r="R424" s="152">
        <f ca="1">IFERROR(__xludf.DUMMYFUNCTION("""COMPUTED_VALUE"""),131.42)</f>
        <v>131.41999999999999</v>
      </c>
      <c r="S424" s="127">
        <f ca="1">IFERROR(__xludf.DUMMYFUNCTION("""COMPUTED_VALUE"""),-51430.88845)</f>
        <v>-51430.888449999999</v>
      </c>
      <c r="T424" s="108">
        <f ca="1">IFERROR(__xludf.DUMMYFUNCTION("""COMPUTED_VALUE"""),3)</f>
        <v>3</v>
      </c>
      <c r="U424" s="108">
        <f ca="1">IFERROR(__xludf.DUMMYFUNCTION("""COMPUTED_VALUE"""),1)</f>
        <v>1</v>
      </c>
      <c r="V424" s="153">
        <f ca="1">IFERROR(__xludf.DUMMYFUNCTION("""COMPUTED_VALUE"""),-4712.6225125)</f>
        <v>-4712.6225125000001</v>
      </c>
      <c r="W424" s="44" t="str">
        <f ca="1">IFERROR(__xludf.DUMMYFUNCTION("""COMPUTED_VALUE"""),"")</f>
        <v/>
      </c>
      <c r="X424" s="154" t="str">
        <f ca="1">IFERROR(__xludf.DUMMYFUNCTION("""COMPUTED_VALUE"""),"")</f>
        <v/>
      </c>
      <c r="Y424" s="154" t="str">
        <f ca="1">IFERROR(__xludf.DUMMYFUNCTION("""COMPUTED_VALUE"""),"")</f>
        <v/>
      </c>
      <c r="Z424" s="159" t="str">
        <f ca="1">IFERROR(__xludf.DUMMYFUNCTION("""COMPUTED_VALUE"""),"")</f>
        <v/>
      </c>
    </row>
    <row r="425" spans="1:26" ht="13" x14ac:dyDescent="0.15">
      <c r="A425" s="43" t="str">
        <f ca="1">IFERROR(__xludf.DUMMYFUNCTION("""COMPUTED_VALUE"""),"")</f>
        <v/>
      </c>
      <c r="B425" s="43" t="str">
        <f ca="1">IFERROR(__xludf.DUMMYFUNCTION("""COMPUTED_VALUE"""),"74356")</f>
        <v>74356</v>
      </c>
      <c r="C425" s="146">
        <f ca="1">IFERROR(__xludf.DUMMYFUNCTION("""COMPUTED_VALUE"""),44635000618)</f>
        <v>44635000618</v>
      </c>
      <c r="D425" s="43" t="str">
        <f ca="1">IFERROR(__xludf.DUMMYFUNCTION("""COMPUTED_VALUE"""),"NET")</f>
        <v>NET</v>
      </c>
      <c r="E425" s="147">
        <f ca="1">IFERROR(__xludf.DUMMYFUNCTION("""COMPUTED_VALUE"""),44635)</f>
        <v>44635</v>
      </c>
      <c r="F425" s="43" t="str">
        <f ca="1">IFERROR(__xludf.DUMMYFUNCTION("""COMPUTED_VALUE"""),"Stock")</f>
        <v>Stock</v>
      </c>
      <c r="G425" s="43" t="str">
        <f ca="1">IFERROR(__xludf.DUMMYFUNCTION("""COMPUTED_VALUE"""),"USD")</f>
        <v>USD</v>
      </c>
      <c r="H425" s="11">
        <f ca="1">IFERROR(__xludf.DUMMYFUNCTION("""COMPUTED_VALUE"""),-10)</f>
        <v>-10</v>
      </c>
      <c r="I425" s="148">
        <f ca="1">IFERROR(__xludf.DUMMYFUNCTION("""COMPUTED_VALUE"""),7.82695)</f>
        <v>7.8269500000000001</v>
      </c>
      <c r="J425" s="149">
        <f ca="1">IFERROR(__xludf.DUMMYFUNCTION("""COMPUTED_VALUE"""),85.94)</f>
        <v>85.94</v>
      </c>
      <c r="K425" s="43"/>
      <c r="L425" s="149">
        <f ca="1">IFERROR(__xludf.DUMMYFUNCTION("""COMPUTED_VALUE"""),114.86)</f>
        <v>114.86</v>
      </c>
      <c r="M425" s="160" t="str">
        <f ca="1">IFERROR(__xludf.DUMMYFUNCTION("""COMPUTED_VALUE"""),"Equity Key Stats")</f>
        <v>Equity Key Stats</v>
      </c>
      <c r="N425" s="43"/>
      <c r="O425" s="43"/>
      <c r="P425" s="150">
        <f ca="1">IFERROR(__xludf.DUMMYFUNCTION("""COMPUTED_VALUE"""),6726.48082999999)</f>
        <v>6726.4808299999904</v>
      </c>
      <c r="Q425" s="151"/>
      <c r="R425" s="152">
        <f ca="1">IFERROR(__xludf.DUMMYFUNCTION("""COMPUTED_VALUE"""),117.59)</f>
        <v>117.59</v>
      </c>
      <c r="S425" s="127">
        <f ca="1">IFERROR(__xludf.DUMMYFUNCTION("""COMPUTED_VALUE"""),-9203.710505)</f>
        <v>-9203.7105049999991</v>
      </c>
      <c r="T425" s="108">
        <f ca="1">IFERROR(__xludf.DUMMYFUNCTION("""COMPUTED_VALUE"""),4)</f>
        <v>4</v>
      </c>
      <c r="U425" s="108">
        <f ca="1">IFERROR(__xludf.DUMMYFUNCTION("""COMPUTED_VALUE"""),1)</f>
        <v>1</v>
      </c>
      <c r="V425" s="153">
        <f ca="1">IFERROR(__xludf.DUMMYFUNCTION("""COMPUTED_VALUE"""),-904.580096499999)</f>
        <v>-904.58009649999894</v>
      </c>
      <c r="W425" s="44" t="str">
        <f ca="1">IFERROR(__xludf.DUMMYFUNCTION("""COMPUTED_VALUE"""),"")</f>
        <v/>
      </c>
      <c r="X425" s="154" t="str">
        <f ca="1">IFERROR(__xludf.DUMMYFUNCTION("""COMPUTED_VALUE"""),"")</f>
        <v/>
      </c>
      <c r="Y425" s="154" t="str">
        <f ca="1">IFERROR(__xludf.DUMMYFUNCTION("""COMPUTED_VALUE"""),"")</f>
        <v/>
      </c>
      <c r="Z425" s="159" t="str">
        <f ca="1">IFERROR(__xludf.DUMMYFUNCTION("""COMPUTED_VALUE"""),"")</f>
        <v/>
      </c>
    </row>
    <row r="426" spans="1:26" ht="13" x14ac:dyDescent="0.15">
      <c r="A426" s="43" t="str">
        <f ca="1">IFERROR(__xludf.DUMMYFUNCTION("""COMPUTED_VALUE"""),"")</f>
        <v/>
      </c>
      <c r="B426" s="43" t="str">
        <f ca="1">IFERROR(__xludf.DUMMYFUNCTION("""COMPUTED_VALUE"""),"74356")</f>
        <v>74356</v>
      </c>
      <c r="C426" s="146">
        <f ca="1">IFERROR(__xludf.DUMMYFUNCTION("""COMPUTED_VALUE"""),44635000619)</f>
        <v>44635000619</v>
      </c>
      <c r="D426" s="43" t="str">
        <f ca="1">IFERROR(__xludf.DUMMYFUNCTION("""COMPUTED_VALUE"""),"BRK-B")</f>
        <v>BRK-B</v>
      </c>
      <c r="E426" s="147">
        <f ca="1">IFERROR(__xludf.DUMMYFUNCTION("""COMPUTED_VALUE"""),44635)</f>
        <v>44635</v>
      </c>
      <c r="F426" s="43" t="str">
        <f ca="1">IFERROR(__xludf.DUMMYFUNCTION("""COMPUTED_VALUE"""),"Stock")</f>
        <v>Stock</v>
      </c>
      <c r="G426" s="43" t="str">
        <f ca="1">IFERROR(__xludf.DUMMYFUNCTION("""COMPUTED_VALUE"""),"USD")</f>
        <v>USD</v>
      </c>
      <c r="H426" s="11">
        <f ca="1">IFERROR(__xludf.DUMMYFUNCTION("""COMPUTED_VALUE"""),100)</f>
        <v>100</v>
      </c>
      <c r="I426" s="148">
        <f ca="1">IFERROR(__xludf.DUMMYFUNCTION("""COMPUTED_VALUE"""),7.82695)</f>
        <v>7.8269500000000001</v>
      </c>
      <c r="J426" s="149">
        <f ca="1">IFERROR(__xludf.DUMMYFUNCTION("""COMPUTED_VALUE"""),332.55)</f>
        <v>332.55</v>
      </c>
      <c r="K426" s="43"/>
      <c r="L426" s="149">
        <f ca="1">IFERROR(__xludf.DUMMYFUNCTION("""COMPUTED_VALUE"""),349.93)</f>
        <v>349.93</v>
      </c>
      <c r="M426" s="160" t="str">
        <f ca="1">IFERROR(__xludf.DUMMYFUNCTION("""COMPUTED_VALUE"""),"Equity Key Stats")</f>
        <v>Equity Key Stats</v>
      </c>
      <c r="N426" s="43"/>
      <c r="O426" s="43"/>
      <c r="P426" s="150">
        <f ca="1">IFERROR(__xludf.DUMMYFUNCTION("""COMPUTED_VALUE"""),-260285.22225)</f>
        <v>-260285.22224999999</v>
      </c>
      <c r="Q426" s="151"/>
      <c r="R426" s="152">
        <f ca="1">IFERROR(__xludf.DUMMYFUNCTION("""COMPUTED_VALUE"""),348.16)</f>
        <v>348.16</v>
      </c>
      <c r="S426" s="127">
        <f ca="1">IFERROR(__xludf.DUMMYFUNCTION("""COMPUTED_VALUE"""),272503.0912)</f>
        <v>272503.09120000002</v>
      </c>
      <c r="T426" s="108">
        <f ca="1">IFERROR(__xludf.DUMMYFUNCTION("""COMPUTED_VALUE"""),3)</f>
        <v>3</v>
      </c>
      <c r="U426" s="108">
        <f ca="1">IFERROR(__xludf.DUMMYFUNCTION("""COMPUTED_VALUE"""),1)</f>
        <v>1</v>
      </c>
      <c r="V426" s="153">
        <f ca="1">IFERROR(__xludf.DUMMYFUNCTION("""COMPUTED_VALUE"""),19339.88263)</f>
        <v>19339.88263</v>
      </c>
      <c r="W426" s="145" t="str">
        <f ca="1">IFERROR(__xludf.DUMMYFUNCTION("""COMPUTED_VALUE"""),"")</f>
        <v/>
      </c>
      <c r="X426" s="11" t="str">
        <f ca="1">IFERROR(__xludf.DUMMYFUNCTION("""COMPUTED_VALUE"""),"")</f>
        <v/>
      </c>
      <c r="Y426" s="11" t="str">
        <f ca="1">IFERROR(__xludf.DUMMYFUNCTION("""COMPUTED_VALUE"""),"")</f>
        <v/>
      </c>
      <c r="Z426" s="4" t="str">
        <f ca="1">IFERROR(__xludf.DUMMYFUNCTION("""COMPUTED_VALUE"""),"")</f>
        <v/>
      </c>
    </row>
    <row r="427" spans="1:26" ht="13" x14ac:dyDescent="0.15">
      <c r="A427" s="43" t="str">
        <f ca="1">IFERROR(__xludf.DUMMYFUNCTION("""COMPUTED_VALUE"""),"")</f>
        <v/>
      </c>
      <c r="B427" s="43" t="str">
        <f ca="1">IFERROR(__xludf.DUMMYFUNCTION("""COMPUTED_VALUE"""),"74356")</f>
        <v>74356</v>
      </c>
      <c r="C427" s="146">
        <f ca="1">IFERROR(__xludf.DUMMYFUNCTION("""COMPUTED_VALUE"""),44635000624)</f>
        <v>44635000624</v>
      </c>
      <c r="D427" s="163" t="str">
        <f ca="1">IFERROR(__xludf.DUMMYFUNCTION("""COMPUTED_VALUE"""),"IXHL")</f>
        <v>IXHL</v>
      </c>
      <c r="E427" s="147">
        <f ca="1">IFERROR(__xludf.DUMMYFUNCTION("""COMPUTED_VALUE"""),44635)</f>
        <v>44635</v>
      </c>
      <c r="F427" s="43" t="str">
        <f ca="1">IFERROR(__xludf.DUMMYFUNCTION("""COMPUTED_VALUE"""),"Stock")</f>
        <v>Stock</v>
      </c>
      <c r="G427" s="43" t="str">
        <f ca="1">IFERROR(__xludf.DUMMYFUNCTION("""COMPUTED_VALUE"""),"USD")</f>
        <v>USD</v>
      </c>
      <c r="H427" s="154">
        <f ca="1">IFERROR(__xludf.DUMMYFUNCTION("""COMPUTED_VALUE"""),0)</f>
        <v>0</v>
      </c>
      <c r="I427" s="148">
        <f ca="1">IFERROR(__xludf.DUMMYFUNCTION("""COMPUTED_VALUE"""),7.82695)</f>
        <v>7.8269500000000001</v>
      </c>
      <c r="J427" s="149">
        <f ca="1">IFERROR(__xludf.DUMMYFUNCTION("""COMPUTED_VALUE"""),0)</f>
        <v>0</v>
      </c>
      <c r="K427" s="43"/>
      <c r="L427" s="149">
        <f ca="1">IFERROR(__xludf.DUMMYFUNCTION("""COMPUTED_VALUE"""),11.78)</f>
        <v>11.78</v>
      </c>
      <c r="M427" s="155" t="str">
        <f ca="1">IFERROR(__xludf.DUMMYFUNCTION("""COMPUTED_VALUE"""),"Equity Key Stats")</f>
        <v>Equity Key Stats</v>
      </c>
      <c r="N427" s="43"/>
      <c r="O427" s="43"/>
      <c r="P427" s="157">
        <f ca="1">IFERROR(__xludf.DUMMYFUNCTION("""COMPUTED_VALUE"""),0)</f>
        <v>0</v>
      </c>
      <c r="Q427" s="151"/>
      <c r="R427" s="152">
        <f ca="1">IFERROR(__xludf.DUMMYFUNCTION("""COMPUTED_VALUE"""),11.78)</f>
        <v>11.78</v>
      </c>
      <c r="S427" s="150">
        <f ca="1">IFERROR(__xludf.DUMMYFUNCTION("""COMPUTED_VALUE"""),0)</f>
        <v>0</v>
      </c>
      <c r="T427" s="108">
        <f ca="1">IFERROR(__xludf.DUMMYFUNCTION("""COMPUTED_VALUE"""),1)</f>
        <v>1</v>
      </c>
      <c r="U427" s="108">
        <f ca="1">IFERROR(__xludf.DUMMYFUNCTION("""COMPUTED_VALUE"""),1)</f>
        <v>1</v>
      </c>
      <c r="V427" s="153">
        <f ca="1">IFERROR(__xludf.DUMMYFUNCTION("""COMPUTED_VALUE"""),0)</f>
        <v>0</v>
      </c>
      <c r="W427" s="44" t="str">
        <f ca="1">IFERROR(__xludf.DUMMYFUNCTION("""COMPUTED_VALUE"""),"")</f>
        <v/>
      </c>
      <c r="X427" s="154" t="str">
        <f ca="1">IFERROR(__xludf.DUMMYFUNCTION("""COMPUTED_VALUE"""),"")</f>
        <v/>
      </c>
      <c r="Y427" s="154" t="str">
        <f ca="1">IFERROR(__xludf.DUMMYFUNCTION("""COMPUTED_VALUE"""),"")</f>
        <v/>
      </c>
      <c r="Z427" s="159" t="str">
        <f ca="1">IFERROR(__xludf.DUMMYFUNCTION("""COMPUTED_VALUE"""),"")</f>
        <v/>
      </c>
    </row>
    <row r="428" spans="1:26" ht="13" x14ac:dyDescent="0.15">
      <c r="A428" s="43" t="str">
        <f ca="1">IFERROR(__xludf.DUMMYFUNCTION("""COMPUTED_VALUE"""),"74356")</f>
        <v>74356</v>
      </c>
      <c r="B428" s="43" t="str">
        <f ca="1">IFERROR(__xludf.DUMMYFUNCTION("""COMPUTED_VALUE"""),"74356")</f>
        <v>74356</v>
      </c>
      <c r="C428" s="146">
        <f ca="1">IFERROR(__xludf.DUMMYFUNCTION("""COMPUTED_VALUE"""),44636000622)</f>
        <v>44636000622</v>
      </c>
      <c r="D428" s="161" t="str">
        <f ca="1">IFERROR(__xludf.DUMMYFUNCTION("""COMPUTED_VALUE"""),"1398.HK")</f>
        <v>1398.HK</v>
      </c>
      <c r="E428" s="147">
        <f ca="1">IFERROR(__xludf.DUMMYFUNCTION("""COMPUTED_VALUE"""),44636)</f>
        <v>44636</v>
      </c>
      <c r="F428" s="43" t="str">
        <f ca="1">IFERROR(__xludf.DUMMYFUNCTION("""COMPUTED_VALUE"""),"Stock")</f>
        <v>Stock</v>
      </c>
      <c r="G428" s="43" t="str">
        <f ca="1">IFERROR(__xludf.DUMMYFUNCTION("""COMPUTED_VALUE"""),"HKD")</f>
        <v>HKD</v>
      </c>
      <c r="H428" s="11">
        <f ca="1">IFERROR(__xludf.DUMMYFUNCTION("""COMPUTED_VALUE"""),-750)</f>
        <v>-750</v>
      </c>
      <c r="I428" s="148">
        <f ca="1">IFERROR(__xludf.DUMMYFUNCTION("""COMPUTED_VALUE"""),1)</f>
        <v>1</v>
      </c>
      <c r="J428" s="149">
        <f ca="1">IFERROR(__xludf.DUMMYFUNCTION("""COMPUTED_VALUE"""),4.43)</f>
        <v>4.43</v>
      </c>
      <c r="K428" s="43"/>
      <c r="L428" s="149">
        <f ca="1">IFERROR(__xludf.DUMMYFUNCTION("""COMPUTED_VALUE"""),4.63)</f>
        <v>4.63</v>
      </c>
      <c r="M428" s="160" t="str">
        <f ca="1">IFERROR(__xludf.DUMMYFUNCTION("""COMPUTED_VALUE"""),"Equity Key Stats")</f>
        <v>Equity Key Stats</v>
      </c>
      <c r="N428" s="43"/>
      <c r="O428" s="43"/>
      <c r="P428" s="150">
        <f ca="1">IFERROR(__xludf.DUMMYFUNCTION("""COMPUTED_VALUE"""),3322.5)</f>
        <v>3322.5</v>
      </c>
      <c r="Q428" s="151"/>
      <c r="R428" s="152">
        <f ca="1">IFERROR(__xludf.DUMMYFUNCTION("""COMPUTED_VALUE"""),4.63)</f>
        <v>4.63</v>
      </c>
      <c r="S428" s="127">
        <f ca="1">IFERROR(__xludf.DUMMYFUNCTION("""COMPUTED_VALUE"""),-3472.5)</f>
        <v>-3472.5</v>
      </c>
      <c r="T428" s="108">
        <f ca="1">IFERROR(__xludf.DUMMYFUNCTION("""COMPUTED_VALUE"""),3)</f>
        <v>3</v>
      </c>
      <c r="U428" s="108">
        <f ca="1">IFERROR(__xludf.DUMMYFUNCTION("""COMPUTED_VALUE"""),1)</f>
        <v>1</v>
      </c>
      <c r="V428" s="153">
        <f ca="1">IFERROR(__xludf.DUMMYFUNCTION("""COMPUTED_VALUE"""),-250)</f>
        <v>-250</v>
      </c>
      <c r="W428" s="44">
        <f ca="1">IFERROR(__xludf.DUMMYFUNCTION("""COMPUTED_VALUE"""),507035.628231)</f>
        <v>507035.62823099998</v>
      </c>
      <c r="X428" s="154">
        <f ca="1">IFERROR(__xludf.DUMMYFUNCTION("""COMPUTED_VALUE"""),122603.193902499)</f>
        <v>122603.193902499</v>
      </c>
      <c r="Y428" s="154">
        <f ca="1">IFERROR(__xludf.DUMMYFUNCTION("""COMPUTED_VALUE"""),0)</f>
        <v>0</v>
      </c>
      <c r="Z428" s="159">
        <f ca="1">IFERROR(__xludf.DUMMYFUNCTION("""COMPUTED_VALUE"""),0.014071256462)</f>
        <v>1.4071256462E-2</v>
      </c>
    </row>
    <row r="429" spans="1:26" ht="13" x14ac:dyDescent="0.15">
      <c r="A429" s="43" t="str">
        <f ca="1">IFERROR(__xludf.DUMMYFUNCTION("""COMPUTED_VALUE"""),"")</f>
        <v/>
      </c>
      <c r="B429" s="43" t="str">
        <f ca="1">IFERROR(__xludf.DUMMYFUNCTION("""COMPUTED_VALUE"""),"74641")</f>
        <v>74641</v>
      </c>
      <c r="C429" s="146">
        <f ca="1">IFERROR(__xludf.DUMMYFUNCTION("""COMPUTED_VALUE"""),44597000068)</f>
        <v>44597000068</v>
      </c>
      <c r="D429" s="43" t="str">
        <f ca="1">IFERROR(__xludf.DUMMYFUNCTION("""COMPUTED_VALUE"""),"Cash")</f>
        <v>Cash</v>
      </c>
      <c r="E429" s="147">
        <f ca="1">IFERROR(__xludf.DUMMYFUNCTION("""COMPUTED_VALUE"""),44597)</f>
        <v>44597</v>
      </c>
      <c r="F429" s="43" t="str">
        <f ca="1">IFERROR(__xludf.DUMMYFUNCTION("""COMPUTED_VALUE"""),"Cash")</f>
        <v>Cash</v>
      </c>
      <c r="G429" s="43" t="str">
        <f ca="1">IFERROR(__xludf.DUMMYFUNCTION("""COMPUTED_VALUE"""),"HKD")</f>
        <v>HKD</v>
      </c>
      <c r="H429" s="11" t="str">
        <f ca="1">IFERROR(__xludf.DUMMYFUNCTION("""COMPUTED_VALUE"""),"")</f>
        <v/>
      </c>
      <c r="I429" s="148">
        <f ca="1">IFERROR(__xludf.DUMMYFUNCTION("""COMPUTED_VALUE"""),1)</f>
        <v>1</v>
      </c>
      <c r="J429" s="108">
        <f ca="1">IFERROR(__xludf.DUMMYFUNCTION("""COMPUTED_VALUE"""),1)</f>
        <v>1</v>
      </c>
      <c r="K429" s="43"/>
      <c r="L429" s="149">
        <f ca="1">IFERROR(__xludf.DUMMYFUNCTION("""COMPUTED_VALUE"""),1)</f>
        <v>1</v>
      </c>
      <c r="M429" s="3" t="str">
        <f ca="1">IFERROR(__xludf.DUMMYFUNCTION("""COMPUTED_VALUE"""),"")</f>
        <v/>
      </c>
      <c r="N429" s="43"/>
      <c r="O429" s="43"/>
      <c r="P429" s="150">
        <f ca="1">IFERROR(__xludf.DUMMYFUNCTION("""COMPUTED_VALUE"""),500000)</f>
        <v>500000</v>
      </c>
      <c r="Q429" s="151"/>
      <c r="R429" s="152">
        <f ca="1">IFERROR(__xludf.DUMMYFUNCTION("""COMPUTED_VALUE"""),1)</f>
        <v>1</v>
      </c>
      <c r="S429" s="127" t="str">
        <f ca="1">IFERROR(__xludf.DUMMYFUNCTION("""COMPUTED_VALUE"""),"")</f>
        <v/>
      </c>
      <c r="T429" s="108">
        <f ca="1">IFERROR(__xludf.DUMMYFUNCTION("""COMPUTED_VALUE"""),1)</f>
        <v>1</v>
      </c>
      <c r="U429" s="108">
        <f ca="1">IFERROR(__xludf.DUMMYFUNCTION("""COMPUTED_VALUE"""),1)</f>
        <v>1</v>
      </c>
      <c r="V429" s="153">
        <f ca="1">IFERROR(__xludf.DUMMYFUNCTION("""COMPUTED_VALUE"""),500000)</f>
        <v>500000</v>
      </c>
      <c r="W429" s="145" t="str">
        <f ca="1">IFERROR(__xludf.DUMMYFUNCTION("""COMPUTED_VALUE"""),"")</f>
        <v/>
      </c>
      <c r="X429" s="11" t="str">
        <f ca="1">IFERROR(__xludf.DUMMYFUNCTION("""COMPUTED_VALUE"""),"")</f>
        <v/>
      </c>
      <c r="Y429" s="11" t="str">
        <f ca="1">IFERROR(__xludf.DUMMYFUNCTION("""COMPUTED_VALUE"""),"")</f>
        <v/>
      </c>
      <c r="Z429" s="4" t="str">
        <f ca="1">IFERROR(__xludf.DUMMYFUNCTION("""COMPUTED_VALUE"""),"")</f>
        <v/>
      </c>
    </row>
    <row r="430" spans="1:26" ht="13" x14ac:dyDescent="0.15">
      <c r="A430" s="43" t="str">
        <f ca="1">IFERROR(__xludf.DUMMYFUNCTION("""COMPUTED_VALUE"""),"")</f>
        <v/>
      </c>
      <c r="B430" s="43" t="str">
        <f ca="1">IFERROR(__xludf.DUMMYFUNCTION("""COMPUTED_VALUE"""),"74641")</f>
        <v>74641</v>
      </c>
      <c r="C430" s="146">
        <f ca="1">IFERROR(__xludf.DUMMYFUNCTION("""COMPUTED_VALUE"""),44602000155)</f>
        <v>44602000155</v>
      </c>
      <c r="D430" s="163" t="str">
        <f ca="1">IFERROR(__xludf.DUMMYFUNCTION("""COMPUTED_VALUE"""),"601168.ss")</f>
        <v>601168.ss</v>
      </c>
      <c r="E430" s="147">
        <f ca="1">IFERROR(__xludf.DUMMYFUNCTION("""COMPUTED_VALUE"""),44602)</f>
        <v>44602</v>
      </c>
      <c r="F430" s="43" t="str">
        <f ca="1">IFERROR(__xludf.DUMMYFUNCTION("""COMPUTED_VALUE"""),"Stock")</f>
        <v>Stock</v>
      </c>
      <c r="G430" s="43" t="str">
        <f ca="1">IFERROR(__xludf.DUMMYFUNCTION("""COMPUTED_VALUE"""),"CNY")</f>
        <v>CNY</v>
      </c>
      <c r="H430" s="154">
        <f ca="1">IFERROR(__xludf.DUMMYFUNCTION("""COMPUTED_VALUE"""),0)</f>
        <v>0</v>
      </c>
      <c r="I430" s="148">
        <f ca="1">IFERROR(__xludf.DUMMYFUNCTION("""COMPUTED_VALUE"""),1.226976)</f>
        <v>1.2269760000000001</v>
      </c>
      <c r="J430" s="149">
        <f ca="1">IFERROR(__xludf.DUMMYFUNCTION("""COMPUTED_VALUE"""),0)</f>
        <v>0</v>
      </c>
      <c r="K430" s="43"/>
      <c r="L430" s="149">
        <f ca="1">IFERROR(__xludf.DUMMYFUNCTION("""COMPUTED_VALUE"""),14.82)</f>
        <v>14.82</v>
      </c>
      <c r="M430" s="155" t="str">
        <f ca="1">IFERROR(__xludf.DUMMYFUNCTION("""COMPUTED_VALUE"""),"Equity Key Stats")</f>
        <v>Equity Key Stats</v>
      </c>
      <c r="N430" s="43"/>
      <c r="O430" s="43"/>
      <c r="P430" s="157">
        <f ca="1">IFERROR(__xludf.DUMMYFUNCTION("""COMPUTED_VALUE"""),0)</f>
        <v>0</v>
      </c>
      <c r="Q430" s="151"/>
      <c r="R430" s="152">
        <f ca="1">IFERROR(__xludf.DUMMYFUNCTION("""COMPUTED_VALUE"""),14.8)</f>
        <v>14.8</v>
      </c>
      <c r="S430" s="150">
        <f ca="1">IFERROR(__xludf.DUMMYFUNCTION("""COMPUTED_VALUE"""),0)</f>
        <v>0</v>
      </c>
      <c r="T430" s="108">
        <f ca="1">IFERROR(__xludf.DUMMYFUNCTION("""COMPUTED_VALUE"""),1)</f>
        <v>1</v>
      </c>
      <c r="U430" s="43">
        <f ca="1">IFERROR(__xludf.DUMMYFUNCTION("""COMPUTED_VALUE"""),1)</f>
        <v>1</v>
      </c>
      <c r="V430" s="144">
        <f ca="1">IFERROR(__xludf.DUMMYFUNCTION("""COMPUTED_VALUE"""),0)</f>
        <v>0</v>
      </c>
      <c r="W430" s="145" t="str">
        <f ca="1">IFERROR(__xludf.DUMMYFUNCTION("""COMPUTED_VALUE"""),"")</f>
        <v/>
      </c>
      <c r="X430" s="11" t="str">
        <f ca="1">IFERROR(__xludf.DUMMYFUNCTION("""COMPUTED_VALUE"""),"")</f>
        <v/>
      </c>
      <c r="Y430" s="11" t="str">
        <f ca="1">IFERROR(__xludf.DUMMYFUNCTION("""COMPUTED_VALUE"""),"")</f>
        <v/>
      </c>
      <c r="Z430" s="4" t="str">
        <f ca="1">IFERROR(__xludf.DUMMYFUNCTION("""COMPUTED_VALUE"""),"")</f>
        <v/>
      </c>
    </row>
    <row r="431" spans="1:26" ht="13" x14ac:dyDescent="0.15">
      <c r="A431" s="43" t="str">
        <f ca="1">IFERROR(__xludf.DUMMYFUNCTION("""COMPUTED_VALUE"""),"")</f>
        <v/>
      </c>
      <c r="B431" s="43" t="str">
        <f ca="1">IFERROR(__xludf.DUMMYFUNCTION("""COMPUTED_VALUE"""),"74641")</f>
        <v>74641</v>
      </c>
      <c r="C431" s="146">
        <f ca="1">IFERROR(__xludf.DUMMYFUNCTION("""COMPUTED_VALUE"""),44606000180)</f>
        <v>44606000180</v>
      </c>
      <c r="D431" s="163" t="str">
        <f ca="1">IFERROR(__xludf.DUMMYFUNCTION("""COMPUTED_VALUE"""),"600986.ss")</f>
        <v>600986.ss</v>
      </c>
      <c r="E431" s="147">
        <f ca="1">IFERROR(__xludf.DUMMYFUNCTION("""COMPUTED_VALUE"""),44606)</f>
        <v>44606</v>
      </c>
      <c r="F431" s="43" t="str">
        <f ca="1">IFERROR(__xludf.DUMMYFUNCTION("""COMPUTED_VALUE"""),"Stock")</f>
        <v>Stock</v>
      </c>
      <c r="G431" s="43" t="str">
        <f ca="1">IFERROR(__xludf.DUMMYFUNCTION("""COMPUTED_VALUE"""),"CNY")</f>
        <v>CNY</v>
      </c>
      <c r="H431" s="154">
        <f ca="1">IFERROR(__xludf.DUMMYFUNCTION("""COMPUTED_VALUE"""),1000)</f>
        <v>1000</v>
      </c>
      <c r="I431" s="148">
        <f ca="1">IFERROR(__xludf.DUMMYFUNCTION("""COMPUTED_VALUE"""),1.227407)</f>
        <v>1.2274069999999999</v>
      </c>
      <c r="J431" s="149">
        <f ca="1">IFERROR(__xludf.DUMMYFUNCTION("""COMPUTED_VALUE"""),6.63)</f>
        <v>6.63</v>
      </c>
      <c r="K431" s="43"/>
      <c r="L431" s="149">
        <f ca="1">IFERROR(__xludf.DUMMYFUNCTION("""COMPUTED_VALUE"""),6.38)</f>
        <v>6.38</v>
      </c>
      <c r="M431" s="155" t="str">
        <f ca="1">IFERROR(__xludf.DUMMYFUNCTION("""COMPUTED_VALUE"""),"Equity Key Stats")</f>
        <v>Equity Key Stats</v>
      </c>
      <c r="N431" s="43"/>
      <c r="O431" s="43"/>
      <c r="P431" s="157">
        <f ca="1">IFERROR(__xludf.DUMMYFUNCTION("""COMPUTED_VALUE"""),-8137.70840999999)</f>
        <v>-8137.7084099999902</v>
      </c>
      <c r="Q431" s="151"/>
      <c r="R431" s="152">
        <f ca="1">IFERROR(__xludf.DUMMYFUNCTION("""COMPUTED_VALUE"""),6.24)</f>
        <v>6.24</v>
      </c>
      <c r="S431" s="150">
        <f ca="1">IFERROR(__xludf.DUMMYFUNCTION("""COMPUTED_VALUE"""),7659.01967999999)</f>
        <v>7659.0196799999903</v>
      </c>
      <c r="T431" s="108">
        <f ca="1">IFERROR(__xludf.DUMMYFUNCTION("""COMPUTED_VALUE"""),1)</f>
        <v>1</v>
      </c>
      <c r="U431" s="43">
        <f ca="1">IFERROR(__xludf.DUMMYFUNCTION("""COMPUTED_VALUE"""),1)</f>
        <v>1</v>
      </c>
      <c r="V431" s="144">
        <f ca="1">IFERROR(__xludf.DUMMYFUNCTION("""COMPUTED_VALUE"""),-478.688729999999)</f>
        <v>-478.688729999999</v>
      </c>
      <c r="W431" s="145" t="str">
        <f ca="1">IFERROR(__xludf.DUMMYFUNCTION("""COMPUTED_VALUE"""),"")</f>
        <v/>
      </c>
      <c r="X431" s="11" t="str">
        <f ca="1">IFERROR(__xludf.DUMMYFUNCTION("""COMPUTED_VALUE"""),"")</f>
        <v/>
      </c>
      <c r="Y431" s="11" t="str">
        <f ca="1">IFERROR(__xludf.DUMMYFUNCTION("""COMPUTED_VALUE"""),"")</f>
        <v/>
      </c>
      <c r="Z431" s="4" t="str">
        <f ca="1">IFERROR(__xludf.DUMMYFUNCTION("""COMPUTED_VALUE"""),"")</f>
        <v/>
      </c>
    </row>
    <row r="432" spans="1:26" ht="13" x14ac:dyDescent="0.15">
      <c r="A432" s="43" t="str">
        <f ca="1">IFERROR(__xludf.DUMMYFUNCTION("""COMPUTED_VALUE"""),"")</f>
        <v/>
      </c>
      <c r="B432" s="43" t="str">
        <f ca="1">IFERROR(__xludf.DUMMYFUNCTION("""COMPUTED_VALUE"""),"74641")</f>
        <v>74641</v>
      </c>
      <c r="C432" s="146">
        <f ca="1">IFERROR(__xludf.DUMMYFUNCTION("""COMPUTED_VALUE"""),44613000291)</f>
        <v>44613000291</v>
      </c>
      <c r="D432" s="163" t="str">
        <f ca="1">IFERROR(__xludf.DUMMYFUNCTION("""COMPUTED_VALUE"""),"002230.SZ")</f>
        <v>002230.SZ</v>
      </c>
      <c r="E432" s="147">
        <f ca="1">IFERROR(__xludf.DUMMYFUNCTION("""COMPUTED_VALUE"""),44613)</f>
        <v>44613</v>
      </c>
      <c r="F432" s="43" t="str">
        <f ca="1">IFERROR(__xludf.DUMMYFUNCTION("""COMPUTED_VALUE"""),"Stock")</f>
        <v>Stock</v>
      </c>
      <c r="G432" s="43" t="str">
        <f ca="1">IFERROR(__xludf.DUMMYFUNCTION("""COMPUTED_VALUE"""),"CNY")</f>
        <v>CNY</v>
      </c>
      <c r="H432" s="154">
        <f ca="1">IFERROR(__xludf.DUMMYFUNCTION("""COMPUTED_VALUE"""),0)</f>
        <v>0</v>
      </c>
      <c r="I432" s="148">
        <f ca="1">IFERROR(__xludf.DUMMYFUNCTION("""COMPUTED_VALUE"""),1.231258)</f>
        <v>1.231258</v>
      </c>
      <c r="J432" s="149">
        <f ca="1">IFERROR(__xludf.DUMMYFUNCTION("""COMPUTED_VALUE"""),0)</f>
        <v>0</v>
      </c>
      <c r="K432" s="43"/>
      <c r="L432" s="149">
        <f ca="1">IFERROR(__xludf.DUMMYFUNCTION("""COMPUTED_VALUE"""),48.21)</f>
        <v>48.21</v>
      </c>
      <c r="M432" s="155" t="str">
        <f ca="1">IFERROR(__xludf.DUMMYFUNCTION("""COMPUTED_VALUE"""),"Equity Key Stats")</f>
        <v>Equity Key Stats</v>
      </c>
      <c r="N432" s="43"/>
      <c r="O432" s="43"/>
      <c r="P432" s="157">
        <f ca="1">IFERROR(__xludf.DUMMYFUNCTION("""COMPUTED_VALUE"""),0)</f>
        <v>0</v>
      </c>
      <c r="Q432" s="151"/>
      <c r="R432" s="152">
        <f ca="1">IFERROR(__xludf.DUMMYFUNCTION("""COMPUTED_VALUE"""),47.89)</f>
        <v>47.89</v>
      </c>
      <c r="S432" s="150">
        <f ca="1">IFERROR(__xludf.DUMMYFUNCTION("""COMPUTED_VALUE"""),0)</f>
        <v>0</v>
      </c>
      <c r="T432" s="108">
        <f ca="1">IFERROR(__xludf.DUMMYFUNCTION("""COMPUTED_VALUE"""),1)</f>
        <v>1</v>
      </c>
      <c r="U432" s="108">
        <f ca="1">IFERROR(__xludf.DUMMYFUNCTION("""COMPUTED_VALUE"""),1)</f>
        <v>1</v>
      </c>
      <c r="V432" s="158">
        <f ca="1">IFERROR(__xludf.DUMMYFUNCTION("""COMPUTED_VALUE"""),0)</f>
        <v>0</v>
      </c>
      <c r="W432" s="145" t="str">
        <f ca="1">IFERROR(__xludf.DUMMYFUNCTION("""COMPUTED_VALUE"""),"")</f>
        <v/>
      </c>
      <c r="X432" s="11" t="str">
        <f ca="1">IFERROR(__xludf.DUMMYFUNCTION("""COMPUTED_VALUE"""),"")</f>
        <v/>
      </c>
      <c r="Y432" s="11" t="str">
        <f ca="1">IFERROR(__xludf.DUMMYFUNCTION("""COMPUTED_VALUE"""),"")</f>
        <v/>
      </c>
      <c r="Z432" s="4" t="str">
        <f ca="1">IFERROR(__xludf.DUMMYFUNCTION("""COMPUTED_VALUE"""),"")</f>
        <v/>
      </c>
    </row>
    <row r="433" spans="1:26" ht="13" x14ac:dyDescent="0.15">
      <c r="A433" s="43" t="str">
        <f ca="1">IFERROR(__xludf.DUMMYFUNCTION("""COMPUTED_VALUE"""),"74641")</f>
        <v>74641</v>
      </c>
      <c r="B433" s="43" t="str">
        <f ca="1">IFERROR(__xludf.DUMMYFUNCTION("""COMPUTED_VALUE"""),"74641")</f>
        <v>74641</v>
      </c>
      <c r="C433" s="146">
        <f ca="1">IFERROR(__xludf.DUMMYFUNCTION("""COMPUTED_VALUE"""),44621000389)</f>
        <v>44621000389</v>
      </c>
      <c r="D433" s="163" t="str">
        <f ca="1">IFERROR(__xludf.DUMMYFUNCTION("""COMPUTED_VALUE"""),"002475.SZ")</f>
        <v>002475.SZ</v>
      </c>
      <c r="E433" s="147">
        <f ca="1">IFERROR(__xludf.DUMMYFUNCTION("""COMPUTED_VALUE"""),44621)</f>
        <v>44621</v>
      </c>
      <c r="F433" s="43" t="str">
        <f ca="1">IFERROR(__xludf.DUMMYFUNCTION("""COMPUTED_VALUE"""),"Stock")</f>
        <v>Stock</v>
      </c>
      <c r="G433" s="43" t="str">
        <f ca="1">IFERROR(__xludf.DUMMYFUNCTION("""COMPUTED_VALUE"""),"CNY")</f>
        <v>CNY</v>
      </c>
      <c r="H433" s="154">
        <f ca="1">IFERROR(__xludf.DUMMYFUNCTION("""COMPUTED_VALUE"""),500)</f>
        <v>500</v>
      </c>
      <c r="I433" s="148">
        <f ca="1">IFERROR(__xludf.DUMMYFUNCTION("""COMPUTED_VALUE"""),1.238392)</f>
        <v>1.2383919999999999</v>
      </c>
      <c r="J433" s="149">
        <f ca="1">IFERROR(__xludf.DUMMYFUNCTION("""COMPUTED_VALUE"""),43)</f>
        <v>43</v>
      </c>
      <c r="K433" s="43"/>
      <c r="L433" s="149">
        <f ca="1">IFERROR(__xludf.DUMMYFUNCTION("""COMPUTED_VALUE"""),34.92)</f>
        <v>34.92</v>
      </c>
      <c r="M433" s="155" t="str">
        <f ca="1">IFERROR(__xludf.DUMMYFUNCTION("""COMPUTED_VALUE"""),"Equity Key Stats")</f>
        <v>Equity Key Stats</v>
      </c>
      <c r="N433" s="43"/>
      <c r="O433" s="43"/>
      <c r="P433" s="157">
        <f ca="1">IFERROR(__xludf.DUMMYFUNCTION("""COMPUTED_VALUE"""),-26625.4279999999)</f>
        <v>-26625.427999999902</v>
      </c>
      <c r="Q433" s="151"/>
      <c r="R433" s="152">
        <f ca="1">IFERROR(__xludf.DUMMYFUNCTION("""COMPUTED_VALUE"""),35.19)</f>
        <v>35.19</v>
      </c>
      <c r="S433" s="150">
        <f ca="1">IFERROR(__xludf.DUMMYFUNCTION("""COMPUTED_VALUE"""),21789.5072399999)</f>
        <v>21789.507239999901</v>
      </c>
      <c r="T433" s="108">
        <f ca="1">IFERROR(__xludf.DUMMYFUNCTION("""COMPUTED_VALUE"""),1)</f>
        <v>1</v>
      </c>
      <c r="U433" s="108">
        <f ca="1">IFERROR(__xludf.DUMMYFUNCTION("""COMPUTED_VALUE"""),1)</f>
        <v>1</v>
      </c>
      <c r="V433" s="158">
        <f ca="1">IFERROR(__xludf.DUMMYFUNCTION("""COMPUTED_VALUE"""),-4835.92076)</f>
        <v>-4835.92076</v>
      </c>
      <c r="W433" s="44">
        <f ca="1">IFERROR(__xludf.DUMMYFUNCTION("""COMPUTED_VALUE"""),494685.39051)</f>
        <v>494685.39051</v>
      </c>
      <c r="X433" s="154">
        <f ca="1">IFERROR(__xludf.DUMMYFUNCTION("""COMPUTED_VALUE"""),465236.863589999)</f>
        <v>465236.86358999897</v>
      </c>
      <c r="Y433" s="154">
        <f ca="1">IFERROR(__xludf.DUMMYFUNCTION("""COMPUTED_VALUE"""),0)</f>
        <v>0</v>
      </c>
      <c r="Z433" s="162">
        <f ca="1">IFERROR(__xludf.DUMMYFUNCTION("""COMPUTED_VALUE"""),-0.01062921898)</f>
        <v>-1.0629218980000001E-2</v>
      </c>
    </row>
    <row r="434" spans="1:26" ht="13" x14ac:dyDescent="0.15">
      <c r="A434" s="43" t="str">
        <f ca="1">IFERROR(__xludf.DUMMYFUNCTION("""COMPUTED_VALUE"""),"74972")</f>
        <v>74972</v>
      </c>
      <c r="B434" s="43" t="str">
        <f ca="1">IFERROR(__xludf.DUMMYFUNCTION("""COMPUTED_VALUE"""),"74972")</f>
        <v>74972</v>
      </c>
      <c r="C434" s="146">
        <f ca="1">IFERROR(__xludf.DUMMYFUNCTION("""COMPUTED_VALUE"""),44597000013)</f>
        <v>44597000013</v>
      </c>
      <c r="D434" s="43" t="str">
        <f ca="1">IFERROR(__xludf.DUMMYFUNCTION("""COMPUTED_VALUE"""),"Cash")</f>
        <v>Cash</v>
      </c>
      <c r="E434" s="147">
        <f ca="1">IFERROR(__xludf.DUMMYFUNCTION("""COMPUTED_VALUE"""),44597)</f>
        <v>44597</v>
      </c>
      <c r="F434" s="43" t="str">
        <f ca="1">IFERROR(__xludf.DUMMYFUNCTION("""COMPUTED_VALUE"""),"Cash")</f>
        <v>Cash</v>
      </c>
      <c r="G434" s="43" t="str">
        <f ca="1">IFERROR(__xludf.DUMMYFUNCTION("""COMPUTED_VALUE"""),"HKD")</f>
        <v>HKD</v>
      </c>
      <c r="H434" s="11" t="str">
        <f ca="1">IFERROR(__xludf.DUMMYFUNCTION("""COMPUTED_VALUE"""),"")</f>
        <v/>
      </c>
      <c r="I434" s="148">
        <f ca="1">IFERROR(__xludf.DUMMYFUNCTION("""COMPUTED_VALUE"""),1)</f>
        <v>1</v>
      </c>
      <c r="J434" s="108">
        <f ca="1">IFERROR(__xludf.DUMMYFUNCTION("""COMPUTED_VALUE"""),1)</f>
        <v>1</v>
      </c>
      <c r="K434" s="43"/>
      <c r="L434" s="149">
        <f ca="1">IFERROR(__xludf.DUMMYFUNCTION("""COMPUTED_VALUE"""),1)</f>
        <v>1</v>
      </c>
      <c r="M434" s="3" t="str">
        <f ca="1">IFERROR(__xludf.DUMMYFUNCTION("""COMPUTED_VALUE"""),"")</f>
        <v/>
      </c>
      <c r="N434" s="43"/>
      <c r="O434" s="43"/>
      <c r="P434" s="150">
        <f ca="1">IFERROR(__xludf.DUMMYFUNCTION("""COMPUTED_VALUE"""),500000)</f>
        <v>500000</v>
      </c>
      <c r="Q434" s="151"/>
      <c r="R434" s="152">
        <f ca="1">IFERROR(__xludf.DUMMYFUNCTION("""COMPUTED_VALUE"""),1)</f>
        <v>1</v>
      </c>
      <c r="S434" s="127" t="str">
        <f ca="1">IFERROR(__xludf.DUMMYFUNCTION("""COMPUTED_VALUE"""),"")</f>
        <v/>
      </c>
      <c r="T434" s="108">
        <f ca="1">IFERROR(__xludf.DUMMYFUNCTION("""COMPUTED_VALUE"""),1)</f>
        <v>1</v>
      </c>
      <c r="U434" s="108">
        <f ca="1">IFERROR(__xludf.DUMMYFUNCTION("""COMPUTED_VALUE"""),1)</f>
        <v>1</v>
      </c>
      <c r="V434" s="153">
        <f ca="1">IFERROR(__xludf.DUMMYFUNCTION("""COMPUTED_VALUE"""),500000)</f>
        <v>500000</v>
      </c>
      <c r="W434" s="145">
        <f ca="1">IFERROR(__xludf.DUMMYFUNCTION("""COMPUTED_VALUE"""),500000)</f>
        <v>500000</v>
      </c>
      <c r="X434" s="11">
        <f ca="1">IFERROR(__xludf.DUMMYFUNCTION("""COMPUTED_VALUE"""),500000)</f>
        <v>500000</v>
      </c>
      <c r="Y434" s="11">
        <f ca="1">IFERROR(__xludf.DUMMYFUNCTION("""COMPUTED_VALUE"""),0)</f>
        <v>0</v>
      </c>
      <c r="Z434" s="4">
        <f ca="1">IFERROR(__xludf.DUMMYFUNCTION("""COMPUTED_VALUE"""),0)</f>
        <v>0</v>
      </c>
    </row>
    <row r="435" spans="1:26" ht="13" x14ac:dyDescent="0.15">
      <c r="A435" s="43" t="str">
        <f ca="1">IFERROR(__xludf.DUMMYFUNCTION("""COMPUTED_VALUE"""),"75005")</f>
        <v>75005</v>
      </c>
      <c r="B435" s="43" t="str">
        <f ca="1">IFERROR(__xludf.DUMMYFUNCTION("""COMPUTED_VALUE"""),"75005")</f>
        <v>75005</v>
      </c>
      <c r="C435" s="146">
        <f ca="1">IFERROR(__xludf.DUMMYFUNCTION("""COMPUTED_VALUE"""),44597000100)</f>
        <v>44597000100</v>
      </c>
      <c r="D435" s="163" t="str">
        <f ca="1">IFERROR(__xludf.DUMMYFUNCTION("""COMPUTED_VALUE"""),"Cash")</f>
        <v>Cash</v>
      </c>
      <c r="E435" s="147">
        <f ca="1">IFERROR(__xludf.DUMMYFUNCTION("""COMPUTED_VALUE"""),44597)</f>
        <v>44597</v>
      </c>
      <c r="F435" s="43" t="str">
        <f ca="1">IFERROR(__xludf.DUMMYFUNCTION("""COMPUTED_VALUE"""),"Cash")</f>
        <v>Cash</v>
      </c>
      <c r="G435" s="43" t="str">
        <f ca="1">IFERROR(__xludf.DUMMYFUNCTION("""COMPUTED_VALUE"""),"HKD")</f>
        <v>HKD</v>
      </c>
      <c r="H435" s="154" t="str">
        <f ca="1">IFERROR(__xludf.DUMMYFUNCTION("""COMPUTED_VALUE"""),"")</f>
        <v/>
      </c>
      <c r="I435" s="148">
        <f ca="1">IFERROR(__xludf.DUMMYFUNCTION("""COMPUTED_VALUE"""),1)</f>
        <v>1</v>
      </c>
      <c r="J435" s="149">
        <f ca="1">IFERROR(__xludf.DUMMYFUNCTION("""COMPUTED_VALUE"""),1)</f>
        <v>1</v>
      </c>
      <c r="K435" s="43"/>
      <c r="L435" s="149">
        <f ca="1">IFERROR(__xludf.DUMMYFUNCTION("""COMPUTED_VALUE"""),1)</f>
        <v>1</v>
      </c>
      <c r="M435" s="155" t="str">
        <f ca="1">IFERROR(__xludf.DUMMYFUNCTION("""COMPUTED_VALUE"""),"")</f>
        <v/>
      </c>
      <c r="N435" s="43"/>
      <c r="O435" s="43"/>
      <c r="P435" s="157">
        <f ca="1">IFERROR(__xludf.DUMMYFUNCTION("""COMPUTED_VALUE"""),500000)</f>
        <v>500000</v>
      </c>
      <c r="Q435" s="151"/>
      <c r="R435" s="152">
        <f ca="1">IFERROR(__xludf.DUMMYFUNCTION("""COMPUTED_VALUE"""),1)</f>
        <v>1</v>
      </c>
      <c r="S435" s="150" t="str">
        <f ca="1">IFERROR(__xludf.DUMMYFUNCTION("""COMPUTED_VALUE"""),"")</f>
        <v/>
      </c>
      <c r="T435" s="108">
        <f ca="1">IFERROR(__xludf.DUMMYFUNCTION("""COMPUTED_VALUE"""),1)</f>
        <v>1</v>
      </c>
      <c r="U435" s="108">
        <f ca="1">IFERROR(__xludf.DUMMYFUNCTION("""COMPUTED_VALUE"""),1)</f>
        <v>1</v>
      </c>
      <c r="V435" s="153">
        <f ca="1">IFERROR(__xludf.DUMMYFUNCTION("""COMPUTED_VALUE"""),500000)</f>
        <v>500000</v>
      </c>
      <c r="W435" s="145">
        <f ca="1">IFERROR(__xludf.DUMMYFUNCTION("""COMPUTED_VALUE"""),500000)</f>
        <v>500000</v>
      </c>
      <c r="X435" s="11">
        <f ca="1">IFERROR(__xludf.DUMMYFUNCTION("""COMPUTED_VALUE"""),500000)</f>
        <v>500000</v>
      </c>
      <c r="Y435" s="11">
        <f ca="1">IFERROR(__xludf.DUMMYFUNCTION("""COMPUTED_VALUE"""),0)</f>
        <v>0</v>
      </c>
      <c r="Z435" s="4">
        <f ca="1">IFERROR(__xludf.DUMMYFUNCTION("""COMPUTED_VALUE"""),0)</f>
        <v>0</v>
      </c>
    </row>
    <row r="436" spans="1:26" ht="13" x14ac:dyDescent="0.15">
      <c r="A436" s="43" t="str">
        <f ca="1">IFERROR(__xludf.DUMMYFUNCTION("""COMPUTED_VALUE"""),"")</f>
        <v/>
      </c>
      <c r="B436" s="43" t="str">
        <f ca="1">IFERROR(__xludf.DUMMYFUNCTION("""COMPUTED_VALUE"""),"75076")</f>
        <v>75076</v>
      </c>
      <c r="C436" s="146">
        <f ca="1">IFERROR(__xludf.DUMMYFUNCTION("""COMPUTED_VALUE"""),44597000107)</f>
        <v>44597000107</v>
      </c>
      <c r="D436" s="163" t="str">
        <f ca="1">IFERROR(__xludf.DUMMYFUNCTION("""COMPUTED_VALUE"""),"Cash")</f>
        <v>Cash</v>
      </c>
      <c r="E436" s="147">
        <f ca="1">IFERROR(__xludf.DUMMYFUNCTION("""COMPUTED_VALUE"""),44597)</f>
        <v>44597</v>
      </c>
      <c r="F436" s="43" t="str">
        <f ca="1">IFERROR(__xludf.DUMMYFUNCTION("""COMPUTED_VALUE"""),"Cash")</f>
        <v>Cash</v>
      </c>
      <c r="G436" s="43" t="str">
        <f ca="1">IFERROR(__xludf.DUMMYFUNCTION("""COMPUTED_VALUE"""),"HKD")</f>
        <v>HKD</v>
      </c>
      <c r="H436" s="154" t="str">
        <f ca="1">IFERROR(__xludf.DUMMYFUNCTION("""COMPUTED_VALUE"""),"")</f>
        <v/>
      </c>
      <c r="I436" s="148">
        <f ca="1">IFERROR(__xludf.DUMMYFUNCTION("""COMPUTED_VALUE"""),1)</f>
        <v>1</v>
      </c>
      <c r="J436" s="149">
        <f ca="1">IFERROR(__xludf.DUMMYFUNCTION("""COMPUTED_VALUE"""),1)</f>
        <v>1</v>
      </c>
      <c r="K436" s="43"/>
      <c r="L436" s="149">
        <f ca="1">IFERROR(__xludf.DUMMYFUNCTION("""COMPUTED_VALUE"""),1)</f>
        <v>1</v>
      </c>
      <c r="M436" s="155" t="str">
        <f ca="1">IFERROR(__xludf.DUMMYFUNCTION("""COMPUTED_VALUE"""),"")</f>
        <v/>
      </c>
      <c r="N436" s="43"/>
      <c r="O436" s="43"/>
      <c r="P436" s="157">
        <f ca="1">IFERROR(__xludf.DUMMYFUNCTION("""COMPUTED_VALUE"""),500000)</f>
        <v>500000</v>
      </c>
      <c r="Q436" s="151"/>
      <c r="R436" s="152">
        <f ca="1">IFERROR(__xludf.DUMMYFUNCTION("""COMPUTED_VALUE"""),1)</f>
        <v>1</v>
      </c>
      <c r="S436" s="150" t="str">
        <f ca="1">IFERROR(__xludf.DUMMYFUNCTION("""COMPUTED_VALUE"""),"")</f>
        <v/>
      </c>
      <c r="T436" s="108">
        <f ca="1">IFERROR(__xludf.DUMMYFUNCTION("""COMPUTED_VALUE"""),1)</f>
        <v>1</v>
      </c>
      <c r="U436" s="108">
        <f ca="1">IFERROR(__xludf.DUMMYFUNCTION("""COMPUTED_VALUE"""),1)</f>
        <v>1</v>
      </c>
      <c r="V436" s="153">
        <f ca="1">IFERROR(__xludf.DUMMYFUNCTION("""COMPUTED_VALUE"""),500000)</f>
        <v>500000</v>
      </c>
      <c r="W436" s="145" t="str">
        <f ca="1">IFERROR(__xludf.DUMMYFUNCTION("""COMPUTED_VALUE"""),"")</f>
        <v/>
      </c>
      <c r="X436" s="11" t="str">
        <f ca="1">IFERROR(__xludf.DUMMYFUNCTION("""COMPUTED_VALUE"""),"")</f>
        <v/>
      </c>
      <c r="Y436" s="11" t="str">
        <f ca="1">IFERROR(__xludf.DUMMYFUNCTION("""COMPUTED_VALUE"""),"")</f>
        <v/>
      </c>
      <c r="Z436" s="4" t="str">
        <f ca="1">IFERROR(__xludf.DUMMYFUNCTION("""COMPUTED_VALUE"""),"")</f>
        <v/>
      </c>
    </row>
    <row r="437" spans="1:26" ht="13" x14ac:dyDescent="0.15">
      <c r="A437" s="43" t="str">
        <f ca="1">IFERROR(__xludf.DUMMYFUNCTION("""COMPUTED_VALUE"""),"75076")</f>
        <v>75076</v>
      </c>
      <c r="B437" s="43" t="str">
        <f ca="1">IFERROR(__xludf.DUMMYFUNCTION("""COMPUTED_VALUE"""),"75076")</f>
        <v>75076</v>
      </c>
      <c r="C437" s="146">
        <f ca="1">IFERROR(__xludf.DUMMYFUNCTION("""COMPUTED_VALUE"""),44603000172)</f>
        <v>44603000172</v>
      </c>
      <c r="D437" s="163" t="str">
        <f ca="1">IFERROR(__xludf.DUMMYFUNCTION("""COMPUTED_VALUE"""),"XLE")</f>
        <v>XLE</v>
      </c>
      <c r="E437" s="147">
        <f ca="1">IFERROR(__xludf.DUMMYFUNCTION("""COMPUTED_VALUE"""),44603)</f>
        <v>44603</v>
      </c>
      <c r="F437" s="43" t="str">
        <f ca="1">IFERROR(__xludf.DUMMYFUNCTION("""COMPUTED_VALUE"""),"Stock")</f>
        <v>Stock</v>
      </c>
      <c r="G437" s="43" t="str">
        <f ca="1">IFERROR(__xludf.DUMMYFUNCTION("""COMPUTED_VALUE"""),"USD")</f>
        <v>USD</v>
      </c>
      <c r="H437" s="154">
        <f ca="1">IFERROR(__xludf.DUMMYFUNCTION("""COMPUTED_VALUE"""),800)</f>
        <v>800</v>
      </c>
      <c r="I437" s="148">
        <f ca="1">IFERROR(__xludf.DUMMYFUNCTION("""COMPUTED_VALUE"""),7.800485)</f>
        <v>7.8004850000000001</v>
      </c>
      <c r="J437" s="149">
        <f ca="1">IFERROR(__xludf.DUMMYFUNCTION("""COMPUTED_VALUE"""),70.41)</f>
        <v>70.41</v>
      </c>
      <c r="K437" s="43"/>
      <c r="L437" s="149">
        <f ca="1">IFERROR(__xludf.DUMMYFUNCTION("""COMPUTED_VALUE"""),75.57)</f>
        <v>75.569999999999993</v>
      </c>
      <c r="M437" s="155" t="str">
        <f ca="1">IFERROR(__xludf.DUMMYFUNCTION("""COMPUTED_VALUE"""),"Equity Key Stats")</f>
        <v>Equity Key Stats</v>
      </c>
      <c r="N437" s="43"/>
      <c r="O437" s="43"/>
      <c r="P437" s="157">
        <f ca="1">IFERROR(__xludf.DUMMYFUNCTION("""COMPUTED_VALUE"""),-439385.719079999)</f>
        <v>-439385.71907999902</v>
      </c>
      <c r="Q437" s="151"/>
      <c r="R437" s="152">
        <f ca="1">IFERROR(__xludf.DUMMYFUNCTION("""COMPUTED_VALUE"""),76.87)</f>
        <v>76.87</v>
      </c>
      <c r="S437" s="150">
        <f ca="1">IFERROR(__xludf.DUMMYFUNCTION("""COMPUTED_VALUE"""),479698.62556)</f>
        <v>479698.62556000001</v>
      </c>
      <c r="T437" s="108">
        <f ca="1">IFERROR(__xludf.DUMMYFUNCTION("""COMPUTED_VALUE"""),1)</f>
        <v>1</v>
      </c>
      <c r="U437" s="108">
        <f ca="1">IFERROR(__xludf.DUMMYFUNCTION("""COMPUTED_VALUE"""),1)</f>
        <v>1</v>
      </c>
      <c r="V437" s="153">
        <f ca="1">IFERROR(__xludf.DUMMYFUNCTION("""COMPUTED_VALUE"""),40312.90648)</f>
        <v>40312.906479999998</v>
      </c>
      <c r="W437" s="145">
        <f ca="1">IFERROR(__xludf.DUMMYFUNCTION("""COMPUTED_VALUE"""),540312.90648)</f>
        <v>540312.90648000001</v>
      </c>
      <c r="X437" s="11">
        <f ca="1">IFERROR(__xludf.DUMMYFUNCTION("""COMPUTED_VALUE"""),60614.2809199999)</f>
        <v>60614.280919999903</v>
      </c>
      <c r="Y437" s="11">
        <f ca="1">IFERROR(__xludf.DUMMYFUNCTION("""COMPUTED_VALUE"""),0)</f>
        <v>0</v>
      </c>
      <c r="Z437" s="4">
        <f ca="1">IFERROR(__xludf.DUMMYFUNCTION("""COMPUTED_VALUE"""),0.0806258129600001)</f>
        <v>8.0625812960000098E-2</v>
      </c>
    </row>
    <row r="438" spans="1:26" ht="13" x14ac:dyDescent="0.15">
      <c r="A438" s="43" t="str">
        <f ca="1">IFERROR(__xludf.DUMMYFUNCTION("""COMPUTED_VALUE"""),"")</f>
        <v/>
      </c>
      <c r="B438" s="43" t="str">
        <f ca="1">IFERROR(__xludf.DUMMYFUNCTION("""COMPUTED_VALUE"""),"75288")</f>
        <v>75288</v>
      </c>
      <c r="C438" s="146">
        <f ca="1">IFERROR(__xludf.DUMMYFUNCTION("""COMPUTED_VALUE"""),44597000023)</f>
        <v>44597000023</v>
      </c>
      <c r="D438" s="163" t="str">
        <f ca="1">IFERROR(__xludf.DUMMYFUNCTION("""COMPUTED_VALUE"""),"Cash")</f>
        <v>Cash</v>
      </c>
      <c r="E438" s="147">
        <f ca="1">IFERROR(__xludf.DUMMYFUNCTION("""COMPUTED_VALUE"""),44597)</f>
        <v>44597</v>
      </c>
      <c r="F438" s="43" t="str">
        <f ca="1">IFERROR(__xludf.DUMMYFUNCTION("""COMPUTED_VALUE"""),"Cash")</f>
        <v>Cash</v>
      </c>
      <c r="G438" s="43" t="str">
        <f ca="1">IFERROR(__xludf.DUMMYFUNCTION("""COMPUTED_VALUE"""),"HKD")</f>
        <v>HKD</v>
      </c>
      <c r="H438" s="154" t="str">
        <f ca="1">IFERROR(__xludf.DUMMYFUNCTION("""COMPUTED_VALUE"""),"")</f>
        <v/>
      </c>
      <c r="I438" s="148">
        <f ca="1">IFERROR(__xludf.DUMMYFUNCTION("""COMPUTED_VALUE"""),1)</f>
        <v>1</v>
      </c>
      <c r="J438" s="149">
        <f ca="1">IFERROR(__xludf.DUMMYFUNCTION("""COMPUTED_VALUE"""),1)</f>
        <v>1</v>
      </c>
      <c r="K438" s="43"/>
      <c r="L438" s="149">
        <f ca="1">IFERROR(__xludf.DUMMYFUNCTION("""COMPUTED_VALUE"""),1)</f>
        <v>1</v>
      </c>
      <c r="M438" s="155" t="str">
        <f ca="1">IFERROR(__xludf.DUMMYFUNCTION("""COMPUTED_VALUE"""),"")</f>
        <v/>
      </c>
      <c r="N438" s="43"/>
      <c r="O438" s="43"/>
      <c r="P438" s="157">
        <f ca="1">IFERROR(__xludf.DUMMYFUNCTION("""COMPUTED_VALUE"""),500000)</f>
        <v>500000</v>
      </c>
      <c r="Q438" s="151"/>
      <c r="R438" s="152">
        <f ca="1">IFERROR(__xludf.DUMMYFUNCTION("""COMPUTED_VALUE"""),1)</f>
        <v>1</v>
      </c>
      <c r="S438" s="150" t="str">
        <f ca="1">IFERROR(__xludf.DUMMYFUNCTION("""COMPUTED_VALUE"""),"")</f>
        <v/>
      </c>
      <c r="T438" s="108">
        <f ca="1">IFERROR(__xludf.DUMMYFUNCTION("""COMPUTED_VALUE"""),1)</f>
        <v>1</v>
      </c>
      <c r="U438" s="108">
        <f ca="1">IFERROR(__xludf.DUMMYFUNCTION("""COMPUTED_VALUE"""),1)</f>
        <v>1</v>
      </c>
      <c r="V438" s="153">
        <f ca="1">IFERROR(__xludf.DUMMYFUNCTION("""COMPUTED_VALUE"""),500000)</f>
        <v>500000</v>
      </c>
      <c r="W438" s="44" t="str">
        <f ca="1">IFERROR(__xludf.DUMMYFUNCTION("""COMPUTED_VALUE"""),"")</f>
        <v/>
      </c>
      <c r="X438" s="154" t="str">
        <f ca="1">IFERROR(__xludf.DUMMYFUNCTION("""COMPUTED_VALUE"""),"")</f>
        <v/>
      </c>
      <c r="Y438" s="154" t="str">
        <f ca="1">IFERROR(__xludf.DUMMYFUNCTION("""COMPUTED_VALUE"""),"")</f>
        <v/>
      </c>
      <c r="Z438" s="159" t="str">
        <f ca="1">IFERROR(__xludf.DUMMYFUNCTION("""COMPUTED_VALUE"""),"")</f>
        <v/>
      </c>
    </row>
    <row r="439" spans="1:26" ht="13" x14ac:dyDescent="0.15">
      <c r="A439" s="43" t="str">
        <f ca="1">IFERROR(__xludf.DUMMYFUNCTION("""COMPUTED_VALUE"""),"")</f>
        <v/>
      </c>
      <c r="B439" s="43" t="str">
        <f ca="1">IFERROR(__xludf.DUMMYFUNCTION("""COMPUTED_VALUE"""),"75288")</f>
        <v>75288</v>
      </c>
      <c r="C439" s="146">
        <f ca="1">IFERROR(__xludf.DUMMYFUNCTION("""COMPUTED_VALUE"""),44610000236)</f>
        <v>44610000236</v>
      </c>
      <c r="D439" s="161" t="str">
        <f ca="1">IFERROR(__xludf.DUMMYFUNCTION("""COMPUTED_VALUE"""),"0700.HK")</f>
        <v>0700.HK</v>
      </c>
      <c r="E439" s="147">
        <f ca="1">IFERROR(__xludf.DUMMYFUNCTION("""COMPUTED_VALUE"""),44610)</f>
        <v>44610</v>
      </c>
      <c r="F439" s="43" t="str">
        <f ca="1">IFERROR(__xludf.DUMMYFUNCTION("""COMPUTED_VALUE"""),"Stock")</f>
        <v>Stock</v>
      </c>
      <c r="G439" s="43" t="str">
        <f ca="1">IFERROR(__xludf.DUMMYFUNCTION("""COMPUTED_VALUE"""),"HKD")</f>
        <v>HKD</v>
      </c>
      <c r="H439" s="11">
        <f ca="1">IFERROR(__xludf.DUMMYFUNCTION("""COMPUTED_VALUE"""),210)</f>
        <v>210</v>
      </c>
      <c r="I439" s="148">
        <f ca="1">IFERROR(__xludf.DUMMYFUNCTION("""COMPUTED_VALUE"""),1)</f>
        <v>1</v>
      </c>
      <c r="J439" s="149">
        <f ca="1">IFERROR(__xludf.DUMMYFUNCTION("""COMPUTED_VALUE"""),479)</f>
        <v>479</v>
      </c>
      <c r="K439" s="43"/>
      <c r="L439" s="149">
        <f ca="1">IFERROR(__xludf.DUMMYFUNCTION("""COMPUTED_VALUE"""),388)</f>
        <v>388</v>
      </c>
      <c r="M439" s="160" t="str">
        <f ca="1">IFERROR(__xludf.DUMMYFUNCTION("""COMPUTED_VALUE"""),"Equity Key Stats")</f>
        <v>Equity Key Stats</v>
      </c>
      <c r="N439" s="43"/>
      <c r="O439" s="43"/>
      <c r="P439" s="150">
        <f ca="1">IFERROR(__xludf.DUMMYFUNCTION("""COMPUTED_VALUE"""),-100590)</f>
        <v>-100590</v>
      </c>
      <c r="Q439" s="151"/>
      <c r="R439" s="152">
        <f ca="1">IFERROR(__xludf.DUMMYFUNCTION("""COMPUTED_VALUE"""),389)</f>
        <v>389</v>
      </c>
      <c r="S439" s="127">
        <f ca="1">IFERROR(__xludf.DUMMYFUNCTION("""COMPUTED_VALUE"""),81690)</f>
        <v>81690</v>
      </c>
      <c r="T439" s="108">
        <f ca="1">IFERROR(__xludf.DUMMYFUNCTION("""COMPUTED_VALUE"""),3)</f>
        <v>3</v>
      </c>
      <c r="U439" s="108" t="str">
        <f ca="1">IFERROR(__xludf.DUMMYFUNCTION("""COMPUTED_VALUE"""),"")</f>
        <v/>
      </c>
      <c r="V439" s="153" t="str">
        <f ca="1">IFERROR(__xludf.DUMMYFUNCTION("""COMPUTED_VALUE"""),"")</f>
        <v/>
      </c>
      <c r="W439" s="145" t="str">
        <f ca="1">IFERROR(__xludf.DUMMYFUNCTION("""COMPUTED_VALUE"""),"")</f>
        <v/>
      </c>
      <c r="X439" s="11" t="str">
        <f ca="1">IFERROR(__xludf.DUMMYFUNCTION("""COMPUTED_VALUE"""),"")</f>
        <v/>
      </c>
      <c r="Y439" s="11" t="str">
        <f ca="1">IFERROR(__xludf.DUMMYFUNCTION("""COMPUTED_VALUE"""),"")</f>
        <v/>
      </c>
      <c r="Z439" s="4" t="str">
        <f ca="1">IFERROR(__xludf.DUMMYFUNCTION("""COMPUTED_VALUE"""),"")</f>
        <v/>
      </c>
    </row>
    <row r="440" spans="1:26" ht="13" x14ac:dyDescent="0.15">
      <c r="A440" s="43" t="str">
        <f ca="1">IFERROR(__xludf.DUMMYFUNCTION("""COMPUTED_VALUE"""),"")</f>
        <v/>
      </c>
      <c r="B440" s="43" t="str">
        <f ca="1">IFERROR(__xludf.DUMMYFUNCTION("""COMPUTED_VALUE"""),"75288")</f>
        <v>75288</v>
      </c>
      <c r="C440" s="146">
        <f ca="1">IFERROR(__xludf.DUMMYFUNCTION("""COMPUTED_VALUE"""),44630000514)</f>
        <v>44630000514</v>
      </c>
      <c r="D440" s="161" t="str">
        <f ca="1">IFERROR(__xludf.DUMMYFUNCTION("""COMPUTED_VALUE"""),"3800.HK")</f>
        <v>3800.HK</v>
      </c>
      <c r="E440" s="147">
        <f ca="1">IFERROR(__xludf.DUMMYFUNCTION("""COMPUTED_VALUE"""),44630)</f>
        <v>44630</v>
      </c>
      <c r="F440" s="43" t="str">
        <f ca="1">IFERROR(__xludf.DUMMYFUNCTION("""COMPUTED_VALUE"""),"Stock")</f>
        <v>Stock</v>
      </c>
      <c r="G440" s="43" t="str">
        <f ca="1">IFERROR(__xludf.DUMMYFUNCTION("""COMPUTED_VALUE"""),"HKD")</f>
        <v>HKD</v>
      </c>
      <c r="H440" s="154">
        <f ca="1">IFERROR(__xludf.DUMMYFUNCTION("""COMPUTED_VALUE"""),3473)</f>
        <v>3473</v>
      </c>
      <c r="I440" s="148">
        <f ca="1">IFERROR(__xludf.DUMMYFUNCTION("""COMPUTED_VALUE"""),1)</f>
        <v>1</v>
      </c>
      <c r="J440" s="149">
        <f ca="1">IFERROR(__xludf.DUMMYFUNCTION("""COMPUTED_VALUE"""),2.86)</f>
        <v>2.86</v>
      </c>
      <c r="K440" s="43"/>
      <c r="L440" s="149">
        <f ca="1">IFERROR(__xludf.DUMMYFUNCTION("""COMPUTED_VALUE"""),2.54)</f>
        <v>2.54</v>
      </c>
      <c r="M440" s="155" t="str">
        <f ca="1">IFERROR(__xludf.DUMMYFUNCTION("""COMPUTED_VALUE"""),"Equity Key Stats")</f>
        <v>Equity Key Stats</v>
      </c>
      <c r="N440" s="43"/>
      <c r="O440" s="43"/>
      <c r="P440" s="150">
        <f ca="1">IFERROR(__xludf.DUMMYFUNCTION("""COMPUTED_VALUE"""),-9932.77999999999)</f>
        <v>-9932.7799999999897</v>
      </c>
      <c r="Q440" s="151"/>
      <c r="R440" s="152">
        <f ca="1">IFERROR(__xludf.DUMMYFUNCTION("""COMPUTED_VALUE"""),2.56)</f>
        <v>2.56</v>
      </c>
      <c r="S440" s="150">
        <f ca="1">IFERROR(__xludf.DUMMYFUNCTION("""COMPUTED_VALUE"""),8890.88)</f>
        <v>8890.8799999999992</v>
      </c>
      <c r="T440" s="108">
        <f ca="1">IFERROR(__xludf.DUMMYFUNCTION("""COMPUTED_VALUE"""),1)</f>
        <v>1</v>
      </c>
      <c r="U440" s="43">
        <f ca="1">IFERROR(__xludf.DUMMYFUNCTION("""COMPUTED_VALUE"""),1)</f>
        <v>1</v>
      </c>
      <c r="V440" s="144">
        <f ca="1">IFERROR(__xludf.DUMMYFUNCTION("""COMPUTED_VALUE"""),-1041.89999999999)</f>
        <v>-1041.8999999999901</v>
      </c>
      <c r="W440" s="145" t="str">
        <f ca="1">IFERROR(__xludf.DUMMYFUNCTION("""COMPUTED_VALUE"""),"")</f>
        <v/>
      </c>
      <c r="X440" s="11" t="str">
        <f ca="1">IFERROR(__xludf.DUMMYFUNCTION("""COMPUTED_VALUE"""),"")</f>
        <v/>
      </c>
      <c r="Y440" s="11" t="str">
        <f ca="1">IFERROR(__xludf.DUMMYFUNCTION("""COMPUTED_VALUE"""),"")</f>
        <v/>
      </c>
      <c r="Z440" s="4" t="str">
        <f ca="1">IFERROR(__xludf.DUMMYFUNCTION("""COMPUTED_VALUE"""),"")</f>
        <v/>
      </c>
    </row>
    <row r="441" spans="1:26" ht="13" x14ac:dyDescent="0.15">
      <c r="A441" s="43" t="str">
        <f ca="1">IFERROR(__xludf.DUMMYFUNCTION("""COMPUTED_VALUE"""),"")</f>
        <v/>
      </c>
      <c r="B441" s="43" t="str">
        <f ca="1">IFERROR(__xludf.DUMMYFUNCTION("""COMPUTED_VALUE"""),"75288")</f>
        <v>75288</v>
      </c>
      <c r="C441" s="146">
        <f ca="1">IFERROR(__xludf.DUMMYFUNCTION("""COMPUTED_VALUE"""),44637000671)</f>
        <v>44637000671</v>
      </c>
      <c r="D441" s="163" t="str">
        <f ca="1">IFERROR(__xludf.DUMMYFUNCTION("""COMPUTED_VALUE"""),"0700.HK")</f>
        <v>0700.HK</v>
      </c>
      <c r="E441" s="147">
        <f ca="1">IFERROR(__xludf.DUMMYFUNCTION("""COMPUTED_VALUE"""),44637)</f>
        <v>44637</v>
      </c>
      <c r="F441" s="43" t="str">
        <f ca="1">IFERROR(__xludf.DUMMYFUNCTION("""COMPUTED_VALUE"""),"Stock")</f>
        <v>Stock</v>
      </c>
      <c r="G441" s="43" t="str">
        <f ca="1">IFERROR(__xludf.DUMMYFUNCTION("""COMPUTED_VALUE"""),"HKD")</f>
        <v>HKD</v>
      </c>
      <c r="H441" s="154">
        <f ca="1">IFERROR(__xludf.DUMMYFUNCTION("""COMPUTED_VALUE"""),-210)</f>
        <v>-210</v>
      </c>
      <c r="I441" s="148">
        <f ca="1">IFERROR(__xludf.DUMMYFUNCTION("""COMPUTED_VALUE"""),1)</f>
        <v>1</v>
      </c>
      <c r="J441" s="149">
        <f ca="1">IFERROR(__xludf.DUMMYFUNCTION("""COMPUTED_VALUE"""),390)</f>
        <v>390</v>
      </c>
      <c r="K441" s="43"/>
      <c r="L441" s="149">
        <f ca="1">IFERROR(__xludf.DUMMYFUNCTION("""COMPUTED_VALUE"""),388)</f>
        <v>388</v>
      </c>
      <c r="M441" s="155" t="str">
        <f ca="1">IFERROR(__xludf.DUMMYFUNCTION("""COMPUTED_VALUE"""),"Equity Key Stats")</f>
        <v>Equity Key Stats</v>
      </c>
      <c r="N441" s="43"/>
      <c r="O441" s="43"/>
      <c r="P441" s="157">
        <f ca="1">IFERROR(__xludf.DUMMYFUNCTION("""COMPUTED_VALUE"""),81900)</f>
        <v>81900</v>
      </c>
      <c r="Q441" s="151"/>
      <c r="R441" s="152">
        <f ca="1">IFERROR(__xludf.DUMMYFUNCTION("""COMPUTED_VALUE"""),389)</f>
        <v>389</v>
      </c>
      <c r="S441" s="150">
        <f ca="1">IFERROR(__xludf.DUMMYFUNCTION("""COMPUTED_VALUE"""),-81690)</f>
        <v>-81690</v>
      </c>
      <c r="T441" s="108">
        <f ca="1">IFERROR(__xludf.DUMMYFUNCTION("""COMPUTED_VALUE"""),3)</f>
        <v>3</v>
      </c>
      <c r="U441" s="43" t="str">
        <f ca="1">IFERROR(__xludf.DUMMYFUNCTION("""COMPUTED_VALUE"""),"")</f>
        <v/>
      </c>
      <c r="V441" s="144" t="str">
        <f ca="1">IFERROR(__xludf.DUMMYFUNCTION("""COMPUTED_VALUE"""),"")</f>
        <v/>
      </c>
      <c r="W441" s="145" t="str">
        <f ca="1">IFERROR(__xludf.DUMMYFUNCTION("""COMPUTED_VALUE"""),"")</f>
        <v/>
      </c>
      <c r="X441" s="11" t="str">
        <f ca="1">IFERROR(__xludf.DUMMYFUNCTION("""COMPUTED_VALUE"""),"")</f>
        <v/>
      </c>
      <c r="Y441" s="11" t="str">
        <f ca="1">IFERROR(__xludf.DUMMYFUNCTION("""COMPUTED_VALUE"""),"")</f>
        <v/>
      </c>
      <c r="Z441" s="4" t="str">
        <f ca="1">IFERROR(__xludf.DUMMYFUNCTION("""COMPUTED_VALUE"""),"")</f>
        <v/>
      </c>
    </row>
    <row r="442" spans="1:26" ht="13" x14ac:dyDescent="0.15">
      <c r="A442" s="43" t="str">
        <f ca="1">IFERROR(__xludf.DUMMYFUNCTION("""COMPUTED_VALUE"""),"")</f>
        <v/>
      </c>
      <c r="B442" s="43" t="str">
        <f ca="1">IFERROR(__xludf.DUMMYFUNCTION("""COMPUTED_VALUE"""),"75288")</f>
        <v>75288</v>
      </c>
      <c r="C442" s="146">
        <f ca="1">IFERROR(__xludf.DUMMYFUNCTION("""COMPUTED_VALUE"""),44641000755)</f>
        <v>44641000755</v>
      </c>
      <c r="D442" s="163" t="str">
        <f ca="1">IFERROR(__xludf.DUMMYFUNCTION("""COMPUTED_VALUE"""),"0700.HK")</f>
        <v>0700.HK</v>
      </c>
      <c r="E442" s="147">
        <f ca="1">IFERROR(__xludf.DUMMYFUNCTION("""COMPUTED_VALUE"""),44641)</f>
        <v>44641</v>
      </c>
      <c r="F442" s="43" t="str">
        <f ca="1">IFERROR(__xludf.DUMMYFUNCTION("""COMPUTED_VALUE"""),"Stock")</f>
        <v>Stock</v>
      </c>
      <c r="G442" s="43" t="str">
        <f ca="1">IFERROR(__xludf.DUMMYFUNCTION("""COMPUTED_VALUE"""),"HKD")</f>
        <v>HKD</v>
      </c>
      <c r="H442" s="154">
        <f ca="1">IFERROR(__xludf.DUMMYFUNCTION("""COMPUTED_VALUE"""),150)</f>
        <v>150</v>
      </c>
      <c r="I442" s="148">
        <f ca="1">IFERROR(__xludf.DUMMYFUNCTION("""COMPUTED_VALUE"""),1)</f>
        <v>1</v>
      </c>
      <c r="J442" s="149">
        <f ca="1">IFERROR(__xludf.DUMMYFUNCTION("""COMPUTED_VALUE"""),372.4)</f>
        <v>372.4</v>
      </c>
      <c r="K442" s="43"/>
      <c r="L442" s="149">
        <f ca="1">IFERROR(__xludf.DUMMYFUNCTION("""COMPUTED_VALUE"""),388)</f>
        <v>388</v>
      </c>
      <c r="M442" s="155" t="str">
        <f ca="1">IFERROR(__xludf.DUMMYFUNCTION("""COMPUTED_VALUE"""),"Equity Key Stats")</f>
        <v>Equity Key Stats</v>
      </c>
      <c r="N442" s="43"/>
      <c r="O442" s="43"/>
      <c r="P442" s="157">
        <f ca="1">IFERROR(__xludf.DUMMYFUNCTION("""COMPUTED_VALUE"""),-55860)</f>
        <v>-55860</v>
      </c>
      <c r="Q442" s="151"/>
      <c r="R442" s="152">
        <f ca="1">IFERROR(__xludf.DUMMYFUNCTION("""COMPUTED_VALUE"""),389)</f>
        <v>389</v>
      </c>
      <c r="S442" s="150">
        <f ca="1">IFERROR(__xludf.DUMMYFUNCTION("""COMPUTED_VALUE"""),58350)</f>
        <v>58350</v>
      </c>
      <c r="T442" s="108">
        <f ca="1">IFERROR(__xludf.DUMMYFUNCTION("""COMPUTED_VALUE"""),3)</f>
        <v>3</v>
      </c>
      <c r="U442" s="43">
        <f ca="1">IFERROR(__xludf.DUMMYFUNCTION("""COMPUTED_VALUE"""),1)</f>
        <v>1</v>
      </c>
      <c r="V442" s="144">
        <f ca="1">IFERROR(__xludf.DUMMYFUNCTION("""COMPUTED_VALUE"""),-16200)</f>
        <v>-16200</v>
      </c>
      <c r="W442" s="145" t="str">
        <f ca="1">IFERROR(__xludf.DUMMYFUNCTION("""COMPUTED_VALUE"""),"")</f>
        <v/>
      </c>
      <c r="X442" s="11" t="str">
        <f ca="1">IFERROR(__xludf.DUMMYFUNCTION("""COMPUTED_VALUE"""),"")</f>
        <v/>
      </c>
      <c r="Y442" s="11" t="str">
        <f ca="1">IFERROR(__xludf.DUMMYFUNCTION("""COMPUTED_VALUE"""),"")</f>
        <v/>
      </c>
      <c r="Z442" s="4" t="str">
        <f ca="1">IFERROR(__xludf.DUMMYFUNCTION("""COMPUTED_VALUE"""),"")</f>
        <v/>
      </c>
    </row>
    <row r="443" spans="1:26" ht="13" x14ac:dyDescent="0.15">
      <c r="A443" s="43" t="str">
        <f ca="1">IFERROR(__xludf.DUMMYFUNCTION("""COMPUTED_VALUE"""),"75288")</f>
        <v>75288</v>
      </c>
      <c r="B443" s="43" t="str">
        <f ca="1">IFERROR(__xludf.DUMMYFUNCTION("""COMPUTED_VALUE"""),"75288")</f>
        <v>75288</v>
      </c>
      <c r="C443" s="146">
        <f ca="1">IFERROR(__xludf.DUMMYFUNCTION("""COMPUTED_VALUE"""),44641000756)</f>
        <v>44641000756</v>
      </c>
      <c r="D443" s="161" t="str">
        <f ca="1">IFERROR(__xludf.DUMMYFUNCTION("""COMPUTED_VALUE"""),"9868.HK")</f>
        <v>9868.HK</v>
      </c>
      <c r="E443" s="147">
        <f ca="1">IFERROR(__xludf.DUMMYFUNCTION("""COMPUTED_VALUE"""),44641)</f>
        <v>44641</v>
      </c>
      <c r="F443" s="43" t="str">
        <f ca="1">IFERROR(__xludf.DUMMYFUNCTION("""COMPUTED_VALUE"""),"Stock")</f>
        <v>Stock</v>
      </c>
      <c r="G443" s="43" t="str">
        <f ca="1">IFERROR(__xludf.DUMMYFUNCTION("""COMPUTED_VALUE"""),"HKD")</f>
        <v>HKD</v>
      </c>
      <c r="H443" s="154">
        <f ca="1">IFERROR(__xludf.DUMMYFUNCTION("""COMPUTED_VALUE"""),450)</f>
        <v>450</v>
      </c>
      <c r="I443" s="148">
        <f ca="1">IFERROR(__xludf.DUMMYFUNCTION("""COMPUTED_VALUE"""),1)</f>
        <v>1</v>
      </c>
      <c r="J443" s="149">
        <f ca="1">IFERROR(__xludf.DUMMYFUNCTION("""COMPUTED_VALUE"""),105.4)</f>
        <v>105.4</v>
      </c>
      <c r="K443" s="43"/>
      <c r="L443" s="149">
        <f ca="1">IFERROR(__xludf.DUMMYFUNCTION("""COMPUTED_VALUE"""),110)</f>
        <v>110</v>
      </c>
      <c r="M443" s="155" t="str">
        <f ca="1">IFERROR(__xludf.DUMMYFUNCTION("""COMPUTED_VALUE"""),"Equity Key Stats")</f>
        <v>Equity Key Stats</v>
      </c>
      <c r="N443" s="43"/>
      <c r="O443" s="43"/>
      <c r="P443" s="150">
        <f ca="1">IFERROR(__xludf.DUMMYFUNCTION("""COMPUTED_VALUE"""),-47430)</f>
        <v>-47430</v>
      </c>
      <c r="Q443" s="151"/>
      <c r="R443" s="152">
        <f ca="1">IFERROR(__xludf.DUMMYFUNCTION("""COMPUTED_VALUE"""),112.1)</f>
        <v>112.1</v>
      </c>
      <c r="S443" s="150">
        <f ca="1">IFERROR(__xludf.DUMMYFUNCTION("""COMPUTED_VALUE"""),50445)</f>
        <v>50445</v>
      </c>
      <c r="T443" s="108">
        <f ca="1">IFERROR(__xludf.DUMMYFUNCTION("""COMPUTED_VALUE"""),1)</f>
        <v>1</v>
      </c>
      <c r="U443" s="108">
        <f ca="1">IFERROR(__xludf.DUMMYFUNCTION("""COMPUTED_VALUE"""),1)</f>
        <v>1</v>
      </c>
      <c r="V443" s="153">
        <f ca="1">IFERROR(__xludf.DUMMYFUNCTION("""COMPUTED_VALUE"""),3015)</f>
        <v>3015</v>
      </c>
      <c r="W443" s="145">
        <f ca="1">IFERROR(__xludf.DUMMYFUNCTION("""COMPUTED_VALUE"""),485773.1)</f>
        <v>485773.1</v>
      </c>
      <c r="X443" s="11">
        <f ca="1">IFERROR(__xludf.DUMMYFUNCTION("""COMPUTED_VALUE"""),368087.22)</f>
        <v>368087.22</v>
      </c>
      <c r="Y443" s="11">
        <f ca="1">IFERROR(__xludf.DUMMYFUNCTION("""COMPUTED_VALUE"""),0)</f>
        <v>0</v>
      </c>
      <c r="Z443" s="4">
        <f ca="1">IFERROR(__xludf.DUMMYFUNCTION("""COMPUTED_VALUE"""),-0.0284538)</f>
        <v>-2.8453800000000001E-2</v>
      </c>
    </row>
    <row r="444" spans="1:26" ht="13" x14ac:dyDescent="0.15">
      <c r="A444" s="43" t="str">
        <f ca="1">IFERROR(__xludf.DUMMYFUNCTION("""COMPUTED_VALUE"""),"")</f>
        <v/>
      </c>
      <c r="B444" s="43" t="str">
        <f ca="1">IFERROR(__xludf.DUMMYFUNCTION("""COMPUTED_VALUE"""),"75369")</f>
        <v>75369</v>
      </c>
      <c r="C444" s="146">
        <f ca="1">IFERROR(__xludf.DUMMYFUNCTION("""COMPUTED_VALUE"""),44597000017)</f>
        <v>44597000017</v>
      </c>
      <c r="D444" s="163" t="str">
        <f ca="1">IFERROR(__xludf.DUMMYFUNCTION("""COMPUTED_VALUE"""),"Cash")</f>
        <v>Cash</v>
      </c>
      <c r="E444" s="147">
        <f ca="1">IFERROR(__xludf.DUMMYFUNCTION("""COMPUTED_VALUE"""),44597)</f>
        <v>44597</v>
      </c>
      <c r="F444" s="43" t="str">
        <f ca="1">IFERROR(__xludf.DUMMYFUNCTION("""COMPUTED_VALUE"""),"Cash")</f>
        <v>Cash</v>
      </c>
      <c r="G444" s="43" t="str">
        <f ca="1">IFERROR(__xludf.DUMMYFUNCTION("""COMPUTED_VALUE"""),"HKD")</f>
        <v>HKD</v>
      </c>
      <c r="H444" s="156" t="str">
        <f ca="1">IFERROR(__xludf.DUMMYFUNCTION("""COMPUTED_VALUE"""),"")</f>
        <v/>
      </c>
      <c r="I444" s="148">
        <f ca="1">IFERROR(__xludf.DUMMYFUNCTION("""COMPUTED_VALUE"""),1)</f>
        <v>1</v>
      </c>
      <c r="J444" s="149">
        <f ca="1">IFERROR(__xludf.DUMMYFUNCTION("""COMPUTED_VALUE"""),1)</f>
        <v>1</v>
      </c>
      <c r="K444" s="43"/>
      <c r="L444" s="149">
        <f ca="1">IFERROR(__xludf.DUMMYFUNCTION("""COMPUTED_VALUE"""),1)</f>
        <v>1</v>
      </c>
      <c r="M444" s="155" t="str">
        <f ca="1">IFERROR(__xludf.DUMMYFUNCTION("""COMPUTED_VALUE"""),"")</f>
        <v/>
      </c>
      <c r="N444" s="43"/>
      <c r="O444" s="43"/>
      <c r="P444" s="150">
        <f ca="1">IFERROR(__xludf.DUMMYFUNCTION("""COMPUTED_VALUE"""),500000)</f>
        <v>500000</v>
      </c>
      <c r="Q444" s="151"/>
      <c r="R444" s="152">
        <f ca="1">IFERROR(__xludf.DUMMYFUNCTION("""COMPUTED_VALUE"""),1)</f>
        <v>1</v>
      </c>
      <c r="S444" s="157" t="str">
        <f ca="1">IFERROR(__xludf.DUMMYFUNCTION("""COMPUTED_VALUE"""),"")</f>
        <v/>
      </c>
      <c r="T444" s="108">
        <f ca="1">IFERROR(__xludf.DUMMYFUNCTION("""COMPUTED_VALUE"""),1)</f>
        <v>1</v>
      </c>
      <c r="U444" s="108">
        <f ca="1">IFERROR(__xludf.DUMMYFUNCTION("""COMPUTED_VALUE"""),1)</f>
        <v>1</v>
      </c>
      <c r="V444" s="158">
        <f ca="1">IFERROR(__xludf.DUMMYFUNCTION("""COMPUTED_VALUE"""),500000)</f>
        <v>500000</v>
      </c>
      <c r="W444" s="145" t="str">
        <f ca="1">IFERROR(__xludf.DUMMYFUNCTION("""COMPUTED_VALUE"""),"")</f>
        <v/>
      </c>
      <c r="X444" s="11" t="str">
        <f ca="1">IFERROR(__xludf.DUMMYFUNCTION("""COMPUTED_VALUE"""),"")</f>
        <v/>
      </c>
      <c r="Y444" s="11" t="str">
        <f ca="1">IFERROR(__xludf.DUMMYFUNCTION("""COMPUTED_VALUE"""),"")</f>
        <v/>
      </c>
      <c r="Z444" s="4" t="str">
        <f ca="1">IFERROR(__xludf.DUMMYFUNCTION("""COMPUTED_VALUE"""),"")</f>
        <v/>
      </c>
    </row>
    <row r="445" spans="1:26" ht="13" x14ac:dyDescent="0.15">
      <c r="A445" s="43" t="str">
        <f ca="1">IFERROR(__xludf.DUMMYFUNCTION("""COMPUTED_VALUE"""),"75369")</f>
        <v>75369</v>
      </c>
      <c r="B445" s="43" t="str">
        <f ca="1">IFERROR(__xludf.DUMMYFUNCTION("""COMPUTED_VALUE"""),"75369")</f>
        <v>75369</v>
      </c>
      <c r="C445" s="146">
        <f ca="1">IFERROR(__xludf.DUMMYFUNCTION("""COMPUTED_VALUE"""),44642000762)</f>
        <v>44642000762</v>
      </c>
      <c r="D445" s="163" t="str">
        <f ca="1">IFERROR(__xludf.DUMMYFUNCTION("""COMPUTED_VALUE"""),"1810.hk")</f>
        <v>1810.hk</v>
      </c>
      <c r="E445" s="147">
        <f ca="1">IFERROR(__xludf.DUMMYFUNCTION("""COMPUTED_VALUE"""),44642)</f>
        <v>44642</v>
      </c>
      <c r="F445" s="43" t="str">
        <f ca="1">IFERROR(__xludf.DUMMYFUNCTION("""COMPUTED_VALUE"""),"Stock")</f>
        <v>Stock</v>
      </c>
      <c r="G445" s="43" t="str">
        <f ca="1">IFERROR(__xludf.DUMMYFUNCTION("""COMPUTED_VALUE"""),"HKD")</f>
        <v>HKD</v>
      </c>
      <c r="H445" s="156">
        <f ca="1">IFERROR(__xludf.DUMMYFUNCTION("""COMPUTED_VALUE"""),0)</f>
        <v>0</v>
      </c>
      <c r="I445" s="148">
        <f ca="1">IFERROR(__xludf.DUMMYFUNCTION("""COMPUTED_VALUE"""),1)</f>
        <v>1</v>
      </c>
      <c r="J445" s="149">
        <f ca="1">IFERROR(__xludf.DUMMYFUNCTION("""COMPUTED_VALUE"""),14.2)</f>
        <v>14.2</v>
      </c>
      <c r="K445" s="43"/>
      <c r="L445" s="149">
        <f ca="1">IFERROR(__xludf.DUMMYFUNCTION("""COMPUTED_VALUE"""),14.2)</f>
        <v>14.2</v>
      </c>
      <c r="M445" s="155" t="str">
        <f ca="1">IFERROR(__xludf.DUMMYFUNCTION("""COMPUTED_VALUE"""),"Equity Key Stats")</f>
        <v>Equity Key Stats</v>
      </c>
      <c r="N445" s="43"/>
      <c r="O445" s="43"/>
      <c r="P445" s="150">
        <f ca="1">IFERROR(__xludf.DUMMYFUNCTION("""COMPUTED_VALUE"""),0)</f>
        <v>0</v>
      </c>
      <c r="Q445" s="151"/>
      <c r="R445" s="152">
        <f ca="1">IFERROR(__xludf.DUMMYFUNCTION("""COMPUTED_VALUE"""),14.78)</f>
        <v>14.78</v>
      </c>
      <c r="S445" s="157">
        <f ca="1">IFERROR(__xludf.DUMMYFUNCTION("""COMPUTED_VALUE"""),0)</f>
        <v>0</v>
      </c>
      <c r="T445" s="108">
        <f ca="1">IFERROR(__xludf.DUMMYFUNCTION("""COMPUTED_VALUE"""),1)</f>
        <v>1</v>
      </c>
      <c r="U445" s="108">
        <f ca="1">IFERROR(__xludf.DUMMYFUNCTION("""COMPUTED_VALUE"""),1)</f>
        <v>1</v>
      </c>
      <c r="V445" s="158">
        <f ca="1">IFERROR(__xludf.DUMMYFUNCTION("""COMPUTED_VALUE"""),0)</f>
        <v>0</v>
      </c>
      <c r="W445" s="44">
        <f ca="1">IFERROR(__xludf.DUMMYFUNCTION("""COMPUTED_VALUE"""),500000)</f>
        <v>500000</v>
      </c>
      <c r="X445" s="154">
        <f ca="1">IFERROR(__xludf.DUMMYFUNCTION("""COMPUTED_VALUE"""),500000)</f>
        <v>500000</v>
      </c>
      <c r="Y445" s="154">
        <f ca="1">IFERROR(__xludf.DUMMYFUNCTION("""COMPUTED_VALUE"""),0)</f>
        <v>0</v>
      </c>
      <c r="Z445" s="162">
        <f ca="1">IFERROR(__xludf.DUMMYFUNCTION("""COMPUTED_VALUE"""),0)</f>
        <v>0</v>
      </c>
    </row>
    <row r="446" spans="1:26" ht="13" x14ac:dyDescent="0.15">
      <c r="A446" s="43" t="str">
        <f ca="1">IFERROR(__xludf.DUMMYFUNCTION("""COMPUTED_VALUE"""),"")</f>
        <v/>
      </c>
      <c r="B446" s="43" t="str">
        <f ca="1">IFERROR(__xludf.DUMMYFUNCTION("""COMPUTED_VALUE"""),"75415")</f>
        <v>75415</v>
      </c>
      <c r="C446" s="146">
        <f ca="1">IFERROR(__xludf.DUMMYFUNCTION("""COMPUTED_VALUE"""),44597000038)</f>
        <v>44597000038</v>
      </c>
      <c r="D446" s="43" t="str">
        <f ca="1">IFERROR(__xludf.DUMMYFUNCTION("""COMPUTED_VALUE"""),"Cash")</f>
        <v>Cash</v>
      </c>
      <c r="E446" s="147">
        <f ca="1">IFERROR(__xludf.DUMMYFUNCTION("""COMPUTED_VALUE"""),44597)</f>
        <v>44597</v>
      </c>
      <c r="F446" s="43" t="str">
        <f ca="1">IFERROR(__xludf.DUMMYFUNCTION("""COMPUTED_VALUE"""),"Cash")</f>
        <v>Cash</v>
      </c>
      <c r="G446" s="43" t="str">
        <f ca="1">IFERROR(__xludf.DUMMYFUNCTION("""COMPUTED_VALUE"""),"HKD")</f>
        <v>HKD</v>
      </c>
      <c r="H446" s="11" t="str">
        <f ca="1">IFERROR(__xludf.DUMMYFUNCTION("""COMPUTED_VALUE"""),"")</f>
        <v/>
      </c>
      <c r="I446" s="148">
        <f ca="1">IFERROR(__xludf.DUMMYFUNCTION("""COMPUTED_VALUE"""),1)</f>
        <v>1</v>
      </c>
      <c r="J446" s="108">
        <f ca="1">IFERROR(__xludf.DUMMYFUNCTION("""COMPUTED_VALUE"""),1)</f>
        <v>1</v>
      </c>
      <c r="K446" s="43"/>
      <c r="L446" s="149">
        <f ca="1">IFERROR(__xludf.DUMMYFUNCTION("""COMPUTED_VALUE"""),1)</f>
        <v>1</v>
      </c>
      <c r="M446" s="3" t="str">
        <f ca="1">IFERROR(__xludf.DUMMYFUNCTION("""COMPUTED_VALUE"""),"")</f>
        <v/>
      </c>
      <c r="N446" s="43"/>
      <c r="O446" s="43"/>
      <c r="P446" s="150">
        <f ca="1">IFERROR(__xludf.DUMMYFUNCTION("""COMPUTED_VALUE"""),500000)</f>
        <v>500000</v>
      </c>
      <c r="Q446" s="151"/>
      <c r="R446" s="152">
        <f ca="1">IFERROR(__xludf.DUMMYFUNCTION("""COMPUTED_VALUE"""),1)</f>
        <v>1</v>
      </c>
      <c r="S446" s="127" t="str">
        <f ca="1">IFERROR(__xludf.DUMMYFUNCTION("""COMPUTED_VALUE"""),"")</f>
        <v/>
      </c>
      <c r="T446" s="108">
        <f ca="1">IFERROR(__xludf.DUMMYFUNCTION("""COMPUTED_VALUE"""),1)</f>
        <v>1</v>
      </c>
      <c r="U446" s="108">
        <f ca="1">IFERROR(__xludf.DUMMYFUNCTION("""COMPUTED_VALUE"""),1)</f>
        <v>1</v>
      </c>
      <c r="V446" s="153">
        <f ca="1">IFERROR(__xludf.DUMMYFUNCTION("""COMPUTED_VALUE"""),500000)</f>
        <v>500000</v>
      </c>
      <c r="W446" s="145" t="str">
        <f ca="1">IFERROR(__xludf.DUMMYFUNCTION("""COMPUTED_VALUE"""),"")</f>
        <v/>
      </c>
      <c r="X446" s="11" t="str">
        <f ca="1">IFERROR(__xludf.DUMMYFUNCTION("""COMPUTED_VALUE"""),"")</f>
        <v/>
      </c>
      <c r="Y446" s="11" t="str">
        <f ca="1">IFERROR(__xludf.DUMMYFUNCTION("""COMPUTED_VALUE"""),"")</f>
        <v/>
      </c>
      <c r="Z446" s="4" t="str">
        <f ca="1">IFERROR(__xludf.DUMMYFUNCTION("""COMPUTED_VALUE"""),"")</f>
        <v/>
      </c>
    </row>
    <row r="447" spans="1:26" ht="13" x14ac:dyDescent="0.15">
      <c r="A447" s="43" t="str">
        <f ca="1">IFERROR(__xludf.DUMMYFUNCTION("""COMPUTED_VALUE"""),"")</f>
        <v/>
      </c>
      <c r="B447" s="43" t="str">
        <f ca="1">IFERROR(__xludf.DUMMYFUNCTION("""COMPUTED_VALUE"""),"75415")</f>
        <v>75415</v>
      </c>
      <c r="C447" s="146">
        <f ca="1">IFERROR(__xludf.DUMMYFUNCTION("""COMPUTED_VALUE"""),44601000150)</f>
        <v>44601000150</v>
      </c>
      <c r="D447" s="163" t="str">
        <f ca="1">IFERROR(__xludf.DUMMYFUNCTION("""COMPUTED_VALUE"""),"GBTC")</f>
        <v>GBTC</v>
      </c>
      <c r="E447" s="147">
        <f ca="1">IFERROR(__xludf.DUMMYFUNCTION("""COMPUTED_VALUE"""),44601)</f>
        <v>44601</v>
      </c>
      <c r="F447" s="43" t="str">
        <f ca="1">IFERROR(__xludf.DUMMYFUNCTION("""COMPUTED_VALUE"""),"Stock")</f>
        <v>Stock</v>
      </c>
      <c r="G447" s="43" t="str">
        <f ca="1">IFERROR(__xludf.DUMMYFUNCTION("""COMPUTED_VALUE"""),"USD")</f>
        <v>USD</v>
      </c>
      <c r="H447" s="154">
        <f ca="1">IFERROR(__xludf.DUMMYFUNCTION("""COMPUTED_VALUE"""),415)</f>
        <v>415</v>
      </c>
      <c r="I447" s="148">
        <f ca="1">IFERROR(__xludf.DUMMYFUNCTION("""COMPUTED_VALUE"""),7.79135)</f>
        <v>7.7913500000000004</v>
      </c>
      <c r="J447" s="149">
        <f ca="1">IFERROR(__xludf.DUMMYFUNCTION("""COMPUTED_VALUE"""),32.08)</f>
        <v>32.08</v>
      </c>
      <c r="K447" s="43"/>
      <c r="L447" s="149">
        <f ca="1">IFERROR(__xludf.DUMMYFUNCTION("""COMPUTED_VALUE"""),28.75)</f>
        <v>28.75</v>
      </c>
      <c r="M447" s="155" t="str">
        <f ca="1">IFERROR(__xludf.DUMMYFUNCTION("""COMPUTED_VALUE"""),"Equity Key Stats")</f>
        <v>Equity Key Stats</v>
      </c>
      <c r="N447" s="43"/>
      <c r="O447" s="43"/>
      <c r="P447" s="157">
        <f ca="1">IFERROR(__xludf.DUMMYFUNCTION("""COMPUTED_VALUE"""),-103727.80082)</f>
        <v>-103727.80082</v>
      </c>
      <c r="Q447" s="151"/>
      <c r="R447" s="152">
        <f ca="1">IFERROR(__xludf.DUMMYFUNCTION("""COMPUTED_VALUE"""),28.61)</f>
        <v>28.61</v>
      </c>
      <c r="S447" s="150">
        <f ca="1">IFERROR(__xludf.DUMMYFUNCTION("""COMPUTED_VALUE"""),92507.8672525)</f>
        <v>92507.8672525</v>
      </c>
      <c r="T447" s="108">
        <f ca="1">IFERROR(__xludf.DUMMYFUNCTION("""COMPUTED_VALUE"""),2)</f>
        <v>2</v>
      </c>
      <c r="U447" s="43" t="str">
        <f ca="1">IFERROR(__xludf.DUMMYFUNCTION("""COMPUTED_VALUE"""),"")</f>
        <v/>
      </c>
      <c r="V447" s="144" t="str">
        <f ca="1">IFERROR(__xludf.DUMMYFUNCTION("""COMPUTED_VALUE"""),"")</f>
        <v/>
      </c>
      <c r="W447" s="145" t="str">
        <f ca="1">IFERROR(__xludf.DUMMYFUNCTION("""COMPUTED_VALUE"""),"")</f>
        <v/>
      </c>
      <c r="X447" s="11" t="str">
        <f ca="1">IFERROR(__xludf.DUMMYFUNCTION("""COMPUTED_VALUE"""),"")</f>
        <v/>
      </c>
      <c r="Y447" s="11" t="str">
        <f ca="1">IFERROR(__xludf.DUMMYFUNCTION("""COMPUTED_VALUE"""),"")</f>
        <v/>
      </c>
      <c r="Z447" s="4" t="str">
        <f ca="1">IFERROR(__xludf.DUMMYFUNCTION("""COMPUTED_VALUE"""),"")</f>
        <v/>
      </c>
    </row>
    <row r="448" spans="1:26" ht="13" x14ac:dyDescent="0.15">
      <c r="A448" s="43" t="str">
        <f ca="1">IFERROR(__xludf.DUMMYFUNCTION("""COMPUTED_VALUE"""),"")</f>
        <v/>
      </c>
      <c r="B448" s="43" t="str">
        <f ca="1">IFERROR(__xludf.DUMMYFUNCTION("""COMPUTED_VALUE"""),"75415")</f>
        <v>75415</v>
      </c>
      <c r="C448" s="146">
        <f ca="1">IFERROR(__xludf.DUMMYFUNCTION("""COMPUTED_VALUE"""),44610000264)</f>
        <v>44610000264</v>
      </c>
      <c r="D448" s="163" t="str">
        <f ca="1">IFERROR(__xludf.DUMMYFUNCTION("""COMPUTED_VALUE"""),"F")</f>
        <v>F</v>
      </c>
      <c r="E448" s="147">
        <f ca="1">IFERROR(__xludf.DUMMYFUNCTION("""COMPUTED_VALUE"""),44610)</f>
        <v>44610</v>
      </c>
      <c r="F448" s="43" t="str">
        <f ca="1">IFERROR(__xludf.DUMMYFUNCTION("""COMPUTED_VALUE"""),"Stock")</f>
        <v>Stock</v>
      </c>
      <c r="G448" s="43" t="str">
        <f ca="1">IFERROR(__xludf.DUMMYFUNCTION("""COMPUTED_VALUE"""),"USD")</f>
        <v>USD</v>
      </c>
      <c r="H448" s="154">
        <f ca="1">IFERROR(__xludf.DUMMYFUNCTION("""COMPUTED_VALUE"""),2850)</f>
        <v>2850</v>
      </c>
      <c r="I448" s="148">
        <f ca="1">IFERROR(__xludf.DUMMYFUNCTION("""COMPUTED_VALUE"""),7.80051)</f>
        <v>7.8005100000000001</v>
      </c>
      <c r="J448" s="149">
        <f ca="1">IFERROR(__xludf.DUMMYFUNCTION("""COMPUTED_VALUE"""),18.04)</f>
        <v>18.04</v>
      </c>
      <c r="K448" s="43"/>
      <c r="L448" s="149">
        <f ca="1">IFERROR(__xludf.DUMMYFUNCTION("""COMPUTED_VALUE"""),17.09)</f>
        <v>17.09</v>
      </c>
      <c r="M448" s="155" t="str">
        <f ca="1">IFERROR(__xludf.DUMMYFUNCTION("""COMPUTED_VALUE"""),"Equity Key Stats")</f>
        <v>Equity Key Stats</v>
      </c>
      <c r="N448" s="43"/>
      <c r="O448" s="43"/>
      <c r="P448" s="157">
        <f ca="1">IFERROR(__xludf.DUMMYFUNCTION("""COMPUTED_VALUE"""),-401055.42114)</f>
        <v>-401055.42113999999</v>
      </c>
      <c r="Q448" s="151"/>
      <c r="R448" s="152">
        <f ca="1">IFERROR(__xludf.DUMMYFUNCTION("""COMPUTED_VALUE"""),16.68)</f>
        <v>16.68</v>
      </c>
      <c r="S448" s="150">
        <f ca="1">IFERROR(__xludf.DUMMYFUNCTION("""COMPUTED_VALUE"""),370820.64438)</f>
        <v>370820.64438000001</v>
      </c>
      <c r="T448" s="108">
        <f ca="1">IFERROR(__xludf.DUMMYFUNCTION("""COMPUTED_VALUE"""),2)</f>
        <v>2</v>
      </c>
      <c r="U448" s="108" t="str">
        <f ca="1">IFERROR(__xludf.DUMMYFUNCTION("""COMPUTED_VALUE"""),"")</f>
        <v/>
      </c>
      <c r="V448" s="158" t="str">
        <f ca="1">IFERROR(__xludf.DUMMYFUNCTION("""COMPUTED_VALUE"""),"")</f>
        <v/>
      </c>
      <c r="W448" s="145" t="str">
        <f ca="1">IFERROR(__xludf.DUMMYFUNCTION("""COMPUTED_VALUE"""),"")</f>
        <v/>
      </c>
      <c r="X448" s="11" t="str">
        <f ca="1">IFERROR(__xludf.DUMMYFUNCTION("""COMPUTED_VALUE"""),"")</f>
        <v/>
      </c>
      <c r="Y448" s="11" t="str">
        <f ca="1">IFERROR(__xludf.DUMMYFUNCTION("""COMPUTED_VALUE"""),"")</f>
        <v/>
      </c>
      <c r="Z448" s="4" t="str">
        <f ca="1">IFERROR(__xludf.DUMMYFUNCTION("""COMPUTED_VALUE"""),"")</f>
        <v/>
      </c>
    </row>
    <row r="449" spans="1:26" ht="13" x14ac:dyDescent="0.15">
      <c r="A449" s="43" t="str">
        <f ca="1">IFERROR(__xludf.DUMMYFUNCTION("""COMPUTED_VALUE"""),"")</f>
        <v/>
      </c>
      <c r="B449" s="43" t="str">
        <f ca="1">IFERROR(__xludf.DUMMYFUNCTION("""COMPUTED_VALUE"""),"75415")</f>
        <v>75415</v>
      </c>
      <c r="C449" s="146">
        <f ca="1">IFERROR(__xludf.DUMMYFUNCTION("""COMPUTED_VALUE"""),44634000541)</f>
        <v>44634000541</v>
      </c>
      <c r="D449" s="163" t="str">
        <f ca="1">IFERROR(__xludf.DUMMYFUNCTION("""COMPUTED_VALUE"""),"MSFT")</f>
        <v>MSFT</v>
      </c>
      <c r="E449" s="147">
        <f ca="1">IFERROR(__xludf.DUMMYFUNCTION("""COMPUTED_VALUE"""),44634)</f>
        <v>44634</v>
      </c>
      <c r="F449" s="43" t="str">
        <f ca="1">IFERROR(__xludf.DUMMYFUNCTION("""COMPUTED_VALUE"""),"Stock")</f>
        <v>Stock</v>
      </c>
      <c r="G449" s="43" t="str">
        <f ca="1">IFERROR(__xludf.DUMMYFUNCTION("""COMPUTED_VALUE"""),"USD")</f>
        <v>USD</v>
      </c>
      <c r="H449" s="154">
        <f ca="1">IFERROR(__xludf.DUMMYFUNCTION("""COMPUTED_VALUE"""),100)</f>
        <v>100</v>
      </c>
      <c r="I449" s="148">
        <f ca="1">IFERROR(__xludf.DUMMYFUNCTION("""COMPUTED_VALUE"""),7.82925)</f>
        <v>7.82925</v>
      </c>
      <c r="J449" s="149">
        <f ca="1">IFERROR(__xludf.DUMMYFUNCTION("""COMPUTED_VALUE"""),276.44)</f>
        <v>276.44</v>
      </c>
      <c r="K449" s="43"/>
      <c r="L449" s="149">
        <f ca="1">IFERROR(__xludf.DUMMYFUNCTION("""COMPUTED_VALUE"""),304.06)</f>
        <v>304.06</v>
      </c>
      <c r="M449" s="155" t="str">
        <f ca="1">IFERROR(__xludf.DUMMYFUNCTION("""COMPUTED_VALUE"""),"Equity Key Stats")</f>
        <v>Equity Key Stats</v>
      </c>
      <c r="N449" s="43"/>
      <c r="O449" s="43"/>
      <c r="P449" s="150">
        <f ca="1">IFERROR(__xludf.DUMMYFUNCTION("""COMPUTED_VALUE"""),-216431.786999999)</f>
        <v>-216431.78699999899</v>
      </c>
      <c r="Q449" s="151"/>
      <c r="R449" s="152">
        <f ca="1">IFERROR(__xludf.DUMMYFUNCTION("""COMPUTED_VALUE"""),299.49)</f>
        <v>299.49</v>
      </c>
      <c r="S449" s="150">
        <f ca="1">IFERROR(__xludf.DUMMYFUNCTION("""COMPUTED_VALUE"""),234478.20825)</f>
        <v>234478.20825</v>
      </c>
      <c r="T449" s="108">
        <f ca="1">IFERROR(__xludf.DUMMYFUNCTION("""COMPUTED_VALUE"""),1)</f>
        <v>1</v>
      </c>
      <c r="U449" s="43">
        <f ca="1">IFERROR(__xludf.DUMMYFUNCTION("""COMPUTED_VALUE"""),1)</f>
        <v>1</v>
      </c>
      <c r="V449" s="144">
        <f ca="1">IFERROR(__xludf.DUMMYFUNCTION("""COMPUTED_VALUE"""),18046.42125)</f>
        <v>18046.421249999999</v>
      </c>
      <c r="W449" s="145" t="str">
        <f ca="1">IFERROR(__xludf.DUMMYFUNCTION("""COMPUTED_VALUE"""),"")</f>
        <v/>
      </c>
      <c r="X449" s="11" t="str">
        <f ca="1">IFERROR(__xludf.DUMMYFUNCTION("""COMPUTED_VALUE"""),"")</f>
        <v/>
      </c>
      <c r="Y449" s="11" t="str">
        <f ca="1">IFERROR(__xludf.DUMMYFUNCTION("""COMPUTED_VALUE"""),"")</f>
        <v/>
      </c>
      <c r="Z449" s="4" t="str">
        <f ca="1">IFERROR(__xludf.DUMMYFUNCTION("""COMPUTED_VALUE"""),"")</f>
        <v/>
      </c>
    </row>
    <row r="450" spans="1:26" ht="13" x14ac:dyDescent="0.15">
      <c r="A450" s="43" t="str">
        <f ca="1">IFERROR(__xludf.DUMMYFUNCTION("""COMPUTED_VALUE"""),"")</f>
        <v/>
      </c>
      <c r="B450" s="43" t="str">
        <f ca="1">IFERROR(__xludf.DUMMYFUNCTION("""COMPUTED_VALUE"""),"75415")</f>
        <v>75415</v>
      </c>
      <c r="C450" s="146">
        <f ca="1">IFERROR(__xludf.DUMMYFUNCTION("""COMPUTED_VALUE"""),44634000563)</f>
        <v>44634000563</v>
      </c>
      <c r="D450" s="163" t="str">
        <f ca="1">IFERROR(__xludf.DUMMYFUNCTION("""COMPUTED_VALUE"""),"GBTC")</f>
        <v>GBTC</v>
      </c>
      <c r="E450" s="147">
        <f ca="1">IFERROR(__xludf.DUMMYFUNCTION("""COMPUTED_VALUE"""),44634)</f>
        <v>44634</v>
      </c>
      <c r="F450" s="43" t="str">
        <f ca="1">IFERROR(__xludf.DUMMYFUNCTION("""COMPUTED_VALUE"""),"Stock")</f>
        <v>Stock</v>
      </c>
      <c r="G450" s="43" t="str">
        <f ca="1">IFERROR(__xludf.DUMMYFUNCTION("""COMPUTED_VALUE"""),"USD")</f>
        <v>USD</v>
      </c>
      <c r="H450" s="154">
        <f ca="1">IFERROR(__xludf.DUMMYFUNCTION("""COMPUTED_VALUE"""),-415)</f>
        <v>-415</v>
      </c>
      <c r="I450" s="148">
        <f ca="1">IFERROR(__xludf.DUMMYFUNCTION("""COMPUTED_VALUE"""),7.82925)</f>
        <v>7.82925</v>
      </c>
      <c r="J450" s="149">
        <f ca="1">IFERROR(__xludf.DUMMYFUNCTION("""COMPUTED_VALUE"""),25.4)</f>
        <v>25.4</v>
      </c>
      <c r="K450" s="43"/>
      <c r="L450" s="149">
        <f ca="1">IFERROR(__xludf.DUMMYFUNCTION("""COMPUTED_VALUE"""),28.75)</f>
        <v>28.75</v>
      </c>
      <c r="M450" s="155" t="str">
        <f ca="1">IFERROR(__xludf.DUMMYFUNCTION("""COMPUTED_VALUE"""),"Equity Key Stats")</f>
        <v>Equity Key Stats</v>
      </c>
      <c r="N450" s="43"/>
      <c r="O450" s="43"/>
      <c r="P450" s="150">
        <f ca="1">IFERROR(__xludf.DUMMYFUNCTION("""COMPUTED_VALUE"""),82528.12425)</f>
        <v>82528.124249999993</v>
      </c>
      <c r="Q450" s="151"/>
      <c r="R450" s="152">
        <f ca="1">IFERROR(__xludf.DUMMYFUNCTION("""COMPUTED_VALUE"""),28.61)</f>
        <v>28.61</v>
      </c>
      <c r="S450" s="150">
        <f ca="1">IFERROR(__xludf.DUMMYFUNCTION("""COMPUTED_VALUE"""),-92957.8596375)</f>
        <v>-92957.859637500005</v>
      </c>
      <c r="T450" s="108">
        <f ca="1">IFERROR(__xludf.DUMMYFUNCTION("""COMPUTED_VALUE"""),2)</f>
        <v>2</v>
      </c>
      <c r="U450" s="43">
        <f ca="1">IFERROR(__xludf.DUMMYFUNCTION("""COMPUTED_VALUE"""),1)</f>
        <v>1</v>
      </c>
      <c r="V450" s="144">
        <f ca="1">IFERROR(__xludf.DUMMYFUNCTION("""COMPUTED_VALUE"""),-21649.668955)</f>
        <v>-21649.668955000001</v>
      </c>
      <c r="W450" s="145" t="str">
        <f ca="1">IFERROR(__xludf.DUMMYFUNCTION("""COMPUTED_VALUE"""),"")</f>
        <v/>
      </c>
      <c r="X450" s="11" t="str">
        <f ca="1">IFERROR(__xludf.DUMMYFUNCTION("""COMPUTED_VALUE"""),"")</f>
        <v/>
      </c>
      <c r="Y450" s="11" t="str">
        <f ca="1">IFERROR(__xludf.DUMMYFUNCTION("""COMPUTED_VALUE"""),"")</f>
        <v/>
      </c>
      <c r="Z450" s="4" t="str">
        <f ca="1">IFERROR(__xludf.DUMMYFUNCTION("""COMPUTED_VALUE"""),"")</f>
        <v/>
      </c>
    </row>
    <row r="451" spans="1:26" ht="13" x14ac:dyDescent="0.15">
      <c r="A451" s="43" t="str">
        <f ca="1">IFERROR(__xludf.DUMMYFUNCTION("""COMPUTED_VALUE"""),"")</f>
        <v/>
      </c>
      <c r="B451" s="43" t="str">
        <f ca="1">IFERROR(__xludf.DUMMYFUNCTION("""COMPUTED_VALUE"""),"75415")</f>
        <v>75415</v>
      </c>
      <c r="C451" s="146">
        <f ca="1">IFERROR(__xludf.DUMMYFUNCTION("""COMPUTED_VALUE"""),44634000564)</f>
        <v>44634000564</v>
      </c>
      <c r="D451" s="163" t="str">
        <f ca="1">IFERROR(__xludf.DUMMYFUNCTION("""COMPUTED_VALUE"""),"f")</f>
        <v>f</v>
      </c>
      <c r="E451" s="147">
        <f ca="1">IFERROR(__xludf.DUMMYFUNCTION("""COMPUTED_VALUE"""),44634)</f>
        <v>44634</v>
      </c>
      <c r="F451" s="43" t="str">
        <f ca="1">IFERROR(__xludf.DUMMYFUNCTION("""COMPUTED_VALUE"""),"Stock")</f>
        <v>Stock</v>
      </c>
      <c r="G451" s="43" t="str">
        <f ca="1">IFERROR(__xludf.DUMMYFUNCTION("""COMPUTED_VALUE"""),"USD")</f>
        <v>USD</v>
      </c>
      <c r="H451" s="154">
        <f ca="1">IFERROR(__xludf.DUMMYFUNCTION("""COMPUTED_VALUE"""),-2850)</f>
        <v>-2850</v>
      </c>
      <c r="I451" s="148">
        <f ca="1">IFERROR(__xludf.DUMMYFUNCTION("""COMPUTED_VALUE"""),7.82925)</f>
        <v>7.82925</v>
      </c>
      <c r="J451" s="149">
        <f ca="1">IFERROR(__xludf.DUMMYFUNCTION("""COMPUTED_VALUE"""),15.74)</f>
        <v>15.74</v>
      </c>
      <c r="K451" s="43"/>
      <c r="L451" s="149">
        <f ca="1">IFERROR(__xludf.DUMMYFUNCTION("""COMPUTED_VALUE"""),17.09)</f>
        <v>17.09</v>
      </c>
      <c r="M451" s="155" t="str">
        <f ca="1">IFERROR(__xludf.DUMMYFUNCTION("""COMPUTED_VALUE"""),"Equity Key Stats")</f>
        <v>Equity Key Stats</v>
      </c>
      <c r="N451" s="43"/>
      <c r="O451" s="43"/>
      <c r="P451" s="157">
        <f ca="1">IFERROR(__xludf.DUMMYFUNCTION("""COMPUTED_VALUE"""),351212.32575)</f>
        <v>351212.32575000002</v>
      </c>
      <c r="Q451" s="151"/>
      <c r="R451" s="152">
        <f ca="1">IFERROR(__xludf.DUMMYFUNCTION("""COMPUTED_VALUE"""),16.68)</f>
        <v>16.68</v>
      </c>
      <c r="S451" s="150">
        <f ca="1">IFERROR(__xludf.DUMMYFUNCTION("""COMPUTED_VALUE"""),-372186.886499999)</f>
        <v>-372186.88649999897</v>
      </c>
      <c r="T451" s="108">
        <f ca="1">IFERROR(__xludf.DUMMYFUNCTION("""COMPUTED_VALUE"""),2)</f>
        <v>2</v>
      </c>
      <c r="U451" s="43">
        <f ca="1">IFERROR(__xludf.DUMMYFUNCTION("""COMPUTED_VALUE"""),1)</f>
        <v>1</v>
      </c>
      <c r="V451" s="144">
        <f ca="1">IFERROR(__xludf.DUMMYFUNCTION("""COMPUTED_VALUE"""),-51209.3375099999)</f>
        <v>-51209.337509999903</v>
      </c>
      <c r="W451" s="145" t="str">
        <f ca="1">IFERROR(__xludf.DUMMYFUNCTION("""COMPUTED_VALUE"""),"")</f>
        <v/>
      </c>
      <c r="X451" s="11" t="str">
        <f ca="1">IFERROR(__xludf.DUMMYFUNCTION("""COMPUTED_VALUE"""),"")</f>
        <v/>
      </c>
      <c r="Y451" s="11" t="str">
        <f ca="1">IFERROR(__xludf.DUMMYFUNCTION("""COMPUTED_VALUE"""),"")</f>
        <v/>
      </c>
      <c r="Z451" s="4" t="str">
        <f ca="1">IFERROR(__xludf.DUMMYFUNCTION("""COMPUTED_VALUE"""),"")</f>
        <v/>
      </c>
    </row>
    <row r="452" spans="1:26" ht="13" x14ac:dyDescent="0.15">
      <c r="A452" s="43" t="str">
        <f ca="1">IFERROR(__xludf.DUMMYFUNCTION("""COMPUTED_VALUE"""),"")</f>
        <v/>
      </c>
      <c r="B452" s="43" t="str">
        <f ca="1">IFERROR(__xludf.DUMMYFUNCTION("""COMPUTED_VALUE"""),"75415")</f>
        <v>75415</v>
      </c>
      <c r="C452" s="146">
        <f ca="1">IFERROR(__xludf.DUMMYFUNCTION("""COMPUTED_VALUE"""),44641000757)</f>
        <v>44641000757</v>
      </c>
      <c r="D452" s="163" t="str">
        <f ca="1">IFERROR(__xludf.DUMMYFUNCTION("""COMPUTED_VALUE"""),"UVXY")</f>
        <v>UVXY</v>
      </c>
      <c r="E452" s="147">
        <f ca="1">IFERROR(__xludf.DUMMYFUNCTION("""COMPUTED_VALUE"""),44641)</f>
        <v>44641</v>
      </c>
      <c r="F452" s="43" t="str">
        <f ca="1">IFERROR(__xludf.DUMMYFUNCTION("""COMPUTED_VALUE"""),"Stock")</f>
        <v>Stock</v>
      </c>
      <c r="G452" s="43" t="str">
        <f ca="1">IFERROR(__xludf.DUMMYFUNCTION("""COMPUTED_VALUE"""),"USD")</f>
        <v>USD</v>
      </c>
      <c r="H452" s="154">
        <f ca="1">IFERROR(__xludf.DUMMYFUNCTION("""COMPUTED_VALUE"""),-1000)</f>
        <v>-1000</v>
      </c>
      <c r="I452" s="148">
        <f ca="1">IFERROR(__xludf.DUMMYFUNCTION("""COMPUTED_VALUE"""),7.82545)</f>
        <v>7.82545</v>
      </c>
      <c r="J452" s="149">
        <f ca="1">IFERROR(__xludf.DUMMYFUNCTION("""COMPUTED_VALUE"""),15.09)</f>
        <v>15.09</v>
      </c>
      <c r="K452" s="43"/>
      <c r="L452" s="149">
        <f ca="1">IFERROR(__xludf.DUMMYFUNCTION("""COMPUTED_VALUE"""),14.72)</f>
        <v>14.72</v>
      </c>
      <c r="M452" s="155" t="str">
        <f ca="1">IFERROR(__xludf.DUMMYFUNCTION("""COMPUTED_VALUE"""),"Equity Key Stats")</f>
        <v>Equity Key Stats</v>
      </c>
      <c r="N452" s="43"/>
      <c r="O452" s="43"/>
      <c r="P452" s="157">
        <f ca="1">IFERROR(__xludf.DUMMYFUNCTION("""COMPUTED_VALUE"""),118086.0405)</f>
        <v>118086.0405</v>
      </c>
      <c r="Q452" s="151"/>
      <c r="R452" s="152">
        <f ca="1">IFERROR(__xludf.DUMMYFUNCTION("""COMPUTED_VALUE"""),14.65)</f>
        <v>14.65</v>
      </c>
      <c r="S452" s="150">
        <f ca="1">IFERROR(__xludf.DUMMYFUNCTION("""COMPUTED_VALUE"""),-114642.8425)</f>
        <v>-114642.8425</v>
      </c>
      <c r="T452" s="108">
        <f ca="1">IFERROR(__xludf.DUMMYFUNCTION("""COMPUTED_VALUE"""),2)</f>
        <v>2</v>
      </c>
      <c r="U452" s="43" t="str">
        <f ca="1">IFERROR(__xludf.DUMMYFUNCTION("""COMPUTED_VALUE"""),"")</f>
        <v/>
      </c>
      <c r="V452" s="144" t="str">
        <f ca="1">IFERROR(__xludf.DUMMYFUNCTION("""COMPUTED_VALUE"""),"")</f>
        <v/>
      </c>
      <c r="W452" s="145" t="str">
        <f ca="1">IFERROR(__xludf.DUMMYFUNCTION("""COMPUTED_VALUE"""),"")</f>
        <v/>
      </c>
      <c r="X452" s="11" t="str">
        <f ca="1">IFERROR(__xludf.DUMMYFUNCTION("""COMPUTED_VALUE"""),"")</f>
        <v/>
      </c>
      <c r="Y452" s="11" t="str">
        <f ca="1">IFERROR(__xludf.DUMMYFUNCTION("""COMPUTED_VALUE"""),"")</f>
        <v/>
      </c>
      <c r="Z452" s="4" t="str">
        <f ca="1">IFERROR(__xludf.DUMMYFUNCTION("""COMPUTED_VALUE"""),"")</f>
        <v/>
      </c>
    </row>
    <row r="453" spans="1:26" ht="13" x14ac:dyDescent="0.15">
      <c r="A453" s="43" t="str">
        <f ca="1">IFERROR(__xludf.DUMMYFUNCTION("""COMPUTED_VALUE"""),"")</f>
        <v/>
      </c>
      <c r="B453" s="43" t="str">
        <f ca="1">IFERROR(__xludf.DUMMYFUNCTION("""COMPUTED_VALUE"""),"75415")</f>
        <v>75415</v>
      </c>
      <c r="C453" s="146">
        <f ca="1">IFERROR(__xludf.DUMMYFUNCTION("""COMPUTED_VALUE"""),44642000773)</f>
        <v>44642000773</v>
      </c>
      <c r="D453" s="163" t="str">
        <f ca="1">IFERROR(__xludf.DUMMYFUNCTION("""COMPUTED_VALUE"""),"UVXY")</f>
        <v>UVXY</v>
      </c>
      <c r="E453" s="147">
        <f ca="1">IFERROR(__xludf.DUMMYFUNCTION("""COMPUTED_VALUE"""),44642)</f>
        <v>44642</v>
      </c>
      <c r="F453" s="43" t="str">
        <f ca="1">IFERROR(__xludf.DUMMYFUNCTION("""COMPUTED_VALUE"""),"Stock")</f>
        <v>Stock</v>
      </c>
      <c r="G453" s="43" t="str">
        <f ca="1">IFERROR(__xludf.DUMMYFUNCTION("""COMPUTED_VALUE"""),"USD")</f>
        <v>USD</v>
      </c>
      <c r="H453" s="154" t="str">
        <f ca="1">IFERROR(__xludf.DUMMYFUNCTION("""COMPUTED_VALUE"""),"")</f>
        <v/>
      </c>
      <c r="I453" s="148">
        <f ca="1">IFERROR(__xludf.DUMMYFUNCTION("""COMPUTED_VALUE"""),7.82695)</f>
        <v>7.8269500000000001</v>
      </c>
      <c r="J453" s="149">
        <f ca="1">IFERROR(__xludf.DUMMYFUNCTION("""COMPUTED_VALUE"""),14.72)</f>
        <v>14.72</v>
      </c>
      <c r="K453" s="43"/>
      <c r="L453" s="149">
        <f ca="1">IFERROR(__xludf.DUMMYFUNCTION("""COMPUTED_VALUE"""),14.72)</f>
        <v>14.72</v>
      </c>
      <c r="M453" s="155" t="str">
        <f ca="1">IFERROR(__xludf.DUMMYFUNCTION("""COMPUTED_VALUE"""),"Equity Key Stats")</f>
        <v>Equity Key Stats</v>
      </c>
      <c r="N453" s="43"/>
      <c r="O453" s="43"/>
      <c r="P453" s="157">
        <f ca="1">IFERROR(__xludf.DUMMYFUNCTION("""COMPUTED_VALUE"""),0)</f>
        <v>0</v>
      </c>
      <c r="Q453" s="151"/>
      <c r="R453" s="152">
        <f ca="1">IFERROR(__xludf.DUMMYFUNCTION("""COMPUTED_VALUE"""),14.65)</f>
        <v>14.65</v>
      </c>
      <c r="S453" s="150">
        <f ca="1">IFERROR(__xludf.DUMMYFUNCTION("""COMPUTED_VALUE"""),0)</f>
        <v>0</v>
      </c>
      <c r="T453" s="108">
        <f ca="1">IFERROR(__xludf.DUMMYFUNCTION("""COMPUTED_VALUE"""),2)</f>
        <v>2</v>
      </c>
      <c r="U453" s="108">
        <f ca="1">IFERROR(__xludf.DUMMYFUNCTION("""COMPUTED_VALUE"""),1)</f>
        <v>1</v>
      </c>
      <c r="V453" s="158">
        <f ca="1">IFERROR(__xludf.DUMMYFUNCTION("""COMPUTED_VALUE"""),3443.198)</f>
        <v>3443.1979999999999</v>
      </c>
      <c r="W453" s="145" t="str">
        <f ca="1">IFERROR(__xludf.DUMMYFUNCTION("""COMPUTED_VALUE"""),"")</f>
        <v/>
      </c>
      <c r="X453" s="11" t="str">
        <f ca="1">IFERROR(__xludf.DUMMYFUNCTION("""COMPUTED_VALUE"""),"")</f>
        <v/>
      </c>
      <c r="Y453" s="11" t="str">
        <f ca="1">IFERROR(__xludf.DUMMYFUNCTION("""COMPUTED_VALUE"""),"")</f>
        <v/>
      </c>
      <c r="Z453" s="4" t="str">
        <f ca="1">IFERROR(__xludf.DUMMYFUNCTION("""COMPUTED_VALUE"""),"")</f>
        <v/>
      </c>
    </row>
    <row r="454" spans="1:26" ht="13" x14ac:dyDescent="0.15">
      <c r="A454" s="43" t="str">
        <f ca="1">IFERROR(__xludf.DUMMYFUNCTION("""COMPUTED_VALUE"""),"75415")</f>
        <v>75415</v>
      </c>
      <c r="B454" s="43" t="str">
        <f ca="1">IFERROR(__xludf.DUMMYFUNCTION("""COMPUTED_VALUE"""),"75415")</f>
        <v>75415</v>
      </c>
      <c r="C454" s="146">
        <f ca="1">IFERROR(__xludf.DUMMYFUNCTION("""COMPUTED_VALUE"""),44642000774)</f>
        <v>44642000774</v>
      </c>
      <c r="D454" s="163" t="str">
        <f ca="1">IFERROR(__xludf.DUMMYFUNCTION("""COMPUTED_VALUE"""),"WEAT")</f>
        <v>WEAT</v>
      </c>
      <c r="E454" s="147">
        <f ca="1">IFERROR(__xludf.DUMMYFUNCTION("""COMPUTED_VALUE"""),44642)</f>
        <v>44642</v>
      </c>
      <c r="F454" s="43" t="str">
        <f ca="1">IFERROR(__xludf.DUMMYFUNCTION("""COMPUTED_VALUE"""),"Stock")</f>
        <v>Stock</v>
      </c>
      <c r="G454" s="43" t="str">
        <f ca="1">IFERROR(__xludf.DUMMYFUNCTION("""COMPUTED_VALUE"""),"USD")</f>
        <v>USD</v>
      </c>
      <c r="H454" s="154">
        <f ca="1">IFERROR(__xludf.DUMMYFUNCTION("""COMPUTED_VALUE"""),1000)</f>
        <v>1000</v>
      </c>
      <c r="I454" s="148">
        <f ca="1">IFERROR(__xludf.DUMMYFUNCTION("""COMPUTED_VALUE"""),7.82695)</f>
        <v>7.8269500000000001</v>
      </c>
      <c r="J454" s="149">
        <f ca="1">IFERROR(__xludf.DUMMYFUNCTION("""COMPUTED_VALUE"""),10.69)</f>
        <v>10.69</v>
      </c>
      <c r="K454" s="43"/>
      <c r="L454" s="149">
        <f ca="1">IFERROR(__xludf.DUMMYFUNCTION("""COMPUTED_VALUE"""),10.69)</f>
        <v>10.69</v>
      </c>
      <c r="M454" s="155" t="str">
        <f ca="1">IFERROR(__xludf.DUMMYFUNCTION("""COMPUTED_VALUE"""),"Equity Key Stats")</f>
        <v>Equity Key Stats</v>
      </c>
      <c r="N454" s="43"/>
      <c r="O454" s="43"/>
      <c r="P454" s="157">
        <f ca="1">IFERROR(__xludf.DUMMYFUNCTION("""COMPUTED_VALUE"""),-83670.0955)</f>
        <v>-83670.095499999996</v>
      </c>
      <c r="Q454" s="151"/>
      <c r="R454" s="152">
        <f ca="1">IFERROR(__xludf.DUMMYFUNCTION("""COMPUTED_VALUE"""),10.59)</f>
        <v>10.59</v>
      </c>
      <c r="S454" s="150">
        <f ca="1">IFERROR(__xludf.DUMMYFUNCTION("""COMPUTED_VALUE"""),82887.4005)</f>
        <v>82887.400500000003</v>
      </c>
      <c r="T454" s="108">
        <f ca="1">IFERROR(__xludf.DUMMYFUNCTION("""COMPUTED_VALUE"""),1)</f>
        <v>1</v>
      </c>
      <c r="U454" s="108">
        <f ca="1">IFERROR(__xludf.DUMMYFUNCTION("""COMPUTED_VALUE"""),1)</f>
        <v>1</v>
      </c>
      <c r="V454" s="158">
        <f ca="1">IFERROR(__xludf.DUMMYFUNCTION("""COMPUTED_VALUE"""),-782.694999999992)</f>
        <v>-782.69499999999198</v>
      </c>
      <c r="W454" s="145">
        <f ca="1">IFERROR(__xludf.DUMMYFUNCTION("""COMPUTED_VALUE"""),447847.917785)</f>
        <v>447847.917785</v>
      </c>
      <c r="X454" s="11">
        <f ca="1">IFERROR(__xludf.DUMMYFUNCTION("""COMPUTED_VALUE"""),10769.30504)</f>
        <v>10769.305039999999</v>
      </c>
      <c r="Y454" s="11">
        <f ca="1">IFERROR(__xludf.DUMMYFUNCTION("""COMPUTED_VALUE"""),0)</f>
        <v>0</v>
      </c>
      <c r="Z454" s="4">
        <f ca="1">IFERROR(__xludf.DUMMYFUNCTION("""COMPUTED_VALUE"""),-0.104304164429999)</f>
        <v>-0.104304164429999</v>
      </c>
    </row>
    <row r="455" spans="1:26" ht="13" x14ac:dyDescent="0.15">
      <c r="A455" s="43" t="str">
        <f ca="1">IFERROR(__xludf.DUMMYFUNCTION("""COMPUTED_VALUE"""),"")</f>
        <v/>
      </c>
      <c r="B455" s="43" t="str">
        <f ca="1">IFERROR(__xludf.DUMMYFUNCTION("""COMPUTED_VALUE"""),"75597")</f>
        <v>75597</v>
      </c>
      <c r="C455" s="146">
        <f ca="1">IFERROR(__xludf.DUMMYFUNCTION("""COMPUTED_VALUE"""),44597000079)</f>
        <v>44597000079</v>
      </c>
      <c r="D455" s="163" t="str">
        <f ca="1">IFERROR(__xludf.DUMMYFUNCTION("""COMPUTED_VALUE"""),"Cash")</f>
        <v>Cash</v>
      </c>
      <c r="E455" s="147">
        <f ca="1">IFERROR(__xludf.DUMMYFUNCTION("""COMPUTED_VALUE"""),44597)</f>
        <v>44597</v>
      </c>
      <c r="F455" s="43" t="str">
        <f ca="1">IFERROR(__xludf.DUMMYFUNCTION("""COMPUTED_VALUE"""),"Cash")</f>
        <v>Cash</v>
      </c>
      <c r="G455" s="43" t="str">
        <f ca="1">IFERROR(__xludf.DUMMYFUNCTION("""COMPUTED_VALUE"""),"HKD")</f>
        <v>HKD</v>
      </c>
      <c r="H455" s="154" t="str">
        <f ca="1">IFERROR(__xludf.DUMMYFUNCTION("""COMPUTED_VALUE"""),"")</f>
        <v/>
      </c>
      <c r="I455" s="148">
        <f ca="1">IFERROR(__xludf.DUMMYFUNCTION("""COMPUTED_VALUE"""),1)</f>
        <v>1</v>
      </c>
      <c r="J455" s="149">
        <f ca="1">IFERROR(__xludf.DUMMYFUNCTION("""COMPUTED_VALUE"""),1)</f>
        <v>1</v>
      </c>
      <c r="K455" s="43"/>
      <c r="L455" s="149">
        <f ca="1">IFERROR(__xludf.DUMMYFUNCTION("""COMPUTED_VALUE"""),1)</f>
        <v>1</v>
      </c>
      <c r="M455" s="155" t="str">
        <f ca="1">IFERROR(__xludf.DUMMYFUNCTION("""COMPUTED_VALUE"""),"")</f>
        <v/>
      </c>
      <c r="N455" s="43"/>
      <c r="O455" s="43"/>
      <c r="P455" s="157">
        <f ca="1">IFERROR(__xludf.DUMMYFUNCTION("""COMPUTED_VALUE"""),500000)</f>
        <v>500000</v>
      </c>
      <c r="Q455" s="151"/>
      <c r="R455" s="152">
        <f ca="1">IFERROR(__xludf.DUMMYFUNCTION("""COMPUTED_VALUE"""),1)</f>
        <v>1</v>
      </c>
      <c r="S455" s="150" t="str">
        <f ca="1">IFERROR(__xludf.DUMMYFUNCTION("""COMPUTED_VALUE"""),"")</f>
        <v/>
      </c>
      <c r="T455" s="108">
        <f ca="1">IFERROR(__xludf.DUMMYFUNCTION("""COMPUTED_VALUE"""),1)</f>
        <v>1</v>
      </c>
      <c r="U455" s="108">
        <f ca="1">IFERROR(__xludf.DUMMYFUNCTION("""COMPUTED_VALUE"""),1)</f>
        <v>1</v>
      </c>
      <c r="V455" s="153">
        <f ca="1">IFERROR(__xludf.DUMMYFUNCTION("""COMPUTED_VALUE"""),500000)</f>
        <v>500000</v>
      </c>
      <c r="W455" s="145" t="str">
        <f ca="1">IFERROR(__xludf.DUMMYFUNCTION("""COMPUTED_VALUE"""),"")</f>
        <v/>
      </c>
      <c r="X455" s="11" t="str">
        <f ca="1">IFERROR(__xludf.DUMMYFUNCTION("""COMPUTED_VALUE"""),"")</f>
        <v/>
      </c>
      <c r="Y455" s="11" t="str">
        <f ca="1">IFERROR(__xludf.DUMMYFUNCTION("""COMPUTED_VALUE"""),"")</f>
        <v/>
      </c>
      <c r="Z455" s="4" t="str">
        <f ca="1">IFERROR(__xludf.DUMMYFUNCTION("""COMPUTED_VALUE"""),"")</f>
        <v/>
      </c>
    </row>
    <row r="456" spans="1:26" ht="13" x14ac:dyDescent="0.15">
      <c r="A456" s="43" t="str">
        <f ca="1">IFERROR(__xludf.DUMMYFUNCTION("""COMPUTED_VALUE"""),"75597")</f>
        <v>75597</v>
      </c>
      <c r="B456" s="43" t="str">
        <f ca="1">IFERROR(__xludf.DUMMYFUNCTION("""COMPUTED_VALUE"""),"75597")</f>
        <v>75597</v>
      </c>
      <c r="C456" s="146">
        <f ca="1">IFERROR(__xludf.DUMMYFUNCTION("""COMPUTED_VALUE"""),44641000697)</f>
        <v>44641000697</v>
      </c>
      <c r="D456" s="163" t="str">
        <f ca="1">IFERROR(__xludf.DUMMYFUNCTION("""COMPUTED_VALUE"""),"600519.SS")</f>
        <v>600519.SS</v>
      </c>
      <c r="E456" s="147">
        <f ca="1">IFERROR(__xludf.DUMMYFUNCTION("""COMPUTED_VALUE"""),44641)</f>
        <v>44641</v>
      </c>
      <c r="F456" s="43" t="str">
        <f ca="1">IFERROR(__xludf.DUMMYFUNCTION("""COMPUTED_VALUE"""),"Stock")</f>
        <v>Stock</v>
      </c>
      <c r="G456" s="43" t="str">
        <f ca="1">IFERROR(__xludf.DUMMYFUNCTION("""COMPUTED_VALUE"""),"CNY")</f>
        <v>CNY</v>
      </c>
      <c r="H456" s="154">
        <f ca="1">IFERROR(__xludf.DUMMYFUNCTION("""COMPUTED_VALUE"""),50)</f>
        <v>50</v>
      </c>
      <c r="I456" s="148">
        <f ca="1">IFERROR(__xludf.DUMMYFUNCTION("""COMPUTED_VALUE"""),1.231135)</f>
        <v>1.2311350000000001</v>
      </c>
      <c r="J456" s="149">
        <f ca="1">IFERROR(__xludf.DUMMYFUNCTION("""COMPUTED_VALUE"""),1704.3)</f>
        <v>1704.3</v>
      </c>
      <c r="K456" s="43"/>
      <c r="L456" s="149">
        <f ca="1">IFERROR(__xludf.DUMMYFUNCTION("""COMPUTED_VALUE"""),1695)</f>
        <v>1695</v>
      </c>
      <c r="M456" s="155" t="str">
        <f ca="1">IFERROR(__xludf.DUMMYFUNCTION("""COMPUTED_VALUE"""),"Equity Key Stats")</f>
        <v>Equity Key Stats</v>
      </c>
      <c r="N456" s="43"/>
      <c r="O456" s="43"/>
      <c r="P456" s="157">
        <f ca="1">IFERROR(__xludf.DUMMYFUNCTION("""COMPUTED_VALUE"""),-104911.169025)</f>
        <v>-104911.169025</v>
      </c>
      <c r="Q456" s="151"/>
      <c r="R456" s="152">
        <f ca="1">IFERROR(__xludf.DUMMYFUNCTION("""COMPUTED_VALUE"""),1752.19)</f>
        <v>1752.19</v>
      </c>
      <c r="S456" s="150">
        <f ca="1">IFERROR(__xludf.DUMMYFUNCTION("""COMPUTED_VALUE"""),107859.1217825)</f>
        <v>107859.12178250001</v>
      </c>
      <c r="T456" s="108">
        <f ca="1">IFERROR(__xludf.DUMMYFUNCTION("""COMPUTED_VALUE"""),1)</f>
        <v>1</v>
      </c>
      <c r="U456" s="108">
        <f ca="1">IFERROR(__xludf.DUMMYFUNCTION("""COMPUTED_VALUE"""),1)</f>
        <v>1</v>
      </c>
      <c r="V456" s="153">
        <f ca="1">IFERROR(__xludf.DUMMYFUNCTION("""COMPUTED_VALUE"""),2947.95275750001)</f>
        <v>2947.9527575000102</v>
      </c>
      <c r="W456" s="44">
        <f ca="1">IFERROR(__xludf.DUMMYFUNCTION("""COMPUTED_VALUE"""),502947.9527575)</f>
        <v>502947.9527575</v>
      </c>
      <c r="X456" s="154">
        <f ca="1">IFERROR(__xludf.DUMMYFUNCTION("""COMPUTED_VALUE"""),395088.830975)</f>
        <v>395088.83097499999</v>
      </c>
      <c r="Y456" s="154">
        <f ca="1">IFERROR(__xludf.DUMMYFUNCTION("""COMPUTED_VALUE"""),0)</f>
        <v>0</v>
      </c>
      <c r="Z456" s="159">
        <f ca="1">IFERROR(__xludf.DUMMYFUNCTION("""COMPUTED_VALUE"""),0.00589590551500007)</f>
        <v>5.8959055150000703E-3</v>
      </c>
    </row>
    <row r="457" spans="1:26" ht="13" x14ac:dyDescent="0.15">
      <c r="A457" s="43" t="str">
        <f ca="1">IFERROR(__xludf.DUMMYFUNCTION("""COMPUTED_VALUE"""),"")</f>
        <v/>
      </c>
      <c r="B457" s="43" t="str">
        <f ca="1">IFERROR(__xludf.DUMMYFUNCTION("""COMPUTED_VALUE"""),"75965")</f>
        <v>75965</v>
      </c>
      <c r="C457" s="146">
        <f ca="1">IFERROR(__xludf.DUMMYFUNCTION("""COMPUTED_VALUE"""),44597000046)</f>
        <v>44597000046</v>
      </c>
      <c r="D457" s="43" t="str">
        <f ca="1">IFERROR(__xludf.DUMMYFUNCTION("""COMPUTED_VALUE"""),"Cash")</f>
        <v>Cash</v>
      </c>
      <c r="E457" s="147">
        <f ca="1">IFERROR(__xludf.DUMMYFUNCTION("""COMPUTED_VALUE"""),44597)</f>
        <v>44597</v>
      </c>
      <c r="F457" s="43" t="str">
        <f ca="1">IFERROR(__xludf.DUMMYFUNCTION("""COMPUTED_VALUE"""),"Cash")</f>
        <v>Cash</v>
      </c>
      <c r="G457" s="43" t="str">
        <f ca="1">IFERROR(__xludf.DUMMYFUNCTION("""COMPUTED_VALUE"""),"HKD")</f>
        <v>HKD</v>
      </c>
      <c r="H457" s="11" t="str">
        <f ca="1">IFERROR(__xludf.DUMMYFUNCTION("""COMPUTED_VALUE"""),"")</f>
        <v/>
      </c>
      <c r="I457" s="148">
        <f ca="1">IFERROR(__xludf.DUMMYFUNCTION("""COMPUTED_VALUE"""),1)</f>
        <v>1</v>
      </c>
      <c r="J457" s="108">
        <f ca="1">IFERROR(__xludf.DUMMYFUNCTION("""COMPUTED_VALUE"""),1)</f>
        <v>1</v>
      </c>
      <c r="K457" s="43"/>
      <c r="L457" s="149">
        <f ca="1">IFERROR(__xludf.DUMMYFUNCTION("""COMPUTED_VALUE"""),1)</f>
        <v>1</v>
      </c>
      <c r="M457" s="3" t="str">
        <f ca="1">IFERROR(__xludf.DUMMYFUNCTION("""COMPUTED_VALUE"""),"")</f>
        <v/>
      </c>
      <c r="N457" s="43"/>
      <c r="O457" s="43"/>
      <c r="P457" s="150">
        <f ca="1">IFERROR(__xludf.DUMMYFUNCTION("""COMPUTED_VALUE"""),500000)</f>
        <v>500000</v>
      </c>
      <c r="Q457" s="151"/>
      <c r="R457" s="152">
        <f ca="1">IFERROR(__xludf.DUMMYFUNCTION("""COMPUTED_VALUE"""),1)</f>
        <v>1</v>
      </c>
      <c r="S457" s="127" t="str">
        <f ca="1">IFERROR(__xludf.DUMMYFUNCTION("""COMPUTED_VALUE"""),"")</f>
        <v/>
      </c>
      <c r="T457" s="108">
        <f ca="1">IFERROR(__xludf.DUMMYFUNCTION("""COMPUTED_VALUE"""),1)</f>
        <v>1</v>
      </c>
      <c r="U457" s="108">
        <f ca="1">IFERROR(__xludf.DUMMYFUNCTION("""COMPUTED_VALUE"""),1)</f>
        <v>1</v>
      </c>
      <c r="V457" s="153">
        <f ca="1">IFERROR(__xludf.DUMMYFUNCTION("""COMPUTED_VALUE"""),500000)</f>
        <v>500000</v>
      </c>
      <c r="W457" s="44" t="str">
        <f ca="1">IFERROR(__xludf.DUMMYFUNCTION("""COMPUTED_VALUE"""),"")</f>
        <v/>
      </c>
      <c r="X457" s="154" t="str">
        <f ca="1">IFERROR(__xludf.DUMMYFUNCTION("""COMPUTED_VALUE"""),"")</f>
        <v/>
      </c>
      <c r="Y457" s="154" t="str">
        <f ca="1">IFERROR(__xludf.DUMMYFUNCTION("""COMPUTED_VALUE"""),"")</f>
        <v/>
      </c>
      <c r="Z457" s="159" t="str">
        <f ca="1">IFERROR(__xludf.DUMMYFUNCTION("""COMPUTED_VALUE"""),"")</f>
        <v/>
      </c>
    </row>
    <row r="458" spans="1:26" ht="13" x14ac:dyDescent="0.15">
      <c r="A458" s="43" t="str">
        <f ca="1">IFERROR(__xludf.DUMMYFUNCTION("""COMPUTED_VALUE"""),"")</f>
        <v/>
      </c>
      <c r="B458" s="43" t="str">
        <f ca="1">IFERROR(__xludf.DUMMYFUNCTION("""COMPUTED_VALUE"""),"75965")</f>
        <v>75965</v>
      </c>
      <c r="C458" s="146">
        <f ca="1">IFERROR(__xludf.DUMMYFUNCTION("""COMPUTED_VALUE"""),44636000631)</f>
        <v>44636000631</v>
      </c>
      <c r="D458" s="43" t="str">
        <f ca="1">IFERROR(__xludf.DUMMYFUNCTION("""COMPUTED_VALUE"""),"aapl")</f>
        <v>aapl</v>
      </c>
      <c r="E458" s="147">
        <f ca="1">IFERROR(__xludf.DUMMYFUNCTION("""COMPUTED_VALUE"""),44636)</f>
        <v>44636</v>
      </c>
      <c r="F458" s="43" t="str">
        <f ca="1">IFERROR(__xludf.DUMMYFUNCTION("""COMPUTED_VALUE"""),"Stock")</f>
        <v>Stock</v>
      </c>
      <c r="G458" s="43" t="str">
        <f ca="1">IFERROR(__xludf.DUMMYFUNCTION("""COMPUTED_VALUE"""),"USD")</f>
        <v>USD</v>
      </c>
      <c r="H458" s="11">
        <f ca="1">IFERROR(__xludf.DUMMYFUNCTION("""COMPUTED_VALUE"""),100)</f>
        <v>100</v>
      </c>
      <c r="I458" s="148">
        <f ca="1">IFERROR(__xludf.DUMMYFUNCTION("""COMPUTED_VALUE"""),7.82055)</f>
        <v>7.8205499999999999</v>
      </c>
      <c r="J458" s="149">
        <f ca="1">IFERROR(__xludf.DUMMYFUNCTION("""COMPUTED_VALUE"""),159.59)</f>
        <v>159.59</v>
      </c>
      <c r="K458" s="43"/>
      <c r="L458" s="149">
        <f ca="1">IFERROR(__xludf.DUMMYFUNCTION("""COMPUTED_VALUE"""),168.82)</f>
        <v>168.82</v>
      </c>
      <c r="M458" s="160" t="str">
        <f ca="1">IFERROR(__xludf.DUMMYFUNCTION("""COMPUTED_VALUE"""),"Equity Key Stats")</f>
        <v>Equity Key Stats</v>
      </c>
      <c r="N458" s="43"/>
      <c r="O458" s="43"/>
      <c r="P458" s="150">
        <f ca="1">IFERROR(__xludf.DUMMYFUNCTION("""COMPUTED_VALUE"""),-124808.15745)</f>
        <v>-124808.15745</v>
      </c>
      <c r="Q458" s="151"/>
      <c r="R458" s="152">
        <f ca="1">IFERROR(__xludf.DUMMYFUNCTION("""COMPUTED_VALUE"""),170.21)</f>
        <v>170.21</v>
      </c>
      <c r="S458" s="127">
        <f ca="1">IFERROR(__xludf.DUMMYFUNCTION("""COMPUTED_VALUE"""),133113.58155)</f>
        <v>133113.58155</v>
      </c>
      <c r="T458" s="108">
        <f ca="1">IFERROR(__xludf.DUMMYFUNCTION("""COMPUTED_VALUE"""),1)</f>
        <v>1</v>
      </c>
      <c r="U458" s="108">
        <f ca="1">IFERROR(__xludf.DUMMYFUNCTION("""COMPUTED_VALUE"""),1)</f>
        <v>1</v>
      </c>
      <c r="V458" s="153">
        <f ca="1">IFERROR(__xludf.DUMMYFUNCTION("""COMPUTED_VALUE"""),8305.4241)</f>
        <v>8305.4241000000002</v>
      </c>
      <c r="W458" s="145" t="str">
        <f ca="1">IFERROR(__xludf.DUMMYFUNCTION("""COMPUTED_VALUE"""),"")</f>
        <v/>
      </c>
      <c r="X458" s="11" t="str">
        <f ca="1">IFERROR(__xludf.DUMMYFUNCTION("""COMPUTED_VALUE"""),"")</f>
        <v/>
      </c>
      <c r="Y458" s="11" t="str">
        <f ca="1">IFERROR(__xludf.DUMMYFUNCTION("""COMPUTED_VALUE"""),"")</f>
        <v/>
      </c>
      <c r="Z458" s="4" t="str">
        <f ca="1">IFERROR(__xludf.DUMMYFUNCTION("""COMPUTED_VALUE"""),"")</f>
        <v/>
      </c>
    </row>
    <row r="459" spans="1:26" ht="13" x14ac:dyDescent="0.15">
      <c r="A459" s="43" t="str">
        <f ca="1">IFERROR(__xludf.DUMMYFUNCTION("""COMPUTED_VALUE"""),"")</f>
        <v/>
      </c>
      <c r="B459" s="43" t="str">
        <f ca="1">IFERROR(__xludf.DUMMYFUNCTION("""COMPUTED_VALUE"""),"75965")</f>
        <v>75965</v>
      </c>
      <c r="C459" s="146">
        <f ca="1">IFERROR(__xludf.DUMMYFUNCTION("""COMPUTED_VALUE"""),44636000632)</f>
        <v>44636000632</v>
      </c>
      <c r="D459" s="43" t="str">
        <f ca="1">IFERROR(__xludf.DUMMYFUNCTION("""COMPUTED_VALUE"""),"TSLA")</f>
        <v>TSLA</v>
      </c>
      <c r="E459" s="147">
        <f ca="1">IFERROR(__xludf.DUMMYFUNCTION("""COMPUTED_VALUE"""),44636)</f>
        <v>44636</v>
      </c>
      <c r="F459" s="43" t="str">
        <f ca="1">IFERROR(__xludf.DUMMYFUNCTION("""COMPUTED_VALUE"""),"Stock")</f>
        <v>Stock</v>
      </c>
      <c r="G459" s="43" t="str">
        <f ca="1">IFERROR(__xludf.DUMMYFUNCTION("""COMPUTED_VALUE"""),"USD")</f>
        <v>USD</v>
      </c>
      <c r="H459" s="154">
        <f ca="1">IFERROR(__xludf.DUMMYFUNCTION("""COMPUTED_VALUE"""),50)</f>
        <v>50</v>
      </c>
      <c r="I459" s="148">
        <f ca="1">IFERROR(__xludf.DUMMYFUNCTION("""COMPUTED_VALUE"""),7.82055)</f>
        <v>7.8205499999999999</v>
      </c>
      <c r="J459" s="149">
        <f ca="1">IFERROR(__xludf.DUMMYFUNCTION("""COMPUTED_VALUE"""),840.23)</f>
        <v>840.23</v>
      </c>
      <c r="K459" s="43"/>
      <c r="L459" s="149">
        <f ca="1">IFERROR(__xludf.DUMMYFUNCTION("""COMPUTED_VALUE"""),993.98)</f>
        <v>993.98</v>
      </c>
      <c r="M459" s="155" t="str">
        <f ca="1">IFERROR(__xludf.DUMMYFUNCTION("""COMPUTED_VALUE"""),"Equity Key Stats")</f>
        <v>Equity Key Stats</v>
      </c>
      <c r="N459" s="43"/>
      <c r="O459" s="43"/>
      <c r="P459" s="157">
        <f ca="1">IFERROR(__xludf.DUMMYFUNCTION("""COMPUTED_VALUE"""),-328553.036325)</f>
        <v>-328553.03632499999</v>
      </c>
      <c r="Q459" s="151"/>
      <c r="R459" s="152">
        <f ca="1">IFERROR(__xludf.DUMMYFUNCTION("""COMPUTED_VALUE"""),999.11)</f>
        <v>999.11</v>
      </c>
      <c r="S459" s="150">
        <f ca="1">IFERROR(__xludf.DUMMYFUNCTION("""COMPUTED_VALUE"""),390679.485524999)</f>
        <v>390679.48552499898</v>
      </c>
      <c r="T459" s="108">
        <f ca="1">IFERROR(__xludf.DUMMYFUNCTION("""COMPUTED_VALUE"""),1)</f>
        <v>1</v>
      </c>
      <c r="U459" s="108">
        <f ca="1">IFERROR(__xludf.DUMMYFUNCTION("""COMPUTED_VALUE"""),1)</f>
        <v>1</v>
      </c>
      <c r="V459" s="153">
        <f ca="1">IFERROR(__xludf.DUMMYFUNCTION("""COMPUTED_VALUE"""),62126.4491999999)</f>
        <v>62126.449199999901</v>
      </c>
      <c r="W459" s="145" t="str">
        <f ca="1">IFERROR(__xludf.DUMMYFUNCTION("""COMPUTED_VALUE"""),"")</f>
        <v/>
      </c>
      <c r="X459" s="11" t="str">
        <f ca="1">IFERROR(__xludf.DUMMYFUNCTION("""COMPUTED_VALUE"""),"")</f>
        <v/>
      </c>
      <c r="Y459" s="11" t="str">
        <f ca="1">IFERROR(__xludf.DUMMYFUNCTION("""COMPUTED_VALUE"""),"")</f>
        <v/>
      </c>
      <c r="Z459" s="4" t="str">
        <f ca="1">IFERROR(__xludf.DUMMYFUNCTION("""COMPUTED_VALUE"""),"")</f>
        <v/>
      </c>
    </row>
    <row r="460" spans="1:26" ht="13" x14ac:dyDescent="0.15">
      <c r="A460" s="43" t="str">
        <f ca="1">IFERROR(__xludf.DUMMYFUNCTION("""COMPUTED_VALUE"""),"75965")</f>
        <v>75965</v>
      </c>
      <c r="B460" s="43" t="str">
        <f ca="1">IFERROR(__xludf.DUMMYFUNCTION("""COMPUTED_VALUE"""),"75965")</f>
        <v>75965</v>
      </c>
      <c r="C460" s="146">
        <f ca="1">IFERROR(__xludf.DUMMYFUNCTION("""COMPUTED_VALUE"""),44636000633)</f>
        <v>44636000633</v>
      </c>
      <c r="D460" s="43" t="str">
        <f ca="1">IFERROR(__xludf.DUMMYFUNCTION("""COMPUTED_VALUE"""),"ES=F")</f>
        <v>ES=F</v>
      </c>
      <c r="E460" s="147">
        <f ca="1">IFERROR(__xludf.DUMMYFUNCTION("""COMPUTED_VALUE"""),44636)</f>
        <v>44636</v>
      </c>
      <c r="F460" s="43" t="str">
        <f ca="1">IFERROR(__xludf.DUMMYFUNCTION("""COMPUTED_VALUE"""),"Stock")</f>
        <v>Stock</v>
      </c>
      <c r="G460" s="43" t="str">
        <f ca="1">IFERROR(__xludf.DUMMYFUNCTION("""COMPUTED_VALUE"""),"USD")</f>
        <v>USD</v>
      </c>
      <c r="H460" s="11" t="str">
        <f ca="1">IFERROR(__xludf.DUMMYFUNCTION("""COMPUTED_VALUE"""),"")</f>
        <v/>
      </c>
      <c r="I460" s="148">
        <f ca="1">IFERROR(__xludf.DUMMYFUNCTION("""COMPUTED_VALUE"""),7.82055)</f>
        <v>7.8205499999999999</v>
      </c>
      <c r="J460" s="149">
        <f ca="1">IFERROR(__xludf.DUMMYFUNCTION("""COMPUTED_VALUE"""),4362.75)</f>
        <v>4362.75</v>
      </c>
      <c r="K460" s="43"/>
      <c r="L460" s="149">
        <f ca="1">IFERROR(__xludf.DUMMYFUNCTION("""COMPUTED_VALUE"""),4503.25)</f>
        <v>4503.25</v>
      </c>
      <c r="M460" s="160" t="str">
        <f ca="1">IFERROR(__xludf.DUMMYFUNCTION("""COMPUTED_VALUE"""),"Equity Key Stats")</f>
        <v>Equity Key Stats</v>
      </c>
      <c r="N460" s="43"/>
      <c r="O460" s="43"/>
      <c r="P460" s="150">
        <f ca="1">IFERROR(__xludf.DUMMYFUNCTION("""COMPUTED_VALUE"""),0)</f>
        <v>0</v>
      </c>
      <c r="Q460" s="151"/>
      <c r="R460" s="152">
        <f ca="1">IFERROR(__xludf.DUMMYFUNCTION("""COMPUTED_VALUE"""),4451)</f>
        <v>4451</v>
      </c>
      <c r="S460" s="150">
        <f ca="1">IFERROR(__xludf.DUMMYFUNCTION("""COMPUTED_VALUE"""),0)</f>
        <v>0</v>
      </c>
      <c r="T460" s="108">
        <f ca="1">IFERROR(__xludf.DUMMYFUNCTION("""COMPUTED_VALUE"""),1)</f>
        <v>1</v>
      </c>
      <c r="U460" s="108">
        <f ca="1">IFERROR(__xludf.DUMMYFUNCTION("""COMPUTED_VALUE"""),1)</f>
        <v>1</v>
      </c>
      <c r="V460" s="153">
        <f ca="1">IFERROR(__xludf.DUMMYFUNCTION("""COMPUTED_VALUE"""),0)</f>
        <v>0</v>
      </c>
      <c r="W460" s="44">
        <f ca="1">IFERROR(__xludf.DUMMYFUNCTION("""COMPUTED_VALUE"""),570431.8733)</f>
        <v>570431.87329999998</v>
      </c>
      <c r="X460" s="154">
        <f ca="1">IFERROR(__xludf.DUMMYFUNCTION("""COMPUTED_VALUE"""),46638.806225)</f>
        <v>46638.806225</v>
      </c>
      <c r="Y460" s="154">
        <f ca="1">IFERROR(__xludf.DUMMYFUNCTION("""COMPUTED_VALUE"""),0)</f>
        <v>0</v>
      </c>
      <c r="Z460" s="159">
        <f ca="1">IFERROR(__xludf.DUMMYFUNCTION("""COMPUTED_VALUE"""),0.1408637466)</f>
        <v>0.14086374660000001</v>
      </c>
    </row>
    <row r="461" spans="1:26" ht="13" x14ac:dyDescent="0.15">
      <c r="A461" s="43" t="str">
        <f ca="1">IFERROR(__xludf.DUMMYFUNCTION("""COMPUTED_VALUE"""),"")</f>
        <v/>
      </c>
      <c r="B461" s="43" t="str">
        <f ca="1">IFERROR(__xludf.DUMMYFUNCTION("""COMPUTED_VALUE"""),"75973")</f>
        <v>75973</v>
      </c>
      <c r="C461" s="146">
        <f ca="1">IFERROR(__xludf.DUMMYFUNCTION("""COMPUTED_VALUE"""),44597000115)</f>
        <v>44597000115</v>
      </c>
      <c r="D461" s="43" t="str">
        <f ca="1">IFERROR(__xludf.DUMMYFUNCTION("""COMPUTED_VALUE"""),"Cash")</f>
        <v>Cash</v>
      </c>
      <c r="E461" s="147">
        <f ca="1">IFERROR(__xludf.DUMMYFUNCTION("""COMPUTED_VALUE"""),44597)</f>
        <v>44597</v>
      </c>
      <c r="F461" s="43" t="str">
        <f ca="1">IFERROR(__xludf.DUMMYFUNCTION("""COMPUTED_VALUE"""),"Cash")</f>
        <v>Cash</v>
      </c>
      <c r="G461" s="43" t="str">
        <f ca="1">IFERROR(__xludf.DUMMYFUNCTION("""COMPUTED_VALUE"""),"HKD")</f>
        <v>HKD</v>
      </c>
      <c r="H461" s="11" t="str">
        <f ca="1">IFERROR(__xludf.DUMMYFUNCTION("""COMPUTED_VALUE"""),"")</f>
        <v/>
      </c>
      <c r="I461" s="148">
        <f ca="1">IFERROR(__xludf.DUMMYFUNCTION("""COMPUTED_VALUE"""),1)</f>
        <v>1</v>
      </c>
      <c r="J461" s="108">
        <f ca="1">IFERROR(__xludf.DUMMYFUNCTION("""COMPUTED_VALUE"""),1)</f>
        <v>1</v>
      </c>
      <c r="K461" s="43"/>
      <c r="L461" s="149">
        <f ca="1">IFERROR(__xludf.DUMMYFUNCTION("""COMPUTED_VALUE"""),1)</f>
        <v>1</v>
      </c>
      <c r="M461" s="3" t="str">
        <f ca="1">IFERROR(__xludf.DUMMYFUNCTION("""COMPUTED_VALUE"""),"")</f>
        <v/>
      </c>
      <c r="N461" s="43"/>
      <c r="O461" s="43"/>
      <c r="P461" s="150">
        <f ca="1">IFERROR(__xludf.DUMMYFUNCTION("""COMPUTED_VALUE"""),500000)</f>
        <v>500000</v>
      </c>
      <c r="Q461" s="151"/>
      <c r="R461" s="152">
        <f ca="1">IFERROR(__xludf.DUMMYFUNCTION("""COMPUTED_VALUE"""),1)</f>
        <v>1</v>
      </c>
      <c r="S461" s="127" t="str">
        <f ca="1">IFERROR(__xludf.DUMMYFUNCTION("""COMPUTED_VALUE"""),"")</f>
        <v/>
      </c>
      <c r="T461" s="108">
        <f ca="1">IFERROR(__xludf.DUMMYFUNCTION("""COMPUTED_VALUE"""),1)</f>
        <v>1</v>
      </c>
      <c r="U461" s="108">
        <f ca="1">IFERROR(__xludf.DUMMYFUNCTION("""COMPUTED_VALUE"""),1)</f>
        <v>1</v>
      </c>
      <c r="V461" s="153">
        <f ca="1">IFERROR(__xludf.DUMMYFUNCTION("""COMPUTED_VALUE"""),500000)</f>
        <v>500000</v>
      </c>
      <c r="W461" s="44" t="str">
        <f ca="1">IFERROR(__xludf.DUMMYFUNCTION("""COMPUTED_VALUE"""),"")</f>
        <v/>
      </c>
      <c r="X461" s="154" t="str">
        <f ca="1">IFERROR(__xludf.DUMMYFUNCTION("""COMPUTED_VALUE"""),"")</f>
        <v/>
      </c>
      <c r="Y461" s="154" t="str">
        <f ca="1">IFERROR(__xludf.DUMMYFUNCTION("""COMPUTED_VALUE"""),"")</f>
        <v/>
      </c>
      <c r="Z461" s="159" t="str">
        <f ca="1">IFERROR(__xludf.DUMMYFUNCTION("""COMPUTED_VALUE"""),"")</f>
        <v/>
      </c>
    </row>
    <row r="462" spans="1:26" ht="13" x14ac:dyDescent="0.15">
      <c r="A462" s="43" t="str">
        <f ca="1">IFERROR(__xludf.DUMMYFUNCTION("""COMPUTED_VALUE"""),"75973")</f>
        <v>75973</v>
      </c>
      <c r="B462" s="43" t="str">
        <f ca="1">IFERROR(__xludf.DUMMYFUNCTION("""COMPUTED_VALUE"""),"75973")</f>
        <v>75973</v>
      </c>
      <c r="C462" s="146">
        <f ca="1">IFERROR(__xludf.DUMMYFUNCTION("""COMPUTED_VALUE"""),44643000826)</f>
        <v>44643000826</v>
      </c>
      <c r="D462" s="43" t="str">
        <f ca="1">IFERROR(__xludf.DUMMYFUNCTION("""COMPUTED_VALUE"""),"XS1974522853")</f>
        <v>XS1974522853</v>
      </c>
      <c r="E462" s="147">
        <f ca="1">IFERROR(__xludf.DUMMYFUNCTION("""COMPUTED_VALUE"""),44643)</f>
        <v>44643</v>
      </c>
      <c r="F462" s="43" t="str">
        <f ca="1">IFERROR(__xludf.DUMMYFUNCTION("""COMPUTED_VALUE"""),"Bond")</f>
        <v>Bond</v>
      </c>
      <c r="G462" s="43" t="str">
        <f ca="1">IFERROR(__xludf.DUMMYFUNCTION("""COMPUTED_VALUE"""),"USD")</f>
        <v>USD</v>
      </c>
      <c r="H462" s="11">
        <f ca="1">IFERROR(__xludf.DUMMYFUNCTION("""COMPUTED_VALUE"""),17)</f>
        <v>17</v>
      </c>
      <c r="I462" s="148">
        <f ca="1">IFERROR(__xludf.DUMMYFUNCTION("""COMPUTED_VALUE"""),7.823645)</f>
        <v>7.823645</v>
      </c>
      <c r="J462" s="149">
        <f ca="1">IFERROR(__xludf.DUMMYFUNCTION("""COMPUTED_VALUE"""),69.563)</f>
        <v>69.563000000000002</v>
      </c>
      <c r="K462" s="43"/>
      <c r="L462" s="149" t="str">
        <f ca="1">IFERROR(__xludf.DUMMYFUNCTION("""COMPUTED_VALUE"""),"")</f>
        <v/>
      </c>
      <c r="M462" s="160" t="str">
        <f ca="1">IFERROR(__xludf.DUMMYFUNCTION("""COMPUTED_VALUE"""),"Bond Fact Sheet")</f>
        <v>Bond Fact Sheet</v>
      </c>
      <c r="N462" s="43"/>
      <c r="O462" s="43"/>
      <c r="P462" s="150">
        <f ca="1">IFERROR(__xludf.DUMMYFUNCTION("""COMPUTED_VALUE"""),-9252.015691295)</f>
        <v>-9252.0156912950006</v>
      </c>
      <c r="Q462" s="151"/>
      <c r="R462" s="152"/>
      <c r="S462" s="127">
        <f ca="1">IFERROR(__xludf.DUMMYFUNCTION("""COMPUTED_VALUE"""),0)</f>
        <v>0</v>
      </c>
      <c r="T462" s="108">
        <f ca="1">IFERROR(__xludf.DUMMYFUNCTION("""COMPUTED_VALUE"""),1)</f>
        <v>1</v>
      </c>
      <c r="U462" s="108">
        <f ca="1">IFERROR(__xludf.DUMMYFUNCTION("""COMPUTED_VALUE"""),1)</f>
        <v>1</v>
      </c>
      <c r="V462" s="153">
        <f ca="1">IFERROR(__xludf.DUMMYFUNCTION("""COMPUTED_VALUE"""),-9252.015691295)</f>
        <v>-9252.0156912950006</v>
      </c>
      <c r="W462" s="44">
        <f ca="1">IFERROR(__xludf.DUMMYFUNCTION("""COMPUTED_VALUE"""),490747.984308705)</f>
        <v>490747.98430870502</v>
      </c>
      <c r="X462" s="154">
        <f ca="1">IFERROR(__xludf.DUMMYFUNCTION("""COMPUTED_VALUE"""),407479.84308705)</f>
        <v>407479.84308705002</v>
      </c>
      <c r="Y462" s="154">
        <f ca="1">IFERROR(__xludf.DUMMYFUNCTION("""COMPUTED_VALUE"""),0)</f>
        <v>0</v>
      </c>
      <c r="Z462" s="159">
        <f ca="1">IFERROR(__xludf.DUMMYFUNCTION("""COMPUTED_VALUE"""),-0.0185040313825899)</f>
        <v>-1.8504031382589901E-2</v>
      </c>
    </row>
    <row r="463" spans="1:26" ht="13" x14ac:dyDescent="0.15">
      <c r="A463" s="43" t="str">
        <f ca="1">IFERROR(__xludf.DUMMYFUNCTION("""COMPUTED_VALUE"""),"")</f>
        <v/>
      </c>
      <c r="B463" s="43" t="str">
        <f ca="1">IFERROR(__xludf.DUMMYFUNCTION("""COMPUTED_VALUE"""),"76369")</f>
        <v>76369</v>
      </c>
      <c r="C463" s="146">
        <f ca="1">IFERROR(__xludf.DUMMYFUNCTION("""COMPUTED_VALUE"""),44597000032)</f>
        <v>44597000032</v>
      </c>
      <c r="D463" s="43" t="str">
        <f ca="1">IFERROR(__xludf.DUMMYFUNCTION("""COMPUTED_VALUE"""),"Cash")</f>
        <v>Cash</v>
      </c>
      <c r="E463" s="147">
        <f ca="1">IFERROR(__xludf.DUMMYFUNCTION("""COMPUTED_VALUE"""),44597)</f>
        <v>44597</v>
      </c>
      <c r="F463" s="43" t="str">
        <f ca="1">IFERROR(__xludf.DUMMYFUNCTION("""COMPUTED_VALUE"""),"Cash")</f>
        <v>Cash</v>
      </c>
      <c r="G463" s="43" t="str">
        <f ca="1">IFERROR(__xludf.DUMMYFUNCTION("""COMPUTED_VALUE"""),"HKD")</f>
        <v>HKD</v>
      </c>
      <c r="H463" s="11" t="str">
        <f ca="1">IFERROR(__xludf.DUMMYFUNCTION("""COMPUTED_VALUE"""),"")</f>
        <v/>
      </c>
      <c r="I463" s="148">
        <f ca="1">IFERROR(__xludf.DUMMYFUNCTION("""COMPUTED_VALUE"""),1)</f>
        <v>1</v>
      </c>
      <c r="J463" s="108">
        <f ca="1">IFERROR(__xludf.DUMMYFUNCTION("""COMPUTED_VALUE"""),1)</f>
        <v>1</v>
      </c>
      <c r="K463" s="43"/>
      <c r="L463" s="149">
        <f ca="1">IFERROR(__xludf.DUMMYFUNCTION("""COMPUTED_VALUE"""),1)</f>
        <v>1</v>
      </c>
      <c r="M463" s="3" t="str">
        <f ca="1">IFERROR(__xludf.DUMMYFUNCTION("""COMPUTED_VALUE"""),"")</f>
        <v/>
      </c>
      <c r="N463" s="43"/>
      <c r="O463" s="43"/>
      <c r="P463" s="150">
        <f ca="1">IFERROR(__xludf.DUMMYFUNCTION("""COMPUTED_VALUE"""),500000)</f>
        <v>500000</v>
      </c>
      <c r="Q463" s="151"/>
      <c r="R463" s="152">
        <f ca="1">IFERROR(__xludf.DUMMYFUNCTION("""COMPUTED_VALUE"""),1)</f>
        <v>1</v>
      </c>
      <c r="S463" s="127" t="str">
        <f ca="1">IFERROR(__xludf.DUMMYFUNCTION("""COMPUTED_VALUE"""),"")</f>
        <v/>
      </c>
      <c r="T463" s="108">
        <f ca="1">IFERROR(__xludf.DUMMYFUNCTION("""COMPUTED_VALUE"""),1)</f>
        <v>1</v>
      </c>
      <c r="U463" s="108">
        <f ca="1">IFERROR(__xludf.DUMMYFUNCTION("""COMPUTED_VALUE"""),1)</f>
        <v>1</v>
      </c>
      <c r="V463" s="153">
        <f ca="1">IFERROR(__xludf.DUMMYFUNCTION("""COMPUTED_VALUE"""),500000)</f>
        <v>500000</v>
      </c>
      <c r="W463" s="44" t="str">
        <f ca="1">IFERROR(__xludf.DUMMYFUNCTION("""COMPUTED_VALUE"""),"")</f>
        <v/>
      </c>
      <c r="X463" s="154" t="str">
        <f ca="1">IFERROR(__xludf.DUMMYFUNCTION("""COMPUTED_VALUE"""),"")</f>
        <v/>
      </c>
      <c r="Y463" s="154" t="str">
        <f ca="1">IFERROR(__xludf.DUMMYFUNCTION("""COMPUTED_VALUE"""),"")</f>
        <v/>
      </c>
      <c r="Z463" s="159" t="str">
        <f ca="1">IFERROR(__xludf.DUMMYFUNCTION("""COMPUTED_VALUE"""),"")</f>
        <v/>
      </c>
    </row>
    <row r="464" spans="1:26" ht="13" x14ac:dyDescent="0.15">
      <c r="A464" s="43" t="str">
        <f ca="1">IFERROR(__xludf.DUMMYFUNCTION("""COMPUTED_VALUE"""),"")</f>
        <v/>
      </c>
      <c r="B464" s="43" t="str">
        <f ca="1">IFERROR(__xludf.DUMMYFUNCTION("""COMPUTED_VALUE"""),"76369")</f>
        <v>76369</v>
      </c>
      <c r="C464" s="146">
        <f ca="1">IFERROR(__xludf.DUMMYFUNCTION("""COMPUTED_VALUE"""),44602000152)</f>
        <v>44602000152</v>
      </c>
      <c r="D464" s="43" t="str">
        <f ca="1">IFERROR(__xludf.DUMMYFUNCTION("""COMPUTED_VALUE"""),"XPEV")</f>
        <v>XPEV</v>
      </c>
      <c r="E464" s="147">
        <f ca="1">IFERROR(__xludf.DUMMYFUNCTION("""COMPUTED_VALUE"""),44602)</f>
        <v>44602</v>
      </c>
      <c r="F464" s="43" t="str">
        <f ca="1">IFERROR(__xludf.DUMMYFUNCTION("""COMPUTED_VALUE"""),"Stock")</f>
        <v>Stock</v>
      </c>
      <c r="G464" s="43" t="str">
        <f ca="1">IFERROR(__xludf.DUMMYFUNCTION("""COMPUTED_VALUE"""),"USD")</f>
        <v>USD</v>
      </c>
      <c r="H464" s="11">
        <f ca="1">IFERROR(__xludf.DUMMYFUNCTION("""COMPUTED_VALUE"""),5)</f>
        <v>5</v>
      </c>
      <c r="I464" s="148">
        <f ca="1">IFERROR(__xludf.DUMMYFUNCTION("""COMPUTED_VALUE"""),7.796775)</f>
        <v>7.7967750000000002</v>
      </c>
      <c r="J464" s="149">
        <f ca="1">IFERROR(__xludf.DUMMYFUNCTION("""COMPUTED_VALUE"""),38.92)</f>
        <v>38.92</v>
      </c>
      <c r="K464" s="43"/>
      <c r="L464" s="149">
        <f ca="1">IFERROR(__xludf.DUMMYFUNCTION("""COMPUTED_VALUE"""),29.01)</f>
        <v>29.01</v>
      </c>
      <c r="M464" s="160" t="str">
        <f ca="1">IFERROR(__xludf.DUMMYFUNCTION("""COMPUTED_VALUE"""),"Equity Key Stats")</f>
        <v>Equity Key Stats</v>
      </c>
      <c r="N464" s="43"/>
      <c r="O464" s="43"/>
      <c r="P464" s="150">
        <f ca="1">IFERROR(__xludf.DUMMYFUNCTION("""COMPUTED_VALUE"""),-1517.252415)</f>
        <v>-1517.2524149999999</v>
      </c>
      <c r="Q464" s="151"/>
      <c r="R464" s="152">
        <f ca="1">IFERROR(__xludf.DUMMYFUNCTION("""COMPUTED_VALUE"""),29.08)</f>
        <v>29.08</v>
      </c>
      <c r="S464" s="127">
        <f ca="1">IFERROR(__xludf.DUMMYFUNCTION("""COMPUTED_VALUE"""),1133.651085)</f>
        <v>1133.651085</v>
      </c>
      <c r="T464" s="108">
        <f ca="1">IFERROR(__xludf.DUMMYFUNCTION("""COMPUTED_VALUE"""),1)</f>
        <v>1</v>
      </c>
      <c r="U464" s="108">
        <f ca="1">IFERROR(__xludf.DUMMYFUNCTION("""COMPUTED_VALUE"""),1)</f>
        <v>1</v>
      </c>
      <c r="V464" s="153">
        <f ca="1">IFERROR(__xludf.DUMMYFUNCTION("""COMPUTED_VALUE"""),-383.601329999999)</f>
        <v>-383.601329999999</v>
      </c>
      <c r="W464" s="44" t="str">
        <f ca="1">IFERROR(__xludf.DUMMYFUNCTION("""COMPUTED_VALUE"""),"")</f>
        <v/>
      </c>
      <c r="X464" s="154" t="str">
        <f ca="1">IFERROR(__xludf.DUMMYFUNCTION("""COMPUTED_VALUE"""),"")</f>
        <v/>
      </c>
      <c r="Y464" s="154" t="str">
        <f ca="1">IFERROR(__xludf.DUMMYFUNCTION("""COMPUTED_VALUE"""),"")</f>
        <v/>
      </c>
      <c r="Z464" s="159" t="str">
        <f ca="1">IFERROR(__xludf.DUMMYFUNCTION("""COMPUTED_VALUE"""),"")</f>
        <v/>
      </c>
    </row>
    <row r="465" spans="1:26" ht="13" x14ac:dyDescent="0.15">
      <c r="A465" s="43" t="str">
        <f ca="1">IFERROR(__xludf.DUMMYFUNCTION("""COMPUTED_VALUE"""),"")</f>
        <v/>
      </c>
      <c r="B465" s="43" t="str">
        <f ca="1">IFERROR(__xludf.DUMMYFUNCTION("""COMPUTED_VALUE"""),"76369")</f>
        <v>76369</v>
      </c>
      <c r="C465" s="146">
        <f ca="1">IFERROR(__xludf.DUMMYFUNCTION("""COMPUTED_VALUE"""),44602000153)</f>
        <v>44602000153</v>
      </c>
      <c r="D465" s="43" t="str">
        <f ca="1">IFERROR(__xludf.DUMMYFUNCTION("""COMPUTED_VALUE"""),"MGM")</f>
        <v>MGM</v>
      </c>
      <c r="E465" s="147">
        <f ca="1">IFERROR(__xludf.DUMMYFUNCTION("""COMPUTED_VALUE"""),44602)</f>
        <v>44602</v>
      </c>
      <c r="F465" s="43" t="str">
        <f ca="1">IFERROR(__xludf.DUMMYFUNCTION("""COMPUTED_VALUE"""),"Stock")</f>
        <v>Stock</v>
      </c>
      <c r="G465" s="43" t="str">
        <f ca="1">IFERROR(__xludf.DUMMYFUNCTION("""COMPUTED_VALUE"""),"USD")</f>
        <v>USD</v>
      </c>
      <c r="H465" s="11">
        <f ca="1">IFERROR(__xludf.DUMMYFUNCTION("""COMPUTED_VALUE"""),5)</f>
        <v>5</v>
      </c>
      <c r="I465" s="148">
        <f ca="1">IFERROR(__xludf.DUMMYFUNCTION("""COMPUTED_VALUE"""),7.796775)</f>
        <v>7.7967750000000002</v>
      </c>
      <c r="J465" s="149">
        <f ca="1">IFERROR(__xludf.DUMMYFUNCTION("""COMPUTED_VALUE"""),47.07)</f>
        <v>47.07</v>
      </c>
      <c r="K465" s="43"/>
      <c r="L465" s="149">
        <f ca="1">IFERROR(__xludf.DUMMYFUNCTION("""COMPUTED_VALUE"""),41.97)</f>
        <v>41.97</v>
      </c>
      <c r="M465" s="160" t="str">
        <f ca="1">IFERROR(__xludf.DUMMYFUNCTION("""COMPUTED_VALUE"""),"Equity Key Stats")</f>
        <v>Equity Key Stats</v>
      </c>
      <c r="N465" s="43"/>
      <c r="O465" s="43"/>
      <c r="P465" s="150">
        <f ca="1">IFERROR(__xludf.DUMMYFUNCTION("""COMPUTED_VALUE"""),-1834.97099624999)</f>
        <v>-1834.9709962499901</v>
      </c>
      <c r="Q465" s="151"/>
      <c r="R465" s="152">
        <f ca="1">IFERROR(__xludf.DUMMYFUNCTION("""COMPUTED_VALUE"""),41.41)</f>
        <v>41.41</v>
      </c>
      <c r="S465" s="127">
        <f ca="1">IFERROR(__xludf.DUMMYFUNCTION("""COMPUTED_VALUE"""),1614.32226374999)</f>
        <v>1614.32226374999</v>
      </c>
      <c r="T465" s="108">
        <f ca="1">IFERROR(__xludf.DUMMYFUNCTION("""COMPUTED_VALUE"""),1)</f>
        <v>1</v>
      </c>
      <c r="U465" s="108">
        <f ca="1">IFERROR(__xludf.DUMMYFUNCTION("""COMPUTED_VALUE"""),1)</f>
        <v>1</v>
      </c>
      <c r="V465" s="153">
        <f ca="1">IFERROR(__xludf.DUMMYFUNCTION("""COMPUTED_VALUE"""),-220.6487325)</f>
        <v>-220.64873249999999</v>
      </c>
      <c r="W465" s="145" t="str">
        <f ca="1">IFERROR(__xludf.DUMMYFUNCTION("""COMPUTED_VALUE"""),"")</f>
        <v/>
      </c>
      <c r="X465" s="11" t="str">
        <f ca="1">IFERROR(__xludf.DUMMYFUNCTION("""COMPUTED_VALUE"""),"")</f>
        <v/>
      </c>
      <c r="Y465" s="11" t="str">
        <f ca="1">IFERROR(__xludf.DUMMYFUNCTION("""COMPUTED_VALUE"""),"")</f>
        <v/>
      </c>
      <c r="Z465" s="4" t="str">
        <f ca="1">IFERROR(__xludf.DUMMYFUNCTION("""COMPUTED_VALUE"""),"")</f>
        <v/>
      </c>
    </row>
    <row r="466" spans="1:26" ht="13" x14ac:dyDescent="0.15">
      <c r="A466" s="43" t="str">
        <f ca="1">IFERROR(__xludf.DUMMYFUNCTION("""COMPUTED_VALUE"""),"")</f>
        <v/>
      </c>
      <c r="B466" s="43" t="str">
        <f ca="1">IFERROR(__xludf.DUMMYFUNCTION("""COMPUTED_VALUE"""),"76369")</f>
        <v>76369</v>
      </c>
      <c r="C466" s="146">
        <f ca="1">IFERROR(__xludf.DUMMYFUNCTION("""COMPUTED_VALUE"""),44613000282)</f>
        <v>44613000282</v>
      </c>
      <c r="D466" s="163" t="str">
        <f ca="1">IFERROR(__xludf.DUMMYFUNCTION("""COMPUTED_VALUE"""),"1498.HK")</f>
        <v>1498.HK</v>
      </c>
      <c r="E466" s="147">
        <f ca="1">IFERROR(__xludf.DUMMYFUNCTION("""COMPUTED_VALUE"""),44613)</f>
        <v>44613</v>
      </c>
      <c r="F466" s="43" t="str">
        <f ca="1">IFERROR(__xludf.DUMMYFUNCTION("""COMPUTED_VALUE"""),"Stock")</f>
        <v>Stock</v>
      </c>
      <c r="G466" s="43" t="str">
        <f ca="1">IFERROR(__xludf.DUMMYFUNCTION("""COMPUTED_VALUE"""),"HKD")</f>
        <v>HKD</v>
      </c>
      <c r="H466" s="154">
        <f ca="1">IFERROR(__xludf.DUMMYFUNCTION("""COMPUTED_VALUE"""),1000)</f>
        <v>1000</v>
      </c>
      <c r="I466" s="148">
        <f ca="1">IFERROR(__xludf.DUMMYFUNCTION("""COMPUTED_VALUE"""),1)</f>
        <v>1</v>
      </c>
      <c r="J466" s="149">
        <f ca="1">IFERROR(__xludf.DUMMYFUNCTION("""COMPUTED_VALUE"""),0.98)</f>
        <v>0.98</v>
      </c>
      <c r="K466" s="43"/>
      <c r="L466" s="149">
        <f ca="1">IFERROR(__xludf.DUMMYFUNCTION("""COMPUTED_VALUE"""),0.99)</f>
        <v>0.99</v>
      </c>
      <c r="M466" s="155" t="str">
        <f ca="1">IFERROR(__xludf.DUMMYFUNCTION("""COMPUTED_VALUE"""),"Equity Key Stats")</f>
        <v>Equity Key Stats</v>
      </c>
      <c r="N466" s="43"/>
      <c r="O466" s="43"/>
      <c r="P466" s="150">
        <f ca="1">IFERROR(__xludf.DUMMYFUNCTION("""COMPUTED_VALUE"""),-980)</f>
        <v>-980</v>
      </c>
      <c r="Q466" s="151"/>
      <c r="R466" s="152">
        <f ca="1">IFERROR(__xludf.DUMMYFUNCTION("""COMPUTED_VALUE"""),1)</f>
        <v>1</v>
      </c>
      <c r="S466" s="150">
        <f ca="1">IFERROR(__xludf.DUMMYFUNCTION("""COMPUTED_VALUE"""),1000)</f>
        <v>1000</v>
      </c>
      <c r="T466" s="108">
        <f ca="1">IFERROR(__xludf.DUMMYFUNCTION("""COMPUTED_VALUE"""),1)</f>
        <v>1</v>
      </c>
      <c r="U466" s="43">
        <f ca="1">IFERROR(__xludf.DUMMYFUNCTION("""COMPUTED_VALUE"""),1)</f>
        <v>1</v>
      </c>
      <c r="V466" s="144">
        <f ca="1">IFERROR(__xludf.DUMMYFUNCTION("""COMPUTED_VALUE"""),20)</f>
        <v>20</v>
      </c>
      <c r="W466" s="145" t="str">
        <f ca="1">IFERROR(__xludf.DUMMYFUNCTION("""COMPUTED_VALUE"""),"")</f>
        <v/>
      </c>
      <c r="X466" s="11" t="str">
        <f ca="1">IFERROR(__xludf.DUMMYFUNCTION("""COMPUTED_VALUE"""),"")</f>
        <v/>
      </c>
      <c r="Y466" s="11" t="str">
        <f ca="1">IFERROR(__xludf.DUMMYFUNCTION("""COMPUTED_VALUE"""),"")</f>
        <v/>
      </c>
      <c r="Z466" s="4" t="str">
        <f ca="1">IFERROR(__xludf.DUMMYFUNCTION("""COMPUTED_VALUE"""),"")</f>
        <v/>
      </c>
    </row>
    <row r="467" spans="1:26" ht="13" x14ac:dyDescent="0.15">
      <c r="A467" s="43" t="str">
        <f ca="1">IFERROR(__xludf.DUMMYFUNCTION("""COMPUTED_VALUE"""),"")</f>
        <v/>
      </c>
      <c r="B467" s="43" t="str">
        <f ca="1">IFERROR(__xludf.DUMMYFUNCTION("""COMPUTED_VALUE"""),"76369")</f>
        <v>76369</v>
      </c>
      <c r="C467" s="146">
        <f ca="1">IFERROR(__xludf.DUMMYFUNCTION("""COMPUTED_VALUE"""),44616000317)</f>
        <v>44616000317</v>
      </c>
      <c r="D467" s="163" t="str">
        <f ca="1">IFERROR(__xludf.DUMMYFUNCTION("""COMPUTED_VALUE"""),"002665.SZ")</f>
        <v>002665.SZ</v>
      </c>
      <c r="E467" s="147">
        <f ca="1">IFERROR(__xludf.DUMMYFUNCTION("""COMPUTED_VALUE"""),44616)</f>
        <v>44616</v>
      </c>
      <c r="F467" s="43" t="str">
        <f ca="1">IFERROR(__xludf.DUMMYFUNCTION("""COMPUTED_VALUE"""),"Stock")</f>
        <v>Stock</v>
      </c>
      <c r="G467" s="43" t="str">
        <f ca="1">IFERROR(__xludf.DUMMYFUNCTION("""COMPUTED_VALUE"""),"CNY")</f>
        <v>CNY</v>
      </c>
      <c r="H467" s="154">
        <f ca="1">IFERROR(__xludf.DUMMYFUNCTION("""COMPUTED_VALUE"""),1000)</f>
        <v>1000</v>
      </c>
      <c r="I467" s="148">
        <f ca="1">IFERROR(__xludf.DUMMYFUNCTION("""COMPUTED_VALUE"""),1.233498)</f>
        <v>1.233498</v>
      </c>
      <c r="J467" s="149">
        <f ca="1">IFERROR(__xludf.DUMMYFUNCTION("""COMPUTED_VALUE"""),3.98)</f>
        <v>3.98</v>
      </c>
      <c r="K467" s="43"/>
      <c r="L467" s="149">
        <f ca="1">IFERROR(__xludf.DUMMYFUNCTION("""COMPUTED_VALUE"""),3.64)</f>
        <v>3.64</v>
      </c>
      <c r="M467" s="155" t="str">
        <f ca="1">IFERROR(__xludf.DUMMYFUNCTION("""COMPUTED_VALUE"""),"Equity Key Stats")</f>
        <v>Equity Key Stats</v>
      </c>
      <c r="N467" s="43"/>
      <c r="O467" s="43"/>
      <c r="P467" s="157">
        <f ca="1">IFERROR(__xludf.DUMMYFUNCTION("""COMPUTED_VALUE"""),-4909.32204)</f>
        <v>-4909.32204</v>
      </c>
      <c r="Q467" s="151"/>
      <c r="R467" s="152">
        <f ca="1">IFERROR(__xludf.DUMMYFUNCTION("""COMPUTED_VALUE"""),4)</f>
        <v>4</v>
      </c>
      <c r="S467" s="150">
        <f ca="1">IFERROR(__xludf.DUMMYFUNCTION("""COMPUTED_VALUE"""),4933.992)</f>
        <v>4933.9920000000002</v>
      </c>
      <c r="T467" s="108">
        <f ca="1">IFERROR(__xludf.DUMMYFUNCTION("""COMPUTED_VALUE"""),2)</f>
        <v>2</v>
      </c>
      <c r="U467" s="43" t="str">
        <f ca="1">IFERROR(__xludf.DUMMYFUNCTION("""COMPUTED_VALUE"""),"")</f>
        <v/>
      </c>
      <c r="V467" s="144" t="str">
        <f ca="1">IFERROR(__xludf.DUMMYFUNCTION("""COMPUTED_VALUE"""),"")</f>
        <v/>
      </c>
      <c r="W467" s="145" t="str">
        <f ca="1">IFERROR(__xludf.DUMMYFUNCTION("""COMPUTED_VALUE"""),"")</f>
        <v/>
      </c>
      <c r="X467" s="11" t="str">
        <f ca="1">IFERROR(__xludf.DUMMYFUNCTION("""COMPUTED_VALUE"""),"")</f>
        <v/>
      </c>
      <c r="Y467" s="11" t="str">
        <f ca="1">IFERROR(__xludf.DUMMYFUNCTION("""COMPUTED_VALUE"""),"")</f>
        <v/>
      </c>
      <c r="Z467" s="4" t="str">
        <f ca="1">IFERROR(__xludf.DUMMYFUNCTION("""COMPUTED_VALUE"""),"")</f>
        <v/>
      </c>
    </row>
    <row r="468" spans="1:26" ht="13" x14ac:dyDescent="0.15">
      <c r="A468" s="43" t="str">
        <f ca="1">IFERROR(__xludf.DUMMYFUNCTION("""COMPUTED_VALUE"""),"")</f>
        <v/>
      </c>
      <c r="B468" s="43" t="str">
        <f ca="1">IFERROR(__xludf.DUMMYFUNCTION("""COMPUTED_VALUE"""),"76369")</f>
        <v>76369</v>
      </c>
      <c r="C468" s="146">
        <f ca="1">IFERROR(__xludf.DUMMYFUNCTION("""COMPUTED_VALUE"""),44616000318)</f>
        <v>44616000318</v>
      </c>
      <c r="D468" s="163" t="str">
        <f ca="1">IFERROR(__xludf.DUMMYFUNCTION("""COMPUTED_VALUE"""),"000554.SZ")</f>
        <v>000554.SZ</v>
      </c>
      <c r="E468" s="147">
        <f ca="1">IFERROR(__xludf.DUMMYFUNCTION("""COMPUTED_VALUE"""),44616)</f>
        <v>44616</v>
      </c>
      <c r="F468" s="43" t="str">
        <f ca="1">IFERROR(__xludf.DUMMYFUNCTION("""COMPUTED_VALUE"""),"Stock")</f>
        <v>Stock</v>
      </c>
      <c r="G468" s="43" t="str">
        <f ca="1">IFERROR(__xludf.DUMMYFUNCTION("""COMPUTED_VALUE"""),"CNY")</f>
        <v>CNY</v>
      </c>
      <c r="H468" s="154">
        <f ca="1">IFERROR(__xludf.DUMMYFUNCTION("""COMPUTED_VALUE"""),1000)</f>
        <v>1000</v>
      </c>
      <c r="I468" s="148">
        <f ca="1">IFERROR(__xludf.DUMMYFUNCTION("""COMPUTED_VALUE"""),1.233498)</f>
        <v>1.233498</v>
      </c>
      <c r="J468" s="149">
        <f ca="1">IFERROR(__xludf.DUMMYFUNCTION("""COMPUTED_VALUE"""),6.42)</f>
        <v>6.42</v>
      </c>
      <c r="K468" s="43"/>
      <c r="L468" s="149">
        <f ca="1">IFERROR(__xludf.DUMMYFUNCTION("""COMPUTED_VALUE"""),5.49)</f>
        <v>5.49</v>
      </c>
      <c r="M468" s="155" t="str">
        <f ca="1">IFERROR(__xludf.DUMMYFUNCTION("""COMPUTED_VALUE"""),"Equity Key Stats")</f>
        <v>Equity Key Stats</v>
      </c>
      <c r="N468" s="43"/>
      <c r="O468" s="43"/>
      <c r="P468" s="157">
        <f ca="1">IFERROR(__xludf.DUMMYFUNCTION("""COMPUTED_VALUE"""),-7919.05716)</f>
        <v>-7919.0571600000003</v>
      </c>
      <c r="Q468" s="151"/>
      <c r="R468" s="152">
        <f ca="1">IFERROR(__xludf.DUMMYFUNCTION("""COMPUTED_VALUE"""),5.53)</f>
        <v>5.53</v>
      </c>
      <c r="S468" s="150">
        <f ca="1">IFERROR(__xludf.DUMMYFUNCTION("""COMPUTED_VALUE"""),6821.24394)</f>
        <v>6821.2439400000003</v>
      </c>
      <c r="T468" s="108">
        <f ca="1">IFERROR(__xludf.DUMMYFUNCTION("""COMPUTED_VALUE"""),2)</f>
        <v>2</v>
      </c>
      <c r="U468" s="43" t="str">
        <f ca="1">IFERROR(__xludf.DUMMYFUNCTION("""COMPUTED_VALUE"""),"")</f>
        <v/>
      </c>
      <c r="V468" s="144" t="str">
        <f ca="1">IFERROR(__xludf.DUMMYFUNCTION("""COMPUTED_VALUE"""),"")</f>
        <v/>
      </c>
      <c r="W468" s="145" t="str">
        <f ca="1">IFERROR(__xludf.DUMMYFUNCTION("""COMPUTED_VALUE"""),"")</f>
        <v/>
      </c>
      <c r="X468" s="11" t="str">
        <f ca="1">IFERROR(__xludf.DUMMYFUNCTION("""COMPUTED_VALUE"""),"")</f>
        <v/>
      </c>
      <c r="Y468" s="11" t="str">
        <f ca="1">IFERROR(__xludf.DUMMYFUNCTION("""COMPUTED_VALUE"""),"")</f>
        <v/>
      </c>
      <c r="Z468" s="4" t="str">
        <f ca="1">IFERROR(__xludf.DUMMYFUNCTION("""COMPUTED_VALUE"""),"")</f>
        <v/>
      </c>
    </row>
    <row r="469" spans="1:26" ht="13" x14ac:dyDescent="0.15">
      <c r="A469" s="43" t="str">
        <f ca="1">IFERROR(__xludf.DUMMYFUNCTION("""COMPUTED_VALUE"""),"")</f>
        <v/>
      </c>
      <c r="B469" s="43" t="str">
        <f ca="1">IFERROR(__xludf.DUMMYFUNCTION("""COMPUTED_VALUE"""),"76369")</f>
        <v>76369</v>
      </c>
      <c r="C469" s="146">
        <f ca="1">IFERROR(__xludf.DUMMYFUNCTION("""COMPUTED_VALUE"""),44616000319)</f>
        <v>44616000319</v>
      </c>
      <c r="D469" s="163" t="str">
        <f ca="1">IFERROR(__xludf.DUMMYFUNCTION("""COMPUTED_VALUE"""),"300945.SZ")</f>
        <v>300945.SZ</v>
      </c>
      <c r="E469" s="147">
        <f ca="1">IFERROR(__xludf.DUMMYFUNCTION("""COMPUTED_VALUE"""),44616)</f>
        <v>44616</v>
      </c>
      <c r="F469" s="43" t="str">
        <f ca="1">IFERROR(__xludf.DUMMYFUNCTION("""COMPUTED_VALUE"""),"Stock")</f>
        <v>Stock</v>
      </c>
      <c r="G469" s="43" t="str">
        <f ca="1">IFERROR(__xludf.DUMMYFUNCTION("""COMPUTED_VALUE"""),"CNY")</f>
        <v>CNY</v>
      </c>
      <c r="H469" s="156">
        <f ca="1">IFERROR(__xludf.DUMMYFUNCTION("""COMPUTED_VALUE"""),1000)</f>
        <v>1000</v>
      </c>
      <c r="I469" s="148">
        <f ca="1">IFERROR(__xludf.DUMMYFUNCTION("""COMPUTED_VALUE"""),1.233498)</f>
        <v>1.233498</v>
      </c>
      <c r="J469" s="149">
        <f ca="1">IFERROR(__xludf.DUMMYFUNCTION("""COMPUTED_VALUE"""),23.93)</f>
        <v>23.93</v>
      </c>
      <c r="K469" s="43"/>
      <c r="L469" s="149">
        <f ca="1">IFERROR(__xludf.DUMMYFUNCTION("""COMPUTED_VALUE"""),18.79)</f>
        <v>18.79</v>
      </c>
      <c r="M469" s="155" t="str">
        <f ca="1">IFERROR(__xludf.DUMMYFUNCTION("""COMPUTED_VALUE"""),"Equity Key Stats")</f>
        <v>Equity Key Stats</v>
      </c>
      <c r="N469" s="43"/>
      <c r="O469" s="43"/>
      <c r="P469" s="150">
        <f ca="1">IFERROR(__xludf.DUMMYFUNCTION("""COMPUTED_VALUE"""),-29517.60714)</f>
        <v>-29517.60714</v>
      </c>
      <c r="Q469" s="151"/>
      <c r="R469" s="152">
        <f ca="1">IFERROR(__xludf.DUMMYFUNCTION("""COMPUTED_VALUE"""),18.26)</f>
        <v>18.260000000000002</v>
      </c>
      <c r="S469" s="157">
        <f ca="1">IFERROR(__xludf.DUMMYFUNCTION("""COMPUTED_VALUE"""),22523.67348)</f>
        <v>22523.673480000001</v>
      </c>
      <c r="T469" s="108">
        <f ca="1">IFERROR(__xludf.DUMMYFUNCTION("""COMPUTED_VALUE"""),2)</f>
        <v>2</v>
      </c>
      <c r="U469" s="43" t="str">
        <f ca="1">IFERROR(__xludf.DUMMYFUNCTION("""COMPUTED_VALUE"""),"")</f>
        <v/>
      </c>
      <c r="V469" s="144" t="str">
        <f ca="1">IFERROR(__xludf.DUMMYFUNCTION("""COMPUTED_VALUE"""),"")</f>
        <v/>
      </c>
      <c r="W469" s="145" t="str">
        <f ca="1">IFERROR(__xludf.DUMMYFUNCTION("""COMPUTED_VALUE"""),"")</f>
        <v/>
      </c>
      <c r="X469" s="11" t="str">
        <f ca="1">IFERROR(__xludf.DUMMYFUNCTION("""COMPUTED_VALUE"""),"")</f>
        <v/>
      </c>
      <c r="Y469" s="11" t="str">
        <f ca="1">IFERROR(__xludf.DUMMYFUNCTION("""COMPUTED_VALUE"""),"")</f>
        <v/>
      </c>
      <c r="Z469" s="4" t="str">
        <f ca="1">IFERROR(__xludf.DUMMYFUNCTION("""COMPUTED_VALUE"""),"")</f>
        <v/>
      </c>
    </row>
    <row r="470" spans="1:26" ht="13" x14ac:dyDescent="0.15">
      <c r="A470" s="43" t="str">
        <f ca="1">IFERROR(__xludf.DUMMYFUNCTION("""COMPUTED_VALUE"""),"")</f>
        <v/>
      </c>
      <c r="B470" s="43" t="str">
        <f ca="1">IFERROR(__xludf.DUMMYFUNCTION("""COMPUTED_VALUE"""),"76369")</f>
        <v>76369</v>
      </c>
      <c r="C470" s="146">
        <f ca="1">IFERROR(__xludf.DUMMYFUNCTION("""COMPUTED_VALUE"""),44616000320)</f>
        <v>44616000320</v>
      </c>
      <c r="D470" s="163" t="str">
        <f ca="1">IFERROR(__xludf.DUMMYFUNCTION("""COMPUTED_VALUE"""),"601808.SS")</f>
        <v>601808.SS</v>
      </c>
      <c r="E470" s="147">
        <f ca="1">IFERROR(__xludf.DUMMYFUNCTION("""COMPUTED_VALUE"""),44616)</f>
        <v>44616</v>
      </c>
      <c r="F470" s="43" t="str">
        <f ca="1">IFERROR(__xludf.DUMMYFUNCTION("""COMPUTED_VALUE"""),"Stock")</f>
        <v>Stock</v>
      </c>
      <c r="G470" s="43" t="str">
        <f ca="1">IFERROR(__xludf.DUMMYFUNCTION("""COMPUTED_VALUE"""),"CNY")</f>
        <v>CNY</v>
      </c>
      <c r="H470" s="154">
        <f ca="1">IFERROR(__xludf.DUMMYFUNCTION("""COMPUTED_VALUE"""),1000)</f>
        <v>1000</v>
      </c>
      <c r="I470" s="148">
        <f ca="1">IFERROR(__xludf.DUMMYFUNCTION("""COMPUTED_VALUE"""),1.233498)</f>
        <v>1.233498</v>
      </c>
      <c r="J470" s="149">
        <f ca="1">IFERROR(__xludf.DUMMYFUNCTION("""COMPUTED_VALUE"""),16.71)</f>
        <v>16.71</v>
      </c>
      <c r="K470" s="43"/>
      <c r="L470" s="149">
        <f ca="1">IFERROR(__xludf.DUMMYFUNCTION("""COMPUTED_VALUE"""),14.04)</f>
        <v>14.04</v>
      </c>
      <c r="M470" s="155" t="str">
        <f ca="1">IFERROR(__xludf.DUMMYFUNCTION("""COMPUTED_VALUE"""),"Equity Key Stats")</f>
        <v>Equity Key Stats</v>
      </c>
      <c r="N470" s="43"/>
      <c r="O470" s="43"/>
      <c r="P470" s="150">
        <f ca="1">IFERROR(__xludf.DUMMYFUNCTION("""COMPUTED_VALUE"""),-20611.75158)</f>
        <v>-20611.75158</v>
      </c>
      <c r="Q470" s="151"/>
      <c r="R470" s="152">
        <f ca="1">IFERROR(__xludf.DUMMYFUNCTION("""COMPUTED_VALUE"""),13.85)</f>
        <v>13.85</v>
      </c>
      <c r="S470" s="150">
        <f ca="1">IFERROR(__xludf.DUMMYFUNCTION("""COMPUTED_VALUE"""),17083.9473)</f>
        <v>17083.9473</v>
      </c>
      <c r="T470" s="108">
        <f ca="1">IFERROR(__xludf.DUMMYFUNCTION("""COMPUTED_VALUE"""),3)</f>
        <v>3</v>
      </c>
      <c r="U470" s="108" t="str">
        <f ca="1">IFERROR(__xludf.DUMMYFUNCTION("""COMPUTED_VALUE"""),"")</f>
        <v/>
      </c>
      <c r="V470" s="153" t="str">
        <f ca="1">IFERROR(__xludf.DUMMYFUNCTION("""COMPUTED_VALUE"""),"")</f>
        <v/>
      </c>
      <c r="W470" s="145" t="str">
        <f ca="1">IFERROR(__xludf.DUMMYFUNCTION("""COMPUTED_VALUE"""),"")</f>
        <v/>
      </c>
      <c r="X470" s="11" t="str">
        <f ca="1">IFERROR(__xludf.DUMMYFUNCTION("""COMPUTED_VALUE"""),"")</f>
        <v/>
      </c>
      <c r="Y470" s="11" t="str">
        <f ca="1">IFERROR(__xludf.DUMMYFUNCTION("""COMPUTED_VALUE"""),"")</f>
        <v/>
      </c>
      <c r="Z470" s="4" t="str">
        <f ca="1">IFERROR(__xludf.DUMMYFUNCTION("""COMPUTED_VALUE"""),"")</f>
        <v/>
      </c>
    </row>
    <row r="471" spans="1:26" ht="13" x14ac:dyDescent="0.15">
      <c r="A471" s="43" t="str">
        <f ca="1">IFERROR(__xludf.DUMMYFUNCTION("""COMPUTED_VALUE"""),"")</f>
        <v/>
      </c>
      <c r="B471" s="43" t="str">
        <f ca="1">IFERROR(__xludf.DUMMYFUNCTION("""COMPUTED_VALUE"""),"76369")</f>
        <v>76369</v>
      </c>
      <c r="C471" s="146">
        <f ca="1">IFERROR(__xludf.DUMMYFUNCTION("""COMPUTED_VALUE"""),44616000321)</f>
        <v>44616000321</v>
      </c>
      <c r="D471" s="161" t="str">
        <f ca="1">IFERROR(__xludf.DUMMYFUNCTION("""COMPUTED_VALUE"""),"601808.SS")</f>
        <v>601808.SS</v>
      </c>
      <c r="E471" s="147">
        <f ca="1">IFERROR(__xludf.DUMMYFUNCTION("""COMPUTED_VALUE"""),44616)</f>
        <v>44616</v>
      </c>
      <c r="F471" s="43" t="str">
        <f ca="1">IFERROR(__xludf.DUMMYFUNCTION("""COMPUTED_VALUE"""),"Stock")</f>
        <v>Stock</v>
      </c>
      <c r="G471" s="43" t="str">
        <f ca="1">IFERROR(__xludf.DUMMYFUNCTION("""COMPUTED_VALUE"""),"CNY")</f>
        <v>CNY</v>
      </c>
      <c r="H471" s="154">
        <f ca="1">IFERROR(__xludf.DUMMYFUNCTION("""COMPUTED_VALUE"""),1000)</f>
        <v>1000</v>
      </c>
      <c r="I471" s="148">
        <f ca="1">IFERROR(__xludf.DUMMYFUNCTION("""COMPUTED_VALUE"""),1.233498)</f>
        <v>1.233498</v>
      </c>
      <c r="J471" s="149">
        <f ca="1">IFERROR(__xludf.DUMMYFUNCTION("""COMPUTED_VALUE"""),16.71)</f>
        <v>16.71</v>
      </c>
      <c r="K471" s="43"/>
      <c r="L471" s="149">
        <f ca="1">IFERROR(__xludf.DUMMYFUNCTION("""COMPUTED_VALUE"""),14.04)</f>
        <v>14.04</v>
      </c>
      <c r="M471" s="155" t="str">
        <f ca="1">IFERROR(__xludf.DUMMYFUNCTION("""COMPUTED_VALUE"""),"Equity Key Stats")</f>
        <v>Equity Key Stats</v>
      </c>
      <c r="N471" s="43"/>
      <c r="O471" s="43"/>
      <c r="P471" s="157">
        <f ca="1">IFERROR(__xludf.DUMMYFUNCTION("""COMPUTED_VALUE"""),-20611.75158)</f>
        <v>-20611.75158</v>
      </c>
      <c r="Q471" s="151"/>
      <c r="R471" s="152">
        <f ca="1">IFERROR(__xludf.DUMMYFUNCTION("""COMPUTED_VALUE"""),13.85)</f>
        <v>13.85</v>
      </c>
      <c r="S471" s="150">
        <f ca="1">IFERROR(__xludf.DUMMYFUNCTION("""COMPUTED_VALUE"""),17083.9473)</f>
        <v>17083.9473</v>
      </c>
      <c r="T471" s="108">
        <f ca="1">IFERROR(__xludf.DUMMYFUNCTION("""COMPUTED_VALUE"""),3)</f>
        <v>3</v>
      </c>
      <c r="U471" s="43" t="str">
        <f ca="1">IFERROR(__xludf.DUMMYFUNCTION("""COMPUTED_VALUE"""),"")</f>
        <v/>
      </c>
      <c r="V471" s="144" t="str">
        <f ca="1">IFERROR(__xludf.DUMMYFUNCTION("""COMPUTED_VALUE"""),"")</f>
        <v/>
      </c>
      <c r="W471" s="145" t="str">
        <f ca="1">IFERROR(__xludf.DUMMYFUNCTION("""COMPUTED_VALUE"""),"")</f>
        <v/>
      </c>
      <c r="X471" s="11" t="str">
        <f ca="1">IFERROR(__xludf.DUMMYFUNCTION("""COMPUTED_VALUE"""),"")</f>
        <v/>
      </c>
      <c r="Y471" s="11" t="str">
        <f ca="1">IFERROR(__xludf.DUMMYFUNCTION("""COMPUTED_VALUE"""),"")</f>
        <v/>
      </c>
      <c r="Z471" s="4" t="str">
        <f ca="1">IFERROR(__xludf.DUMMYFUNCTION("""COMPUTED_VALUE"""),"")</f>
        <v/>
      </c>
    </row>
    <row r="472" spans="1:26" ht="13" x14ac:dyDescent="0.15">
      <c r="A472" s="43" t="str">
        <f ca="1">IFERROR(__xludf.DUMMYFUNCTION("""COMPUTED_VALUE"""),"")</f>
        <v/>
      </c>
      <c r="B472" s="43" t="str">
        <f ca="1">IFERROR(__xludf.DUMMYFUNCTION("""COMPUTED_VALUE"""),"76369")</f>
        <v>76369</v>
      </c>
      <c r="C472" s="146">
        <f ca="1">IFERROR(__xludf.DUMMYFUNCTION("""COMPUTED_VALUE"""),44616000322)</f>
        <v>44616000322</v>
      </c>
      <c r="D472" s="163" t="str">
        <f ca="1">IFERROR(__xludf.DUMMYFUNCTION("""COMPUTED_VALUE"""),"300922.SZ")</f>
        <v>300922.SZ</v>
      </c>
      <c r="E472" s="147">
        <f ca="1">IFERROR(__xludf.DUMMYFUNCTION("""COMPUTED_VALUE"""),44616)</f>
        <v>44616</v>
      </c>
      <c r="F472" s="43" t="str">
        <f ca="1">IFERROR(__xludf.DUMMYFUNCTION("""COMPUTED_VALUE"""),"Stock")</f>
        <v>Stock</v>
      </c>
      <c r="G472" s="43" t="str">
        <f ca="1">IFERROR(__xludf.DUMMYFUNCTION("""COMPUTED_VALUE"""),"CNY")</f>
        <v>CNY</v>
      </c>
      <c r="H472" s="156">
        <f ca="1">IFERROR(__xludf.DUMMYFUNCTION("""COMPUTED_VALUE"""),1000)</f>
        <v>1000</v>
      </c>
      <c r="I472" s="148">
        <f ca="1">IFERROR(__xludf.DUMMYFUNCTION("""COMPUTED_VALUE"""),1.233498)</f>
        <v>1.233498</v>
      </c>
      <c r="J472" s="149">
        <f ca="1">IFERROR(__xludf.DUMMYFUNCTION("""COMPUTED_VALUE"""),38.29)</f>
        <v>38.29</v>
      </c>
      <c r="K472" s="43"/>
      <c r="L472" s="149">
        <f ca="1">IFERROR(__xludf.DUMMYFUNCTION("""COMPUTED_VALUE"""),30.06)</f>
        <v>30.06</v>
      </c>
      <c r="M472" s="155" t="str">
        <f ca="1">IFERROR(__xludf.DUMMYFUNCTION("""COMPUTED_VALUE"""),"Equity Key Stats")</f>
        <v>Equity Key Stats</v>
      </c>
      <c r="N472" s="43"/>
      <c r="O472" s="43"/>
      <c r="P472" s="150">
        <f ca="1">IFERROR(__xludf.DUMMYFUNCTION("""COMPUTED_VALUE"""),-47230.63842)</f>
        <v>-47230.638420000003</v>
      </c>
      <c r="Q472" s="151"/>
      <c r="R472" s="152">
        <f ca="1">IFERROR(__xludf.DUMMYFUNCTION("""COMPUTED_VALUE"""),30.4)</f>
        <v>30.4</v>
      </c>
      <c r="S472" s="157">
        <f ca="1">IFERROR(__xludf.DUMMYFUNCTION("""COMPUTED_VALUE"""),37498.3392)</f>
        <v>37498.339200000002</v>
      </c>
      <c r="T472" s="108">
        <f ca="1">IFERROR(__xludf.DUMMYFUNCTION("""COMPUTED_VALUE"""),4)</f>
        <v>4</v>
      </c>
      <c r="U472" s="43" t="str">
        <f ca="1">IFERROR(__xludf.DUMMYFUNCTION("""COMPUTED_VALUE"""),"")</f>
        <v/>
      </c>
      <c r="V472" s="144" t="str">
        <f ca="1">IFERROR(__xludf.DUMMYFUNCTION("""COMPUTED_VALUE"""),"")</f>
        <v/>
      </c>
      <c r="W472" s="145" t="str">
        <f ca="1">IFERROR(__xludf.DUMMYFUNCTION("""COMPUTED_VALUE"""),"")</f>
        <v/>
      </c>
      <c r="X472" s="11" t="str">
        <f ca="1">IFERROR(__xludf.DUMMYFUNCTION("""COMPUTED_VALUE"""),"")</f>
        <v/>
      </c>
      <c r="Y472" s="11" t="str">
        <f ca="1">IFERROR(__xludf.DUMMYFUNCTION("""COMPUTED_VALUE"""),"")</f>
        <v/>
      </c>
      <c r="Z472" s="4" t="str">
        <f ca="1">IFERROR(__xludf.DUMMYFUNCTION("""COMPUTED_VALUE"""),"")</f>
        <v/>
      </c>
    </row>
    <row r="473" spans="1:26" ht="13" x14ac:dyDescent="0.15">
      <c r="A473" s="43" t="str">
        <f ca="1">IFERROR(__xludf.DUMMYFUNCTION("""COMPUTED_VALUE"""),"")</f>
        <v/>
      </c>
      <c r="B473" s="43" t="str">
        <f ca="1">IFERROR(__xludf.DUMMYFUNCTION("""COMPUTED_VALUE"""),"76369")</f>
        <v>76369</v>
      </c>
      <c r="C473" s="146">
        <f ca="1">IFERROR(__xludf.DUMMYFUNCTION("""COMPUTED_VALUE"""),44616000323)</f>
        <v>44616000323</v>
      </c>
      <c r="D473" s="163" t="str">
        <f ca="1">IFERROR(__xludf.DUMMYFUNCTION("""COMPUTED_VALUE"""),"300922.SZ")</f>
        <v>300922.SZ</v>
      </c>
      <c r="E473" s="147">
        <f ca="1">IFERROR(__xludf.DUMMYFUNCTION("""COMPUTED_VALUE"""),44616)</f>
        <v>44616</v>
      </c>
      <c r="F473" s="43" t="str">
        <f ca="1">IFERROR(__xludf.DUMMYFUNCTION("""COMPUTED_VALUE"""),"Stock")</f>
        <v>Stock</v>
      </c>
      <c r="G473" s="43" t="str">
        <f ca="1">IFERROR(__xludf.DUMMYFUNCTION("""COMPUTED_VALUE"""),"CNY")</f>
        <v>CNY</v>
      </c>
      <c r="H473" s="154">
        <f ca="1">IFERROR(__xludf.DUMMYFUNCTION("""COMPUTED_VALUE"""),500)</f>
        <v>500</v>
      </c>
      <c r="I473" s="148">
        <f ca="1">IFERROR(__xludf.DUMMYFUNCTION("""COMPUTED_VALUE"""),1.233498)</f>
        <v>1.233498</v>
      </c>
      <c r="J473" s="149">
        <f ca="1">IFERROR(__xludf.DUMMYFUNCTION("""COMPUTED_VALUE"""),38.29)</f>
        <v>38.29</v>
      </c>
      <c r="K473" s="43"/>
      <c r="L473" s="149">
        <f ca="1">IFERROR(__xludf.DUMMYFUNCTION("""COMPUTED_VALUE"""),30.06)</f>
        <v>30.06</v>
      </c>
      <c r="M473" s="155" t="str">
        <f ca="1">IFERROR(__xludf.DUMMYFUNCTION("""COMPUTED_VALUE"""),"Equity Key Stats")</f>
        <v>Equity Key Stats</v>
      </c>
      <c r="N473" s="43"/>
      <c r="O473" s="43"/>
      <c r="P473" s="157">
        <f ca="1">IFERROR(__xludf.DUMMYFUNCTION("""COMPUTED_VALUE"""),-23615.31921)</f>
        <v>-23615.319210000001</v>
      </c>
      <c r="Q473" s="151"/>
      <c r="R473" s="152">
        <f ca="1">IFERROR(__xludf.DUMMYFUNCTION("""COMPUTED_VALUE"""),30.4)</f>
        <v>30.4</v>
      </c>
      <c r="S473" s="150">
        <f ca="1">IFERROR(__xludf.DUMMYFUNCTION("""COMPUTED_VALUE"""),18749.1696)</f>
        <v>18749.169600000001</v>
      </c>
      <c r="T473" s="108">
        <f ca="1">IFERROR(__xludf.DUMMYFUNCTION("""COMPUTED_VALUE"""),4)</f>
        <v>4</v>
      </c>
      <c r="U473" s="43" t="str">
        <f ca="1">IFERROR(__xludf.DUMMYFUNCTION("""COMPUTED_VALUE"""),"")</f>
        <v/>
      </c>
      <c r="V473" s="144" t="str">
        <f ca="1">IFERROR(__xludf.DUMMYFUNCTION("""COMPUTED_VALUE"""),"")</f>
        <v/>
      </c>
      <c r="W473" s="145" t="str">
        <f ca="1">IFERROR(__xludf.DUMMYFUNCTION("""COMPUTED_VALUE"""),"")</f>
        <v/>
      </c>
      <c r="X473" s="11" t="str">
        <f ca="1">IFERROR(__xludf.DUMMYFUNCTION("""COMPUTED_VALUE"""),"")</f>
        <v/>
      </c>
      <c r="Y473" s="11" t="str">
        <f ca="1">IFERROR(__xludf.DUMMYFUNCTION("""COMPUTED_VALUE"""),"")</f>
        <v/>
      </c>
      <c r="Z473" s="4" t="str">
        <f ca="1">IFERROR(__xludf.DUMMYFUNCTION("""COMPUTED_VALUE"""),"")</f>
        <v/>
      </c>
    </row>
    <row r="474" spans="1:26" ht="13" x14ac:dyDescent="0.15">
      <c r="A474" s="43" t="str">
        <f ca="1">IFERROR(__xludf.DUMMYFUNCTION("""COMPUTED_VALUE"""),"")</f>
        <v/>
      </c>
      <c r="B474" s="43" t="str">
        <f ca="1">IFERROR(__xludf.DUMMYFUNCTION("""COMPUTED_VALUE"""),"76369")</f>
        <v>76369</v>
      </c>
      <c r="C474" s="146">
        <f ca="1">IFERROR(__xludf.DUMMYFUNCTION("""COMPUTED_VALUE"""),44617000339)</f>
        <v>44617000339</v>
      </c>
      <c r="D474" s="163" t="str">
        <f ca="1">IFERROR(__xludf.DUMMYFUNCTION("""COMPUTED_VALUE"""),"000554.SZ")</f>
        <v>000554.SZ</v>
      </c>
      <c r="E474" s="147">
        <f ca="1">IFERROR(__xludf.DUMMYFUNCTION("""COMPUTED_VALUE"""),44617)</f>
        <v>44617</v>
      </c>
      <c r="F474" s="43" t="str">
        <f ca="1">IFERROR(__xludf.DUMMYFUNCTION("""COMPUTED_VALUE"""),"Stock")</f>
        <v>Stock</v>
      </c>
      <c r="G474" s="43" t="str">
        <f ca="1">IFERROR(__xludf.DUMMYFUNCTION("""COMPUTED_VALUE"""),"CNY")</f>
        <v>CNY</v>
      </c>
      <c r="H474" s="154">
        <f ca="1">IFERROR(__xludf.DUMMYFUNCTION("""COMPUTED_VALUE"""),-1000)</f>
        <v>-1000</v>
      </c>
      <c r="I474" s="148">
        <f ca="1">IFERROR(__xludf.DUMMYFUNCTION("""COMPUTED_VALUE"""),1.235635)</f>
        <v>1.235635</v>
      </c>
      <c r="J474" s="149">
        <f ca="1">IFERROR(__xludf.DUMMYFUNCTION("""COMPUTED_VALUE"""),6.23)</f>
        <v>6.23</v>
      </c>
      <c r="K474" s="43"/>
      <c r="L474" s="149">
        <f ca="1">IFERROR(__xludf.DUMMYFUNCTION("""COMPUTED_VALUE"""),5.49)</f>
        <v>5.49</v>
      </c>
      <c r="M474" s="155" t="str">
        <f ca="1">IFERROR(__xludf.DUMMYFUNCTION("""COMPUTED_VALUE"""),"Equity Key Stats")</f>
        <v>Equity Key Stats</v>
      </c>
      <c r="N474" s="43"/>
      <c r="O474" s="43"/>
      <c r="P474" s="157">
        <f ca="1">IFERROR(__xludf.DUMMYFUNCTION("""COMPUTED_VALUE"""),7698.00605)</f>
        <v>7698.00605</v>
      </c>
      <c r="Q474" s="151"/>
      <c r="R474" s="152">
        <f ca="1">IFERROR(__xludf.DUMMYFUNCTION("""COMPUTED_VALUE"""),5.53)</f>
        <v>5.53</v>
      </c>
      <c r="S474" s="150">
        <f ca="1">IFERROR(__xludf.DUMMYFUNCTION("""COMPUTED_VALUE"""),-6833.06155)</f>
        <v>-6833.0615500000004</v>
      </c>
      <c r="T474" s="108">
        <f ca="1">IFERROR(__xludf.DUMMYFUNCTION("""COMPUTED_VALUE"""),2)</f>
        <v>2</v>
      </c>
      <c r="U474" s="43">
        <f ca="1">IFERROR(__xludf.DUMMYFUNCTION("""COMPUTED_VALUE"""),1)</f>
        <v>1</v>
      </c>
      <c r="V474" s="144">
        <f ca="1">IFERROR(__xludf.DUMMYFUNCTION("""COMPUTED_VALUE"""),-232.868719999999)</f>
        <v>-232.868719999999</v>
      </c>
      <c r="W474" s="145" t="str">
        <f ca="1">IFERROR(__xludf.DUMMYFUNCTION("""COMPUTED_VALUE"""),"")</f>
        <v/>
      </c>
      <c r="X474" s="11" t="str">
        <f ca="1">IFERROR(__xludf.DUMMYFUNCTION("""COMPUTED_VALUE"""),"")</f>
        <v/>
      </c>
      <c r="Y474" s="11" t="str">
        <f ca="1">IFERROR(__xludf.DUMMYFUNCTION("""COMPUTED_VALUE"""),"")</f>
        <v/>
      </c>
      <c r="Z474" s="4" t="str">
        <f ca="1">IFERROR(__xludf.DUMMYFUNCTION("""COMPUTED_VALUE"""),"")</f>
        <v/>
      </c>
    </row>
    <row r="475" spans="1:26" ht="13" x14ac:dyDescent="0.15">
      <c r="A475" s="43" t="str">
        <f ca="1">IFERROR(__xludf.DUMMYFUNCTION("""COMPUTED_VALUE"""),"")</f>
        <v/>
      </c>
      <c r="B475" s="43" t="str">
        <f ca="1">IFERROR(__xludf.DUMMYFUNCTION("""COMPUTED_VALUE"""),"76369")</f>
        <v>76369</v>
      </c>
      <c r="C475" s="146">
        <f ca="1">IFERROR(__xludf.DUMMYFUNCTION("""COMPUTED_VALUE"""),44617000340)</f>
        <v>44617000340</v>
      </c>
      <c r="D475" s="161" t="str">
        <f ca="1">IFERROR(__xludf.DUMMYFUNCTION("""COMPUTED_VALUE"""),"300945.SZ")</f>
        <v>300945.SZ</v>
      </c>
      <c r="E475" s="147">
        <f ca="1">IFERROR(__xludf.DUMMYFUNCTION("""COMPUTED_VALUE"""),44617)</f>
        <v>44617</v>
      </c>
      <c r="F475" s="43" t="str">
        <f ca="1">IFERROR(__xludf.DUMMYFUNCTION("""COMPUTED_VALUE"""),"Stock")</f>
        <v>Stock</v>
      </c>
      <c r="G475" s="43" t="str">
        <f ca="1">IFERROR(__xludf.DUMMYFUNCTION("""COMPUTED_VALUE"""),"CNY")</f>
        <v>CNY</v>
      </c>
      <c r="H475" s="154">
        <f ca="1">IFERROR(__xludf.DUMMYFUNCTION("""COMPUTED_VALUE"""),-1000)</f>
        <v>-1000</v>
      </c>
      <c r="I475" s="148">
        <f ca="1">IFERROR(__xludf.DUMMYFUNCTION("""COMPUTED_VALUE"""),1.235635)</f>
        <v>1.235635</v>
      </c>
      <c r="J475" s="149">
        <f ca="1">IFERROR(__xludf.DUMMYFUNCTION("""COMPUTED_VALUE"""),22.61)</f>
        <v>22.61</v>
      </c>
      <c r="K475" s="43"/>
      <c r="L475" s="149">
        <f ca="1">IFERROR(__xludf.DUMMYFUNCTION("""COMPUTED_VALUE"""),18.79)</f>
        <v>18.79</v>
      </c>
      <c r="M475" s="155" t="str">
        <f ca="1">IFERROR(__xludf.DUMMYFUNCTION("""COMPUTED_VALUE"""),"Equity Key Stats")</f>
        <v>Equity Key Stats</v>
      </c>
      <c r="N475" s="43"/>
      <c r="O475" s="43"/>
      <c r="P475" s="157">
        <f ca="1">IFERROR(__xludf.DUMMYFUNCTION("""COMPUTED_VALUE"""),27937.70735)</f>
        <v>27937.707350000001</v>
      </c>
      <c r="Q475" s="151"/>
      <c r="R475" s="152">
        <f ca="1">IFERROR(__xludf.DUMMYFUNCTION("""COMPUTED_VALUE"""),18.26)</f>
        <v>18.260000000000002</v>
      </c>
      <c r="S475" s="150">
        <f ca="1">IFERROR(__xludf.DUMMYFUNCTION("""COMPUTED_VALUE"""),-22562.6951)</f>
        <v>-22562.695100000001</v>
      </c>
      <c r="T475" s="108">
        <f ca="1">IFERROR(__xludf.DUMMYFUNCTION("""COMPUTED_VALUE"""),2)</f>
        <v>2</v>
      </c>
      <c r="U475" s="43">
        <f ca="1">IFERROR(__xludf.DUMMYFUNCTION("""COMPUTED_VALUE"""),1)</f>
        <v>1</v>
      </c>
      <c r="V475" s="144">
        <f ca="1">IFERROR(__xludf.DUMMYFUNCTION("""COMPUTED_VALUE"""),-1618.92140999999)</f>
        <v>-1618.9214099999899</v>
      </c>
      <c r="W475" s="145" t="str">
        <f ca="1">IFERROR(__xludf.DUMMYFUNCTION("""COMPUTED_VALUE"""),"")</f>
        <v/>
      </c>
      <c r="X475" s="11" t="str">
        <f ca="1">IFERROR(__xludf.DUMMYFUNCTION("""COMPUTED_VALUE"""),"")</f>
        <v/>
      </c>
      <c r="Y475" s="11" t="str">
        <f ca="1">IFERROR(__xludf.DUMMYFUNCTION("""COMPUTED_VALUE"""),"")</f>
        <v/>
      </c>
      <c r="Z475" s="4" t="str">
        <f ca="1">IFERROR(__xludf.DUMMYFUNCTION("""COMPUTED_VALUE"""),"")</f>
        <v/>
      </c>
    </row>
    <row r="476" spans="1:26" ht="13" x14ac:dyDescent="0.15">
      <c r="A476" s="43" t="str">
        <f ca="1">IFERROR(__xludf.DUMMYFUNCTION("""COMPUTED_VALUE"""),"")</f>
        <v/>
      </c>
      <c r="B476" s="43" t="str">
        <f ca="1">IFERROR(__xludf.DUMMYFUNCTION("""COMPUTED_VALUE"""),"76369")</f>
        <v>76369</v>
      </c>
      <c r="C476" s="146">
        <f ca="1">IFERROR(__xludf.DUMMYFUNCTION("""COMPUTED_VALUE"""),44617000341)</f>
        <v>44617000341</v>
      </c>
      <c r="D476" s="161" t="str">
        <f ca="1">IFERROR(__xludf.DUMMYFUNCTION("""COMPUTED_VALUE"""),"601808.SS")</f>
        <v>601808.SS</v>
      </c>
      <c r="E476" s="147">
        <f ca="1">IFERROR(__xludf.DUMMYFUNCTION("""COMPUTED_VALUE"""),44617)</f>
        <v>44617</v>
      </c>
      <c r="F476" s="43" t="str">
        <f ca="1">IFERROR(__xludf.DUMMYFUNCTION("""COMPUTED_VALUE"""),"Stock")</f>
        <v>Stock</v>
      </c>
      <c r="G476" s="43" t="str">
        <f ca="1">IFERROR(__xludf.DUMMYFUNCTION("""COMPUTED_VALUE"""),"CNY")</f>
        <v>CNY</v>
      </c>
      <c r="H476" s="156">
        <f ca="1">IFERROR(__xludf.DUMMYFUNCTION("""COMPUTED_VALUE"""),-1000)</f>
        <v>-1000</v>
      </c>
      <c r="I476" s="148">
        <f ca="1">IFERROR(__xludf.DUMMYFUNCTION("""COMPUTED_VALUE"""),1.235635)</f>
        <v>1.235635</v>
      </c>
      <c r="J476" s="149">
        <f ca="1">IFERROR(__xludf.DUMMYFUNCTION("""COMPUTED_VALUE"""),16.49)</f>
        <v>16.489999999999998</v>
      </c>
      <c r="K476" s="43"/>
      <c r="L476" s="149">
        <f ca="1">IFERROR(__xludf.DUMMYFUNCTION("""COMPUTED_VALUE"""),14.04)</f>
        <v>14.04</v>
      </c>
      <c r="M476" s="155" t="str">
        <f ca="1">IFERROR(__xludf.DUMMYFUNCTION("""COMPUTED_VALUE"""),"Equity Key Stats")</f>
        <v>Equity Key Stats</v>
      </c>
      <c r="N476" s="43"/>
      <c r="O476" s="43"/>
      <c r="P476" s="150">
        <f ca="1">IFERROR(__xludf.DUMMYFUNCTION("""COMPUTED_VALUE"""),20375.62115)</f>
        <v>20375.621149999999</v>
      </c>
      <c r="Q476" s="151"/>
      <c r="R476" s="152">
        <f ca="1">IFERROR(__xludf.DUMMYFUNCTION("""COMPUTED_VALUE"""),13.85)</f>
        <v>13.85</v>
      </c>
      <c r="S476" s="157">
        <f ca="1">IFERROR(__xludf.DUMMYFUNCTION("""COMPUTED_VALUE"""),-17113.54475)</f>
        <v>-17113.544750000001</v>
      </c>
      <c r="T476" s="108">
        <f ca="1">IFERROR(__xludf.DUMMYFUNCTION("""COMPUTED_VALUE"""),3)</f>
        <v>3</v>
      </c>
      <c r="U476" s="43">
        <f ca="1">IFERROR(__xludf.DUMMYFUNCTION("""COMPUTED_VALUE"""),1)</f>
        <v>1</v>
      </c>
      <c r="V476" s="144">
        <f ca="1">IFERROR(__xludf.DUMMYFUNCTION("""COMPUTED_VALUE"""),-3793.53216)</f>
        <v>-3793.5321600000002</v>
      </c>
      <c r="W476" s="145" t="str">
        <f ca="1">IFERROR(__xludf.DUMMYFUNCTION("""COMPUTED_VALUE"""),"")</f>
        <v/>
      </c>
      <c r="X476" s="11" t="str">
        <f ca="1">IFERROR(__xludf.DUMMYFUNCTION("""COMPUTED_VALUE"""),"")</f>
        <v/>
      </c>
      <c r="Y476" s="11" t="str">
        <f ca="1">IFERROR(__xludf.DUMMYFUNCTION("""COMPUTED_VALUE"""),"")</f>
        <v/>
      </c>
      <c r="Z476" s="4" t="str">
        <f ca="1">IFERROR(__xludf.DUMMYFUNCTION("""COMPUTED_VALUE"""),"")</f>
        <v/>
      </c>
    </row>
    <row r="477" spans="1:26" ht="13" x14ac:dyDescent="0.15">
      <c r="A477" s="43" t="str">
        <f ca="1">IFERROR(__xludf.DUMMYFUNCTION("""COMPUTED_VALUE"""),"")</f>
        <v/>
      </c>
      <c r="B477" s="43" t="str">
        <f ca="1">IFERROR(__xludf.DUMMYFUNCTION("""COMPUTED_VALUE"""),"76369")</f>
        <v>76369</v>
      </c>
      <c r="C477" s="146">
        <f ca="1">IFERROR(__xludf.DUMMYFUNCTION("""COMPUTED_VALUE"""),44617000342)</f>
        <v>44617000342</v>
      </c>
      <c r="D477" s="161" t="str">
        <f ca="1">IFERROR(__xludf.DUMMYFUNCTION("""COMPUTED_VALUE"""),"300922.SZ")</f>
        <v>300922.SZ</v>
      </c>
      <c r="E477" s="147">
        <f ca="1">IFERROR(__xludf.DUMMYFUNCTION("""COMPUTED_VALUE"""),44617)</f>
        <v>44617</v>
      </c>
      <c r="F477" s="43" t="str">
        <f ca="1">IFERROR(__xludf.DUMMYFUNCTION("""COMPUTED_VALUE"""),"Stock")</f>
        <v>Stock</v>
      </c>
      <c r="G477" s="43" t="str">
        <f ca="1">IFERROR(__xludf.DUMMYFUNCTION("""COMPUTED_VALUE"""),"CNY")</f>
        <v>CNY</v>
      </c>
      <c r="H477" s="154">
        <f ca="1">IFERROR(__xludf.DUMMYFUNCTION("""COMPUTED_VALUE"""),-500)</f>
        <v>-500</v>
      </c>
      <c r="I477" s="148">
        <f ca="1">IFERROR(__xludf.DUMMYFUNCTION("""COMPUTED_VALUE"""),1.235635)</f>
        <v>1.235635</v>
      </c>
      <c r="J477" s="149">
        <f ca="1">IFERROR(__xludf.DUMMYFUNCTION("""COMPUTED_VALUE"""),36.83)</f>
        <v>36.83</v>
      </c>
      <c r="K477" s="43"/>
      <c r="L477" s="149">
        <f ca="1">IFERROR(__xludf.DUMMYFUNCTION("""COMPUTED_VALUE"""),30.06)</f>
        <v>30.06</v>
      </c>
      <c r="M477" s="155" t="str">
        <f ca="1">IFERROR(__xludf.DUMMYFUNCTION("""COMPUTED_VALUE"""),"Equity Key Stats")</f>
        <v>Equity Key Stats</v>
      </c>
      <c r="N477" s="43"/>
      <c r="O477" s="43"/>
      <c r="P477" s="157">
        <f ca="1">IFERROR(__xludf.DUMMYFUNCTION("""COMPUTED_VALUE"""),22754.218525)</f>
        <v>22754.218525</v>
      </c>
      <c r="Q477" s="151"/>
      <c r="R477" s="152">
        <f ca="1">IFERROR(__xludf.DUMMYFUNCTION("""COMPUTED_VALUE"""),30.4)</f>
        <v>30.4</v>
      </c>
      <c r="S477" s="150">
        <f ca="1">IFERROR(__xludf.DUMMYFUNCTION("""COMPUTED_VALUE"""),-18781.652)</f>
        <v>-18781.651999999998</v>
      </c>
      <c r="T477" s="108">
        <f ca="1">IFERROR(__xludf.DUMMYFUNCTION("""COMPUTED_VALUE"""),4)</f>
        <v>4</v>
      </c>
      <c r="U477" s="43" t="str">
        <f ca="1">IFERROR(__xludf.DUMMYFUNCTION("""COMPUTED_VALUE"""),"")</f>
        <v/>
      </c>
      <c r="V477" s="144" t="str">
        <f ca="1">IFERROR(__xludf.DUMMYFUNCTION("""COMPUTED_VALUE"""),"")</f>
        <v/>
      </c>
      <c r="W477" s="145" t="str">
        <f ca="1">IFERROR(__xludf.DUMMYFUNCTION("""COMPUTED_VALUE"""),"")</f>
        <v/>
      </c>
      <c r="X477" s="11" t="str">
        <f ca="1">IFERROR(__xludf.DUMMYFUNCTION("""COMPUTED_VALUE"""),"")</f>
        <v/>
      </c>
      <c r="Y477" s="11" t="str">
        <f ca="1">IFERROR(__xludf.DUMMYFUNCTION("""COMPUTED_VALUE"""),"")</f>
        <v/>
      </c>
      <c r="Z477" s="4" t="str">
        <f ca="1">IFERROR(__xludf.DUMMYFUNCTION("""COMPUTED_VALUE"""),"")</f>
        <v/>
      </c>
    </row>
    <row r="478" spans="1:26" ht="13" x14ac:dyDescent="0.15">
      <c r="A478" s="43" t="str">
        <f ca="1">IFERROR(__xludf.DUMMYFUNCTION("""COMPUTED_VALUE"""),"")</f>
        <v/>
      </c>
      <c r="B478" s="43" t="str">
        <f ca="1">IFERROR(__xludf.DUMMYFUNCTION("""COMPUTED_VALUE"""),"76369")</f>
        <v>76369</v>
      </c>
      <c r="C478" s="146">
        <f ca="1">IFERROR(__xludf.DUMMYFUNCTION("""COMPUTED_VALUE"""),44617000347)</f>
        <v>44617000347</v>
      </c>
      <c r="D478" s="163" t="str">
        <f ca="1">IFERROR(__xludf.DUMMYFUNCTION("""COMPUTED_VALUE"""),"603967.SS")</f>
        <v>603967.SS</v>
      </c>
      <c r="E478" s="147">
        <f ca="1">IFERROR(__xludf.DUMMYFUNCTION("""COMPUTED_VALUE"""),44617)</f>
        <v>44617</v>
      </c>
      <c r="F478" s="43" t="str">
        <f ca="1">IFERROR(__xludf.DUMMYFUNCTION("""COMPUTED_VALUE"""),"Stock")</f>
        <v>Stock</v>
      </c>
      <c r="G478" s="43" t="str">
        <f ca="1">IFERROR(__xludf.DUMMYFUNCTION("""COMPUTED_VALUE"""),"CNY")</f>
        <v>CNY</v>
      </c>
      <c r="H478" s="154">
        <f ca="1">IFERROR(__xludf.DUMMYFUNCTION("""COMPUTED_VALUE"""),500)</f>
        <v>500</v>
      </c>
      <c r="I478" s="148">
        <f ca="1">IFERROR(__xludf.DUMMYFUNCTION("""COMPUTED_VALUE"""),1.235635)</f>
        <v>1.235635</v>
      </c>
      <c r="J478" s="149">
        <f ca="1">IFERROR(__xludf.DUMMYFUNCTION("""COMPUTED_VALUE"""),12.95)</f>
        <v>12.95</v>
      </c>
      <c r="K478" s="43"/>
      <c r="L478" s="149">
        <f ca="1">IFERROR(__xludf.DUMMYFUNCTION("""COMPUTED_VALUE"""),12.16)</f>
        <v>12.16</v>
      </c>
      <c r="M478" s="155" t="str">
        <f ca="1">IFERROR(__xludf.DUMMYFUNCTION("""COMPUTED_VALUE"""),"Equity Key Stats")</f>
        <v>Equity Key Stats</v>
      </c>
      <c r="N478" s="43"/>
      <c r="O478" s="43"/>
      <c r="P478" s="157">
        <f ca="1">IFERROR(__xludf.DUMMYFUNCTION("""COMPUTED_VALUE"""),-8000.736625)</f>
        <v>-8000.7366249999995</v>
      </c>
      <c r="Q478" s="151"/>
      <c r="R478" s="152">
        <f ca="1">IFERROR(__xludf.DUMMYFUNCTION("""COMPUTED_VALUE"""),12.23)</f>
        <v>12.23</v>
      </c>
      <c r="S478" s="150">
        <f ca="1">IFERROR(__xludf.DUMMYFUNCTION("""COMPUTED_VALUE"""),7555.908025)</f>
        <v>7555.9080249999997</v>
      </c>
      <c r="T478" s="108">
        <f ca="1">IFERROR(__xludf.DUMMYFUNCTION("""COMPUTED_VALUE"""),2)</f>
        <v>2</v>
      </c>
      <c r="U478" s="43" t="str">
        <f ca="1">IFERROR(__xludf.DUMMYFUNCTION("""COMPUTED_VALUE"""),"")</f>
        <v/>
      </c>
      <c r="V478" s="144" t="str">
        <f ca="1">IFERROR(__xludf.DUMMYFUNCTION("""COMPUTED_VALUE"""),"")</f>
        <v/>
      </c>
      <c r="W478" s="145" t="str">
        <f ca="1">IFERROR(__xludf.DUMMYFUNCTION("""COMPUTED_VALUE"""),"")</f>
        <v/>
      </c>
      <c r="X478" s="11" t="str">
        <f ca="1">IFERROR(__xludf.DUMMYFUNCTION("""COMPUTED_VALUE"""),"")</f>
        <v/>
      </c>
      <c r="Y478" s="11" t="str">
        <f ca="1">IFERROR(__xludf.DUMMYFUNCTION("""COMPUTED_VALUE"""),"")</f>
        <v/>
      </c>
      <c r="Z478" s="4" t="str">
        <f ca="1">IFERROR(__xludf.DUMMYFUNCTION("""COMPUTED_VALUE"""),"")</f>
        <v/>
      </c>
    </row>
    <row r="479" spans="1:26" ht="13" x14ac:dyDescent="0.15">
      <c r="A479" s="43" t="str">
        <f ca="1">IFERROR(__xludf.DUMMYFUNCTION("""COMPUTED_VALUE"""),"")</f>
        <v/>
      </c>
      <c r="B479" s="43" t="str">
        <f ca="1">IFERROR(__xludf.DUMMYFUNCTION("""COMPUTED_VALUE"""),"76369")</f>
        <v>76369</v>
      </c>
      <c r="C479" s="146">
        <f ca="1">IFERROR(__xludf.DUMMYFUNCTION("""COMPUTED_VALUE"""),44617000349)</f>
        <v>44617000349</v>
      </c>
      <c r="D479" s="161" t="str">
        <f ca="1">IFERROR(__xludf.DUMMYFUNCTION("""COMPUTED_VALUE"""),"300922.SZ")</f>
        <v>300922.SZ</v>
      </c>
      <c r="E479" s="147">
        <f ca="1">IFERROR(__xludf.DUMMYFUNCTION("""COMPUTED_VALUE"""),44617)</f>
        <v>44617</v>
      </c>
      <c r="F479" s="43" t="str">
        <f ca="1">IFERROR(__xludf.DUMMYFUNCTION("""COMPUTED_VALUE"""),"Stock")</f>
        <v>Stock</v>
      </c>
      <c r="G479" s="43" t="str">
        <f ca="1">IFERROR(__xludf.DUMMYFUNCTION("""COMPUTED_VALUE"""),"CNY")</f>
        <v>CNY</v>
      </c>
      <c r="H479" s="156">
        <f ca="1">IFERROR(__xludf.DUMMYFUNCTION("""COMPUTED_VALUE"""),-1000)</f>
        <v>-1000</v>
      </c>
      <c r="I479" s="148">
        <f ca="1">IFERROR(__xludf.DUMMYFUNCTION("""COMPUTED_VALUE"""),1.235635)</f>
        <v>1.235635</v>
      </c>
      <c r="J479" s="149">
        <f ca="1">IFERROR(__xludf.DUMMYFUNCTION("""COMPUTED_VALUE"""),36.83)</f>
        <v>36.83</v>
      </c>
      <c r="K479" s="43"/>
      <c r="L479" s="149">
        <f ca="1">IFERROR(__xludf.DUMMYFUNCTION("""COMPUTED_VALUE"""),30.06)</f>
        <v>30.06</v>
      </c>
      <c r="M479" s="155" t="str">
        <f ca="1">IFERROR(__xludf.DUMMYFUNCTION("""COMPUTED_VALUE"""),"Equity Key Stats")</f>
        <v>Equity Key Stats</v>
      </c>
      <c r="N479" s="43"/>
      <c r="O479" s="43"/>
      <c r="P479" s="150">
        <f ca="1">IFERROR(__xludf.DUMMYFUNCTION("""COMPUTED_VALUE"""),45508.43705)</f>
        <v>45508.43705</v>
      </c>
      <c r="Q479" s="151"/>
      <c r="R479" s="152">
        <f ca="1">IFERROR(__xludf.DUMMYFUNCTION("""COMPUTED_VALUE"""),30.4)</f>
        <v>30.4</v>
      </c>
      <c r="S479" s="157">
        <f ca="1">IFERROR(__xludf.DUMMYFUNCTION("""COMPUTED_VALUE"""),-37563.304)</f>
        <v>-37563.303999999996</v>
      </c>
      <c r="T479" s="108">
        <f ca="1">IFERROR(__xludf.DUMMYFUNCTION("""COMPUTED_VALUE"""),4)</f>
        <v>4</v>
      </c>
      <c r="U479" s="108">
        <f ca="1">IFERROR(__xludf.DUMMYFUNCTION("""COMPUTED_VALUE"""),1)</f>
        <v>1</v>
      </c>
      <c r="V479" s="153">
        <f ca="1">IFERROR(__xludf.DUMMYFUNCTION("""COMPUTED_VALUE"""),-2680.74925499998)</f>
        <v>-2680.7492549999802</v>
      </c>
      <c r="W479" s="145" t="str">
        <f ca="1">IFERROR(__xludf.DUMMYFUNCTION("""COMPUTED_VALUE"""),"")</f>
        <v/>
      </c>
      <c r="X479" s="11" t="str">
        <f ca="1">IFERROR(__xludf.DUMMYFUNCTION("""COMPUTED_VALUE"""),"")</f>
        <v/>
      </c>
      <c r="Y479" s="11" t="str">
        <f ca="1">IFERROR(__xludf.DUMMYFUNCTION("""COMPUTED_VALUE"""),"")</f>
        <v/>
      </c>
      <c r="Z479" s="4" t="str">
        <f ca="1">IFERROR(__xludf.DUMMYFUNCTION("""COMPUTED_VALUE"""),"")</f>
        <v/>
      </c>
    </row>
    <row r="480" spans="1:26" ht="13" x14ac:dyDescent="0.15">
      <c r="A480" s="43" t="str">
        <f ca="1">IFERROR(__xludf.DUMMYFUNCTION("""COMPUTED_VALUE"""),"")</f>
        <v/>
      </c>
      <c r="B480" s="43" t="str">
        <f ca="1">IFERROR(__xludf.DUMMYFUNCTION("""COMPUTED_VALUE"""),"76369")</f>
        <v>76369</v>
      </c>
      <c r="C480" s="146">
        <f ca="1">IFERROR(__xludf.DUMMYFUNCTION("""COMPUTED_VALUE"""),44620000374)</f>
        <v>44620000374</v>
      </c>
      <c r="D480" s="161" t="str">
        <f ca="1">IFERROR(__xludf.DUMMYFUNCTION("""COMPUTED_VALUE"""),"002665.SZ")</f>
        <v>002665.SZ</v>
      </c>
      <c r="E480" s="147">
        <f ca="1">IFERROR(__xludf.DUMMYFUNCTION("""COMPUTED_VALUE"""),44620)</f>
        <v>44620</v>
      </c>
      <c r="F480" s="43" t="str">
        <f ca="1">IFERROR(__xludf.DUMMYFUNCTION("""COMPUTED_VALUE"""),"Stock")</f>
        <v>Stock</v>
      </c>
      <c r="G480" s="43" t="str">
        <f ca="1">IFERROR(__xludf.DUMMYFUNCTION("""COMPUTED_VALUE"""),"CNY")</f>
        <v>CNY</v>
      </c>
      <c r="H480" s="154">
        <f ca="1">IFERROR(__xludf.DUMMYFUNCTION("""COMPUTED_VALUE"""),-1000)</f>
        <v>-1000</v>
      </c>
      <c r="I480" s="148">
        <f ca="1">IFERROR(__xludf.DUMMYFUNCTION("""COMPUTED_VALUE"""),1.237996)</f>
        <v>1.2379960000000001</v>
      </c>
      <c r="J480" s="149">
        <f ca="1">IFERROR(__xludf.DUMMYFUNCTION("""COMPUTED_VALUE"""),3.99)</f>
        <v>3.99</v>
      </c>
      <c r="K480" s="43"/>
      <c r="L480" s="149">
        <f ca="1">IFERROR(__xludf.DUMMYFUNCTION("""COMPUTED_VALUE"""),3.64)</f>
        <v>3.64</v>
      </c>
      <c r="M480" s="155" t="str">
        <f ca="1">IFERROR(__xludf.DUMMYFUNCTION("""COMPUTED_VALUE"""),"Equity Key Stats")</f>
        <v>Equity Key Stats</v>
      </c>
      <c r="N480" s="43"/>
      <c r="O480" s="43"/>
      <c r="P480" s="157">
        <f ca="1">IFERROR(__xludf.DUMMYFUNCTION("""COMPUTED_VALUE"""),4939.60404)</f>
        <v>4939.6040400000002</v>
      </c>
      <c r="Q480" s="151"/>
      <c r="R480" s="152">
        <f ca="1">IFERROR(__xludf.DUMMYFUNCTION("""COMPUTED_VALUE"""),4)</f>
        <v>4</v>
      </c>
      <c r="S480" s="150">
        <f ca="1">IFERROR(__xludf.DUMMYFUNCTION("""COMPUTED_VALUE"""),-4951.984)</f>
        <v>-4951.9840000000004</v>
      </c>
      <c r="T480" s="108">
        <f ca="1">IFERROR(__xludf.DUMMYFUNCTION("""COMPUTED_VALUE"""),2)</f>
        <v>2</v>
      </c>
      <c r="U480" s="43">
        <f ca="1">IFERROR(__xludf.DUMMYFUNCTION("""COMPUTED_VALUE"""),1)</f>
        <v>1</v>
      </c>
      <c r="V480" s="144">
        <f ca="1">IFERROR(__xludf.DUMMYFUNCTION("""COMPUTED_VALUE"""),12.2900000000008)</f>
        <v>12.2900000000008</v>
      </c>
      <c r="W480" s="145" t="str">
        <f ca="1">IFERROR(__xludf.DUMMYFUNCTION("""COMPUTED_VALUE"""),"")</f>
        <v/>
      </c>
      <c r="X480" s="11" t="str">
        <f ca="1">IFERROR(__xludf.DUMMYFUNCTION("""COMPUTED_VALUE"""),"")</f>
        <v/>
      </c>
      <c r="Y480" s="11" t="str">
        <f ca="1">IFERROR(__xludf.DUMMYFUNCTION("""COMPUTED_VALUE"""),"")</f>
        <v/>
      </c>
      <c r="Z480" s="4" t="str">
        <f ca="1">IFERROR(__xludf.DUMMYFUNCTION("""COMPUTED_VALUE"""),"")</f>
        <v/>
      </c>
    </row>
    <row r="481" spans="1:26" ht="13" x14ac:dyDescent="0.15">
      <c r="A481" s="43" t="str">
        <f ca="1">IFERROR(__xludf.DUMMYFUNCTION("""COMPUTED_VALUE"""),"")</f>
        <v/>
      </c>
      <c r="B481" s="43" t="str">
        <f ca="1">IFERROR(__xludf.DUMMYFUNCTION("""COMPUTED_VALUE"""),"76369")</f>
        <v>76369</v>
      </c>
      <c r="C481" s="146">
        <f ca="1">IFERROR(__xludf.DUMMYFUNCTION("""COMPUTED_VALUE"""),44620000375)</f>
        <v>44620000375</v>
      </c>
      <c r="D481" s="161" t="str">
        <f ca="1">IFERROR(__xludf.DUMMYFUNCTION("""COMPUTED_VALUE"""),"603967.SS")</f>
        <v>603967.SS</v>
      </c>
      <c r="E481" s="147">
        <f ca="1">IFERROR(__xludf.DUMMYFUNCTION("""COMPUTED_VALUE"""),44620)</f>
        <v>44620</v>
      </c>
      <c r="F481" s="43" t="str">
        <f ca="1">IFERROR(__xludf.DUMMYFUNCTION("""COMPUTED_VALUE"""),"Stock")</f>
        <v>Stock</v>
      </c>
      <c r="G481" s="43" t="str">
        <f ca="1">IFERROR(__xludf.DUMMYFUNCTION("""COMPUTED_VALUE"""),"CNY")</f>
        <v>CNY</v>
      </c>
      <c r="H481" s="154">
        <f ca="1">IFERROR(__xludf.DUMMYFUNCTION("""COMPUTED_VALUE"""),-500)</f>
        <v>-500</v>
      </c>
      <c r="I481" s="148">
        <f ca="1">IFERROR(__xludf.DUMMYFUNCTION("""COMPUTED_VALUE"""),1.237996)</f>
        <v>1.2379960000000001</v>
      </c>
      <c r="J481" s="149">
        <f ca="1">IFERROR(__xludf.DUMMYFUNCTION("""COMPUTED_VALUE"""),12.73)</f>
        <v>12.73</v>
      </c>
      <c r="K481" s="43"/>
      <c r="L481" s="149">
        <f ca="1">IFERROR(__xludf.DUMMYFUNCTION("""COMPUTED_VALUE"""),12.16)</f>
        <v>12.16</v>
      </c>
      <c r="M481" s="155" t="str">
        <f ca="1">IFERROR(__xludf.DUMMYFUNCTION("""COMPUTED_VALUE"""),"Equity Key Stats")</f>
        <v>Equity Key Stats</v>
      </c>
      <c r="N481" s="43"/>
      <c r="O481" s="43"/>
      <c r="P481" s="157">
        <f ca="1">IFERROR(__xludf.DUMMYFUNCTION("""COMPUTED_VALUE"""),7879.84454)</f>
        <v>7879.8445400000001</v>
      </c>
      <c r="Q481" s="151"/>
      <c r="R481" s="152">
        <f ca="1">IFERROR(__xludf.DUMMYFUNCTION("""COMPUTED_VALUE"""),12.23)</f>
        <v>12.23</v>
      </c>
      <c r="S481" s="150">
        <f ca="1">IFERROR(__xludf.DUMMYFUNCTION("""COMPUTED_VALUE"""),-7570.34554)</f>
        <v>-7570.3455400000003</v>
      </c>
      <c r="T481" s="108">
        <f ca="1">IFERROR(__xludf.DUMMYFUNCTION("""COMPUTED_VALUE"""),2)</f>
        <v>2</v>
      </c>
      <c r="U481" s="43">
        <f ca="1">IFERROR(__xludf.DUMMYFUNCTION("""COMPUTED_VALUE"""),1)</f>
        <v>1</v>
      </c>
      <c r="V481" s="144">
        <f ca="1">IFERROR(__xludf.DUMMYFUNCTION("""COMPUTED_VALUE"""),-135.329599999999)</f>
        <v>-135.329599999999</v>
      </c>
      <c r="W481" s="145" t="str">
        <f ca="1">IFERROR(__xludf.DUMMYFUNCTION("""COMPUTED_VALUE"""),"")</f>
        <v/>
      </c>
      <c r="X481" s="11" t="str">
        <f ca="1">IFERROR(__xludf.DUMMYFUNCTION("""COMPUTED_VALUE"""),"")</f>
        <v/>
      </c>
      <c r="Y481" s="11" t="str">
        <f ca="1">IFERROR(__xludf.DUMMYFUNCTION("""COMPUTED_VALUE"""),"")</f>
        <v/>
      </c>
      <c r="Z481" s="4" t="str">
        <f ca="1">IFERROR(__xludf.DUMMYFUNCTION("""COMPUTED_VALUE"""),"")</f>
        <v/>
      </c>
    </row>
    <row r="482" spans="1:26" ht="13" x14ac:dyDescent="0.15">
      <c r="A482" s="43" t="str">
        <f ca="1">IFERROR(__xludf.DUMMYFUNCTION("""COMPUTED_VALUE"""),"")</f>
        <v/>
      </c>
      <c r="B482" s="43" t="str">
        <f ca="1">IFERROR(__xludf.DUMMYFUNCTION("""COMPUTED_VALUE"""),"76369")</f>
        <v>76369</v>
      </c>
      <c r="C482" s="146">
        <f ca="1">IFERROR(__xludf.DUMMYFUNCTION("""COMPUTED_VALUE"""),44627000446)</f>
        <v>44627000446</v>
      </c>
      <c r="D482" s="161" t="str">
        <f ca="1">IFERROR(__xludf.DUMMYFUNCTION("""COMPUTED_VALUE"""),"603963.SS")</f>
        <v>603963.SS</v>
      </c>
      <c r="E482" s="147">
        <f ca="1">IFERROR(__xludf.DUMMYFUNCTION("""COMPUTED_VALUE"""),44627)</f>
        <v>44627</v>
      </c>
      <c r="F482" s="43" t="str">
        <f ca="1">IFERROR(__xludf.DUMMYFUNCTION("""COMPUTED_VALUE"""),"Stock")</f>
        <v>Stock</v>
      </c>
      <c r="G482" s="43" t="str">
        <f ca="1">IFERROR(__xludf.DUMMYFUNCTION("""COMPUTED_VALUE"""),"CNY")</f>
        <v>CNY</v>
      </c>
      <c r="H482" s="154">
        <f ca="1">IFERROR(__xludf.DUMMYFUNCTION("""COMPUTED_VALUE"""),1000)</f>
        <v>1000</v>
      </c>
      <c r="I482" s="148">
        <f ca="1">IFERROR(__xludf.DUMMYFUNCTION("""COMPUTED_VALUE"""),1.237255)</f>
        <v>1.237255</v>
      </c>
      <c r="J482" s="149">
        <f ca="1">IFERROR(__xludf.DUMMYFUNCTION("""COMPUTED_VALUE"""),11.09)</f>
        <v>11.09</v>
      </c>
      <c r="K482" s="43"/>
      <c r="L482" s="149">
        <f ca="1">IFERROR(__xludf.DUMMYFUNCTION("""COMPUTED_VALUE"""),11.79)</f>
        <v>11.79</v>
      </c>
      <c r="M482" s="155" t="str">
        <f ca="1">IFERROR(__xludf.DUMMYFUNCTION("""COMPUTED_VALUE"""),"Equity Key Stats")</f>
        <v>Equity Key Stats</v>
      </c>
      <c r="N482" s="43"/>
      <c r="O482" s="43"/>
      <c r="P482" s="157">
        <f ca="1">IFERROR(__xludf.DUMMYFUNCTION("""COMPUTED_VALUE"""),-13721.1579499999)</f>
        <v>-13721.157949999901</v>
      </c>
      <c r="Q482" s="151"/>
      <c r="R482" s="152">
        <f ca="1">IFERROR(__xludf.DUMMYFUNCTION("""COMPUTED_VALUE"""),11.36)</f>
        <v>11.36</v>
      </c>
      <c r="S482" s="150">
        <f ca="1">IFERROR(__xludf.DUMMYFUNCTION("""COMPUTED_VALUE"""),14055.2167999999)</f>
        <v>14055.2167999999</v>
      </c>
      <c r="T482" s="108">
        <f ca="1">IFERROR(__xludf.DUMMYFUNCTION("""COMPUTED_VALUE"""),3)</f>
        <v>3</v>
      </c>
      <c r="U482" s="43" t="str">
        <f ca="1">IFERROR(__xludf.DUMMYFUNCTION("""COMPUTED_VALUE"""),"")</f>
        <v/>
      </c>
      <c r="V482" s="144" t="str">
        <f ca="1">IFERROR(__xludf.DUMMYFUNCTION("""COMPUTED_VALUE"""),"")</f>
        <v/>
      </c>
      <c r="W482" s="145" t="str">
        <f ca="1">IFERROR(__xludf.DUMMYFUNCTION("""COMPUTED_VALUE"""),"")</f>
        <v/>
      </c>
      <c r="X482" s="11" t="str">
        <f ca="1">IFERROR(__xludf.DUMMYFUNCTION("""COMPUTED_VALUE"""),"")</f>
        <v/>
      </c>
      <c r="Y482" s="11" t="str">
        <f ca="1">IFERROR(__xludf.DUMMYFUNCTION("""COMPUTED_VALUE"""),"")</f>
        <v/>
      </c>
      <c r="Z482" s="4" t="str">
        <f ca="1">IFERROR(__xludf.DUMMYFUNCTION("""COMPUTED_VALUE"""),"")</f>
        <v/>
      </c>
    </row>
    <row r="483" spans="1:26" ht="13" x14ac:dyDescent="0.15">
      <c r="A483" s="43" t="str">
        <f ca="1">IFERROR(__xludf.DUMMYFUNCTION("""COMPUTED_VALUE"""),"")</f>
        <v/>
      </c>
      <c r="B483" s="43" t="str">
        <f ca="1">IFERROR(__xludf.DUMMYFUNCTION("""COMPUTED_VALUE"""),"76369")</f>
        <v>76369</v>
      </c>
      <c r="C483" s="146">
        <f ca="1">IFERROR(__xludf.DUMMYFUNCTION("""COMPUTED_VALUE"""),44628000462)</f>
        <v>44628000462</v>
      </c>
      <c r="D483" s="161" t="str">
        <f ca="1">IFERROR(__xludf.DUMMYFUNCTION("""COMPUTED_VALUE"""),"603963.SS")</f>
        <v>603963.SS</v>
      </c>
      <c r="E483" s="147">
        <f ca="1">IFERROR(__xludf.DUMMYFUNCTION("""COMPUTED_VALUE"""),44628)</f>
        <v>44628</v>
      </c>
      <c r="F483" s="43" t="str">
        <f ca="1">IFERROR(__xludf.DUMMYFUNCTION("""COMPUTED_VALUE"""),"Stock")</f>
        <v>Stock</v>
      </c>
      <c r="G483" s="43" t="str">
        <f ca="1">IFERROR(__xludf.DUMMYFUNCTION("""COMPUTED_VALUE"""),"CNY")</f>
        <v>CNY</v>
      </c>
      <c r="H483" s="154">
        <f ca="1">IFERROR(__xludf.DUMMYFUNCTION("""COMPUTED_VALUE"""),-900)</f>
        <v>-900</v>
      </c>
      <c r="I483" s="148">
        <f ca="1">IFERROR(__xludf.DUMMYFUNCTION("""COMPUTED_VALUE"""),1.237716)</f>
        <v>1.237716</v>
      </c>
      <c r="J483" s="149">
        <f ca="1">IFERROR(__xludf.DUMMYFUNCTION("""COMPUTED_VALUE"""),11.09)</f>
        <v>11.09</v>
      </c>
      <c r="K483" s="43"/>
      <c r="L483" s="149">
        <f ca="1">IFERROR(__xludf.DUMMYFUNCTION("""COMPUTED_VALUE"""),11.79)</f>
        <v>11.79</v>
      </c>
      <c r="M483" s="160" t="str">
        <f ca="1">IFERROR(__xludf.DUMMYFUNCTION("""COMPUTED_VALUE"""),"Equity Key Stats")</f>
        <v>Equity Key Stats</v>
      </c>
      <c r="N483" s="43"/>
      <c r="O483" s="43"/>
      <c r="P483" s="157">
        <f ca="1">IFERROR(__xludf.DUMMYFUNCTION("""COMPUTED_VALUE"""),12353.643396)</f>
        <v>12353.643395999999</v>
      </c>
      <c r="Q483" s="151"/>
      <c r="R483" s="152">
        <f ca="1">IFERROR(__xludf.DUMMYFUNCTION("""COMPUTED_VALUE"""),11.36)</f>
        <v>11.36</v>
      </c>
      <c r="S483" s="150">
        <f ca="1">IFERROR(__xludf.DUMMYFUNCTION("""COMPUTED_VALUE"""),-12654.408384)</f>
        <v>-12654.408384</v>
      </c>
      <c r="T483" s="108">
        <f ca="1">IFERROR(__xludf.DUMMYFUNCTION("""COMPUTED_VALUE"""),3)</f>
        <v>3</v>
      </c>
      <c r="U483" s="43" t="str">
        <f ca="1">IFERROR(__xludf.DUMMYFUNCTION("""COMPUTED_VALUE"""),"")</f>
        <v/>
      </c>
      <c r="V483" s="144" t="str">
        <f ca="1">IFERROR(__xludf.DUMMYFUNCTION("""COMPUTED_VALUE"""),"")</f>
        <v/>
      </c>
      <c r="W483" s="145" t="str">
        <f ca="1">IFERROR(__xludf.DUMMYFUNCTION("""COMPUTED_VALUE"""),"")</f>
        <v/>
      </c>
      <c r="X483" s="11" t="str">
        <f ca="1">IFERROR(__xludf.DUMMYFUNCTION("""COMPUTED_VALUE"""),"")</f>
        <v/>
      </c>
      <c r="Y483" s="11" t="str">
        <f ca="1">IFERROR(__xludf.DUMMYFUNCTION("""COMPUTED_VALUE"""),"")</f>
        <v/>
      </c>
      <c r="Z483" s="4" t="str">
        <f ca="1">IFERROR(__xludf.DUMMYFUNCTION("""COMPUTED_VALUE"""),"")</f>
        <v/>
      </c>
    </row>
    <row r="484" spans="1:26" ht="13" x14ac:dyDescent="0.15">
      <c r="A484" s="43" t="str">
        <f ca="1">IFERROR(__xludf.DUMMYFUNCTION("""COMPUTED_VALUE"""),"")</f>
        <v/>
      </c>
      <c r="B484" s="43" t="str">
        <f ca="1">IFERROR(__xludf.DUMMYFUNCTION("""COMPUTED_VALUE"""),"76369")</f>
        <v>76369</v>
      </c>
      <c r="C484" s="146">
        <f ca="1">IFERROR(__xludf.DUMMYFUNCTION("""COMPUTED_VALUE"""),44630000522)</f>
        <v>44630000522</v>
      </c>
      <c r="D484" s="161" t="str">
        <f ca="1">IFERROR(__xludf.DUMMYFUNCTION("""COMPUTED_VALUE"""),"603963.SS")</f>
        <v>603963.SS</v>
      </c>
      <c r="E484" s="147">
        <f ca="1">IFERROR(__xludf.DUMMYFUNCTION("""COMPUTED_VALUE"""),44630)</f>
        <v>44630</v>
      </c>
      <c r="F484" s="43" t="str">
        <f ca="1">IFERROR(__xludf.DUMMYFUNCTION("""COMPUTED_VALUE"""),"Stock")</f>
        <v>Stock</v>
      </c>
      <c r="G484" s="43" t="str">
        <f ca="1">IFERROR(__xludf.DUMMYFUNCTION("""COMPUTED_VALUE"""),"HKD")</f>
        <v>HKD</v>
      </c>
      <c r="H484" s="154">
        <f ca="1">IFERROR(__xludf.DUMMYFUNCTION("""COMPUTED_VALUE"""),1000)</f>
        <v>1000</v>
      </c>
      <c r="I484" s="148">
        <f ca="1">IFERROR(__xludf.DUMMYFUNCTION("""COMPUTED_VALUE"""),1)</f>
        <v>1</v>
      </c>
      <c r="J484" s="149">
        <f ca="1">IFERROR(__xludf.DUMMYFUNCTION("""COMPUTED_VALUE"""),12.08)</f>
        <v>12.08</v>
      </c>
      <c r="K484" s="43"/>
      <c r="L484" s="149">
        <f ca="1">IFERROR(__xludf.DUMMYFUNCTION("""COMPUTED_VALUE"""),11.79)</f>
        <v>11.79</v>
      </c>
      <c r="M484" s="155" t="str">
        <f ca="1">IFERROR(__xludf.DUMMYFUNCTION("""COMPUTED_VALUE"""),"Equity Key Stats")</f>
        <v>Equity Key Stats</v>
      </c>
      <c r="N484" s="43"/>
      <c r="O484" s="43"/>
      <c r="P484" s="157">
        <f ca="1">IFERROR(__xludf.DUMMYFUNCTION("""COMPUTED_VALUE"""),-12080)</f>
        <v>-12080</v>
      </c>
      <c r="Q484" s="151"/>
      <c r="R484" s="152">
        <f ca="1">IFERROR(__xludf.DUMMYFUNCTION("""COMPUTED_VALUE"""),11.36)</f>
        <v>11.36</v>
      </c>
      <c r="S484" s="150">
        <f ca="1">IFERROR(__xludf.DUMMYFUNCTION("""COMPUTED_VALUE"""),11360)</f>
        <v>11360</v>
      </c>
      <c r="T484" s="108">
        <f ca="1">IFERROR(__xludf.DUMMYFUNCTION("""COMPUTED_VALUE"""),3)</f>
        <v>3</v>
      </c>
      <c r="U484" s="43">
        <f ca="1">IFERROR(__xludf.DUMMYFUNCTION("""COMPUTED_VALUE"""),1)</f>
        <v>1</v>
      </c>
      <c r="V484" s="144">
        <f ca="1">IFERROR(__xludf.DUMMYFUNCTION("""COMPUTED_VALUE"""),-686.706137999999)</f>
        <v>-686.70613799999899</v>
      </c>
      <c r="W484" s="145" t="str">
        <f ca="1">IFERROR(__xludf.DUMMYFUNCTION("""COMPUTED_VALUE"""),"")</f>
        <v/>
      </c>
      <c r="X484" s="11" t="str">
        <f ca="1">IFERROR(__xludf.DUMMYFUNCTION("""COMPUTED_VALUE"""),"")</f>
        <v/>
      </c>
      <c r="Y484" s="11" t="str">
        <f ca="1">IFERROR(__xludf.DUMMYFUNCTION("""COMPUTED_VALUE"""),"")</f>
        <v/>
      </c>
      <c r="Z484" s="4" t="str">
        <f ca="1">IFERROR(__xludf.DUMMYFUNCTION("""COMPUTED_VALUE"""),"")</f>
        <v/>
      </c>
    </row>
    <row r="485" spans="1:26" ht="13" x14ac:dyDescent="0.15">
      <c r="A485" s="43" t="str">
        <f ca="1">IFERROR(__xludf.DUMMYFUNCTION("""COMPUTED_VALUE"""),"")</f>
        <v/>
      </c>
      <c r="B485" s="43" t="str">
        <f ca="1">IFERROR(__xludf.DUMMYFUNCTION("""COMPUTED_VALUE"""),"76369")</f>
        <v>76369</v>
      </c>
      <c r="C485" s="146">
        <f ca="1">IFERROR(__xludf.DUMMYFUNCTION("""COMPUTED_VALUE"""),44631000537)</f>
        <v>44631000537</v>
      </c>
      <c r="D485" s="43" t="str">
        <f ca="1">IFERROR(__xludf.DUMMYFUNCTION("""COMPUTED_VALUE"""),"GC=F")</f>
        <v>GC=F</v>
      </c>
      <c r="E485" s="147">
        <f ca="1">IFERROR(__xludf.DUMMYFUNCTION("""COMPUTED_VALUE"""),44631)</f>
        <v>44631</v>
      </c>
      <c r="F485" s="43" t="str">
        <f ca="1">IFERROR(__xludf.DUMMYFUNCTION("""COMPUTED_VALUE"""),"Stock")</f>
        <v>Stock</v>
      </c>
      <c r="G485" s="43" t="str">
        <f ca="1">IFERROR(__xludf.DUMMYFUNCTION("""COMPUTED_VALUE"""),"USD")</f>
        <v>USD</v>
      </c>
      <c r="H485" s="156">
        <f ca="1">IFERROR(__xludf.DUMMYFUNCTION("""COMPUTED_VALUE"""),5)</f>
        <v>5</v>
      </c>
      <c r="I485" s="148">
        <f ca="1">IFERROR(__xludf.DUMMYFUNCTION("""COMPUTED_VALUE"""),7.8295)</f>
        <v>7.8295000000000003</v>
      </c>
      <c r="J485" s="149">
        <f ca="1">IFERROR(__xludf.DUMMYFUNCTION("""COMPUTED_VALUE"""),1992.3)</f>
        <v>1992.3</v>
      </c>
      <c r="K485" s="43"/>
      <c r="L485" s="149">
        <f ca="1">IFERROR(__xludf.DUMMYFUNCTION("""COMPUTED_VALUE"""),1917.9)</f>
        <v>1917.9</v>
      </c>
      <c r="M485" s="160" t="str">
        <f ca="1">IFERROR(__xludf.DUMMYFUNCTION("""COMPUTED_VALUE"""),"Equity Key Stats")</f>
        <v>Equity Key Stats</v>
      </c>
      <c r="N485" s="43"/>
      <c r="O485" s="43"/>
      <c r="P485" s="150">
        <f ca="1">IFERROR(__xludf.DUMMYFUNCTION("""COMPUTED_VALUE"""),-77993.56425)</f>
        <v>-77993.564249999996</v>
      </c>
      <c r="Q485" s="151"/>
      <c r="R485" s="152">
        <f ca="1">IFERROR(__xludf.DUMMYFUNCTION("""COMPUTED_VALUE"""),1947.3)</f>
        <v>1947.3</v>
      </c>
      <c r="S485" s="150">
        <f ca="1">IFERROR(__xludf.DUMMYFUNCTION("""COMPUTED_VALUE"""),76231.92675)</f>
        <v>76231.926749999999</v>
      </c>
      <c r="T485" s="108">
        <f ca="1">IFERROR(__xludf.DUMMYFUNCTION("""COMPUTED_VALUE"""),4)</f>
        <v>4</v>
      </c>
      <c r="U485" s="108" t="str">
        <f ca="1">IFERROR(__xludf.DUMMYFUNCTION("""COMPUTED_VALUE"""),"")</f>
        <v/>
      </c>
      <c r="V485" s="158" t="str">
        <f ca="1">IFERROR(__xludf.DUMMYFUNCTION("""COMPUTED_VALUE"""),"")</f>
        <v/>
      </c>
      <c r="W485" s="145" t="str">
        <f ca="1">IFERROR(__xludf.DUMMYFUNCTION("""COMPUTED_VALUE"""),"")</f>
        <v/>
      </c>
      <c r="X485" s="11" t="str">
        <f ca="1">IFERROR(__xludf.DUMMYFUNCTION("""COMPUTED_VALUE"""),"")</f>
        <v/>
      </c>
      <c r="Y485" s="11" t="str">
        <f ca="1">IFERROR(__xludf.DUMMYFUNCTION("""COMPUTED_VALUE"""),"")</f>
        <v/>
      </c>
      <c r="Z485" s="4" t="str">
        <f ca="1">IFERROR(__xludf.DUMMYFUNCTION("""COMPUTED_VALUE"""),"")</f>
        <v/>
      </c>
    </row>
    <row r="486" spans="1:26" ht="13" x14ac:dyDescent="0.15">
      <c r="A486" s="43" t="str">
        <f ca="1">IFERROR(__xludf.DUMMYFUNCTION("""COMPUTED_VALUE"""),"")</f>
        <v/>
      </c>
      <c r="B486" s="43" t="str">
        <f ca="1">IFERROR(__xludf.DUMMYFUNCTION("""COMPUTED_VALUE"""),"76369")</f>
        <v>76369</v>
      </c>
      <c r="C486" s="146">
        <f ca="1">IFERROR(__xludf.DUMMYFUNCTION("""COMPUTED_VALUE"""),44635000603)</f>
        <v>44635000603</v>
      </c>
      <c r="D486" s="161" t="str">
        <f ca="1">IFERROR(__xludf.DUMMYFUNCTION("""COMPUTED_VALUE"""),"603538.SS")</f>
        <v>603538.SS</v>
      </c>
      <c r="E486" s="147">
        <f ca="1">IFERROR(__xludf.DUMMYFUNCTION("""COMPUTED_VALUE"""),44635)</f>
        <v>44635</v>
      </c>
      <c r="F486" s="43" t="str">
        <f ca="1">IFERROR(__xludf.DUMMYFUNCTION("""COMPUTED_VALUE"""),"Stock")</f>
        <v>Stock</v>
      </c>
      <c r="G486" s="43" t="str">
        <f ca="1">IFERROR(__xludf.DUMMYFUNCTION("""COMPUTED_VALUE"""),"CNY")</f>
        <v>CNY</v>
      </c>
      <c r="H486" s="154">
        <f ca="1">IFERROR(__xludf.DUMMYFUNCTION("""COMPUTED_VALUE"""),500)</f>
        <v>500</v>
      </c>
      <c r="I486" s="148">
        <f ca="1">IFERROR(__xludf.DUMMYFUNCTION("""COMPUTED_VALUE"""),1.228816)</f>
        <v>1.2288159999999999</v>
      </c>
      <c r="J486" s="149">
        <f ca="1">IFERROR(__xludf.DUMMYFUNCTION("""COMPUTED_VALUE"""),55)</f>
        <v>55</v>
      </c>
      <c r="K486" s="43"/>
      <c r="L486" s="149">
        <f ca="1">IFERROR(__xludf.DUMMYFUNCTION("""COMPUTED_VALUE"""),56.76)</f>
        <v>56.76</v>
      </c>
      <c r="M486" s="160" t="str">
        <f ca="1">IFERROR(__xludf.DUMMYFUNCTION("""COMPUTED_VALUE"""),"Equity Key Stats")</f>
        <v>Equity Key Stats</v>
      </c>
      <c r="N486" s="43"/>
      <c r="O486" s="43"/>
      <c r="P486" s="157">
        <f ca="1">IFERROR(__xludf.DUMMYFUNCTION("""COMPUTED_VALUE"""),-33792.4399999999)</f>
        <v>-33792.4399999999</v>
      </c>
      <c r="Q486" s="151"/>
      <c r="R486" s="152">
        <f ca="1">IFERROR(__xludf.DUMMYFUNCTION("""COMPUTED_VALUE"""),59.4)</f>
        <v>59.4</v>
      </c>
      <c r="S486" s="150">
        <f ca="1">IFERROR(__xludf.DUMMYFUNCTION("""COMPUTED_VALUE"""),36495.8351999999)</f>
        <v>36495.835199999899</v>
      </c>
      <c r="T486" s="108">
        <f ca="1">IFERROR(__xludf.DUMMYFUNCTION("""COMPUTED_VALUE"""),1)</f>
        <v>1</v>
      </c>
      <c r="U486" s="43">
        <f ca="1">IFERROR(__xludf.DUMMYFUNCTION("""COMPUTED_VALUE"""),1)</f>
        <v>1</v>
      </c>
      <c r="V486" s="144">
        <f ca="1">IFERROR(__xludf.DUMMYFUNCTION("""COMPUTED_VALUE"""),2703.39519999999)</f>
        <v>2703.3951999999899</v>
      </c>
      <c r="W486" s="145" t="str">
        <f ca="1">IFERROR(__xludf.DUMMYFUNCTION("""COMPUTED_VALUE"""),"")</f>
        <v/>
      </c>
      <c r="X486" s="11" t="str">
        <f ca="1">IFERROR(__xludf.DUMMYFUNCTION("""COMPUTED_VALUE"""),"")</f>
        <v/>
      </c>
      <c r="Y486" s="11" t="str">
        <f ca="1">IFERROR(__xludf.DUMMYFUNCTION("""COMPUTED_VALUE"""),"")</f>
        <v/>
      </c>
      <c r="Z486" s="4" t="str">
        <f ca="1">IFERROR(__xludf.DUMMYFUNCTION("""COMPUTED_VALUE"""),"")</f>
        <v/>
      </c>
    </row>
    <row r="487" spans="1:26" ht="13" x14ac:dyDescent="0.15">
      <c r="A487" s="43" t="str">
        <f ca="1">IFERROR(__xludf.DUMMYFUNCTION("""COMPUTED_VALUE"""),"")</f>
        <v/>
      </c>
      <c r="B487" s="43" t="str">
        <f ca="1">IFERROR(__xludf.DUMMYFUNCTION("""COMPUTED_VALUE"""),"76369")</f>
        <v>76369</v>
      </c>
      <c r="C487" s="146">
        <f ca="1">IFERROR(__xludf.DUMMYFUNCTION("""COMPUTED_VALUE"""),44635000605)</f>
        <v>44635000605</v>
      </c>
      <c r="D487" s="163" t="str">
        <f ca="1">IFERROR(__xludf.DUMMYFUNCTION("""COMPUTED_VALUE"""),"688076.SS")</f>
        <v>688076.SS</v>
      </c>
      <c r="E487" s="147">
        <f ca="1">IFERROR(__xludf.DUMMYFUNCTION("""COMPUTED_VALUE"""),44635)</f>
        <v>44635</v>
      </c>
      <c r="F487" s="43" t="str">
        <f ca="1">IFERROR(__xludf.DUMMYFUNCTION("""COMPUTED_VALUE"""),"Stock")</f>
        <v>Stock</v>
      </c>
      <c r="G487" s="43" t="str">
        <f ca="1">IFERROR(__xludf.DUMMYFUNCTION("""COMPUTED_VALUE"""),"CNY")</f>
        <v>CNY</v>
      </c>
      <c r="H487" s="156">
        <f ca="1">IFERROR(__xludf.DUMMYFUNCTION("""COMPUTED_VALUE"""),500)</f>
        <v>500</v>
      </c>
      <c r="I487" s="148">
        <f ca="1">IFERROR(__xludf.DUMMYFUNCTION("""COMPUTED_VALUE"""),1.228816)</f>
        <v>1.2288159999999999</v>
      </c>
      <c r="J487" s="149">
        <f ca="1">IFERROR(__xludf.DUMMYFUNCTION("""COMPUTED_VALUE"""),43.15)</f>
        <v>43.15</v>
      </c>
      <c r="K487" s="43"/>
      <c r="L487" s="149">
        <f ca="1">IFERROR(__xludf.DUMMYFUNCTION("""COMPUTED_VALUE"""),43.69)</f>
        <v>43.69</v>
      </c>
      <c r="M487" s="155" t="str">
        <f ca="1">IFERROR(__xludf.DUMMYFUNCTION("""COMPUTED_VALUE"""),"Equity Key Stats")</f>
        <v>Equity Key Stats</v>
      </c>
      <c r="N487" s="43"/>
      <c r="O487" s="43"/>
      <c r="P487" s="150">
        <f ca="1">IFERROR(__xludf.DUMMYFUNCTION("""COMPUTED_VALUE"""),-26511.7051999999)</f>
        <v>-26511.705199999898</v>
      </c>
      <c r="Q487" s="151"/>
      <c r="R487" s="152">
        <f ca="1">IFERROR(__xludf.DUMMYFUNCTION("""COMPUTED_VALUE"""),43.32)</f>
        <v>43.32</v>
      </c>
      <c r="S487" s="157">
        <f ca="1">IFERROR(__xludf.DUMMYFUNCTION("""COMPUTED_VALUE"""),26616.1545599999)</f>
        <v>26616.154559999901</v>
      </c>
      <c r="T487" s="108">
        <f ca="1">IFERROR(__xludf.DUMMYFUNCTION("""COMPUTED_VALUE"""),1)</f>
        <v>1</v>
      </c>
      <c r="U487" s="108">
        <f ca="1">IFERROR(__xludf.DUMMYFUNCTION("""COMPUTED_VALUE"""),1)</f>
        <v>1</v>
      </c>
      <c r="V487" s="153">
        <f ca="1">IFERROR(__xludf.DUMMYFUNCTION("""COMPUTED_VALUE"""),104.449359999998)</f>
        <v>104.44935999999799</v>
      </c>
      <c r="W487" s="145" t="str">
        <f ca="1">IFERROR(__xludf.DUMMYFUNCTION("""COMPUTED_VALUE"""),"")</f>
        <v/>
      </c>
      <c r="X487" s="11" t="str">
        <f ca="1">IFERROR(__xludf.DUMMYFUNCTION("""COMPUTED_VALUE"""),"")</f>
        <v/>
      </c>
      <c r="Y487" s="11" t="str">
        <f ca="1">IFERROR(__xludf.DUMMYFUNCTION("""COMPUTED_VALUE"""),"")</f>
        <v/>
      </c>
      <c r="Z487" s="4" t="str">
        <f ca="1">IFERROR(__xludf.DUMMYFUNCTION("""COMPUTED_VALUE"""),"")</f>
        <v/>
      </c>
    </row>
    <row r="488" spans="1:26" ht="13" x14ac:dyDescent="0.15">
      <c r="A488" s="43" t="str">
        <f ca="1">IFERROR(__xludf.DUMMYFUNCTION("""COMPUTED_VALUE"""),"")</f>
        <v/>
      </c>
      <c r="B488" s="43" t="str">
        <f ca="1">IFERROR(__xludf.DUMMYFUNCTION("""COMPUTED_VALUE"""),"76369")</f>
        <v>76369</v>
      </c>
      <c r="C488" s="146">
        <f ca="1">IFERROR(__xludf.DUMMYFUNCTION("""COMPUTED_VALUE"""),44636000634)</f>
        <v>44636000634</v>
      </c>
      <c r="D488" s="163" t="str">
        <f ca="1">IFERROR(__xludf.DUMMYFUNCTION("""COMPUTED_VALUE"""),"GC=F")</f>
        <v>GC=F</v>
      </c>
      <c r="E488" s="147">
        <f ca="1">IFERROR(__xludf.DUMMYFUNCTION("""COMPUTED_VALUE"""),44636)</f>
        <v>44636</v>
      </c>
      <c r="F488" s="43" t="str">
        <f ca="1">IFERROR(__xludf.DUMMYFUNCTION("""COMPUTED_VALUE"""),"Stock")</f>
        <v>Stock</v>
      </c>
      <c r="G488" s="43" t="str">
        <f ca="1">IFERROR(__xludf.DUMMYFUNCTION("""COMPUTED_VALUE"""),"USD")</f>
        <v>USD</v>
      </c>
      <c r="H488" s="154">
        <f ca="1">IFERROR(__xludf.DUMMYFUNCTION("""COMPUTED_VALUE"""),-5)</f>
        <v>-5</v>
      </c>
      <c r="I488" s="148">
        <f ca="1">IFERROR(__xludf.DUMMYFUNCTION("""COMPUTED_VALUE"""),7.82055)</f>
        <v>7.8205499999999999</v>
      </c>
      <c r="J488" s="149">
        <f ca="1">IFERROR(__xludf.DUMMYFUNCTION("""COMPUTED_VALUE"""),1928.5)</f>
        <v>1928.5</v>
      </c>
      <c r="K488" s="43"/>
      <c r="L488" s="149">
        <f ca="1">IFERROR(__xludf.DUMMYFUNCTION("""COMPUTED_VALUE"""),1917.9)</f>
        <v>1917.9</v>
      </c>
      <c r="M488" s="155" t="str">
        <f ca="1">IFERROR(__xludf.DUMMYFUNCTION("""COMPUTED_VALUE"""),"Equity Key Stats")</f>
        <v>Equity Key Stats</v>
      </c>
      <c r="N488" s="43"/>
      <c r="O488" s="43"/>
      <c r="P488" s="157">
        <f ca="1">IFERROR(__xludf.DUMMYFUNCTION("""COMPUTED_VALUE"""),75409.653375)</f>
        <v>75409.653374999994</v>
      </c>
      <c r="Q488" s="151"/>
      <c r="R488" s="152">
        <f ca="1">IFERROR(__xludf.DUMMYFUNCTION("""COMPUTED_VALUE"""),1947.3)</f>
        <v>1947.3</v>
      </c>
      <c r="S488" s="150">
        <f ca="1">IFERROR(__xludf.DUMMYFUNCTION("""COMPUTED_VALUE"""),-76144.7850749999)</f>
        <v>-76144.785074999905</v>
      </c>
      <c r="T488" s="108">
        <f ca="1">IFERROR(__xludf.DUMMYFUNCTION("""COMPUTED_VALUE"""),4)</f>
        <v>4</v>
      </c>
      <c r="U488" s="108" t="str">
        <f ca="1">IFERROR(__xludf.DUMMYFUNCTION("""COMPUTED_VALUE"""),"")</f>
        <v/>
      </c>
      <c r="V488" s="158" t="str">
        <f ca="1">IFERROR(__xludf.DUMMYFUNCTION("""COMPUTED_VALUE"""),"")</f>
        <v/>
      </c>
      <c r="W488" s="145" t="str">
        <f ca="1">IFERROR(__xludf.DUMMYFUNCTION("""COMPUTED_VALUE"""),"")</f>
        <v/>
      </c>
      <c r="X488" s="11" t="str">
        <f ca="1">IFERROR(__xludf.DUMMYFUNCTION("""COMPUTED_VALUE"""),"")</f>
        <v/>
      </c>
      <c r="Y488" s="11" t="str">
        <f ca="1">IFERROR(__xludf.DUMMYFUNCTION("""COMPUTED_VALUE"""),"")</f>
        <v/>
      </c>
      <c r="Z488" s="4" t="str">
        <f ca="1">IFERROR(__xludf.DUMMYFUNCTION("""COMPUTED_VALUE"""),"")</f>
        <v/>
      </c>
    </row>
    <row r="489" spans="1:26" ht="13" x14ac:dyDescent="0.15">
      <c r="A489" s="43" t="str">
        <f ca="1">IFERROR(__xludf.DUMMYFUNCTION("""COMPUTED_VALUE"""),"")</f>
        <v/>
      </c>
      <c r="B489" s="43" t="str">
        <f ca="1">IFERROR(__xludf.DUMMYFUNCTION("""COMPUTED_VALUE"""),"76369")</f>
        <v>76369</v>
      </c>
      <c r="C489" s="146">
        <f ca="1">IFERROR(__xludf.DUMMYFUNCTION("""COMPUTED_VALUE"""),44637000665)</f>
        <v>44637000665</v>
      </c>
      <c r="D489" s="43" t="str">
        <f ca="1">IFERROR(__xludf.DUMMYFUNCTION("""COMPUTED_VALUE"""),"GC=F")</f>
        <v>GC=F</v>
      </c>
      <c r="E489" s="147">
        <f ca="1">IFERROR(__xludf.DUMMYFUNCTION("""COMPUTED_VALUE"""),44637)</f>
        <v>44637</v>
      </c>
      <c r="F489" s="43" t="str">
        <f ca="1">IFERROR(__xludf.DUMMYFUNCTION("""COMPUTED_VALUE"""),"Stock")</f>
        <v>Stock</v>
      </c>
      <c r="G489" s="43" t="str">
        <f ca="1">IFERROR(__xludf.DUMMYFUNCTION("""COMPUTED_VALUE"""),"USD")</f>
        <v>USD</v>
      </c>
      <c r="H489" s="154">
        <f ca="1">IFERROR(__xludf.DUMMYFUNCTION("""COMPUTED_VALUE"""),5)</f>
        <v>5</v>
      </c>
      <c r="I489" s="148">
        <f ca="1">IFERROR(__xludf.DUMMYFUNCTION("""COMPUTED_VALUE"""),7.81854)</f>
        <v>7.8185399999999996</v>
      </c>
      <c r="J489" s="149">
        <f ca="1">IFERROR(__xludf.DUMMYFUNCTION("""COMPUTED_VALUE"""),1936.7)</f>
        <v>1936.7</v>
      </c>
      <c r="K489" s="43"/>
      <c r="L489" s="149">
        <f ca="1">IFERROR(__xludf.DUMMYFUNCTION("""COMPUTED_VALUE"""),1917.9)</f>
        <v>1917.9</v>
      </c>
      <c r="M489" s="160" t="str">
        <f ca="1">IFERROR(__xludf.DUMMYFUNCTION("""COMPUTED_VALUE"""),"Equity Key Stats")</f>
        <v>Equity Key Stats</v>
      </c>
      <c r="N489" s="43"/>
      <c r="O489" s="43"/>
      <c r="P489" s="157">
        <f ca="1">IFERROR(__xludf.DUMMYFUNCTION("""COMPUTED_VALUE"""),-75710.83209)</f>
        <v>-75710.832089999996</v>
      </c>
      <c r="Q489" s="151"/>
      <c r="R489" s="152">
        <f ca="1">IFERROR(__xludf.DUMMYFUNCTION("""COMPUTED_VALUE"""),1947.3)</f>
        <v>1947.3</v>
      </c>
      <c r="S489" s="150">
        <f ca="1">IFERROR(__xludf.DUMMYFUNCTION("""COMPUTED_VALUE"""),76125.21471)</f>
        <v>76125.21471</v>
      </c>
      <c r="T489" s="108">
        <f ca="1">IFERROR(__xludf.DUMMYFUNCTION("""COMPUTED_VALUE"""),4)</f>
        <v>4</v>
      </c>
      <c r="U489" s="43" t="str">
        <f ca="1">IFERROR(__xludf.DUMMYFUNCTION("""COMPUTED_VALUE"""),"")</f>
        <v/>
      </c>
      <c r="V489" s="144" t="str">
        <f ca="1">IFERROR(__xludf.DUMMYFUNCTION("""COMPUTED_VALUE"""),"")</f>
        <v/>
      </c>
      <c r="W489" s="145" t="str">
        <f ca="1">IFERROR(__xludf.DUMMYFUNCTION("""COMPUTED_VALUE"""),"")</f>
        <v/>
      </c>
      <c r="X489" s="11" t="str">
        <f ca="1">IFERROR(__xludf.DUMMYFUNCTION("""COMPUTED_VALUE"""),"")</f>
        <v/>
      </c>
      <c r="Y489" s="11" t="str">
        <f ca="1">IFERROR(__xludf.DUMMYFUNCTION("""COMPUTED_VALUE"""),"")</f>
        <v/>
      </c>
      <c r="Z489" s="4" t="str">
        <f ca="1">IFERROR(__xludf.DUMMYFUNCTION("""COMPUTED_VALUE"""),"")</f>
        <v/>
      </c>
    </row>
    <row r="490" spans="1:26" ht="13" x14ac:dyDescent="0.15">
      <c r="A490" s="43" t="str">
        <f ca="1">IFERROR(__xludf.DUMMYFUNCTION("""COMPUTED_VALUE"""),"")</f>
        <v/>
      </c>
      <c r="B490" s="43" t="str">
        <f ca="1">IFERROR(__xludf.DUMMYFUNCTION("""COMPUTED_VALUE"""),"76369")</f>
        <v>76369</v>
      </c>
      <c r="C490" s="146">
        <f ca="1">IFERROR(__xludf.DUMMYFUNCTION("""COMPUTED_VALUE"""),44638000676)</f>
        <v>44638000676</v>
      </c>
      <c r="D490" s="161" t="str">
        <f ca="1">IFERROR(__xludf.DUMMYFUNCTION("""COMPUTED_VALUE"""),"0700.HK")</f>
        <v>0700.HK</v>
      </c>
      <c r="E490" s="147">
        <f ca="1">IFERROR(__xludf.DUMMYFUNCTION("""COMPUTED_VALUE"""),44638)</f>
        <v>44638</v>
      </c>
      <c r="F490" s="43" t="str">
        <f ca="1">IFERROR(__xludf.DUMMYFUNCTION("""COMPUTED_VALUE"""),"Stock")</f>
        <v>Stock</v>
      </c>
      <c r="G490" s="43" t="str">
        <f ca="1">IFERROR(__xludf.DUMMYFUNCTION("""COMPUTED_VALUE"""),"HKD")</f>
        <v>HKD</v>
      </c>
      <c r="H490" s="154">
        <f ca="1">IFERROR(__xludf.DUMMYFUNCTION("""COMPUTED_VALUE"""),50)</f>
        <v>50</v>
      </c>
      <c r="I490" s="148">
        <f ca="1">IFERROR(__xludf.DUMMYFUNCTION("""COMPUTED_VALUE"""),1)</f>
        <v>1</v>
      </c>
      <c r="J490" s="149">
        <f ca="1">IFERROR(__xludf.DUMMYFUNCTION("""COMPUTED_VALUE"""),381)</f>
        <v>381</v>
      </c>
      <c r="K490" s="43"/>
      <c r="L490" s="149">
        <f ca="1">IFERROR(__xludf.DUMMYFUNCTION("""COMPUTED_VALUE"""),388)</f>
        <v>388</v>
      </c>
      <c r="M490" s="155" t="str">
        <f ca="1">IFERROR(__xludf.DUMMYFUNCTION("""COMPUTED_VALUE"""),"Equity Key Stats")</f>
        <v>Equity Key Stats</v>
      </c>
      <c r="N490" s="43"/>
      <c r="O490" s="43"/>
      <c r="P490" s="157">
        <f ca="1">IFERROR(__xludf.DUMMYFUNCTION("""COMPUTED_VALUE"""),-19050)</f>
        <v>-19050</v>
      </c>
      <c r="Q490" s="151"/>
      <c r="R490" s="152">
        <f ca="1">IFERROR(__xludf.DUMMYFUNCTION("""COMPUTED_VALUE"""),389)</f>
        <v>389</v>
      </c>
      <c r="S490" s="150">
        <f ca="1">IFERROR(__xludf.DUMMYFUNCTION("""COMPUTED_VALUE"""),19450)</f>
        <v>19450</v>
      </c>
      <c r="T490" s="108">
        <f ca="1">IFERROR(__xludf.DUMMYFUNCTION("""COMPUTED_VALUE"""),1)</f>
        <v>1</v>
      </c>
      <c r="U490" s="43">
        <f ca="1">IFERROR(__xludf.DUMMYFUNCTION("""COMPUTED_VALUE"""),1)</f>
        <v>1</v>
      </c>
      <c r="V490" s="144">
        <f ca="1">IFERROR(__xludf.DUMMYFUNCTION("""COMPUTED_VALUE"""),400)</f>
        <v>400</v>
      </c>
      <c r="W490" s="145" t="str">
        <f ca="1">IFERROR(__xludf.DUMMYFUNCTION("""COMPUTED_VALUE"""),"")</f>
        <v/>
      </c>
      <c r="X490" s="11" t="str">
        <f ca="1">IFERROR(__xludf.DUMMYFUNCTION("""COMPUTED_VALUE"""),"")</f>
        <v/>
      </c>
      <c r="Y490" s="11" t="str">
        <f ca="1">IFERROR(__xludf.DUMMYFUNCTION("""COMPUTED_VALUE"""),"")</f>
        <v/>
      </c>
      <c r="Z490" s="4" t="str">
        <f ca="1">IFERROR(__xludf.DUMMYFUNCTION("""COMPUTED_VALUE"""),"")</f>
        <v/>
      </c>
    </row>
    <row r="491" spans="1:26" ht="13" x14ac:dyDescent="0.15">
      <c r="A491" s="43" t="str">
        <f ca="1">IFERROR(__xludf.DUMMYFUNCTION("""COMPUTED_VALUE"""),"")</f>
        <v/>
      </c>
      <c r="B491" s="43" t="str">
        <f ca="1">IFERROR(__xludf.DUMMYFUNCTION("""COMPUTED_VALUE"""),"76369")</f>
        <v>76369</v>
      </c>
      <c r="C491" s="146">
        <f ca="1">IFERROR(__xludf.DUMMYFUNCTION("""COMPUTED_VALUE"""),44638000677)</f>
        <v>44638000677</v>
      </c>
      <c r="D491" s="161" t="str">
        <f ca="1">IFERROR(__xludf.DUMMYFUNCTION("""COMPUTED_VALUE"""),"9988.HK")</f>
        <v>9988.HK</v>
      </c>
      <c r="E491" s="147">
        <f ca="1">IFERROR(__xludf.DUMMYFUNCTION("""COMPUTED_VALUE"""),44638)</f>
        <v>44638</v>
      </c>
      <c r="F491" s="43" t="str">
        <f ca="1">IFERROR(__xludf.DUMMYFUNCTION("""COMPUTED_VALUE"""),"Stock")</f>
        <v>Stock</v>
      </c>
      <c r="G491" s="43" t="str">
        <f ca="1">IFERROR(__xludf.DUMMYFUNCTION("""COMPUTED_VALUE"""),"HKD")</f>
        <v>HKD</v>
      </c>
      <c r="H491" s="154">
        <f ca="1">IFERROR(__xludf.DUMMYFUNCTION("""COMPUTED_VALUE"""),50)</f>
        <v>50</v>
      </c>
      <c r="I491" s="148">
        <f ca="1">IFERROR(__xludf.DUMMYFUNCTION("""COMPUTED_VALUE"""),1)</f>
        <v>1</v>
      </c>
      <c r="J491" s="149">
        <f ca="1">IFERROR(__xludf.DUMMYFUNCTION("""COMPUTED_VALUE"""),98.35)</f>
        <v>98.35</v>
      </c>
      <c r="K491" s="43"/>
      <c r="L491" s="149">
        <f ca="1">IFERROR(__xludf.DUMMYFUNCTION("""COMPUTED_VALUE"""),110.2)</f>
        <v>110.2</v>
      </c>
      <c r="M491" s="155" t="str">
        <f ca="1">IFERROR(__xludf.DUMMYFUNCTION("""COMPUTED_VALUE"""),"Equity Key Stats")</f>
        <v>Equity Key Stats</v>
      </c>
      <c r="N491" s="43"/>
      <c r="O491" s="43"/>
      <c r="P491" s="157">
        <f ca="1">IFERROR(__xludf.DUMMYFUNCTION("""COMPUTED_VALUE"""),-4917.5)</f>
        <v>-4917.5</v>
      </c>
      <c r="Q491" s="151"/>
      <c r="R491" s="152">
        <f ca="1">IFERROR(__xludf.DUMMYFUNCTION("""COMPUTED_VALUE"""),117.6)</f>
        <v>117.6</v>
      </c>
      <c r="S491" s="150">
        <f ca="1">IFERROR(__xludf.DUMMYFUNCTION("""COMPUTED_VALUE"""),5880)</f>
        <v>5880</v>
      </c>
      <c r="T491" s="108">
        <f ca="1">IFERROR(__xludf.DUMMYFUNCTION("""COMPUTED_VALUE"""),1)</f>
        <v>1</v>
      </c>
      <c r="U491" s="43">
        <f ca="1">IFERROR(__xludf.DUMMYFUNCTION("""COMPUTED_VALUE"""),1)</f>
        <v>1</v>
      </c>
      <c r="V491" s="144">
        <f ca="1">IFERROR(__xludf.DUMMYFUNCTION("""COMPUTED_VALUE"""),962.5)</f>
        <v>962.5</v>
      </c>
      <c r="W491" s="145" t="str">
        <f ca="1">IFERROR(__xludf.DUMMYFUNCTION("""COMPUTED_VALUE"""),"")</f>
        <v/>
      </c>
      <c r="X491" s="11" t="str">
        <f ca="1">IFERROR(__xludf.DUMMYFUNCTION("""COMPUTED_VALUE"""),"")</f>
        <v/>
      </c>
      <c r="Y491" s="11" t="str">
        <f ca="1">IFERROR(__xludf.DUMMYFUNCTION("""COMPUTED_VALUE"""),"")</f>
        <v/>
      </c>
      <c r="Z491" s="4" t="str">
        <f ca="1">IFERROR(__xludf.DUMMYFUNCTION("""COMPUTED_VALUE"""),"")</f>
        <v/>
      </c>
    </row>
    <row r="492" spans="1:26" ht="13" x14ac:dyDescent="0.15">
      <c r="A492" s="43" t="str">
        <f ca="1">IFERROR(__xludf.DUMMYFUNCTION("""COMPUTED_VALUE"""),"")</f>
        <v/>
      </c>
      <c r="B492" s="43" t="str">
        <f ca="1">IFERROR(__xludf.DUMMYFUNCTION("""COMPUTED_VALUE"""),"76369")</f>
        <v>76369</v>
      </c>
      <c r="C492" s="146">
        <f ca="1">IFERROR(__xludf.DUMMYFUNCTION("""COMPUTED_VALUE"""),44638000678)</f>
        <v>44638000678</v>
      </c>
      <c r="D492" s="161" t="str">
        <f ca="1">IFERROR(__xludf.DUMMYFUNCTION("""COMPUTED_VALUE"""),"002670.SZ")</f>
        <v>002670.SZ</v>
      </c>
      <c r="E492" s="147">
        <f ca="1">IFERROR(__xludf.DUMMYFUNCTION("""COMPUTED_VALUE"""),44638)</f>
        <v>44638</v>
      </c>
      <c r="F492" s="43" t="str">
        <f ca="1">IFERROR(__xludf.DUMMYFUNCTION("""COMPUTED_VALUE"""),"Stock")</f>
        <v>Stock</v>
      </c>
      <c r="G492" s="43" t="str">
        <f ca="1">IFERROR(__xludf.DUMMYFUNCTION("""COMPUTED_VALUE"""),"CNY")</f>
        <v>CNY</v>
      </c>
      <c r="H492" s="154">
        <f ca="1">IFERROR(__xludf.DUMMYFUNCTION("""COMPUTED_VALUE"""),500)</f>
        <v>500</v>
      </c>
      <c r="I492" s="148">
        <f ca="1">IFERROR(__xludf.DUMMYFUNCTION("""COMPUTED_VALUE"""),1.231731)</f>
        <v>1.2317309999999999</v>
      </c>
      <c r="J492" s="149">
        <f ca="1">IFERROR(__xludf.DUMMYFUNCTION("""COMPUTED_VALUE"""),9.9)</f>
        <v>9.9</v>
      </c>
      <c r="K492" s="43"/>
      <c r="L492" s="149">
        <f ca="1">IFERROR(__xludf.DUMMYFUNCTION("""COMPUTED_VALUE"""),9.37)</f>
        <v>9.3699999999999992</v>
      </c>
      <c r="M492" s="155" t="str">
        <f ca="1">IFERROR(__xludf.DUMMYFUNCTION("""COMPUTED_VALUE"""),"Equity Key Stats")</f>
        <v>Equity Key Stats</v>
      </c>
      <c r="N492" s="43"/>
      <c r="O492" s="43"/>
      <c r="P492" s="157">
        <f ca="1">IFERROR(__xludf.DUMMYFUNCTION("""COMPUTED_VALUE"""),-6097.06845)</f>
        <v>-6097.0684499999998</v>
      </c>
      <c r="Q492" s="151"/>
      <c r="R492" s="152">
        <f ca="1">IFERROR(__xludf.DUMMYFUNCTION("""COMPUTED_VALUE"""),9.2)</f>
        <v>9.1999999999999993</v>
      </c>
      <c r="S492" s="150">
        <f ca="1">IFERROR(__xludf.DUMMYFUNCTION("""COMPUTED_VALUE"""),5665.9626)</f>
        <v>5665.9625999999998</v>
      </c>
      <c r="T492" s="108">
        <f ca="1">IFERROR(__xludf.DUMMYFUNCTION("""COMPUTED_VALUE"""),1)</f>
        <v>1</v>
      </c>
      <c r="U492" s="43">
        <f ca="1">IFERROR(__xludf.DUMMYFUNCTION("""COMPUTED_VALUE"""),1)</f>
        <v>1</v>
      </c>
      <c r="V492" s="144">
        <f ca="1">IFERROR(__xludf.DUMMYFUNCTION("""COMPUTED_VALUE"""),-431.105849999999)</f>
        <v>-431.10584999999901</v>
      </c>
      <c r="W492" s="145" t="str">
        <f ca="1">IFERROR(__xludf.DUMMYFUNCTION("""COMPUTED_VALUE"""),"")</f>
        <v/>
      </c>
      <c r="X492" s="11" t="str">
        <f ca="1">IFERROR(__xludf.DUMMYFUNCTION("""COMPUTED_VALUE"""),"")</f>
        <v/>
      </c>
      <c r="Y492" s="11" t="str">
        <f ca="1">IFERROR(__xludf.DUMMYFUNCTION("""COMPUTED_VALUE"""),"")</f>
        <v/>
      </c>
      <c r="Z492" s="4" t="str">
        <f ca="1">IFERROR(__xludf.DUMMYFUNCTION("""COMPUTED_VALUE"""),"")</f>
        <v/>
      </c>
    </row>
    <row r="493" spans="1:26" ht="13" x14ac:dyDescent="0.15">
      <c r="A493" s="43" t="str">
        <f ca="1">IFERROR(__xludf.DUMMYFUNCTION("""COMPUTED_VALUE"""),"76369")</f>
        <v>76369</v>
      </c>
      <c r="B493" s="43" t="str">
        <f ca="1">IFERROR(__xludf.DUMMYFUNCTION("""COMPUTED_VALUE"""),"76369")</f>
        <v>76369</v>
      </c>
      <c r="C493" s="146">
        <f ca="1">IFERROR(__xludf.DUMMYFUNCTION("""COMPUTED_VALUE"""),44641000732)</f>
        <v>44641000732</v>
      </c>
      <c r="D493" s="43" t="str">
        <f ca="1">IFERROR(__xludf.DUMMYFUNCTION("""COMPUTED_VALUE"""),"GC=F")</f>
        <v>GC=F</v>
      </c>
      <c r="E493" s="147">
        <f ca="1">IFERROR(__xludf.DUMMYFUNCTION("""COMPUTED_VALUE"""),44641)</f>
        <v>44641</v>
      </c>
      <c r="F493" s="43" t="str">
        <f ca="1">IFERROR(__xludf.DUMMYFUNCTION("""COMPUTED_VALUE"""),"Stock")</f>
        <v>Stock</v>
      </c>
      <c r="G493" s="43" t="str">
        <f ca="1">IFERROR(__xludf.DUMMYFUNCTION("""COMPUTED_VALUE"""),"USD")</f>
        <v>USD</v>
      </c>
      <c r="H493" s="156">
        <f ca="1">IFERROR(__xludf.DUMMYFUNCTION("""COMPUTED_VALUE"""),-5)</f>
        <v>-5</v>
      </c>
      <c r="I493" s="148">
        <f ca="1">IFERROR(__xludf.DUMMYFUNCTION("""COMPUTED_VALUE"""),7.82545)</f>
        <v>7.82545</v>
      </c>
      <c r="J493" s="149">
        <f ca="1">IFERROR(__xludf.DUMMYFUNCTION("""COMPUTED_VALUE"""),1932.4)</f>
        <v>1932.4</v>
      </c>
      <c r="K493" s="43"/>
      <c r="L493" s="149">
        <f ca="1">IFERROR(__xludf.DUMMYFUNCTION("""COMPUTED_VALUE"""),1917.9)</f>
        <v>1917.9</v>
      </c>
      <c r="M493" s="155" t="str">
        <f ca="1">IFERROR(__xludf.DUMMYFUNCTION("""COMPUTED_VALUE"""),"Equity Key Stats")</f>
        <v>Equity Key Stats</v>
      </c>
      <c r="N493" s="43"/>
      <c r="O493" s="43"/>
      <c r="P493" s="150">
        <f ca="1">IFERROR(__xludf.DUMMYFUNCTION("""COMPUTED_VALUE"""),75609.4979)</f>
        <v>75609.497900000002</v>
      </c>
      <c r="Q493" s="151"/>
      <c r="R493" s="152">
        <f ca="1">IFERROR(__xludf.DUMMYFUNCTION("""COMPUTED_VALUE"""),1947.3)</f>
        <v>1947.3</v>
      </c>
      <c r="S493" s="157">
        <f ca="1">IFERROR(__xludf.DUMMYFUNCTION("""COMPUTED_VALUE"""),-76192.493925)</f>
        <v>-76192.493925000002</v>
      </c>
      <c r="T493" s="108">
        <f ca="1">IFERROR(__xludf.DUMMYFUNCTION("""COMPUTED_VALUE"""),4)</f>
        <v>4</v>
      </c>
      <c r="U493" s="43">
        <f ca="1">IFERROR(__xludf.DUMMYFUNCTION("""COMPUTED_VALUE"""),1)</f>
        <v>1</v>
      </c>
      <c r="V493" s="144">
        <f ca="1">IFERROR(__xludf.DUMMYFUNCTION("""COMPUTED_VALUE"""),-2665.38260499997)</f>
        <v>-2665.3826049999702</v>
      </c>
      <c r="W493" s="145">
        <f ca="1">IFERROR(__xludf.DUMMYFUNCTION("""COMPUTED_VALUE"""),491353.7887595)</f>
        <v>491353.78875950002</v>
      </c>
      <c r="X493" s="11">
        <f ca="1">IFERROR(__xludf.DUMMYFUNCTION("""COMPUTED_VALUE"""),363843.55826975)</f>
        <v>363843.55826974998</v>
      </c>
      <c r="Y493" s="11">
        <f ca="1">IFERROR(__xludf.DUMMYFUNCTION("""COMPUTED_VALUE"""),0)</f>
        <v>0</v>
      </c>
      <c r="Z493" s="4">
        <f ca="1">IFERROR(__xludf.DUMMYFUNCTION("""COMPUTED_VALUE"""),-0.0172924224809999)</f>
        <v>-1.7292422480999901E-2</v>
      </c>
    </row>
    <row r="494" spans="1:26" ht="13" x14ac:dyDescent="0.15">
      <c r="A494" s="43" t="str">
        <f ca="1">IFERROR(__xludf.DUMMYFUNCTION("""COMPUTED_VALUE"""),"")</f>
        <v/>
      </c>
      <c r="B494" s="43" t="str">
        <f ca="1">IFERROR(__xludf.DUMMYFUNCTION("""COMPUTED_VALUE"""),"76796")</f>
        <v>76796</v>
      </c>
      <c r="C494" s="146">
        <f ca="1">IFERROR(__xludf.DUMMYFUNCTION("""COMPUTED_VALUE"""),44597000089)</f>
        <v>44597000089</v>
      </c>
      <c r="D494" s="43" t="str">
        <f ca="1">IFERROR(__xludf.DUMMYFUNCTION("""COMPUTED_VALUE"""),"Cash")</f>
        <v>Cash</v>
      </c>
      <c r="E494" s="147">
        <f ca="1">IFERROR(__xludf.DUMMYFUNCTION("""COMPUTED_VALUE"""),44597)</f>
        <v>44597</v>
      </c>
      <c r="F494" s="43" t="str">
        <f ca="1">IFERROR(__xludf.DUMMYFUNCTION("""COMPUTED_VALUE"""),"Cash")</f>
        <v>Cash</v>
      </c>
      <c r="G494" s="43" t="str">
        <f ca="1">IFERROR(__xludf.DUMMYFUNCTION("""COMPUTED_VALUE"""),"HKD")</f>
        <v>HKD</v>
      </c>
      <c r="H494" s="154" t="str">
        <f ca="1">IFERROR(__xludf.DUMMYFUNCTION("""COMPUTED_VALUE"""),"")</f>
        <v/>
      </c>
      <c r="I494" s="148">
        <f ca="1">IFERROR(__xludf.DUMMYFUNCTION("""COMPUTED_VALUE"""),1)</f>
        <v>1</v>
      </c>
      <c r="J494" s="149">
        <f ca="1">IFERROR(__xludf.DUMMYFUNCTION("""COMPUTED_VALUE"""),1)</f>
        <v>1</v>
      </c>
      <c r="K494" s="43"/>
      <c r="L494" s="149">
        <f ca="1">IFERROR(__xludf.DUMMYFUNCTION("""COMPUTED_VALUE"""),1)</f>
        <v>1</v>
      </c>
      <c r="M494" s="155" t="str">
        <f ca="1">IFERROR(__xludf.DUMMYFUNCTION("""COMPUTED_VALUE"""),"")</f>
        <v/>
      </c>
      <c r="N494" s="43"/>
      <c r="O494" s="43"/>
      <c r="P494" s="157">
        <f ca="1">IFERROR(__xludf.DUMMYFUNCTION("""COMPUTED_VALUE"""),500000)</f>
        <v>500000</v>
      </c>
      <c r="Q494" s="151"/>
      <c r="R494" s="152">
        <f ca="1">IFERROR(__xludf.DUMMYFUNCTION("""COMPUTED_VALUE"""),1)</f>
        <v>1</v>
      </c>
      <c r="S494" s="150" t="str">
        <f ca="1">IFERROR(__xludf.DUMMYFUNCTION("""COMPUTED_VALUE"""),"")</f>
        <v/>
      </c>
      <c r="T494" s="108">
        <f ca="1">IFERROR(__xludf.DUMMYFUNCTION("""COMPUTED_VALUE"""),1)</f>
        <v>1</v>
      </c>
      <c r="U494" s="43">
        <f ca="1">IFERROR(__xludf.DUMMYFUNCTION("""COMPUTED_VALUE"""),1)</f>
        <v>1</v>
      </c>
      <c r="V494" s="144">
        <f ca="1">IFERROR(__xludf.DUMMYFUNCTION("""COMPUTED_VALUE"""),500000)</f>
        <v>500000</v>
      </c>
      <c r="W494" s="145" t="str">
        <f ca="1">IFERROR(__xludf.DUMMYFUNCTION("""COMPUTED_VALUE"""),"")</f>
        <v/>
      </c>
      <c r="X494" s="11" t="str">
        <f ca="1">IFERROR(__xludf.DUMMYFUNCTION("""COMPUTED_VALUE"""),"")</f>
        <v/>
      </c>
      <c r="Y494" s="11" t="str">
        <f ca="1">IFERROR(__xludf.DUMMYFUNCTION("""COMPUTED_VALUE"""),"")</f>
        <v/>
      </c>
      <c r="Z494" s="4" t="str">
        <f ca="1">IFERROR(__xludf.DUMMYFUNCTION("""COMPUTED_VALUE"""),"")</f>
        <v/>
      </c>
    </row>
    <row r="495" spans="1:26" ht="13" x14ac:dyDescent="0.15">
      <c r="A495" s="43" t="str">
        <f ca="1">IFERROR(__xludf.DUMMYFUNCTION("""COMPUTED_VALUE"""),"")</f>
        <v/>
      </c>
      <c r="B495" s="43" t="str">
        <f ca="1">IFERROR(__xludf.DUMMYFUNCTION("""COMPUTED_VALUE"""),"76796")</f>
        <v>76796</v>
      </c>
      <c r="C495" s="146">
        <f ca="1">IFERROR(__xludf.DUMMYFUNCTION("""COMPUTED_VALUE"""),44599000127)</f>
        <v>44599000127</v>
      </c>
      <c r="D495" s="43" t="str">
        <f ca="1">IFERROR(__xludf.DUMMYFUNCTION("""COMPUTED_VALUE"""),"TSLA")</f>
        <v>TSLA</v>
      </c>
      <c r="E495" s="147">
        <f ca="1">IFERROR(__xludf.DUMMYFUNCTION("""COMPUTED_VALUE"""),44599)</f>
        <v>44599</v>
      </c>
      <c r="F495" s="43" t="str">
        <f ca="1">IFERROR(__xludf.DUMMYFUNCTION("""COMPUTED_VALUE"""),"Stock")</f>
        <v>Stock</v>
      </c>
      <c r="G495" s="43" t="str">
        <f ca="1">IFERROR(__xludf.DUMMYFUNCTION("""COMPUTED_VALUE"""),"USD")</f>
        <v>USD</v>
      </c>
      <c r="H495" s="154" t="str">
        <f ca="1">IFERROR(__xludf.DUMMYFUNCTION("""COMPUTED_VALUE"""),"")</f>
        <v/>
      </c>
      <c r="I495" s="148">
        <f ca="1">IFERROR(__xludf.DUMMYFUNCTION("""COMPUTED_VALUE"""),7.79205)</f>
        <v>7.7920499999999997</v>
      </c>
      <c r="J495" s="149">
        <f ca="1">IFERROR(__xludf.DUMMYFUNCTION("""COMPUTED_VALUE"""),907.34)</f>
        <v>907.34</v>
      </c>
      <c r="K495" s="43"/>
      <c r="L495" s="149">
        <f ca="1">IFERROR(__xludf.DUMMYFUNCTION("""COMPUTED_VALUE"""),993.98)</f>
        <v>993.98</v>
      </c>
      <c r="M495" s="160" t="str">
        <f ca="1">IFERROR(__xludf.DUMMYFUNCTION("""COMPUTED_VALUE"""),"Equity Key Stats")</f>
        <v>Equity Key Stats</v>
      </c>
      <c r="N495" s="43"/>
      <c r="O495" s="43"/>
      <c r="P495" s="157">
        <f ca="1">IFERROR(__xludf.DUMMYFUNCTION("""COMPUTED_VALUE"""),0)</f>
        <v>0</v>
      </c>
      <c r="Q495" s="151"/>
      <c r="R495" s="152">
        <f ca="1">IFERROR(__xludf.DUMMYFUNCTION("""COMPUTED_VALUE"""),999.11)</f>
        <v>999.11</v>
      </c>
      <c r="S495" s="150">
        <f ca="1">IFERROR(__xludf.DUMMYFUNCTION("""COMPUTED_VALUE"""),0)</f>
        <v>0</v>
      </c>
      <c r="T495" s="108">
        <f ca="1">IFERROR(__xludf.DUMMYFUNCTION("""COMPUTED_VALUE"""),1)</f>
        <v>1</v>
      </c>
      <c r="U495" s="43">
        <f ca="1">IFERROR(__xludf.DUMMYFUNCTION("""COMPUTED_VALUE"""),1)</f>
        <v>1</v>
      </c>
      <c r="V495" s="144">
        <f ca="1">IFERROR(__xludf.DUMMYFUNCTION("""COMPUTED_VALUE"""),0)</f>
        <v>0</v>
      </c>
      <c r="W495" s="145" t="str">
        <f ca="1">IFERROR(__xludf.DUMMYFUNCTION("""COMPUTED_VALUE"""),"")</f>
        <v/>
      </c>
      <c r="X495" s="11" t="str">
        <f ca="1">IFERROR(__xludf.DUMMYFUNCTION("""COMPUTED_VALUE"""),"")</f>
        <v/>
      </c>
      <c r="Y495" s="11" t="str">
        <f ca="1">IFERROR(__xludf.DUMMYFUNCTION("""COMPUTED_VALUE"""),"")</f>
        <v/>
      </c>
      <c r="Z495" s="4" t="str">
        <f ca="1">IFERROR(__xludf.DUMMYFUNCTION("""COMPUTED_VALUE"""),"")</f>
        <v/>
      </c>
    </row>
    <row r="496" spans="1:26" ht="13" x14ac:dyDescent="0.15">
      <c r="A496" s="43" t="str">
        <f ca="1">IFERROR(__xludf.DUMMYFUNCTION("""COMPUTED_VALUE"""),"")</f>
        <v/>
      </c>
      <c r="B496" s="43" t="str">
        <f ca="1">IFERROR(__xludf.DUMMYFUNCTION("""COMPUTED_VALUE"""),"76796")</f>
        <v>76796</v>
      </c>
      <c r="C496" s="146">
        <f ca="1">IFERROR(__xludf.DUMMYFUNCTION("""COMPUTED_VALUE"""),44601000142)</f>
        <v>44601000142</v>
      </c>
      <c r="D496" s="43" t="str">
        <f ca="1">IFERROR(__xludf.DUMMYFUNCTION("""COMPUTED_VALUE"""),"MSFT")</f>
        <v>MSFT</v>
      </c>
      <c r="E496" s="147">
        <f ca="1">IFERROR(__xludf.DUMMYFUNCTION("""COMPUTED_VALUE"""),44601)</f>
        <v>44601</v>
      </c>
      <c r="F496" s="43" t="str">
        <f ca="1">IFERROR(__xludf.DUMMYFUNCTION("""COMPUTED_VALUE"""),"Stock")</f>
        <v>Stock</v>
      </c>
      <c r="G496" s="43" t="str">
        <f ca="1">IFERROR(__xludf.DUMMYFUNCTION("""COMPUTED_VALUE"""),"USD")</f>
        <v>USD</v>
      </c>
      <c r="H496" s="156">
        <f ca="1">IFERROR(__xludf.DUMMYFUNCTION("""COMPUTED_VALUE"""),100)</f>
        <v>100</v>
      </c>
      <c r="I496" s="148">
        <f ca="1">IFERROR(__xludf.DUMMYFUNCTION("""COMPUTED_VALUE"""),7.79135)</f>
        <v>7.7913500000000004</v>
      </c>
      <c r="J496" s="149">
        <f ca="1">IFERROR(__xludf.DUMMYFUNCTION("""COMPUTED_VALUE"""),311.21)</f>
        <v>311.20999999999998</v>
      </c>
      <c r="K496" s="43"/>
      <c r="L496" s="149">
        <f ca="1">IFERROR(__xludf.DUMMYFUNCTION("""COMPUTED_VALUE"""),304.06)</f>
        <v>304.06</v>
      </c>
      <c r="M496" s="160" t="str">
        <f ca="1">IFERROR(__xludf.DUMMYFUNCTION("""COMPUTED_VALUE"""),"Equity Key Stats")</f>
        <v>Equity Key Stats</v>
      </c>
      <c r="N496" s="43"/>
      <c r="O496" s="43"/>
      <c r="P496" s="150">
        <f ca="1">IFERROR(__xludf.DUMMYFUNCTION("""COMPUTED_VALUE"""),-242474.60335)</f>
        <v>-242474.60334999999</v>
      </c>
      <c r="Q496" s="151"/>
      <c r="R496" s="152">
        <f ca="1">IFERROR(__xludf.DUMMYFUNCTION("""COMPUTED_VALUE"""),299.49)</f>
        <v>299.49</v>
      </c>
      <c r="S496" s="157">
        <f ca="1">IFERROR(__xludf.DUMMYFUNCTION("""COMPUTED_VALUE"""),233343.14115)</f>
        <v>233343.14115000001</v>
      </c>
      <c r="T496" s="108">
        <f ca="1">IFERROR(__xludf.DUMMYFUNCTION("""COMPUTED_VALUE"""),3)</f>
        <v>3</v>
      </c>
      <c r="U496" s="43" t="str">
        <f ca="1">IFERROR(__xludf.DUMMYFUNCTION("""COMPUTED_VALUE"""),"")</f>
        <v/>
      </c>
      <c r="V496" s="144" t="str">
        <f ca="1">IFERROR(__xludf.DUMMYFUNCTION("""COMPUTED_VALUE"""),"")</f>
        <v/>
      </c>
      <c r="W496" s="145" t="str">
        <f ca="1">IFERROR(__xludf.DUMMYFUNCTION("""COMPUTED_VALUE"""),"")</f>
        <v/>
      </c>
      <c r="X496" s="11" t="str">
        <f ca="1">IFERROR(__xludf.DUMMYFUNCTION("""COMPUTED_VALUE"""),"")</f>
        <v/>
      </c>
      <c r="Y496" s="11" t="str">
        <f ca="1">IFERROR(__xludf.DUMMYFUNCTION("""COMPUTED_VALUE"""),"")</f>
        <v/>
      </c>
      <c r="Z496" s="4" t="str">
        <f ca="1">IFERROR(__xludf.DUMMYFUNCTION("""COMPUTED_VALUE"""),"")</f>
        <v/>
      </c>
    </row>
    <row r="497" spans="1:26" ht="13" x14ac:dyDescent="0.15">
      <c r="A497" s="43" t="str">
        <f ca="1">IFERROR(__xludf.DUMMYFUNCTION("""COMPUTED_VALUE"""),"")</f>
        <v/>
      </c>
      <c r="B497" s="43" t="str">
        <f ca="1">IFERROR(__xludf.DUMMYFUNCTION("""COMPUTED_VALUE"""),"76796")</f>
        <v>76796</v>
      </c>
      <c r="C497" s="146">
        <f ca="1">IFERROR(__xludf.DUMMYFUNCTION("""COMPUTED_VALUE"""),44607000195)</f>
        <v>44607000195</v>
      </c>
      <c r="D497" s="43" t="str">
        <f ca="1">IFERROR(__xludf.DUMMYFUNCTION("""COMPUTED_VALUE"""),"NVDA")</f>
        <v>NVDA</v>
      </c>
      <c r="E497" s="147">
        <f ca="1">IFERROR(__xludf.DUMMYFUNCTION("""COMPUTED_VALUE"""),44607)</f>
        <v>44607</v>
      </c>
      <c r="F497" s="43" t="str">
        <f ca="1">IFERROR(__xludf.DUMMYFUNCTION("""COMPUTED_VALUE"""),"Stock")</f>
        <v>Stock</v>
      </c>
      <c r="G497" s="43" t="str">
        <f ca="1">IFERROR(__xludf.DUMMYFUNCTION("""COMPUTED_VALUE"""),"USD")</f>
        <v>USD</v>
      </c>
      <c r="H497" s="156" t="str">
        <f ca="1">IFERROR(__xludf.DUMMYFUNCTION("""COMPUTED_VALUE"""),"")</f>
        <v/>
      </c>
      <c r="I497" s="148">
        <f ca="1">IFERROR(__xludf.DUMMYFUNCTION("""COMPUTED_VALUE"""),7.801355)</f>
        <v>7.801355</v>
      </c>
      <c r="J497" s="149">
        <f ca="1">IFERROR(__xludf.DUMMYFUNCTION("""COMPUTED_VALUE"""),264.95)</f>
        <v>264.95</v>
      </c>
      <c r="K497" s="43"/>
      <c r="L497" s="149">
        <f ca="1">IFERROR(__xludf.DUMMYFUNCTION("""COMPUTED_VALUE"""),265.24)</f>
        <v>265.24</v>
      </c>
      <c r="M497" s="160" t="str">
        <f ca="1">IFERROR(__xludf.DUMMYFUNCTION("""COMPUTED_VALUE"""),"Equity Key Stats")</f>
        <v>Equity Key Stats</v>
      </c>
      <c r="N497" s="43"/>
      <c r="O497" s="43"/>
      <c r="P497" s="150">
        <f ca="1">IFERROR(__xludf.DUMMYFUNCTION("""COMPUTED_VALUE"""),0)</f>
        <v>0</v>
      </c>
      <c r="Q497" s="151"/>
      <c r="R497" s="152">
        <f ca="1">IFERROR(__xludf.DUMMYFUNCTION("""COMPUTED_VALUE"""),256.34)</f>
        <v>256.33999999999997</v>
      </c>
      <c r="S497" s="157">
        <f ca="1">IFERROR(__xludf.DUMMYFUNCTION("""COMPUTED_VALUE"""),0)</f>
        <v>0</v>
      </c>
      <c r="T497" s="108">
        <f ca="1">IFERROR(__xludf.DUMMYFUNCTION("""COMPUTED_VALUE"""),1)</f>
        <v>1</v>
      </c>
      <c r="U497" s="43">
        <f ca="1">IFERROR(__xludf.DUMMYFUNCTION("""COMPUTED_VALUE"""),1)</f>
        <v>1</v>
      </c>
      <c r="V497" s="144">
        <f ca="1">IFERROR(__xludf.DUMMYFUNCTION("""COMPUTED_VALUE"""),0)</f>
        <v>0</v>
      </c>
      <c r="W497" s="145" t="str">
        <f ca="1">IFERROR(__xludf.DUMMYFUNCTION("""COMPUTED_VALUE"""),"")</f>
        <v/>
      </c>
      <c r="X497" s="11" t="str">
        <f ca="1">IFERROR(__xludf.DUMMYFUNCTION("""COMPUTED_VALUE"""),"")</f>
        <v/>
      </c>
      <c r="Y497" s="11" t="str">
        <f ca="1">IFERROR(__xludf.DUMMYFUNCTION("""COMPUTED_VALUE"""),"")</f>
        <v/>
      </c>
      <c r="Z497" s="4" t="str">
        <f ca="1">IFERROR(__xludf.DUMMYFUNCTION("""COMPUTED_VALUE"""),"")</f>
        <v/>
      </c>
    </row>
    <row r="498" spans="1:26" ht="13" x14ac:dyDescent="0.15">
      <c r="A498" s="43" t="str">
        <f ca="1">IFERROR(__xludf.DUMMYFUNCTION("""COMPUTED_VALUE"""),"")</f>
        <v/>
      </c>
      <c r="B498" s="43" t="str">
        <f ca="1">IFERROR(__xludf.DUMMYFUNCTION("""COMPUTED_VALUE"""),"76796")</f>
        <v>76796</v>
      </c>
      <c r="C498" s="146">
        <f ca="1">IFERROR(__xludf.DUMMYFUNCTION("""COMPUTED_VALUE"""),44610000250)</f>
        <v>44610000250</v>
      </c>
      <c r="D498" s="43" t="str">
        <f ca="1">IFERROR(__xludf.DUMMYFUNCTION("""COMPUTED_VALUE"""),"ISPO")</f>
        <v>ISPO</v>
      </c>
      <c r="E498" s="147">
        <f ca="1">IFERROR(__xludf.DUMMYFUNCTION("""COMPUTED_VALUE"""),44610)</f>
        <v>44610</v>
      </c>
      <c r="F498" s="43" t="str">
        <f ca="1">IFERROR(__xludf.DUMMYFUNCTION("""COMPUTED_VALUE"""),"Stock")</f>
        <v>Stock</v>
      </c>
      <c r="G498" s="43" t="str">
        <f ca="1">IFERROR(__xludf.DUMMYFUNCTION("""COMPUTED_VALUE"""),"USD")</f>
        <v>USD</v>
      </c>
      <c r="H498" s="156" t="str">
        <f ca="1">IFERROR(__xludf.DUMMYFUNCTION("""COMPUTED_VALUE"""),"")</f>
        <v/>
      </c>
      <c r="I498" s="148">
        <f ca="1">IFERROR(__xludf.DUMMYFUNCTION("""COMPUTED_VALUE"""),7.80051)</f>
        <v>7.8005100000000001</v>
      </c>
      <c r="J498" s="149">
        <f ca="1">IFERROR(__xludf.DUMMYFUNCTION("""COMPUTED_VALUE"""),46)</f>
        <v>46</v>
      </c>
      <c r="K498" s="43"/>
      <c r="L498" s="149">
        <f ca="1">IFERROR(__xludf.DUMMYFUNCTION("""COMPUTED_VALUE"""),8.76)</f>
        <v>8.76</v>
      </c>
      <c r="M498" s="155" t="str">
        <f ca="1">IFERROR(__xludf.DUMMYFUNCTION("""COMPUTED_VALUE"""),"Equity Key Stats")</f>
        <v>Equity Key Stats</v>
      </c>
      <c r="N498" s="43"/>
      <c r="O498" s="43"/>
      <c r="P498" s="150">
        <f ca="1">IFERROR(__xludf.DUMMYFUNCTION("""COMPUTED_VALUE"""),0)</f>
        <v>0</v>
      </c>
      <c r="Q498" s="151"/>
      <c r="R498" s="152">
        <f ca="1">IFERROR(__xludf.DUMMYFUNCTION("""COMPUTED_VALUE"""),8.65)</f>
        <v>8.65</v>
      </c>
      <c r="S498" s="157">
        <f ca="1">IFERROR(__xludf.DUMMYFUNCTION("""COMPUTED_VALUE"""),0)</f>
        <v>0</v>
      </c>
      <c r="T498" s="108">
        <f ca="1">IFERROR(__xludf.DUMMYFUNCTION("""COMPUTED_VALUE"""),1)</f>
        <v>1</v>
      </c>
      <c r="U498" s="108">
        <f ca="1">IFERROR(__xludf.DUMMYFUNCTION("""COMPUTED_VALUE"""),1)</f>
        <v>1</v>
      </c>
      <c r="V498" s="153">
        <f ca="1">IFERROR(__xludf.DUMMYFUNCTION("""COMPUTED_VALUE"""),0)</f>
        <v>0</v>
      </c>
      <c r="W498" s="145" t="str">
        <f ca="1">IFERROR(__xludf.DUMMYFUNCTION("""COMPUTED_VALUE"""),"")</f>
        <v/>
      </c>
      <c r="X498" s="11" t="str">
        <f ca="1">IFERROR(__xludf.DUMMYFUNCTION("""COMPUTED_VALUE"""),"")</f>
        <v/>
      </c>
      <c r="Y498" s="11" t="str">
        <f ca="1">IFERROR(__xludf.DUMMYFUNCTION("""COMPUTED_VALUE"""),"")</f>
        <v/>
      </c>
      <c r="Z498" s="4" t="str">
        <f ca="1">IFERROR(__xludf.DUMMYFUNCTION("""COMPUTED_VALUE"""),"")</f>
        <v/>
      </c>
    </row>
    <row r="499" spans="1:26" ht="13" x14ac:dyDescent="0.15">
      <c r="A499" s="43" t="str">
        <f ca="1">IFERROR(__xludf.DUMMYFUNCTION("""COMPUTED_VALUE"""),"")</f>
        <v/>
      </c>
      <c r="B499" s="43" t="str">
        <f ca="1">IFERROR(__xludf.DUMMYFUNCTION("""COMPUTED_VALUE"""),"76796")</f>
        <v>76796</v>
      </c>
      <c r="C499" s="146">
        <f ca="1">IFERROR(__xludf.DUMMYFUNCTION("""COMPUTED_VALUE"""),44617000348)</f>
        <v>44617000348</v>
      </c>
      <c r="D499" s="43" t="str">
        <f ca="1">IFERROR(__xludf.DUMMYFUNCTION("""COMPUTED_VALUE"""),"GOOGL")</f>
        <v>GOOGL</v>
      </c>
      <c r="E499" s="147">
        <f ca="1">IFERROR(__xludf.DUMMYFUNCTION("""COMPUTED_VALUE"""),44617)</f>
        <v>44617</v>
      </c>
      <c r="F499" s="43" t="str">
        <f ca="1">IFERROR(__xludf.DUMMYFUNCTION("""COMPUTED_VALUE"""),"Stock")</f>
        <v>Stock</v>
      </c>
      <c r="G499" s="43" t="str">
        <f ca="1">IFERROR(__xludf.DUMMYFUNCTION("""COMPUTED_VALUE"""),"USD")</f>
        <v>USD</v>
      </c>
      <c r="H499" s="156" t="str">
        <f ca="1">IFERROR(__xludf.DUMMYFUNCTION("""COMPUTED_VALUE"""),"")</f>
        <v/>
      </c>
      <c r="I499" s="148">
        <f ca="1">IFERROR(__xludf.DUMMYFUNCTION("""COMPUTED_VALUE"""),7.808395)</f>
        <v>7.808395</v>
      </c>
      <c r="J499" s="149">
        <f ca="1">IFERROR(__xludf.DUMMYFUNCTION("""COMPUTED_VALUE"""),2689.19)</f>
        <v>2689.19</v>
      </c>
      <c r="K499" s="43"/>
      <c r="L499" s="149">
        <f ca="1">IFERROR(__xludf.DUMMYFUNCTION("""COMPUTED_VALUE"""),2797.36)</f>
        <v>2797.36</v>
      </c>
      <c r="M499" s="155" t="str">
        <f ca="1">IFERROR(__xludf.DUMMYFUNCTION("""COMPUTED_VALUE"""),"Equity Key Stats")</f>
        <v>Equity Key Stats</v>
      </c>
      <c r="N499" s="43"/>
      <c r="O499" s="43"/>
      <c r="P499" s="150">
        <f ca="1">IFERROR(__xludf.DUMMYFUNCTION("""COMPUTED_VALUE"""),0)</f>
        <v>0</v>
      </c>
      <c r="Q499" s="151"/>
      <c r="R499" s="152">
        <f ca="1">IFERROR(__xludf.DUMMYFUNCTION("""COMPUTED_VALUE"""),2765.51)</f>
        <v>2765.51</v>
      </c>
      <c r="S499" s="157">
        <f ca="1">IFERROR(__xludf.DUMMYFUNCTION("""COMPUTED_VALUE"""),0)</f>
        <v>0</v>
      </c>
      <c r="T499" s="108">
        <f ca="1">IFERROR(__xludf.DUMMYFUNCTION("""COMPUTED_VALUE"""),1)</f>
        <v>1</v>
      </c>
      <c r="U499" s="108">
        <f ca="1">IFERROR(__xludf.DUMMYFUNCTION("""COMPUTED_VALUE"""),1)</f>
        <v>1</v>
      </c>
      <c r="V499" s="158">
        <f ca="1">IFERROR(__xludf.DUMMYFUNCTION("""COMPUTED_VALUE"""),0)</f>
        <v>0</v>
      </c>
      <c r="W499" s="145" t="str">
        <f ca="1">IFERROR(__xludf.DUMMYFUNCTION("""COMPUTED_VALUE"""),"")</f>
        <v/>
      </c>
      <c r="X499" s="11" t="str">
        <f ca="1">IFERROR(__xludf.DUMMYFUNCTION("""COMPUTED_VALUE"""),"")</f>
        <v/>
      </c>
      <c r="Y499" s="11" t="str">
        <f ca="1">IFERROR(__xludf.DUMMYFUNCTION("""COMPUTED_VALUE"""),"")</f>
        <v/>
      </c>
      <c r="Z499" s="4" t="str">
        <f ca="1">IFERROR(__xludf.DUMMYFUNCTION("""COMPUTED_VALUE"""),"")</f>
        <v/>
      </c>
    </row>
    <row r="500" spans="1:26" ht="13" x14ac:dyDescent="0.15">
      <c r="A500" s="43" t="str">
        <f ca="1">IFERROR(__xludf.DUMMYFUNCTION("""COMPUTED_VALUE"""),"")</f>
        <v/>
      </c>
      <c r="B500" s="43" t="str">
        <f ca="1">IFERROR(__xludf.DUMMYFUNCTION("""COMPUTED_VALUE"""),"76796")</f>
        <v>76796</v>
      </c>
      <c r="C500" s="146">
        <f ca="1">IFERROR(__xludf.DUMMYFUNCTION("""COMPUTED_VALUE"""),44641000716)</f>
        <v>44641000716</v>
      </c>
      <c r="D500" s="43" t="str">
        <f ca="1">IFERROR(__xludf.DUMMYFUNCTION("""COMPUTED_VALUE"""),"MSFT")</f>
        <v>MSFT</v>
      </c>
      <c r="E500" s="147">
        <f ca="1">IFERROR(__xludf.DUMMYFUNCTION("""COMPUTED_VALUE"""),44641)</f>
        <v>44641</v>
      </c>
      <c r="F500" s="43" t="str">
        <f ca="1">IFERROR(__xludf.DUMMYFUNCTION("""COMPUTED_VALUE"""),"Stock")</f>
        <v>Stock</v>
      </c>
      <c r="G500" s="43" t="str">
        <f ca="1">IFERROR(__xludf.DUMMYFUNCTION("""COMPUTED_VALUE"""),"USD")</f>
        <v>USD</v>
      </c>
      <c r="H500" s="156" t="str">
        <f ca="1">IFERROR(__xludf.DUMMYFUNCTION("""COMPUTED_VALUE"""),"")</f>
        <v/>
      </c>
      <c r="I500" s="148">
        <f ca="1">IFERROR(__xludf.DUMMYFUNCTION("""COMPUTED_VALUE"""),7.82545)</f>
        <v>7.82545</v>
      </c>
      <c r="J500" s="149">
        <f ca="1">IFERROR(__xludf.DUMMYFUNCTION("""COMPUTED_VALUE"""),299.16)</f>
        <v>299.16000000000003</v>
      </c>
      <c r="K500" s="43"/>
      <c r="L500" s="149">
        <f ca="1">IFERROR(__xludf.DUMMYFUNCTION("""COMPUTED_VALUE"""),304.06)</f>
        <v>304.06</v>
      </c>
      <c r="M500" s="160" t="str">
        <f ca="1">IFERROR(__xludf.DUMMYFUNCTION("""COMPUTED_VALUE"""),"Equity Key Stats")</f>
        <v>Equity Key Stats</v>
      </c>
      <c r="N500" s="43"/>
      <c r="O500" s="43"/>
      <c r="P500" s="150">
        <f ca="1">IFERROR(__xludf.DUMMYFUNCTION("""COMPUTED_VALUE"""),0)</f>
        <v>0</v>
      </c>
      <c r="Q500" s="151"/>
      <c r="R500" s="152">
        <f ca="1">IFERROR(__xludf.DUMMYFUNCTION("""COMPUTED_VALUE"""),299.49)</f>
        <v>299.49</v>
      </c>
      <c r="S500" s="157">
        <f ca="1">IFERROR(__xludf.DUMMYFUNCTION("""COMPUTED_VALUE"""),0)</f>
        <v>0</v>
      </c>
      <c r="T500" s="108">
        <f ca="1">IFERROR(__xludf.DUMMYFUNCTION("""COMPUTED_VALUE"""),3)</f>
        <v>3</v>
      </c>
      <c r="U500" s="108" t="str">
        <f ca="1">IFERROR(__xludf.DUMMYFUNCTION("""COMPUTED_VALUE"""),"")</f>
        <v/>
      </c>
      <c r="V500" s="153" t="str">
        <f ca="1">IFERROR(__xludf.DUMMYFUNCTION("""COMPUTED_VALUE"""),"")</f>
        <v/>
      </c>
      <c r="W500" s="145" t="str">
        <f ca="1">IFERROR(__xludf.DUMMYFUNCTION("""COMPUTED_VALUE"""),"")</f>
        <v/>
      </c>
      <c r="X500" s="11" t="str">
        <f ca="1">IFERROR(__xludf.DUMMYFUNCTION("""COMPUTED_VALUE"""),"")</f>
        <v/>
      </c>
      <c r="Y500" s="11" t="str">
        <f ca="1">IFERROR(__xludf.DUMMYFUNCTION("""COMPUTED_VALUE"""),"")</f>
        <v/>
      </c>
      <c r="Z500" s="4" t="str">
        <f ca="1">IFERROR(__xludf.DUMMYFUNCTION("""COMPUTED_VALUE"""),"")</f>
        <v/>
      </c>
    </row>
    <row r="501" spans="1:26" ht="13" x14ac:dyDescent="0.15">
      <c r="A501" s="43" t="str">
        <f ca="1">IFERROR(__xludf.DUMMYFUNCTION("""COMPUTED_VALUE"""),"76796")</f>
        <v>76796</v>
      </c>
      <c r="B501" s="43" t="str">
        <f ca="1">IFERROR(__xludf.DUMMYFUNCTION("""COMPUTED_VALUE"""),"76796")</f>
        <v>76796</v>
      </c>
      <c r="C501" s="146">
        <f ca="1">IFERROR(__xludf.DUMMYFUNCTION("""COMPUTED_VALUE"""),44641000760)</f>
        <v>44641000760</v>
      </c>
      <c r="D501" s="43" t="str">
        <f ca="1">IFERROR(__xludf.DUMMYFUNCTION("""COMPUTED_VALUE"""),"MSFT")</f>
        <v>MSFT</v>
      </c>
      <c r="E501" s="147">
        <f ca="1">IFERROR(__xludf.DUMMYFUNCTION("""COMPUTED_VALUE"""),44641)</f>
        <v>44641</v>
      </c>
      <c r="F501" s="43" t="str">
        <f ca="1">IFERROR(__xludf.DUMMYFUNCTION("""COMPUTED_VALUE"""),"Stock")</f>
        <v>Stock</v>
      </c>
      <c r="G501" s="43" t="str">
        <f ca="1">IFERROR(__xludf.DUMMYFUNCTION("""COMPUTED_VALUE"""),"USD")</f>
        <v>USD</v>
      </c>
      <c r="H501" s="154" t="str">
        <f ca="1">IFERROR(__xludf.DUMMYFUNCTION("""COMPUTED_VALUE"""),"")</f>
        <v/>
      </c>
      <c r="I501" s="148">
        <f ca="1">IFERROR(__xludf.DUMMYFUNCTION("""COMPUTED_VALUE"""),7.82545)</f>
        <v>7.82545</v>
      </c>
      <c r="J501" s="149">
        <f ca="1">IFERROR(__xludf.DUMMYFUNCTION("""COMPUTED_VALUE"""),299.16)</f>
        <v>299.16000000000003</v>
      </c>
      <c r="K501" s="43"/>
      <c r="L501" s="149">
        <f ca="1">IFERROR(__xludf.DUMMYFUNCTION("""COMPUTED_VALUE"""),304.06)</f>
        <v>304.06</v>
      </c>
      <c r="M501" s="155" t="str">
        <f ca="1">IFERROR(__xludf.DUMMYFUNCTION("""COMPUTED_VALUE"""),"Equity Key Stats")</f>
        <v>Equity Key Stats</v>
      </c>
      <c r="N501" s="43"/>
      <c r="O501" s="43"/>
      <c r="P501" s="157">
        <f ca="1">IFERROR(__xludf.DUMMYFUNCTION("""COMPUTED_VALUE"""),0)</f>
        <v>0</v>
      </c>
      <c r="Q501" s="151"/>
      <c r="R501" s="152">
        <f ca="1">IFERROR(__xludf.DUMMYFUNCTION("""COMPUTED_VALUE"""),299.49)</f>
        <v>299.49</v>
      </c>
      <c r="S501" s="150">
        <f ca="1">IFERROR(__xludf.DUMMYFUNCTION("""COMPUTED_VALUE"""),0)</f>
        <v>0</v>
      </c>
      <c r="T501" s="108">
        <f ca="1">IFERROR(__xludf.DUMMYFUNCTION("""COMPUTED_VALUE"""),3)</f>
        <v>3</v>
      </c>
      <c r="U501" s="43">
        <f ca="1">IFERROR(__xludf.DUMMYFUNCTION("""COMPUTED_VALUE"""),1)</f>
        <v>1</v>
      </c>
      <c r="V501" s="144">
        <f ca="1">IFERROR(__xludf.DUMMYFUNCTION("""COMPUTED_VALUE"""),-9131.46219999998)</f>
        <v>-9131.4621999999799</v>
      </c>
      <c r="W501" s="145">
        <f ca="1">IFERROR(__xludf.DUMMYFUNCTION("""COMPUTED_VALUE"""),490868.5378)</f>
        <v>490868.53779999999</v>
      </c>
      <c r="X501" s="11">
        <f ca="1">IFERROR(__xludf.DUMMYFUNCTION("""COMPUTED_VALUE"""),257525.39665)</f>
        <v>257525.39665000001</v>
      </c>
      <c r="Y501" s="11">
        <f ca="1">IFERROR(__xludf.DUMMYFUNCTION("""COMPUTED_VALUE"""),0)</f>
        <v>0</v>
      </c>
      <c r="Z501" s="4">
        <f ca="1">IFERROR(__xludf.DUMMYFUNCTION("""COMPUTED_VALUE"""),-0.0182629243999998)</f>
        <v>-1.82629243999998E-2</v>
      </c>
    </row>
    <row r="502" spans="1:26" ht="13" x14ac:dyDescent="0.15">
      <c r="A502" s="43" t="str">
        <f ca="1">IFERROR(__xludf.DUMMYFUNCTION("""COMPUTED_VALUE"""),"")</f>
        <v/>
      </c>
      <c r="B502" s="43" t="str">
        <f ca="1">IFERROR(__xludf.DUMMYFUNCTION("""COMPUTED_VALUE"""),"76848")</f>
        <v>76848</v>
      </c>
      <c r="C502" s="146">
        <f ca="1">IFERROR(__xludf.DUMMYFUNCTION("""COMPUTED_VALUE"""),44597000113)</f>
        <v>44597000113</v>
      </c>
      <c r="D502" s="163" t="str">
        <f ca="1">IFERROR(__xludf.DUMMYFUNCTION("""COMPUTED_VALUE"""),"Cash")</f>
        <v>Cash</v>
      </c>
      <c r="E502" s="147">
        <f ca="1">IFERROR(__xludf.DUMMYFUNCTION("""COMPUTED_VALUE"""),44597)</f>
        <v>44597</v>
      </c>
      <c r="F502" s="43" t="str">
        <f ca="1">IFERROR(__xludf.DUMMYFUNCTION("""COMPUTED_VALUE"""),"Cash")</f>
        <v>Cash</v>
      </c>
      <c r="G502" s="43" t="str">
        <f ca="1">IFERROR(__xludf.DUMMYFUNCTION("""COMPUTED_VALUE"""),"HKD")</f>
        <v>HKD</v>
      </c>
      <c r="H502" s="154" t="str">
        <f ca="1">IFERROR(__xludf.DUMMYFUNCTION("""COMPUTED_VALUE"""),"")</f>
        <v/>
      </c>
      <c r="I502" s="148">
        <f ca="1">IFERROR(__xludf.DUMMYFUNCTION("""COMPUTED_VALUE"""),1)</f>
        <v>1</v>
      </c>
      <c r="J502" s="149">
        <f ca="1">IFERROR(__xludf.DUMMYFUNCTION("""COMPUTED_VALUE"""),1)</f>
        <v>1</v>
      </c>
      <c r="K502" s="43"/>
      <c r="L502" s="149">
        <f ca="1">IFERROR(__xludf.DUMMYFUNCTION("""COMPUTED_VALUE"""),1)</f>
        <v>1</v>
      </c>
      <c r="M502" s="155" t="str">
        <f ca="1">IFERROR(__xludf.DUMMYFUNCTION("""COMPUTED_VALUE"""),"")</f>
        <v/>
      </c>
      <c r="N502" s="43"/>
      <c r="O502" s="43"/>
      <c r="P502" s="157">
        <f ca="1">IFERROR(__xludf.DUMMYFUNCTION("""COMPUTED_VALUE"""),500000)</f>
        <v>500000</v>
      </c>
      <c r="Q502" s="151"/>
      <c r="R502" s="152">
        <f ca="1">IFERROR(__xludf.DUMMYFUNCTION("""COMPUTED_VALUE"""),1)</f>
        <v>1</v>
      </c>
      <c r="S502" s="150" t="str">
        <f ca="1">IFERROR(__xludf.DUMMYFUNCTION("""COMPUTED_VALUE"""),"")</f>
        <v/>
      </c>
      <c r="T502" s="108">
        <f ca="1">IFERROR(__xludf.DUMMYFUNCTION("""COMPUTED_VALUE"""),1)</f>
        <v>1</v>
      </c>
      <c r="U502" s="43">
        <f ca="1">IFERROR(__xludf.DUMMYFUNCTION("""COMPUTED_VALUE"""),1)</f>
        <v>1</v>
      </c>
      <c r="V502" s="144">
        <f ca="1">IFERROR(__xludf.DUMMYFUNCTION("""COMPUTED_VALUE"""),500000)</f>
        <v>500000</v>
      </c>
      <c r="W502" s="145" t="str">
        <f ca="1">IFERROR(__xludf.DUMMYFUNCTION("""COMPUTED_VALUE"""),"")</f>
        <v/>
      </c>
      <c r="X502" s="11" t="str">
        <f ca="1">IFERROR(__xludf.DUMMYFUNCTION("""COMPUTED_VALUE"""),"")</f>
        <v/>
      </c>
      <c r="Y502" s="11" t="str">
        <f ca="1">IFERROR(__xludf.DUMMYFUNCTION("""COMPUTED_VALUE"""),"")</f>
        <v/>
      </c>
      <c r="Z502" s="4" t="str">
        <f ca="1">IFERROR(__xludf.DUMMYFUNCTION("""COMPUTED_VALUE"""),"")</f>
        <v/>
      </c>
    </row>
    <row r="503" spans="1:26" ht="13" x14ac:dyDescent="0.15">
      <c r="A503" s="43" t="str">
        <f ca="1">IFERROR(__xludf.DUMMYFUNCTION("""COMPUTED_VALUE"""),"")</f>
        <v/>
      </c>
      <c r="B503" s="43" t="str">
        <f ca="1">IFERROR(__xludf.DUMMYFUNCTION("""COMPUTED_VALUE"""),"76848")</f>
        <v>76848</v>
      </c>
      <c r="C503" s="146">
        <f ca="1">IFERROR(__xludf.DUMMYFUNCTION("""COMPUTED_VALUE"""),44603000166)</f>
        <v>44603000166</v>
      </c>
      <c r="D503" s="43" t="str">
        <f ca="1">IFERROR(__xludf.DUMMYFUNCTION("""COMPUTED_VALUE"""),"NET")</f>
        <v>NET</v>
      </c>
      <c r="E503" s="147">
        <f ca="1">IFERROR(__xludf.DUMMYFUNCTION("""COMPUTED_VALUE"""),44603)</f>
        <v>44603</v>
      </c>
      <c r="F503" s="43" t="str">
        <f ca="1">IFERROR(__xludf.DUMMYFUNCTION("""COMPUTED_VALUE"""),"Stock")</f>
        <v>Stock</v>
      </c>
      <c r="G503" s="43" t="str">
        <f ca="1">IFERROR(__xludf.DUMMYFUNCTION("""COMPUTED_VALUE"""),"USD")</f>
        <v>USD</v>
      </c>
      <c r="H503" s="156">
        <f ca="1">IFERROR(__xludf.DUMMYFUNCTION("""COMPUTED_VALUE"""),10)</f>
        <v>10</v>
      </c>
      <c r="I503" s="148">
        <f ca="1">IFERROR(__xludf.DUMMYFUNCTION("""COMPUTED_VALUE"""),7.800485)</f>
        <v>7.8004850000000001</v>
      </c>
      <c r="J503" s="149">
        <f ca="1">IFERROR(__xludf.DUMMYFUNCTION("""COMPUTED_VALUE"""),104.92)</f>
        <v>104.92</v>
      </c>
      <c r="K503" s="43"/>
      <c r="L503" s="149">
        <f ca="1">IFERROR(__xludf.DUMMYFUNCTION("""COMPUTED_VALUE"""),114.86)</f>
        <v>114.86</v>
      </c>
      <c r="M503" s="160" t="str">
        <f ca="1">IFERROR(__xludf.DUMMYFUNCTION("""COMPUTED_VALUE"""),"Equity Key Stats")</f>
        <v>Equity Key Stats</v>
      </c>
      <c r="N503" s="43"/>
      <c r="O503" s="43"/>
      <c r="P503" s="150">
        <f ca="1">IFERROR(__xludf.DUMMYFUNCTION("""COMPUTED_VALUE"""),-8184.268862)</f>
        <v>-8184.2688619999999</v>
      </c>
      <c r="Q503" s="151"/>
      <c r="R503" s="152">
        <f ca="1">IFERROR(__xludf.DUMMYFUNCTION("""COMPUTED_VALUE"""),117.59)</f>
        <v>117.59</v>
      </c>
      <c r="S503" s="157">
        <f ca="1">IFERROR(__xludf.DUMMYFUNCTION("""COMPUTED_VALUE"""),9172.5903115)</f>
        <v>9172.5903115000001</v>
      </c>
      <c r="T503" s="108">
        <f ca="1">IFERROR(__xludf.DUMMYFUNCTION("""COMPUTED_VALUE"""),2)</f>
        <v>2</v>
      </c>
      <c r="U503" s="108" t="str">
        <f ca="1">IFERROR(__xludf.DUMMYFUNCTION("""COMPUTED_VALUE"""),"")</f>
        <v/>
      </c>
      <c r="V503" s="153" t="str">
        <f ca="1">IFERROR(__xludf.DUMMYFUNCTION("""COMPUTED_VALUE"""),"")</f>
        <v/>
      </c>
      <c r="W503" s="145" t="str">
        <f ca="1">IFERROR(__xludf.DUMMYFUNCTION("""COMPUTED_VALUE"""),"")</f>
        <v/>
      </c>
      <c r="X503" s="11" t="str">
        <f ca="1">IFERROR(__xludf.DUMMYFUNCTION("""COMPUTED_VALUE"""),"")</f>
        <v/>
      </c>
      <c r="Y503" s="11" t="str">
        <f ca="1">IFERROR(__xludf.DUMMYFUNCTION("""COMPUTED_VALUE"""),"")</f>
        <v/>
      </c>
      <c r="Z503" s="4" t="str">
        <f ca="1">IFERROR(__xludf.DUMMYFUNCTION("""COMPUTED_VALUE"""),"")</f>
        <v/>
      </c>
    </row>
    <row r="504" spans="1:26" ht="13" x14ac:dyDescent="0.15">
      <c r="A504" s="43" t="str">
        <f ca="1">IFERROR(__xludf.DUMMYFUNCTION("""COMPUTED_VALUE"""),"")</f>
        <v/>
      </c>
      <c r="B504" s="43" t="str">
        <f ca="1">IFERROR(__xludf.DUMMYFUNCTION("""COMPUTED_VALUE"""),"76848")</f>
        <v>76848</v>
      </c>
      <c r="C504" s="146">
        <f ca="1">IFERROR(__xludf.DUMMYFUNCTION("""COMPUTED_VALUE"""),44603000168)</f>
        <v>44603000168</v>
      </c>
      <c r="D504" s="161" t="str">
        <f ca="1">IFERROR(__xludf.DUMMYFUNCTION("""COMPUTED_VALUE"""),"1398.HK")</f>
        <v>1398.HK</v>
      </c>
      <c r="E504" s="147">
        <f ca="1">IFERROR(__xludf.DUMMYFUNCTION("""COMPUTED_VALUE"""),44603)</f>
        <v>44603</v>
      </c>
      <c r="F504" s="43" t="str">
        <f ca="1">IFERROR(__xludf.DUMMYFUNCTION("""COMPUTED_VALUE"""),"Stock")</f>
        <v>Stock</v>
      </c>
      <c r="G504" s="43" t="str">
        <f ca="1">IFERROR(__xludf.DUMMYFUNCTION("""COMPUTED_VALUE"""),"HKD")</f>
        <v>HKD</v>
      </c>
      <c r="H504" s="156">
        <f ca="1">IFERROR(__xludf.DUMMYFUNCTION("""COMPUTED_VALUE"""),500)</f>
        <v>500</v>
      </c>
      <c r="I504" s="148">
        <f ca="1">IFERROR(__xludf.DUMMYFUNCTION("""COMPUTED_VALUE"""),1)</f>
        <v>1</v>
      </c>
      <c r="J504" s="149">
        <f ca="1">IFERROR(__xludf.DUMMYFUNCTION("""COMPUTED_VALUE"""),4.93)</f>
        <v>4.93</v>
      </c>
      <c r="K504" s="43"/>
      <c r="L504" s="149">
        <f ca="1">IFERROR(__xludf.DUMMYFUNCTION("""COMPUTED_VALUE"""),4.63)</f>
        <v>4.63</v>
      </c>
      <c r="M504" s="155" t="str">
        <f ca="1">IFERROR(__xludf.DUMMYFUNCTION("""COMPUTED_VALUE"""),"Equity Key Stats")</f>
        <v>Equity Key Stats</v>
      </c>
      <c r="N504" s="43"/>
      <c r="O504" s="43"/>
      <c r="P504" s="150">
        <f ca="1">IFERROR(__xludf.DUMMYFUNCTION("""COMPUTED_VALUE"""),-2465)</f>
        <v>-2465</v>
      </c>
      <c r="Q504" s="151"/>
      <c r="R504" s="152">
        <f ca="1">IFERROR(__xludf.DUMMYFUNCTION("""COMPUTED_VALUE"""),4.63)</f>
        <v>4.63</v>
      </c>
      <c r="S504" s="157">
        <f ca="1">IFERROR(__xludf.DUMMYFUNCTION("""COMPUTED_VALUE"""),2315)</f>
        <v>2315</v>
      </c>
      <c r="T504" s="108">
        <f ca="1">IFERROR(__xludf.DUMMYFUNCTION("""COMPUTED_VALUE"""),3)</f>
        <v>3</v>
      </c>
      <c r="U504" s="108" t="str">
        <f ca="1">IFERROR(__xludf.DUMMYFUNCTION("""COMPUTED_VALUE"""),"")</f>
        <v/>
      </c>
      <c r="V504" s="153" t="str">
        <f ca="1">IFERROR(__xludf.DUMMYFUNCTION("""COMPUTED_VALUE"""),"")</f>
        <v/>
      </c>
      <c r="W504" s="145" t="str">
        <f ca="1">IFERROR(__xludf.DUMMYFUNCTION("""COMPUTED_VALUE"""),"")</f>
        <v/>
      </c>
      <c r="X504" s="11" t="str">
        <f ca="1">IFERROR(__xludf.DUMMYFUNCTION("""COMPUTED_VALUE"""),"")</f>
        <v/>
      </c>
      <c r="Y504" s="11" t="str">
        <f ca="1">IFERROR(__xludf.DUMMYFUNCTION("""COMPUTED_VALUE"""),"")</f>
        <v/>
      </c>
      <c r="Z504" s="4" t="str">
        <f ca="1">IFERROR(__xludf.DUMMYFUNCTION("""COMPUTED_VALUE"""),"")</f>
        <v/>
      </c>
    </row>
    <row r="505" spans="1:26" ht="13" x14ac:dyDescent="0.15">
      <c r="A505" s="43" t="str">
        <f ca="1">IFERROR(__xludf.DUMMYFUNCTION("""COMPUTED_VALUE"""),"")</f>
        <v/>
      </c>
      <c r="B505" s="43" t="str">
        <f ca="1">IFERROR(__xludf.DUMMYFUNCTION("""COMPUTED_VALUE"""),"76848")</f>
        <v>76848</v>
      </c>
      <c r="C505" s="146">
        <f ca="1">IFERROR(__xludf.DUMMYFUNCTION("""COMPUTED_VALUE"""),44609000230)</f>
        <v>44609000230</v>
      </c>
      <c r="D505" s="43" t="str">
        <f ca="1">IFERROR(__xludf.DUMMYFUNCTION("""COMPUTED_VALUE"""),"AMAT")</f>
        <v>AMAT</v>
      </c>
      <c r="E505" s="147">
        <f ca="1">IFERROR(__xludf.DUMMYFUNCTION("""COMPUTED_VALUE"""),44609)</f>
        <v>44609</v>
      </c>
      <c r="F505" s="43" t="str">
        <f ca="1">IFERROR(__xludf.DUMMYFUNCTION("""COMPUTED_VALUE"""),"Stock")</f>
        <v>Stock</v>
      </c>
      <c r="G505" s="43" t="str">
        <f ca="1">IFERROR(__xludf.DUMMYFUNCTION("""COMPUTED_VALUE"""),"USD")</f>
        <v>USD</v>
      </c>
      <c r="H505" s="154">
        <f ca="1">IFERROR(__xludf.DUMMYFUNCTION("""COMPUTED_VALUE"""),50)</f>
        <v>50</v>
      </c>
      <c r="I505" s="148">
        <f ca="1">IFERROR(__xludf.DUMMYFUNCTION("""COMPUTED_VALUE"""),7.799115)</f>
        <v>7.7991149999999996</v>
      </c>
      <c r="J505" s="149">
        <f ca="1">IFERROR(__xludf.DUMMYFUNCTION("""COMPUTED_VALUE"""),136.47)</f>
        <v>136.47</v>
      </c>
      <c r="K505" s="43"/>
      <c r="L505" s="149">
        <f ca="1">IFERROR(__xludf.DUMMYFUNCTION("""COMPUTED_VALUE"""),135.48)</f>
        <v>135.47999999999999</v>
      </c>
      <c r="M505" s="160" t="str">
        <f ca="1">IFERROR(__xludf.DUMMYFUNCTION("""COMPUTED_VALUE"""),"Equity Key Stats")</f>
        <v>Equity Key Stats</v>
      </c>
      <c r="N505" s="43"/>
      <c r="O505" s="43"/>
      <c r="P505" s="157">
        <f ca="1">IFERROR(__xludf.DUMMYFUNCTION("""COMPUTED_VALUE"""),-53217.2612025)</f>
        <v>-53217.261202499998</v>
      </c>
      <c r="Q505" s="151"/>
      <c r="R505" s="152">
        <f ca="1">IFERROR(__xludf.DUMMYFUNCTION("""COMPUTED_VALUE"""),131.42)</f>
        <v>131.41999999999999</v>
      </c>
      <c r="S505" s="150">
        <f ca="1">IFERROR(__xludf.DUMMYFUNCTION("""COMPUTED_VALUE"""),51247.9846649999)</f>
        <v>51247.984664999902</v>
      </c>
      <c r="T505" s="108">
        <f ca="1">IFERROR(__xludf.DUMMYFUNCTION("""COMPUTED_VALUE"""),2)</f>
        <v>2</v>
      </c>
      <c r="U505" s="43" t="str">
        <f ca="1">IFERROR(__xludf.DUMMYFUNCTION("""COMPUTED_VALUE"""),"")</f>
        <v/>
      </c>
      <c r="V505" s="144" t="str">
        <f ca="1">IFERROR(__xludf.DUMMYFUNCTION("""COMPUTED_VALUE"""),"")</f>
        <v/>
      </c>
      <c r="W505" s="145" t="str">
        <f ca="1">IFERROR(__xludf.DUMMYFUNCTION("""COMPUTED_VALUE"""),"")</f>
        <v/>
      </c>
      <c r="X505" s="11" t="str">
        <f ca="1">IFERROR(__xludf.DUMMYFUNCTION("""COMPUTED_VALUE"""),"")</f>
        <v/>
      </c>
      <c r="Y505" s="11" t="str">
        <f ca="1">IFERROR(__xludf.DUMMYFUNCTION("""COMPUTED_VALUE"""),"")</f>
        <v/>
      </c>
      <c r="Z505" s="4" t="str">
        <f ca="1">IFERROR(__xludf.DUMMYFUNCTION("""COMPUTED_VALUE"""),"")</f>
        <v/>
      </c>
    </row>
    <row r="506" spans="1:26" ht="13" x14ac:dyDescent="0.15">
      <c r="A506" s="43" t="str">
        <f ca="1">IFERROR(__xludf.DUMMYFUNCTION("""COMPUTED_VALUE"""),"")</f>
        <v/>
      </c>
      <c r="B506" s="43" t="str">
        <f ca="1">IFERROR(__xludf.DUMMYFUNCTION("""COMPUTED_VALUE"""),"76848")</f>
        <v>76848</v>
      </c>
      <c r="C506" s="146">
        <f ca="1">IFERROR(__xludf.DUMMYFUNCTION("""COMPUTED_VALUE"""),44616000330)</f>
        <v>44616000330</v>
      </c>
      <c r="D506" s="43" t="str">
        <f ca="1">IFERROR(__xludf.DUMMYFUNCTION("""COMPUTED_VALUE"""),"CL=F")</f>
        <v>CL=F</v>
      </c>
      <c r="E506" s="147">
        <f ca="1">IFERROR(__xludf.DUMMYFUNCTION("""COMPUTED_VALUE"""),44616)</f>
        <v>44616</v>
      </c>
      <c r="F506" s="43" t="str">
        <f ca="1">IFERROR(__xludf.DUMMYFUNCTION("""COMPUTED_VALUE"""),"Stock")</f>
        <v>Stock</v>
      </c>
      <c r="G506" s="43" t="str">
        <f ca="1">IFERROR(__xludf.DUMMYFUNCTION("""COMPUTED_VALUE"""),"USD")</f>
        <v>USD</v>
      </c>
      <c r="H506" s="154">
        <f ca="1">IFERROR(__xludf.DUMMYFUNCTION("""COMPUTED_VALUE"""),100)</f>
        <v>100</v>
      </c>
      <c r="I506" s="148">
        <f ca="1">IFERROR(__xludf.DUMMYFUNCTION("""COMPUTED_VALUE"""),7.80775)</f>
        <v>7.8077500000000004</v>
      </c>
      <c r="J506" s="149">
        <f ca="1">IFERROR(__xludf.DUMMYFUNCTION("""COMPUTED_VALUE"""),92.81)</f>
        <v>92.81</v>
      </c>
      <c r="K506" s="43"/>
      <c r="L506" s="149">
        <f ca="1">IFERROR(__xludf.DUMMYFUNCTION("""COMPUTED_VALUE"""),111.3)</f>
        <v>111.3</v>
      </c>
      <c r="M506" s="160" t="str">
        <f ca="1">IFERROR(__xludf.DUMMYFUNCTION("""COMPUTED_VALUE"""),"Equity Key Stats")</f>
        <v>Equity Key Stats</v>
      </c>
      <c r="N506" s="43"/>
      <c r="O506" s="43"/>
      <c r="P506" s="157">
        <f ca="1">IFERROR(__xludf.DUMMYFUNCTION("""COMPUTED_VALUE"""),-72463.72775)</f>
        <v>-72463.727750000005</v>
      </c>
      <c r="Q506" s="151"/>
      <c r="R506" s="152">
        <f ca="1">IFERROR(__xludf.DUMMYFUNCTION("""COMPUTED_VALUE"""),115.83)</f>
        <v>115.83</v>
      </c>
      <c r="S506" s="150">
        <f ca="1">IFERROR(__xludf.DUMMYFUNCTION("""COMPUTED_VALUE"""),90437.16825)</f>
        <v>90437.168250000002</v>
      </c>
      <c r="T506" s="108">
        <f ca="1">IFERROR(__xludf.DUMMYFUNCTION("""COMPUTED_VALUE"""),3)</f>
        <v>3</v>
      </c>
      <c r="U506" s="43" t="str">
        <f ca="1">IFERROR(__xludf.DUMMYFUNCTION("""COMPUTED_VALUE"""),"")</f>
        <v/>
      </c>
      <c r="V506" s="144" t="str">
        <f ca="1">IFERROR(__xludf.DUMMYFUNCTION("""COMPUTED_VALUE"""),"")</f>
        <v/>
      </c>
      <c r="W506" s="145" t="str">
        <f ca="1">IFERROR(__xludf.DUMMYFUNCTION("""COMPUTED_VALUE"""),"")</f>
        <v/>
      </c>
      <c r="X506" s="11" t="str">
        <f ca="1">IFERROR(__xludf.DUMMYFUNCTION("""COMPUTED_VALUE"""),"")</f>
        <v/>
      </c>
      <c r="Y506" s="11" t="str">
        <f ca="1">IFERROR(__xludf.DUMMYFUNCTION("""COMPUTED_VALUE"""),"")</f>
        <v/>
      </c>
      <c r="Z506" s="4" t="str">
        <f ca="1">IFERROR(__xludf.DUMMYFUNCTION("""COMPUTED_VALUE"""),"")</f>
        <v/>
      </c>
    </row>
    <row r="507" spans="1:26" ht="13" x14ac:dyDescent="0.15">
      <c r="A507" s="43" t="str">
        <f ca="1">IFERROR(__xludf.DUMMYFUNCTION("""COMPUTED_VALUE"""),"")</f>
        <v/>
      </c>
      <c r="B507" s="43" t="str">
        <f ca="1">IFERROR(__xludf.DUMMYFUNCTION("""COMPUTED_VALUE"""),"76848")</f>
        <v>76848</v>
      </c>
      <c r="C507" s="146">
        <f ca="1">IFERROR(__xludf.DUMMYFUNCTION("""COMPUTED_VALUE"""),44616000332)</f>
        <v>44616000332</v>
      </c>
      <c r="D507" s="43" t="str">
        <f ca="1">IFERROR(__xludf.DUMMYFUNCTION("""COMPUTED_VALUE"""),"NET")</f>
        <v>NET</v>
      </c>
      <c r="E507" s="147">
        <f ca="1">IFERROR(__xludf.DUMMYFUNCTION("""COMPUTED_VALUE"""),44616)</f>
        <v>44616</v>
      </c>
      <c r="F507" s="43" t="str">
        <f ca="1">IFERROR(__xludf.DUMMYFUNCTION("""COMPUTED_VALUE"""),"Stock")</f>
        <v>Stock</v>
      </c>
      <c r="G507" s="43" t="str">
        <f ca="1">IFERROR(__xludf.DUMMYFUNCTION("""COMPUTED_VALUE"""),"USD")</f>
        <v>USD</v>
      </c>
      <c r="H507" s="154">
        <f ca="1">IFERROR(__xludf.DUMMYFUNCTION("""COMPUTED_VALUE"""),-10)</f>
        <v>-10</v>
      </c>
      <c r="I507" s="148">
        <f ca="1">IFERROR(__xludf.DUMMYFUNCTION("""COMPUTED_VALUE"""),7.80775)</f>
        <v>7.8077500000000004</v>
      </c>
      <c r="J507" s="149">
        <f ca="1">IFERROR(__xludf.DUMMYFUNCTION("""COMPUTED_VALUE"""),108.38)</f>
        <v>108.38</v>
      </c>
      <c r="K507" s="43"/>
      <c r="L507" s="149">
        <f ca="1">IFERROR(__xludf.DUMMYFUNCTION("""COMPUTED_VALUE"""),114.86)</f>
        <v>114.86</v>
      </c>
      <c r="M507" s="160" t="str">
        <f ca="1">IFERROR(__xludf.DUMMYFUNCTION("""COMPUTED_VALUE"""),"Equity Key Stats")</f>
        <v>Equity Key Stats</v>
      </c>
      <c r="N507" s="43"/>
      <c r="O507" s="43"/>
      <c r="P507" s="157">
        <f ca="1">IFERROR(__xludf.DUMMYFUNCTION("""COMPUTED_VALUE"""),8462.03945)</f>
        <v>8462.0394500000002</v>
      </c>
      <c r="Q507" s="151"/>
      <c r="R507" s="152">
        <f ca="1">IFERROR(__xludf.DUMMYFUNCTION("""COMPUTED_VALUE"""),117.59)</f>
        <v>117.59</v>
      </c>
      <c r="S507" s="150">
        <f ca="1">IFERROR(__xludf.DUMMYFUNCTION("""COMPUTED_VALUE"""),-9181.133225)</f>
        <v>-9181.1332249999996</v>
      </c>
      <c r="T507" s="108">
        <f ca="1">IFERROR(__xludf.DUMMYFUNCTION("""COMPUTED_VALUE"""),2)</f>
        <v>2</v>
      </c>
      <c r="U507" s="43">
        <f ca="1">IFERROR(__xludf.DUMMYFUNCTION("""COMPUTED_VALUE"""),1)</f>
        <v>1</v>
      </c>
      <c r="V507" s="144">
        <f ca="1">IFERROR(__xludf.DUMMYFUNCTION("""COMPUTED_VALUE"""),269.227674499999)</f>
        <v>269.22767449999901</v>
      </c>
      <c r="W507" s="145" t="str">
        <f ca="1">IFERROR(__xludf.DUMMYFUNCTION("""COMPUTED_VALUE"""),"")</f>
        <v/>
      </c>
      <c r="X507" s="11" t="str">
        <f ca="1">IFERROR(__xludf.DUMMYFUNCTION("""COMPUTED_VALUE"""),"")</f>
        <v/>
      </c>
      <c r="Y507" s="11" t="str">
        <f ca="1">IFERROR(__xludf.DUMMYFUNCTION("""COMPUTED_VALUE"""),"")</f>
        <v/>
      </c>
      <c r="Z507" s="4" t="str">
        <f ca="1">IFERROR(__xludf.DUMMYFUNCTION("""COMPUTED_VALUE"""),"")</f>
        <v/>
      </c>
    </row>
    <row r="508" spans="1:26" ht="13" x14ac:dyDescent="0.15">
      <c r="A508" s="43" t="str">
        <f ca="1">IFERROR(__xludf.DUMMYFUNCTION("""COMPUTED_VALUE"""),"")</f>
        <v/>
      </c>
      <c r="B508" s="43" t="str">
        <f ca="1">IFERROR(__xludf.DUMMYFUNCTION("""COMPUTED_VALUE"""),"76848")</f>
        <v>76848</v>
      </c>
      <c r="C508" s="146">
        <f ca="1">IFERROR(__xludf.DUMMYFUNCTION("""COMPUTED_VALUE"""),44617000327)</f>
        <v>44617000327</v>
      </c>
      <c r="D508" s="161" t="str">
        <f ca="1">IFERROR(__xludf.DUMMYFUNCTION("""COMPUTED_VALUE"""),"1398.HK")</f>
        <v>1398.HK</v>
      </c>
      <c r="E508" s="147">
        <f ca="1">IFERROR(__xludf.DUMMYFUNCTION("""COMPUTED_VALUE"""),44617)</f>
        <v>44617</v>
      </c>
      <c r="F508" s="43" t="str">
        <f ca="1">IFERROR(__xludf.DUMMYFUNCTION("""COMPUTED_VALUE"""),"Stock")</f>
        <v>Stock</v>
      </c>
      <c r="G508" s="43" t="str">
        <f ca="1">IFERROR(__xludf.DUMMYFUNCTION("""COMPUTED_VALUE"""),"HKD")</f>
        <v>HKD</v>
      </c>
      <c r="H508" s="156">
        <f ca="1">IFERROR(__xludf.DUMMYFUNCTION("""COMPUTED_VALUE"""),1000)</f>
        <v>1000</v>
      </c>
      <c r="I508" s="148">
        <f ca="1">IFERROR(__xludf.DUMMYFUNCTION("""COMPUTED_VALUE"""),1)</f>
        <v>1</v>
      </c>
      <c r="J508" s="149">
        <f ca="1">IFERROR(__xludf.DUMMYFUNCTION("""COMPUTED_VALUE"""),4.58)</f>
        <v>4.58</v>
      </c>
      <c r="K508" s="43"/>
      <c r="L508" s="149">
        <f ca="1">IFERROR(__xludf.DUMMYFUNCTION("""COMPUTED_VALUE"""),4.63)</f>
        <v>4.63</v>
      </c>
      <c r="M508" s="155" t="str">
        <f ca="1">IFERROR(__xludf.DUMMYFUNCTION("""COMPUTED_VALUE"""),"Equity Key Stats")</f>
        <v>Equity Key Stats</v>
      </c>
      <c r="N508" s="43"/>
      <c r="O508" s="43"/>
      <c r="P508" s="150">
        <f ca="1">IFERROR(__xludf.DUMMYFUNCTION("""COMPUTED_VALUE"""),-4580)</f>
        <v>-4580</v>
      </c>
      <c r="Q508" s="151"/>
      <c r="R508" s="152">
        <f ca="1">IFERROR(__xludf.DUMMYFUNCTION("""COMPUTED_VALUE"""),4.63)</f>
        <v>4.63</v>
      </c>
      <c r="S508" s="157">
        <f ca="1">IFERROR(__xludf.DUMMYFUNCTION("""COMPUTED_VALUE"""),4630)</f>
        <v>4630</v>
      </c>
      <c r="T508" s="108">
        <f ca="1">IFERROR(__xludf.DUMMYFUNCTION("""COMPUTED_VALUE"""),3)</f>
        <v>3</v>
      </c>
      <c r="U508" s="43" t="str">
        <f ca="1">IFERROR(__xludf.DUMMYFUNCTION("""COMPUTED_VALUE"""),"")</f>
        <v/>
      </c>
      <c r="V508" s="144" t="str">
        <f ca="1">IFERROR(__xludf.DUMMYFUNCTION("""COMPUTED_VALUE"""),"")</f>
        <v/>
      </c>
      <c r="W508" s="145" t="str">
        <f ca="1">IFERROR(__xludf.DUMMYFUNCTION("""COMPUTED_VALUE"""),"")</f>
        <v/>
      </c>
      <c r="X508" s="11" t="str">
        <f ca="1">IFERROR(__xludf.DUMMYFUNCTION("""COMPUTED_VALUE"""),"")</f>
        <v/>
      </c>
      <c r="Y508" s="11" t="str">
        <f ca="1">IFERROR(__xludf.DUMMYFUNCTION("""COMPUTED_VALUE"""),"")</f>
        <v/>
      </c>
      <c r="Z508" s="4" t="str">
        <f ca="1">IFERROR(__xludf.DUMMYFUNCTION("""COMPUTED_VALUE"""),"")</f>
        <v/>
      </c>
    </row>
    <row r="509" spans="1:26" ht="13" x14ac:dyDescent="0.15">
      <c r="A509" s="43" t="str">
        <f ca="1">IFERROR(__xludf.DUMMYFUNCTION("""COMPUTED_VALUE"""),"")</f>
        <v/>
      </c>
      <c r="B509" s="43" t="str">
        <f ca="1">IFERROR(__xludf.DUMMYFUNCTION("""COMPUTED_VALUE"""),"76848")</f>
        <v>76848</v>
      </c>
      <c r="C509" s="146">
        <f ca="1">IFERROR(__xludf.DUMMYFUNCTION("""COMPUTED_VALUE"""),44617000334)</f>
        <v>44617000334</v>
      </c>
      <c r="D509" s="161" t="str">
        <f ca="1">IFERROR(__xludf.DUMMYFUNCTION("""COMPUTED_VALUE"""),"300157.SZ")</f>
        <v>300157.SZ</v>
      </c>
      <c r="E509" s="147">
        <f ca="1">IFERROR(__xludf.DUMMYFUNCTION("""COMPUTED_VALUE"""),44617)</f>
        <v>44617</v>
      </c>
      <c r="F509" s="43" t="str">
        <f ca="1">IFERROR(__xludf.DUMMYFUNCTION("""COMPUTED_VALUE"""),"Stock")</f>
        <v>Stock</v>
      </c>
      <c r="G509" s="43" t="str">
        <f ca="1">IFERROR(__xludf.DUMMYFUNCTION("""COMPUTED_VALUE"""),"CNY")</f>
        <v>CNY</v>
      </c>
      <c r="H509" s="156">
        <f ca="1">IFERROR(__xludf.DUMMYFUNCTION("""COMPUTED_VALUE"""),0)</f>
        <v>0</v>
      </c>
      <c r="I509" s="148">
        <f ca="1">IFERROR(__xludf.DUMMYFUNCTION("""COMPUTED_VALUE"""),1.235635)</f>
        <v>1.235635</v>
      </c>
      <c r="J509" s="149">
        <f ca="1">IFERROR(__xludf.DUMMYFUNCTION("""COMPUTED_VALUE"""),0)</f>
        <v>0</v>
      </c>
      <c r="K509" s="43"/>
      <c r="L509" s="149">
        <f ca="1">IFERROR(__xludf.DUMMYFUNCTION("""COMPUTED_VALUE"""),5.27)</f>
        <v>5.27</v>
      </c>
      <c r="M509" s="160" t="str">
        <f ca="1">IFERROR(__xludf.DUMMYFUNCTION("""COMPUTED_VALUE"""),"Equity Key Stats")</f>
        <v>Equity Key Stats</v>
      </c>
      <c r="N509" s="43"/>
      <c r="O509" s="43"/>
      <c r="P509" s="150">
        <f ca="1">IFERROR(__xludf.DUMMYFUNCTION("""COMPUTED_VALUE"""),0)</f>
        <v>0</v>
      </c>
      <c r="Q509" s="151"/>
      <c r="R509" s="152">
        <f ca="1">IFERROR(__xludf.DUMMYFUNCTION("""COMPUTED_VALUE"""),5.15)</f>
        <v>5.15</v>
      </c>
      <c r="S509" s="150">
        <f ca="1">IFERROR(__xludf.DUMMYFUNCTION("""COMPUTED_VALUE"""),0)</f>
        <v>0</v>
      </c>
      <c r="T509" s="108">
        <f ca="1">IFERROR(__xludf.DUMMYFUNCTION("""COMPUTED_VALUE"""),1)</f>
        <v>1</v>
      </c>
      <c r="U509" s="108">
        <f ca="1">IFERROR(__xludf.DUMMYFUNCTION("""COMPUTED_VALUE"""),1)</f>
        <v>1</v>
      </c>
      <c r="V509" s="158">
        <f ca="1">IFERROR(__xludf.DUMMYFUNCTION("""COMPUTED_VALUE"""),0)</f>
        <v>0</v>
      </c>
      <c r="W509" s="145" t="str">
        <f ca="1">IFERROR(__xludf.DUMMYFUNCTION("""COMPUTED_VALUE"""),"")</f>
        <v/>
      </c>
      <c r="X509" s="11" t="str">
        <f ca="1">IFERROR(__xludf.DUMMYFUNCTION("""COMPUTED_VALUE"""),"")</f>
        <v/>
      </c>
      <c r="Y509" s="11" t="str">
        <f ca="1">IFERROR(__xludf.DUMMYFUNCTION("""COMPUTED_VALUE"""),"")</f>
        <v/>
      </c>
      <c r="Z509" s="4" t="str">
        <f ca="1">IFERROR(__xludf.DUMMYFUNCTION("""COMPUTED_VALUE"""),"")</f>
        <v/>
      </c>
    </row>
    <row r="510" spans="1:26" ht="13" x14ac:dyDescent="0.15">
      <c r="A510" s="43" t="str">
        <f ca="1">IFERROR(__xludf.DUMMYFUNCTION("""COMPUTED_VALUE"""),"")</f>
        <v/>
      </c>
      <c r="B510" s="43" t="str">
        <f ca="1">IFERROR(__xludf.DUMMYFUNCTION("""COMPUTED_VALUE"""),"76848")</f>
        <v>76848</v>
      </c>
      <c r="C510" s="146">
        <f ca="1">IFERROR(__xludf.DUMMYFUNCTION("""COMPUTED_VALUE"""),44624000435)</f>
        <v>44624000435</v>
      </c>
      <c r="D510" s="43" t="str">
        <f ca="1">IFERROR(__xludf.DUMMYFUNCTION("""COMPUTED_VALUE"""),"AMAT")</f>
        <v>AMAT</v>
      </c>
      <c r="E510" s="147">
        <f ca="1">IFERROR(__xludf.DUMMYFUNCTION("""COMPUTED_VALUE"""),44624)</f>
        <v>44624</v>
      </c>
      <c r="F510" s="43" t="str">
        <f ca="1">IFERROR(__xludf.DUMMYFUNCTION("""COMPUTED_VALUE"""),"Stock")</f>
        <v>Stock</v>
      </c>
      <c r="G510" s="43" t="str">
        <f ca="1">IFERROR(__xludf.DUMMYFUNCTION("""COMPUTED_VALUE"""),"USD")</f>
        <v>USD</v>
      </c>
      <c r="H510" s="154">
        <f ca="1">IFERROR(__xludf.DUMMYFUNCTION("""COMPUTED_VALUE"""),0)</f>
        <v>0</v>
      </c>
      <c r="I510" s="148">
        <f ca="1">IFERROR(__xludf.DUMMYFUNCTION("""COMPUTED_VALUE"""),7.81428)</f>
        <v>7.8142800000000001</v>
      </c>
      <c r="J510" s="149">
        <f ca="1">IFERROR(__xludf.DUMMYFUNCTION("""COMPUTED_VALUE"""),0)</f>
        <v>0</v>
      </c>
      <c r="K510" s="43"/>
      <c r="L510" s="149">
        <f ca="1">IFERROR(__xludf.DUMMYFUNCTION("""COMPUTED_VALUE"""),135.48)</f>
        <v>135.47999999999999</v>
      </c>
      <c r="M510" s="160" t="str">
        <f ca="1">IFERROR(__xludf.DUMMYFUNCTION("""COMPUTED_VALUE"""),"Equity Key Stats")</f>
        <v>Equity Key Stats</v>
      </c>
      <c r="N510" s="43"/>
      <c r="O510" s="43"/>
      <c r="P510" s="157">
        <f ca="1">IFERROR(__xludf.DUMMYFUNCTION("""COMPUTED_VALUE"""),0)</f>
        <v>0</v>
      </c>
      <c r="Q510" s="151"/>
      <c r="R510" s="152">
        <f ca="1">IFERROR(__xludf.DUMMYFUNCTION("""COMPUTED_VALUE"""),131.42)</f>
        <v>131.41999999999999</v>
      </c>
      <c r="S510" s="150">
        <f ca="1">IFERROR(__xludf.DUMMYFUNCTION("""COMPUTED_VALUE"""),0)</f>
        <v>0</v>
      </c>
      <c r="T510" s="108">
        <f ca="1">IFERROR(__xludf.DUMMYFUNCTION("""COMPUTED_VALUE"""),2)</f>
        <v>2</v>
      </c>
      <c r="U510" s="43">
        <f ca="1">IFERROR(__xludf.DUMMYFUNCTION("""COMPUTED_VALUE"""),1)</f>
        <v>1</v>
      </c>
      <c r="V510" s="144">
        <f ca="1">IFERROR(__xludf.DUMMYFUNCTION("""COMPUTED_VALUE"""),-1969.2765375)</f>
        <v>-1969.2765374999999</v>
      </c>
      <c r="W510" s="145" t="str">
        <f ca="1">IFERROR(__xludf.DUMMYFUNCTION("""COMPUTED_VALUE"""),"")</f>
        <v/>
      </c>
      <c r="X510" s="11" t="str">
        <f ca="1">IFERROR(__xludf.DUMMYFUNCTION("""COMPUTED_VALUE"""),"")</f>
        <v/>
      </c>
      <c r="Y510" s="11" t="str">
        <f ca="1">IFERROR(__xludf.DUMMYFUNCTION("""COMPUTED_VALUE"""),"")</f>
        <v/>
      </c>
      <c r="Z510" s="4" t="str">
        <f ca="1">IFERROR(__xludf.DUMMYFUNCTION("""COMPUTED_VALUE"""),"")</f>
        <v/>
      </c>
    </row>
    <row r="511" spans="1:26" ht="13" x14ac:dyDescent="0.15">
      <c r="A511" s="43" t="str">
        <f ca="1">IFERROR(__xludf.DUMMYFUNCTION("""COMPUTED_VALUE"""),"")</f>
        <v/>
      </c>
      <c r="B511" s="43" t="str">
        <f ca="1">IFERROR(__xludf.DUMMYFUNCTION("""COMPUTED_VALUE"""),"76848")</f>
        <v>76848</v>
      </c>
      <c r="C511" s="146">
        <f ca="1">IFERROR(__xludf.DUMMYFUNCTION("""COMPUTED_VALUE"""),44624000437)</f>
        <v>44624000437</v>
      </c>
      <c r="D511" s="43" t="str">
        <f ca="1">IFERROR(__xludf.DUMMYFUNCTION("""COMPUTED_VALUE"""),"BRK-B")</f>
        <v>BRK-B</v>
      </c>
      <c r="E511" s="147">
        <f ca="1">IFERROR(__xludf.DUMMYFUNCTION("""COMPUTED_VALUE"""),44624)</f>
        <v>44624</v>
      </c>
      <c r="F511" s="43" t="str">
        <f ca="1">IFERROR(__xludf.DUMMYFUNCTION("""COMPUTED_VALUE"""),"Stock")</f>
        <v>Stock</v>
      </c>
      <c r="G511" s="43" t="str">
        <f ca="1">IFERROR(__xludf.DUMMYFUNCTION("""COMPUTED_VALUE"""),"USD")</f>
        <v>USD</v>
      </c>
      <c r="H511" s="154">
        <f ca="1">IFERROR(__xludf.DUMMYFUNCTION("""COMPUTED_VALUE"""),-40)</f>
        <v>-40</v>
      </c>
      <c r="I511" s="148">
        <f ca="1">IFERROR(__xludf.DUMMYFUNCTION("""COMPUTED_VALUE"""),7.81428)</f>
        <v>7.8142800000000001</v>
      </c>
      <c r="J511" s="149">
        <f ca="1">IFERROR(__xludf.DUMMYFUNCTION("""COMPUTED_VALUE"""),325.34)</f>
        <v>325.33999999999997</v>
      </c>
      <c r="K511" s="43"/>
      <c r="L511" s="149">
        <f ca="1">IFERROR(__xludf.DUMMYFUNCTION("""COMPUTED_VALUE"""),349.93)</f>
        <v>349.93</v>
      </c>
      <c r="M511" s="160" t="str">
        <f ca="1">IFERROR(__xludf.DUMMYFUNCTION("""COMPUTED_VALUE"""),"Equity Key Stats")</f>
        <v>Equity Key Stats</v>
      </c>
      <c r="N511" s="43"/>
      <c r="O511" s="43"/>
      <c r="P511" s="157">
        <f ca="1">IFERROR(__xludf.DUMMYFUNCTION("""COMPUTED_VALUE"""),101691.914207999)</f>
        <v>101691.914207999</v>
      </c>
      <c r="Q511" s="151"/>
      <c r="R511" s="152">
        <f ca="1">IFERROR(__xludf.DUMMYFUNCTION("""COMPUTED_VALUE"""),348.16)</f>
        <v>348.16</v>
      </c>
      <c r="S511" s="150">
        <f ca="1">IFERROR(__xludf.DUMMYFUNCTION("""COMPUTED_VALUE"""),-108824.788992)</f>
        <v>-108824.788992</v>
      </c>
      <c r="T511" s="108">
        <f ca="1">IFERROR(__xludf.DUMMYFUNCTION("""COMPUTED_VALUE"""),2)</f>
        <v>2</v>
      </c>
      <c r="U511" s="43" t="str">
        <f ca="1">IFERROR(__xludf.DUMMYFUNCTION("""COMPUTED_VALUE"""),"")</f>
        <v/>
      </c>
      <c r="V511" s="144" t="str">
        <f ca="1">IFERROR(__xludf.DUMMYFUNCTION("""COMPUTED_VALUE"""),"")</f>
        <v/>
      </c>
      <c r="W511" s="145" t="str">
        <f ca="1">IFERROR(__xludf.DUMMYFUNCTION("""COMPUTED_VALUE"""),"")</f>
        <v/>
      </c>
      <c r="X511" s="11" t="str">
        <f ca="1">IFERROR(__xludf.DUMMYFUNCTION("""COMPUTED_VALUE"""),"")</f>
        <v/>
      </c>
      <c r="Y511" s="11" t="str">
        <f ca="1">IFERROR(__xludf.DUMMYFUNCTION("""COMPUTED_VALUE"""),"")</f>
        <v/>
      </c>
      <c r="Z511" s="4" t="str">
        <f ca="1">IFERROR(__xludf.DUMMYFUNCTION("""COMPUTED_VALUE"""),"")</f>
        <v/>
      </c>
    </row>
    <row r="512" spans="1:26" ht="13" x14ac:dyDescent="0.15">
      <c r="A512" s="43" t="str">
        <f ca="1">IFERROR(__xludf.DUMMYFUNCTION("""COMPUTED_VALUE"""),"")</f>
        <v/>
      </c>
      <c r="B512" s="43" t="str">
        <f ca="1">IFERROR(__xludf.DUMMYFUNCTION("""COMPUTED_VALUE"""),"76848")</f>
        <v>76848</v>
      </c>
      <c r="C512" s="146">
        <f ca="1">IFERROR(__xludf.DUMMYFUNCTION("""COMPUTED_VALUE"""),44630000524)</f>
        <v>44630000524</v>
      </c>
      <c r="D512" s="43" t="str">
        <f ca="1">IFERROR(__xludf.DUMMYFUNCTION("""COMPUTED_VALUE"""),"BRK-B")</f>
        <v>BRK-B</v>
      </c>
      <c r="E512" s="147">
        <f ca="1">IFERROR(__xludf.DUMMYFUNCTION("""COMPUTED_VALUE"""),44630)</f>
        <v>44630</v>
      </c>
      <c r="F512" s="43" t="str">
        <f ca="1">IFERROR(__xludf.DUMMYFUNCTION("""COMPUTED_VALUE"""),"Stock")</f>
        <v>Stock</v>
      </c>
      <c r="G512" s="43" t="str">
        <f ca="1">IFERROR(__xludf.DUMMYFUNCTION("""COMPUTED_VALUE"""),"USD")</f>
        <v>USD</v>
      </c>
      <c r="H512" s="156">
        <f ca="1">IFERROR(__xludf.DUMMYFUNCTION("""COMPUTED_VALUE"""),40)</f>
        <v>40</v>
      </c>
      <c r="I512" s="148">
        <f ca="1">IFERROR(__xludf.DUMMYFUNCTION("""COMPUTED_VALUE"""),7.82295)</f>
        <v>7.8229499999999996</v>
      </c>
      <c r="J512" s="149">
        <f ca="1">IFERROR(__xludf.DUMMYFUNCTION("""COMPUTED_VALUE"""),325.4)</f>
        <v>325.39999999999998</v>
      </c>
      <c r="K512" s="43"/>
      <c r="L512" s="149">
        <f ca="1">IFERROR(__xludf.DUMMYFUNCTION("""COMPUTED_VALUE"""),349.93)</f>
        <v>349.93</v>
      </c>
      <c r="M512" s="160" t="str">
        <f ca="1">IFERROR(__xludf.DUMMYFUNCTION("""COMPUTED_VALUE"""),"Equity Key Stats")</f>
        <v>Equity Key Stats</v>
      </c>
      <c r="N512" s="43"/>
      <c r="O512" s="43"/>
      <c r="P512" s="150">
        <f ca="1">IFERROR(__xludf.DUMMYFUNCTION("""COMPUTED_VALUE"""),-101823.5172)</f>
        <v>-101823.5172</v>
      </c>
      <c r="Q512" s="151"/>
      <c r="R512" s="152">
        <f ca="1">IFERROR(__xludf.DUMMYFUNCTION("""COMPUTED_VALUE"""),348.16)</f>
        <v>348.16</v>
      </c>
      <c r="S512" s="157">
        <f ca="1">IFERROR(__xludf.DUMMYFUNCTION("""COMPUTED_VALUE"""),108945.53088)</f>
        <v>108945.53088000001</v>
      </c>
      <c r="T512" s="108">
        <f ca="1">IFERROR(__xludf.DUMMYFUNCTION("""COMPUTED_VALUE"""),2)</f>
        <v>2</v>
      </c>
      <c r="U512" s="108">
        <f ca="1">IFERROR(__xludf.DUMMYFUNCTION("""COMPUTED_VALUE"""),1)</f>
        <v>1</v>
      </c>
      <c r="V512" s="153">
        <f ca="1">IFERROR(__xludf.DUMMYFUNCTION("""COMPUTED_VALUE"""),-10.8611040000105)</f>
        <v>-10.861104000010499</v>
      </c>
      <c r="W512" s="145" t="str">
        <f ca="1">IFERROR(__xludf.DUMMYFUNCTION("""COMPUTED_VALUE"""),"")</f>
        <v/>
      </c>
      <c r="X512" s="11" t="str">
        <f ca="1">IFERROR(__xludf.DUMMYFUNCTION("""COMPUTED_VALUE"""),"")</f>
        <v/>
      </c>
      <c r="Y512" s="11" t="str">
        <f ca="1">IFERROR(__xludf.DUMMYFUNCTION("""COMPUTED_VALUE"""),"")</f>
        <v/>
      </c>
      <c r="Z512" s="4" t="str">
        <f ca="1">IFERROR(__xludf.DUMMYFUNCTION("""COMPUTED_VALUE"""),"")</f>
        <v/>
      </c>
    </row>
    <row r="513" spans="1:26" ht="13" x14ac:dyDescent="0.15">
      <c r="A513" s="43" t="str">
        <f ca="1">IFERROR(__xludf.DUMMYFUNCTION("""COMPUTED_VALUE"""),"")</f>
        <v/>
      </c>
      <c r="B513" s="43" t="str">
        <f ca="1">IFERROR(__xludf.DUMMYFUNCTION("""COMPUTED_VALUE"""),"76848")</f>
        <v>76848</v>
      </c>
      <c r="C513" s="146">
        <f ca="1">IFERROR(__xludf.DUMMYFUNCTION("""COMPUTED_VALUE"""),44630000526)</f>
        <v>44630000526</v>
      </c>
      <c r="D513" s="43" t="str">
        <f ca="1">IFERROR(__xludf.DUMMYFUNCTION("""COMPUTED_VALUE"""),"CL=F")</f>
        <v>CL=F</v>
      </c>
      <c r="E513" s="147">
        <f ca="1">IFERROR(__xludf.DUMMYFUNCTION("""COMPUTED_VALUE"""),44630)</f>
        <v>44630</v>
      </c>
      <c r="F513" s="43" t="str">
        <f ca="1">IFERROR(__xludf.DUMMYFUNCTION("""COMPUTED_VALUE"""),"Stock")</f>
        <v>Stock</v>
      </c>
      <c r="G513" s="43" t="str">
        <f ca="1">IFERROR(__xludf.DUMMYFUNCTION("""COMPUTED_VALUE"""),"USD")</f>
        <v>USD</v>
      </c>
      <c r="H513" s="156">
        <f ca="1">IFERROR(__xludf.DUMMYFUNCTION("""COMPUTED_VALUE"""),100)</f>
        <v>100</v>
      </c>
      <c r="I513" s="148">
        <f ca="1">IFERROR(__xludf.DUMMYFUNCTION("""COMPUTED_VALUE"""),7.82295)</f>
        <v>7.8229499999999996</v>
      </c>
      <c r="J513" s="149">
        <f ca="1">IFERROR(__xludf.DUMMYFUNCTION("""COMPUTED_VALUE"""),106.04)</f>
        <v>106.04</v>
      </c>
      <c r="K513" s="43"/>
      <c r="L513" s="149">
        <f ca="1">IFERROR(__xludf.DUMMYFUNCTION("""COMPUTED_VALUE"""),111.3)</f>
        <v>111.3</v>
      </c>
      <c r="M513" s="160" t="str">
        <f ca="1">IFERROR(__xludf.DUMMYFUNCTION("""COMPUTED_VALUE"""),"Equity Key Stats")</f>
        <v>Equity Key Stats</v>
      </c>
      <c r="N513" s="43"/>
      <c r="O513" s="43"/>
      <c r="P513" s="150">
        <f ca="1">IFERROR(__xludf.DUMMYFUNCTION("""COMPUTED_VALUE"""),-82954.5618)</f>
        <v>-82954.561799999996</v>
      </c>
      <c r="Q513" s="151"/>
      <c r="R513" s="152">
        <f ca="1">IFERROR(__xludf.DUMMYFUNCTION("""COMPUTED_VALUE"""),115.83)</f>
        <v>115.83</v>
      </c>
      <c r="S513" s="157">
        <f ca="1">IFERROR(__xludf.DUMMYFUNCTION("""COMPUTED_VALUE"""),90613.2298499999)</f>
        <v>90613.229849999901</v>
      </c>
      <c r="T513" s="108">
        <f ca="1">IFERROR(__xludf.DUMMYFUNCTION("""COMPUTED_VALUE"""),3)</f>
        <v>3</v>
      </c>
      <c r="U513" s="108" t="str">
        <f ca="1">IFERROR(__xludf.DUMMYFUNCTION("""COMPUTED_VALUE"""),"")</f>
        <v/>
      </c>
      <c r="V513" s="158" t="str">
        <f ca="1">IFERROR(__xludf.DUMMYFUNCTION("""COMPUTED_VALUE"""),"")</f>
        <v/>
      </c>
      <c r="W513" s="145" t="str">
        <f ca="1">IFERROR(__xludf.DUMMYFUNCTION("""COMPUTED_VALUE"""),"")</f>
        <v/>
      </c>
      <c r="X513" s="11" t="str">
        <f ca="1">IFERROR(__xludf.DUMMYFUNCTION("""COMPUTED_VALUE"""),"")</f>
        <v/>
      </c>
      <c r="Y513" s="11" t="str">
        <f ca="1">IFERROR(__xludf.DUMMYFUNCTION("""COMPUTED_VALUE"""),"")</f>
        <v/>
      </c>
      <c r="Z513" s="4" t="str">
        <f ca="1">IFERROR(__xludf.DUMMYFUNCTION("""COMPUTED_VALUE"""),"")</f>
        <v/>
      </c>
    </row>
    <row r="514" spans="1:26" ht="13" x14ac:dyDescent="0.15">
      <c r="A514" s="43" t="str">
        <f ca="1">IFERROR(__xludf.DUMMYFUNCTION("""COMPUTED_VALUE"""),"")</f>
        <v/>
      </c>
      <c r="B514" s="43" t="str">
        <f ca="1">IFERROR(__xludf.DUMMYFUNCTION("""COMPUTED_VALUE"""),"76848")</f>
        <v>76848</v>
      </c>
      <c r="C514" s="146">
        <f ca="1">IFERROR(__xludf.DUMMYFUNCTION("""COMPUTED_VALUE"""),44630000527)</f>
        <v>44630000527</v>
      </c>
      <c r="D514" s="43" t="str">
        <f ca="1">IFERROR(__xludf.DUMMYFUNCTION("""COMPUTED_VALUE"""),"AAPL")</f>
        <v>AAPL</v>
      </c>
      <c r="E514" s="147">
        <f ca="1">IFERROR(__xludf.DUMMYFUNCTION("""COMPUTED_VALUE"""),44630)</f>
        <v>44630</v>
      </c>
      <c r="F514" s="43" t="str">
        <f ca="1">IFERROR(__xludf.DUMMYFUNCTION("""COMPUTED_VALUE"""),"Stock")</f>
        <v>Stock</v>
      </c>
      <c r="G514" s="43" t="str">
        <f ca="1">IFERROR(__xludf.DUMMYFUNCTION("""COMPUTED_VALUE"""),"USD")</f>
        <v>USD</v>
      </c>
      <c r="H514" s="156">
        <f ca="1">IFERROR(__xludf.DUMMYFUNCTION("""COMPUTED_VALUE"""),20)</f>
        <v>20</v>
      </c>
      <c r="I514" s="148">
        <f ca="1">IFERROR(__xludf.DUMMYFUNCTION("""COMPUTED_VALUE"""),7.82295)</f>
        <v>7.8229499999999996</v>
      </c>
      <c r="J514" s="149">
        <f ca="1">IFERROR(__xludf.DUMMYFUNCTION("""COMPUTED_VALUE"""),162.95)</f>
        <v>162.94999999999999</v>
      </c>
      <c r="K514" s="43"/>
      <c r="L514" s="149">
        <f ca="1">IFERROR(__xludf.DUMMYFUNCTION("""COMPUTED_VALUE"""),168.82)</f>
        <v>168.82</v>
      </c>
      <c r="M514" s="160" t="str">
        <f ca="1">IFERROR(__xludf.DUMMYFUNCTION("""COMPUTED_VALUE"""),"Equity Key Stats")</f>
        <v>Equity Key Stats</v>
      </c>
      <c r="N514" s="43"/>
      <c r="O514" s="43"/>
      <c r="P514" s="150">
        <f ca="1">IFERROR(__xludf.DUMMYFUNCTION("""COMPUTED_VALUE"""),-25494.9940499999)</f>
        <v>-25494.994049999899</v>
      </c>
      <c r="Q514" s="151"/>
      <c r="R514" s="152">
        <f ca="1">IFERROR(__xludf.DUMMYFUNCTION("""COMPUTED_VALUE"""),170.21)</f>
        <v>170.21</v>
      </c>
      <c r="S514" s="157">
        <f ca="1">IFERROR(__xludf.DUMMYFUNCTION("""COMPUTED_VALUE"""),26630.88639)</f>
        <v>26630.88639</v>
      </c>
      <c r="T514" s="108">
        <f ca="1">IFERROR(__xludf.DUMMYFUNCTION("""COMPUTED_VALUE"""),1)</f>
        <v>1</v>
      </c>
      <c r="U514" s="108">
        <f ca="1">IFERROR(__xludf.DUMMYFUNCTION("""COMPUTED_VALUE"""),1)</f>
        <v>1</v>
      </c>
      <c r="V514" s="158">
        <f ca="1">IFERROR(__xludf.DUMMYFUNCTION("""COMPUTED_VALUE"""),1135.89234)</f>
        <v>1135.8923400000001</v>
      </c>
      <c r="W514" s="145" t="str">
        <f ca="1">IFERROR(__xludf.DUMMYFUNCTION("""COMPUTED_VALUE"""),"")</f>
        <v/>
      </c>
      <c r="X514" s="11" t="str">
        <f ca="1">IFERROR(__xludf.DUMMYFUNCTION("""COMPUTED_VALUE"""),"")</f>
        <v/>
      </c>
      <c r="Y514" s="11" t="str">
        <f ca="1">IFERROR(__xludf.DUMMYFUNCTION("""COMPUTED_VALUE"""),"")</f>
        <v/>
      </c>
      <c r="Z514" s="4" t="str">
        <f ca="1">IFERROR(__xludf.DUMMYFUNCTION("""COMPUTED_VALUE"""),"")</f>
        <v/>
      </c>
    </row>
    <row r="515" spans="1:26" ht="13" x14ac:dyDescent="0.15">
      <c r="A515" s="43" t="str">
        <f ca="1">IFERROR(__xludf.DUMMYFUNCTION("""COMPUTED_VALUE"""),"")</f>
        <v/>
      </c>
      <c r="B515" s="43" t="str">
        <f ca="1">IFERROR(__xludf.DUMMYFUNCTION("""COMPUTED_VALUE"""),"76848")</f>
        <v>76848</v>
      </c>
      <c r="C515" s="146">
        <f ca="1">IFERROR(__xludf.DUMMYFUNCTION("""COMPUTED_VALUE"""),44635000616)</f>
        <v>44635000616</v>
      </c>
      <c r="D515" s="43" t="str">
        <f ca="1">IFERROR(__xludf.DUMMYFUNCTION("""COMPUTED_VALUE"""),"CL=F")</f>
        <v>CL=F</v>
      </c>
      <c r="E515" s="147">
        <f ca="1">IFERROR(__xludf.DUMMYFUNCTION("""COMPUTED_VALUE"""),44635)</f>
        <v>44635</v>
      </c>
      <c r="F515" s="43" t="str">
        <f ca="1">IFERROR(__xludf.DUMMYFUNCTION("""COMPUTED_VALUE"""),"Stock")</f>
        <v>Stock</v>
      </c>
      <c r="G515" s="43" t="str">
        <f ca="1">IFERROR(__xludf.DUMMYFUNCTION("""COMPUTED_VALUE"""),"USD")</f>
        <v>USD</v>
      </c>
      <c r="H515" s="156">
        <f ca="1">IFERROR(__xludf.DUMMYFUNCTION("""COMPUTED_VALUE"""),-200)</f>
        <v>-200</v>
      </c>
      <c r="I515" s="148">
        <f ca="1">IFERROR(__xludf.DUMMYFUNCTION("""COMPUTED_VALUE"""),7.82695)</f>
        <v>7.8269500000000001</v>
      </c>
      <c r="J515" s="149">
        <f ca="1">IFERROR(__xludf.DUMMYFUNCTION("""COMPUTED_VALUE"""),96.13)</f>
        <v>96.13</v>
      </c>
      <c r="K515" s="43"/>
      <c r="L515" s="149">
        <f ca="1">IFERROR(__xludf.DUMMYFUNCTION("""COMPUTED_VALUE"""),111.3)</f>
        <v>111.3</v>
      </c>
      <c r="M515" s="155" t="str">
        <f ca="1">IFERROR(__xludf.DUMMYFUNCTION("""COMPUTED_VALUE"""),"Equity Key Stats")</f>
        <v>Equity Key Stats</v>
      </c>
      <c r="N515" s="43"/>
      <c r="O515" s="43"/>
      <c r="P515" s="150">
        <f ca="1">IFERROR(__xludf.DUMMYFUNCTION("""COMPUTED_VALUE"""),150480.9407)</f>
        <v>150480.94070000001</v>
      </c>
      <c r="Q515" s="151"/>
      <c r="R515" s="152">
        <f ca="1">IFERROR(__xludf.DUMMYFUNCTION("""COMPUTED_VALUE"""),115.83)</f>
        <v>115.83</v>
      </c>
      <c r="S515" s="157">
        <f ca="1">IFERROR(__xludf.DUMMYFUNCTION("""COMPUTED_VALUE"""),-181319.1237)</f>
        <v>-181319.1237</v>
      </c>
      <c r="T515" s="108">
        <f ca="1">IFERROR(__xludf.DUMMYFUNCTION("""COMPUTED_VALUE"""),3)</f>
        <v>3</v>
      </c>
      <c r="U515" s="108">
        <f ca="1">IFERROR(__xludf.DUMMYFUNCTION("""COMPUTED_VALUE"""),1)</f>
        <v>1</v>
      </c>
      <c r="V515" s="158">
        <f ca="1">IFERROR(__xludf.DUMMYFUNCTION("""COMPUTED_VALUE"""),-5206.07444999998)</f>
        <v>-5206.0744499999801</v>
      </c>
      <c r="W515" s="145" t="str">
        <f ca="1">IFERROR(__xludf.DUMMYFUNCTION("""COMPUTED_VALUE"""),"")</f>
        <v/>
      </c>
      <c r="X515" s="11" t="str">
        <f ca="1">IFERROR(__xludf.DUMMYFUNCTION("""COMPUTED_VALUE"""),"")</f>
        <v/>
      </c>
      <c r="Y515" s="11" t="str">
        <f ca="1">IFERROR(__xludf.DUMMYFUNCTION("""COMPUTED_VALUE"""),"")</f>
        <v/>
      </c>
      <c r="Z515" s="4" t="str">
        <f ca="1">IFERROR(__xludf.DUMMYFUNCTION("""COMPUTED_VALUE"""),"")</f>
        <v/>
      </c>
    </row>
    <row r="516" spans="1:26" ht="13" x14ac:dyDescent="0.15">
      <c r="A516" s="43" t="str">
        <f ca="1">IFERROR(__xludf.DUMMYFUNCTION("""COMPUTED_VALUE"""),"")</f>
        <v/>
      </c>
      <c r="B516" s="43" t="str">
        <f ca="1">IFERROR(__xludf.DUMMYFUNCTION("""COMPUTED_VALUE"""),"76848")</f>
        <v>76848</v>
      </c>
      <c r="C516" s="146">
        <f ca="1">IFERROR(__xludf.DUMMYFUNCTION("""COMPUTED_VALUE"""),44635000623)</f>
        <v>44635000623</v>
      </c>
      <c r="D516" s="43" t="str">
        <f ca="1">IFERROR(__xludf.DUMMYFUNCTION("""COMPUTED_VALUE"""),"IXHL")</f>
        <v>IXHL</v>
      </c>
      <c r="E516" s="147">
        <f ca="1">IFERROR(__xludf.DUMMYFUNCTION("""COMPUTED_VALUE"""),44635)</f>
        <v>44635</v>
      </c>
      <c r="F516" s="43" t="str">
        <f ca="1">IFERROR(__xludf.DUMMYFUNCTION("""COMPUTED_VALUE"""),"Stock")</f>
        <v>Stock</v>
      </c>
      <c r="G516" s="43" t="str">
        <f ca="1">IFERROR(__xludf.DUMMYFUNCTION("""COMPUTED_VALUE"""),"USD")</f>
        <v>USD</v>
      </c>
      <c r="H516" s="154">
        <f ca="1">IFERROR(__xludf.DUMMYFUNCTION("""COMPUTED_VALUE"""),0)</f>
        <v>0</v>
      </c>
      <c r="I516" s="148">
        <f ca="1">IFERROR(__xludf.DUMMYFUNCTION("""COMPUTED_VALUE"""),7.82695)</f>
        <v>7.8269500000000001</v>
      </c>
      <c r="J516" s="149">
        <f ca="1">IFERROR(__xludf.DUMMYFUNCTION("""COMPUTED_VALUE"""),0)</f>
        <v>0</v>
      </c>
      <c r="K516" s="43"/>
      <c r="L516" s="149">
        <f ca="1">IFERROR(__xludf.DUMMYFUNCTION("""COMPUTED_VALUE"""),11.78)</f>
        <v>11.78</v>
      </c>
      <c r="M516" s="160" t="str">
        <f ca="1">IFERROR(__xludf.DUMMYFUNCTION("""COMPUTED_VALUE"""),"Equity Key Stats")</f>
        <v>Equity Key Stats</v>
      </c>
      <c r="N516" s="43"/>
      <c r="O516" s="43"/>
      <c r="P516" s="157">
        <f ca="1">IFERROR(__xludf.DUMMYFUNCTION("""COMPUTED_VALUE"""),0)</f>
        <v>0</v>
      </c>
      <c r="Q516" s="151"/>
      <c r="R516" s="152">
        <f ca="1">IFERROR(__xludf.DUMMYFUNCTION("""COMPUTED_VALUE"""),11.78)</f>
        <v>11.78</v>
      </c>
      <c r="S516" s="150">
        <f ca="1">IFERROR(__xludf.DUMMYFUNCTION("""COMPUTED_VALUE"""),0)</f>
        <v>0</v>
      </c>
      <c r="T516" s="108">
        <f ca="1">IFERROR(__xludf.DUMMYFUNCTION("""COMPUTED_VALUE"""),2)</f>
        <v>2</v>
      </c>
      <c r="U516" s="43" t="str">
        <f ca="1">IFERROR(__xludf.DUMMYFUNCTION("""COMPUTED_VALUE"""),"")</f>
        <v/>
      </c>
      <c r="V516" s="144" t="str">
        <f ca="1">IFERROR(__xludf.DUMMYFUNCTION("""COMPUTED_VALUE"""),"")</f>
        <v/>
      </c>
      <c r="W516" s="145" t="str">
        <f ca="1">IFERROR(__xludf.DUMMYFUNCTION("""COMPUTED_VALUE"""),"")</f>
        <v/>
      </c>
      <c r="X516" s="11" t="str">
        <f ca="1">IFERROR(__xludf.DUMMYFUNCTION("""COMPUTED_VALUE"""),"")</f>
        <v/>
      </c>
      <c r="Y516" s="11" t="str">
        <f ca="1">IFERROR(__xludf.DUMMYFUNCTION("""COMPUTED_VALUE"""),"")</f>
        <v/>
      </c>
      <c r="Z516" s="4" t="str">
        <f ca="1">IFERROR(__xludf.DUMMYFUNCTION("""COMPUTED_VALUE"""),"")</f>
        <v/>
      </c>
    </row>
    <row r="517" spans="1:26" ht="13" x14ac:dyDescent="0.15">
      <c r="A517" s="43" t="str">
        <f ca="1">IFERROR(__xludf.DUMMYFUNCTION("""COMPUTED_VALUE"""),"")</f>
        <v/>
      </c>
      <c r="B517" s="43" t="str">
        <f ca="1">IFERROR(__xludf.DUMMYFUNCTION("""COMPUTED_VALUE"""),"76848")</f>
        <v>76848</v>
      </c>
      <c r="C517" s="146">
        <f ca="1">IFERROR(__xludf.DUMMYFUNCTION("""COMPUTED_VALUE"""),44636000621)</f>
        <v>44636000621</v>
      </c>
      <c r="D517" s="163" t="str">
        <f ca="1">IFERROR(__xludf.DUMMYFUNCTION("""COMPUTED_VALUE"""),"1398.HK")</f>
        <v>1398.HK</v>
      </c>
      <c r="E517" s="147">
        <f ca="1">IFERROR(__xludf.DUMMYFUNCTION("""COMPUTED_VALUE"""),44636)</f>
        <v>44636</v>
      </c>
      <c r="F517" s="43" t="str">
        <f ca="1">IFERROR(__xludf.DUMMYFUNCTION("""COMPUTED_VALUE"""),"Stock")</f>
        <v>Stock</v>
      </c>
      <c r="G517" s="43" t="str">
        <f ca="1">IFERROR(__xludf.DUMMYFUNCTION("""COMPUTED_VALUE"""),"HKD")</f>
        <v>HKD</v>
      </c>
      <c r="H517" s="156">
        <f ca="1">IFERROR(__xludf.DUMMYFUNCTION("""COMPUTED_VALUE"""),0)</f>
        <v>0</v>
      </c>
      <c r="I517" s="148">
        <f ca="1">IFERROR(__xludf.DUMMYFUNCTION("""COMPUTED_VALUE"""),1)</f>
        <v>1</v>
      </c>
      <c r="J517" s="149">
        <f ca="1">IFERROR(__xludf.DUMMYFUNCTION("""COMPUTED_VALUE"""),0)</f>
        <v>0</v>
      </c>
      <c r="K517" s="43"/>
      <c r="L517" s="149">
        <f ca="1">IFERROR(__xludf.DUMMYFUNCTION("""COMPUTED_VALUE"""),4.63)</f>
        <v>4.63</v>
      </c>
      <c r="M517" s="155" t="str">
        <f ca="1">IFERROR(__xludf.DUMMYFUNCTION("""COMPUTED_VALUE"""),"Equity Key Stats")</f>
        <v>Equity Key Stats</v>
      </c>
      <c r="N517" s="43"/>
      <c r="O517" s="43"/>
      <c r="P517" s="150">
        <f ca="1">IFERROR(__xludf.DUMMYFUNCTION("""COMPUTED_VALUE"""),0)</f>
        <v>0</v>
      </c>
      <c r="Q517" s="151"/>
      <c r="R517" s="152">
        <f ca="1">IFERROR(__xludf.DUMMYFUNCTION("""COMPUTED_VALUE"""),4.63)</f>
        <v>4.63</v>
      </c>
      <c r="S517" s="157">
        <f ca="1">IFERROR(__xludf.DUMMYFUNCTION("""COMPUTED_VALUE"""),0)</f>
        <v>0</v>
      </c>
      <c r="T517" s="108">
        <f ca="1">IFERROR(__xludf.DUMMYFUNCTION("""COMPUTED_VALUE"""),3)</f>
        <v>3</v>
      </c>
      <c r="U517" s="108">
        <f ca="1">IFERROR(__xludf.DUMMYFUNCTION("""COMPUTED_VALUE"""),1)</f>
        <v>1</v>
      </c>
      <c r="V517" s="158">
        <f ca="1">IFERROR(__xludf.DUMMYFUNCTION("""COMPUTED_VALUE"""),-100)</f>
        <v>-100</v>
      </c>
      <c r="W517" s="145" t="str">
        <f ca="1">IFERROR(__xludf.DUMMYFUNCTION("""COMPUTED_VALUE"""),"")</f>
        <v/>
      </c>
      <c r="X517" s="11" t="str">
        <f ca="1">IFERROR(__xludf.DUMMYFUNCTION("""COMPUTED_VALUE"""),"")</f>
        <v/>
      </c>
      <c r="Y517" s="11" t="str">
        <f ca="1">IFERROR(__xludf.DUMMYFUNCTION("""COMPUTED_VALUE"""),"")</f>
        <v/>
      </c>
      <c r="Z517" s="4" t="str">
        <f ca="1">IFERROR(__xludf.DUMMYFUNCTION("""COMPUTED_VALUE"""),"")</f>
        <v/>
      </c>
    </row>
    <row r="518" spans="1:26" ht="13" x14ac:dyDescent="0.15">
      <c r="A518" s="43" t="str">
        <f ca="1">IFERROR(__xludf.DUMMYFUNCTION("""COMPUTED_VALUE"""),"76848")</f>
        <v>76848</v>
      </c>
      <c r="B518" s="43" t="str">
        <f ca="1">IFERROR(__xludf.DUMMYFUNCTION("""COMPUTED_VALUE"""),"76848")</f>
        <v>76848</v>
      </c>
      <c r="C518" s="146">
        <f ca="1">IFERROR(__xludf.DUMMYFUNCTION("""COMPUTED_VALUE"""),44637000680)</f>
        <v>44637000680</v>
      </c>
      <c r="D518" s="43" t="str">
        <f ca="1">IFERROR(__xludf.DUMMYFUNCTION("""COMPUTED_VALUE"""),"IXHL")</f>
        <v>IXHL</v>
      </c>
      <c r="E518" s="147">
        <f ca="1">IFERROR(__xludf.DUMMYFUNCTION("""COMPUTED_VALUE"""),44637)</f>
        <v>44637</v>
      </c>
      <c r="F518" s="43" t="str">
        <f ca="1">IFERROR(__xludf.DUMMYFUNCTION("""COMPUTED_VALUE"""),"Stock")</f>
        <v>Stock</v>
      </c>
      <c r="G518" s="43" t="str">
        <f ca="1">IFERROR(__xludf.DUMMYFUNCTION("""COMPUTED_VALUE"""),"USD")</f>
        <v>USD</v>
      </c>
      <c r="H518" s="156">
        <f ca="1">IFERROR(__xludf.DUMMYFUNCTION("""COMPUTED_VALUE"""),0)</f>
        <v>0</v>
      </c>
      <c r="I518" s="148">
        <f ca="1">IFERROR(__xludf.DUMMYFUNCTION("""COMPUTED_VALUE"""),7.81854)</f>
        <v>7.8185399999999996</v>
      </c>
      <c r="J518" s="149">
        <f ca="1">IFERROR(__xludf.DUMMYFUNCTION("""COMPUTED_VALUE"""),0)</f>
        <v>0</v>
      </c>
      <c r="K518" s="43"/>
      <c r="L518" s="149">
        <f ca="1">IFERROR(__xludf.DUMMYFUNCTION("""COMPUTED_VALUE"""),11.78)</f>
        <v>11.78</v>
      </c>
      <c r="M518" s="160" t="str">
        <f ca="1">IFERROR(__xludf.DUMMYFUNCTION("""COMPUTED_VALUE"""),"Equity Key Stats")</f>
        <v>Equity Key Stats</v>
      </c>
      <c r="N518" s="43"/>
      <c r="O518" s="43"/>
      <c r="P518" s="150">
        <f ca="1">IFERROR(__xludf.DUMMYFUNCTION("""COMPUTED_VALUE"""),0)</f>
        <v>0</v>
      </c>
      <c r="Q518" s="151"/>
      <c r="R518" s="152">
        <f ca="1">IFERROR(__xludf.DUMMYFUNCTION("""COMPUTED_VALUE"""),11.78)</f>
        <v>11.78</v>
      </c>
      <c r="S518" s="157">
        <f ca="1">IFERROR(__xludf.DUMMYFUNCTION("""COMPUTED_VALUE"""),0)</f>
        <v>0</v>
      </c>
      <c r="T518" s="108">
        <f ca="1">IFERROR(__xludf.DUMMYFUNCTION("""COMPUTED_VALUE"""),2)</f>
        <v>2</v>
      </c>
      <c r="U518" s="108">
        <f ca="1">IFERROR(__xludf.DUMMYFUNCTION("""COMPUTED_VALUE"""),1)</f>
        <v>1</v>
      </c>
      <c r="V518" s="153">
        <f ca="1">IFERROR(__xludf.DUMMYFUNCTION("""COMPUTED_VALUE"""),0)</f>
        <v>0</v>
      </c>
      <c r="W518" s="145">
        <f ca="1">IFERROR(__xludf.DUMMYFUNCTION("""COMPUTED_VALUE"""),494118.907923)</f>
        <v>494118.90792299999</v>
      </c>
      <c r="X518" s="11">
        <f ca="1">IFERROR(__xludf.DUMMYFUNCTION("""COMPUTED_VALUE"""),409714.769477499)</f>
        <v>409714.76947749901</v>
      </c>
      <c r="Y518" s="11">
        <f ca="1">IFERROR(__xludf.DUMMYFUNCTION("""COMPUTED_VALUE"""),0)</f>
        <v>0</v>
      </c>
      <c r="Z518" s="4">
        <f ca="1">IFERROR(__xludf.DUMMYFUNCTION("""COMPUTED_VALUE"""),-0.0117621841539998)</f>
        <v>-1.1762184153999799E-2</v>
      </c>
    </row>
    <row r="519" spans="1:26" ht="13" x14ac:dyDescent="0.15">
      <c r="A519" s="43" t="str">
        <f ca="1">IFERROR(__xludf.DUMMYFUNCTION("""COMPUTED_VALUE"""),"76937")</f>
        <v>76937</v>
      </c>
      <c r="B519" s="43" t="str">
        <f ca="1">IFERROR(__xludf.DUMMYFUNCTION("""COMPUTED_VALUE"""),"76937")</f>
        <v>76937</v>
      </c>
      <c r="C519" s="146">
        <f ca="1">IFERROR(__xludf.DUMMYFUNCTION("""COMPUTED_VALUE"""),44597000041)</f>
        <v>44597000041</v>
      </c>
      <c r="D519" s="43" t="str">
        <f ca="1">IFERROR(__xludf.DUMMYFUNCTION("""COMPUTED_VALUE"""),"Cash")</f>
        <v>Cash</v>
      </c>
      <c r="E519" s="147">
        <f ca="1">IFERROR(__xludf.DUMMYFUNCTION("""COMPUTED_VALUE"""),44597)</f>
        <v>44597</v>
      </c>
      <c r="F519" s="43" t="str">
        <f ca="1">IFERROR(__xludf.DUMMYFUNCTION("""COMPUTED_VALUE"""),"Cash")</f>
        <v>Cash</v>
      </c>
      <c r="G519" s="43" t="str">
        <f ca="1">IFERROR(__xludf.DUMMYFUNCTION("""COMPUTED_VALUE"""),"HKD")</f>
        <v>HKD</v>
      </c>
      <c r="H519" s="154" t="str">
        <f ca="1">IFERROR(__xludf.DUMMYFUNCTION("""COMPUTED_VALUE"""),"")</f>
        <v/>
      </c>
      <c r="I519" s="148">
        <f ca="1">IFERROR(__xludf.DUMMYFUNCTION("""COMPUTED_VALUE"""),1)</f>
        <v>1</v>
      </c>
      <c r="J519" s="149">
        <f ca="1">IFERROR(__xludf.DUMMYFUNCTION("""COMPUTED_VALUE"""),1)</f>
        <v>1</v>
      </c>
      <c r="K519" s="43"/>
      <c r="L519" s="149">
        <f ca="1">IFERROR(__xludf.DUMMYFUNCTION("""COMPUTED_VALUE"""),1)</f>
        <v>1</v>
      </c>
      <c r="M519" s="3" t="str">
        <f ca="1">IFERROR(__xludf.DUMMYFUNCTION("""COMPUTED_VALUE"""),"")</f>
        <v/>
      </c>
      <c r="N519" s="43"/>
      <c r="O519" s="43"/>
      <c r="P519" s="157">
        <f ca="1">IFERROR(__xludf.DUMMYFUNCTION("""COMPUTED_VALUE"""),500000)</f>
        <v>500000</v>
      </c>
      <c r="Q519" s="151"/>
      <c r="R519" s="152">
        <f ca="1">IFERROR(__xludf.DUMMYFUNCTION("""COMPUTED_VALUE"""),1)</f>
        <v>1</v>
      </c>
      <c r="S519" s="150" t="str">
        <f ca="1">IFERROR(__xludf.DUMMYFUNCTION("""COMPUTED_VALUE"""),"")</f>
        <v/>
      </c>
      <c r="T519" s="108">
        <f ca="1">IFERROR(__xludf.DUMMYFUNCTION("""COMPUTED_VALUE"""),1)</f>
        <v>1</v>
      </c>
      <c r="U519" s="43">
        <f ca="1">IFERROR(__xludf.DUMMYFUNCTION("""COMPUTED_VALUE"""),1)</f>
        <v>1</v>
      </c>
      <c r="V519" s="144">
        <f ca="1">IFERROR(__xludf.DUMMYFUNCTION("""COMPUTED_VALUE"""),500000)</f>
        <v>500000</v>
      </c>
      <c r="W519" s="145">
        <f ca="1">IFERROR(__xludf.DUMMYFUNCTION("""COMPUTED_VALUE"""),500000)</f>
        <v>500000</v>
      </c>
      <c r="X519" s="11">
        <f ca="1">IFERROR(__xludf.DUMMYFUNCTION("""COMPUTED_VALUE"""),500000)</f>
        <v>500000</v>
      </c>
      <c r="Y519" s="11">
        <f ca="1">IFERROR(__xludf.DUMMYFUNCTION("""COMPUTED_VALUE"""),0)</f>
        <v>0</v>
      </c>
      <c r="Z519" s="4">
        <f ca="1">IFERROR(__xludf.DUMMYFUNCTION("""COMPUTED_VALUE"""),0)</f>
        <v>0</v>
      </c>
    </row>
    <row r="520" spans="1:26" ht="13" x14ac:dyDescent="0.15">
      <c r="A520" s="43" t="str">
        <f ca="1">IFERROR(__xludf.DUMMYFUNCTION("""COMPUTED_VALUE"""),"76938")</f>
        <v>76938</v>
      </c>
      <c r="B520" s="43" t="str">
        <f ca="1">IFERROR(__xludf.DUMMYFUNCTION("""COMPUTED_VALUE"""),"76938")</f>
        <v>76938</v>
      </c>
      <c r="C520" s="146">
        <f ca="1">IFERROR(__xludf.DUMMYFUNCTION("""COMPUTED_VALUE"""),44597000103)</f>
        <v>44597000103</v>
      </c>
      <c r="D520" s="163" t="str">
        <f ca="1">IFERROR(__xludf.DUMMYFUNCTION("""COMPUTED_VALUE"""),"Cash")</f>
        <v>Cash</v>
      </c>
      <c r="E520" s="147">
        <f ca="1">IFERROR(__xludf.DUMMYFUNCTION("""COMPUTED_VALUE"""),44597)</f>
        <v>44597</v>
      </c>
      <c r="F520" s="43" t="str">
        <f ca="1">IFERROR(__xludf.DUMMYFUNCTION("""COMPUTED_VALUE"""),"Cash")</f>
        <v>Cash</v>
      </c>
      <c r="G520" s="43" t="str">
        <f ca="1">IFERROR(__xludf.DUMMYFUNCTION("""COMPUTED_VALUE"""),"HKD")</f>
        <v>HKD</v>
      </c>
      <c r="H520" s="154" t="str">
        <f ca="1">IFERROR(__xludf.DUMMYFUNCTION("""COMPUTED_VALUE"""),"")</f>
        <v/>
      </c>
      <c r="I520" s="148">
        <f ca="1">IFERROR(__xludf.DUMMYFUNCTION("""COMPUTED_VALUE"""),1)</f>
        <v>1</v>
      </c>
      <c r="J520" s="149">
        <f ca="1">IFERROR(__xludf.DUMMYFUNCTION("""COMPUTED_VALUE"""),1)</f>
        <v>1</v>
      </c>
      <c r="K520" s="43"/>
      <c r="L520" s="149">
        <f ca="1">IFERROR(__xludf.DUMMYFUNCTION("""COMPUTED_VALUE"""),1)</f>
        <v>1</v>
      </c>
      <c r="M520" s="155" t="str">
        <f ca="1">IFERROR(__xludf.DUMMYFUNCTION("""COMPUTED_VALUE"""),"")</f>
        <v/>
      </c>
      <c r="N520" s="43"/>
      <c r="O520" s="43"/>
      <c r="P520" s="157">
        <f ca="1">IFERROR(__xludf.DUMMYFUNCTION("""COMPUTED_VALUE"""),500000)</f>
        <v>500000</v>
      </c>
      <c r="Q520" s="151"/>
      <c r="R520" s="152">
        <f ca="1">IFERROR(__xludf.DUMMYFUNCTION("""COMPUTED_VALUE"""),1)</f>
        <v>1</v>
      </c>
      <c r="S520" s="150" t="str">
        <f ca="1">IFERROR(__xludf.DUMMYFUNCTION("""COMPUTED_VALUE"""),"")</f>
        <v/>
      </c>
      <c r="T520" s="108">
        <f ca="1">IFERROR(__xludf.DUMMYFUNCTION("""COMPUTED_VALUE"""),1)</f>
        <v>1</v>
      </c>
      <c r="U520" s="108">
        <f ca="1">IFERROR(__xludf.DUMMYFUNCTION("""COMPUTED_VALUE"""),1)</f>
        <v>1</v>
      </c>
      <c r="V520" s="153">
        <f ca="1">IFERROR(__xludf.DUMMYFUNCTION("""COMPUTED_VALUE"""),500000)</f>
        <v>500000</v>
      </c>
      <c r="W520" s="145">
        <f ca="1">IFERROR(__xludf.DUMMYFUNCTION("""COMPUTED_VALUE"""),500000)</f>
        <v>500000</v>
      </c>
      <c r="X520" s="11">
        <f ca="1">IFERROR(__xludf.DUMMYFUNCTION("""COMPUTED_VALUE"""),500000)</f>
        <v>500000</v>
      </c>
      <c r="Y520" s="11">
        <f ca="1">IFERROR(__xludf.DUMMYFUNCTION("""COMPUTED_VALUE"""),0)</f>
        <v>0</v>
      </c>
      <c r="Z520" s="4">
        <f ca="1">IFERROR(__xludf.DUMMYFUNCTION("""COMPUTED_VALUE"""),0)</f>
        <v>0</v>
      </c>
    </row>
    <row r="521" spans="1:26" ht="13" x14ac:dyDescent="0.15">
      <c r="A521" s="43" t="str">
        <f ca="1">IFERROR(__xludf.DUMMYFUNCTION("""COMPUTED_VALUE"""),"")</f>
        <v/>
      </c>
      <c r="B521" s="43" t="str">
        <f ca="1">IFERROR(__xludf.DUMMYFUNCTION("""COMPUTED_VALUE"""),"76975")</f>
        <v>76975</v>
      </c>
      <c r="C521" s="146">
        <f ca="1">IFERROR(__xludf.DUMMYFUNCTION("""COMPUTED_VALUE"""),44597000075)</f>
        <v>44597000075</v>
      </c>
      <c r="D521" s="163" t="str">
        <f ca="1">IFERROR(__xludf.DUMMYFUNCTION("""COMPUTED_VALUE"""),"Cash")</f>
        <v>Cash</v>
      </c>
      <c r="E521" s="147">
        <f ca="1">IFERROR(__xludf.DUMMYFUNCTION("""COMPUTED_VALUE"""),44597)</f>
        <v>44597</v>
      </c>
      <c r="F521" s="43" t="str">
        <f ca="1">IFERROR(__xludf.DUMMYFUNCTION("""COMPUTED_VALUE"""),"Cash")</f>
        <v>Cash</v>
      </c>
      <c r="G521" s="43" t="str">
        <f ca="1">IFERROR(__xludf.DUMMYFUNCTION("""COMPUTED_VALUE"""),"HKD")</f>
        <v>HKD</v>
      </c>
      <c r="H521" s="154" t="str">
        <f ca="1">IFERROR(__xludf.DUMMYFUNCTION("""COMPUTED_VALUE"""),"")</f>
        <v/>
      </c>
      <c r="I521" s="148">
        <f ca="1">IFERROR(__xludf.DUMMYFUNCTION("""COMPUTED_VALUE"""),1)</f>
        <v>1</v>
      </c>
      <c r="J521" s="149">
        <f ca="1">IFERROR(__xludf.DUMMYFUNCTION("""COMPUTED_VALUE"""),1)</f>
        <v>1</v>
      </c>
      <c r="K521" s="43"/>
      <c r="L521" s="149">
        <f ca="1">IFERROR(__xludf.DUMMYFUNCTION("""COMPUTED_VALUE"""),1)</f>
        <v>1</v>
      </c>
      <c r="M521" s="155" t="str">
        <f ca="1">IFERROR(__xludf.DUMMYFUNCTION("""COMPUTED_VALUE"""),"")</f>
        <v/>
      </c>
      <c r="N521" s="43"/>
      <c r="O521" s="43"/>
      <c r="P521" s="157">
        <f ca="1">IFERROR(__xludf.DUMMYFUNCTION("""COMPUTED_VALUE"""),500000)</f>
        <v>500000</v>
      </c>
      <c r="Q521" s="151"/>
      <c r="R521" s="152">
        <f ca="1">IFERROR(__xludf.DUMMYFUNCTION("""COMPUTED_VALUE"""),1)</f>
        <v>1</v>
      </c>
      <c r="S521" s="150" t="str">
        <f ca="1">IFERROR(__xludf.DUMMYFUNCTION("""COMPUTED_VALUE"""),"")</f>
        <v/>
      </c>
      <c r="T521" s="108">
        <f ca="1">IFERROR(__xludf.DUMMYFUNCTION("""COMPUTED_VALUE"""),1)</f>
        <v>1</v>
      </c>
      <c r="U521" s="108">
        <f ca="1">IFERROR(__xludf.DUMMYFUNCTION("""COMPUTED_VALUE"""),1)</f>
        <v>1</v>
      </c>
      <c r="V521" s="153">
        <f ca="1">IFERROR(__xludf.DUMMYFUNCTION("""COMPUTED_VALUE"""),500000)</f>
        <v>500000</v>
      </c>
      <c r="W521" s="145" t="str">
        <f ca="1">IFERROR(__xludf.DUMMYFUNCTION("""COMPUTED_VALUE"""),"")</f>
        <v/>
      </c>
      <c r="X521" s="11" t="str">
        <f ca="1">IFERROR(__xludf.DUMMYFUNCTION("""COMPUTED_VALUE"""),"")</f>
        <v/>
      </c>
      <c r="Y521" s="11" t="str">
        <f ca="1">IFERROR(__xludf.DUMMYFUNCTION("""COMPUTED_VALUE"""),"")</f>
        <v/>
      </c>
      <c r="Z521" s="4" t="str">
        <f ca="1">IFERROR(__xludf.DUMMYFUNCTION("""COMPUTED_VALUE"""),"")</f>
        <v/>
      </c>
    </row>
    <row r="522" spans="1:26" ht="13" x14ac:dyDescent="0.15">
      <c r="A522" s="43" t="str">
        <f ca="1">IFERROR(__xludf.DUMMYFUNCTION("""COMPUTED_VALUE"""),"")</f>
        <v/>
      </c>
      <c r="B522" s="43" t="str">
        <f ca="1">IFERROR(__xludf.DUMMYFUNCTION("""COMPUTED_VALUE"""),"76975")</f>
        <v>76975</v>
      </c>
      <c r="C522" s="146">
        <f ca="1">IFERROR(__xludf.DUMMYFUNCTION("""COMPUTED_VALUE"""),44601000148)</f>
        <v>44601000148</v>
      </c>
      <c r="D522" s="43" t="str">
        <f ca="1">IFERROR(__xludf.DUMMYFUNCTION("""COMPUTED_VALUE"""),"JD")</f>
        <v>JD</v>
      </c>
      <c r="E522" s="147">
        <f ca="1">IFERROR(__xludf.DUMMYFUNCTION("""COMPUTED_VALUE"""),44601)</f>
        <v>44601</v>
      </c>
      <c r="F522" s="43" t="str">
        <f ca="1">IFERROR(__xludf.DUMMYFUNCTION("""COMPUTED_VALUE"""),"Stock")</f>
        <v>Stock</v>
      </c>
      <c r="G522" s="43" t="str">
        <f ca="1">IFERROR(__xludf.DUMMYFUNCTION("""COMPUTED_VALUE"""),"USD")</f>
        <v>USD</v>
      </c>
      <c r="H522" s="154">
        <f ca="1">IFERROR(__xludf.DUMMYFUNCTION("""COMPUTED_VALUE"""),0)</f>
        <v>0</v>
      </c>
      <c r="I522" s="148">
        <f ca="1">IFERROR(__xludf.DUMMYFUNCTION("""COMPUTED_VALUE"""),7.79135)</f>
        <v>7.7913500000000004</v>
      </c>
      <c r="J522" s="149">
        <f ca="1">IFERROR(__xludf.DUMMYFUNCTION("""COMPUTED_VALUE"""),0)</f>
        <v>0</v>
      </c>
      <c r="K522" s="43"/>
      <c r="L522" s="149">
        <f ca="1">IFERROR(__xludf.DUMMYFUNCTION("""COMPUTED_VALUE"""),64.73)</f>
        <v>64.73</v>
      </c>
      <c r="M522" s="155" t="str">
        <f ca="1">IFERROR(__xludf.DUMMYFUNCTION("""COMPUTED_VALUE"""),"Equity Key Stats")</f>
        <v>Equity Key Stats</v>
      </c>
      <c r="N522" s="43"/>
      <c r="O522" s="43"/>
      <c r="P522" s="157">
        <f ca="1">IFERROR(__xludf.DUMMYFUNCTION("""COMPUTED_VALUE"""),0)</f>
        <v>0</v>
      </c>
      <c r="Q522" s="151"/>
      <c r="R522" s="152">
        <f ca="1">IFERROR(__xludf.DUMMYFUNCTION("""COMPUTED_VALUE"""),64.29)</f>
        <v>64.290000000000006</v>
      </c>
      <c r="S522" s="150">
        <f ca="1">IFERROR(__xludf.DUMMYFUNCTION("""COMPUTED_VALUE"""),0)</f>
        <v>0</v>
      </c>
      <c r="T522" s="108">
        <f ca="1">IFERROR(__xludf.DUMMYFUNCTION("""COMPUTED_VALUE"""),2)</f>
        <v>2</v>
      </c>
      <c r="U522" s="108" t="str">
        <f ca="1">IFERROR(__xludf.DUMMYFUNCTION("""COMPUTED_VALUE"""),"")</f>
        <v/>
      </c>
      <c r="V522" s="158" t="str">
        <f ca="1">IFERROR(__xludf.DUMMYFUNCTION("""COMPUTED_VALUE"""),"")</f>
        <v/>
      </c>
      <c r="W522" s="145" t="str">
        <f ca="1">IFERROR(__xludf.DUMMYFUNCTION("""COMPUTED_VALUE"""),"")</f>
        <v/>
      </c>
      <c r="X522" s="11" t="str">
        <f ca="1">IFERROR(__xludf.DUMMYFUNCTION("""COMPUTED_VALUE"""),"")</f>
        <v/>
      </c>
      <c r="Y522" s="11" t="str">
        <f ca="1">IFERROR(__xludf.DUMMYFUNCTION("""COMPUTED_VALUE"""),"")</f>
        <v/>
      </c>
      <c r="Z522" s="4" t="str">
        <f ca="1">IFERROR(__xludf.DUMMYFUNCTION("""COMPUTED_VALUE"""),"")</f>
        <v/>
      </c>
    </row>
    <row r="523" spans="1:26" ht="13" x14ac:dyDescent="0.15">
      <c r="A523" s="43" t="str">
        <f ca="1">IFERROR(__xludf.DUMMYFUNCTION("""COMPUTED_VALUE"""),"")</f>
        <v/>
      </c>
      <c r="B523" s="43" t="str">
        <f ca="1">IFERROR(__xludf.DUMMYFUNCTION("""COMPUTED_VALUE"""),"76975")</f>
        <v>76975</v>
      </c>
      <c r="C523" s="146">
        <f ca="1">IFERROR(__xludf.DUMMYFUNCTION("""COMPUTED_VALUE"""),44609000233)</f>
        <v>44609000233</v>
      </c>
      <c r="D523" s="161" t="str">
        <f ca="1">IFERROR(__xludf.DUMMYFUNCTION("""COMPUTED_VALUE"""),"0700.HK")</f>
        <v>0700.HK</v>
      </c>
      <c r="E523" s="147">
        <f ca="1">IFERROR(__xludf.DUMMYFUNCTION("""COMPUTED_VALUE"""),44609)</f>
        <v>44609</v>
      </c>
      <c r="F523" s="43" t="str">
        <f ca="1">IFERROR(__xludf.DUMMYFUNCTION("""COMPUTED_VALUE"""),"Stock")</f>
        <v>Stock</v>
      </c>
      <c r="G523" s="43" t="str">
        <f ca="1">IFERROR(__xludf.DUMMYFUNCTION("""COMPUTED_VALUE"""),"HKD")</f>
        <v>HKD</v>
      </c>
      <c r="H523" s="156">
        <f ca="1">IFERROR(__xludf.DUMMYFUNCTION("""COMPUTED_VALUE"""),210)</f>
        <v>210</v>
      </c>
      <c r="I523" s="148">
        <f ca="1">IFERROR(__xludf.DUMMYFUNCTION("""COMPUTED_VALUE"""),1)</f>
        <v>1</v>
      </c>
      <c r="J523" s="149">
        <f ca="1">IFERROR(__xludf.DUMMYFUNCTION("""COMPUTED_VALUE"""),479)</f>
        <v>479</v>
      </c>
      <c r="K523" s="43"/>
      <c r="L523" s="149">
        <f ca="1">IFERROR(__xludf.DUMMYFUNCTION("""COMPUTED_VALUE"""),388)</f>
        <v>388</v>
      </c>
      <c r="M523" s="160" t="str">
        <f ca="1">IFERROR(__xludf.DUMMYFUNCTION("""COMPUTED_VALUE"""),"Equity Key Stats")</f>
        <v>Equity Key Stats</v>
      </c>
      <c r="N523" s="43"/>
      <c r="O523" s="43"/>
      <c r="P523" s="150">
        <f ca="1">IFERROR(__xludf.DUMMYFUNCTION("""COMPUTED_VALUE"""),-100590)</f>
        <v>-100590</v>
      </c>
      <c r="Q523" s="151"/>
      <c r="R523" s="152">
        <f ca="1">IFERROR(__xludf.DUMMYFUNCTION("""COMPUTED_VALUE"""),389)</f>
        <v>389</v>
      </c>
      <c r="S523" s="157">
        <f ca="1">IFERROR(__xludf.DUMMYFUNCTION("""COMPUTED_VALUE"""),81690)</f>
        <v>81690</v>
      </c>
      <c r="T523" s="108">
        <f ca="1">IFERROR(__xludf.DUMMYFUNCTION("""COMPUTED_VALUE"""),3)</f>
        <v>3</v>
      </c>
      <c r="U523" s="108" t="str">
        <f ca="1">IFERROR(__xludf.DUMMYFUNCTION("""COMPUTED_VALUE"""),"")</f>
        <v/>
      </c>
      <c r="V523" s="153" t="str">
        <f ca="1">IFERROR(__xludf.DUMMYFUNCTION("""COMPUTED_VALUE"""),"")</f>
        <v/>
      </c>
      <c r="W523" s="145" t="str">
        <f ca="1">IFERROR(__xludf.DUMMYFUNCTION("""COMPUTED_VALUE"""),"")</f>
        <v/>
      </c>
      <c r="X523" s="11" t="str">
        <f ca="1">IFERROR(__xludf.DUMMYFUNCTION("""COMPUTED_VALUE"""),"")</f>
        <v/>
      </c>
      <c r="Y523" s="11" t="str">
        <f ca="1">IFERROR(__xludf.DUMMYFUNCTION("""COMPUTED_VALUE"""),"")</f>
        <v/>
      </c>
      <c r="Z523" s="4" t="str">
        <f ca="1">IFERROR(__xludf.DUMMYFUNCTION("""COMPUTED_VALUE"""),"")</f>
        <v/>
      </c>
    </row>
    <row r="524" spans="1:26" ht="13" x14ac:dyDescent="0.15">
      <c r="A524" s="43" t="str">
        <f ca="1">IFERROR(__xludf.DUMMYFUNCTION("""COMPUTED_VALUE"""),"")</f>
        <v/>
      </c>
      <c r="B524" s="43" t="str">
        <f ca="1">IFERROR(__xludf.DUMMYFUNCTION("""COMPUTED_VALUE"""),"76975")</f>
        <v>76975</v>
      </c>
      <c r="C524" s="146">
        <f ca="1">IFERROR(__xludf.DUMMYFUNCTION("""COMPUTED_VALUE"""),44613000289)</f>
        <v>44613000289</v>
      </c>
      <c r="D524" s="161" t="str">
        <f ca="1">IFERROR(__xludf.DUMMYFUNCTION("""COMPUTED_VALUE"""),"3690.HK")</f>
        <v>3690.HK</v>
      </c>
      <c r="E524" s="147">
        <f ca="1">IFERROR(__xludf.DUMMYFUNCTION("""COMPUTED_VALUE"""),44613)</f>
        <v>44613</v>
      </c>
      <c r="F524" s="43" t="str">
        <f ca="1">IFERROR(__xludf.DUMMYFUNCTION("""COMPUTED_VALUE"""),"Stock")</f>
        <v>Stock</v>
      </c>
      <c r="G524" s="43" t="str">
        <f ca="1">IFERROR(__xludf.DUMMYFUNCTION("""COMPUTED_VALUE"""),"HKD")</f>
        <v>HKD</v>
      </c>
      <c r="H524" s="154">
        <f ca="1">IFERROR(__xludf.DUMMYFUNCTION("""COMPUTED_VALUE"""),270)</f>
        <v>270</v>
      </c>
      <c r="I524" s="148">
        <f ca="1">IFERROR(__xludf.DUMMYFUNCTION("""COMPUTED_VALUE"""),1)</f>
        <v>1</v>
      </c>
      <c r="J524" s="149">
        <f ca="1">IFERROR(__xludf.DUMMYFUNCTION("""COMPUTED_VALUE"""),180.5)</f>
        <v>180.5</v>
      </c>
      <c r="K524" s="43"/>
      <c r="L524" s="149">
        <f ca="1">IFERROR(__xludf.DUMMYFUNCTION("""COMPUTED_VALUE"""),153)</f>
        <v>153</v>
      </c>
      <c r="M524" s="160" t="str">
        <f ca="1">IFERROR(__xludf.DUMMYFUNCTION("""COMPUTED_VALUE"""),"Equity Key Stats")</f>
        <v>Equity Key Stats</v>
      </c>
      <c r="N524" s="43"/>
      <c r="O524" s="43"/>
      <c r="P524" s="157">
        <f ca="1">IFERROR(__xludf.DUMMYFUNCTION("""COMPUTED_VALUE"""),-48735)</f>
        <v>-48735</v>
      </c>
      <c r="Q524" s="151"/>
      <c r="R524" s="152">
        <f ca="1">IFERROR(__xludf.DUMMYFUNCTION("""COMPUTED_VALUE"""),156.2)</f>
        <v>156.19999999999999</v>
      </c>
      <c r="S524" s="150">
        <f ca="1">IFERROR(__xludf.DUMMYFUNCTION("""COMPUTED_VALUE"""),42174)</f>
        <v>42174</v>
      </c>
      <c r="T524" s="108">
        <f ca="1">IFERROR(__xludf.DUMMYFUNCTION("""COMPUTED_VALUE"""),1)</f>
        <v>1</v>
      </c>
      <c r="U524" s="43">
        <f ca="1">IFERROR(__xludf.DUMMYFUNCTION("""COMPUTED_VALUE"""),1)</f>
        <v>1</v>
      </c>
      <c r="V524" s="144">
        <f ca="1">IFERROR(__xludf.DUMMYFUNCTION("""COMPUTED_VALUE"""),-6561)</f>
        <v>-6561</v>
      </c>
      <c r="W524" s="145" t="str">
        <f ca="1">IFERROR(__xludf.DUMMYFUNCTION("""COMPUTED_VALUE"""),"")</f>
        <v/>
      </c>
      <c r="X524" s="11" t="str">
        <f ca="1">IFERROR(__xludf.DUMMYFUNCTION("""COMPUTED_VALUE"""),"")</f>
        <v/>
      </c>
      <c r="Y524" s="11" t="str">
        <f ca="1">IFERROR(__xludf.DUMMYFUNCTION("""COMPUTED_VALUE"""),"")</f>
        <v/>
      </c>
      <c r="Z524" s="4" t="str">
        <f ca="1">IFERROR(__xludf.DUMMYFUNCTION("""COMPUTED_VALUE"""),"")</f>
        <v/>
      </c>
    </row>
    <row r="525" spans="1:26" ht="13" x14ac:dyDescent="0.15">
      <c r="A525" s="43" t="str">
        <f ca="1">IFERROR(__xludf.DUMMYFUNCTION("""COMPUTED_VALUE"""),"")</f>
        <v/>
      </c>
      <c r="B525" s="43" t="str">
        <f ca="1">IFERROR(__xludf.DUMMYFUNCTION("""COMPUTED_VALUE"""),"76975")</f>
        <v>76975</v>
      </c>
      <c r="C525" s="146">
        <f ca="1">IFERROR(__xludf.DUMMYFUNCTION("""COMPUTED_VALUE"""),44621000395)</f>
        <v>44621000395</v>
      </c>
      <c r="D525" s="43" t="str">
        <f ca="1">IFERROR(__xludf.DUMMYFUNCTION("""COMPUTED_VALUE"""),"JD")</f>
        <v>JD</v>
      </c>
      <c r="E525" s="147">
        <f ca="1">IFERROR(__xludf.DUMMYFUNCTION("""COMPUTED_VALUE"""),44621)</f>
        <v>44621</v>
      </c>
      <c r="F525" s="43" t="str">
        <f ca="1">IFERROR(__xludf.DUMMYFUNCTION("""COMPUTED_VALUE"""),"Stock")</f>
        <v>Stock</v>
      </c>
      <c r="G525" s="43" t="str">
        <f ca="1">IFERROR(__xludf.DUMMYFUNCTION("""COMPUTED_VALUE"""),"USD")</f>
        <v>USD</v>
      </c>
      <c r="H525" s="154">
        <f ca="1">IFERROR(__xludf.DUMMYFUNCTION("""COMPUTED_VALUE"""),120)</f>
        <v>120</v>
      </c>
      <c r="I525" s="148">
        <f ca="1">IFERROR(__xludf.DUMMYFUNCTION("""COMPUTED_VALUE"""),7.815805)</f>
        <v>7.8158050000000001</v>
      </c>
      <c r="J525" s="149">
        <f ca="1">IFERROR(__xludf.DUMMYFUNCTION("""COMPUTED_VALUE"""),73.3)</f>
        <v>73.3</v>
      </c>
      <c r="K525" s="43"/>
      <c r="L525" s="149">
        <f ca="1">IFERROR(__xludf.DUMMYFUNCTION("""COMPUTED_VALUE"""),64.73)</f>
        <v>64.73</v>
      </c>
      <c r="M525" s="155" t="str">
        <f ca="1">IFERROR(__xludf.DUMMYFUNCTION("""COMPUTED_VALUE"""),"Equity Key Stats")</f>
        <v>Equity Key Stats</v>
      </c>
      <c r="N525" s="43"/>
      <c r="O525" s="43"/>
      <c r="P525" s="157">
        <f ca="1">IFERROR(__xludf.DUMMYFUNCTION("""COMPUTED_VALUE"""),-68747.82078)</f>
        <v>-68747.820779999995</v>
      </c>
      <c r="Q525" s="151"/>
      <c r="R525" s="152">
        <f ca="1">IFERROR(__xludf.DUMMYFUNCTION("""COMPUTED_VALUE"""),64.29)</f>
        <v>64.290000000000006</v>
      </c>
      <c r="S525" s="150">
        <f ca="1">IFERROR(__xludf.DUMMYFUNCTION("""COMPUTED_VALUE"""),60297.372414)</f>
        <v>60297.372413999998</v>
      </c>
      <c r="T525" s="108">
        <f ca="1">IFERROR(__xludf.DUMMYFUNCTION("""COMPUTED_VALUE"""),2)</f>
        <v>2</v>
      </c>
      <c r="U525" s="108">
        <f ca="1">IFERROR(__xludf.DUMMYFUNCTION("""COMPUTED_VALUE"""),1)</f>
        <v>1</v>
      </c>
      <c r="V525" s="158">
        <f ca="1">IFERROR(__xludf.DUMMYFUNCTION("""COMPUTED_VALUE"""),-8450.44836599999)</f>
        <v>-8450.4483659999896</v>
      </c>
      <c r="W525" s="145" t="str">
        <f ca="1">IFERROR(__xludf.DUMMYFUNCTION("""COMPUTED_VALUE"""),"")</f>
        <v/>
      </c>
      <c r="X525" s="11" t="str">
        <f ca="1">IFERROR(__xludf.DUMMYFUNCTION("""COMPUTED_VALUE"""),"")</f>
        <v/>
      </c>
      <c r="Y525" s="11" t="str">
        <f ca="1">IFERROR(__xludf.DUMMYFUNCTION("""COMPUTED_VALUE"""),"")</f>
        <v/>
      </c>
      <c r="Z525" s="4" t="str">
        <f ca="1">IFERROR(__xludf.DUMMYFUNCTION("""COMPUTED_VALUE"""),"")</f>
        <v/>
      </c>
    </row>
    <row r="526" spans="1:26" ht="13" x14ac:dyDescent="0.15">
      <c r="A526" s="43" t="str">
        <f ca="1">IFERROR(__xludf.DUMMYFUNCTION("""COMPUTED_VALUE"""),"")</f>
        <v/>
      </c>
      <c r="B526" s="43" t="str">
        <f ca="1">IFERROR(__xludf.DUMMYFUNCTION("""COMPUTED_VALUE"""),"76975")</f>
        <v>76975</v>
      </c>
      <c r="C526" s="146">
        <f ca="1">IFERROR(__xludf.DUMMYFUNCTION("""COMPUTED_VALUE"""),44623000404)</f>
        <v>44623000404</v>
      </c>
      <c r="D526" s="161" t="str">
        <f ca="1">IFERROR(__xludf.DUMMYFUNCTION("""COMPUTED_VALUE"""),"0700.HK")</f>
        <v>0700.HK</v>
      </c>
      <c r="E526" s="147">
        <f ca="1">IFERROR(__xludf.DUMMYFUNCTION("""COMPUTED_VALUE"""),44623)</f>
        <v>44623</v>
      </c>
      <c r="F526" s="43" t="str">
        <f ca="1">IFERROR(__xludf.DUMMYFUNCTION("""COMPUTED_VALUE"""),"Stock")</f>
        <v>Stock</v>
      </c>
      <c r="G526" s="43" t="str">
        <f ca="1">IFERROR(__xludf.DUMMYFUNCTION("""COMPUTED_VALUE"""),"HKD")</f>
        <v>HKD</v>
      </c>
      <c r="H526" s="154">
        <f ca="1">IFERROR(__xludf.DUMMYFUNCTION("""COMPUTED_VALUE"""),120)</f>
        <v>120</v>
      </c>
      <c r="I526" s="148">
        <f ca="1">IFERROR(__xludf.DUMMYFUNCTION("""COMPUTED_VALUE"""),1)</f>
        <v>1</v>
      </c>
      <c r="J526" s="149">
        <f ca="1">IFERROR(__xludf.DUMMYFUNCTION("""COMPUTED_VALUE"""),423.4)</f>
        <v>423.4</v>
      </c>
      <c r="K526" s="43"/>
      <c r="L526" s="149">
        <f ca="1">IFERROR(__xludf.DUMMYFUNCTION("""COMPUTED_VALUE"""),388)</f>
        <v>388</v>
      </c>
      <c r="M526" s="160" t="str">
        <f ca="1">IFERROR(__xludf.DUMMYFUNCTION("""COMPUTED_VALUE"""),"Equity Key Stats")</f>
        <v>Equity Key Stats</v>
      </c>
      <c r="N526" s="43"/>
      <c r="O526" s="43"/>
      <c r="P526" s="157">
        <f ca="1">IFERROR(__xludf.DUMMYFUNCTION("""COMPUTED_VALUE"""),-50808)</f>
        <v>-50808</v>
      </c>
      <c r="Q526" s="151"/>
      <c r="R526" s="152">
        <f ca="1">IFERROR(__xludf.DUMMYFUNCTION("""COMPUTED_VALUE"""),389)</f>
        <v>389</v>
      </c>
      <c r="S526" s="150">
        <f ca="1">IFERROR(__xludf.DUMMYFUNCTION("""COMPUTED_VALUE"""),46680)</f>
        <v>46680</v>
      </c>
      <c r="T526" s="108">
        <f ca="1">IFERROR(__xludf.DUMMYFUNCTION("""COMPUTED_VALUE"""),3)</f>
        <v>3</v>
      </c>
      <c r="U526" s="108" t="str">
        <f ca="1">IFERROR(__xludf.DUMMYFUNCTION("""COMPUTED_VALUE"""),"")</f>
        <v/>
      </c>
      <c r="V526" s="153" t="str">
        <f ca="1">IFERROR(__xludf.DUMMYFUNCTION("""COMPUTED_VALUE"""),"")</f>
        <v/>
      </c>
      <c r="W526" s="145" t="str">
        <f ca="1">IFERROR(__xludf.DUMMYFUNCTION("""COMPUTED_VALUE"""),"")</f>
        <v/>
      </c>
      <c r="X526" s="11" t="str">
        <f ca="1">IFERROR(__xludf.DUMMYFUNCTION("""COMPUTED_VALUE"""),"")</f>
        <v/>
      </c>
      <c r="Y526" s="11" t="str">
        <f ca="1">IFERROR(__xludf.DUMMYFUNCTION("""COMPUTED_VALUE"""),"")</f>
        <v/>
      </c>
      <c r="Z526" s="4" t="str">
        <f ca="1">IFERROR(__xludf.DUMMYFUNCTION("""COMPUTED_VALUE"""),"")</f>
        <v/>
      </c>
    </row>
    <row r="527" spans="1:26" ht="13" x14ac:dyDescent="0.15">
      <c r="A527" s="43" t="str">
        <f ca="1">IFERROR(__xludf.DUMMYFUNCTION("""COMPUTED_VALUE"""),"76975")</f>
        <v>76975</v>
      </c>
      <c r="B527" s="43" t="str">
        <f ca="1">IFERROR(__xludf.DUMMYFUNCTION("""COMPUTED_VALUE"""),"76975")</f>
        <v>76975</v>
      </c>
      <c r="C527" s="146">
        <f ca="1">IFERROR(__xludf.DUMMYFUNCTION("""COMPUTED_VALUE"""),44628000478)</f>
        <v>44628000478</v>
      </c>
      <c r="D527" s="163" t="str">
        <f ca="1">IFERROR(__xludf.DUMMYFUNCTION("""COMPUTED_VALUE"""),"0700.HK")</f>
        <v>0700.HK</v>
      </c>
      <c r="E527" s="147">
        <f ca="1">IFERROR(__xludf.DUMMYFUNCTION("""COMPUTED_VALUE"""),44628)</f>
        <v>44628</v>
      </c>
      <c r="F527" s="43" t="str">
        <f ca="1">IFERROR(__xludf.DUMMYFUNCTION("""COMPUTED_VALUE"""),"Stock")</f>
        <v>Stock</v>
      </c>
      <c r="G527" s="43" t="str">
        <f ca="1">IFERROR(__xludf.DUMMYFUNCTION("""COMPUTED_VALUE"""),"HKD")</f>
        <v>HKD</v>
      </c>
      <c r="H527" s="154">
        <f ca="1">IFERROR(__xludf.DUMMYFUNCTION("""COMPUTED_VALUE"""),260)</f>
        <v>260</v>
      </c>
      <c r="I527" s="148">
        <f ca="1">IFERROR(__xludf.DUMMYFUNCTION("""COMPUTED_VALUE"""),1)</f>
        <v>1</v>
      </c>
      <c r="J527" s="149">
        <f ca="1">IFERROR(__xludf.DUMMYFUNCTION("""COMPUTED_VALUE"""),383.2)</f>
        <v>383.2</v>
      </c>
      <c r="K527" s="43"/>
      <c r="L527" s="149">
        <f ca="1">IFERROR(__xludf.DUMMYFUNCTION("""COMPUTED_VALUE"""),388)</f>
        <v>388</v>
      </c>
      <c r="M527" s="155" t="str">
        <f ca="1">IFERROR(__xludf.DUMMYFUNCTION("""COMPUTED_VALUE"""),"Equity Key Stats")</f>
        <v>Equity Key Stats</v>
      </c>
      <c r="N527" s="43"/>
      <c r="O527" s="43"/>
      <c r="P527" s="157">
        <f ca="1">IFERROR(__xludf.DUMMYFUNCTION("""COMPUTED_VALUE"""),-99632)</f>
        <v>-99632</v>
      </c>
      <c r="Q527" s="151"/>
      <c r="R527" s="152">
        <f ca="1">IFERROR(__xludf.DUMMYFUNCTION("""COMPUTED_VALUE"""),389)</f>
        <v>389</v>
      </c>
      <c r="S527" s="150">
        <f ca="1">IFERROR(__xludf.DUMMYFUNCTION("""COMPUTED_VALUE"""),101140)</f>
        <v>101140</v>
      </c>
      <c r="T527" s="108">
        <f ca="1">IFERROR(__xludf.DUMMYFUNCTION("""COMPUTED_VALUE"""),3)</f>
        <v>3</v>
      </c>
      <c r="U527" s="108">
        <f ca="1">IFERROR(__xludf.DUMMYFUNCTION("""COMPUTED_VALUE"""),1)</f>
        <v>1</v>
      </c>
      <c r="V527" s="153">
        <f ca="1">IFERROR(__xludf.DUMMYFUNCTION("""COMPUTED_VALUE"""),-21520)</f>
        <v>-21520</v>
      </c>
      <c r="W527" s="145">
        <f ca="1">IFERROR(__xludf.DUMMYFUNCTION("""COMPUTED_VALUE"""),463468.551634)</f>
        <v>463468.55163399997</v>
      </c>
      <c r="X527" s="11">
        <f ca="1">IFERROR(__xludf.DUMMYFUNCTION("""COMPUTED_VALUE"""),131487.17922)</f>
        <v>131487.17921999999</v>
      </c>
      <c r="Y527" s="11">
        <f ca="1">IFERROR(__xludf.DUMMYFUNCTION("""COMPUTED_VALUE"""),0)</f>
        <v>0</v>
      </c>
      <c r="Z527" s="4">
        <f ca="1">IFERROR(__xludf.DUMMYFUNCTION("""COMPUTED_VALUE"""),-0.0730628967319999)</f>
        <v>-7.3062896731999893E-2</v>
      </c>
    </row>
    <row r="528" spans="1:26" ht="13" x14ac:dyDescent="0.15">
      <c r="A528" s="43" t="str">
        <f ca="1">IFERROR(__xludf.DUMMYFUNCTION("""COMPUTED_VALUE"""),"77134")</f>
        <v>77134</v>
      </c>
      <c r="B528" s="43" t="str">
        <f ca="1">IFERROR(__xludf.DUMMYFUNCTION("""COMPUTED_VALUE"""),"77134")</f>
        <v>77134</v>
      </c>
      <c r="C528" s="146">
        <f ca="1">IFERROR(__xludf.DUMMYFUNCTION("""COMPUTED_VALUE"""),44597000120)</f>
        <v>44597000120</v>
      </c>
      <c r="D528" s="43" t="str">
        <f ca="1">IFERROR(__xludf.DUMMYFUNCTION("""COMPUTED_VALUE"""),"Cash")</f>
        <v>Cash</v>
      </c>
      <c r="E528" s="147">
        <f ca="1">IFERROR(__xludf.DUMMYFUNCTION("""COMPUTED_VALUE"""),44597)</f>
        <v>44597</v>
      </c>
      <c r="F528" s="43" t="str">
        <f ca="1">IFERROR(__xludf.DUMMYFUNCTION("""COMPUTED_VALUE"""),"Cash")</f>
        <v>Cash</v>
      </c>
      <c r="G528" s="43" t="str">
        <f ca="1">IFERROR(__xludf.DUMMYFUNCTION("""COMPUTED_VALUE"""),"HKD")</f>
        <v>HKD</v>
      </c>
      <c r="H528" s="156" t="str">
        <f ca="1">IFERROR(__xludf.DUMMYFUNCTION("""COMPUTED_VALUE"""),"")</f>
        <v/>
      </c>
      <c r="I528" s="148">
        <f ca="1">IFERROR(__xludf.DUMMYFUNCTION("""COMPUTED_VALUE"""),1)</f>
        <v>1</v>
      </c>
      <c r="J528" s="149">
        <f ca="1">IFERROR(__xludf.DUMMYFUNCTION("""COMPUTED_VALUE"""),1)</f>
        <v>1</v>
      </c>
      <c r="K528" s="43"/>
      <c r="L528" s="149">
        <f ca="1">IFERROR(__xludf.DUMMYFUNCTION("""COMPUTED_VALUE"""),1)</f>
        <v>1</v>
      </c>
      <c r="M528" s="3" t="str">
        <f ca="1">IFERROR(__xludf.DUMMYFUNCTION("""COMPUTED_VALUE"""),"")</f>
        <v/>
      </c>
      <c r="N528" s="43"/>
      <c r="O528" s="43"/>
      <c r="P528" s="150">
        <f ca="1">IFERROR(__xludf.DUMMYFUNCTION("""COMPUTED_VALUE"""),500000)</f>
        <v>500000</v>
      </c>
      <c r="Q528" s="151"/>
      <c r="R528" s="152">
        <f ca="1">IFERROR(__xludf.DUMMYFUNCTION("""COMPUTED_VALUE"""),1)</f>
        <v>1</v>
      </c>
      <c r="S528" s="157" t="str">
        <f ca="1">IFERROR(__xludf.DUMMYFUNCTION("""COMPUTED_VALUE"""),"")</f>
        <v/>
      </c>
      <c r="T528" s="108">
        <f ca="1">IFERROR(__xludf.DUMMYFUNCTION("""COMPUTED_VALUE"""),1)</f>
        <v>1</v>
      </c>
      <c r="U528" s="108">
        <f ca="1">IFERROR(__xludf.DUMMYFUNCTION("""COMPUTED_VALUE"""),1)</f>
        <v>1</v>
      </c>
      <c r="V528" s="153">
        <f ca="1">IFERROR(__xludf.DUMMYFUNCTION("""COMPUTED_VALUE"""),500000)</f>
        <v>500000</v>
      </c>
      <c r="W528" s="44">
        <f ca="1">IFERROR(__xludf.DUMMYFUNCTION("""COMPUTED_VALUE"""),500000)</f>
        <v>500000</v>
      </c>
      <c r="X528" s="154">
        <f ca="1">IFERROR(__xludf.DUMMYFUNCTION("""COMPUTED_VALUE"""),500000)</f>
        <v>500000</v>
      </c>
      <c r="Y528" s="154">
        <f ca="1">IFERROR(__xludf.DUMMYFUNCTION("""COMPUTED_VALUE"""),0)</f>
        <v>0</v>
      </c>
      <c r="Z528" s="159">
        <f ca="1">IFERROR(__xludf.DUMMYFUNCTION("""COMPUTED_VALUE"""),0)</f>
        <v>0</v>
      </c>
    </row>
    <row r="529" spans="1:26" ht="13" x14ac:dyDescent="0.15">
      <c r="A529" s="43" t="str">
        <f ca="1">IFERROR(__xludf.DUMMYFUNCTION("""COMPUTED_VALUE"""),"77216")</f>
        <v>77216</v>
      </c>
      <c r="B529" s="43" t="str">
        <f ca="1">IFERROR(__xludf.DUMMYFUNCTION("""COMPUTED_VALUE"""),"77216")</f>
        <v>77216</v>
      </c>
      <c r="C529" s="146">
        <f ca="1">IFERROR(__xludf.DUMMYFUNCTION("""COMPUTED_VALUE"""),44597000049)</f>
        <v>44597000049</v>
      </c>
      <c r="D529" s="43" t="str">
        <f ca="1">IFERROR(__xludf.DUMMYFUNCTION("""COMPUTED_VALUE"""),"Cash")</f>
        <v>Cash</v>
      </c>
      <c r="E529" s="147">
        <f ca="1">IFERROR(__xludf.DUMMYFUNCTION("""COMPUTED_VALUE"""),44597)</f>
        <v>44597</v>
      </c>
      <c r="F529" s="43" t="str">
        <f ca="1">IFERROR(__xludf.DUMMYFUNCTION("""COMPUTED_VALUE"""),"Cash")</f>
        <v>Cash</v>
      </c>
      <c r="G529" s="43" t="str">
        <f ca="1">IFERROR(__xludf.DUMMYFUNCTION("""COMPUTED_VALUE"""),"HKD")</f>
        <v>HKD</v>
      </c>
      <c r="H529" s="11" t="str">
        <f ca="1">IFERROR(__xludf.DUMMYFUNCTION("""COMPUTED_VALUE"""),"")</f>
        <v/>
      </c>
      <c r="I529" s="148">
        <f ca="1">IFERROR(__xludf.DUMMYFUNCTION("""COMPUTED_VALUE"""),1)</f>
        <v>1</v>
      </c>
      <c r="J529" s="108">
        <f ca="1">IFERROR(__xludf.DUMMYFUNCTION("""COMPUTED_VALUE"""),1)</f>
        <v>1</v>
      </c>
      <c r="K529" s="43"/>
      <c r="L529" s="149">
        <f ca="1">IFERROR(__xludf.DUMMYFUNCTION("""COMPUTED_VALUE"""),1)</f>
        <v>1</v>
      </c>
      <c r="M529" s="3" t="str">
        <f ca="1">IFERROR(__xludf.DUMMYFUNCTION("""COMPUTED_VALUE"""),"")</f>
        <v/>
      </c>
      <c r="N529" s="43"/>
      <c r="O529" s="43"/>
      <c r="P529" s="150">
        <f ca="1">IFERROR(__xludf.DUMMYFUNCTION("""COMPUTED_VALUE"""),500000)</f>
        <v>500000</v>
      </c>
      <c r="Q529" s="151"/>
      <c r="R529" s="152">
        <f ca="1">IFERROR(__xludf.DUMMYFUNCTION("""COMPUTED_VALUE"""),1)</f>
        <v>1</v>
      </c>
      <c r="S529" s="127" t="str">
        <f ca="1">IFERROR(__xludf.DUMMYFUNCTION("""COMPUTED_VALUE"""),"")</f>
        <v/>
      </c>
      <c r="T529" s="108">
        <f ca="1">IFERROR(__xludf.DUMMYFUNCTION("""COMPUTED_VALUE"""),1)</f>
        <v>1</v>
      </c>
      <c r="U529" s="108">
        <f ca="1">IFERROR(__xludf.DUMMYFUNCTION("""COMPUTED_VALUE"""),1)</f>
        <v>1</v>
      </c>
      <c r="V529" s="153">
        <f ca="1">IFERROR(__xludf.DUMMYFUNCTION("""COMPUTED_VALUE"""),500000)</f>
        <v>500000</v>
      </c>
      <c r="W529" s="44">
        <f ca="1">IFERROR(__xludf.DUMMYFUNCTION("""COMPUTED_VALUE"""),500000)</f>
        <v>500000</v>
      </c>
      <c r="X529" s="154">
        <f ca="1">IFERROR(__xludf.DUMMYFUNCTION("""COMPUTED_VALUE"""),500000)</f>
        <v>500000</v>
      </c>
      <c r="Y529" s="154">
        <f ca="1">IFERROR(__xludf.DUMMYFUNCTION("""COMPUTED_VALUE"""),0)</f>
        <v>0</v>
      </c>
      <c r="Z529" s="159">
        <f ca="1">IFERROR(__xludf.DUMMYFUNCTION("""COMPUTED_VALUE"""),0)</f>
        <v>0</v>
      </c>
    </row>
    <row r="530" spans="1:26" ht="13" x14ac:dyDescent="0.15">
      <c r="A530" s="43" t="str">
        <f ca="1">IFERROR(__xludf.DUMMYFUNCTION("""COMPUTED_VALUE"""),"")</f>
        <v/>
      </c>
      <c r="B530" s="43" t="str">
        <f ca="1">IFERROR(__xludf.DUMMYFUNCTION("""COMPUTED_VALUE"""),"77393")</f>
        <v>77393</v>
      </c>
      <c r="C530" s="146">
        <f ca="1">IFERROR(__xludf.DUMMYFUNCTION("""COMPUTED_VALUE"""),44597000087)</f>
        <v>44597000087</v>
      </c>
      <c r="D530" s="43" t="str">
        <f ca="1">IFERROR(__xludf.DUMMYFUNCTION("""COMPUTED_VALUE"""),"Cash")</f>
        <v>Cash</v>
      </c>
      <c r="E530" s="147">
        <f ca="1">IFERROR(__xludf.DUMMYFUNCTION("""COMPUTED_VALUE"""),44597)</f>
        <v>44597</v>
      </c>
      <c r="F530" s="43" t="str">
        <f ca="1">IFERROR(__xludf.DUMMYFUNCTION("""COMPUTED_VALUE"""),"Cash")</f>
        <v>Cash</v>
      </c>
      <c r="G530" s="43" t="str">
        <f ca="1">IFERROR(__xludf.DUMMYFUNCTION("""COMPUTED_VALUE"""),"HKD")</f>
        <v>HKD</v>
      </c>
      <c r="H530" s="11" t="str">
        <f ca="1">IFERROR(__xludf.DUMMYFUNCTION("""COMPUTED_VALUE"""),"")</f>
        <v/>
      </c>
      <c r="I530" s="148">
        <f ca="1">IFERROR(__xludf.DUMMYFUNCTION("""COMPUTED_VALUE"""),1)</f>
        <v>1</v>
      </c>
      <c r="J530" s="108">
        <f ca="1">IFERROR(__xludf.DUMMYFUNCTION("""COMPUTED_VALUE"""),1)</f>
        <v>1</v>
      </c>
      <c r="K530" s="43"/>
      <c r="L530" s="149">
        <f ca="1">IFERROR(__xludf.DUMMYFUNCTION("""COMPUTED_VALUE"""),1)</f>
        <v>1</v>
      </c>
      <c r="M530" s="3" t="str">
        <f ca="1">IFERROR(__xludf.DUMMYFUNCTION("""COMPUTED_VALUE"""),"")</f>
        <v/>
      </c>
      <c r="N530" s="43"/>
      <c r="O530" s="43"/>
      <c r="P530" s="150">
        <f ca="1">IFERROR(__xludf.DUMMYFUNCTION("""COMPUTED_VALUE"""),500000)</f>
        <v>500000</v>
      </c>
      <c r="Q530" s="151"/>
      <c r="R530" s="152">
        <f ca="1">IFERROR(__xludf.DUMMYFUNCTION("""COMPUTED_VALUE"""),1)</f>
        <v>1</v>
      </c>
      <c r="S530" s="127" t="str">
        <f ca="1">IFERROR(__xludf.DUMMYFUNCTION("""COMPUTED_VALUE"""),"")</f>
        <v/>
      </c>
      <c r="T530" s="108">
        <f ca="1">IFERROR(__xludf.DUMMYFUNCTION("""COMPUTED_VALUE"""),1)</f>
        <v>1</v>
      </c>
      <c r="U530" s="108">
        <f ca="1">IFERROR(__xludf.DUMMYFUNCTION("""COMPUTED_VALUE"""),1)</f>
        <v>1</v>
      </c>
      <c r="V530" s="153">
        <f ca="1">IFERROR(__xludf.DUMMYFUNCTION("""COMPUTED_VALUE"""),500000)</f>
        <v>500000</v>
      </c>
      <c r="W530" s="44" t="str">
        <f ca="1">IFERROR(__xludf.DUMMYFUNCTION("""COMPUTED_VALUE"""),"")</f>
        <v/>
      </c>
      <c r="X530" s="154" t="str">
        <f ca="1">IFERROR(__xludf.DUMMYFUNCTION("""COMPUTED_VALUE"""),"")</f>
        <v/>
      </c>
      <c r="Y530" s="154" t="str">
        <f ca="1">IFERROR(__xludf.DUMMYFUNCTION("""COMPUTED_VALUE"""),"")</f>
        <v/>
      </c>
      <c r="Z530" s="159" t="str">
        <f ca="1">IFERROR(__xludf.DUMMYFUNCTION("""COMPUTED_VALUE"""),"")</f>
        <v/>
      </c>
    </row>
    <row r="531" spans="1:26" ht="13" x14ac:dyDescent="0.15">
      <c r="A531" s="43" t="str">
        <f ca="1">IFERROR(__xludf.DUMMYFUNCTION("""COMPUTED_VALUE"""),"77393")</f>
        <v>77393</v>
      </c>
      <c r="B531" s="43" t="str">
        <f ca="1">IFERROR(__xludf.DUMMYFUNCTION("""COMPUTED_VALUE"""),"77393")</f>
        <v>77393</v>
      </c>
      <c r="C531" s="146">
        <f ca="1">IFERROR(__xludf.DUMMYFUNCTION("""COMPUTED_VALUE"""),44641000713)</f>
        <v>44641000713</v>
      </c>
      <c r="D531" s="161" t="str">
        <f ca="1">IFERROR(__xludf.DUMMYFUNCTION("""COMPUTED_VALUE"""),"000568.SZ")</f>
        <v>000568.SZ</v>
      </c>
      <c r="E531" s="147">
        <f ca="1">IFERROR(__xludf.DUMMYFUNCTION("""COMPUTED_VALUE"""),44641)</f>
        <v>44641</v>
      </c>
      <c r="F531" s="43" t="str">
        <f ca="1">IFERROR(__xludf.DUMMYFUNCTION("""COMPUTED_VALUE"""),"Stock")</f>
        <v>Stock</v>
      </c>
      <c r="G531" s="43" t="str">
        <f ca="1">IFERROR(__xludf.DUMMYFUNCTION("""COMPUTED_VALUE"""),"CNY")</f>
        <v>CNY</v>
      </c>
      <c r="H531" s="11">
        <f ca="1">IFERROR(__xludf.DUMMYFUNCTION("""COMPUTED_VALUE"""),0)</f>
        <v>0</v>
      </c>
      <c r="I531" s="148">
        <f ca="1">IFERROR(__xludf.DUMMYFUNCTION("""COMPUTED_VALUE"""),1.231135)</f>
        <v>1.2311350000000001</v>
      </c>
      <c r="J531" s="149">
        <f ca="1">IFERROR(__xludf.DUMMYFUNCTION("""COMPUTED_VALUE"""),0)</f>
        <v>0</v>
      </c>
      <c r="K531" s="43"/>
      <c r="L531" s="149">
        <f ca="1">IFERROR(__xludf.DUMMYFUNCTION("""COMPUTED_VALUE"""),202.36)</f>
        <v>202.36</v>
      </c>
      <c r="M531" s="160" t="str">
        <f ca="1">IFERROR(__xludf.DUMMYFUNCTION("""COMPUTED_VALUE"""),"Equity Key Stats")</f>
        <v>Equity Key Stats</v>
      </c>
      <c r="N531" s="43"/>
      <c r="O531" s="43"/>
      <c r="P531" s="150">
        <f ca="1">IFERROR(__xludf.DUMMYFUNCTION("""COMPUTED_VALUE"""),0)</f>
        <v>0</v>
      </c>
      <c r="Q531" s="151"/>
      <c r="R531" s="152">
        <f ca="1">IFERROR(__xludf.DUMMYFUNCTION("""COMPUTED_VALUE"""),204.8)</f>
        <v>204.8</v>
      </c>
      <c r="S531" s="127">
        <f ca="1">IFERROR(__xludf.DUMMYFUNCTION("""COMPUTED_VALUE"""),0)</f>
        <v>0</v>
      </c>
      <c r="T531" s="108">
        <f ca="1">IFERROR(__xludf.DUMMYFUNCTION("""COMPUTED_VALUE"""),1)</f>
        <v>1</v>
      </c>
      <c r="U531" s="108">
        <f ca="1">IFERROR(__xludf.DUMMYFUNCTION("""COMPUTED_VALUE"""),1)</f>
        <v>1</v>
      </c>
      <c r="V531" s="153">
        <f ca="1">IFERROR(__xludf.DUMMYFUNCTION("""COMPUTED_VALUE"""),0)</f>
        <v>0</v>
      </c>
      <c r="W531" s="145">
        <f ca="1">IFERROR(__xludf.DUMMYFUNCTION("""COMPUTED_VALUE"""),500000)</f>
        <v>500000</v>
      </c>
      <c r="X531" s="11">
        <f ca="1">IFERROR(__xludf.DUMMYFUNCTION("""COMPUTED_VALUE"""),500000)</f>
        <v>500000</v>
      </c>
      <c r="Y531" s="11">
        <f ca="1">IFERROR(__xludf.DUMMYFUNCTION("""COMPUTED_VALUE"""),0)</f>
        <v>0</v>
      </c>
      <c r="Z531" s="4">
        <f ca="1">IFERROR(__xludf.DUMMYFUNCTION("""COMPUTED_VALUE"""),0)</f>
        <v>0</v>
      </c>
    </row>
    <row r="532" spans="1:26" ht="13" x14ac:dyDescent="0.15">
      <c r="A532" s="43" t="str">
        <f ca="1">IFERROR(__xludf.DUMMYFUNCTION("""COMPUTED_VALUE"""),"")</f>
        <v/>
      </c>
      <c r="B532" s="43" t="str">
        <f ca="1">IFERROR(__xludf.DUMMYFUNCTION("""COMPUTED_VALUE"""),"77603")</f>
        <v>77603</v>
      </c>
      <c r="C532" s="146">
        <f ca="1">IFERROR(__xludf.DUMMYFUNCTION("""COMPUTED_VALUE"""),44597000053)</f>
        <v>44597000053</v>
      </c>
      <c r="D532" s="163" t="str">
        <f ca="1">IFERROR(__xludf.DUMMYFUNCTION("""COMPUTED_VALUE"""),"Cash")</f>
        <v>Cash</v>
      </c>
      <c r="E532" s="147">
        <f ca="1">IFERROR(__xludf.DUMMYFUNCTION("""COMPUTED_VALUE"""),44597)</f>
        <v>44597</v>
      </c>
      <c r="F532" s="43" t="str">
        <f ca="1">IFERROR(__xludf.DUMMYFUNCTION("""COMPUTED_VALUE"""),"Cash")</f>
        <v>Cash</v>
      </c>
      <c r="G532" s="43" t="str">
        <f ca="1">IFERROR(__xludf.DUMMYFUNCTION("""COMPUTED_VALUE"""),"HKD")</f>
        <v>HKD</v>
      </c>
      <c r="H532" s="154" t="str">
        <f ca="1">IFERROR(__xludf.DUMMYFUNCTION("""COMPUTED_VALUE"""),"")</f>
        <v/>
      </c>
      <c r="I532" s="148">
        <f ca="1">IFERROR(__xludf.DUMMYFUNCTION("""COMPUTED_VALUE"""),1)</f>
        <v>1</v>
      </c>
      <c r="J532" s="149">
        <f ca="1">IFERROR(__xludf.DUMMYFUNCTION("""COMPUTED_VALUE"""),1)</f>
        <v>1</v>
      </c>
      <c r="K532" s="43"/>
      <c r="L532" s="149">
        <f ca="1">IFERROR(__xludf.DUMMYFUNCTION("""COMPUTED_VALUE"""),1)</f>
        <v>1</v>
      </c>
      <c r="M532" s="155" t="str">
        <f ca="1">IFERROR(__xludf.DUMMYFUNCTION("""COMPUTED_VALUE"""),"")</f>
        <v/>
      </c>
      <c r="N532" s="43"/>
      <c r="O532" s="43"/>
      <c r="P532" s="157">
        <f ca="1">IFERROR(__xludf.DUMMYFUNCTION("""COMPUTED_VALUE"""),500000)</f>
        <v>500000</v>
      </c>
      <c r="Q532" s="151"/>
      <c r="R532" s="152">
        <f ca="1">IFERROR(__xludf.DUMMYFUNCTION("""COMPUTED_VALUE"""),1)</f>
        <v>1</v>
      </c>
      <c r="S532" s="150" t="str">
        <f ca="1">IFERROR(__xludf.DUMMYFUNCTION("""COMPUTED_VALUE"""),"")</f>
        <v/>
      </c>
      <c r="T532" s="108">
        <f ca="1">IFERROR(__xludf.DUMMYFUNCTION("""COMPUTED_VALUE"""),1)</f>
        <v>1</v>
      </c>
      <c r="U532" s="108">
        <f ca="1">IFERROR(__xludf.DUMMYFUNCTION("""COMPUTED_VALUE"""),1)</f>
        <v>1</v>
      </c>
      <c r="V532" s="153">
        <f ca="1">IFERROR(__xludf.DUMMYFUNCTION("""COMPUTED_VALUE"""),500000)</f>
        <v>500000</v>
      </c>
      <c r="W532" s="145" t="str">
        <f ca="1">IFERROR(__xludf.DUMMYFUNCTION("""COMPUTED_VALUE"""),"")</f>
        <v/>
      </c>
      <c r="X532" s="11" t="str">
        <f ca="1">IFERROR(__xludf.DUMMYFUNCTION("""COMPUTED_VALUE"""),"")</f>
        <v/>
      </c>
      <c r="Y532" s="11" t="str">
        <f ca="1">IFERROR(__xludf.DUMMYFUNCTION("""COMPUTED_VALUE"""),"")</f>
        <v/>
      </c>
      <c r="Z532" s="4" t="str">
        <f ca="1">IFERROR(__xludf.DUMMYFUNCTION("""COMPUTED_VALUE"""),"")</f>
        <v/>
      </c>
    </row>
    <row r="533" spans="1:26" ht="13" x14ac:dyDescent="0.15">
      <c r="A533" s="43" t="str">
        <f ca="1">IFERROR(__xludf.DUMMYFUNCTION("""COMPUTED_VALUE"""),"77603")</f>
        <v>77603</v>
      </c>
      <c r="B533" s="43" t="str">
        <f ca="1">IFERROR(__xludf.DUMMYFUNCTION("""COMPUTED_VALUE"""),"77603")</f>
        <v>77603</v>
      </c>
      <c r="C533" s="146">
        <f ca="1">IFERROR(__xludf.DUMMYFUNCTION("""COMPUTED_VALUE"""),44634000533)</f>
        <v>44634000533</v>
      </c>
      <c r="D533" s="163" t="str">
        <f ca="1">IFERROR(__xludf.DUMMYFUNCTION("""COMPUTED_VALUE"""),"1024.HK")</f>
        <v>1024.HK</v>
      </c>
      <c r="E533" s="147">
        <f ca="1">IFERROR(__xludf.DUMMYFUNCTION("""COMPUTED_VALUE"""),44634)</f>
        <v>44634</v>
      </c>
      <c r="F533" s="43" t="str">
        <f ca="1">IFERROR(__xludf.DUMMYFUNCTION("""COMPUTED_VALUE"""),"Stock")</f>
        <v>Stock</v>
      </c>
      <c r="G533" s="43" t="str">
        <f ca="1">IFERROR(__xludf.DUMMYFUNCTION("""COMPUTED_VALUE"""),"HKD")</f>
        <v>HKD</v>
      </c>
      <c r="H533" s="154">
        <f ca="1">IFERROR(__xludf.DUMMYFUNCTION("""COMPUTED_VALUE"""),7000)</f>
        <v>7000</v>
      </c>
      <c r="I533" s="148">
        <f ca="1">IFERROR(__xludf.DUMMYFUNCTION("""COMPUTED_VALUE"""),1)</f>
        <v>1</v>
      </c>
      <c r="J533" s="149">
        <f ca="1">IFERROR(__xludf.DUMMYFUNCTION("""COMPUTED_VALUE"""),60.2)</f>
        <v>60.2</v>
      </c>
      <c r="K533" s="43"/>
      <c r="L533" s="149">
        <f ca="1">IFERROR(__xludf.DUMMYFUNCTION("""COMPUTED_VALUE"""),75.45)</f>
        <v>75.45</v>
      </c>
      <c r="M533" s="155" t="str">
        <f ca="1">IFERROR(__xludf.DUMMYFUNCTION("""COMPUTED_VALUE"""),"Equity Key Stats")</f>
        <v>Equity Key Stats</v>
      </c>
      <c r="N533" s="43"/>
      <c r="O533" s="43"/>
      <c r="P533" s="157">
        <f ca="1">IFERROR(__xludf.DUMMYFUNCTION("""COMPUTED_VALUE"""),-421400)</f>
        <v>-421400</v>
      </c>
      <c r="Q533" s="151"/>
      <c r="R533" s="152">
        <f ca="1">IFERROR(__xludf.DUMMYFUNCTION("""COMPUTED_VALUE"""),80.2)</f>
        <v>80.2</v>
      </c>
      <c r="S533" s="150">
        <f ca="1">IFERROR(__xludf.DUMMYFUNCTION("""COMPUTED_VALUE"""),561400)</f>
        <v>561400</v>
      </c>
      <c r="T533" s="108">
        <f ca="1">IFERROR(__xludf.DUMMYFUNCTION("""COMPUTED_VALUE"""),1)</f>
        <v>1</v>
      </c>
      <c r="U533" s="108">
        <f ca="1">IFERROR(__xludf.DUMMYFUNCTION("""COMPUTED_VALUE"""),1)</f>
        <v>1</v>
      </c>
      <c r="V533" s="153">
        <f ca="1">IFERROR(__xludf.DUMMYFUNCTION("""COMPUTED_VALUE"""),140000)</f>
        <v>140000</v>
      </c>
      <c r="W533" s="145">
        <f ca="1">IFERROR(__xludf.DUMMYFUNCTION("""COMPUTED_VALUE"""),640000)</f>
        <v>640000</v>
      </c>
      <c r="X533" s="11">
        <f ca="1">IFERROR(__xludf.DUMMYFUNCTION("""COMPUTED_VALUE"""),78600)</f>
        <v>78600</v>
      </c>
      <c r="Y533" s="11">
        <f ca="1">IFERROR(__xludf.DUMMYFUNCTION("""COMPUTED_VALUE"""),0)</f>
        <v>0</v>
      </c>
      <c r="Z533" s="4">
        <f ca="1">IFERROR(__xludf.DUMMYFUNCTION("""COMPUTED_VALUE"""),0.28)</f>
        <v>0.28000000000000003</v>
      </c>
    </row>
    <row r="534" spans="1:26" ht="13" x14ac:dyDescent="0.15">
      <c r="A534" s="43" t="str">
        <f ca="1">IFERROR(__xludf.DUMMYFUNCTION("""COMPUTED_VALUE"""),"77665")</f>
        <v>77665</v>
      </c>
      <c r="B534" s="43" t="str">
        <f ca="1">IFERROR(__xludf.DUMMYFUNCTION("""COMPUTED_VALUE"""),"77665")</f>
        <v>77665</v>
      </c>
      <c r="C534" s="146">
        <f ca="1">IFERROR(__xludf.DUMMYFUNCTION("""COMPUTED_VALUE"""),44597000097)</f>
        <v>44597000097</v>
      </c>
      <c r="D534" s="163" t="str">
        <f ca="1">IFERROR(__xludf.DUMMYFUNCTION("""COMPUTED_VALUE"""),"Cash")</f>
        <v>Cash</v>
      </c>
      <c r="E534" s="147">
        <f ca="1">IFERROR(__xludf.DUMMYFUNCTION("""COMPUTED_VALUE"""),44597)</f>
        <v>44597</v>
      </c>
      <c r="F534" s="43" t="str">
        <f ca="1">IFERROR(__xludf.DUMMYFUNCTION("""COMPUTED_VALUE"""),"Cash")</f>
        <v>Cash</v>
      </c>
      <c r="G534" s="43" t="str">
        <f ca="1">IFERROR(__xludf.DUMMYFUNCTION("""COMPUTED_VALUE"""),"HKD")</f>
        <v>HKD</v>
      </c>
      <c r="H534" s="154" t="str">
        <f ca="1">IFERROR(__xludf.DUMMYFUNCTION("""COMPUTED_VALUE"""),"")</f>
        <v/>
      </c>
      <c r="I534" s="148">
        <f ca="1">IFERROR(__xludf.DUMMYFUNCTION("""COMPUTED_VALUE"""),1)</f>
        <v>1</v>
      </c>
      <c r="J534" s="149">
        <f ca="1">IFERROR(__xludf.DUMMYFUNCTION("""COMPUTED_VALUE"""),1)</f>
        <v>1</v>
      </c>
      <c r="K534" s="43"/>
      <c r="L534" s="149">
        <f ca="1">IFERROR(__xludf.DUMMYFUNCTION("""COMPUTED_VALUE"""),1)</f>
        <v>1</v>
      </c>
      <c r="M534" s="155" t="str">
        <f ca="1">IFERROR(__xludf.DUMMYFUNCTION("""COMPUTED_VALUE"""),"")</f>
        <v/>
      </c>
      <c r="N534" s="43"/>
      <c r="O534" s="43"/>
      <c r="P534" s="157">
        <f ca="1">IFERROR(__xludf.DUMMYFUNCTION("""COMPUTED_VALUE"""),500000)</f>
        <v>500000</v>
      </c>
      <c r="Q534" s="151"/>
      <c r="R534" s="152">
        <f ca="1">IFERROR(__xludf.DUMMYFUNCTION("""COMPUTED_VALUE"""),1)</f>
        <v>1</v>
      </c>
      <c r="S534" s="150" t="str">
        <f ca="1">IFERROR(__xludf.DUMMYFUNCTION("""COMPUTED_VALUE"""),"")</f>
        <v/>
      </c>
      <c r="T534" s="108">
        <f ca="1">IFERROR(__xludf.DUMMYFUNCTION("""COMPUTED_VALUE"""),1)</f>
        <v>1</v>
      </c>
      <c r="U534" s="108">
        <f ca="1">IFERROR(__xludf.DUMMYFUNCTION("""COMPUTED_VALUE"""),1)</f>
        <v>1</v>
      </c>
      <c r="V534" s="153">
        <f ca="1">IFERROR(__xludf.DUMMYFUNCTION("""COMPUTED_VALUE"""),500000)</f>
        <v>500000</v>
      </c>
      <c r="W534" s="145">
        <f ca="1">IFERROR(__xludf.DUMMYFUNCTION("""COMPUTED_VALUE"""),500000)</f>
        <v>500000</v>
      </c>
      <c r="X534" s="11">
        <f ca="1">IFERROR(__xludf.DUMMYFUNCTION("""COMPUTED_VALUE"""),500000)</f>
        <v>500000</v>
      </c>
      <c r="Y534" s="11">
        <f ca="1">IFERROR(__xludf.DUMMYFUNCTION("""COMPUTED_VALUE"""),0)</f>
        <v>0</v>
      </c>
      <c r="Z534" s="4">
        <f ca="1">IFERROR(__xludf.DUMMYFUNCTION("""COMPUTED_VALUE"""),0)</f>
        <v>0</v>
      </c>
    </row>
    <row r="535" spans="1:26" ht="13" x14ac:dyDescent="0.15">
      <c r="A535" s="43" t="str">
        <f ca="1">IFERROR(__xludf.DUMMYFUNCTION("""COMPUTED_VALUE"""),"")</f>
        <v/>
      </c>
      <c r="B535" s="43" t="str">
        <f ca="1">IFERROR(__xludf.DUMMYFUNCTION("""COMPUTED_VALUE"""),"77729")</f>
        <v>77729</v>
      </c>
      <c r="C535" s="146">
        <f ca="1">IFERROR(__xludf.DUMMYFUNCTION("""COMPUTED_VALUE"""),44597000024)</f>
        <v>44597000024</v>
      </c>
      <c r="D535" s="163" t="str">
        <f ca="1">IFERROR(__xludf.DUMMYFUNCTION("""COMPUTED_VALUE"""),"Cash")</f>
        <v>Cash</v>
      </c>
      <c r="E535" s="147">
        <f ca="1">IFERROR(__xludf.DUMMYFUNCTION("""COMPUTED_VALUE"""),44597)</f>
        <v>44597</v>
      </c>
      <c r="F535" s="43" t="str">
        <f ca="1">IFERROR(__xludf.DUMMYFUNCTION("""COMPUTED_VALUE"""),"Cash")</f>
        <v>Cash</v>
      </c>
      <c r="G535" s="43" t="str">
        <f ca="1">IFERROR(__xludf.DUMMYFUNCTION("""COMPUTED_VALUE"""),"HKD")</f>
        <v>HKD</v>
      </c>
      <c r="H535" s="154" t="str">
        <f ca="1">IFERROR(__xludf.DUMMYFUNCTION("""COMPUTED_VALUE"""),"")</f>
        <v/>
      </c>
      <c r="I535" s="148">
        <f ca="1">IFERROR(__xludf.DUMMYFUNCTION("""COMPUTED_VALUE"""),1)</f>
        <v>1</v>
      </c>
      <c r="J535" s="149">
        <f ca="1">IFERROR(__xludf.DUMMYFUNCTION("""COMPUTED_VALUE"""),1)</f>
        <v>1</v>
      </c>
      <c r="K535" s="43"/>
      <c r="L535" s="149">
        <f ca="1">IFERROR(__xludf.DUMMYFUNCTION("""COMPUTED_VALUE"""),1)</f>
        <v>1</v>
      </c>
      <c r="M535" s="155" t="str">
        <f ca="1">IFERROR(__xludf.DUMMYFUNCTION("""COMPUTED_VALUE"""),"")</f>
        <v/>
      </c>
      <c r="N535" s="43"/>
      <c r="O535" s="43"/>
      <c r="P535" s="157">
        <f ca="1">IFERROR(__xludf.DUMMYFUNCTION("""COMPUTED_VALUE"""),500000)</f>
        <v>500000</v>
      </c>
      <c r="Q535" s="151"/>
      <c r="R535" s="152">
        <f ca="1">IFERROR(__xludf.DUMMYFUNCTION("""COMPUTED_VALUE"""),1)</f>
        <v>1</v>
      </c>
      <c r="S535" s="150" t="str">
        <f ca="1">IFERROR(__xludf.DUMMYFUNCTION("""COMPUTED_VALUE"""),"")</f>
        <v/>
      </c>
      <c r="T535" s="108">
        <f ca="1">IFERROR(__xludf.DUMMYFUNCTION("""COMPUTED_VALUE"""),1)</f>
        <v>1</v>
      </c>
      <c r="U535" s="108">
        <f ca="1">IFERROR(__xludf.DUMMYFUNCTION("""COMPUTED_VALUE"""),1)</f>
        <v>1</v>
      </c>
      <c r="V535" s="153">
        <f ca="1">IFERROR(__xludf.DUMMYFUNCTION("""COMPUTED_VALUE"""),500000)</f>
        <v>500000</v>
      </c>
      <c r="W535" s="145" t="str">
        <f ca="1">IFERROR(__xludf.DUMMYFUNCTION("""COMPUTED_VALUE"""),"")</f>
        <v/>
      </c>
      <c r="X535" s="11" t="str">
        <f ca="1">IFERROR(__xludf.DUMMYFUNCTION("""COMPUTED_VALUE"""),"")</f>
        <v/>
      </c>
      <c r="Y535" s="11" t="str">
        <f ca="1">IFERROR(__xludf.DUMMYFUNCTION("""COMPUTED_VALUE"""),"")</f>
        <v/>
      </c>
      <c r="Z535" s="4" t="str">
        <f ca="1">IFERROR(__xludf.DUMMYFUNCTION("""COMPUTED_VALUE"""),"")</f>
        <v/>
      </c>
    </row>
    <row r="536" spans="1:26" ht="13" x14ac:dyDescent="0.15">
      <c r="A536" s="43" t="str">
        <f ca="1">IFERROR(__xludf.DUMMYFUNCTION("""COMPUTED_VALUE"""),"")</f>
        <v/>
      </c>
      <c r="B536" s="43" t="str">
        <f ca="1">IFERROR(__xludf.DUMMYFUNCTION("""COMPUTED_VALUE"""),"77729")</f>
        <v>77729</v>
      </c>
      <c r="C536" s="146">
        <f ca="1">IFERROR(__xludf.DUMMYFUNCTION("""COMPUTED_VALUE"""),44613000288)</f>
        <v>44613000288</v>
      </c>
      <c r="D536" s="163" t="str">
        <f ca="1">IFERROR(__xludf.DUMMYFUNCTION("""COMPUTED_VALUE"""),"0700.HK")</f>
        <v>0700.HK</v>
      </c>
      <c r="E536" s="147">
        <f ca="1">IFERROR(__xludf.DUMMYFUNCTION("""COMPUTED_VALUE"""),44613)</f>
        <v>44613</v>
      </c>
      <c r="F536" s="43" t="str">
        <f ca="1">IFERROR(__xludf.DUMMYFUNCTION("""COMPUTED_VALUE"""),"Stock")</f>
        <v>Stock</v>
      </c>
      <c r="G536" s="43" t="str">
        <f ca="1">IFERROR(__xludf.DUMMYFUNCTION("""COMPUTED_VALUE"""),"HKD")</f>
        <v>HKD</v>
      </c>
      <c r="H536" s="154">
        <f ca="1">IFERROR(__xludf.DUMMYFUNCTION("""COMPUTED_VALUE"""),218)</f>
        <v>218</v>
      </c>
      <c r="I536" s="148">
        <f ca="1">IFERROR(__xludf.DUMMYFUNCTION("""COMPUTED_VALUE"""),1)</f>
        <v>1</v>
      </c>
      <c r="J536" s="149">
        <f ca="1">IFERROR(__xludf.DUMMYFUNCTION("""COMPUTED_VALUE"""),445.4)</f>
        <v>445.4</v>
      </c>
      <c r="K536" s="43"/>
      <c r="L536" s="149">
        <f ca="1">IFERROR(__xludf.DUMMYFUNCTION("""COMPUTED_VALUE"""),388)</f>
        <v>388</v>
      </c>
      <c r="M536" s="155" t="str">
        <f ca="1">IFERROR(__xludf.DUMMYFUNCTION("""COMPUTED_VALUE"""),"Equity Key Stats")</f>
        <v>Equity Key Stats</v>
      </c>
      <c r="N536" s="43"/>
      <c r="O536" s="43"/>
      <c r="P536" s="157">
        <f ca="1">IFERROR(__xludf.DUMMYFUNCTION("""COMPUTED_VALUE"""),-97097.2)</f>
        <v>-97097.2</v>
      </c>
      <c r="Q536" s="151"/>
      <c r="R536" s="152">
        <f ca="1">IFERROR(__xludf.DUMMYFUNCTION("""COMPUTED_VALUE"""),389)</f>
        <v>389</v>
      </c>
      <c r="S536" s="150">
        <f ca="1">IFERROR(__xludf.DUMMYFUNCTION("""COMPUTED_VALUE"""),84802)</f>
        <v>84802</v>
      </c>
      <c r="T536" s="108">
        <f ca="1">IFERROR(__xludf.DUMMYFUNCTION("""COMPUTED_VALUE"""),2)</f>
        <v>2</v>
      </c>
      <c r="U536" s="108" t="str">
        <f ca="1">IFERROR(__xludf.DUMMYFUNCTION("""COMPUTED_VALUE"""),"")</f>
        <v/>
      </c>
      <c r="V536" s="153" t="str">
        <f ca="1">IFERROR(__xludf.DUMMYFUNCTION("""COMPUTED_VALUE"""),"")</f>
        <v/>
      </c>
      <c r="W536" s="44" t="str">
        <f ca="1">IFERROR(__xludf.DUMMYFUNCTION("""COMPUTED_VALUE"""),"")</f>
        <v/>
      </c>
      <c r="X536" s="154" t="str">
        <f ca="1">IFERROR(__xludf.DUMMYFUNCTION("""COMPUTED_VALUE"""),"")</f>
        <v/>
      </c>
      <c r="Y536" s="154" t="str">
        <f ca="1">IFERROR(__xludf.DUMMYFUNCTION("""COMPUTED_VALUE"""),"")</f>
        <v/>
      </c>
      <c r="Z536" s="159" t="str">
        <f ca="1">IFERROR(__xludf.DUMMYFUNCTION("""COMPUTED_VALUE"""),"")</f>
        <v/>
      </c>
    </row>
    <row r="537" spans="1:26" ht="13" x14ac:dyDescent="0.15">
      <c r="A537" s="43" t="str">
        <f ca="1">IFERROR(__xludf.DUMMYFUNCTION("""COMPUTED_VALUE"""),"")</f>
        <v/>
      </c>
      <c r="B537" s="43" t="str">
        <f ca="1">IFERROR(__xludf.DUMMYFUNCTION("""COMPUTED_VALUE"""),"77729")</f>
        <v>77729</v>
      </c>
      <c r="C537" s="146">
        <f ca="1">IFERROR(__xludf.DUMMYFUNCTION("""COMPUTED_VALUE"""),44613000290)</f>
        <v>44613000290</v>
      </c>
      <c r="D537" s="161" t="str">
        <f ca="1">IFERROR(__xludf.DUMMYFUNCTION("""COMPUTED_VALUE"""),"3690.HK")</f>
        <v>3690.HK</v>
      </c>
      <c r="E537" s="147">
        <f ca="1">IFERROR(__xludf.DUMMYFUNCTION("""COMPUTED_VALUE"""),44613)</f>
        <v>44613</v>
      </c>
      <c r="F537" s="43" t="str">
        <f ca="1">IFERROR(__xludf.DUMMYFUNCTION("""COMPUTED_VALUE"""),"Stock")</f>
        <v>Stock</v>
      </c>
      <c r="G537" s="43" t="str">
        <f ca="1">IFERROR(__xludf.DUMMYFUNCTION("""COMPUTED_VALUE"""),"HKD")</f>
        <v>HKD</v>
      </c>
      <c r="H537" s="11">
        <f ca="1">IFERROR(__xludf.DUMMYFUNCTION("""COMPUTED_VALUE"""),270)</f>
        <v>270</v>
      </c>
      <c r="I537" s="148">
        <f ca="1">IFERROR(__xludf.DUMMYFUNCTION("""COMPUTED_VALUE"""),1)</f>
        <v>1</v>
      </c>
      <c r="J537" s="149">
        <f ca="1">IFERROR(__xludf.DUMMYFUNCTION("""COMPUTED_VALUE"""),180.5)</f>
        <v>180.5</v>
      </c>
      <c r="K537" s="43"/>
      <c r="L537" s="149">
        <f ca="1">IFERROR(__xludf.DUMMYFUNCTION("""COMPUTED_VALUE"""),153)</f>
        <v>153</v>
      </c>
      <c r="M537" s="160" t="str">
        <f ca="1">IFERROR(__xludf.DUMMYFUNCTION("""COMPUTED_VALUE"""),"Equity Key Stats")</f>
        <v>Equity Key Stats</v>
      </c>
      <c r="N537" s="43"/>
      <c r="O537" s="43"/>
      <c r="P537" s="150">
        <f ca="1">IFERROR(__xludf.DUMMYFUNCTION("""COMPUTED_VALUE"""),-48735)</f>
        <v>-48735</v>
      </c>
      <c r="Q537" s="151"/>
      <c r="R537" s="152">
        <f ca="1">IFERROR(__xludf.DUMMYFUNCTION("""COMPUTED_VALUE"""),156.2)</f>
        <v>156.19999999999999</v>
      </c>
      <c r="S537" s="127">
        <f ca="1">IFERROR(__xludf.DUMMYFUNCTION("""COMPUTED_VALUE"""),42174)</f>
        <v>42174</v>
      </c>
      <c r="T537" s="108">
        <f ca="1">IFERROR(__xludf.DUMMYFUNCTION("""COMPUTED_VALUE"""),2)</f>
        <v>2</v>
      </c>
      <c r="U537" s="108" t="str">
        <f ca="1">IFERROR(__xludf.DUMMYFUNCTION("""COMPUTED_VALUE"""),"")</f>
        <v/>
      </c>
      <c r="V537" s="153" t="str">
        <f ca="1">IFERROR(__xludf.DUMMYFUNCTION("""COMPUTED_VALUE"""),"")</f>
        <v/>
      </c>
      <c r="W537" s="44" t="str">
        <f ca="1">IFERROR(__xludf.DUMMYFUNCTION("""COMPUTED_VALUE"""),"")</f>
        <v/>
      </c>
      <c r="X537" s="154" t="str">
        <f ca="1">IFERROR(__xludf.DUMMYFUNCTION("""COMPUTED_VALUE"""),"")</f>
        <v/>
      </c>
      <c r="Y537" s="154" t="str">
        <f ca="1">IFERROR(__xludf.DUMMYFUNCTION("""COMPUTED_VALUE"""),"")</f>
        <v/>
      </c>
      <c r="Z537" s="159" t="str">
        <f ca="1">IFERROR(__xludf.DUMMYFUNCTION("""COMPUTED_VALUE"""),"")</f>
        <v/>
      </c>
    </row>
    <row r="538" spans="1:26" ht="13" x14ac:dyDescent="0.15">
      <c r="A538" s="43" t="str">
        <f ca="1">IFERROR(__xludf.DUMMYFUNCTION("""COMPUTED_VALUE"""),"")</f>
        <v/>
      </c>
      <c r="B538" s="43" t="str">
        <f ca="1">IFERROR(__xludf.DUMMYFUNCTION("""COMPUTED_VALUE"""),"77729")</f>
        <v>77729</v>
      </c>
      <c r="C538" s="146">
        <f ca="1">IFERROR(__xludf.DUMMYFUNCTION("""COMPUTED_VALUE"""),44627000459)</f>
        <v>44627000459</v>
      </c>
      <c r="D538" s="161" t="str">
        <f ca="1">IFERROR(__xludf.DUMMYFUNCTION("""COMPUTED_VALUE"""),"0700.HK")</f>
        <v>0700.HK</v>
      </c>
      <c r="E538" s="147">
        <f ca="1">IFERROR(__xludf.DUMMYFUNCTION("""COMPUTED_VALUE"""),44627)</f>
        <v>44627</v>
      </c>
      <c r="F538" s="43" t="str">
        <f ca="1">IFERROR(__xludf.DUMMYFUNCTION("""COMPUTED_VALUE"""),"Stock")</f>
        <v>Stock</v>
      </c>
      <c r="G538" s="43" t="str">
        <f ca="1">IFERROR(__xludf.DUMMYFUNCTION("""COMPUTED_VALUE"""),"HKD")</f>
        <v>HKD</v>
      </c>
      <c r="H538" s="11">
        <f ca="1">IFERROR(__xludf.DUMMYFUNCTION("""COMPUTED_VALUE"""),250)</f>
        <v>250</v>
      </c>
      <c r="I538" s="148">
        <f ca="1">IFERROR(__xludf.DUMMYFUNCTION("""COMPUTED_VALUE"""),1)</f>
        <v>1</v>
      </c>
      <c r="J538" s="149">
        <f ca="1">IFERROR(__xludf.DUMMYFUNCTION("""COMPUTED_VALUE"""),388)</f>
        <v>388</v>
      </c>
      <c r="K538" s="43"/>
      <c r="L538" s="149">
        <f ca="1">IFERROR(__xludf.DUMMYFUNCTION("""COMPUTED_VALUE"""),388)</f>
        <v>388</v>
      </c>
      <c r="M538" s="160" t="str">
        <f ca="1">IFERROR(__xludf.DUMMYFUNCTION("""COMPUTED_VALUE"""),"Equity Key Stats")</f>
        <v>Equity Key Stats</v>
      </c>
      <c r="N538" s="43"/>
      <c r="O538" s="43"/>
      <c r="P538" s="150">
        <f ca="1">IFERROR(__xludf.DUMMYFUNCTION("""COMPUTED_VALUE"""),-97000)</f>
        <v>-97000</v>
      </c>
      <c r="Q538" s="151"/>
      <c r="R538" s="152">
        <f ca="1">IFERROR(__xludf.DUMMYFUNCTION("""COMPUTED_VALUE"""),389)</f>
        <v>389</v>
      </c>
      <c r="S538" s="127">
        <f ca="1">IFERROR(__xludf.DUMMYFUNCTION("""COMPUTED_VALUE"""),97250)</f>
        <v>97250</v>
      </c>
      <c r="T538" s="108">
        <f ca="1">IFERROR(__xludf.DUMMYFUNCTION("""COMPUTED_VALUE"""),2)</f>
        <v>2</v>
      </c>
      <c r="U538" s="108">
        <f ca="1">IFERROR(__xludf.DUMMYFUNCTION("""COMPUTED_VALUE"""),1)</f>
        <v>1</v>
      </c>
      <c r="V538" s="153">
        <f ca="1">IFERROR(__xludf.DUMMYFUNCTION("""COMPUTED_VALUE"""),-12045.2)</f>
        <v>-12045.2</v>
      </c>
      <c r="W538" s="145" t="str">
        <f ca="1">IFERROR(__xludf.DUMMYFUNCTION("""COMPUTED_VALUE"""),"")</f>
        <v/>
      </c>
      <c r="X538" s="11" t="str">
        <f ca="1">IFERROR(__xludf.DUMMYFUNCTION("""COMPUTED_VALUE"""),"")</f>
        <v/>
      </c>
      <c r="Y538" s="11" t="str">
        <f ca="1">IFERROR(__xludf.DUMMYFUNCTION("""COMPUTED_VALUE"""),"")</f>
        <v/>
      </c>
      <c r="Z538" s="4" t="str">
        <f ca="1">IFERROR(__xludf.DUMMYFUNCTION("""COMPUTED_VALUE"""),"")</f>
        <v/>
      </c>
    </row>
    <row r="539" spans="1:26" ht="13" x14ac:dyDescent="0.15">
      <c r="A539" s="43" t="str">
        <f ca="1">IFERROR(__xludf.DUMMYFUNCTION("""COMPUTED_VALUE"""),"77729")</f>
        <v>77729</v>
      </c>
      <c r="B539" s="43" t="str">
        <f ca="1">IFERROR(__xludf.DUMMYFUNCTION("""COMPUTED_VALUE"""),"77729")</f>
        <v>77729</v>
      </c>
      <c r="C539" s="146">
        <f ca="1">IFERROR(__xludf.DUMMYFUNCTION("""COMPUTED_VALUE"""),44627000460)</f>
        <v>44627000460</v>
      </c>
      <c r="D539" s="161" t="str">
        <f ca="1">IFERROR(__xludf.DUMMYFUNCTION("""COMPUTED_VALUE"""),"3690.HK")</f>
        <v>3690.HK</v>
      </c>
      <c r="E539" s="147">
        <f ca="1">IFERROR(__xludf.DUMMYFUNCTION("""COMPUTED_VALUE"""),44627)</f>
        <v>44627</v>
      </c>
      <c r="F539" s="43" t="str">
        <f ca="1">IFERROR(__xludf.DUMMYFUNCTION("""COMPUTED_VALUE"""),"Stock")</f>
        <v>Stock</v>
      </c>
      <c r="G539" s="43" t="str">
        <f ca="1">IFERROR(__xludf.DUMMYFUNCTION("""COMPUTED_VALUE"""),"HKD")</f>
        <v>HKD</v>
      </c>
      <c r="H539" s="154">
        <f ca="1">IFERROR(__xludf.DUMMYFUNCTION("""COMPUTED_VALUE"""),300)</f>
        <v>300</v>
      </c>
      <c r="I539" s="148">
        <f ca="1">IFERROR(__xludf.DUMMYFUNCTION("""COMPUTED_VALUE"""),1)</f>
        <v>1</v>
      </c>
      <c r="J539" s="149">
        <f ca="1">IFERROR(__xludf.DUMMYFUNCTION("""COMPUTED_VALUE"""),146.2)</f>
        <v>146.19999999999999</v>
      </c>
      <c r="K539" s="43"/>
      <c r="L539" s="149">
        <f ca="1">IFERROR(__xludf.DUMMYFUNCTION("""COMPUTED_VALUE"""),153)</f>
        <v>153</v>
      </c>
      <c r="M539" s="155" t="str">
        <f ca="1">IFERROR(__xludf.DUMMYFUNCTION("""COMPUTED_VALUE"""),"Equity Key Stats")</f>
        <v>Equity Key Stats</v>
      </c>
      <c r="N539" s="43"/>
      <c r="O539" s="43"/>
      <c r="P539" s="157">
        <f ca="1">IFERROR(__xludf.DUMMYFUNCTION("""COMPUTED_VALUE"""),-43860)</f>
        <v>-43860</v>
      </c>
      <c r="Q539" s="151"/>
      <c r="R539" s="152">
        <f ca="1">IFERROR(__xludf.DUMMYFUNCTION("""COMPUTED_VALUE"""),156.2)</f>
        <v>156.19999999999999</v>
      </c>
      <c r="S539" s="150">
        <f ca="1">IFERROR(__xludf.DUMMYFUNCTION("""COMPUTED_VALUE"""),46860)</f>
        <v>46860</v>
      </c>
      <c r="T539" s="108">
        <f ca="1">IFERROR(__xludf.DUMMYFUNCTION("""COMPUTED_VALUE"""),2)</f>
        <v>2</v>
      </c>
      <c r="U539" s="108">
        <f ca="1">IFERROR(__xludf.DUMMYFUNCTION("""COMPUTED_VALUE"""),1)</f>
        <v>1</v>
      </c>
      <c r="V539" s="153">
        <f ca="1">IFERROR(__xludf.DUMMYFUNCTION("""COMPUTED_VALUE"""),-3561)</f>
        <v>-3561</v>
      </c>
      <c r="W539" s="145">
        <f ca="1">IFERROR(__xludf.DUMMYFUNCTION("""COMPUTED_VALUE"""),484393.8)</f>
        <v>484393.8</v>
      </c>
      <c r="X539" s="11">
        <f ca="1">IFERROR(__xludf.DUMMYFUNCTION("""COMPUTED_VALUE"""),213307.8)</f>
        <v>213307.8</v>
      </c>
      <c r="Y539" s="11">
        <f ca="1">IFERROR(__xludf.DUMMYFUNCTION("""COMPUTED_VALUE"""),0)</f>
        <v>0</v>
      </c>
      <c r="Z539" s="4">
        <f ca="1">IFERROR(__xludf.DUMMYFUNCTION("""COMPUTED_VALUE"""),-0.0312124)</f>
        <v>-3.1212400000000001E-2</v>
      </c>
    </row>
    <row r="540" spans="1:26" ht="13" x14ac:dyDescent="0.15">
      <c r="A540" s="43" t="str">
        <f ca="1">IFERROR(__xludf.DUMMYFUNCTION("""COMPUTED_VALUE"""),"")</f>
        <v/>
      </c>
      <c r="B540" s="43" t="str">
        <f ca="1">IFERROR(__xludf.DUMMYFUNCTION("""COMPUTED_VALUE"""),"77936")</f>
        <v>77936</v>
      </c>
      <c r="C540" s="146">
        <f ca="1">IFERROR(__xludf.DUMMYFUNCTION("""COMPUTED_VALUE"""),44597000076)</f>
        <v>44597000076</v>
      </c>
      <c r="D540" s="163" t="str">
        <f ca="1">IFERROR(__xludf.DUMMYFUNCTION("""COMPUTED_VALUE"""),"Cash")</f>
        <v>Cash</v>
      </c>
      <c r="E540" s="147">
        <f ca="1">IFERROR(__xludf.DUMMYFUNCTION("""COMPUTED_VALUE"""),44597)</f>
        <v>44597</v>
      </c>
      <c r="F540" s="43" t="str">
        <f ca="1">IFERROR(__xludf.DUMMYFUNCTION("""COMPUTED_VALUE"""),"Cash")</f>
        <v>Cash</v>
      </c>
      <c r="G540" s="43" t="str">
        <f ca="1">IFERROR(__xludf.DUMMYFUNCTION("""COMPUTED_VALUE"""),"HKD")</f>
        <v>HKD</v>
      </c>
      <c r="H540" s="154" t="str">
        <f ca="1">IFERROR(__xludf.DUMMYFUNCTION("""COMPUTED_VALUE"""),"")</f>
        <v/>
      </c>
      <c r="I540" s="148">
        <f ca="1">IFERROR(__xludf.DUMMYFUNCTION("""COMPUTED_VALUE"""),1)</f>
        <v>1</v>
      </c>
      <c r="J540" s="149">
        <f ca="1">IFERROR(__xludf.DUMMYFUNCTION("""COMPUTED_VALUE"""),1)</f>
        <v>1</v>
      </c>
      <c r="K540" s="43"/>
      <c r="L540" s="149">
        <f ca="1">IFERROR(__xludf.DUMMYFUNCTION("""COMPUTED_VALUE"""),1)</f>
        <v>1</v>
      </c>
      <c r="M540" s="155" t="str">
        <f ca="1">IFERROR(__xludf.DUMMYFUNCTION("""COMPUTED_VALUE"""),"")</f>
        <v/>
      </c>
      <c r="N540" s="43"/>
      <c r="O540" s="43"/>
      <c r="P540" s="157">
        <f ca="1">IFERROR(__xludf.DUMMYFUNCTION("""COMPUTED_VALUE"""),500000)</f>
        <v>500000</v>
      </c>
      <c r="Q540" s="151"/>
      <c r="R540" s="152">
        <f ca="1">IFERROR(__xludf.DUMMYFUNCTION("""COMPUTED_VALUE"""),1)</f>
        <v>1</v>
      </c>
      <c r="S540" s="150" t="str">
        <f ca="1">IFERROR(__xludf.DUMMYFUNCTION("""COMPUTED_VALUE"""),"")</f>
        <v/>
      </c>
      <c r="T540" s="108">
        <f ca="1">IFERROR(__xludf.DUMMYFUNCTION("""COMPUTED_VALUE"""),1)</f>
        <v>1</v>
      </c>
      <c r="U540" s="108">
        <f ca="1">IFERROR(__xludf.DUMMYFUNCTION("""COMPUTED_VALUE"""),1)</f>
        <v>1</v>
      </c>
      <c r="V540" s="158">
        <f ca="1">IFERROR(__xludf.DUMMYFUNCTION("""COMPUTED_VALUE"""),500000)</f>
        <v>500000</v>
      </c>
      <c r="W540" s="145" t="str">
        <f ca="1">IFERROR(__xludf.DUMMYFUNCTION("""COMPUTED_VALUE"""),"")</f>
        <v/>
      </c>
      <c r="X540" s="11" t="str">
        <f ca="1">IFERROR(__xludf.DUMMYFUNCTION("""COMPUTED_VALUE"""),"")</f>
        <v/>
      </c>
      <c r="Y540" s="11" t="str">
        <f ca="1">IFERROR(__xludf.DUMMYFUNCTION("""COMPUTED_VALUE"""),"")</f>
        <v/>
      </c>
      <c r="Z540" s="4" t="str">
        <f ca="1">IFERROR(__xludf.DUMMYFUNCTION("""COMPUTED_VALUE"""),"")</f>
        <v/>
      </c>
    </row>
    <row r="541" spans="1:26" ht="13" x14ac:dyDescent="0.15">
      <c r="A541" s="43" t="str">
        <f ca="1">IFERROR(__xludf.DUMMYFUNCTION("""COMPUTED_VALUE"""),"")</f>
        <v/>
      </c>
      <c r="B541" s="43" t="str">
        <f ca="1">IFERROR(__xludf.DUMMYFUNCTION("""COMPUTED_VALUE"""),"77936")</f>
        <v>77936</v>
      </c>
      <c r="C541" s="146">
        <f ca="1">IFERROR(__xludf.DUMMYFUNCTION("""COMPUTED_VALUE"""),44630000519)</f>
        <v>44630000519</v>
      </c>
      <c r="D541" s="163" t="str">
        <f ca="1">IFERROR(__xludf.DUMMYFUNCTION("""COMPUTED_VALUE"""),"9988.HK")</f>
        <v>9988.HK</v>
      </c>
      <c r="E541" s="147">
        <f ca="1">IFERROR(__xludf.DUMMYFUNCTION("""COMPUTED_VALUE"""),44630)</f>
        <v>44630</v>
      </c>
      <c r="F541" s="43" t="str">
        <f ca="1">IFERROR(__xludf.DUMMYFUNCTION("""COMPUTED_VALUE"""),"Stock")</f>
        <v>Stock</v>
      </c>
      <c r="G541" s="43" t="str">
        <f ca="1">IFERROR(__xludf.DUMMYFUNCTION("""COMPUTED_VALUE"""),"HKD")</f>
        <v>HKD</v>
      </c>
      <c r="H541" s="154">
        <f ca="1">IFERROR(__xludf.DUMMYFUNCTION("""COMPUTED_VALUE"""),200)</f>
        <v>200</v>
      </c>
      <c r="I541" s="148">
        <f ca="1">IFERROR(__xludf.DUMMYFUNCTION("""COMPUTED_VALUE"""),1)</f>
        <v>1</v>
      </c>
      <c r="J541" s="149">
        <f ca="1">IFERROR(__xludf.DUMMYFUNCTION("""COMPUTED_VALUE"""),96.1)</f>
        <v>96.1</v>
      </c>
      <c r="K541" s="43"/>
      <c r="L541" s="149">
        <f ca="1">IFERROR(__xludf.DUMMYFUNCTION("""COMPUTED_VALUE"""),110.2)</f>
        <v>110.2</v>
      </c>
      <c r="M541" s="155" t="str">
        <f ca="1">IFERROR(__xludf.DUMMYFUNCTION("""COMPUTED_VALUE"""),"Equity Key Stats")</f>
        <v>Equity Key Stats</v>
      </c>
      <c r="N541" s="43"/>
      <c r="O541" s="43"/>
      <c r="P541" s="157">
        <f ca="1">IFERROR(__xludf.DUMMYFUNCTION("""COMPUTED_VALUE"""),-19220)</f>
        <v>-19220</v>
      </c>
      <c r="Q541" s="151"/>
      <c r="R541" s="152">
        <f ca="1">IFERROR(__xludf.DUMMYFUNCTION("""COMPUTED_VALUE"""),117.6)</f>
        <v>117.6</v>
      </c>
      <c r="S541" s="150">
        <f ca="1">IFERROR(__xludf.DUMMYFUNCTION("""COMPUTED_VALUE"""),23520)</f>
        <v>23520</v>
      </c>
      <c r="T541" s="108">
        <f ca="1">IFERROR(__xludf.DUMMYFUNCTION("""COMPUTED_VALUE"""),1)</f>
        <v>1</v>
      </c>
      <c r="U541" s="108">
        <f ca="1">IFERROR(__xludf.DUMMYFUNCTION("""COMPUTED_VALUE"""),1)</f>
        <v>1</v>
      </c>
      <c r="V541" s="158">
        <f ca="1">IFERROR(__xludf.DUMMYFUNCTION("""COMPUTED_VALUE"""),4300)</f>
        <v>4300</v>
      </c>
      <c r="W541" s="145" t="str">
        <f ca="1">IFERROR(__xludf.DUMMYFUNCTION("""COMPUTED_VALUE"""),"")</f>
        <v/>
      </c>
      <c r="X541" s="11" t="str">
        <f ca="1">IFERROR(__xludf.DUMMYFUNCTION("""COMPUTED_VALUE"""),"")</f>
        <v/>
      </c>
      <c r="Y541" s="11" t="str">
        <f ca="1">IFERROR(__xludf.DUMMYFUNCTION("""COMPUTED_VALUE"""),"")</f>
        <v/>
      </c>
      <c r="Z541" s="4" t="str">
        <f ca="1">IFERROR(__xludf.DUMMYFUNCTION("""COMPUTED_VALUE"""),"")</f>
        <v/>
      </c>
    </row>
    <row r="542" spans="1:26" ht="13" x14ac:dyDescent="0.15">
      <c r="A542" s="43" t="str">
        <f ca="1">IFERROR(__xludf.DUMMYFUNCTION("""COMPUTED_VALUE"""),"")</f>
        <v/>
      </c>
      <c r="B542" s="43" t="str">
        <f ca="1">IFERROR(__xludf.DUMMYFUNCTION("""COMPUTED_VALUE"""),"77936")</f>
        <v>77936</v>
      </c>
      <c r="C542" s="146">
        <f ca="1">IFERROR(__xludf.DUMMYFUNCTION("""COMPUTED_VALUE"""),44630000520)</f>
        <v>44630000520</v>
      </c>
      <c r="D542" s="163" t="str">
        <f ca="1">IFERROR(__xludf.DUMMYFUNCTION("""COMPUTED_VALUE"""),"9626.HK")</f>
        <v>9626.HK</v>
      </c>
      <c r="E542" s="147">
        <f ca="1">IFERROR(__xludf.DUMMYFUNCTION("""COMPUTED_VALUE"""),44630)</f>
        <v>44630</v>
      </c>
      <c r="F542" s="43" t="str">
        <f ca="1">IFERROR(__xludf.DUMMYFUNCTION("""COMPUTED_VALUE"""),"Stock")</f>
        <v>Stock</v>
      </c>
      <c r="G542" s="43" t="str">
        <f ca="1">IFERROR(__xludf.DUMMYFUNCTION("""COMPUTED_VALUE"""),"HKD")</f>
        <v>HKD</v>
      </c>
      <c r="H542" s="154">
        <f ca="1">IFERROR(__xludf.DUMMYFUNCTION("""COMPUTED_VALUE"""),1000)</f>
        <v>1000</v>
      </c>
      <c r="I542" s="148">
        <f ca="1">IFERROR(__xludf.DUMMYFUNCTION("""COMPUTED_VALUE"""),1)</f>
        <v>1</v>
      </c>
      <c r="J542" s="149">
        <f ca="1">IFERROR(__xludf.DUMMYFUNCTION("""COMPUTED_VALUE"""),185.2)</f>
        <v>185.2</v>
      </c>
      <c r="K542" s="43"/>
      <c r="L542" s="149">
        <f ca="1">IFERROR(__xludf.DUMMYFUNCTION("""COMPUTED_VALUE"""),208)</f>
        <v>208</v>
      </c>
      <c r="M542" s="155" t="str">
        <f ca="1">IFERROR(__xludf.DUMMYFUNCTION("""COMPUTED_VALUE"""),"Equity Key Stats")</f>
        <v>Equity Key Stats</v>
      </c>
      <c r="N542" s="43"/>
      <c r="O542" s="43"/>
      <c r="P542" s="157">
        <f ca="1">IFERROR(__xludf.DUMMYFUNCTION("""COMPUTED_VALUE"""),-185200)</f>
        <v>-185200</v>
      </c>
      <c r="Q542" s="151"/>
      <c r="R542" s="152">
        <f ca="1">IFERROR(__xludf.DUMMYFUNCTION("""COMPUTED_VALUE"""),229)</f>
        <v>229</v>
      </c>
      <c r="S542" s="150">
        <f ca="1">IFERROR(__xludf.DUMMYFUNCTION("""COMPUTED_VALUE"""),229000)</f>
        <v>229000</v>
      </c>
      <c r="T542" s="108">
        <f ca="1">IFERROR(__xludf.DUMMYFUNCTION("""COMPUTED_VALUE"""),1)</f>
        <v>1</v>
      </c>
      <c r="U542" s="108">
        <f ca="1">IFERROR(__xludf.DUMMYFUNCTION("""COMPUTED_VALUE"""),1)</f>
        <v>1</v>
      </c>
      <c r="V542" s="158">
        <f ca="1">IFERROR(__xludf.DUMMYFUNCTION("""COMPUTED_VALUE"""),43800)</f>
        <v>43800</v>
      </c>
      <c r="W542" s="145" t="str">
        <f ca="1">IFERROR(__xludf.DUMMYFUNCTION("""COMPUTED_VALUE"""),"")</f>
        <v/>
      </c>
      <c r="X542" s="11" t="str">
        <f ca="1">IFERROR(__xludf.DUMMYFUNCTION("""COMPUTED_VALUE"""),"")</f>
        <v/>
      </c>
      <c r="Y542" s="11" t="str">
        <f ca="1">IFERROR(__xludf.DUMMYFUNCTION("""COMPUTED_VALUE"""),"")</f>
        <v/>
      </c>
      <c r="Z542" s="4" t="str">
        <f ca="1">IFERROR(__xludf.DUMMYFUNCTION("""COMPUTED_VALUE"""),"")</f>
        <v/>
      </c>
    </row>
    <row r="543" spans="1:26" ht="13" x14ac:dyDescent="0.15">
      <c r="A543" s="43" t="str">
        <f ca="1">IFERROR(__xludf.DUMMYFUNCTION("""COMPUTED_VALUE"""),"")</f>
        <v/>
      </c>
      <c r="B543" s="43" t="str">
        <f ca="1">IFERROR(__xludf.DUMMYFUNCTION("""COMPUTED_VALUE"""),"77936")</f>
        <v>77936</v>
      </c>
      <c r="C543" s="146">
        <f ca="1">IFERROR(__xludf.DUMMYFUNCTION("""COMPUTED_VALUE"""),44636000643)</f>
        <v>44636000643</v>
      </c>
      <c r="D543" s="161" t="str">
        <f ca="1">IFERROR(__xludf.DUMMYFUNCTION("""COMPUTED_VALUE"""),"6078.HK")</f>
        <v>6078.HK</v>
      </c>
      <c r="E543" s="147">
        <f ca="1">IFERROR(__xludf.DUMMYFUNCTION("""COMPUTED_VALUE"""),44636)</f>
        <v>44636</v>
      </c>
      <c r="F543" s="43" t="str">
        <f ca="1">IFERROR(__xludf.DUMMYFUNCTION("""COMPUTED_VALUE"""),"Stock")</f>
        <v>Stock</v>
      </c>
      <c r="G543" s="43" t="str">
        <f ca="1">IFERROR(__xludf.DUMMYFUNCTION("""COMPUTED_VALUE"""),"HKD")</f>
        <v>HKD</v>
      </c>
      <c r="H543" s="154">
        <f ca="1">IFERROR(__xludf.DUMMYFUNCTION("""COMPUTED_VALUE"""),1000)</f>
        <v>1000</v>
      </c>
      <c r="I543" s="148">
        <f ca="1">IFERROR(__xludf.DUMMYFUNCTION("""COMPUTED_VALUE"""),1)</f>
        <v>1</v>
      </c>
      <c r="J543" s="149">
        <f ca="1">IFERROR(__xludf.DUMMYFUNCTION("""COMPUTED_VALUE"""),29.95)</f>
        <v>29.95</v>
      </c>
      <c r="K543" s="43"/>
      <c r="L543" s="149">
        <f ca="1">IFERROR(__xludf.DUMMYFUNCTION("""COMPUTED_VALUE"""),29.9)</f>
        <v>29.9</v>
      </c>
      <c r="M543" s="155" t="str">
        <f ca="1">IFERROR(__xludf.DUMMYFUNCTION("""COMPUTED_VALUE"""),"Equity Key Stats")</f>
        <v>Equity Key Stats</v>
      </c>
      <c r="N543" s="43"/>
      <c r="O543" s="43"/>
      <c r="P543" s="157">
        <f ca="1">IFERROR(__xludf.DUMMYFUNCTION("""COMPUTED_VALUE"""),-29950)</f>
        <v>-29950</v>
      </c>
      <c r="Q543" s="151"/>
      <c r="R543" s="152">
        <f ca="1">IFERROR(__xludf.DUMMYFUNCTION("""COMPUTED_VALUE"""),31.65)</f>
        <v>31.65</v>
      </c>
      <c r="S543" s="150">
        <f ca="1">IFERROR(__xludf.DUMMYFUNCTION("""COMPUTED_VALUE"""),31650)</f>
        <v>31650</v>
      </c>
      <c r="T543" s="108">
        <f ca="1">IFERROR(__xludf.DUMMYFUNCTION("""COMPUTED_VALUE"""),1)</f>
        <v>1</v>
      </c>
      <c r="U543" s="108">
        <f ca="1">IFERROR(__xludf.DUMMYFUNCTION("""COMPUTED_VALUE"""),1)</f>
        <v>1</v>
      </c>
      <c r="V543" s="153">
        <f ca="1">IFERROR(__xludf.DUMMYFUNCTION("""COMPUTED_VALUE"""),1700)</f>
        <v>1700</v>
      </c>
      <c r="W543" s="145" t="str">
        <f ca="1">IFERROR(__xludf.DUMMYFUNCTION("""COMPUTED_VALUE"""),"")</f>
        <v/>
      </c>
      <c r="X543" s="11" t="str">
        <f ca="1">IFERROR(__xludf.DUMMYFUNCTION("""COMPUTED_VALUE"""),"")</f>
        <v/>
      </c>
      <c r="Y543" s="11" t="str">
        <f ca="1">IFERROR(__xludf.DUMMYFUNCTION("""COMPUTED_VALUE"""),"")</f>
        <v/>
      </c>
      <c r="Z543" s="4" t="str">
        <f ca="1">IFERROR(__xludf.DUMMYFUNCTION("""COMPUTED_VALUE"""),"")</f>
        <v/>
      </c>
    </row>
    <row r="544" spans="1:26" ht="13" x14ac:dyDescent="0.15">
      <c r="A544" s="43" t="str">
        <f ca="1">IFERROR(__xludf.DUMMYFUNCTION("""COMPUTED_VALUE"""),"77936")</f>
        <v>77936</v>
      </c>
      <c r="B544" s="43" t="str">
        <f ca="1">IFERROR(__xludf.DUMMYFUNCTION("""COMPUTED_VALUE"""),"77936")</f>
        <v>77936</v>
      </c>
      <c r="C544" s="146">
        <f ca="1">IFERROR(__xludf.DUMMYFUNCTION("""COMPUTED_VALUE"""),44636000644)</f>
        <v>44636000644</v>
      </c>
      <c r="D544" s="161" t="str">
        <f ca="1">IFERROR(__xludf.DUMMYFUNCTION("""COMPUTED_VALUE"""),"3690.HK")</f>
        <v>3690.HK</v>
      </c>
      <c r="E544" s="147">
        <f ca="1">IFERROR(__xludf.DUMMYFUNCTION("""COMPUTED_VALUE"""),44636)</f>
        <v>44636</v>
      </c>
      <c r="F544" s="43" t="str">
        <f ca="1">IFERROR(__xludf.DUMMYFUNCTION("""COMPUTED_VALUE"""),"Stock")</f>
        <v>Stock</v>
      </c>
      <c r="G544" s="43" t="str">
        <f ca="1">IFERROR(__xludf.DUMMYFUNCTION("""COMPUTED_VALUE"""),"HKD")</f>
        <v>HKD</v>
      </c>
      <c r="H544" s="154">
        <f ca="1">IFERROR(__xludf.DUMMYFUNCTION("""COMPUTED_VALUE"""),500)</f>
        <v>500</v>
      </c>
      <c r="I544" s="148">
        <f ca="1">IFERROR(__xludf.DUMMYFUNCTION("""COMPUTED_VALUE"""),1)</f>
        <v>1</v>
      </c>
      <c r="J544" s="149">
        <f ca="1">IFERROR(__xludf.DUMMYFUNCTION("""COMPUTED_VALUE"""),140)</f>
        <v>140</v>
      </c>
      <c r="K544" s="43"/>
      <c r="L544" s="149">
        <f ca="1">IFERROR(__xludf.DUMMYFUNCTION("""COMPUTED_VALUE"""),153)</f>
        <v>153</v>
      </c>
      <c r="M544" s="155" t="str">
        <f ca="1">IFERROR(__xludf.DUMMYFUNCTION("""COMPUTED_VALUE"""),"Equity Key Stats")</f>
        <v>Equity Key Stats</v>
      </c>
      <c r="N544" s="43"/>
      <c r="O544" s="43"/>
      <c r="P544" s="157">
        <f ca="1">IFERROR(__xludf.DUMMYFUNCTION("""COMPUTED_VALUE"""),-70000)</f>
        <v>-70000</v>
      </c>
      <c r="Q544" s="151"/>
      <c r="R544" s="152">
        <f ca="1">IFERROR(__xludf.DUMMYFUNCTION("""COMPUTED_VALUE"""),156.2)</f>
        <v>156.19999999999999</v>
      </c>
      <c r="S544" s="150">
        <f ca="1">IFERROR(__xludf.DUMMYFUNCTION("""COMPUTED_VALUE"""),78100)</f>
        <v>78100</v>
      </c>
      <c r="T544" s="108">
        <f ca="1">IFERROR(__xludf.DUMMYFUNCTION("""COMPUTED_VALUE"""),1)</f>
        <v>1</v>
      </c>
      <c r="U544" s="108">
        <f ca="1">IFERROR(__xludf.DUMMYFUNCTION("""COMPUTED_VALUE"""),1)</f>
        <v>1</v>
      </c>
      <c r="V544" s="158">
        <f ca="1">IFERROR(__xludf.DUMMYFUNCTION("""COMPUTED_VALUE"""),8100)</f>
        <v>8100</v>
      </c>
      <c r="W544" s="145">
        <f ca="1">IFERROR(__xludf.DUMMYFUNCTION("""COMPUTED_VALUE"""),557900)</f>
        <v>557900</v>
      </c>
      <c r="X544" s="11">
        <f ca="1">IFERROR(__xludf.DUMMYFUNCTION("""COMPUTED_VALUE"""),195630)</f>
        <v>195630</v>
      </c>
      <c r="Y544" s="11">
        <f ca="1">IFERROR(__xludf.DUMMYFUNCTION("""COMPUTED_VALUE"""),0)</f>
        <v>0</v>
      </c>
      <c r="Z544" s="4">
        <f ca="1">IFERROR(__xludf.DUMMYFUNCTION("""COMPUTED_VALUE"""),0.115799999999999)</f>
        <v>0.115799999999999</v>
      </c>
    </row>
    <row r="545" spans="1:26" ht="13" x14ac:dyDescent="0.15">
      <c r="A545" s="43" t="str">
        <f ca="1">IFERROR(__xludf.DUMMYFUNCTION("""COMPUTED_VALUE"""),"")</f>
        <v/>
      </c>
      <c r="B545" s="43" t="str">
        <f ca="1">IFERROR(__xludf.DUMMYFUNCTION("""COMPUTED_VALUE"""),"79521")</f>
        <v>79521</v>
      </c>
      <c r="C545" s="146">
        <f ca="1">IFERROR(__xludf.DUMMYFUNCTION("""COMPUTED_VALUE"""),44597000081)</f>
        <v>44597000081</v>
      </c>
      <c r="D545" s="43" t="str">
        <f ca="1">IFERROR(__xludf.DUMMYFUNCTION("""COMPUTED_VALUE"""),"Cash")</f>
        <v>Cash</v>
      </c>
      <c r="E545" s="147">
        <f ca="1">IFERROR(__xludf.DUMMYFUNCTION("""COMPUTED_VALUE"""),44597)</f>
        <v>44597</v>
      </c>
      <c r="F545" s="43" t="str">
        <f ca="1">IFERROR(__xludf.DUMMYFUNCTION("""COMPUTED_VALUE"""),"Cash")</f>
        <v>Cash</v>
      </c>
      <c r="G545" s="43" t="str">
        <f ca="1">IFERROR(__xludf.DUMMYFUNCTION("""COMPUTED_VALUE"""),"HKD")</f>
        <v>HKD</v>
      </c>
      <c r="H545" s="154" t="str">
        <f ca="1">IFERROR(__xludf.DUMMYFUNCTION("""COMPUTED_VALUE"""),"")</f>
        <v/>
      </c>
      <c r="I545" s="148">
        <f ca="1">IFERROR(__xludf.DUMMYFUNCTION("""COMPUTED_VALUE"""),1)</f>
        <v>1</v>
      </c>
      <c r="J545" s="149">
        <f ca="1">IFERROR(__xludf.DUMMYFUNCTION("""COMPUTED_VALUE"""),1)</f>
        <v>1</v>
      </c>
      <c r="K545" s="43"/>
      <c r="L545" s="149">
        <f ca="1">IFERROR(__xludf.DUMMYFUNCTION("""COMPUTED_VALUE"""),1)</f>
        <v>1</v>
      </c>
      <c r="M545" s="155" t="str">
        <f ca="1">IFERROR(__xludf.DUMMYFUNCTION("""COMPUTED_VALUE"""),"")</f>
        <v/>
      </c>
      <c r="N545" s="43"/>
      <c r="O545" s="43"/>
      <c r="P545" s="157">
        <f ca="1">IFERROR(__xludf.DUMMYFUNCTION("""COMPUTED_VALUE"""),500000)</f>
        <v>500000</v>
      </c>
      <c r="Q545" s="151"/>
      <c r="R545" s="152">
        <f ca="1">IFERROR(__xludf.DUMMYFUNCTION("""COMPUTED_VALUE"""),1)</f>
        <v>1</v>
      </c>
      <c r="S545" s="150" t="str">
        <f ca="1">IFERROR(__xludf.DUMMYFUNCTION("""COMPUTED_VALUE"""),"")</f>
        <v/>
      </c>
      <c r="T545" s="108">
        <f ca="1">IFERROR(__xludf.DUMMYFUNCTION("""COMPUTED_VALUE"""),1)</f>
        <v>1</v>
      </c>
      <c r="U545" s="108">
        <f ca="1">IFERROR(__xludf.DUMMYFUNCTION("""COMPUTED_VALUE"""),1)</f>
        <v>1</v>
      </c>
      <c r="V545" s="158">
        <f ca="1">IFERROR(__xludf.DUMMYFUNCTION("""COMPUTED_VALUE"""),500000)</f>
        <v>500000</v>
      </c>
      <c r="W545" s="145" t="str">
        <f ca="1">IFERROR(__xludf.DUMMYFUNCTION("""COMPUTED_VALUE"""),"")</f>
        <v/>
      </c>
      <c r="X545" s="11" t="str">
        <f ca="1">IFERROR(__xludf.DUMMYFUNCTION("""COMPUTED_VALUE"""),"")</f>
        <v/>
      </c>
      <c r="Y545" s="11" t="str">
        <f ca="1">IFERROR(__xludf.DUMMYFUNCTION("""COMPUTED_VALUE"""),"")</f>
        <v/>
      </c>
      <c r="Z545" s="4" t="str">
        <f ca="1">IFERROR(__xludf.DUMMYFUNCTION("""COMPUTED_VALUE"""),"")</f>
        <v/>
      </c>
    </row>
    <row r="546" spans="1:26" ht="13" x14ac:dyDescent="0.15">
      <c r="A546" s="43" t="str">
        <f ca="1">IFERROR(__xludf.DUMMYFUNCTION("""COMPUTED_VALUE"""),"")</f>
        <v/>
      </c>
      <c r="B546" s="43" t="str">
        <f ca="1">IFERROR(__xludf.DUMMYFUNCTION("""COMPUTED_VALUE"""),"79521")</f>
        <v>79521</v>
      </c>
      <c r="C546" s="146">
        <f ca="1">IFERROR(__xludf.DUMMYFUNCTION("""COMPUTED_VALUE"""),44622000405)</f>
        <v>44622000405</v>
      </c>
      <c r="D546" s="43" t="str">
        <f ca="1">IFERROR(__xludf.DUMMYFUNCTION("""COMPUTED_VALUE"""),"AAPL")</f>
        <v>AAPL</v>
      </c>
      <c r="E546" s="147">
        <f ca="1">IFERROR(__xludf.DUMMYFUNCTION("""COMPUTED_VALUE"""),44622)</f>
        <v>44622</v>
      </c>
      <c r="F546" s="43" t="str">
        <f ca="1">IFERROR(__xludf.DUMMYFUNCTION("""COMPUTED_VALUE"""),"Stock")</f>
        <v>Stock</v>
      </c>
      <c r="G546" s="43" t="str">
        <f ca="1">IFERROR(__xludf.DUMMYFUNCTION("""COMPUTED_VALUE"""),"USD")</f>
        <v>USD</v>
      </c>
      <c r="H546" s="154">
        <f ca="1">IFERROR(__xludf.DUMMYFUNCTION("""COMPUTED_VALUE"""),0)</f>
        <v>0</v>
      </c>
      <c r="I546" s="148">
        <f ca="1">IFERROR(__xludf.DUMMYFUNCTION("""COMPUTED_VALUE"""),7.81395)</f>
        <v>7.8139500000000002</v>
      </c>
      <c r="J546" s="149">
        <f ca="1">IFERROR(__xludf.DUMMYFUNCTION("""COMPUTED_VALUE"""),0)</f>
        <v>0</v>
      </c>
      <c r="K546" s="43"/>
      <c r="L546" s="149">
        <f ca="1">IFERROR(__xludf.DUMMYFUNCTION("""COMPUTED_VALUE"""),168.82)</f>
        <v>168.82</v>
      </c>
      <c r="M546" s="155" t="str">
        <f ca="1">IFERROR(__xludf.DUMMYFUNCTION("""COMPUTED_VALUE"""),"Equity Key Stats")</f>
        <v>Equity Key Stats</v>
      </c>
      <c r="N546" s="43"/>
      <c r="O546" s="43"/>
      <c r="P546" s="157">
        <f ca="1">IFERROR(__xludf.DUMMYFUNCTION("""COMPUTED_VALUE"""),0)</f>
        <v>0</v>
      </c>
      <c r="Q546" s="151"/>
      <c r="R546" s="152">
        <f ca="1">IFERROR(__xludf.DUMMYFUNCTION("""COMPUTED_VALUE"""),170.21)</f>
        <v>170.21</v>
      </c>
      <c r="S546" s="150">
        <f ca="1">IFERROR(__xludf.DUMMYFUNCTION("""COMPUTED_VALUE"""),0)</f>
        <v>0</v>
      </c>
      <c r="T546" s="108">
        <f ca="1">IFERROR(__xludf.DUMMYFUNCTION("""COMPUTED_VALUE"""),2)</f>
        <v>2</v>
      </c>
      <c r="U546" s="108" t="str">
        <f ca="1">IFERROR(__xludf.DUMMYFUNCTION("""COMPUTED_VALUE"""),"")</f>
        <v/>
      </c>
      <c r="V546" s="153" t="str">
        <f ca="1">IFERROR(__xludf.DUMMYFUNCTION("""COMPUTED_VALUE"""),"")</f>
        <v/>
      </c>
      <c r="W546" s="145" t="str">
        <f ca="1">IFERROR(__xludf.DUMMYFUNCTION("""COMPUTED_VALUE"""),"")</f>
        <v/>
      </c>
      <c r="X546" s="11" t="str">
        <f ca="1">IFERROR(__xludf.DUMMYFUNCTION("""COMPUTED_VALUE"""),"")</f>
        <v/>
      </c>
      <c r="Y546" s="11" t="str">
        <f ca="1">IFERROR(__xludf.DUMMYFUNCTION("""COMPUTED_VALUE"""),"")</f>
        <v/>
      </c>
      <c r="Z546" s="4" t="str">
        <f ca="1">IFERROR(__xludf.DUMMYFUNCTION("""COMPUTED_VALUE"""),"")</f>
        <v/>
      </c>
    </row>
    <row r="547" spans="1:26" ht="13" x14ac:dyDescent="0.15">
      <c r="A547" s="43" t="str">
        <f ca="1">IFERROR(__xludf.DUMMYFUNCTION("""COMPUTED_VALUE"""),"")</f>
        <v/>
      </c>
      <c r="B547" s="43" t="str">
        <f ca="1">IFERROR(__xludf.DUMMYFUNCTION("""COMPUTED_VALUE"""),"79521")</f>
        <v>79521</v>
      </c>
      <c r="C547" s="146">
        <f ca="1">IFERROR(__xludf.DUMMYFUNCTION("""COMPUTED_VALUE"""),44627000452)</f>
        <v>44627000452</v>
      </c>
      <c r="D547" s="161" t="str">
        <f ca="1">IFERROR(__xludf.DUMMYFUNCTION("""COMPUTED_VALUE"""),"000950.SZ")</f>
        <v>000950.SZ</v>
      </c>
      <c r="E547" s="147">
        <f ca="1">IFERROR(__xludf.DUMMYFUNCTION("""COMPUTED_VALUE"""),44627)</f>
        <v>44627</v>
      </c>
      <c r="F547" s="43" t="str">
        <f ca="1">IFERROR(__xludf.DUMMYFUNCTION("""COMPUTED_VALUE"""),"Stock")</f>
        <v>Stock</v>
      </c>
      <c r="G547" s="43" t="str">
        <f ca="1">IFERROR(__xludf.DUMMYFUNCTION("""COMPUTED_VALUE"""),"CNY")</f>
        <v>CNY</v>
      </c>
      <c r="H547" s="154">
        <f ca="1">IFERROR(__xludf.DUMMYFUNCTION("""COMPUTED_VALUE"""),32500)</f>
        <v>32500</v>
      </c>
      <c r="I547" s="148">
        <f ca="1">IFERROR(__xludf.DUMMYFUNCTION("""COMPUTED_VALUE"""),1.237255)</f>
        <v>1.237255</v>
      </c>
      <c r="J547" s="149">
        <f ca="1">IFERROR(__xludf.DUMMYFUNCTION("""COMPUTED_VALUE"""),6.15)</f>
        <v>6.15</v>
      </c>
      <c r="K547" s="43"/>
      <c r="L547" s="149">
        <f ca="1">IFERROR(__xludf.DUMMYFUNCTION("""COMPUTED_VALUE"""),6.38)</f>
        <v>6.38</v>
      </c>
      <c r="M547" s="155" t="str">
        <f ca="1">IFERROR(__xludf.DUMMYFUNCTION("""COMPUTED_VALUE"""),"Equity Key Stats")</f>
        <v>Equity Key Stats</v>
      </c>
      <c r="N547" s="43"/>
      <c r="O547" s="43"/>
      <c r="P547" s="157">
        <f ca="1">IFERROR(__xludf.DUMMYFUNCTION("""COMPUTED_VALUE"""),-247296.343125)</f>
        <v>-247296.34312500001</v>
      </c>
      <c r="Q547" s="151"/>
      <c r="R547" s="152">
        <f ca="1">IFERROR(__xludf.DUMMYFUNCTION("""COMPUTED_VALUE"""),5.8)</f>
        <v>5.8</v>
      </c>
      <c r="S547" s="150">
        <f ca="1">IFERROR(__xludf.DUMMYFUNCTION("""COMPUTED_VALUE"""),233222.567499999)</f>
        <v>233222.56749999899</v>
      </c>
      <c r="T547" s="108">
        <f ca="1">IFERROR(__xludf.DUMMYFUNCTION("""COMPUTED_VALUE"""),2)</f>
        <v>2</v>
      </c>
      <c r="U547" s="108" t="str">
        <f ca="1">IFERROR(__xludf.DUMMYFUNCTION("""COMPUTED_VALUE"""),"")</f>
        <v/>
      </c>
      <c r="V547" s="158" t="str">
        <f ca="1">IFERROR(__xludf.DUMMYFUNCTION("""COMPUTED_VALUE"""),"")</f>
        <v/>
      </c>
      <c r="W547" s="145" t="str">
        <f ca="1">IFERROR(__xludf.DUMMYFUNCTION("""COMPUTED_VALUE"""),"")</f>
        <v/>
      </c>
      <c r="X547" s="11" t="str">
        <f ca="1">IFERROR(__xludf.DUMMYFUNCTION("""COMPUTED_VALUE"""),"")</f>
        <v/>
      </c>
      <c r="Y547" s="11" t="str">
        <f ca="1">IFERROR(__xludf.DUMMYFUNCTION("""COMPUTED_VALUE"""),"")</f>
        <v/>
      </c>
      <c r="Z547" s="4" t="str">
        <f ca="1">IFERROR(__xludf.DUMMYFUNCTION("""COMPUTED_VALUE"""),"")</f>
        <v/>
      </c>
    </row>
    <row r="548" spans="1:26" ht="13" x14ac:dyDescent="0.15">
      <c r="A548" s="43" t="str">
        <f ca="1">IFERROR(__xludf.DUMMYFUNCTION("""COMPUTED_VALUE"""),"")</f>
        <v/>
      </c>
      <c r="B548" s="43" t="str">
        <f ca="1">IFERROR(__xludf.DUMMYFUNCTION("""COMPUTED_VALUE"""),"79521")</f>
        <v>79521</v>
      </c>
      <c r="C548" s="146">
        <f ca="1">IFERROR(__xludf.DUMMYFUNCTION("""COMPUTED_VALUE"""),44627000453)</f>
        <v>44627000453</v>
      </c>
      <c r="D548" s="161" t="str">
        <f ca="1">IFERROR(__xludf.DUMMYFUNCTION("""COMPUTED_VALUE"""),"600661.SS")</f>
        <v>600661.SS</v>
      </c>
      <c r="E548" s="147">
        <f ca="1">IFERROR(__xludf.DUMMYFUNCTION("""COMPUTED_VALUE"""),44627)</f>
        <v>44627</v>
      </c>
      <c r="F548" s="43" t="str">
        <f ca="1">IFERROR(__xludf.DUMMYFUNCTION("""COMPUTED_VALUE"""),"Stock")</f>
        <v>Stock</v>
      </c>
      <c r="G548" s="43" t="str">
        <f ca="1">IFERROR(__xludf.DUMMYFUNCTION("""COMPUTED_VALUE"""),"CNY")</f>
        <v>CNY</v>
      </c>
      <c r="H548" s="154">
        <f ca="1">IFERROR(__xludf.DUMMYFUNCTION("""COMPUTED_VALUE"""),15000)</f>
        <v>15000</v>
      </c>
      <c r="I548" s="148">
        <f ca="1">IFERROR(__xludf.DUMMYFUNCTION("""COMPUTED_VALUE"""),1.237255)</f>
        <v>1.237255</v>
      </c>
      <c r="J548" s="149">
        <f ca="1">IFERROR(__xludf.DUMMYFUNCTION("""COMPUTED_VALUE"""),13.18)</f>
        <v>13.18</v>
      </c>
      <c r="K548" s="43"/>
      <c r="L548" s="149">
        <f ca="1">IFERROR(__xludf.DUMMYFUNCTION("""COMPUTED_VALUE"""),10.44)</f>
        <v>10.44</v>
      </c>
      <c r="M548" s="155" t="str">
        <f ca="1">IFERROR(__xludf.DUMMYFUNCTION("""COMPUTED_VALUE"""),"Equity Key Stats")</f>
        <v>Equity Key Stats</v>
      </c>
      <c r="N548" s="43"/>
      <c r="O548" s="43"/>
      <c r="P548" s="157">
        <f ca="1">IFERROR(__xludf.DUMMYFUNCTION("""COMPUTED_VALUE"""),-244605.3135)</f>
        <v>-244605.31349999999</v>
      </c>
      <c r="Q548" s="151"/>
      <c r="R548" s="152">
        <f ca="1">IFERROR(__xludf.DUMMYFUNCTION("""COMPUTED_VALUE"""),10.33)</f>
        <v>10.33</v>
      </c>
      <c r="S548" s="150">
        <f ca="1">IFERROR(__xludf.DUMMYFUNCTION("""COMPUTED_VALUE"""),191712.66225)</f>
        <v>191712.66224999999</v>
      </c>
      <c r="T548" s="108">
        <f ca="1">IFERROR(__xludf.DUMMYFUNCTION("""COMPUTED_VALUE"""),2)</f>
        <v>2</v>
      </c>
      <c r="U548" s="108" t="str">
        <f ca="1">IFERROR(__xludf.DUMMYFUNCTION("""COMPUTED_VALUE"""),"")</f>
        <v/>
      </c>
      <c r="V548" s="153" t="str">
        <f ca="1">IFERROR(__xludf.DUMMYFUNCTION("""COMPUTED_VALUE"""),"")</f>
        <v/>
      </c>
      <c r="W548" s="145" t="str">
        <f ca="1">IFERROR(__xludf.DUMMYFUNCTION("""COMPUTED_VALUE"""),"")</f>
        <v/>
      </c>
      <c r="X548" s="11" t="str">
        <f ca="1">IFERROR(__xludf.DUMMYFUNCTION("""COMPUTED_VALUE"""),"")</f>
        <v/>
      </c>
      <c r="Y548" s="11" t="str">
        <f ca="1">IFERROR(__xludf.DUMMYFUNCTION("""COMPUTED_VALUE"""),"")</f>
        <v/>
      </c>
      <c r="Z548" s="4" t="str">
        <f ca="1">IFERROR(__xludf.DUMMYFUNCTION("""COMPUTED_VALUE"""),"")</f>
        <v/>
      </c>
    </row>
    <row r="549" spans="1:26" ht="13" x14ac:dyDescent="0.15">
      <c r="A549" s="43" t="str">
        <f ca="1">IFERROR(__xludf.DUMMYFUNCTION("""COMPUTED_VALUE"""),"")</f>
        <v/>
      </c>
      <c r="B549" s="43" t="str">
        <f ca="1">IFERROR(__xludf.DUMMYFUNCTION("""COMPUTED_VALUE"""),"79521")</f>
        <v>79521</v>
      </c>
      <c r="C549" s="146">
        <f ca="1">IFERROR(__xludf.DUMMYFUNCTION("""COMPUTED_VALUE"""),44628000489)</f>
        <v>44628000489</v>
      </c>
      <c r="D549" s="43" t="str">
        <f ca="1">IFERROR(__xludf.DUMMYFUNCTION("""COMPUTED_VALUE"""),"AAPL")</f>
        <v>AAPL</v>
      </c>
      <c r="E549" s="147">
        <f ca="1">IFERROR(__xludf.DUMMYFUNCTION("""COMPUTED_VALUE"""),44628)</f>
        <v>44628</v>
      </c>
      <c r="F549" s="43" t="str">
        <f ca="1">IFERROR(__xludf.DUMMYFUNCTION("""COMPUTED_VALUE"""),"Stock")</f>
        <v>Stock</v>
      </c>
      <c r="G549" s="43" t="str">
        <f ca="1">IFERROR(__xludf.DUMMYFUNCTION("""COMPUTED_VALUE"""),"USD")</f>
        <v>USD</v>
      </c>
      <c r="H549" s="154">
        <f ca="1">IFERROR(__xludf.DUMMYFUNCTION("""COMPUTED_VALUE"""),0)</f>
        <v>0</v>
      </c>
      <c r="I549" s="148">
        <f ca="1">IFERROR(__xludf.DUMMYFUNCTION("""COMPUTED_VALUE"""),7.818975)</f>
        <v>7.818975</v>
      </c>
      <c r="J549" s="149">
        <f ca="1">IFERROR(__xludf.DUMMYFUNCTION("""COMPUTED_VALUE"""),0)</f>
        <v>0</v>
      </c>
      <c r="K549" s="43"/>
      <c r="L549" s="149">
        <f ca="1">IFERROR(__xludf.DUMMYFUNCTION("""COMPUTED_VALUE"""),168.82)</f>
        <v>168.82</v>
      </c>
      <c r="M549" s="155" t="str">
        <f ca="1">IFERROR(__xludf.DUMMYFUNCTION("""COMPUTED_VALUE"""),"Equity Key Stats")</f>
        <v>Equity Key Stats</v>
      </c>
      <c r="N549" s="43"/>
      <c r="O549" s="43"/>
      <c r="P549" s="157">
        <f ca="1">IFERROR(__xludf.DUMMYFUNCTION("""COMPUTED_VALUE"""),0)</f>
        <v>0</v>
      </c>
      <c r="Q549" s="151"/>
      <c r="R549" s="152">
        <f ca="1">IFERROR(__xludf.DUMMYFUNCTION("""COMPUTED_VALUE"""),170.21)</f>
        <v>170.21</v>
      </c>
      <c r="S549" s="150">
        <f ca="1">IFERROR(__xludf.DUMMYFUNCTION("""COMPUTED_VALUE"""),0)</f>
        <v>0</v>
      </c>
      <c r="T549" s="108">
        <f ca="1">IFERROR(__xludf.DUMMYFUNCTION("""COMPUTED_VALUE"""),2)</f>
        <v>2</v>
      </c>
      <c r="U549" s="108">
        <f ca="1">IFERROR(__xludf.DUMMYFUNCTION("""COMPUTED_VALUE"""),1)</f>
        <v>1</v>
      </c>
      <c r="V549" s="153">
        <f ca="1">IFERROR(__xludf.DUMMYFUNCTION("""COMPUTED_VALUE"""),0)</f>
        <v>0</v>
      </c>
      <c r="W549" s="44" t="str">
        <f ca="1">IFERROR(__xludf.DUMMYFUNCTION("""COMPUTED_VALUE"""),"")</f>
        <v/>
      </c>
      <c r="X549" s="154" t="str">
        <f ca="1">IFERROR(__xludf.DUMMYFUNCTION("""COMPUTED_VALUE"""),"")</f>
        <v/>
      </c>
      <c r="Y549" s="154" t="str">
        <f ca="1">IFERROR(__xludf.DUMMYFUNCTION("""COMPUTED_VALUE"""),"")</f>
        <v/>
      </c>
      <c r="Z549" s="159" t="str">
        <f ca="1">IFERROR(__xludf.DUMMYFUNCTION("""COMPUTED_VALUE"""),"")</f>
        <v/>
      </c>
    </row>
    <row r="550" spans="1:26" ht="13" x14ac:dyDescent="0.15">
      <c r="A550" s="43" t="str">
        <f ca="1">IFERROR(__xludf.DUMMYFUNCTION("""COMPUTED_VALUE"""),"")</f>
        <v/>
      </c>
      <c r="B550" s="43" t="str">
        <f ca="1">IFERROR(__xludf.DUMMYFUNCTION("""COMPUTED_VALUE"""),"79521")</f>
        <v>79521</v>
      </c>
      <c r="C550" s="146">
        <f ca="1">IFERROR(__xludf.DUMMYFUNCTION("""COMPUTED_VALUE"""),44637000657)</f>
        <v>44637000657</v>
      </c>
      <c r="D550" s="161" t="str">
        <f ca="1">IFERROR(__xludf.DUMMYFUNCTION("""COMPUTED_VALUE"""),"000950.SZ")</f>
        <v>000950.SZ</v>
      </c>
      <c r="E550" s="147">
        <f ca="1">IFERROR(__xludf.DUMMYFUNCTION("""COMPUTED_VALUE"""),44637)</f>
        <v>44637</v>
      </c>
      <c r="F550" s="43" t="str">
        <f ca="1">IFERROR(__xludf.DUMMYFUNCTION("""COMPUTED_VALUE"""),"Stock")</f>
        <v>Stock</v>
      </c>
      <c r="G550" s="43" t="str">
        <f ca="1">IFERROR(__xludf.DUMMYFUNCTION("""COMPUTED_VALUE"""),"CNY")</f>
        <v>CNY</v>
      </c>
      <c r="H550" s="11">
        <f ca="1">IFERROR(__xludf.DUMMYFUNCTION("""COMPUTED_VALUE"""),-32500)</f>
        <v>-32500</v>
      </c>
      <c r="I550" s="148">
        <f ca="1">IFERROR(__xludf.DUMMYFUNCTION("""COMPUTED_VALUE"""),1.231806)</f>
        <v>1.231806</v>
      </c>
      <c r="J550" s="149">
        <f ca="1">IFERROR(__xludf.DUMMYFUNCTION("""COMPUTED_VALUE"""),5.58)</f>
        <v>5.58</v>
      </c>
      <c r="K550" s="43"/>
      <c r="L550" s="149">
        <f ca="1">IFERROR(__xludf.DUMMYFUNCTION("""COMPUTED_VALUE"""),6.38)</f>
        <v>6.38</v>
      </c>
      <c r="M550" s="160" t="str">
        <f ca="1">IFERROR(__xludf.DUMMYFUNCTION("""COMPUTED_VALUE"""),"Equity Key Stats")</f>
        <v>Equity Key Stats</v>
      </c>
      <c r="N550" s="43"/>
      <c r="O550" s="43"/>
      <c r="P550" s="150">
        <f ca="1">IFERROR(__xludf.DUMMYFUNCTION("""COMPUTED_VALUE"""),223388.0181)</f>
        <v>223388.01809999999</v>
      </c>
      <c r="Q550" s="151"/>
      <c r="R550" s="152">
        <f ca="1">IFERROR(__xludf.DUMMYFUNCTION("""COMPUTED_VALUE"""),5.8)</f>
        <v>5.8</v>
      </c>
      <c r="S550" s="127">
        <f ca="1">IFERROR(__xludf.DUMMYFUNCTION("""COMPUTED_VALUE"""),-232195.430999999)</f>
        <v>-232195.43099999899</v>
      </c>
      <c r="T550" s="108">
        <f ca="1">IFERROR(__xludf.DUMMYFUNCTION("""COMPUTED_VALUE"""),2)</f>
        <v>2</v>
      </c>
      <c r="U550" s="108">
        <f ca="1">IFERROR(__xludf.DUMMYFUNCTION("""COMPUTED_VALUE"""),1)</f>
        <v>1</v>
      </c>
      <c r="V550" s="153">
        <f ca="1">IFERROR(__xludf.DUMMYFUNCTION("""COMPUTED_VALUE"""),-22881.188525)</f>
        <v>-22881.188525000001</v>
      </c>
      <c r="W550" s="145" t="str">
        <f ca="1">IFERROR(__xludf.DUMMYFUNCTION("""COMPUTED_VALUE"""),"")</f>
        <v/>
      </c>
      <c r="X550" s="11" t="str">
        <f ca="1">IFERROR(__xludf.DUMMYFUNCTION("""COMPUTED_VALUE"""),"")</f>
        <v/>
      </c>
      <c r="Y550" s="11" t="str">
        <f ca="1">IFERROR(__xludf.DUMMYFUNCTION("""COMPUTED_VALUE"""),"")</f>
        <v/>
      </c>
      <c r="Z550" s="4" t="str">
        <f ca="1">IFERROR(__xludf.DUMMYFUNCTION("""COMPUTED_VALUE"""),"")</f>
        <v/>
      </c>
    </row>
    <row r="551" spans="1:26" ht="13" x14ac:dyDescent="0.15">
      <c r="A551" s="43" t="str">
        <f ca="1">IFERROR(__xludf.DUMMYFUNCTION("""COMPUTED_VALUE"""),"")</f>
        <v/>
      </c>
      <c r="B551" s="43" t="str">
        <f ca="1">IFERROR(__xludf.DUMMYFUNCTION("""COMPUTED_VALUE"""),"79521")</f>
        <v>79521</v>
      </c>
      <c r="C551" s="146">
        <f ca="1">IFERROR(__xludf.DUMMYFUNCTION("""COMPUTED_VALUE"""),44637000658)</f>
        <v>44637000658</v>
      </c>
      <c r="D551" s="161" t="str">
        <f ca="1">IFERROR(__xludf.DUMMYFUNCTION("""COMPUTED_VALUE"""),"600661.SS")</f>
        <v>600661.SS</v>
      </c>
      <c r="E551" s="147">
        <f ca="1">IFERROR(__xludf.DUMMYFUNCTION("""COMPUTED_VALUE"""),44637)</f>
        <v>44637</v>
      </c>
      <c r="F551" s="43" t="str">
        <f ca="1">IFERROR(__xludf.DUMMYFUNCTION("""COMPUTED_VALUE"""),"Stock")</f>
        <v>Stock</v>
      </c>
      <c r="G551" s="43" t="str">
        <f ca="1">IFERROR(__xludf.DUMMYFUNCTION("""COMPUTED_VALUE"""),"CNY")</f>
        <v>CNY</v>
      </c>
      <c r="H551" s="154">
        <f ca="1">IFERROR(__xludf.DUMMYFUNCTION("""COMPUTED_VALUE"""),-15000)</f>
        <v>-15000</v>
      </c>
      <c r="I551" s="148">
        <f ca="1">IFERROR(__xludf.DUMMYFUNCTION("""COMPUTED_VALUE"""),1.231806)</f>
        <v>1.231806</v>
      </c>
      <c r="J551" s="149">
        <f ca="1">IFERROR(__xludf.DUMMYFUNCTION("""COMPUTED_VALUE"""),10.9)</f>
        <v>10.9</v>
      </c>
      <c r="K551" s="43"/>
      <c r="L551" s="149">
        <f ca="1">IFERROR(__xludf.DUMMYFUNCTION("""COMPUTED_VALUE"""),10.44)</f>
        <v>10.44</v>
      </c>
      <c r="M551" s="155" t="str">
        <f ca="1">IFERROR(__xludf.DUMMYFUNCTION("""COMPUTED_VALUE"""),"Equity Key Stats")</f>
        <v>Equity Key Stats</v>
      </c>
      <c r="N551" s="43"/>
      <c r="O551" s="43"/>
      <c r="P551" s="157">
        <f ca="1">IFERROR(__xludf.DUMMYFUNCTION("""COMPUTED_VALUE"""),201400.281)</f>
        <v>201400.28099999999</v>
      </c>
      <c r="Q551" s="151"/>
      <c r="R551" s="152">
        <f ca="1">IFERROR(__xludf.DUMMYFUNCTION("""COMPUTED_VALUE"""),10.33)</f>
        <v>10.33</v>
      </c>
      <c r="S551" s="150">
        <f ca="1">IFERROR(__xludf.DUMMYFUNCTION("""COMPUTED_VALUE"""),-190868.3397)</f>
        <v>-190868.33970000001</v>
      </c>
      <c r="T551" s="108">
        <f ca="1">IFERROR(__xludf.DUMMYFUNCTION("""COMPUTED_VALUE"""),2)</f>
        <v>2</v>
      </c>
      <c r="U551" s="108">
        <f ca="1">IFERROR(__xludf.DUMMYFUNCTION("""COMPUTED_VALUE"""),1)</f>
        <v>1</v>
      </c>
      <c r="V551" s="153">
        <f ca="1">IFERROR(__xludf.DUMMYFUNCTION("""COMPUTED_VALUE"""),-42360.7099499999)</f>
        <v>-42360.709949999902</v>
      </c>
      <c r="W551" s="44" t="str">
        <f ca="1">IFERROR(__xludf.DUMMYFUNCTION("""COMPUTED_VALUE"""),"")</f>
        <v/>
      </c>
      <c r="X551" s="154" t="str">
        <f ca="1">IFERROR(__xludf.DUMMYFUNCTION("""COMPUTED_VALUE"""),"")</f>
        <v/>
      </c>
      <c r="Y551" s="154" t="str">
        <f ca="1">IFERROR(__xludf.DUMMYFUNCTION("""COMPUTED_VALUE"""),"")</f>
        <v/>
      </c>
      <c r="Z551" s="159" t="str">
        <f ca="1">IFERROR(__xludf.DUMMYFUNCTION("""COMPUTED_VALUE"""),"")</f>
        <v/>
      </c>
    </row>
    <row r="552" spans="1:26" ht="13" x14ac:dyDescent="0.15">
      <c r="A552" s="43" t="str">
        <f ca="1">IFERROR(__xludf.DUMMYFUNCTION("""COMPUTED_VALUE"""),"")</f>
        <v/>
      </c>
      <c r="B552" s="43" t="str">
        <f ca="1">IFERROR(__xludf.DUMMYFUNCTION("""COMPUTED_VALUE"""),"79521")</f>
        <v>79521</v>
      </c>
      <c r="C552" s="146">
        <f ca="1">IFERROR(__xludf.DUMMYFUNCTION("""COMPUTED_VALUE"""),44638000690)</f>
        <v>44638000690</v>
      </c>
      <c r="D552" s="161" t="str">
        <f ca="1">IFERROR(__xludf.DUMMYFUNCTION("""COMPUTED_VALUE"""),"0700.HK")</f>
        <v>0700.HK</v>
      </c>
      <c r="E552" s="147">
        <f ca="1">IFERROR(__xludf.DUMMYFUNCTION("""COMPUTED_VALUE"""),44638)</f>
        <v>44638</v>
      </c>
      <c r="F552" s="43" t="str">
        <f ca="1">IFERROR(__xludf.DUMMYFUNCTION("""COMPUTED_VALUE"""),"Stock")</f>
        <v>Stock</v>
      </c>
      <c r="G552" s="43" t="str">
        <f ca="1">IFERROR(__xludf.DUMMYFUNCTION("""COMPUTED_VALUE"""),"HKD")</f>
        <v>HKD</v>
      </c>
      <c r="H552" s="11">
        <f ca="1">IFERROR(__xludf.DUMMYFUNCTION("""COMPUTED_VALUE"""),1000)</f>
        <v>1000</v>
      </c>
      <c r="I552" s="148">
        <f ca="1">IFERROR(__xludf.DUMMYFUNCTION("""COMPUTED_VALUE"""),1)</f>
        <v>1</v>
      </c>
      <c r="J552" s="149">
        <f ca="1">IFERROR(__xludf.DUMMYFUNCTION("""COMPUTED_VALUE"""),381)</f>
        <v>381</v>
      </c>
      <c r="K552" s="43"/>
      <c r="L552" s="149">
        <f ca="1">IFERROR(__xludf.DUMMYFUNCTION("""COMPUTED_VALUE"""),388)</f>
        <v>388</v>
      </c>
      <c r="M552" s="160" t="str">
        <f ca="1">IFERROR(__xludf.DUMMYFUNCTION("""COMPUTED_VALUE"""),"Equity Key Stats")</f>
        <v>Equity Key Stats</v>
      </c>
      <c r="N552" s="43"/>
      <c r="O552" s="43"/>
      <c r="P552" s="150">
        <f ca="1">IFERROR(__xludf.DUMMYFUNCTION("""COMPUTED_VALUE"""),-381000)</f>
        <v>-381000</v>
      </c>
      <c r="Q552" s="151"/>
      <c r="R552" s="152">
        <f ca="1">IFERROR(__xludf.DUMMYFUNCTION("""COMPUTED_VALUE"""),389)</f>
        <v>389</v>
      </c>
      <c r="S552" s="127">
        <f ca="1">IFERROR(__xludf.DUMMYFUNCTION("""COMPUTED_VALUE"""),389000)</f>
        <v>389000</v>
      </c>
      <c r="T552" s="108">
        <f ca="1">IFERROR(__xludf.DUMMYFUNCTION("""COMPUTED_VALUE"""),2)</f>
        <v>2</v>
      </c>
      <c r="U552" s="108" t="str">
        <f ca="1">IFERROR(__xludf.DUMMYFUNCTION("""COMPUTED_VALUE"""),"")</f>
        <v/>
      </c>
      <c r="V552" s="153" t="str">
        <f ca="1">IFERROR(__xludf.DUMMYFUNCTION("""COMPUTED_VALUE"""),"")</f>
        <v/>
      </c>
      <c r="W552" s="145" t="str">
        <f ca="1">IFERROR(__xludf.DUMMYFUNCTION("""COMPUTED_VALUE"""),"")</f>
        <v/>
      </c>
      <c r="X552" s="11" t="str">
        <f ca="1">IFERROR(__xludf.DUMMYFUNCTION("""COMPUTED_VALUE"""),"")</f>
        <v/>
      </c>
      <c r="Y552" s="11" t="str">
        <f ca="1">IFERROR(__xludf.DUMMYFUNCTION("""COMPUTED_VALUE"""),"")</f>
        <v/>
      </c>
      <c r="Z552" s="4" t="str">
        <f ca="1">IFERROR(__xludf.DUMMYFUNCTION("""COMPUTED_VALUE"""),"")</f>
        <v/>
      </c>
    </row>
    <row r="553" spans="1:26" ht="13" x14ac:dyDescent="0.15">
      <c r="A553" s="43" t="str">
        <f ca="1">IFERROR(__xludf.DUMMYFUNCTION("""COMPUTED_VALUE"""),"")</f>
        <v/>
      </c>
      <c r="B553" s="43" t="str">
        <f ca="1">IFERROR(__xludf.DUMMYFUNCTION("""COMPUTED_VALUE"""),"79521")</f>
        <v>79521</v>
      </c>
      <c r="C553" s="146">
        <f ca="1">IFERROR(__xludf.DUMMYFUNCTION("""COMPUTED_VALUE"""),44638000691)</f>
        <v>44638000691</v>
      </c>
      <c r="D553" s="161" t="str">
        <f ca="1">IFERROR(__xludf.DUMMYFUNCTION("""COMPUTED_VALUE"""),"001896.SZ")</f>
        <v>001896.SZ</v>
      </c>
      <c r="E553" s="147">
        <f ca="1">IFERROR(__xludf.DUMMYFUNCTION("""COMPUTED_VALUE"""),44638)</f>
        <v>44638</v>
      </c>
      <c r="F553" s="43" t="str">
        <f ca="1">IFERROR(__xludf.DUMMYFUNCTION("""COMPUTED_VALUE"""),"Stock")</f>
        <v>Stock</v>
      </c>
      <c r="G553" s="43" t="str">
        <f ca="1">IFERROR(__xludf.DUMMYFUNCTION("""COMPUTED_VALUE"""),"CNY")</f>
        <v>CNY</v>
      </c>
      <c r="H553" s="154">
        <f ca="1">IFERROR(__xludf.DUMMYFUNCTION("""COMPUTED_VALUE"""),10000)</f>
        <v>10000</v>
      </c>
      <c r="I553" s="148">
        <f ca="1">IFERROR(__xludf.DUMMYFUNCTION("""COMPUTED_VALUE"""),1.231731)</f>
        <v>1.2317309999999999</v>
      </c>
      <c r="J553" s="149">
        <f ca="1">IFERROR(__xludf.DUMMYFUNCTION("""COMPUTED_VALUE"""),6.16)</f>
        <v>6.16</v>
      </c>
      <c r="K553" s="43"/>
      <c r="L553" s="149">
        <f ca="1">IFERROR(__xludf.DUMMYFUNCTION("""COMPUTED_VALUE"""),6.28)</f>
        <v>6.28</v>
      </c>
      <c r="M553" s="160" t="str">
        <f ca="1">IFERROR(__xludf.DUMMYFUNCTION("""COMPUTED_VALUE"""),"Equity Key Stats")</f>
        <v>Equity Key Stats</v>
      </c>
      <c r="N553" s="43"/>
      <c r="O553" s="43"/>
      <c r="P553" s="157">
        <f ca="1">IFERROR(__xludf.DUMMYFUNCTION("""COMPUTED_VALUE"""),-75874.6296)</f>
        <v>-75874.6296</v>
      </c>
      <c r="Q553" s="151"/>
      <c r="R553" s="152">
        <f ca="1">IFERROR(__xludf.DUMMYFUNCTION("""COMPUTED_VALUE"""),6.25)</f>
        <v>6.25</v>
      </c>
      <c r="S553" s="150">
        <f ca="1">IFERROR(__xludf.DUMMYFUNCTION("""COMPUTED_VALUE"""),76983.1875)</f>
        <v>76983.1875</v>
      </c>
      <c r="T553" s="108">
        <f ca="1">IFERROR(__xludf.DUMMYFUNCTION("""COMPUTED_VALUE"""),1)</f>
        <v>1</v>
      </c>
      <c r="U553" s="108">
        <f ca="1">IFERROR(__xludf.DUMMYFUNCTION("""COMPUTED_VALUE"""),1)</f>
        <v>1</v>
      </c>
      <c r="V553" s="153">
        <f ca="1">IFERROR(__xludf.DUMMYFUNCTION("""COMPUTED_VALUE"""),1108.55789999999)</f>
        <v>1108.55789999999</v>
      </c>
      <c r="W553" s="145" t="str">
        <f ca="1">IFERROR(__xludf.DUMMYFUNCTION("""COMPUTED_VALUE"""),"")</f>
        <v/>
      </c>
      <c r="X553" s="11" t="str">
        <f ca="1">IFERROR(__xludf.DUMMYFUNCTION("""COMPUTED_VALUE"""),"")</f>
        <v/>
      </c>
      <c r="Y553" s="11" t="str">
        <f ca="1">IFERROR(__xludf.DUMMYFUNCTION("""COMPUTED_VALUE"""),"")</f>
        <v/>
      </c>
      <c r="Z553" s="4" t="str">
        <f ca="1">IFERROR(__xludf.DUMMYFUNCTION("""COMPUTED_VALUE"""),"")</f>
        <v/>
      </c>
    </row>
    <row r="554" spans="1:26" ht="13" x14ac:dyDescent="0.15">
      <c r="A554" s="43" t="str">
        <f ca="1">IFERROR(__xludf.DUMMYFUNCTION("""COMPUTED_VALUE"""),"79521")</f>
        <v>79521</v>
      </c>
      <c r="B554" s="43" t="str">
        <f ca="1">IFERROR(__xludf.DUMMYFUNCTION("""COMPUTED_VALUE"""),"79521")</f>
        <v>79521</v>
      </c>
      <c r="C554" s="146">
        <f ca="1">IFERROR(__xludf.DUMMYFUNCTION("""COMPUTED_VALUE"""),44641000740)</f>
        <v>44641000740</v>
      </c>
      <c r="D554" s="161" t="str">
        <f ca="1">IFERROR(__xludf.DUMMYFUNCTION("""COMPUTED_VALUE"""),"0700.HK")</f>
        <v>0700.HK</v>
      </c>
      <c r="E554" s="147">
        <f ca="1">IFERROR(__xludf.DUMMYFUNCTION("""COMPUTED_VALUE"""),44641)</f>
        <v>44641</v>
      </c>
      <c r="F554" s="43" t="str">
        <f ca="1">IFERROR(__xludf.DUMMYFUNCTION("""COMPUTED_VALUE"""),"Stock")</f>
        <v>Stock</v>
      </c>
      <c r="G554" s="43" t="str">
        <f ca="1">IFERROR(__xludf.DUMMYFUNCTION("""COMPUTED_VALUE"""),"HKD")</f>
        <v>HKD</v>
      </c>
      <c r="H554" s="156">
        <f ca="1">IFERROR(__xludf.DUMMYFUNCTION("""COMPUTED_VALUE"""),-1000)</f>
        <v>-1000</v>
      </c>
      <c r="I554" s="148">
        <f ca="1">IFERROR(__xludf.DUMMYFUNCTION("""COMPUTED_VALUE"""),1)</f>
        <v>1</v>
      </c>
      <c r="J554" s="149">
        <f ca="1">IFERROR(__xludf.DUMMYFUNCTION("""COMPUTED_VALUE"""),372.4)</f>
        <v>372.4</v>
      </c>
      <c r="K554" s="43"/>
      <c r="L554" s="149">
        <f ca="1">IFERROR(__xludf.DUMMYFUNCTION("""COMPUTED_VALUE"""),388)</f>
        <v>388</v>
      </c>
      <c r="M554" s="160" t="str">
        <f ca="1">IFERROR(__xludf.DUMMYFUNCTION("""COMPUTED_VALUE"""),"Equity Key Stats")</f>
        <v>Equity Key Stats</v>
      </c>
      <c r="N554" s="43"/>
      <c r="O554" s="43"/>
      <c r="P554" s="150">
        <f ca="1">IFERROR(__xludf.DUMMYFUNCTION("""COMPUTED_VALUE"""),372400)</f>
        <v>372400</v>
      </c>
      <c r="Q554" s="151"/>
      <c r="R554" s="152">
        <f ca="1">IFERROR(__xludf.DUMMYFUNCTION("""COMPUTED_VALUE"""),389)</f>
        <v>389</v>
      </c>
      <c r="S554" s="150">
        <f ca="1">IFERROR(__xludf.DUMMYFUNCTION("""COMPUTED_VALUE"""),-389000)</f>
        <v>-389000</v>
      </c>
      <c r="T554" s="108">
        <f ca="1">IFERROR(__xludf.DUMMYFUNCTION("""COMPUTED_VALUE"""),2)</f>
        <v>2</v>
      </c>
      <c r="U554" s="43">
        <f ca="1">IFERROR(__xludf.DUMMYFUNCTION("""COMPUTED_VALUE"""),1)</f>
        <v>1</v>
      </c>
      <c r="V554" s="144">
        <f ca="1">IFERROR(__xludf.DUMMYFUNCTION("""COMPUTED_VALUE"""),-8600)</f>
        <v>-8600</v>
      </c>
      <c r="W554" s="145">
        <f ca="1">IFERROR(__xludf.DUMMYFUNCTION("""COMPUTED_VALUE"""),427266.659425)</f>
        <v>427266.65942500002</v>
      </c>
      <c r="X554" s="11">
        <f ca="1">IFERROR(__xludf.DUMMYFUNCTION("""COMPUTED_VALUE"""),348412.012875)</f>
        <v>348412.01287500001</v>
      </c>
      <c r="Y554" s="11">
        <f ca="1">IFERROR(__xludf.DUMMYFUNCTION("""COMPUTED_VALUE"""),0)</f>
        <v>0</v>
      </c>
      <c r="Z554" s="4">
        <f ca="1">IFERROR(__xludf.DUMMYFUNCTION("""COMPUTED_VALUE"""),-0.145466681149999)</f>
        <v>-0.145466681149999</v>
      </c>
    </row>
    <row r="555" spans="1:26" ht="13" x14ac:dyDescent="0.15">
      <c r="A555" s="43" t="str">
        <f ca="1">IFERROR(__xludf.DUMMYFUNCTION("""COMPUTED_VALUE"""),"")</f>
        <v/>
      </c>
      <c r="B555" s="43" t="str">
        <f ca="1">IFERROR(__xludf.DUMMYFUNCTION("""COMPUTED_VALUE"""),"82124")</f>
        <v>82124</v>
      </c>
      <c r="C555" s="146">
        <f ca="1">IFERROR(__xludf.DUMMYFUNCTION("""COMPUTED_VALUE"""),44597000020)</f>
        <v>44597000020</v>
      </c>
      <c r="D555" s="43" t="str">
        <f ca="1">IFERROR(__xludf.DUMMYFUNCTION("""COMPUTED_VALUE"""),"Cash")</f>
        <v>Cash</v>
      </c>
      <c r="E555" s="147">
        <f ca="1">IFERROR(__xludf.DUMMYFUNCTION("""COMPUTED_VALUE"""),44597)</f>
        <v>44597</v>
      </c>
      <c r="F555" s="43" t="str">
        <f ca="1">IFERROR(__xludf.DUMMYFUNCTION("""COMPUTED_VALUE"""),"Cash")</f>
        <v>Cash</v>
      </c>
      <c r="G555" s="43" t="str">
        <f ca="1">IFERROR(__xludf.DUMMYFUNCTION("""COMPUTED_VALUE"""),"HKD")</f>
        <v>HKD</v>
      </c>
      <c r="H555" s="154" t="str">
        <f ca="1">IFERROR(__xludf.DUMMYFUNCTION("""COMPUTED_VALUE"""),"")</f>
        <v/>
      </c>
      <c r="I555" s="148">
        <f ca="1">IFERROR(__xludf.DUMMYFUNCTION("""COMPUTED_VALUE"""),1)</f>
        <v>1</v>
      </c>
      <c r="J555" s="149">
        <f ca="1">IFERROR(__xludf.DUMMYFUNCTION("""COMPUTED_VALUE"""),1)</f>
        <v>1</v>
      </c>
      <c r="K555" s="43"/>
      <c r="L555" s="149">
        <f ca="1">IFERROR(__xludf.DUMMYFUNCTION("""COMPUTED_VALUE"""),1)</f>
        <v>1</v>
      </c>
      <c r="M555" s="3" t="str">
        <f ca="1">IFERROR(__xludf.DUMMYFUNCTION("""COMPUTED_VALUE"""),"")</f>
        <v/>
      </c>
      <c r="N555" s="43"/>
      <c r="O555" s="43"/>
      <c r="P555" s="157">
        <f ca="1">IFERROR(__xludf.DUMMYFUNCTION("""COMPUTED_VALUE"""),500000)</f>
        <v>500000</v>
      </c>
      <c r="Q555" s="151"/>
      <c r="R555" s="152">
        <f ca="1">IFERROR(__xludf.DUMMYFUNCTION("""COMPUTED_VALUE"""),1)</f>
        <v>1</v>
      </c>
      <c r="S555" s="150" t="str">
        <f ca="1">IFERROR(__xludf.DUMMYFUNCTION("""COMPUTED_VALUE"""),"")</f>
        <v/>
      </c>
      <c r="T555" s="108">
        <f ca="1">IFERROR(__xludf.DUMMYFUNCTION("""COMPUTED_VALUE"""),1)</f>
        <v>1</v>
      </c>
      <c r="U555" s="43">
        <f ca="1">IFERROR(__xludf.DUMMYFUNCTION("""COMPUTED_VALUE"""),1)</f>
        <v>1</v>
      </c>
      <c r="V555" s="144">
        <f ca="1">IFERROR(__xludf.DUMMYFUNCTION("""COMPUTED_VALUE"""),500000)</f>
        <v>500000</v>
      </c>
      <c r="W555" s="145" t="str">
        <f ca="1">IFERROR(__xludf.DUMMYFUNCTION("""COMPUTED_VALUE"""),"")</f>
        <v/>
      </c>
      <c r="X555" s="11" t="str">
        <f ca="1">IFERROR(__xludf.DUMMYFUNCTION("""COMPUTED_VALUE"""),"")</f>
        <v/>
      </c>
      <c r="Y555" s="11" t="str">
        <f ca="1">IFERROR(__xludf.DUMMYFUNCTION("""COMPUTED_VALUE"""),"")</f>
        <v/>
      </c>
      <c r="Z555" s="4" t="str">
        <f ca="1">IFERROR(__xludf.DUMMYFUNCTION("""COMPUTED_VALUE"""),"")</f>
        <v/>
      </c>
    </row>
    <row r="556" spans="1:26" ht="13" x14ac:dyDescent="0.15">
      <c r="A556" s="43" t="str">
        <f ca="1">IFERROR(__xludf.DUMMYFUNCTION("""COMPUTED_VALUE"""),"")</f>
        <v/>
      </c>
      <c r="B556" s="43" t="str">
        <f ca="1">IFERROR(__xludf.DUMMYFUNCTION("""COMPUTED_VALUE"""),"82124")</f>
        <v>82124</v>
      </c>
      <c r="C556" s="146">
        <f ca="1">IFERROR(__xludf.DUMMYFUNCTION("""COMPUTED_VALUE"""),44608000216)</f>
        <v>44608000216</v>
      </c>
      <c r="D556" s="161" t="str">
        <f ca="1">IFERROR(__xludf.DUMMYFUNCTION("""COMPUTED_VALUE"""),"9988.HK")</f>
        <v>9988.HK</v>
      </c>
      <c r="E556" s="147">
        <f ca="1">IFERROR(__xludf.DUMMYFUNCTION("""COMPUTED_VALUE"""),44608)</f>
        <v>44608</v>
      </c>
      <c r="F556" s="43" t="str">
        <f ca="1">IFERROR(__xludf.DUMMYFUNCTION("""COMPUTED_VALUE"""),"Stock")</f>
        <v>Stock</v>
      </c>
      <c r="G556" s="43" t="str">
        <f ca="1">IFERROR(__xludf.DUMMYFUNCTION("""COMPUTED_VALUE"""),"HKD")</f>
        <v>HKD</v>
      </c>
      <c r="H556" s="154">
        <f ca="1">IFERROR(__xludf.DUMMYFUNCTION("""COMPUTED_VALUE"""),200)</f>
        <v>200</v>
      </c>
      <c r="I556" s="148">
        <f ca="1">IFERROR(__xludf.DUMMYFUNCTION("""COMPUTED_VALUE"""),1)</f>
        <v>1</v>
      </c>
      <c r="J556" s="149">
        <f ca="1">IFERROR(__xludf.DUMMYFUNCTION("""COMPUTED_VALUE"""),122.5)</f>
        <v>122.5</v>
      </c>
      <c r="K556" s="43"/>
      <c r="L556" s="149">
        <f ca="1">IFERROR(__xludf.DUMMYFUNCTION("""COMPUTED_VALUE"""),110.2)</f>
        <v>110.2</v>
      </c>
      <c r="M556" s="160" t="str">
        <f ca="1">IFERROR(__xludf.DUMMYFUNCTION("""COMPUTED_VALUE"""),"Equity Key Stats")</f>
        <v>Equity Key Stats</v>
      </c>
      <c r="N556" s="43"/>
      <c r="O556" s="43"/>
      <c r="P556" s="150">
        <f ca="1">IFERROR(__xludf.DUMMYFUNCTION("""COMPUTED_VALUE"""),-24500)</f>
        <v>-24500</v>
      </c>
      <c r="Q556" s="151"/>
      <c r="R556" s="152">
        <f ca="1">IFERROR(__xludf.DUMMYFUNCTION("""COMPUTED_VALUE"""),117.6)</f>
        <v>117.6</v>
      </c>
      <c r="S556" s="150">
        <f ca="1">IFERROR(__xludf.DUMMYFUNCTION("""COMPUTED_VALUE"""),23520)</f>
        <v>23520</v>
      </c>
      <c r="T556" s="108">
        <f ca="1">IFERROR(__xludf.DUMMYFUNCTION("""COMPUTED_VALUE"""),6)</f>
        <v>6</v>
      </c>
      <c r="U556" s="108" t="str">
        <f ca="1">IFERROR(__xludf.DUMMYFUNCTION("""COMPUTED_VALUE"""),"")</f>
        <v/>
      </c>
      <c r="V556" s="153" t="str">
        <f ca="1">IFERROR(__xludf.DUMMYFUNCTION("""COMPUTED_VALUE"""),"")</f>
        <v/>
      </c>
      <c r="W556" s="145" t="str">
        <f ca="1">IFERROR(__xludf.DUMMYFUNCTION("""COMPUTED_VALUE"""),"")</f>
        <v/>
      </c>
      <c r="X556" s="11" t="str">
        <f ca="1">IFERROR(__xludf.DUMMYFUNCTION("""COMPUTED_VALUE"""),"")</f>
        <v/>
      </c>
      <c r="Y556" s="11" t="str">
        <f ca="1">IFERROR(__xludf.DUMMYFUNCTION("""COMPUTED_VALUE"""),"")</f>
        <v/>
      </c>
      <c r="Z556" s="4" t="str">
        <f ca="1">IFERROR(__xludf.DUMMYFUNCTION("""COMPUTED_VALUE"""),"")</f>
        <v/>
      </c>
    </row>
    <row r="557" spans="1:26" ht="13" x14ac:dyDescent="0.15">
      <c r="A557" s="43" t="str">
        <f ca="1">IFERROR(__xludf.DUMMYFUNCTION("""COMPUTED_VALUE"""),"")</f>
        <v/>
      </c>
      <c r="B557" s="43" t="str">
        <f ca="1">IFERROR(__xludf.DUMMYFUNCTION("""COMPUTED_VALUE"""),"82124")</f>
        <v>82124</v>
      </c>
      <c r="C557" s="146">
        <f ca="1">IFERROR(__xludf.DUMMYFUNCTION("""COMPUTED_VALUE"""),44613000293)</f>
        <v>44613000293</v>
      </c>
      <c r="D557" s="161" t="str">
        <f ca="1">IFERROR(__xludf.DUMMYFUNCTION("""COMPUTED_VALUE"""),"0941.HK")</f>
        <v>0941.HK</v>
      </c>
      <c r="E557" s="147">
        <f ca="1">IFERROR(__xludf.DUMMYFUNCTION("""COMPUTED_VALUE"""),44613)</f>
        <v>44613</v>
      </c>
      <c r="F557" s="43" t="str">
        <f ca="1">IFERROR(__xludf.DUMMYFUNCTION("""COMPUTED_VALUE"""),"Stock")</f>
        <v>Stock</v>
      </c>
      <c r="G557" s="43" t="str">
        <f ca="1">IFERROR(__xludf.DUMMYFUNCTION("""COMPUTED_VALUE"""),"HKD")</f>
        <v>HKD</v>
      </c>
      <c r="H557" s="156">
        <f ca="1">IFERROR(__xludf.DUMMYFUNCTION("""COMPUTED_VALUE"""),1000)</f>
        <v>1000</v>
      </c>
      <c r="I557" s="148">
        <f ca="1">IFERROR(__xludf.DUMMYFUNCTION("""COMPUTED_VALUE"""),1)</f>
        <v>1</v>
      </c>
      <c r="J557" s="149">
        <f ca="1">IFERROR(__xludf.DUMMYFUNCTION("""COMPUTED_VALUE"""),55.9)</f>
        <v>55.9</v>
      </c>
      <c r="K557" s="43"/>
      <c r="L557" s="149">
        <f ca="1">IFERROR(__xludf.DUMMYFUNCTION("""COMPUTED_VALUE"""),54.1)</f>
        <v>54.1</v>
      </c>
      <c r="M557" s="160" t="str">
        <f ca="1">IFERROR(__xludf.DUMMYFUNCTION("""COMPUTED_VALUE"""),"Equity Key Stats")</f>
        <v>Equity Key Stats</v>
      </c>
      <c r="N557" s="43"/>
      <c r="O557" s="43"/>
      <c r="P557" s="150">
        <f ca="1">IFERROR(__xludf.DUMMYFUNCTION("""COMPUTED_VALUE"""),-55900)</f>
        <v>-55900</v>
      </c>
      <c r="Q557" s="151"/>
      <c r="R557" s="152">
        <f ca="1">IFERROR(__xludf.DUMMYFUNCTION("""COMPUTED_VALUE"""),54.35)</f>
        <v>54.35</v>
      </c>
      <c r="S557" s="150">
        <f ca="1">IFERROR(__xludf.DUMMYFUNCTION("""COMPUTED_VALUE"""),54350)</f>
        <v>54350</v>
      </c>
      <c r="T557" s="108">
        <f ca="1">IFERROR(__xludf.DUMMYFUNCTION("""COMPUTED_VALUE"""),1)</f>
        <v>1</v>
      </c>
      <c r="U557" s="108">
        <f ca="1">IFERROR(__xludf.DUMMYFUNCTION("""COMPUTED_VALUE"""),1)</f>
        <v>1</v>
      </c>
      <c r="V557" s="158">
        <f ca="1">IFERROR(__xludf.DUMMYFUNCTION("""COMPUTED_VALUE"""),-1550)</f>
        <v>-1550</v>
      </c>
      <c r="W557" s="44" t="str">
        <f ca="1">IFERROR(__xludf.DUMMYFUNCTION("""COMPUTED_VALUE"""),"")</f>
        <v/>
      </c>
      <c r="X557" s="154" t="str">
        <f ca="1">IFERROR(__xludf.DUMMYFUNCTION("""COMPUTED_VALUE"""),"")</f>
        <v/>
      </c>
      <c r="Y557" s="154" t="str">
        <f ca="1">IFERROR(__xludf.DUMMYFUNCTION("""COMPUTED_VALUE"""),"")</f>
        <v/>
      </c>
      <c r="Z557" s="159" t="str">
        <f ca="1">IFERROR(__xludf.DUMMYFUNCTION("""COMPUTED_VALUE"""),"")</f>
        <v/>
      </c>
    </row>
    <row r="558" spans="1:26" ht="13" x14ac:dyDescent="0.15">
      <c r="A558" s="5" t="str">
        <f ca="1">IFERROR(__xludf.DUMMYFUNCTION("""COMPUTED_VALUE"""),"")</f>
        <v/>
      </c>
      <c r="B558" s="5" t="str">
        <f ca="1">IFERROR(__xludf.DUMMYFUNCTION("""COMPUTED_VALUE"""),"82124")</f>
        <v>82124</v>
      </c>
      <c r="C558" s="8">
        <f ca="1">IFERROR(__xludf.DUMMYFUNCTION("""COMPUTED_VALUE"""),44621000390)</f>
        <v>44621000390</v>
      </c>
      <c r="D558" s="71" t="str">
        <f ca="1">IFERROR(__xludf.DUMMYFUNCTION("""COMPUTED_VALUE"""),"9988.HK")</f>
        <v>9988.HK</v>
      </c>
      <c r="E558" s="164">
        <f ca="1">IFERROR(__xludf.DUMMYFUNCTION("""COMPUTED_VALUE"""),44621)</f>
        <v>44621</v>
      </c>
      <c r="F558" s="5" t="str">
        <f ca="1">IFERROR(__xludf.DUMMYFUNCTION("""COMPUTED_VALUE"""),"Stock")</f>
        <v>Stock</v>
      </c>
      <c r="G558" s="5" t="str">
        <f ca="1">IFERROR(__xludf.DUMMYFUNCTION("""COMPUTED_VALUE"""),"HKD")</f>
        <v>HKD</v>
      </c>
      <c r="H558" s="19">
        <f ca="1">IFERROR(__xludf.DUMMYFUNCTION("""COMPUTED_VALUE"""),0)</f>
        <v>0</v>
      </c>
      <c r="I558" s="165">
        <f ca="1">IFERROR(__xludf.DUMMYFUNCTION("""COMPUTED_VALUE"""),1)</f>
        <v>1</v>
      </c>
      <c r="J558" s="20">
        <f ca="1">IFERROR(__xludf.DUMMYFUNCTION("""COMPUTED_VALUE"""),0)</f>
        <v>0</v>
      </c>
      <c r="K558" s="5"/>
      <c r="L558" s="20">
        <f ca="1">IFERROR(__xludf.DUMMYFUNCTION("""COMPUTED_VALUE"""),110.2)</f>
        <v>110.2</v>
      </c>
      <c r="M558" s="166" t="str">
        <f ca="1">IFERROR(__xludf.DUMMYFUNCTION("""COMPUTED_VALUE"""),"Equity Key Stats")</f>
        <v>Equity Key Stats</v>
      </c>
      <c r="N558" s="5"/>
      <c r="O558" s="5"/>
      <c r="P558" s="102">
        <f ca="1">IFERROR(__xludf.DUMMYFUNCTION("""COMPUTED_VALUE"""),0)</f>
        <v>0</v>
      </c>
      <c r="Q558" s="5"/>
      <c r="R558" s="57">
        <f ca="1">IFERROR(__xludf.DUMMYFUNCTION("""COMPUTED_VALUE"""),117.6)</f>
        <v>117.6</v>
      </c>
      <c r="S558" s="102">
        <f ca="1">IFERROR(__xludf.DUMMYFUNCTION("""COMPUTED_VALUE"""),0)</f>
        <v>0</v>
      </c>
      <c r="T558" s="5">
        <f ca="1">IFERROR(__xludf.DUMMYFUNCTION("""COMPUTED_VALUE"""),6)</f>
        <v>6</v>
      </c>
      <c r="U558" s="5" t="str">
        <f ca="1">IFERROR(__xludf.DUMMYFUNCTION("""COMPUTED_VALUE"""),"")</f>
        <v/>
      </c>
      <c r="V558" s="158" t="str">
        <f ca="1">IFERROR(__xludf.DUMMYFUNCTION("""COMPUTED_VALUE"""),"")</f>
        <v/>
      </c>
      <c r="W558" s="44" t="str">
        <f ca="1">IFERROR(__xludf.DUMMYFUNCTION("""COMPUTED_VALUE"""),"")</f>
        <v/>
      </c>
      <c r="X558" s="19" t="str">
        <f ca="1">IFERROR(__xludf.DUMMYFUNCTION("""COMPUTED_VALUE"""),"")</f>
        <v/>
      </c>
      <c r="Y558" s="19" t="str">
        <f ca="1">IFERROR(__xludf.DUMMYFUNCTION("""COMPUTED_VALUE"""),"")</f>
        <v/>
      </c>
      <c r="Z558" s="21" t="str">
        <f ca="1">IFERROR(__xludf.DUMMYFUNCTION("""COMPUTED_VALUE"""),"")</f>
        <v/>
      </c>
    </row>
    <row r="559" spans="1:26" ht="13" x14ac:dyDescent="0.15">
      <c r="A559" s="5" t="str">
        <f ca="1">IFERROR(__xludf.DUMMYFUNCTION("""COMPUTED_VALUE"""),"")</f>
        <v/>
      </c>
      <c r="B559" s="5" t="str">
        <f ca="1">IFERROR(__xludf.DUMMYFUNCTION("""COMPUTED_VALUE"""),"82124")</f>
        <v>82124</v>
      </c>
      <c r="C559" s="8">
        <f ca="1">IFERROR(__xludf.DUMMYFUNCTION("""COMPUTED_VALUE"""),44621000391)</f>
        <v>44621000391</v>
      </c>
      <c r="D559" s="71" t="str">
        <f ca="1">IFERROR(__xludf.DUMMYFUNCTION("""COMPUTED_VALUE"""),"2800.HK")</f>
        <v>2800.HK</v>
      </c>
      <c r="E559" s="164">
        <f ca="1">IFERROR(__xludf.DUMMYFUNCTION("""COMPUTED_VALUE"""),44621)</f>
        <v>44621</v>
      </c>
      <c r="F559" s="5" t="str">
        <f ca="1">IFERROR(__xludf.DUMMYFUNCTION("""COMPUTED_VALUE"""),"Stock")</f>
        <v>Stock</v>
      </c>
      <c r="G559" s="5" t="str">
        <f ca="1">IFERROR(__xludf.DUMMYFUNCTION("""COMPUTED_VALUE"""),"HKD")</f>
        <v>HKD</v>
      </c>
      <c r="H559" s="19">
        <f ca="1">IFERROR(__xludf.DUMMYFUNCTION("""COMPUTED_VALUE"""),0)</f>
        <v>0</v>
      </c>
      <c r="I559" s="165">
        <f ca="1">IFERROR(__xludf.DUMMYFUNCTION("""COMPUTED_VALUE"""),1)</f>
        <v>1</v>
      </c>
      <c r="J559" s="20">
        <f ca="1">IFERROR(__xludf.DUMMYFUNCTION("""COMPUTED_VALUE"""),0)</f>
        <v>0</v>
      </c>
      <c r="K559" s="5"/>
      <c r="L559" s="20">
        <f ca="1">IFERROR(__xludf.DUMMYFUNCTION("""COMPUTED_VALUE"""),22.08)</f>
        <v>22.08</v>
      </c>
      <c r="M559" s="166" t="str">
        <f ca="1">IFERROR(__xludf.DUMMYFUNCTION("""COMPUTED_VALUE"""),"Equity Key Stats")</f>
        <v>Equity Key Stats</v>
      </c>
      <c r="N559" s="5"/>
      <c r="O559" s="5"/>
      <c r="P559" s="102">
        <f ca="1">IFERROR(__xludf.DUMMYFUNCTION("""COMPUTED_VALUE"""),0)</f>
        <v>0</v>
      </c>
      <c r="Q559" s="5"/>
      <c r="R559" s="57">
        <f ca="1">IFERROR(__xludf.DUMMYFUNCTION("""COMPUTED_VALUE"""),22.32)</f>
        <v>22.32</v>
      </c>
      <c r="S559" s="102">
        <f ca="1">IFERROR(__xludf.DUMMYFUNCTION("""COMPUTED_VALUE"""),0)</f>
        <v>0</v>
      </c>
      <c r="T559" s="5">
        <f ca="1">IFERROR(__xludf.DUMMYFUNCTION("""COMPUTED_VALUE"""),4)</f>
        <v>4</v>
      </c>
      <c r="U559" s="5" t="str">
        <f ca="1">IFERROR(__xludf.DUMMYFUNCTION("""COMPUTED_VALUE"""),"")</f>
        <v/>
      </c>
      <c r="V559" s="158" t="str">
        <f ca="1">IFERROR(__xludf.DUMMYFUNCTION("""COMPUTED_VALUE"""),"")</f>
        <v/>
      </c>
      <c r="W559" s="44" t="str">
        <f ca="1">IFERROR(__xludf.DUMMYFUNCTION("""COMPUTED_VALUE"""),"")</f>
        <v/>
      </c>
      <c r="X559" s="19" t="str">
        <f ca="1">IFERROR(__xludf.DUMMYFUNCTION("""COMPUTED_VALUE"""),"")</f>
        <v/>
      </c>
      <c r="Y559" s="19" t="str">
        <f ca="1">IFERROR(__xludf.DUMMYFUNCTION("""COMPUTED_VALUE"""),"")</f>
        <v/>
      </c>
      <c r="Z559" s="21" t="str">
        <f ca="1">IFERROR(__xludf.DUMMYFUNCTION("""COMPUTED_VALUE"""),"")</f>
        <v/>
      </c>
    </row>
    <row r="560" spans="1:26" ht="13" x14ac:dyDescent="0.15">
      <c r="A560" s="5" t="str">
        <f ca="1">IFERROR(__xludf.DUMMYFUNCTION("""COMPUTED_VALUE"""),"")</f>
        <v/>
      </c>
      <c r="B560" s="5" t="str">
        <f ca="1">IFERROR(__xludf.DUMMYFUNCTION("""COMPUTED_VALUE"""),"82124")</f>
        <v>82124</v>
      </c>
      <c r="C560" s="8">
        <f ca="1">IFERROR(__xludf.DUMMYFUNCTION("""COMPUTED_VALUE"""),44623000409)</f>
        <v>44623000409</v>
      </c>
      <c r="D560" s="71" t="str">
        <f ca="1">IFERROR(__xludf.DUMMYFUNCTION("""COMPUTED_VALUE"""),"9988.HK")</f>
        <v>9988.HK</v>
      </c>
      <c r="E560" s="164">
        <f ca="1">IFERROR(__xludf.DUMMYFUNCTION("""COMPUTED_VALUE"""),44623)</f>
        <v>44623</v>
      </c>
      <c r="F560" s="5" t="str">
        <f ca="1">IFERROR(__xludf.DUMMYFUNCTION("""COMPUTED_VALUE"""),"Stock")</f>
        <v>Stock</v>
      </c>
      <c r="G560" s="5" t="str">
        <f ca="1">IFERROR(__xludf.DUMMYFUNCTION("""COMPUTED_VALUE"""),"HKD")</f>
        <v>HKD</v>
      </c>
      <c r="H560" s="19">
        <f ca="1">IFERROR(__xludf.DUMMYFUNCTION("""COMPUTED_VALUE"""),300)</f>
        <v>300</v>
      </c>
      <c r="I560" s="165">
        <f ca="1">IFERROR(__xludf.DUMMYFUNCTION("""COMPUTED_VALUE"""),1)</f>
        <v>1</v>
      </c>
      <c r="J560" s="20">
        <f ca="1">IFERROR(__xludf.DUMMYFUNCTION("""COMPUTED_VALUE"""),104.4)</f>
        <v>104.4</v>
      </c>
      <c r="K560" s="5"/>
      <c r="L560" s="20">
        <f ca="1">IFERROR(__xludf.DUMMYFUNCTION("""COMPUTED_VALUE"""),110.2)</f>
        <v>110.2</v>
      </c>
      <c r="M560" s="166" t="str">
        <f ca="1">IFERROR(__xludf.DUMMYFUNCTION("""COMPUTED_VALUE"""),"Equity Key Stats")</f>
        <v>Equity Key Stats</v>
      </c>
      <c r="N560" s="5"/>
      <c r="O560" s="5"/>
      <c r="P560" s="102">
        <f ca="1">IFERROR(__xludf.DUMMYFUNCTION("""COMPUTED_VALUE"""),-31320)</f>
        <v>-31320</v>
      </c>
      <c r="Q560" s="5"/>
      <c r="R560" s="57">
        <f ca="1">IFERROR(__xludf.DUMMYFUNCTION("""COMPUTED_VALUE"""),117.6)</f>
        <v>117.6</v>
      </c>
      <c r="S560" s="102">
        <f ca="1">IFERROR(__xludf.DUMMYFUNCTION("""COMPUTED_VALUE"""),35280)</f>
        <v>35280</v>
      </c>
      <c r="T560" s="5">
        <f ca="1">IFERROR(__xludf.DUMMYFUNCTION("""COMPUTED_VALUE"""),6)</f>
        <v>6</v>
      </c>
      <c r="U560" s="5" t="str">
        <f ca="1">IFERROR(__xludf.DUMMYFUNCTION("""COMPUTED_VALUE"""),"")</f>
        <v/>
      </c>
      <c r="V560" s="158" t="str">
        <f ca="1">IFERROR(__xludf.DUMMYFUNCTION("""COMPUTED_VALUE"""),"")</f>
        <v/>
      </c>
      <c r="W560" s="44" t="str">
        <f ca="1">IFERROR(__xludf.DUMMYFUNCTION("""COMPUTED_VALUE"""),"")</f>
        <v/>
      </c>
      <c r="X560" s="19" t="str">
        <f ca="1">IFERROR(__xludf.DUMMYFUNCTION("""COMPUTED_VALUE"""),"")</f>
        <v/>
      </c>
      <c r="Y560" s="19" t="str">
        <f ca="1">IFERROR(__xludf.DUMMYFUNCTION("""COMPUTED_VALUE"""),"")</f>
        <v/>
      </c>
      <c r="Z560" s="21" t="str">
        <f ca="1">IFERROR(__xludf.DUMMYFUNCTION("""COMPUTED_VALUE"""),"")</f>
        <v/>
      </c>
    </row>
    <row r="561" spans="1:26" ht="13" x14ac:dyDescent="0.15">
      <c r="A561" s="5" t="str">
        <f ca="1">IFERROR(__xludf.DUMMYFUNCTION("""COMPUTED_VALUE"""),"")</f>
        <v/>
      </c>
      <c r="B561" s="5" t="str">
        <f ca="1">IFERROR(__xludf.DUMMYFUNCTION("""COMPUTED_VALUE"""),"82124")</f>
        <v>82124</v>
      </c>
      <c r="C561" s="8">
        <f ca="1">IFERROR(__xludf.DUMMYFUNCTION("""COMPUTED_VALUE"""),44623000410)</f>
        <v>44623000410</v>
      </c>
      <c r="D561" s="71" t="str">
        <f ca="1">IFERROR(__xludf.DUMMYFUNCTION("""COMPUTED_VALUE"""),"2800.HK")</f>
        <v>2800.HK</v>
      </c>
      <c r="E561" s="164">
        <f ca="1">IFERROR(__xludf.DUMMYFUNCTION("""COMPUTED_VALUE"""),44623)</f>
        <v>44623</v>
      </c>
      <c r="F561" s="5" t="str">
        <f ca="1">IFERROR(__xludf.DUMMYFUNCTION("""COMPUTED_VALUE"""),"Stock")</f>
        <v>Stock</v>
      </c>
      <c r="G561" s="5" t="str">
        <f ca="1">IFERROR(__xludf.DUMMYFUNCTION("""COMPUTED_VALUE"""),"HKD")</f>
        <v>HKD</v>
      </c>
      <c r="H561" s="19">
        <f ca="1">IFERROR(__xludf.DUMMYFUNCTION("""COMPUTED_VALUE"""),2000)</f>
        <v>2000</v>
      </c>
      <c r="I561" s="165">
        <f ca="1">IFERROR(__xludf.DUMMYFUNCTION("""COMPUTED_VALUE"""),1)</f>
        <v>1</v>
      </c>
      <c r="J561" s="20">
        <f ca="1">IFERROR(__xludf.DUMMYFUNCTION("""COMPUTED_VALUE"""),22.64)</f>
        <v>22.64</v>
      </c>
      <c r="K561" s="5"/>
      <c r="L561" s="20">
        <f ca="1">IFERROR(__xludf.DUMMYFUNCTION("""COMPUTED_VALUE"""),22.08)</f>
        <v>22.08</v>
      </c>
      <c r="M561" s="166" t="str">
        <f ca="1">IFERROR(__xludf.DUMMYFUNCTION("""COMPUTED_VALUE"""),"Equity Key Stats")</f>
        <v>Equity Key Stats</v>
      </c>
      <c r="N561" s="5"/>
      <c r="O561" s="5"/>
      <c r="P561" s="102">
        <f ca="1">IFERROR(__xludf.DUMMYFUNCTION("""COMPUTED_VALUE"""),-45280)</f>
        <v>-45280</v>
      </c>
      <c r="Q561" s="5"/>
      <c r="R561" s="57">
        <f ca="1">IFERROR(__xludf.DUMMYFUNCTION("""COMPUTED_VALUE"""),22.32)</f>
        <v>22.32</v>
      </c>
      <c r="S561" s="102">
        <f ca="1">IFERROR(__xludf.DUMMYFUNCTION("""COMPUTED_VALUE"""),44640)</f>
        <v>44640</v>
      </c>
      <c r="T561" s="5">
        <f ca="1">IFERROR(__xludf.DUMMYFUNCTION("""COMPUTED_VALUE"""),4)</f>
        <v>4</v>
      </c>
      <c r="U561" s="5" t="str">
        <f ca="1">IFERROR(__xludf.DUMMYFUNCTION("""COMPUTED_VALUE"""),"")</f>
        <v/>
      </c>
      <c r="V561" s="158" t="str">
        <f ca="1">IFERROR(__xludf.DUMMYFUNCTION("""COMPUTED_VALUE"""),"")</f>
        <v/>
      </c>
      <c r="W561" s="44" t="str">
        <f ca="1">IFERROR(__xludf.DUMMYFUNCTION("""COMPUTED_VALUE"""),"")</f>
        <v/>
      </c>
      <c r="X561" s="19" t="str">
        <f ca="1">IFERROR(__xludf.DUMMYFUNCTION("""COMPUTED_VALUE"""),"")</f>
        <v/>
      </c>
      <c r="Y561" s="19" t="str">
        <f ca="1">IFERROR(__xludf.DUMMYFUNCTION("""COMPUTED_VALUE"""),"")</f>
        <v/>
      </c>
      <c r="Z561" s="21" t="str">
        <f ca="1">IFERROR(__xludf.DUMMYFUNCTION("""COMPUTED_VALUE"""),"")</f>
        <v/>
      </c>
    </row>
    <row r="562" spans="1:26" ht="13" x14ac:dyDescent="0.15">
      <c r="A562" s="5" t="str">
        <f ca="1">IFERROR(__xludf.DUMMYFUNCTION("""COMPUTED_VALUE"""),"")</f>
        <v/>
      </c>
      <c r="B562" s="5" t="str">
        <f ca="1">IFERROR(__xludf.DUMMYFUNCTION("""COMPUTED_VALUE"""),"82124")</f>
        <v>82124</v>
      </c>
      <c r="C562" s="8">
        <f ca="1">IFERROR(__xludf.DUMMYFUNCTION("""COMPUTED_VALUE"""),44624000428)</f>
        <v>44624000428</v>
      </c>
      <c r="D562" s="71" t="str">
        <f ca="1">IFERROR(__xludf.DUMMYFUNCTION("""COMPUTED_VALUE"""),"0700.HK")</f>
        <v>0700.HK</v>
      </c>
      <c r="E562" s="164">
        <f ca="1">IFERROR(__xludf.DUMMYFUNCTION("""COMPUTED_VALUE"""),44624)</f>
        <v>44624</v>
      </c>
      <c r="F562" s="5" t="str">
        <f ca="1">IFERROR(__xludf.DUMMYFUNCTION("""COMPUTED_VALUE"""),"Stock")</f>
        <v>Stock</v>
      </c>
      <c r="G562" s="5" t="str">
        <f ca="1">IFERROR(__xludf.DUMMYFUNCTION("""COMPUTED_VALUE"""),"HKD")</f>
        <v>HKD</v>
      </c>
      <c r="H562" s="19">
        <f ca="1">IFERROR(__xludf.DUMMYFUNCTION("""COMPUTED_VALUE"""),100)</f>
        <v>100</v>
      </c>
      <c r="I562" s="165">
        <f ca="1">IFERROR(__xludf.DUMMYFUNCTION("""COMPUTED_VALUE"""),1)</f>
        <v>1</v>
      </c>
      <c r="J562" s="20">
        <f ca="1">IFERROR(__xludf.DUMMYFUNCTION("""COMPUTED_VALUE"""),403.2)</f>
        <v>403.2</v>
      </c>
      <c r="K562" s="5"/>
      <c r="L562" s="20">
        <f ca="1">IFERROR(__xludf.DUMMYFUNCTION("""COMPUTED_VALUE"""),388)</f>
        <v>388</v>
      </c>
      <c r="M562" s="166" t="str">
        <f ca="1">IFERROR(__xludf.DUMMYFUNCTION("""COMPUTED_VALUE"""),"Equity Key Stats")</f>
        <v>Equity Key Stats</v>
      </c>
      <c r="N562" s="5"/>
      <c r="O562" s="5"/>
      <c r="P562" s="102">
        <f ca="1">IFERROR(__xludf.DUMMYFUNCTION("""COMPUTED_VALUE"""),-40320)</f>
        <v>-40320</v>
      </c>
      <c r="Q562" s="5"/>
      <c r="R562" s="57">
        <f ca="1">IFERROR(__xludf.DUMMYFUNCTION("""COMPUTED_VALUE"""),389)</f>
        <v>389</v>
      </c>
      <c r="S562" s="102">
        <f ca="1">IFERROR(__xludf.DUMMYFUNCTION("""COMPUTED_VALUE"""),38900)</f>
        <v>38900</v>
      </c>
      <c r="T562" s="5">
        <f ca="1">IFERROR(__xludf.DUMMYFUNCTION("""COMPUTED_VALUE"""),1)</f>
        <v>1</v>
      </c>
      <c r="U562" s="5">
        <f ca="1">IFERROR(__xludf.DUMMYFUNCTION("""COMPUTED_VALUE"""),1)</f>
        <v>1</v>
      </c>
      <c r="V562" s="158">
        <f ca="1">IFERROR(__xludf.DUMMYFUNCTION("""COMPUTED_VALUE"""),-1420)</f>
        <v>-1420</v>
      </c>
      <c r="W562" s="44" t="str">
        <f ca="1">IFERROR(__xludf.DUMMYFUNCTION("""COMPUTED_VALUE"""),"")</f>
        <v/>
      </c>
      <c r="X562" s="19" t="str">
        <f ca="1">IFERROR(__xludf.DUMMYFUNCTION("""COMPUTED_VALUE"""),"")</f>
        <v/>
      </c>
      <c r="Y562" s="19" t="str">
        <f ca="1">IFERROR(__xludf.DUMMYFUNCTION("""COMPUTED_VALUE"""),"")</f>
        <v/>
      </c>
      <c r="Z562" s="21" t="str">
        <f ca="1">IFERROR(__xludf.DUMMYFUNCTION("""COMPUTED_VALUE"""),"")</f>
        <v/>
      </c>
    </row>
    <row r="563" spans="1:26" ht="13" x14ac:dyDescent="0.15">
      <c r="A563" s="5" t="str">
        <f ca="1">IFERROR(__xludf.DUMMYFUNCTION("""COMPUTED_VALUE"""),"")</f>
        <v/>
      </c>
      <c r="B563" s="5" t="str">
        <f ca="1">IFERROR(__xludf.DUMMYFUNCTION("""COMPUTED_VALUE"""),"82124")</f>
        <v>82124</v>
      </c>
      <c r="C563" s="8">
        <f ca="1">IFERROR(__xludf.DUMMYFUNCTION("""COMPUTED_VALUE"""),44627000461)</f>
        <v>44627000461</v>
      </c>
      <c r="D563" s="71" t="str">
        <f ca="1">IFERROR(__xludf.DUMMYFUNCTION("""COMPUTED_VALUE"""),"2800.HK")</f>
        <v>2800.HK</v>
      </c>
      <c r="E563" s="164">
        <f ca="1">IFERROR(__xludf.DUMMYFUNCTION("""COMPUTED_VALUE"""),44627)</f>
        <v>44627</v>
      </c>
      <c r="F563" s="5" t="str">
        <f ca="1">IFERROR(__xludf.DUMMYFUNCTION("""COMPUTED_VALUE"""),"Stock")</f>
        <v>Stock</v>
      </c>
      <c r="G563" s="5" t="str">
        <f ca="1">IFERROR(__xludf.DUMMYFUNCTION("""COMPUTED_VALUE"""),"HKD")</f>
        <v>HKD</v>
      </c>
      <c r="H563" s="19">
        <f ca="1">IFERROR(__xludf.DUMMYFUNCTION("""COMPUTED_VALUE"""),2000)</f>
        <v>2000</v>
      </c>
      <c r="I563" s="165">
        <f ca="1">IFERROR(__xludf.DUMMYFUNCTION("""COMPUTED_VALUE"""),1)</f>
        <v>1</v>
      </c>
      <c r="J563" s="20">
        <f ca="1">IFERROR(__xludf.DUMMYFUNCTION("""COMPUTED_VALUE"""),21.22)</f>
        <v>21.22</v>
      </c>
      <c r="K563" s="5"/>
      <c r="L563" s="20">
        <f ca="1">IFERROR(__xludf.DUMMYFUNCTION("""COMPUTED_VALUE"""),22.08)</f>
        <v>22.08</v>
      </c>
      <c r="M563" s="166" t="str">
        <f ca="1">IFERROR(__xludf.DUMMYFUNCTION("""COMPUTED_VALUE"""),"Equity Key Stats")</f>
        <v>Equity Key Stats</v>
      </c>
      <c r="N563" s="5"/>
      <c r="O563" s="5"/>
      <c r="P563" s="102">
        <f ca="1">IFERROR(__xludf.DUMMYFUNCTION("""COMPUTED_VALUE"""),-42440)</f>
        <v>-42440</v>
      </c>
      <c r="Q563" s="5"/>
      <c r="R563" s="57">
        <f ca="1">IFERROR(__xludf.DUMMYFUNCTION("""COMPUTED_VALUE"""),22.32)</f>
        <v>22.32</v>
      </c>
      <c r="S563" s="102">
        <f ca="1">IFERROR(__xludf.DUMMYFUNCTION("""COMPUTED_VALUE"""),44640)</f>
        <v>44640</v>
      </c>
      <c r="T563" s="5">
        <f ca="1">IFERROR(__xludf.DUMMYFUNCTION("""COMPUTED_VALUE"""),4)</f>
        <v>4</v>
      </c>
      <c r="U563" s="5" t="str">
        <f ca="1">IFERROR(__xludf.DUMMYFUNCTION("""COMPUTED_VALUE"""),"")</f>
        <v/>
      </c>
      <c r="V563" s="158" t="str">
        <f ca="1">IFERROR(__xludf.DUMMYFUNCTION("""COMPUTED_VALUE"""),"")</f>
        <v/>
      </c>
      <c r="W563" s="44" t="str">
        <f ca="1">IFERROR(__xludf.DUMMYFUNCTION("""COMPUTED_VALUE"""),"")</f>
        <v/>
      </c>
      <c r="X563" s="19" t="str">
        <f ca="1">IFERROR(__xludf.DUMMYFUNCTION("""COMPUTED_VALUE"""),"")</f>
        <v/>
      </c>
      <c r="Y563" s="19" t="str">
        <f ca="1">IFERROR(__xludf.DUMMYFUNCTION("""COMPUTED_VALUE"""),"")</f>
        <v/>
      </c>
      <c r="Z563" s="21" t="str">
        <f ca="1">IFERROR(__xludf.DUMMYFUNCTION("""COMPUTED_VALUE"""),"")</f>
        <v/>
      </c>
    </row>
    <row r="564" spans="1:26" ht="13" x14ac:dyDescent="0.15">
      <c r="A564" s="5" t="str">
        <f ca="1">IFERROR(__xludf.DUMMYFUNCTION("""COMPUTED_VALUE"""),"")</f>
        <v/>
      </c>
      <c r="B564" s="5" t="str">
        <f ca="1">IFERROR(__xludf.DUMMYFUNCTION("""COMPUTED_VALUE"""),"82124")</f>
        <v>82124</v>
      </c>
      <c r="C564" s="8">
        <f ca="1">IFERROR(__xludf.DUMMYFUNCTION("""COMPUTED_VALUE"""),44630000517)</f>
        <v>44630000517</v>
      </c>
      <c r="D564" s="71" t="str">
        <f ca="1">IFERROR(__xludf.DUMMYFUNCTION("""COMPUTED_VALUE"""),"0388.HK")</f>
        <v>0388.HK</v>
      </c>
      <c r="E564" s="164">
        <f ca="1">IFERROR(__xludf.DUMMYFUNCTION("""COMPUTED_VALUE"""),44630)</f>
        <v>44630</v>
      </c>
      <c r="F564" s="5" t="str">
        <f ca="1">IFERROR(__xludf.DUMMYFUNCTION("""COMPUTED_VALUE"""),"Stock")</f>
        <v>Stock</v>
      </c>
      <c r="G564" s="5" t="str">
        <f ca="1">IFERROR(__xludf.DUMMYFUNCTION("""COMPUTED_VALUE"""),"HKD")</f>
        <v>HKD</v>
      </c>
      <c r="H564" s="19">
        <f ca="1">IFERROR(__xludf.DUMMYFUNCTION("""COMPUTED_VALUE"""),200)</f>
        <v>200</v>
      </c>
      <c r="I564" s="165">
        <f ca="1">IFERROR(__xludf.DUMMYFUNCTION("""COMPUTED_VALUE"""),1)</f>
        <v>1</v>
      </c>
      <c r="J564" s="20">
        <f ca="1">IFERROR(__xludf.DUMMYFUNCTION("""COMPUTED_VALUE"""),329)</f>
        <v>329</v>
      </c>
      <c r="K564" s="5"/>
      <c r="L564" s="20">
        <f ca="1">IFERROR(__xludf.DUMMYFUNCTION("""COMPUTED_VALUE"""),380)</f>
        <v>380</v>
      </c>
      <c r="M564" s="166" t="str">
        <f ca="1">IFERROR(__xludf.DUMMYFUNCTION("""COMPUTED_VALUE"""),"Equity Key Stats")</f>
        <v>Equity Key Stats</v>
      </c>
      <c r="N564" s="5"/>
      <c r="O564" s="5"/>
      <c r="P564" s="102">
        <f ca="1">IFERROR(__xludf.DUMMYFUNCTION("""COMPUTED_VALUE"""),-65800)</f>
        <v>-65800</v>
      </c>
      <c r="Q564" s="5"/>
      <c r="R564" s="57">
        <f ca="1">IFERROR(__xludf.DUMMYFUNCTION("""COMPUTED_VALUE"""),382.8)</f>
        <v>382.8</v>
      </c>
      <c r="S564" s="102">
        <f ca="1">IFERROR(__xludf.DUMMYFUNCTION("""COMPUTED_VALUE"""),76560)</f>
        <v>76560</v>
      </c>
      <c r="T564" s="5">
        <f ca="1">IFERROR(__xludf.DUMMYFUNCTION("""COMPUTED_VALUE"""),1)</f>
        <v>1</v>
      </c>
      <c r="U564" s="5">
        <f ca="1">IFERROR(__xludf.DUMMYFUNCTION("""COMPUTED_VALUE"""),1)</f>
        <v>1</v>
      </c>
      <c r="V564" s="158">
        <f ca="1">IFERROR(__xludf.DUMMYFUNCTION("""COMPUTED_VALUE"""),10760)</f>
        <v>10760</v>
      </c>
      <c r="W564" s="44" t="str">
        <f ca="1">IFERROR(__xludf.DUMMYFUNCTION("""COMPUTED_VALUE"""),"")</f>
        <v/>
      </c>
      <c r="X564" s="19" t="str">
        <f ca="1">IFERROR(__xludf.DUMMYFUNCTION("""COMPUTED_VALUE"""),"")</f>
        <v/>
      </c>
      <c r="Y564" s="19" t="str">
        <f ca="1">IFERROR(__xludf.DUMMYFUNCTION("""COMPUTED_VALUE"""),"")</f>
        <v/>
      </c>
      <c r="Z564" s="21" t="str">
        <f ca="1">IFERROR(__xludf.DUMMYFUNCTION("""COMPUTED_VALUE"""),"")</f>
        <v/>
      </c>
    </row>
    <row r="565" spans="1:26" ht="13" x14ac:dyDescent="0.15">
      <c r="A565" s="5" t="str">
        <f ca="1">IFERROR(__xludf.DUMMYFUNCTION("""COMPUTED_VALUE"""),"")</f>
        <v/>
      </c>
      <c r="B565" s="5" t="str">
        <f ca="1">IFERROR(__xludf.DUMMYFUNCTION("""COMPUTED_VALUE"""),"82124")</f>
        <v>82124</v>
      </c>
      <c r="C565" s="8">
        <f ca="1">IFERROR(__xludf.DUMMYFUNCTION("""COMPUTED_VALUE"""),44631000531)</f>
        <v>44631000531</v>
      </c>
      <c r="D565" s="71" t="str">
        <f ca="1">IFERROR(__xludf.DUMMYFUNCTION("""COMPUTED_VALUE"""),"9988.HK")</f>
        <v>9988.HK</v>
      </c>
      <c r="E565" s="164">
        <f ca="1">IFERROR(__xludf.DUMMYFUNCTION("""COMPUTED_VALUE"""),44631)</f>
        <v>44631</v>
      </c>
      <c r="F565" s="5" t="str">
        <f ca="1">IFERROR(__xludf.DUMMYFUNCTION("""COMPUTED_VALUE"""),"Stock")</f>
        <v>Stock</v>
      </c>
      <c r="G565" s="5" t="str">
        <f ca="1">IFERROR(__xludf.DUMMYFUNCTION("""COMPUTED_VALUE"""),"HKD")</f>
        <v>HKD</v>
      </c>
      <c r="H565" s="19">
        <f ca="1">IFERROR(__xludf.DUMMYFUNCTION("""COMPUTED_VALUE"""),500)</f>
        <v>500</v>
      </c>
      <c r="I565" s="165">
        <f ca="1">IFERROR(__xludf.DUMMYFUNCTION("""COMPUTED_VALUE"""),1)</f>
        <v>1</v>
      </c>
      <c r="J565" s="20">
        <f ca="1">IFERROR(__xludf.DUMMYFUNCTION("""COMPUTED_VALUE"""),90.8)</f>
        <v>90.8</v>
      </c>
      <c r="K565" s="5"/>
      <c r="L565" s="20">
        <f ca="1">IFERROR(__xludf.DUMMYFUNCTION("""COMPUTED_VALUE"""),110.2)</f>
        <v>110.2</v>
      </c>
      <c r="M565" s="166" t="str">
        <f ca="1">IFERROR(__xludf.DUMMYFUNCTION("""COMPUTED_VALUE"""),"Equity Key Stats")</f>
        <v>Equity Key Stats</v>
      </c>
      <c r="N565" s="5"/>
      <c r="O565" s="5"/>
      <c r="P565" s="102">
        <f ca="1">IFERROR(__xludf.DUMMYFUNCTION("""COMPUTED_VALUE"""),-45400)</f>
        <v>-45400</v>
      </c>
      <c r="Q565" s="5"/>
      <c r="R565" s="57">
        <f ca="1">IFERROR(__xludf.DUMMYFUNCTION("""COMPUTED_VALUE"""),117.6)</f>
        <v>117.6</v>
      </c>
      <c r="S565" s="102">
        <f ca="1">IFERROR(__xludf.DUMMYFUNCTION("""COMPUTED_VALUE"""),58800)</f>
        <v>58800</v>
      </c>
      <c r="T565" s="5">
        <f ca="1">IFERROR(__xludf.DUMMYFUNCTION("""COMPUTED_VALUE"""),6)</f>
        <v>6</v>
      </c>
      <c r="U565" s="5" t="str">
        <f ca="1">IFERROR(__xludf.DUMMYFUNCTION("""COMPUTED_VALUE"""),"")</f>
        <v/>
      </c>
      <c r="V565" s="158" t="str">
        <f ca="1">IFERROR(__xludf.DUMMYFUNCTION("""COMPUTED_VALUE"""),"")</f>
        <v/>
      </c>
      <c r="W565" s="44" t="str">
        <f ca="1">IFERROR(__xludf.DUMMYFUNCTION("""COMPUTED_VALUE"""),"")</f>
        <v/>
      </c>
      <c r="X565" s="19" t="str">
        <f ca="1">IFERROR(__xludf.DUMMYFUNCTION("""COMPUTED_VALUE"""),"")</f>
        <v/>
      </c>
      <c r="Y565" s="19" t="str">
        <f ca="1">IFERROR(__xludf.DUMMYFUNCTION("""COMPUTED_VALUE"""),"")</f>
        <v/>
      </c>
      <c r="Z565" s="21" t="str">
        <f ca="1">IFERROR(__xludf.DUMMYFUNCTION("""COMPUTED_VALUE"""),"")</f>
        <v/>
      </c>
    </row>
    <row r="566" spans="1:26" ht="13" x14ac:dyDescent="0.15">
      <c r="A566" s="5" t="str">
        <f ca="1">IFERROR(__xludf.DUMMYFUNCTION("""COMPUTED_VALUE"""),"")</f>
        <v/>
      </c>
      <c r="B566" s="5" t="str">
        <f ca="1">IFERROR(__xludf.DUMMYFUNCTION("""COMPUTED_VALUE"""),"82124")</f>
        <v>82124</v>
      </c>
      <c r="C566" s="8">
        <f ca="1">IFERROR(__xludf.DUMMYFUNCTION("""COMPUTED_VALUE"""),44642000785)</f>
        <v>44642000785</v>
      </c>
      <c r="D566" s="71" t="str">
        <f ca="1">IFERROR(__xludf.DUMMYFUNCTION("""COMPUTED_VALUE"""),"9988.HK")</f>
        <v>9988.HK</v>
      </c>
      <c r="E566" s="164">
        <f ca="1">IFERROR(__xludf.DUMMYFUNCTION("""COMPUTED_VALUE"""),44642)</f>
        <v>44642</v>
      </c>
      <c r="F566" s="5" t="str">
        <f ca="1">IFERROR(__xludf.DUMMYFUNCTION("""COMPUTED_VALUE"""),"Stock")</f>
        <v>Stock</v>
      </c>
      <c r="G566" s="5" t="str">
        <f ca="1">IFERROR(__xludf.DUMMYFUNCTION("""COMPUTED_VALUE"""),"HKD")</f>
        <v>HKD</v>
      </c>
      <c r="H566" s="19">
        <f ca="1">IFERROR(__xludf.DUMMYFUNCTION("""COMPUTED_VALUE"""),200)</f>
        <v>200</v>
      </c>
      <c r="I566" s="165">
        <f ca="1">IFERROR(__xludf.DUMMYFUNCTION("""COMPUTED_VALUE"""),1)</f>
        <v>1</v>
      </c>
      <c r="J566" s="20">
        <f ca="1">IFERROR(__xludf.DUMMYFUNCTION("""COMPUTED_VALUE"""),110.2)</f>
        <v>110.2</v>
      </c>
      <c r="K566" s="5"/>
      <c r="L566" s="20">
        <f ca="1">IFERROR(__xludf.DUMMYFUNCTION("""COMPUTED_VALUE"""),110.2)</f>
        <v>110.2</v>
      </c>
      <c r="M566" s="166" t="str">
        <f ca="1">IFERROR(__xludf.DUMMYFUNCTION("""COMPUTED_VALUE"""),"Equity Key Stats")</f>
        <v>Equity Key Stats</v>
      </c>
      <c r="N566" s="5"/>
      <c r="O566" s="5"/>
      <c r="P566" s="102">
        <f ca="1">IFERROR(__xludf.DUMMYFUNCTION("""COMPUTED_VALUE"""),-22040)</f>
        <v>-22040</v>
      </c>
      <c r="Q566" s="5"/>
      <c r="R566" s="57">
        <f ca="1">IFERROR(__xludf.DUMMYFUNCTION("""COMPUTED_VALUE"""),117.6)</f>
        <v>117.6</v>
      </c>
      <c r="S566" s="102">
        <f ca="1">IFERROR(__xludf.DUMMYFUNCTION("""COMPUTED_VALUE"""),23520)</f>
        <v>23520</v>
      </c>
      <c r="T566" s="5">
        <f ca="1">IFERROR(__xludf.DUMMYFUNCTION("""COMPUTED_VALUE"""),6)</f>
        <v>6</v>
      </c>
      <c r="U566" s="5" t="str">
        <f ca="1">IFERROR(__xludf.DUMMYFUNCTION("""COMPUTED_VALUE"""),"")</f>
        <v/>
      </c>
      <c r="V566" s="158" t="str">
        <f ca="1">IFERROR(__xludf.DUMMYFUNCTION("""COMPUTED_VALUE"""),"")</f>
        <v/>
      </c>
      <c r="W566" s="44" t="str">
        <f ca="1">IFERROR(__xludf.DUMMYFUNCTION("""COMPUTED_VALUE"""),"")</f>
        <v/>
      </c>
      <c r="X566" s="19" t="str">
        <f ca="1">IFERROR(__xludf.DUMMYFUNCTION("""COMPUTED_VALUE"""),"")</f>
        <v/>
      </c>
      <c r="Y566" s="19" t="str">
        <f ca="1">IFERROR(__xludf.DUMMYFUNCTION("""COMPUTED_VALUE"""),"")</f>
        <v/>
      </c>
      <c r="Z566" s="21" t="str">
        <f ca="1">IFERROR(__xludf.DUMMYFUNCTION("""COMPUTED_VALUE"""),"")</f>
        <v/>
      </c>
    </row>
    <row r="567" spans="1:26" ht="13" x14ac:dyDescent="0.15">
      <c r="A567" s="5" t="str">
        <f ca="1">IFERROR(__xludf.DUMMYFUNCTION("""COMPUTED_VALUE"""),"")</f>
        <v/>
      </c>
      <c r="B567" s="5" t="str">
        <f ca="1">IFERROR(__xludf.DUMMYFUNCTION("""COMPUTED_VALUE"""),"82124")</f>
        <v>82124</v>
      </c>
      <c r="C567" s="8">
        <f ca="1">IFERROR(__xludf.DUMMYFUNCTION("""COMPUTED_VALUE"""),44643000799)</f>
        <v>44643000799</v>
      </c>
      <c r="D567" s="71" t="str">
        <f ca="1">IFERROR(__xludf.DUMMYFUNCTION("""COMPUTED_VALUE"""),"2800.HK")</f>
        <v>2800.HK</v>
      </c>
      <c r="E567" s="164">
        <f ca="1">IFERROR(__xludf.DUMMYFUNCTION("""COMPUTED_VALUE"""),44643)</f>
        <v>44643</v>
      </c>
      <c r="F567" s="5" t="str">
        <f ca="1">IFERROR(__xludf.DUMMYFUNCTION("""COMPUTED_VALUE"""),"Stock")</f>
        <v>Stock</v>
      </c>
      <c r="G567" s="5" t="str">
        <f ca="1">IFERROR(__xludf.DUMMYFUNCTION("""COMPUTED_VALUE"""),"HKD")</f>
        <v>HKD</v>
      </c>
      <c r="H567" s="19">
        <f ca="1">IFERROR(__xludf.DUMMYFUNCTION("""COMPUTED_VALUE"""),-2000)</f>
        <v>-2000</v>
      </c>
      <c r="I567" s="165">
        <f ca="1">IFERROR(__xludf.DUMMYFUNCTION("""COMPUTED_VALUE"""),1)</f>
        <v>1</v>
      </c>
      <c r="J567" s="20">
        <f ca="1">IFERROR(__xludf.DUMMYFUNCTION("""COMPUTED_VALUE"""),22.32)</f>
        <v>22.32</v>
      </c>
      <c r="K567" s="5"/>
      <c r="L567" s="20">
        <f ca="1">IFERROR(__xludf.DUMMYFUNCTION("""COMPUTED_VALUE"""),22.08)</f>
        <v>22.08</v>
      </c>
      <c r="M567" s="166" t="str">
        <f ca="1">IFERROR(__xludf.DUMMYFUNCTION("""COMPUTED_VALUE"""),"Equity Key Stats")</f>
        <v>Equity Key Stats</v>
      </c>
      <c r="N567" s="5"/>
      <c r="O567" s="5"/>
      <c r="P567" s="102">
        <f ca="1">IFERROR(__xludf.DUMMYFUNCTION("""COMPUTED_VALUE"""),44640)</f>
        <v>44640</v>
      </c>
      <c r="Q567" s="5"/>
      <c r="R567" s="57">
        <f ca="1">IFERROR(__xludf.DUMMYFUNCTION("""COMPUTED_VALUE"""),22.32)</f>
        <v>22.32</v>
      </c>
      <c r="S567" s="102">
        <f ca="1">IFERROR(__xludf.DUMMYFUNCTION("""COMPUTED_VALUE"""),-44640)</f>
        <v>-44640</v>
      </c>
      <c r="T567" s="5">
        <f ca="1">IFERROR(__xludf.DUMMYFUNCTION("""COMPUTED_VALUE"""),4)</f>
        <v>4</v>
      </c>
      <c r="U567" s="5">
        <f ca="1">IFERROR(__xludf.DUMMYFUNCTION("""COMPUTED_VALUE"""),1)</f>
        <v>1</v>
      </c>
      <c r="V567" s="158">
        <f ca="1">IFERROR(__xludf.DUMMYFUNCTION("""COMPUTED_VALUE"""),1560)</f>
        <v>1560</v>
      </c>
      <c r="W567" s="44" t="str">
        <f ca="1">IFERROR(__xludf.DUMMYFUNCTION("""COMPUTED_VALUE"""),"")</f>
        <v/>
      </c>
      <c r="X567" s="19" t="str">
        <f ca="1">IFERROR(__xludf.DUMMYFUNCTION("""COMPUTED_VALUE"""),"")</f>
        <v/>
      </c>
      <c r="Y567" s="19" t="str">
        <f ca="1">IFERROR(__xludf.DUMMYFUNCTION("""COMPUTED_VALUE"""),"")</f>
        <v/>
      </c>
      <c r="Z567" s="21" t="str">
        <f ca="1">IFERROR(__xludf.DUMMYFUNCTION("""COMPUTED_VALUE"""),"")</f>
        <v/>
      </c>
    </row>
    <row r="568" spans="1:26" ht="13" x14ac:dyDescent="0.15">
      <c r="A568" s="5" t="str">
        <f ca="1">IFERROR(__xludf.DUMMYFUNCTION("""COMPUTED_VALUE"""),"82124")</f>
        <v>82124</v>
      </c>
      <c r="B568" s="5" t="str">
        <f ca="1">IFERROR(__xludf.DUMMYFUNCTION("""COMPUTED_VALUE"""),"82124")</f>
        <v>82124</v>
      </c>
      <c r="C568" s="8">
        <f ca="1">IFERROR(__xludf.DUMMYFUNCTION("""COMPUTED_VALUE"""),44643000800)</f>
        <v>44643000800</v>
      </c>
      <c r="D568" s="71" t="str">
        <f ca="1">IFERROR(__xludf.DUMMYFUNCTION("""COMPUTED_VALUE"""),"9988.HK")</f>
        <v>9988.HK</v>
      </c>
      <c r="E568" s="164">
        <f ca="1">IFERROR(__xludf.DUMMYFUNCTION("""COMPUTED_VALUE"""),44643)</f>
        <v>44643</v>
      </c>
      <c r="F568" s="5" t="str">
        <f ca="1">IFERROR(__xludf.DUMMYFUNCTION("""COMPUTED_VALUE"""),"Stock")</f>
        <v>Stock</v>
      </c>
      <c r="G568" s="5" t="str">
        <f ca="1">IFERROR(__xludf.DUMMYFUNCTION("""COMPUTED_VALUE"""),"HKD")</f>
        <v>HKD</v>
      </c>
      <c r="H568" s="19">
        <f ca="1">IFERROR(__xludf.DUMMYFUNCTION("""COMPUTED_VALUE"""),-400)</f>
        <v>-400</v>
      </c>
      <c r="I568" s="165">
        <f ca="1">IFERROR(__xludf.DUMMYFUNCTION("""COMPUTED_VALUE"""),1)</f>
        <v>1</v>
      </c>
      <c r="J568" s="20">
        <f ca="1">IFERROR(__xludf.DUMMYFUNCTION("""COMPUTED_VALUE"""),117.6)</f>
        <v>117.6</v>
      </c>
      <c r="K568" s="5"/>
      <c r="L568" s="20">
        <f ca="1">IFERROR(__xludf.DUMMYFUNCTION("""COMPUTED_VALUE"""),110.2)</f>
        <v>110.2</v>
      </c>
      <c r="M568" s="166" t="str">
        <f ca="1">IFERROR(__xludf.DUMMYFUNCTION("""COMPUTED_VALUE"""),"Equity Key Stats")</f>
        <v>Equity Key Stats</v>
      </c>
      <c r="N568" s="5"/>
      <c r="O568" s="5"/>
      <c r="P568" s="102">
        <f ca="1">IFERROR(__xludf.DUMMYFUNCTION("""COMPUTED_VALUE"""),47040)</f>
        <v>47040</v>
      </c>
      <c r="Q568" s="5"/>
      <c r="R568" s="57">
        <f ca="1">IFERROR(__xludf.DUMMYFUNCTION("""COMPUTED_VALUE"""),117.6)</f>
        <v>117.6</v>
      </c>
      <c r="S568" s="102">
        <f ca="1">IFERROR(__xludf.DUMMYFUNCTION("""COMPUTED_VALUE"""),-47040)</f>
        <v>-47040</v>
      </c>
      <c r="T568" s="5">
        <f ca="1">IFERROR(__xludf.DUMMYFUNCTION("""COMPUTED_VALUE"""),6)</f>
        <v>6</v>
      </c>
      <c r="U568" s="5">
        <f ca="1">IFERROR(__xludf.DUMMYFUNCTION("""COMPUTED_VALUE"""),1)</f>
        <v>1</v>
      </c>
      <c r="V568" s="158">
        <f ca="1">IFERROR(__xludf.DUMMYFUNCTION("""COMPUTED_VALUE"""),17860)</f>
        <v>17860</v>
      </c>
      <c r="W568" s="44">
        <f ca="1">IFERROR(__xludf.DUMMYFUNCTION("""COMPUTED_VALUE"""),527210)</f>
        <v>527210</v>
      </c>
      <c r="X568" s="19">
        <f ca="1">IFERROR(__xludf.DUMMYFUNCTION("""COMPUTED_VALUE"""),218680)</f>
        <v>218680</v>
      </c>
      <c r="Y568" s="19">
        <f ca="1">IFERROR(__xludf.DUMMYFUNCTION("""COMPUTED_VALUE"""),0)</f>
        <v>0</v>
      </c>
      <c r="Z568" s="21">
        <f ca="1">IFERROR(__xludf.DUMMYFUNCTION("""COMPUTED_VALUE"""),0.0544199999999999)</f>
        <v>5.4419999999999899E-2</v>
      </c>
    </row>
    <row r="569" spans="1:26" ht="13" x14ac:dyDescent="0.15">
      <c r="A569" s="5" t="str">
        <f ca="1">IFERROR(__xludf.DUMMYFUNCTION("""COMPUTED_VALUE"""),"82458")</f>
        <v>82458</v>
      </c>
      <c r="B569" s="5" t="str">
        <f ca="1">IFERROR(__xludf.DUMMYFUNCTION("""COMPUTED_VALUE"""),"82458")</f>
        <v>82458</v>
      </c>
      <c r="C569" s="8">
        <f ca="1">IFERROR(__xludf.DUMMYFUNCTION("""COMPUTED_VALUE"""),44597000056)</f>
        <v>44597000056</v>
      </c>
      <c r="D569" s="5" t="str">
        <f ca="1">IFERROR(__xludf.DUMMYFUNCTION("""COMPUTED_VALUE"""),"Cash")</f>
        <v>Cash</v>
      </c>
      <c r="E569" s="164">
        <f ca="1">IFERROR(__xludf.DUMMYFUNCTION("""COMPUTED_VALUE"""),44597)</f>
        <v>44597</v>
      </c>
      <c r="F569" s="5" t="str">
        <f ca="1">IFERROR(__xludf.DUMMYFUNCTION("""COMPUTED_VALUE"""),"Cash")</f>
        <v>Cash</v>
      </c>
      <c r="G569" s="5" t="str">
        <f ca="1">IFERROR(__xludf.DUMMYFUNCTION("""COMPUTED_VALUE"""),"HKD")</f>
        <v>HKD</v>
      </c>
      <c r="H569" s="19" t="str">
        <f ca="1">IFERROR(__xludf.DUMMYFUNCTION("""COMPUTED_VALUE"""),"")</f>
        <v/>
      </c>
      <c r="I569" s="165">
        <f ca="1">IFERROR(__xludf.DUMMYFUNCTION("""COMPUTED_VALUE"""),1)</f>
        <v>1</v>
      </c>
      <c r="J569" s="5">
        <f ca="1">IFERROR(__xludf.DUMMYFUNCTION("""COMPUTED_VALUE"""),1)</f>
        <v>1</v>
      </c>
      <c r="K569" s="5"/>
      <c r="L569" s="20">
        <f ca="1">IFERROR(__xludf.DUMMYFUNCTION("""COMPUTED_VALUE"""),1)</f>
        <v>1</v>
      </c>
      <c r="M569" s="22" t="str">
        <f ca="1">IFERROR(__xludf.DUMMYFUNCTION("""COMPUTED_VALUE"""),"")</f>
        <v/>
      </c>
      <c r="N569" s="5"/>
      <c r="O569" s="5"/>
      <c r="P569" s="102">
        <f ca="1">IFERROR(__xludf.DUMMYFUNCTION("""COMPUTED_VALUE"""),500000)</f>
        <v>500000</v>
      </c>
      <c r="Q569" s="5"/>
      <c r="R569" s="57">
        <f ca="1">IFERROR(__xludf.DUMMYFUNCTION("""COMPUTED_VALUE"""),1)</f>
        <v>1</v>
      </c>
      <c r="S569" s="102" t="str">
        <f ca="1">IFERROR(__xludf.DUMMYFUNCTION("""COMPUTED_VALUE"""),"")</f>
        <v/>
      </c>
      <c r="T569" s="5">
        <f ca="1">IFERROR(__xludf.DUMMYFUNCTION("""COMPUTED_VALUE"""),1)</f>
        <v>1</v>
      </c>
      <c r="U569" s="5">
        <f ca="1">IFERROR(__xludf.DUMMYFUNCTION("""COMPUTED_VALUE"""),1)</f>
        <v>1</v>
      </c>
      <c r="V569" s="158">
        <f ca="1">IFERROR(__xludf.DUMMYFUNCTION("""COMPUTED_VALUE"""),500000)</f>
        <v>500000</v>
      </c>
      <c r="W569" s="44">
        <f ca="1">IFERROR(__xludf.DUMMYFUNCTION("""COMPUTED_VALUE"""),500000)</f>
        <v>500000</v>
      </c>
      <c r="X569" s="19">
        <f ca="1">IFERROR(__xludf.DUMMYFUNCTION("""COMPUTED_VALUE"""),500000)</f>
        <v>500000</v>
      </c>
      <c r="Y569" s="19">
        <f ca="1">IFERROR(__xludf.DUMMYFUNCTION("""COMPUTED_VALUE"""),0)</f>
        <v>0</v>
      </c>
      <c r="Z569" s="21">
        <f ca="1">IFERROR(__xludf.DUMMYFUNCTION("""COMPUTED_VALUE"""),0)</f>
        <v>0</v>
      </c>
    </row>
    <row r="570" spans="1:26" ht="13" x14ac:dyDescent="0.15">
      <c r="A570" s="5" t="str">
        <f ca="1">IFERROR(__xludf.DUMMYFUNCTION("""COMPUTED_VALUE"""),"")</f>
        <v/>
      </c>
      <c r="B570" s="5" t="str">
        <f ca="1">IFERROR(__xludf.DUMMYFUNCTION("""COMPUTED_VALUE"""),"82533")</f>
        <v>82533</v>
      </c>
      <c r="C570" s="8">
        <f ca="1">IFERROR(__xludf.DUMMYFUNCTION("""COMPUTED_VALUE"""),44597000025)</f>
        <v>44597000025</v>
      </c>
      <c r="D570" s="5" t="str">
        <f ca="1">IFERROR(__xludf.DUMMYFUNCTION("""COMPUTED_VALUE"""),"Cash")</f>
        <v>Cash</v>
      </c>
      <c r="E570" s="164">
        <f ca="1">IFERROR(__xludf.DUMMYFUNCTION("""COMPUTED_VALUE"""),44597)</f>
        <v>44597</v>
      </c>
      <c r="F570" s="5" t="str">
        <f ca="1">IFERROR(__xludf.DUMMYFUNCTION("""COMPUTED_VALUE"""),"Cash")</f>
        <v>Cash</v>
      </c>
      <c r="G570" s="5" t="str">
        <f ca="1">IFERROR(__xludf.DUMMYFUNCTION("""COMPUTED_VALUE"""),"HKD")</f>
        <v>HKD</v>
      </c>
      <c r="H570" s="19" t="str">
        <f ca="1">IFERROR(__xludf.DUMMYFUNCTION("""COMPUTED_VALUE"""),"")</f>
        <v/>
      </c>
      <c r="I570" s="165">
        <f ca="1">IFERROR(__xludf.DUMMYFUNCTION("""COMPUTED_VALUE"""),1)</f>
        <v>1</v>
      </c>
      <c r="J570" s="5">
        <f ca="1">IFERROR(__xludf.DUMMYFUNCTION("""COMPUTED_VALUE"""),1)</f>
        <v>1</v>
      </c>
      <c r="K570" s="5"/>
      <c r="L570" s="20">
        <f ca="1">IFERROR(__xludf.DUMMYFUNCTION("""COMPUTED_VALUE"""),1)</f>
        <v>1</v>
      </c>
      <c r="M570" s="22" t="str">
        <f ca="1">IFERROR(__xludf.DUMMYFUNCTION("""COMPUTED_VALUE"""),"")</f>
        <v/>
      </c>
      <c r="N570" s="5"/>
      <c r="O570" s="5"/>
      <c r="P570" s="102">
        <f ca="1">IFERROR(__xludf.DUMMYFUNCTION("""COMPUTED_VALUE"""),500000)</f>
        <v>500000</v>
      </c>
      <c r="Q570" s="5"/>
      <c r="R570" s="57">
        <f ca="1">IFERROR(__xludf.DUMMYFUNCTION("""COMPUTED_VALUE"""),1)</f>
        <v>1</v>
      </c>
      <c r="S570" s="102" t="str">
        <f ca="1">IFERROR(__xludf.DUMMYFUNCTION("""COMPUTED_VALUE"""),"")</f>
        <v/>
      </c>
      <c r="T570" s="5">
        <f ca="1">IFERROR(__xludf.DUMMYFUNCTION("""COMPUTED_VALUE"""),1)</f>
        <v>1</v>
      </c>
      <c r="U570" s="5">
        <f ca="1">IFERROR(__xludf.DUMMYFUNCTION("""COMPUTED_VALUE"""),1)</f>
        <v>1</v>
      </c>
      <c r="V570" s="158">
        <f ca="1">IFERROR(__xludf.DUMMYFUNCTION("""COMPUTED_VALUE"""),500000)</f>
        <v>500000</v>
      </c>
      <c r="W570" s="44" t="str">
        <f ca="1">IFERROR(__xludf.DUMMYFUNCTION("""COMPUTED_VALUE"""),"")</f>
        <v/>
      </c>
      <c r="X570" s="19" t="str">
        <f ca="1">IFERROR(__xludf.DUMMYFUNCTION("""COMPUTED_VALUE"""),"")</f>
        <v/>
      </c>
      <c r="Y570" s="19" t="str">
        <f ca="1">IFERROR(__xludf.DUMMYFUNCTION("""COMPUTED_VALUE"""),"")</f>
        <v/>
      </c>
      <c r="Z570" s="21" t="str">
        <f ca="1">IFERROR(__xludf.DUMMYFUNCTION("""COMPUTED_VALUE"""),"")</f>
        <v/>
      </c>
    </row>
    <row r="571" spans="1:26" ht="13" x14ac:dyDescent="0.15">
      <c r="A571" s="5" t="str">
        <f ca="1">IFERROR(__xludf.DUMMYFUNCTION("""COMPUTED_VALUE"""),"")</f>
        <v/>
      </c>
      <c r="B571" s="5" t="str">
        <f ca="1">IFERROR(__xludf.DUMMYFUNCTION("""COMPUTED_VALUE"""),"82533")</f>
        <v>82533</v>
      </c>
      <c r="C571" s="8">
        <f ca="1">IFERROR(__xludf.DUMMYFUNCTION("""COMPUTED_VALUE"""),44634000573)</f>
        <v>44634000573</v>
      </c>
      <c r="D571" s="5" t="str">
        <f ca="1">IFERROR(__xludf.DUMMYFUNCTION("""COMPUTED_VALUE"""),"BITO")</f>
        <v>BITO</v>
      </c>
      <c r="E571" s="164">
        <f ca="1">IFERROR(__xludf.DUMMYFUNCTION("""COMPUTED_VALUE"""),44634)</f>
        <v>44634</v>
      </c>
      <c r="F571" s="5" t="str">
        <f ca="1">IFERROR(__xludf.DUMMYFUNCTION("""COMPUTED_VALUE"""),"Stock")</f>
        <v>Stock</v>
      </c>
      <c r="G571" s="5" t="str">
        <f ca="1">IFERROR(__xludf.DUMMYFUNCTION("""COMPUTED_VALUE"""),"USD")</f>
        <v>USD</v>
      </c>
      <c r="H571" s="19">
        <f ca="1">IFERROR(__xludf.DUMMYFUNCTION("""COMPUTED_VALUE"""),1000)</f>
        <v>1000</v>
      </c>
      <c r="I571" s="165">
        <f ca="1">IFERROR(__xludf.DUMMYFUNCTION("""COMPUTED_VALUE"""),7.82925)</f>
        <v>7.82925</v>
      </c>
      <c r="J571" s="20">
        <f ca="1">IFERROR(__xludf.DUMMYFUNCTION("""COMPUTED_VALUE"""),24.32)</f>
        <v>24.32</v>
      </c>
      <c r="K571" s="5"/>
      <c r="L571" s="20">
        <f ca="1">IFERROR(__xludf.DUMMYFUNCTION("""COMPUTED_VALUE"""),26.58)</f>
        <v>26.58</v>
      </c>
      <c r="M571" s="166" t="str">
        <f ca="1">IFERROR(__xludf.DUMMYFUNCTION("""COMPUTED_VALUE"""),"Equity Key Stats")</f>
        <v>Equity Key Stats</v>
      </c>
      <c r="N571" s="5"/>
      <c r="O571" s="5"/>
      <c r="P571" s="102">
        <f ca="1">IFERROR(__xludf.DUMMYFUNCTION("""COMPUTED_VALUE"""),-190407.36)</f>
        <v>-190407.36</v>
      </c>
      <c r="Q571" s="5"/>
      <c r="R571" s="57">
        <f ca="1">IFERROR(__xludf.DUMMYFUNCTION("""COMPUTED_VALUE"""),26.5)</f>
        <v>26.5</v>
      </c>
      <c r="S571" s="102">
        <f ca="1">IFERROR(__xludf.DUMMYFUNCTION("""COMPUTED_VALUE"""),207475.125)</f>
        <v>207475.125</v>
      </c>
      <c r="T571" s="5">
        <f ca="1">IFERROR(__xludf.DUMMYFUNCTION("""COMPUTED_VALUE"""),1)</f>
        <v>1</v>
      </c>
      <c r="U571" s="5">
        <f ca="1">IFERROR(__xludf.DUMMYFUNCTION("""COMPUTED_VALUE"""),1)</f>
        <v>1</v>
      </c>
      <c r="V571" s="158">
        <f ca="1">IFERROR(__xludf.DUMMYFUNCTION("""COMPUTED_VALUE"""),17067.7649999999)</f>
        <v>17067.764999999901</v>
      </c>
      <c r="W571" s="44" t="str">
        <f ca="1">IFERROR(__xludf.DUMMYFUNCTION("""COMPUTED_VALUE"""),"")</f>
        <v/>
      </c>
      <c r="X571" s="19" t="str">
        <f ca="1">IFERROR(__xludf.DUMMYFUNCTION("""COMPUTED_VALUE"""),"")</f>
        <v/>
      </c>
      <c r="Y571" s="19" t="str">
        <f ca="1">IFERROR(__xludf.DUMMYFUNCTION("""COMPUTED_VALUE"""),"")</f>
        <v/>
      </c>
      <c r="Z571" s="21" t="str">
        <f ca="1">IFERROR(__xludf.DUMMYFUNCTION("""COMPUTED_VALUE"""),"")</f>
        <v/>
      </c>
    </row>
    <row r="572" spans="1:26" ht="13" x14ac:dyDescent="0.15">
      <c r="A572" s="5" t="str">
        <f ca="1">IFERROR(__xludf.DUMMYFUNCTION("""COMPUTED_VALUE"""),"82533")</f>
        <v>82533</v>
      </c>
      <c r="B572" s="5" t="str">
        <f ca="1">IFERROR(__xludf.DUMMYFUNCTION("""COMPUTED_VALUE"""),"82533")</f>
        <v>82533</v>
      </c>
      <c r="C572" s="8">
        <f ca="1">IFERROR(__xludf.DUMMYFUNCTION("""COMPUTED_VALUE"""),44634000575)</f>
        <v>44634000575</v>
      </c>
      <c r="D572" s="5" t="str">
        <f ca="1">IFERROR(__xludf.DUMMYFUNCTION("""COMPUTED_VALUE"""),"TSLA220318C00005000")</f>
        <v>TSLA220318C00005000</v>
      </c>
      <c r="E572" s="164">
        <f ca="1">IFERROR(__xludf.DUMMYFUNCTION("""COMPUTED_VALUE"""),44634)</f>
        <v>44634</v>
      </c>
      <c r="F572" s="5" t="str">
        <f ca="1">IFERROR(__xludf.DUMMYFUNCTION("""COMPUTED_VALUE"""),"Option")</f>
        <v>Option</v>
      </c>
      <c r="G572" s="5" t="str">
        <f ca="1">IFERROR(__xludf.DUMMYFUNCTION("""COMPUTED_VALUE"""),"USD")</f>
        <v>USD</v>
      </c>
      <c r="H572" s="19">
        <f ca="1">IFERROR(__xludf.DUMMYFUNCTION("""COMPUTED_VALUE"""),-15)</f>
        <v>-15</v>
      </c>
      <c r="I572" s="165">
        <f ca="1">IFERROR(__xludf.DUMMYFUNCTION("""COMPUTED_VALUE"""),7.82925)</f>
        <v>7.82925</v>
      </c>
      <c r="J572" s="20">
        <f ca="1">IFERROR(__xludf.DUMMYFUNCTION("""COMPUTED_VALUE"""),753.41)</f>
        <v>753.41</v>
      </c>
      <c r="K572" s="5"/>
      <c r="L572" s="20">
        <f ca="1">IFERROR(__xludf.DUMMYFUNCTION("""COMPUTED_VALUE"""),872.25)</f>
        <v>872.25</v>
      </c>
      <c r="M572" s="22" t="str">
        <f ca="1">IFERROR(__xludf.DUMMYFUNCTION("""COMPUTED_VALUE"""),"")</f>
        <v/>
      </c>
      <c r="N572" s="5"/>
      <c r="O572" s="5"/>
      <c r="P572" s="102">
        <f ca="1">IFERROR(__xludf.DUMMYFUNCTION("""COMPUTED_VALUE"""),8847952.86375)</f>
        <v>8847952.8637499996</v>
      </c>
      <c r="Q572" s="5"/>
      <c r="R572" s="57">
        <f ca="1">IFERROR(__xludf.DUMMYFUNCTION("""COMPUTED_VALUE"""),0)</f>
        <v>0</v>
      </c>
      <c r="S572" s="102">
        <f ca="1">IFERROR(__xludf.DUMMYFUNCTION("""COMPUTED_VALUE"""),0)</f>
        <v>0</v>
      </c>
      <c r="T572" s="5">
        <f ca="1">IFERROR(__xludf.DUMMYFUNCTION("""COMPUTED_VALUE"""),1)</f>
        <v>1</v>
      </c>
      <c r="U572" s="5">
        <f ca="1">IFERROR(__xludf.DUMMYFUNCTION("""COMPUTED_VALUE"""),1)</f>
        <v>1</v>
      </c>
      <c r="V572" s="158">
        <f ca="1">IFERROR(__xludf.DUMMYFUNCTION("""COMPUTED_VALUE"""),8847952.86375)</f>
        <v>8847952.8637499996</v>
      </c>
      <c r="W572" s="44">
        <f ca="1">IFERROR(__xludf.DUMMYFUNCTION("""COMPUTED_VALUE"""),9365020.62875)</f>
        <v>9365020.6287500001</v>
      </c>
      <c r="X572" s="19">
        <f ca="1">IFERROR(__xludf.DUMMYFUNCTION("""COMPUTED_VALUE"""),9157545.50375)</f>
        <v>9157545.5037500001</v>
      </c>
      <c r="Y572" s="19">
        <f ca="1">IFERROR(__xludf.DUMMYFUNCTION("""COMPUTED_VALUE"""),0)</f>
        <v>0</v>
      </c>
      <c r="Z572" s="21">
        <f ca="1">IFERROR(__xludf.DUMMYFUNCTION("""COMPUTED_VALUE"""),17.7300412575)</f>
        <v>17.730041257500002</v>
      </c>
    </row>
    <row r="573" spans="1:26" ht="13" x14ac:dyDescent="0.15">
      <c r="A573" s="5" t="str">
        <f ca="1">IFERROR(__xludf.DUMMYFUNCTION("""COMPUTED_VALUE"""),"83293")</f>
        <v>83293</v>
      </c>
      <c r="B573" s="5" t="str">
        <f ca="1">IFERROR(__xludf.DUMMYFUNCTION("""COMPUTED_VALUE"""),"83293")</f>
        <v>83293</v>
      </c>
      <c r="C573" s="8">
        <f ca="1">IFERROR(__xludf.DUMMYFUNCTION("""COMPUTED_VALUE"""),44597000033)</f>
        <v>44597000033</v>
      </c>
      <c r="D573" s="5" t="str">
        <f ca="1">IFERROR(__xludf.DUMMYFUNCTION("""COMPUTED_VALUE"""),"Cash")</f>
        <v>Cash</v>
      </c>
      <c r="E573" s="164">
        <f ca="1">IFERROR(__xludf.DUMMYFUNCTION("""COMPUTED_VALUE"""),44597)</f>
        <v>44597</v>
      </c>
      <c r="F573" s="5" t="str">
        <f ca="1">IFERROR(__xludf.DUMMYFUNCTION("""COMPUTED_VALUE"""),"Cash")</f>
        <v>Cash</v>
      </c>
      <c r="G573" s="5" t="str">
        <f ca="1">IFERROR(__xludf.DUMMYFUNCTION("""COMPUTED_VALUE"""),"HKD")</f>
        <v>HKD</v>
      </c>
      <c r="H573" s="19" t="str">
        <f ca="1">IFERROR(__xludf.DUMMYFUNCTION("""COMPUTED_VALUE"""),"")</f>
        <v/>
      </c>
      <c r="I573" s="165">
        <f ca="1">IFERROR(__xludf.DUMMYFUNCTION("""COMPUTED_VALUE"""),1)</f>
        <v>1</v>
      </c>
      <c r="J573" s="5">
        <f ca="1">IFERROR(__xludf.DUMMYFUNCTION("""COMPUTED_VALUE"""),1)</f>
        <v>1</v>
      </c>
      <c r="K573" s="5"/>
      <c r="L573" s="20">
        <f ca="1">IFERROR(__xludf.DUMMYFUNCTION("""COMPUTED_VALUE"""),1)</f>
        <v>1</v>
      </c>
      <c r="M573" s="22" t="str">
        <f ca="1">IFERROR(__xludf.DUMMYFUNCTION("""COMPUTED_VALUE"""),"")</f>
        <v/>
      </c>
      <c r="N573" s="5"/>
      <c r="O573" s="5"/>
      <c r="P573" s="102">
        <f ca="1">IFERROR(__xludf.DUMMYFUNCTION("""COMPUTED_VALUE"""),500000)</f>
        <v>500000</v>
      </c>
      <c r="Q573" s="5"/>
      <c r="R573" s="57">
        <f ca="1">IFERROR(__xludf.DUMMYFUNCTION("""COMPUTED_VALUE"""),1)</f>
        <v>1</v>
      </c>
      <c r="S573" s="102" t="str">
        <f ca="1">IFERROR(__xludf.DUMMYFUNCTION("""COMPUTED_VALUE"""),"")</f>
        <v/>
      </c>
      <c r="T573" s="5">
        <f ca="1">IFERROR(__xludf.DUMMYFUNCTION("""COMPUTED_VALUE"""),1)</f>
        <v>1</v>
      </c>
      <c r="U573" s="5">
        <f ca="1">IFERROR(__xludf.DUMMYFUNCTION("""COMPUTED_VALUE"""),1)</f>
        <v>1</v>
      </c>
      <c r="V573" s="158">
        <f ca="1">IFERROR(__xludf.DUMMYFUNCTION("""COMPUTED_VALUE"""),500000)</f>
        <v>500000</v>
      </c>
      <c r="W573" s="44">
        <f ca="1">IFERROR(__xludf.DUMMYFUNCTION("""COMPUTED_VALUE"""),500000)</f>
        <v>500000</v>
      </c>
      <c r="X573" s="19">
        <f ca="1">IFERROR(__xludf.DUMMYFUNCTION("""COMPUTED_VALUE"""),500000)</f>
        <v>500000</v>
      </c>
      <c r="Y573" s="19">
        <f ca="1">IFERROR(__xludf.DUMMYFUNCTION("""COMPUTED_VALUE"""),0)</f>
        <v>0</v>
      </c>
      <c r="Z573" s="21">
        <f ca="1">IFERROR(__xludf.DUMMYFUNCTION("""COMPUTED_VALUE"""),0)</f>
        <v>0</v>
      </c>
    </row>
    <row r="574" spans="1:26" ht="13" x14ac:dyDescent="0.15">
      <c r="A574" s="5" t="str">
        <f ca="1">IFERROR(__xludf.DUMMYFUNCTION("""COMPUTED_VALUE"""),"83314")</f>
        <v>83314</v>
      </c>
      <c r="B574" s="5" t="str">
        <f ca="1">IFERROR(__xludf.DUMMYFUNCTION("""COMPUTED_VALUE"""),"83314")</f>
        <v>83314</v>
      </c>
      <c r="C574" s="8">
        <f ca="1">IFERROR(__xludf.DUMMYFUNCTION("""COMPUTED_VALUE"""),44597000085)</f>
        <v>44597000085</v>
      </c>
      <c r="D574" s="5" t="str">
        <f ca="1">IFERROR(__xludf.DUMMYFUNCTION("""COMPUTED_VALUE"""),"Cash")</f>
        <v>Cash</v>
      </c>
      <c r="E574" s="164">
        <f ca="1">IFERROR(__xludf.DUMMYFUNCTION("""COMPUTED_VALUE"""),44597)</f>
        <v>44597</v>
      </c>
      <c r="F574" s="5" t="str">
        <f ca="1">IFERROR(__xludf.DUMMYFUNCTION("""COMPUTED_VALUE"""),"Cash")</f>
        <v>Cash</v>
      </c>
      <c r="G574" s="5" t="str">
        <f ca="1">IFERROR(__xludf.DUMMYFUNCTION("""COMPUTED_VALUE"""),"HKD")</f>
        <v>HKD</v>
      </c>
      <c r="H574" s="19" t="str">
        <f ca="1">IFERROR(__xludf.DUMMYFUNCTION("""COMPUTED_VALUE"""),"")</f>
        <v/>
      </c>
      <c r="I574" s="165">
        <f ca="1">IFERROR(__xludf.DUMMYFUNCTION("""COMPUTED_VALUE"""),1)</f>
        <v>1</v>
      </c>
      <c r="J574" s="5">
        <f ca="1">IFERROR(__xludf.DUMMYFUNCTION("""COMPUTED_VALUE"""),1)</f>
        <v>1</v>
      </c>
      <c r="K574" s="5"/>
      <c r="L574" s="20">
        <f ca="1">IFERROR(__xludf.DUMMYFUNCTION("""COMPUTED_VALUE"""),1)</f>
        <v>1</v>
      </c>
      <c r="M574" s="22" t="str">
        <f ca="1">IFERROR(__xludf.DUMMYFUNCTION("""COMPUTED_VALUE"""),"")</f>
        <v/>
      </c>
      <c r="N574" s="5"/>
      <c r="O574" s="5"/>
      <c r="P574" s="102">
        <f ca="1">IFERROR(__xludf.DUMMYFUNCTION("""COMPUTED_VALUE"""),500000)</f>
        <v>500000</v>
      </c>
      <c r="Q574" s="5"/>
      <c r="R574" s="57">
        <f ca="1">IFERROR(__xludf.DUMMYFUNCTION("""COMPUTED_VALUE"""),1)</f>
        <v>1</v>
      </c>
      <c r="S574" s="102" t="str">
        <f ca="1">IFERROR(__xludf.DUMMYFUNCTION("""COMPUTED_VALUE"""),"")</f>
        <v/>
      </c>
      <c r="T574" s="5">
        <f ca="1">IFERROR(__xludf.DUMMYFUNCTION("""COMPUTED_VALUE"""),1)</f>
        <v>1</v>
      </c>
      <c r="U574" s="5">
        <f ca="1">IFERROR(__xludf.DUMMYFUNCTION("""COMPUTED_VALUE"""),1)</f>
        <v>1</v>
      </c>
      <c r="V574" s="158">
        <f ca="1">IFERROR(__xludf.DUMMYFUNCTION("""COMPUTED_VALUE"""),500000)</f>
        <v>500000</v>
      </c>
      <c r="W574" s="44">
        <f ca="1">IFERROR(__xludf.DUMMYFUNCTION("""COMPUTED_VALUE"""),500000)</f>
        <v>500000</v>
      </c>
      <c r="X574" s="19">
        <f ca="1">IFERROR(__xludf.DUMMYFUNCTION("""COMPUTED_VALUE"""),500000)</f>
        <v>500000</v>
      </c>
      <c r="Y574" s="19">
        <f ca="1">IFERROR(__xludf.DUMMYFUNCTION("""COMPUTED_VALUE"""),0)</f>
        <v>0</v>
      </c>
      <c r="Z574" s="21">
        <f ca="1">IFERROR(__xludf.DUMMYFUNCTION("""COMPUTED_VALUE"""),0)</f>
        <v>0</v>
      </c>
    </row>
    <row r="575" spans="1:26" ht="13" x14ac:dyDescent="0.15">
      <c r="A575" s="5" t="str">
        <f ca="1">IFERROR(__xludf.DUMMYFUNCTION("""COMPUTED_VALUE"""),"84216")</f>
        <v>84216</v>
      </c>
      <c r="B575" s="5" t="str">
        <f ca="1">IFERROR(__xludf.DUMMYFUNCTION("""COMPUTED_VALUE"""),"84216")</f>
        <v>84216</v>
      </c>
      <c r="C575" s="8">
        <f ca="1">IFERROR(__xludf.DUMMYFUNCTION("""COMPUTED_VALUE"""),44597000082)</f>
        <v>44597000082</v>
      </c>
      <c r="D575" s="5" t="str">
        <f ca="1">IFERROR(__xludf.DUMMYFUNCTION("""COMPUTED_VALUE"""),"Cash")</f>
        <v>Cash</v>
      </c>
      <c r="E575" s="164">
        <f ca="1">IFERROR(__xludf.DUMMYFUNCTION("""COMPUTED_VALUE"""),44597)</f>
        <v>44597</v>
      </c>
      <c r="F575" s="5" t="str">
        <f ca="1">IFERROR(__xludf.DUMMYFUNCTION("""COMPUTED_VALUE"""),"Cash")</f>
        <v>Cash</v>
      </c>
      <c r="G575" s="5" t="str">
        <f ca="1">IFERROR(__xludf.DUMMYFUNCTION("""COMPUTED_VALUE"""),"HKD")</f>
        <v>HKD</v>
      </c>
      <c r="H575" s="19" t="str">
        <f ca="1">IFERROR(__xludf.DUMMYFUNCTION("""COMPUTED_VALUE"""),"")</f>
        <v/>
      </c>
      <c r="I575" s="165">
        <f ca="1">IFERROR(__xludf.DUMMYFUNCTION("""COMPUTED_VALUE"""),1)</f>
        <v>1</v>
      </c>
      <c r="J575" s="5">
        <f ca="1">IFERROR(__xludf.DUMMYFUNCTION("""COMPUTED_VALUE"""),1)</f>
        <v>1</v>
      </c>
      <c r="K575" s="5"/>
      <c r="L575" s="20">
        <f ca="1">IFERROR(__xludf.DUMMYFUNCTION("""COMPUTED_VALUE"""),1)</f>
        <v>1</v>
      </c>
      <c r="M575" s="22" t="str">
        <f ca="1">IFERROR(__xludf.DUMMYFUNCTION("""COMPUTED_VALUE"""),"")</f>
        <v/>
      </c>
      <c r="N575" s="5"/>
      <c r="O575" s="5"/>
      <c r="P575" s="102">
        <f ca="1">IFERROR(__xludf.DUMMYFUNCTION("""COMPUTED_VALUE"""),500000)</f>
        <v>500000</v>
      </c>
      <c r="Q575" s="5"/>
      <c r="R575" s="57">
        <f ca="1">IFERROR(__xludf.DUMMYFUNCTION("""COMPUTED_VALUE"""),1)</f>
        <v>1</v>
      </c>
      <c r="S575" s="102" t="str">
        <f ca="1">IFERROR(__xludf.DUMMYFUNCTION("""COMPUTED_VALUE"""),"")</f>
        <v/>
      </c>
      <c r="T575" s="5">
        <f ca="1">IFERROR(__xludf.DUMMYFUNCTION("""COMPUTED_VALUE"""),1)</f>
        <v>1</v>
      </c>
      <c r="U575" s="5">
        <f ca="1">IFERROR(__xludf.DUMMYFUNCTION("""COMPUTED_VALUE"""),1)</f>
        <v>1</v>
      </c>
      <c r="V575" s="158">
        <f ca="1">IFERROR(__xludf.DUMMYFUNCTION("""COMPUTED_VALUE"""),500000)</f>
        <v>500000</v>
      </c>
      <c r="W575" s="44">
        <f ca="1">IFERROR(__xludf.DUMMYFUNCTION("""COMPUTED_VALUE"""),500000)</f>
        <v>500000</v>
      </c>
      <c r="X575" s="19">
        <f ca="1">IFERROR(__xludf.DUMMYFUNCTION("""COMPUTED_VALUE"""),500000)</f>
        <v>500000</v>
      </c>
      <c r="Y575" s="19">
        <f ca="1">IFERROR(__xludf.DUMMYFUNCTION("""COMPUTED_VALUE"""),0)</f>
        <v>0</v>
      </c>
      <c r="Z575" s="21">
        <f ca="1">IFERROR(__xludf.DUMMYFUNCTION("""COMPUTED_VALUE"""),0)</f>
        <v>0</v>
      </c>
    </row>
    <row r="576" spans="1:26" ht="13" x14ac:dyDescent="0.15">
      <c r="A576" s="5" t="str">
        <f ca="1">IFERROR(__xludf.DUMMYFUNCTION("""COMPUTED_VALUE"""),"89651")</f>
        <v>89651</v>
      </c>
      <c r="B576" s="5" t="str">
        <f ca="1">IFERROR(__xludf.DUMMYFUNCTION("""COMPUTED_VALUE"""),"89651")</f>
        <v>89651</v>
      </c>
      <c r="C576" s="8">
        <f ca="1">IFERROR(__xludf.DUMMYFUNCTION("""COMPUTED_VALUE"""),44597000051)</f>
        <v>44597000051</v>
      </c>
      <c r="D576" s="5" t="str">
        <f ca="1">IFERROR(__xludf.DUMMYFUNCTION("""COMPUTED_VALUE"""),"Cash")</f>
        <v>Cash</v>
      </c>
      <c r="E576" s="164">
        <f ca="1">IFERROR(__xludf.DUMMYFUNCTION("""COMPUTED_VALUE"""),44597)</f>
        <v>44597</v>
      </c>
      <c r="F576" s="5" t="str">
        <f ca="1">IFERROR(__xludf.DUMMYFUNCTION("""COMPUTED_VALUE"""),"Cash")</f>
        <v>Cash</v>
      </c>
      <c r="G576" s="5" t="str">
        <f ca="1">IFERROR(__xludf.DUMMYFUNCTION("""COMPUTED_VALUE"""),"HKD")</f>
        <v>HKD</v>
      </c>
      <c r="H576" s="19" t="str">
        <f ca="1">IFERROR(__xludf.DUMMYFUNCTION("""COMPUTED_VALUE"""),"")</f>
        <v/>
      </c>
      <c r="I576" s="165">
        <f ca="1">IFERROR(__xludf.DUMMYFUNCTION("""COMPUTED_VALUE"""),1)</f>
        <v>1</v>
      </c>
      <c r="J576" s="5">
        <f ca="1">IFERROR(__xludf.DUMMYFUNCTION("""COMPUTED_VALUE"""),1)</f>
        <v>1</v>
      </c>
      <c r="K576" s="5"/>
      <c r="L576" s="20">
        <f ca="1">IFERROR(__xludf.DUMMYFUNCTION("""COMPUTED_VALUE"""),1)</f>
        <v>1</v>
      </c>
      <c r="M576" s="22" t="str">
        <f ca="1">IFERROR(__xludf.DUMMYFUNCTION("""COMPUTED_VALUE"""),"")</f>
        <v/>
      </c>
      <c r="N576" s="5"/>
      <c r="O576" s="5"/>
      <c r="P576" s="102">
        <f ca="1">IFERROR(__xludf.DUMMYFUNCTION("""COMPUTED_VALUE"""),500000)</f>
        <v>500000</v>
      </c>
      <c r="Q576" s="5"/>
      <c r="R576" s="57">
        <f ca="1">IFERROR(__xludf.DUMMYFUNCTION("""COMPUTED_VALUE"""),1)</f>
        <v>1</v>
      </c>
      <c r="S576" s="102" t="str">
        <f ca="1">IFERROR(__xludf.DUMMYFUNCTION("""COMPUTED_VALUE"""),"")</f>
        <v/>
      </c>
      <c r="T576" s="5">
        <f ca="1">IFERROR(__xludf.DUMMYFUNCTION("""COMPUTED_VALUE"""),1)</f>
        <v>1</v>
      </c>
      <c r="U576" s="5">
        <f ca="1">IFERROR(__xludf.DUMMYFUNCTION("""COMPUTED_VALUE"""),1)</f>
        <v>1</v>
      </c>
      <c r="V576" s="158">
        <f ca="1">IFERROR(__xludf.DUMMYFUNCTION("""COMPUTED_VALUE"""),500000)</f>
        <v>500000</v>
      </c>
      <c r="W576" s="44">
        <f ca="1">IFERROR(__xludf.DUMMYFUNCTION("""COMPUTED_VALUE"""),500000)</f>
        <v>500000</v>
      </c>
      <c r="X576" s="19">
        <f ca="1">IFERROR(__xludf.DUMMYFUNCTION("""COMPUTED_VALUE"""),500000)</f>
        <v>500000</v>
      </c>
      <c r="Y576" s="19">
        <f ca="1">IFERROR(__xludf.DUMMYFUNCTION("""COMPUTED_VALUE"""),0)</f>
        <v>0</v>
      </c>
      <c r="Z576" s="21">
        <f ca="1">IFERROR(__xludf.DUMMYFUNCTION("""COMPUTED_VALUE"""),0)</f>
        <v>0</v>
      </c>
    </row>
    <row r="577" spans="1:26" ht="13" x14ac:dyDescent="0.15">
      <c r="A577" s="5" t="str">
        <f ca="1">IFERROR(__xludf.DUMMYFUNCTION("""COMPUTED_VALUE"""),"")</f>
        <v/>
      </c>
      <c r="B577" s="5" t="str">
        <f ca="1">IFERROR(__xludf.DUMMYFUNCTION("""COMPUTED_VALUE"""),"89750")</f>
        <v>89750</v>
      </c>
      <c r="C577" s="8">
        <f ca="1">IFERROR(__xludf.DUMMYFUNCTION("""COMPUTED_VALUE"""),44597000060)</f>
        <v>44597000060</v>
      </c>
      <c r="D577" s="5" t="str">
        <f ca="1">IFERROR(__xludf.DUMMYFUNCTION("""COMPUTED_VALUE"""),"Cash")</f>
        <v>Cash</v>
      </c>
      <c r="E577" s="164">
        <f ca="1">IFERROR(__xludf.DUMMYFUNCTION("""COMPUTED_VALUE"""),44597)</f>
        <v>44597</v>
      </c>
      <c r="F577" s="5" t="str">
        <f ca="1">IFERROR(__xludf.DUMMYFUNCTION("""COMPUTED_VALUE"""),"Cash")</f>
        <v>Cash</v>
      </c>
      <c r="G577" s="5" t="str">
        <f ca="1">IFERROR(__xludf.DUMMYFUNCTION("""COMPUTED_VALUE"""),"HKD")</f>
        <v>HKD</v>
      </c>
      <c r="H577" s="19" t="str">
        <f ca="1">IFERROR(__xludf.DUMMYFUNCTION("""COMPUTED_VALUE"""),"")</f>
        <v/>
      </c>
      <c r="I577" s="165">
        <f ca="1">IFERROR(__xludf.DUMMYFUNCTION("""COMPUTED_VALUE"""),1)</f>
        <v>1</v>
      </c>
      <c r="J577" s="5">
        <f ca="1">IFERROR(__xludf.DUMMYFUNCTION("""COMPUTED_VALUE"""),1)</f>
        <v>1</v>
      </c>
      <c r="K577" s="5"/>
      <c r="L577" s="20">
        <f ca="1">IFERROR(__xludf.DUMMYFUNCTION("""COMPUTED_VALUE"""),1)</f>
        <v>1</v>
      </c>
      <c r="M577" s="22" t="str">
        <f ca="1">IFERROR(__xludf.DUMMYFUNCTION("""COMPUTED_VALUE"""),"")</f>
        <v/>
      </c>
      <c r="N577" s="5"/>
      <c r="O577" s="5"/>
      <c r="P577" s="102">
        <f ca="1">IFERROR(__xludf.DUMMYFUNCTION("""COMPUTED_VALUE"""),500000)</f>
        <v>500000</v>
      </c>
      <c r="Q577" s="5"/>
      <c r="R577" s="57">
        <f ca="1">IFERROR(__xludf.DUMMYFUNCTION("""COMPUTED_VALUE"""),1)</f>
        <v>1</v>
      </c>
      <c r="S577" s="102" t="str">
        <f ca="1">IFERROR(__xludf.DUMMYFUNCTION("""COMPUTED_VALUE"""),"")</f>
        <v/>
      </c>
      <c r="T577" s="5">
        <f ca="1">IFERROR(__xludf.DUMMYFUNCTION("""COMPUTED_VALUE"""),1)</f>
        <v>1</v>
      </c>
      <c r="U577" s="5">
        <f ca="1">IFERROR(__xludf.DUMMYFUNCTION("""COMPUTED_VALUE"""),1)</f>
        <v>1</v>
      </c>
      <c r="V577" s="158">
        <f ca="1">IFERROR(__xludf.DUMMYFUNCTION("""COMPUTED_VALUE"""),500000)</f>
        <v>500000</v>
      </c>
      <c r="W577" s="44" t="str">
        <f ca="1">IFERROR(__xludf.DUMMYFUNCTION("""COMPUTED_VALUE"""),"")</f>
        <v/>
      </c>
      <c r="X577" s="19" t="str">
        <f ca="1">IFERROR(__xludf.DUMMYFUNCTION("""COMPUTED_VALUE"""),"")</f>
        <v/>
      </c>
      <c r="Y577" s="19" t="str">
        <f ca="1">IFERROR(__xludf.DUMMYFUNCTION("""COMPUTED_VALUE"""),"")</f>
        <v/>
      </c>
      <c r="Z577" s="21" t="str">
        <f ca="1">IFERROR(__xludf.DUMMYFUNCTION("""COMPUTED_VALUE"""),"")</f>
        <v/>
      </c>
    </row>
    <row r="578" spans="1:26" ht="13" x14ac:dyDescent="0.15">
      <c r="A578" s="5" t="str">
        <f ca="1">IFERROR(__xludf.DUMMYFUNCTION("""COMPUTED_VALUE"""),"")</f>
        <v/>
      </c>
      <c r="B578" s="5" t="str">
        <f ca="1">IFERROR(__xludf.DUMMYFUNCTION("""COMPUTED_VALUE"""),"89750")</f>
        <v>89750</v>
      </c>
      <c r="C578" s="8">
        <f ca="1">IFERROR(__xludf.DUMMYFUNCTION("""COMPUTED_VALUE"""),44601000137)</f>
        <v>44601000137</v>
      </c>
      <c r="D578" s="71" t="str">
        <f ca="1">IFERROR(__xludf.DUMMYFUNCTION("""COMPUTED_VALUE"""),"9698.HK")</f>
        <v>9698.HK</v>
      </c>
      <c r="E578" s="164">
        <f ca="1">IFERROR(__xludf.DUMMYFUNCTION("""COMPUTED_VALUE"""),44601)</f>
        <v>44601</v>
      </c>
      <c r="F578" s="5" t="str">
        <f ca="1">IFERROR(__xludf.DUMMYFUNCTION("""COMPUTED_VALUE"""),"Stock")</f>
        <v>Stock</v>
      </c>
      <c r="G578" s="5" t="str">
        <f ca="1">IFERROR(__xludf.DUMMYFUNCTION("""COMPUTED_VALUE"""),"HKD")</f>
        <v>HKD</v>
      </c>
      <c r="H578" s="19">
        <f ca="1">IFERROR(__xludf.DUMMYFUNCTION("""COMPUTED_VALUE"""),0)</f>
        <v>0</v>
      </c>
      <c r="I578" s="165">
        <f ca="1">IFERROR(__xludf.DUMMYFUNCTION("""COMPUTED_VALUE"""),1)</f>
        <v>1</v>
      </c>
      <c r="J578" s="20">
        <f ca="1">IFERROR(__xludf.DUMMYFUNCTION("""COMPUTED_VALUE"""),0)</f>
        <v>0</v>
      </c>
      <c r="K578" s="5"/>
      <c r="L578" s="20">
        <f ca="1">IFERROR(__xludf.DUMMYFUNCTION("""COMPUTED_VALUE"""),39.55)</f>
        <v>39.549999999999997</v>
      </c>
      <c r="M578" s="166" t="str">
        <f ca="1">IFERROR(__xludf.DUMMYFUNCTION("""COMPUTED_VALUE"""),"Equity Key Stats")</f>
        <v>Equity Key Stats</v>
      </c>
      <c r="N578" s="5"/>
      <c r="O578" s="5"/>
      <c r="P578" s="102">
        <f ca="1">IFERROR(__xludf.DUMMYFUNCTION("""COMPUTED_VALUE"""),0)</f>
        <v>0</v>
      </c>
      <c r="Q578" s="5"/>
      <c r="R578" s="57">
        <f ca="1">IFERROR(__xludf.DUMMYFUNCTION("""COMPUTED_VALUE"""),40.2)</f>
        <v>40.200000000000003</v>
      </c>
      <c r="S578" s="102">
        <f ca="1">IFERROR(__xludf.DUMMYFUNCTION("""COMPUTED_VALUE"""),0)</f>
        <v>0</v>
      </c>
      <c r="T578" s="5">
        <f ca="1">IFERROR(__xludf.DUMMYFUNCTION("""COMPUTED_VALUE"""),5)</f>
        <v>5</v>
      </c>
      <c r="U578" s="5" t="str">
        <f ca="1">IFERROR(__xludf.DUMMYFUNCTION("""COMPUTED_VALUE"""),"")</f>
        <v/>
      </c>
      <c r="V578" s="158" t="str">
        <f ca="1">IFERROR(__xludf.DUMMYFUNCTION("""COMPUTED_VALUE"""),"")</f>
        <v/>
      </c>
      <c r="W578" s="44" t="str">
        <f ca="1">IFERROR(__xludf.DUMMYFUNCTION("""COMPUTED_VALUE"""),"")</f>
        <v/>
      </c>
      <c r="X578" s="19" t="str">
        <f ca="1">IFERROR(__xludf.DUMMYFUNCTION("""COMPUTED_VALUE"""),"")</f>
        <v/>
      </c>
      <c r="Y578" s="19" t="str">
        <f ca="1">IFERROR(__xludf.DUMMYFUNCTION("""COMPUTED_VALUE"""),"")</f>
        <v/>
      </c>
      <c r="Z578" s="21" t="str">
        <f ca="1">IFERROR(__xludf.DUMMYFUNCTION("""COMPUTED_VALUE"""),"")</f>
        <v/>
      </c>
    </row>
    <row r="579" spans="1:26" ht="13" x14ac:dyDescent="0.15">
      <c r="A579" s="5" t="str">
        <f ca="1">IFERROR(__xludf.DUMMYFUNCTION("""COMPUTED_VALUE"""),"")</f>
        <v/>
      </c>
      <c r="B579" s="5" t="str">
        <f ca="1">IFERROR(__xludf.DUMMYFUNCTION("""COMPUTED_VALUE"""),"89750")</f>
        <v>89750</v>
      </c>
      <c r="C579" s="8">
        <f ca="1">IFERROR(__xludf.DUMMYFUNCTION("""COMPUTED_VALUE"""),44601000138)</f>
        <v>44601000138</v>
      </c>
      <c r="D579" s="71" t="str">
        <f ca="1">IFERROR(__xludf.DUMMYFUNCTION("""COMPUTED_VALUE"""),"3690.HK")</f>
        <v>3690.HK</v>
      </c>
      <c r="E579" s="164">
        <f ca="1">IFERROR(__xludf.DUMMYFUNCTION("""COMPUTED_VALUE"""),44601)</f>
        <v>44601</v>
      </c>
      <c r="F579" s="5" t="str">
        <f ca="1">IFERROR(__xludf.DUMMYFUNCTION("""COMPUTED_VALUE"""),"Stock")</f>
        <v>Stock</v>
      </c>
      <c r="G579" s="5" t="str">
        <f ca="1">IFERROR(__xludf.DUMMYFUNCTION("""COMPUTED_VALUE"""),"HKD")</f>
        <v>HKD</v>
      </c>
      <c r="H579" s="19">
        <f ca="1">IFERROR(__xludf.DUMMYFUNCTION("""COMPUTED_VALUE"""),500)</f>
        <v>500</v>
      </c>
      <c r="I579" s="165">
        <f ca="1">IFERROR(__xludf.DUMMYFUNCTION("""COMPUTED_VALUE"""),1)</f>
        <v>1</v>
      </c>
      <c r="J579" s="20">
        <f ca="1">IFERROR(__xludf.DUMMYFUNCTION("""COMPUTED_VALUE"""),229.2)</f>
        <v>229.2</v>
      </c>
      <c r="K579" s="5"/>
      <c r="L579" s="20">
        <f ca="1">IFERROR(__xludf.DUMMYFUNCTION("""COMPUTED_VALUE"""),153)</f>
        <v>153</v>
      </c>
      <c r="M579" s="166" t="str">
        <f ca="1">IFERROR(__xludf.DUMMYFUNCTION("""COMPUTED_VALUE"""),"Equity Key Stats")</f>
        <v>Equity Key Stats</v>
      </c>
      <c r="N579" s="5"/>
      <c r="O579" s="5"/>
      <c r="P579" s="102">
        <f ca="1">IFERROR(__xludf.DUMMYFUNCTION("""COMPUTED_VALUE"""),-114600)</f>
        <v>-114600</v>
      </c>
      <c r="Q579" s="5"/>
      <c r="R579" s="57">
        <f ca="1">IFERROR(__xludf.DUMMYFUNCTION("""COMPUTED_VALUE"""),156.2)</f>
        <v>156.19999999999999</v>
      </c>
      <c r="S579" s="102">
        <f ca="1">IFERROR(__xludf.DUMMYFUNCTION("""COMPUTED_VALUE"""),78100)</f>
        <v>78100</v>
      </c>
      <c r="T579" s="5">
        <f ca="1">IFERROR(__xludf.DUMMYFUNCTION("""COMPUTED_VALUE"""),3)</f>
        <v>3</v>
      </c>
      <c r="U579" s="5" t="str">
        <f ca="1">IFERROR(__xludf.DUMMYFUNCTION("""COMPUTED_VALUE"""),"")</f>
        <v/>
      </c>
      <c r="V579" s="158" t="str">
        <f ca="1">IFERROR(__xludf.DUMMYFUNCTION("""COMPUTED_VALUE"""),"")</f>
        <v/>
      </c>
      <c r="W579" s="44" t="str">
        <f ca="1">IFERROR(__xludf.DUMMYFUNCTION("""COMPUTED_VALUE"""),"")</f>
        <v/>
      </c>
      <c r="X579" s="19" t="str">
        <f ca="1">IFERROR(__xludf.DUMMYFUNCTION("""COMPUTED_VALUE"""),"")</f>
        <v/>
      </c>
      <c r="Y579" s="19" t="str">
        <f ca="1">IFERROR(__xludf.DUMMYFUNCTION("""COMPUTED_VALUE"""),"")</f>
        <v/>
      </c>
      <c r="Z579" s="21" t="str">
        <f ca="1">IFERROR(__xludf.DUMMYFUNCTION("""COMPUTED_VALUE"""),"")</f>
        <v/>
      </c>
    </row>
    <row r="580" spans="1:26" ht="13" x14ac:dyDescent="0.15">
      <c r="A580" s="5" t="str">
        <f ca="1">IFERROR(__xludf.DUMMYFUNCTION("""COMPUTED_VALUE"""),"")</f>
        <v/>
      </c>
      <c r="B580" s="5" t="str">
        <f ca="1">IFERROR(__xludf.DUMMYFUNCTION("""COMPUTED_VALUE"""),"89750")</f>
        <v>89750</v>
      </c>
      <c r="C580" s="8">
        <f ca="1">IFERROR(__xludf.DUMMYFUNCTION("""COMPUTED_VALUE"""),44601000139)</f>
        <v>44601000139</v>
      </c>
      <c r="D580" s="71" t="str">
        <f ca="1">IFERROR(__xludf.DUMMYFUNCTION("""COMPUTED_VALUE"""),"9698.HK")</f>
        <v>9698.HK</v>
      </c>
      <c r="E580" s="164">
        <f ca="1">IFERROR(__xludf.DUMMYFUNCTION("""COMPUTED_VALUE"""),44601)</f>
        <v>44601</v>
      </c>
      <c r="F580" s="5" t="str">
        <f ca="1">IFERROR(__xludf.DUMMYFUNCTION("""COMPUTED_VALUE"""),"Stock")</f>
        <v>Stock</v>
      </c>
      <c r="G580" s="5" t="str">
        <f ca="1">IFERROR(__xludf.DUMMYFUNCTION("""COMPUTED_VALUE"""),"HKD")</f>
        <v>HKD</v>
      </c>
      <c r="H580" s="19">
        <f ca="1">IFERROR(__xludf.DUMMYFUNCTION("""COMPUTED_VALUE"""),10000)</f>
        <v>10000</v>
      </c>
      <c r="I580" s="165">
        <f ca="1">IFERROR(__xludf.DUMMYFUNCTION("""COMPUTED_VALUE"""),1)</f>
        <v>1</v>
      </c>
      <c r="J580" s="20">
        <f ca="1">IFERROR(__xludf.DUMMYFUNCTION("""COMPUTED_VALUE"""),38.75)</f>
        <v>38.75</v>
      </c>
      <c r="K580" s="5"/>
      <c r="L580" s="20">
        <f ca="1">IFERROR(__xludf.DUMMYFUNCTION("""COMPUTED_VALUE"""),39.55)</f>
        <v>39.549999999999997</v>
      </c>
      <c r="M580" s="166" t="str">
        <f ca="1">IFERROR(__xludf.DUMMYFUNCTION("""COMPUTED_VALUE"""),"Equity Key Stats")</f>
        <v>Equity Key Stats</v>
      </c>
      <c r="N580" s="5"/>
      <c r="O580" s="5"/>
      <c r="P580" s="102">
        <f ca="1">IFERROR(__xludf.DUMMYFUNCTION("""COMPUTED_VALUE"""),-387500)</f>
        <v>-387500</v>
      </c>
      <c r="Q580" s="5"/>
      <c r="R580" s="57">
        <f ca="1">IFERROR(__xludf.DUMMYFUNCTION("""COMPUTED_VALUE"""),40.2)</f>
        <v>40.200000000000003</v>
      </c>
      <c r="S580" s="102">
        <f ca="1">IFERROR(__xludf.DUMMYFUNCTION("""COMPUTED_VALUE"""),402000)</f>
        <v>402000</v>
      </c>
      <c r="T580" s="5">
        <f ca="1">IFERROR(__xludf.DUMMYFUNCTION("""COMPUTED_VALUE"""),5)</f>
        <v>5</v>
      </c>
      <c r="U580" s="5" t="str">
        <f ca="1">IFERROR(__xludf.DUMMYFUNCTION("""COMPUTED_VALUE"""),"")</f>
        <v/>
      </c>
      <c r="V580" s="158" t="str">
        <f ca="1">IFERROR(__xludf.DUMMYFUNCTION("""COMPUTED_VALUE"""),"")</f>
        <v/>
      </c>
      <c r="W580" s="44" t="str">
        <f ca="1">IFERROR(__xludf.DUMMYFUNCTION("""COMPUTED_VALUE"""),"")</f>
        <v/>
      </c>
      <c r="X580" s="19" t="str">
        <f ca="1">IFERROR(__xludf.DUMMYFUNCTION("""COMPUTED_VALUE"""),"")</f>
        <v/>
      </c>
      <c r="Y580" s="19" t="str">
        <f ca="1">IFERROR(__xludf.DUMMYFUNCTION("""COMPUTED_VALUE"""),"")</f>
        <v/>
      </c>
      <c r="Z580" s="21" t="str">
        <f ca="1">IFERROR(__xludf.DUMMYFUNCTION("""COMPUTED_VALUE"""),"")</f>
        <v/>
      </c>
    </row>
    <row r="581" spans="1:26" ht="13" x14ac:dyDescent="0.15">
      <c r="A581" s="5" t="str">
        <f ca="1">IFERROR(__xludf.DUMMYFUNCTION("""COMPUTED_VALUE"""),"")</f>
        <v/>
      </c>
      <c r="B581" s="5" t="str">
        <f ca="1">IFERROR(__xludf.DUMMYFUNCTION("""COMPUTED_VALUE"""),"89750")</f>
        <v>89750</v>
      </c>
      <c r="C581" s="8">
        <f ca="1">IFERROR(__xludf.DUMMYFUNCTION("""COMPUTED_VALUE"""),44602000151)</f>
        <v>44602000151</v>
      </c>
      <c r="D581" s="71" t="str">
        <f ca="1">IFERROR(__xludf.DUMMYFUNCTION("""COMPUTED_VALUE"""),"3690.HK")</f>
        <v>3690.HK</v>
      </c>
      <c r="E581" s="164">
        <f ca="1">IFERROR(__xludf.DUMMYFUNCTION("""COMPUTED_VALUE"""),44602)</f>
        <v>44602</v>
      </c>
      <c r="F581" s="5" t="str">
        <f ca="1">IFERROR(__xludf.DUMMYFUNCTION("""COMPUTED_VALUE"""),"Stock")</f>
        <v>Stock</v>
      </c>
      <c r="G581" s="5" t="str">
        <f ca="1">IFERROR(__xludf.DUMMYFUNCTION("""COMPUTED_VALUE"""),"HKD")</f>
        <v>HKD</v>
      </c>
      <c r="H581" s="19">
        <f ca="1">IFERROR(__xludf.DUMMYFUNCTION("""COMPUTED_VALUE"""),-500)</f>
        <v>-500</v>
      </c>
      <c r="I581" s="165">
        <f ca="1">IFERROR(__xludf.DUMMYFUNCTION("""COMPUTED_VALUE"""),1)</f>
        <v>1</v>
      </c>
      <c r="J581" s="20">
        <f ca="1">IFERROR(__xludf.DUMMYFUNCTION("""COMPUTED_VALUE"""),233)</f>
        <v>233</v>
      </c>
      <c r="K581" s="5"/>
      <c r="L581" s="20">
        <f ca="1">IFERROR(__xludf.DUMMYFUNCTION("""COMPUTED_VALUE"""),153)</f>
        <v>153</v>
      </c>
      <c r="M581" s="166" t="str">
        <f ca="1">IFERROR(__xludf.DUMMYFUNCTION("""COMPUTED_VALUE"""),"Equity Key Stats")</f>
        <v>Equity Key Stats</v>
      </c>
      <c r="N581" s="5"/>
      <c r="O581" s="5"/>
      <c r="P581" s="102">
        <f ca="1">IFERROR(__xludf.DUMMYFUNCTION("""COMPUTED_VALUE"""),116500)</f>
        <v>116500</v>
      </c>
      <c r="Q581" s="5"/>
      <c r="R581" s="57">
        <f ca="1">IFERROR(__xludf.DUMMYFUNCTION("""COMPUTED_VALUE"""),156.2)</f>
        <v>156.19999999999999</v>
      </c>
      <c r="S581" s="102">
        <f ca="1">IFERROR(__xludf.DUMMYFUNCTION("""COMPUTED_VALUE"""),-78100)</f>
        <v>-78100</v>
      </c>
      <c r="T581" s="5">
        <f ca="1">IFERROR(__xludf.DUMMYFUNCTION("""COMPUTED_VALUE"""),3)</f>
        <v>3</v>
      </c>
      <c r="U581" s="5" t="str">
        <f ca="1">IFERROR(__xludf.DUMMYFUNCTION("""COMPUTED_VALUE"""),"")</f>
        <v/>
      </c>
      <c r="V581" s="158" t="str">
        <f ca="1">IFERROR(__xludf.DUMMYFUNCTION("""COMPUTED_VALUE"""),"")</f>
        <v/>
      </c>
      <c r="W581" s="44" t="str">
        <f ca="1">IFERROR(__xludf.DUMMYFUNCTION("""COMPUTED_VALUE"""),"")</f>
        <v/>
      </c>
      <c r="X581" s="19" t="str">
        <f ca="1">IFERROR(__xludf.DUMMYFUNCTION("""COMPUTED_VALUE"""),"")</f>
        <v/>
      </c>
      <c r="Y581" s="19" t="str">
        <f ca="1">IFERROR(__xludf.DUMMYFUNCTION("""COMPUTED_VALUE"""),"")</f>
        <v/>
      </c>
      <c r="Z581" s="21" t="str">
        <f ca="1">IFERROR(__xludf.DUMMYFUNCTION("""COMPUTED_VALUE"""),"")</f>
        <v/>
      </c>
    </row>
    <row r="582" spans="1:26" ht="13" x14ac:dyDescent="0.15">
      <c r="A582" s="5" t="str">
        <f ca="1">IFERROR(__xludf.DUMMYFUNCTION("""COMPUTED_VALUE"""),"")</f>
        <v/>
      </c>
      <c r="B582" s="5" t="str">
        <f ca="1">IFERROR(__xludf.DUMMYFUNCTION("""COMPUTED_VALUE"""),"89750")</f>
        <v>89750</v>
      </c>
      <c r="C582" s="8">
        <f ca="1">IFERROR(__xludf.DUMMYFUNCTION("""COMPUTED_VALUE"""),44603000165)</f>
        <v>44603000165</v>
      </c>
      <c r="D582" s="71" t="str">
        <f ca="1">IFERROR(__xludf.DUMMYFUNCTION("""COMPUTED_VALUE"""),"2269.HK")</f>
        <v>2269.HK</v>
      </c>
      <c r="E582" s="164">
        <f ca="1">IFERROR(__xludf.DUMMYFUNCTION("""COMPUTED_VALUE"""),44603)</f>
        <v>44603</v>
      </c>
      <c r="F582" s="5" t="str">
        <f ca="1">IFERROR(__xludf.DUMMYFUNCTION("""COMPUTED_VALUE"""),"Stock")</f>
        <v>Stock</v>
      </c>
      <c r="G582" s="5" t="str">
        <f ca="1">IFERROR(__xludf.DUMMYFUNCTION("""COMPUTED_VALUE"""),"HKD")</f>
        <v>HKD</v>
      </c>
      <c r="H582" s="19">
        <f ca="1">IFERROR(__xludf.DUMMYFUNCTION("""COMPUTED_VALUE"""),0)</f>
        <v>0</v>
      </c>
      <c r="I582" s="165">
        <f ca="1">IFERROR(__xludf.DUMMYFUNCTION("""COMPUTED_VALUE"""),1)</f>
        <v>1</v>
      </c>
      <c r="J582" s="20">
        <f ca="1">IFERROR(__xludf.DUMMYFUNCTION("""COMPUTED_VALUE"""),0)</f>
        <v>0</v>
      </c>
      <c r="K582" s="5"/>
      <c r="L582" s="20">
        <f ca="1">IFERROR(__xludf.DUMMYFUNCTION("""COMPUTED_VALUE"""),58.35)</f>
        <v>58.35</v>
      </c>
      <c r="M582" s="166" t="str">
        <f ca="1">IFERROR(__xludf.DUMMYFUNCTION("""COMPUTED_VALUE"""),"Equity Key Stats")</f>
        <v>Equity Key Stats</v>
      </c>
      <c r="N582" s="5"/>
      <c r="O582" s="5"/>
      <c r="P582" s="102">
        <f ca="1">IFERROR(__xludf.DUMMYFUNCTION("""COMPUTED_VALUE"""),0)</f>
        <v>0</v>
      </c>
      <c r="Q582" s="5"/>
      <c r="R582" s="57">
        <f ca="1">IFERROR(__xludf.DUMMYFUNCTION("""COMPUTED_VALUE"""),65.3)</f>
        <v>65.3</v>
      </c>
      <c r="S582" s="102">
        <f ca="1">IFERROR(__xludf.DUMMYFUNCTION("""COMPUTED_VALUE"""),0)</f>
        <v>0</v>
      </c>
      <c r="T582" s="5">
        <f ca="1">IFERROR(__xludf.DUMMYFUNCTION("""COMPUTED_VALUE"""),1)</f>
        <v>1</v>
      </c>
      <c r="U582" s="5">
        <f ca="1">IFERROR(__xludf.DUMMYFUNCTION("""COMPUTED_VALUE"""),1)</f>
        <v>1</v>
      </c>
      <c r="V582" s="158">
        <f ca="1">IFERROR(__xludf.DUMMYFUNCTION("""COMPUTED_VALUE"""),0)</f>
        <v>0</v>
      </c>
      <c r="W582" s="44" t="str">
        <f ca="1">IFERROR(__xludf.DUMMYFUNCTION("""COMPUTED_VALUE"""),"")</f>
        <v/>
      </c>
      <c r="X582" s="19" t="str">
        <f ca="1">IFERROR(__xludf.DUMMYFUNCTION("""COMPUTED_VALUE"""),"")</f>
        <v/>
      </c>
      <c r="Y582" s="19" t="str">
        <f ca="1">IFERROR(__xludf.DUMMYFUNCTION("""COMPUTED_VALUE"""),"")</f>
        <v/>
      </c>
      <c r="Z582" s="21" t="str">
        <f ca="1">IFERROR(__xludf.DUMMYFUNCTION("""COMPUTED_VALUE"""),"")</f>
        <v/>
      </c>
    </row>
    <row r="583" spans="1:26" ht="13" x14ac:dyDescent="0.15">
      <c r="A583" s="5" t="str">
        <f ca="1">IFERROR(__xludf.DUMMYFUNCTION("""COMPUTED_VALUE"""),"")</f>
        <v/>
      </c>
      <c r="B583" s="5" t="str">
        <f ca="1">IFERROR(__xludf.DUMMYFUNCTION("""COMPUTED_VALUE"""),"89750")</f>
        <v>89750</v>
      </c>
      <c r="C583" s="8">
        <f ca="1">IFERROR(__xludf.DUMMYFUNCTION("""COMPUTED_VALUE"""),44607000208)</f>
        <v>44607000208</v>
      </c>
      <c r="D583" s="5" t="str">
        <f ca="1">IFERROR(__xludf.DUMMYFUNCTION("""COMPUTED_VALUE"""),"UVXY")</f>
        <v>UVXY</v>
      </c>
      <c r="E583" s="164">
        <f ca="1">IFERROR(__xludf.DUMMYFUNCTION("""COMPUTED_VALUE"""),44607)</f>
        <v>44607</v>
      </c>
      <c r="F583" s="5" t="str">
        <f ca="1">IFERROR(__xludf.DUMMYFUNCTION("""COMPUTED_VALUE"""),"Stock")</f>
        <v>Stock</v>
      </c>
      <c r="G583" s="5" t="str">
        <f ca="1">IFERROR(__xludf.DUMMYFUNCTION("""COMPUTED_VALUE"""),"USD")</f>
        <v>USD</v>
      </c>
      <c r="H583" s="19">
        <f ca="1">IFERROR(__xludf.DUMMYFUNCTION("""COMPUTED_VALUE"""),500)</f>
        <v>500</v>
      </c>
      <c r="I583" s="165">
        <f ca="1">IFERROR(__xludf.DUMMYFUNCTION("""COMPUTED_VALUE"""),7.801355)</f>
        <v>7.801355</v>
      </c>
      <c r="J583" s="20">
        <f ca="1">IFERROR(__xludf.DUMMYFUNCTION("""COMPUTED_VALUE"""),14.89)</f>
        <v>14.89</v>
      </c>
      <c r="K583" s="5"/>
      <c r="L583" s="20">
        <f ca="1">IFERROR(__xludf.DUMMYFUNCTION("""COMPUTED_VALUE"""),14.72)</f>
        <v>14.72</v>
      </c>
      <c r="M583" s="166" t="str">
        <f ca="1">IFERROR(__xludf.DUMMYFUNCTION("""COMPUTED_VALUE"""),"Equity Key Stats")</f>
        <v>Equity Key Stats</v>
      </c>
      <c r="N583" s="5"/>
      <c r="O583" s="5"/>
      <c r="P583" s="102">
        <f ca="1">IFERROR(__xludf.DUMMYFUNCTION("""COMPUTED_VALUE"""),-58081.087975)</f>
        <v>-58081.087975000002</v>
      </c>
      <c r="Q583" s="5"/>
      <c r="R583" s="57">
        <f ca="1">IFERROR(__xludf.DUMMYFUNCTION("""COMPUTED_VALUE"""),14.65)</f>
        <v>14.65</v>
      </c>
      <c r="S583" s="102">
        <f ca="1">IFERROR(__xludf.DUMMYFUNCTION("""COMPUTED_VALUE"""),57144.925375)</f>
        <v>57144.925374999999</v>
      </c>
      <c r="T583" s="5">
        <f ca="1">IFERROR(__xludf.DUMMYFUNCTION("""COMPUTED_VALUE"""),3)</f>
        <v>3</v>
      </c>
      <c r="U583" s="5" t="str">
        <f ca="1">IFERROR(__xludf.DUMMYFUNCTION("""COMPUTED_VALUE"""),"")</f>
        <v/>
      </c>
      <c r="V583" s="158" t="str">
        <f ca="1">IFERROR(__xludf.DUMMYFUNCTION("""COMPUTED_VALUE"""),"")</f>
        <v/>
      </c>
      <c r="W583" s="44" t="str">
        <f ca="1">IFERROR(__xludf.DUMMYFUNCTION("""COMPUTED_VALUE"""),"")</f>
        <v/>
      </c>
      <c r="X583" s="19" t="str">
        <f ca="1">IFERROR(__xludf.DUMMYFUNCTION("""COMPUTED_VALUE"""),"")</f>
        <v/>
      </c>
      <c r="Y583" s="19" t="str">
        <f ca="1">IFERROR(__xludf.DUMMYFUNCTION("""COMPUTED_VALUE"""),"")</f>
        <v/>
      </c>
      <c r="Z583" s="21" t="str">
        <f ca="1">IFERROR(__xludf.DUMMYFUNCTION("""COMPUTED_VALUE"""),"")</f>
        <v/>
      </c>
    </row>
    <row r="584" spans="1:26" ht="13" x14ac:dyDescent="0.15">
      <c r="A584" s="5" t="str">
        <f ca="1">IFERROR(__xludf.DUMMYFUNCTION("""COMPUTED_VALUE"""),"")</f>
        <v/>
      </c>
      <c r="B584" s="5" t="str">
        <f ca="1">IFERROR(__xludf.DUMMYFUNCTION("""COMPUTED_VALUE"""),"89750")</f>
        <v>89750</v>
      </c>
      <c r="C584" s="8">
        <f ca="1">IFERROR(__xludf.DUMMYFUNCTION("""COMPUTED_VALUE"""),44608000214)</f>
        <v>44608000214</v>
      </c>
      <c r="D584" s="71" t="str">
        <f ca="1">IFERROR(__xludf.DUMMYFUNCTION("""COMPUTED_VALUE"""),"9698.HK")</f>
        <v>9698.HK</v>
      </c>
      <c r="E584" s="164">
        <f ca="1">IFERROR(__xludf.DUMMYFUNCTION("""COMPUTED_VALUE"""),44608)</f>
        <v>44608</v>
      </c>
      <c r="F584" s="5" t="str">
        <f ca="1">IFERROR(__xludf.DUMMYFUNCTION("""COMPUTED_VALUE"""),"Stock")</f>
        <v>Stock</v>
      </c>
      <c r="G584" s="5" t="str">
        <f ca="1">IFERROR(__xludf.DUMMYFUNCTION("""COMPUTED_VALUE"""),"HKD")</f>
        <v>HKD</v>
      </c>
      <c r="H584" s="19">
        <f ca="1">IFERROR(__xludf.DUMMYFUNCTION("""COMPUTED_VALUE"""),-9500)</f>
        <v>-9500</v>
      </c>
      <c r="I584" s="165">
        <f ca="1">IFERROR(__xludf.DUMMYFUNCTION("""COMPUTED_VALUE"""),1)</f>
        <v>1</v>
      </c>
      <c r="J584" s="20">
        <f ca="1">IFERROR(__xludf.DUMMYFUNCTION("""COMPUTED_VALUE"""),44.5)</f>
        <v>44.5</v>
      </c>
      <c r="K584" s="5"/>
      <c r="L584" s="20">
        <f ca="1">IFERROR(__xludf.DUMMYFUNCTION("""COMPUTED_VALUE"""),39.55)</f>
        <v>39.549999999999997</v>
      </c>
      <c r="M584" s="166" t="str">
        <f ca="1">IFERROR(__xludf.DUMMYFUNCTION("""COMPUTED_VALUE"""),"Equity Key Stats")</f>
        <v>Equity Key Stats</v>
      </c>
      <c r="N584" s="5"/>
      <c r="O584" s="5"/>
      <c r="P584" s="102">
        <f ca="1">IFERROR(__xludf.DUMMYFUNCTION("""COMPUTED_VALUE"""),422750)</f>
        <v>422750</v>
      </c>
      <c r="Q584" s="5"/>
      <c r="R584" s="57">
        <f ca="1">IFERROR(__xludf.DUMMYFUNCTION("""COMPUTED_VALUE"""),40.2)</f>
        <v>40.200000000000003</v>
      </c>
      <c r="S584" s="102">
        <f ca="1">IFERROR(__xludf.DUMMYFUNCTION("""COMPUTED_VALUE"""),-381900)</f>
        <v>-381900</v>
      </c>
      <c r="T584" s="5">
        <f ca="1">IFERROR(__xludf.DUMMYFUNCTION("""COMPUTED_VALUE"""),5)</f>
        <v>5</v>
      </c>
      <c r="U584" s="5" t="str">
        <f ca="1">IFERROR(__xludf.DUMMYFUNCTION("""COMPUTED_VALUE"""),"")</f>
        <v/>
      </c>
      <c r="V584" s="19" t="str">
        <f ca="1">IFERROR(__xludf.DUMMYFUNCTION("""COMPUTED_VALUE"""),"")</f>
        <v/>
      </c>
      <c r="W584" s="8" t="str">
        <f ca="1">IFERROR(__xludf.DUMMYFUNCTION("""COMPUTED_VALUE"""),"")</f>
        <v/>
      </c>
      <c r="X584" s="19" t="str">
        <f ca="1">IFERROR(__xludf.DUMMYFUNCTION("""COMPUTED_VALUE"""),"")</f>
        <v/>
      </c>
      <c r="Y584" s="19" t="str">
        <f ca="1">IFERROR(__xludf.DUMMYFUNCTION("""COMPUTED_VALUE"""),"")</f>
        <v/>
      </c>
      <c r="Z584" s="21" t="str">
        <f ca="1">IFERROR(__xludf.DUMMYFUNCTION("""COMPUTED_VALUE"""),"")</f>
        <v/>
      </c>
    </row>
    <row r="585" spans="1:26" ht="13" x14ac:dyDescent="0.15">
      <c r="A585" s="5" t="str">
        <f ca="1">IFERROR(__xludf.DUMMYFUNCTION("""COMPUTED_VALUE"""),"")</f>
        <v/>
      </c>
      <c r="B585" s="5" t="str">
        <f ca="1">IFERROR(__xludf.DUMMYFUNCTION("""COMPUTED_VALUE"""),"89750")</f>
        <v>89750</v>
      </c>
      <c r="C585" s="8">
        <f ca="1">IFERROR(__xludf.DUMMYFUNCTION("""COMPUTED_VALUE"""),44609000234)</f>
        <v>44609000234</v>
      </c>
      <c r="D585" s="71" t="str">
        <f ca="1">IFERROR(__xludf.DUMMYFUNCTION("""COMPUTED_VALUE"""),"6969.HK")</f>
        <v>6969.HK</v>
      </c>
      <c r="E585" s="164">
        <f ca="1">IFERROR(__xludf.DUMMYFUNCTION("""COMPUTED_VALUE"""),44609)</f>
        <v>44609</v>
      </c>
      <c r="F585" s="5" t="str">
        <f ca="1">IFERROR(__xludf.DUMMYFUNCTION("""COMPUTED_VALUE"""),"Stock")</f>
        <v>Stock</v>
      </c>
      <c r="G585" s="5" t="str">
        <f ca="1">IFERROR(__xludf.DUMMYFUNCTION("""COMPUTED_VALUE"""),"HKD")</f>
        <v>HKD</v>
      </c>
      <c r="H585" s="19">
        <f ca="1">IFERROR(__xludf.DUMMYFUNCTION("""COMPUTED_VALUE"""),1000)</f>
        <v>1000</v>
      </c>
      <c r="I585" s="165">
        <f ca="1">IFERROR(__xludf.DUMMYFUNCTION("""COMPUTED_VALUE"""),1)</f>
        <v>1</v>
      </c>
      <c r="J585" s="20">
        <f ca="1">IFERROR(__xludf.DUMMYFUNCTION("""COMPUTED_VALUE"""),36)</f>
        <v>36</v>
      </c>
      <c r="K585" s="5"/>
      <c r="L585" s="20">
        <f ca="1">IFERROR(__xludf.DUMMYFUNCTION("""COMPUTED_VALUE"""),20.75)</f>
        <v>20.75</v>
      </c>
      <c r="M585" s="166" t="str">
        <f ca="1">IFERROR(__xludf.DUMMYFUNCTION("""COMPUTED_VALUE"""),"Equity Key Stats")</f>
        <v>Equity Key Stats</v>
      </c>
      <c r="N585" s="5"/>
      <c r="O585" s="5"/>
      <c r="P585" s="102">
        <f ca="1">IFERROR(__xludf.DUMMYFUNCTION("""COMPUTED_VALUE"""),-36000)</f>
        <v>-36000</v>
      </c>
      <c r="Q585" s="5"/>
      <c r="R585" s="57">
        <f ca="1">IFERROR(__xludf.DUMMYFUNCTION("""COMPUTED_VALUE"""),20.9)</f>
        <v>20.9</v>
      </c>
      <c r="S585" s="102">
        <f ca="1">IFERROR(__xludf.DUMMYFUNCTION("""COMPUTED_VALUE"""),20900)</f>
        <v>20900</v>
      </c>
      <c r="T585" s="5">
        <f ca="1">IFERROR(__xludf.DUMMYFUNCTION("""COMPUTED_VALUE"""),3)</f>
        <v>3</v>
      </c>
      <c r="U585" s="5" t="str">
        <f ca="1">IFERROR(__xludf.DUMMYFUNCTION("""COMPUTED_VALUE"""),"")</f>
        <v/>
      </c>
      <c r="V585" s="19" t="str">
        <f ca="1">IFERROR(__xludf.DUMMYFUNCTION("""COMPUTED_VALUE"""),"")</f>
        <v/>
      </c>
      <c r="W585" s="8" t="str">
        <f ca="1">IFERROR(__xludf.DUMMYFUNCTION("""COMPUTED_VALUE"""),"")</f>
        <v/>
      </c>
      <c r="X585" s="19" t="str">
        <f ca="1">IFERROR(__xludf.DUMMYFUNCTION("""COMPUTED_VALUE"""),"")</f>
        <v/>
      </c>
      <c r="Y585" s="19" t="str">
        <f ca="1">IFERROR(__xludf.DUMMYFUNCTION("""COMPUTED_VALUE"""),"")</f>
        <v/>
      </c>
      <c r="Z585" s="21" t="str">
        <f ca="1">IFERROR(__xludf.DUMMYFUNCTION("""COMPUTED_VALUE"""),"")</f>
        <v/>
      </c>
    </row>
    <row r="586" spans="1:26" ht="13" x14ac:dyDescent="0.15">
      <c r="A586" s="5" t="str">
        <f ca="1">IFERROR(__xludf.DUMMYFUNCTION("""COMPUTED_VALUE"""),"")</f>
        <v/>
      </c>
      <c r="B586" s="5" t="str">
        <f ca="1">IFERROR(__xludf.DUMMYFUNCTION("""COMPUTED_VALUE"""),"89750")</f>
        <v>89750</v>
      </c>
      <c r="C586" s="8">
        <f ca="1">IFERROR(__xludf.DUMMYFUNCTION("""COMPUTED_VALUE"""),44610000263)</f>
        <v>44610000263</v>
      </c>
      <c r="D586" s="71" t="str">
        <f ca="1">IFERROR(__xludf.DUMMYFUNCTION("""COMPUTED_VALUE"""),"6969.HK")</f>
        <v>6969.HK</v>
      </c>
      <c r="E586" s="164">
        <f ca="1">IFERROR(__xludf.DUMMYFUNCTION("""COMPUTED_VALUE"""),44610)</f>
        <v>44610</v>
      </c>
      <c r="F586" s="5" t="str">
        <f ca="1">IFERROR(__xludf.DUMMYFUNCTION("""COMPUTED_VALUE"""),"Stock")</f>
        <v>Stock</v>
      </c>
      <c r="G586" s="5" t="str">
        <f ca="1">IFERROR(__xludf.DUMMYFUNCTION("""COMPUTED_VALUE"""),"HKD")</f>
        <v>HKD</v>
      </c>
      <c r="H586" s="19">
        <f ca="1">IFERROR(__xludf.DUMMYFUNCTION("""COMPUTED_VALUE"""),1000)</f>
        <v>1000</v>
      </c>
      <c r="I586" s="165">
        <f ca="1">IFERROR(__xludf.DUMMYFUNCTION("""COMPUTED_VALUE"""),1)</f>
        <v>1</v>
      </c>
      <c r="J586" s="20">
        <f ca="1">IFERROR(__xludf.DUMMYFUNCTION("""COMPUTED_VALUE"""),35.5)</f>
        <v>35.5</v>
      </c>
      <c r="K586" s="5"/>
      <c r="L586" s="20">
        <f ca="1">IFERROR(__xludf.DUMMYFUNCTION("""COMPUTED_VALUE"""),20.75)</f>
        <v>20.75</v>
      </c>
      <c r="M586" s="166" t="str">
        <f ca="1">IFERROR(__xludf.DUMMYFUNCTION("""COMPUTED_VALUE"""),"Equity Key Stats")</f>
        <v>Equity Key Stats</v>
      </c>
      <c r="N586" s="5"/>
      <c r="O586" s="5"/>
      <c r="P586" s="102">
        <f ca="1">IFERROR(__xludf.DUMMYFUNCTION("""COMPUTED_VALUE"""),-35500)</f>
        <v>-35500</v>
      </c>
      <c r="Q586" s="5"/>
      <c r="R586" s="57">
        <f ca="1">IFERROR(__xludf.DUMMYFUNCTION("""COMPUTED_VALUE"""),20.9)</f>
        <v>20.9</v>
      </c>
      <c r="S586" s="102">
        <f ca="1">IFERROR(__xludf.DUMMYFUNCTION("""COMPUTED_VALUE"""),20900)</f>
        <v>20900</v>
      </c>
      <c r="T586" s="5">
        <f ca="1">IFERROR(__xludf.DUMMYFUNCTION("""COMPUTED_VALUE"""),3)</f>
        <v>3</v>
      </c>
      <c r="U586" s="5" t="str">
        <f ca="1">IFERROR(__xludf.DUMMYFUNCTION("""COMPUTED_VALUE"""),"")</f>
        <v/>
      </c>
      <c r="V586" s="19" t="str">
        <f ca="1">IFERROR(__xludf.DUMMYFUNCTION("""COMPUTED_VALUE"""),"")</f>
        <v/>
      </c>
      <c r="W586" s="8" t="str">
        <f ca="1">IFERROR(__xludf.DUMMYFUNCTION("""COMPUTED_VALUE"""),"")</f>
        <v/>
      </c>
      <c r="X586" s="19" t="str">
        <f ca="1">IFERROR(__xludf.DUMMYFUNCTION("""COMPUTED_VALUE"""),"")</f>
        <v/>
      </c>
      <c r="Y586" s="19" t="str">
        <f ca="1">IFERROR(__xludf.DUMMYFUNCTION("""COMPUTED_VALUE"""),"")</f>
        <v/>
      </c>
      <c r="Z586" s="21" t="str">
        <f ca="1">IFERROR(__xludf.DUMMYFUNCTION("""COMPUTED_VALUE"""),"")</f>
        <v/>
      </c>
    </row>
    <row r="587" spans="1:26" ht="13" x14ac:dyDescent="0.15">
      <c r="A587" s="5" t="str">
        <f ca="1">IFERROR(__xludf.DUMMYFUNCTION("""COMPUTED_VALUE"""),"")</f>
        <v/>
      </c>
      <c r="B587" s="5" t="str">
        <f ca="1">IFERROR(__xludf.DUMMYFUNCTION("""COMPUTED_VALUE"""),"89750")</f>
        <v>89750</v>
      </c>
      <c r="C587" s="8">
        <f ca="1">IFERROR(__xludf.DUMMYFUNCTION("""COMPUTED_VALUE"""),44610000279)</f>
        <v>44610000279</v>
      </c>
      <c r="D587" s="5" t="str">
        <f ca="1">IFERROR(__xludf.DUMMYFUNCTION("""COMPUTED_VALUE"""),"SOFI")</f>
        <v>SOFI</v>
      </c>
      <c r="E587" s="164">
        <f ca="1">IFERROR(__xludf.DUMMYFUNCTION("""COMPUTED_VALUE"""),44610)</f>
        <v>44610</v>
      </c>
      <c r="F587" s="5" t="str">
        <f ca="1">IFERROR(__xludf.DUMMYFUNCTION("""COMPUTED_VALUE"""),"Stock")</f>
        <v>Stock</v>
      </c>
      <c r="G587" s="5" t="str">
        <f ca="1">IFERROR(__xludf.DUMMYFUNCTION("""COMPUTED_VALUE"""),"USD")</f>
        <v>USD</v>
      </c>
      <c r="H587" s="19">
        <f ca="1">IFERROR(__xludf.DUMMYFUNCTION("""COMPUTED_VALUE"""),50)</f>
        <v>50</v>
      </c>
      <c r="I587" s="165">
        <f ca="1">IFERROR(__xludf.DUMMYFUNCTION("""COMPUTED_VALUE"""),7.80051)</f>
        <v>7.8005100000000001</v>
      </c>
      <c r="J587" s="20">
        <f ca="1">IFERROR(__xludf.DUMMYFUNCTION("""COMPUTED_VALUE"""),11.39)</f>
        <v>11.39</v>
      </c>
      <c r="K587" s="5"/>
      <c r="L587" s="20">
        <f ca="1">IFERROR(__xludf.DUMMYFUNCTION("""COMPUTED_VALUE"""),9.72)</f>
        <v>9.7200000000000006</v>
      </c>
      <c r="M587" s="166" t="str">
        <f ca="1">IFERROR(__xludf.DUMMYFUNCTION("""COMPUTED_VALUE"""),"Equity Key Stats")</f>
        <v>Equity Key Stats</v>
      </c>
      <c r="N587" s="5"/>
      <c r="O587" s="5"/>
      <c r="P587" s="102">
        <f ca="1">IFERROR(__xludf.DUMMYFUNCTION("""COMPUTED_VALUE"""),-4442.390445)</f>
        <v>-4442.390445</v>
      </c>
      <c r="Q587" s="5"/>
      <c r="R587" s="57">
        <f ca="1">IFERROR(__xludf.DUMMYFUNCTION("""COMPUTED_VALUE"""),9.37)</f>
        <v>9.3699999999999992</v>
      </c>
      <c r="S587" s="102">
        <f ca="1">IFERROR(__xludf.DUMMYFUNCTION("""COMPUTED_VALUE"""),3654.538935)</f>
        <v>3654.538935</v>
      </c>
      <c r="T587" s="5">
        <f ca="1">IFERROR(__xludf.DUMMYFUNCTION("""COMPUTED_VALUE"""),4)</f>
        <v>4</v>
      </c>
      <c r="U587" s="5" t="str">
        <f ca="1">IFERROR(__xludf.DUMMYFUNCTION("""COMPUTED_VALUE"""),"")</f>
        <v/>
      </c>
      <c r="V587" s="19" t="str">
        <f ca="1">IFERROR(__xludf.DUMMYFUNCTION("""COMPUTED_VALUE"""),"")</f>
        <v/>
      </c>
      <c r="W587" s="8" t="str">
        <f ca="1">IFERROR(__xludf.DUMMYFUNCTION("""COMPUTED_VALUE"""),"")</f>
        <v/>
      </c>
      <c r="X587" s="19" t="str">
        <f ca="1">IFERROR(__xludf.DUMMYFUNCTION("""COMPUTED_VALUE"""),"")</f>
        <v/>
      </c>
      <c r="Y587" s="19" t="str">
        <f ca="1">IFERROR(__xludf.DUMMYFUNCTION("""COMPUTED_VALUE"""),"")</f>
        <v/>
      </c>
      <c r="Z587" s="21" t="str">
        <f ca="1">IFERROR(__xludf.DUMMYFUNCTION("""COMPUTED_VALUE"""),"")</f>
        <v/>
      </c>
    </row>
    <row r="588" spans="1:26" ht="13" x14ac:dyDescent="0.15">
      <c r="A588" s="5" t="str">
        <f ca="1">IFERROR(__xludf.DUMMYFUNCTION("""COMPUTED_VALUE"""),"")</f>
        <v/>
      </c>
      <c r="B588" s="5" t="str">
        <f ca="1">IFERROR(__xludf.DUMMYFUNCTION("""COMPUTED_VALUE"""),"89750")</f>
        <v>89750</v>
      </c>
      <c r="C588" s="8">
        <f ca="1">IFERROR(__xludf.DUMMYFUNCTION("""COMPUTED_VALUE"""),44610000280)</f>
        <v>44610000280</v>
      </c>
      <c r="D588" s="5" t="str">
        <f ca="1">IFERROR(__xludf.DUMMYFUNCTION("""COMPUTED_VALUE"""),"UVXY")</f>
        <v>UVXY</v>
      </c>
      <c r="E588" s="164">
        <f ca="1">IFERROR(__xludf.DUMMYFUNCTION("""COMPUTED_VALUE"""),44610)</f>
        <v>44610</v>
      </c>
      <c r="F588" s="5" t="str">
        <f ca="1">IFERROR(__xludf.DUMMYFUNCTION("""COMPUTED_VALUE"""),"Stock")</f>
        <v>Stock</v>
      </c>
      <c r="G588" s="5" t="str">
        <f ca="1">IFERROR(__xludf.DUMMYFUNCTION("""COMPUTED_VALUE"""),"USD")</f>
        <v>USD</v>
      </c>
      <c r="H588" s="19">
        <f ca="1">IFERROR(__xludf.DUMMYFUNCTION("""COMPUTED_VALUE"""),-450)</f>
        <v>-450</v>
      </c>
      <c r="I588" s="165">
        <f ca="1">IFERROR(__xludf.DUMMYFUNCTION("""COMPUTED_VALUE"""),7.80051)</f>
        <v>7.8005100000000001</v>
      </c>
      <c r="J588" s="20">
        <f ca="1">IFERROR(__xludf.DUMMYFUNCTION("""COMPUTED_VALUE"""),17.005)</f>
        <v>17.004999999999999</v>
      </c>
      <c r="K588" s="5"/>
      <c r="L588" s="20">
        <f ca="1">IFERROR(__xludf.DUMMYFUNCTION("""COMPUTED_VALUE"""),14.72)</f>
        <v>14.72</v>
      </c>
      <c r="M588" s="166" t="str">
        <f ca="1">IFERROR(__xludf.DUMMYFUNCTION("""COMPUTED_VALUE"""),"Equity Key Stats")</f>
        <v>Equity Key Stats</v>
      </c>
      <c r="N588" s="5"/>
      <c r="O588" s="5"/>
      <c r="P588" s="102">
        <f ca="1">IFERROR(__xludf.DUMMYFUNCTION("""COMPUTED_VALUE"""),59691.4526474999)</f>
        <v>59691.4526474999</v>
      </c>
      <c r="Q588" s="5"/>
      <c r="R588" s="57">
        <f ca="1">IFERROR(__xludf.DUMMYFUNCTION("""COMPUTED_VALUE"""),14.65)</f>
        <v>14.65</v>
      </c>
      <c r="S588" s="102">
        <f ca="1">IFERROR(__xludf.DUMMYFUNCTION("""COMPUTED_VALUE"""),-51424.862175)</f>
        <v>-51424.862175000002</v>
      </c>
      <c r="T588" s="5">
        <f ca="1">IFERROR(__xludf.DUMMYFUNCTION("""COMPUTED_VALUE"""),3)</f>
        <v>3</v>
      </c>
      <c r="U588" s="5" t="str">
        <f ca="1">IFERROR(__xludf.DUMMYFUNCTION("""COMPUTED_VALUE"""),"")</f>
        <v/>
      </c>
      <c r="V588" s="19" t="str">
        <f ca="1">IFERROR(__xludf.DUMMYFUNCTION("""COMPUTED_VALUE"""),"")</f>
        <v/>
      </c>
      <c r="W588" s="8" t="str">
        <f ca="1">IFERROR(__xludf.DUMMYFUNCTION("""COMPUTED_VALUE"""),"")</f>
        <v/>
      </c>
      <c r="X588" s="19" t="str">
        <f ca="1">IFERROR(__xludf.DUMMYFUNCTION("""COMPUTED_VALUE"""),"")</f>
        <v/>
      </c>
      <c r="Y588" s="19" t="str">
        <f ca="1">IFERROR(__xludf.DUMMYFUNCTION("""COMPUTED_VALUE"""),"")</f>
        <v/>
      </c>
      <c r="Z588" s="21" t="str">
        <f ca="1">IFERROR(__xludf.DUMMYFUNCTION("""COMPUTED_VALUE"""),"")</f>
        <v/>
      </c>
    </row>
    <row r="589" spans="1:26" ht="13" x14ac:dyDescent="0.15">
      <c r="A589" s="5" t="str">
        <f ca="1">IFERROR(__xludf.DUMMYFUNCTION("""COMPUTED_VALUE"""),"")</f>
        <v/>
      </c>
      <c r="B589" s="5" t="str">
        <f ca="1">IFERROR(__xludf.DUMMYFUNCTION("""COMPUTED_VALUE"""),"89750")</f>
        <v>89750</v>
      </c>
      <c r="C589" s="8">
        <f ca="1">IFERROR(__xludf.DUMMYFUNCTION("""COMPUTED_VALUE"""),44610000281)</f>
        <v>44610000281</v>
      </c>
      <c r="D589" s="5" t="str">
        <f ca="1">IFERROR(__xludf.DUMMYFUNCTION("""COMPUTED_VALUE"""),"SOXL")</f>
        <v>SOXL</v>
      </c>
      <c r="E589" s="164">
        <f ca="1">IFERROR(__xludf.DUMMYFUNCTION("""COMPUTED_VALUE"""),44610)</f>
        <v>44610</v>
      </c>
      <c r="F589" s="5" t="str">
        <f ca="1">IFERROR(__xludf.DUMMYFUNCTION("""COMPUTED_VALUE"""),"Stock")</f>
        <v>Stock</v>
      </c>
      <c r="G589" s="5" t="str">
        <f ca="1">IFERROR(__xludf.DUMMYFUNCTION("""COMPUTED_VALUE"""),"USD")</f>
        <v>USD</v>
      </c>
      <c r="H589" s="19">
        <f ca="1">IFERROR(__xludf.DUMMYFUNCTION("""COMPUTED_VALUE"""),20)</f>
        <v>20</v>
      </c>
      <c r="I589" s="165">
        <f ca="1">IFERROR(__xludf.DUMMYFUNCTION("""COMPUTED_VALUE"""),7.80051)</f>
        <v>7.8005100000000001</v>
      </c>
      <c r="J589" s="20">
        <f ca="1">IFERROR(__xludf.DUMMYFUNCTION("""COMPUTED_VALUE"""),39.63)</f>
        <v>39.630000000000003</v>
      </c>
      <c r="K589" s="5"/>
      <c r="L589" s="20">
        <f ca="1">IFERROR(__xludf.DUMMYFUNCTION("""COMPUTED_VALUE"""),39.59)</f>
        <v>39.590000000000003</v>
      </c>
      <c r="M589" s="166" t="str">
        <f ca="1">IFERROR(__xludf.DUMMYFUNCTION("""COMPUTED_VALUE"""),"Equity Key Stats")</f>
        <v>Equity Key Stats</v>
      </c>
      <c r="N589" s="5"/>
      <c r="O589" s="5"/>
      <c r="P589" s="102">
        <f ca="1">IFERROR(__xludf.DUMMYFUNCTION("""COMPUTED_VALUE"""),-6182.684226)</f>
        <v>-6182.6842260000003</v>
      </c>
      <c r="Q589" s="5"/>
      <c r="R589" s="57">
        <f ca="1">IFERROR(__xludf.DUMMYFUNCTION("""COMPUTED_VALUE"""),36.69)</f>
        <v>36.69</v>
      </c>
      <c r="S589" s="102">
        <f ca="1">IFERROR(__xludf.DUMMYFUNCTION("""COMPUTED_VALUE"""),5724.014238)</f>
        <v>5724.0142379999998</v>
      </c>
      <c r="T589" s="5">
        <f ca="1">IFERROR(__xludf.DUMMYFUNCTION("""COMPUTED_VALUE"""),4)</f>
        <v>4</v>
      </c>
      <c r="U589" s="5" t="str">
        <f ca="1">IFERROR(__xludf.DUMMYFUNCTION("""COMPUTED_VALUE"""),"")</f>
        <v/>
      </c>
      <c r="V589" s="19" t="str">
        <f ca="1">IFERROR(__xludf.DUMMYFUNCTION("""COMPUTED_VALUE"""),"")</f>
        <v/>
      </c>
      <c r="W589" s="8" t="str">
        <f ca="1">IFERROR(__xludf.DUMMYFUNCTION("""COMPUTED_VALUE"""),"")</f>
        <v/>
      </c>
      <c r="X589" s="19" t="str">
        <f ca="1">IFERROR(__xludf.DUMMYFUNCTION("""COMPUTED_VALUE"""),"")</f>
        <v/>
      </c>
      <c r="Y589" s="19" t="str">
        <f ca="1">IFERROR(__xludf.DUMMYFUNCTION("""COMPUTED_VALUE"""),"")</f>
        <v/>
      </c>
      <c r="Z589" s="21" t="str">
        <f ca="1">IFERROR(__xludf.DUMMYFUNCTION("""COMPUTED_VALUE"""),"")</f>
        <v/>
      </c>
    </row>
    <row r="590" spans="1:26" ht="13" x14ac:dyDescent="0.15">
      <c r="A590" s="5" t="str">
        <f ca="1">IFERROR(__xludf.DUMMYFUNCTION("""COMPUTED_VALUE"""),"")</f>
        <v/>
      </c>
      <c r="B590" s="5" t="str">
        <f ca="1">IFERROR(__xludf.DUMMYFUNCTION("""COMPUTED_VALUE"""),"89750")</f>
        <v>89750</v>
      </c>
      <c r="C590" s="8">
        <f ca="1">IFERROR(__xludf.DUMMYFUNCTION("""COMPUTED_VALUE"""),44613000295)</f>
        <v>44613000295</v>
      </c>
      <c r="D590" s="71" t="str">
        <f ca="1">IFERROR(__xludf.DUMMYFUNCTION("""COMPUTED_VALUE"""),"9698.HK")</f>
        <v>9698.HK</v>
      </c>
      <c r="E590" s="164">
        <f ca="1">IFERROR(__xludf.DUMMYFUNCTION("""COMPUTED_VALUE"""),44613)</f>
        <v>44613</v>
      </c>
      <c r="F590" s="5" t="str">
        <f ca="1">IFERROR(__xludf.DUMMYFUNCTION("""COMPUTED_VALUE"""),"Stock")</f>
        <v>Stock</v>
      </c>
      <c r="G590" s="5" t="str">
        <f ca="1">IFERROR(__xludf.DUMMYFUNCTION("""COMPUTED_VALUE"""),"HKD")</f>
        <v>HKD</v>
      </c>
      <c r="H590" s="19">
        <f ca="1">IFERROR(__xludf.DUMMYFUNCTION("""COMPUTED_VALUE"""),1500)</f>
        <v>1500</v>
      </c>
      <c r="I590" s="165">
        <f ca="1">IFERROR(__xludf.DUMMYFUNCTION("""COMPUTED_VALUE"""),1)</f>
        <v>1</v>
      </c>
      <c r="J590" s="20">
        <f ca="1">IFERROR(__xludf.DUMMYFUNCTION("""COMPUTED_VALUE"""),42.25)</f>
        <v>42.25</v>
      </c>
      <c r="K590" s="5"/>
      <c r="L590" s="20">
        <f ca="1">IFERROR(__xludf.DUMMYFUNCTION("""COMPUTED_VALUE"""),39.55)</f>
        <v>39.549999999999997</v>
      </c>
      <c r="M590" s="166" t="str">
        <f ca="1">IFERROR(__xludf.DUMMYFUNCTION("""COMPUTED_VALUE"""),"Equity Key Stats")</f>
        <v>Equity Key Stats</v>
      </c>
      <c r="N590" s="5"/>
      <c r="O590" s="5"/>
      <c r="P590" s="102">
        <f ca="1">IFERROR(__xludf.DUMMYFUNCTION("""COMPUTED_VALUE"""),-63375)</f>
        <v>-63375</v>
      </c>
      <c r="Q590" s="5"/>
      <c r="R590" s="57">
        <f ca="1">IFERROR(__xludf.DUMMYFUNCTION("""COMPUTED_VALUE"""),40.2)</f>
        <v>40.200000000000003</v>
      </c>
      <c r="S590" s="102">
        <f ca="1">IFERROR(__xludf.DUMMYFUNCTION("""COMPUTED_VALUE"""),60300)</f>
        <v>60300</v>
      </c>
      <c r="T590" s="5">
        <f ca="1">IFERROR(__xludf.DUMMYFUNCTION("""COMPUTED_VALUE"""),5)</f>
        <v>5</v>
      </c>
      <c r="U590" s="5" t="str">
        <f ca="1">IFERROR(__xludf.DUMMYFUNCTION("""COMPUTED_VALUE"""),"")</f>
        <v/>
      </c>
      <c r="V590" s="19" t="str">
        <f ca="1">IFERROR(__xludf.DUMMYFUNCTION("""COMPUTED_VALUE"""),"")</f>
        <v/>
      </c>
      <c r="W590" s="8" t="str">
        <f ca="1">IFERROR(__xludf.DUMMYFUNCTION("""COMPUTED_VALUE"""),"")</f>
        <v/>
      </c>
      <c r="X590" s="19" t="str">
        <f ca="1">IFERROR(__xludf.DUMMYFUNCTION("""COMPUTED_VALUE"""),"")</f>
        <v/>
      </c>
      <c r="Y590" s="19" t="str">
        <f ca="1">IFERROR(__xludf.DUMMYFUNCTION("""COMPUTED_VALUE"""),"")</f>
        <v/>
      </c>
      <c r="Z590" s="21" t="str">
        <f ca="1">IFERROR(__xludf.DUMMYFUNCTION("""COMPUTED_VALUE"""),"")</f>
        <v/>
      </c>
    </row>
    <row r="591" spans="1:26" ht="13" x14ac:dyDescent="0.15">
      <c r="A591" s="5" t="str">
        <f ca="1">IFERROR(__xludf.DUMMYFUNCTION("""COMPUTED_VALUE"""),"")</f>
        <v/>
      </c>
      <c r="B591" s="5" t="str">
        <f ca="1">IFERROR(__xludf.DUMMYFUNCTION("""COMPUTED_VALUE"""),"89750")</f>
        <v>89750</v>
      </c>
      <c r="C591" s="8">
        <f ca="1">IFERROR(__xludf.DUMMYFUNCTION("""COMPUTED_VALUE"""),44614000296)</f>
        <v>44614000296</v>
      </c>
      <c r="D591" s="5" t="str">
        <f ca="1">IFERROR(__xludf.DUMMYFUNCTION("""COMPUTED_VALUE"""),"UVXY")</f>
        <v>UVXY</v>
      </c>
      <c r="E591" s="164">
        <f ca="1">IFERROR(__xludf.DUMMYFUNCTION("""COMPUTED_VALUE"""),44614)</f>
        <v>44614</v>
      </c>
      <c r="F591" s="5" t="str">
        <f ca="1">IFERROR(__xludf.DUMMYFUNCTION("""COMPUTED_VALUE"""),"Stock")</f>
        <v>Stock</v>
      </c>
      <c r="G591" s="5" t="str">
        <f ca="1">IFERROR(__xludf.DUMMYFUNCTION("""COMPUTED_VALUE"""),"USD")</f>
        <v>USD</v>
      </c>
      <c r="H591" s="19">
        <f ca="1">IFERROR(__xludf.DUMMYFUNCTION("""COMPUTED_VALUE"""),-50)</f>
        <v>-50</v>
      </c>
      <c r="I591" s="165">
        <f ca="1">IFERROR(__xludf.DUMMYFUNCTION("""COMPUTED_VALUE"""),7.80175)</f>
        <v>7.8017500000000002</v>
      </c>
      <c r="J591" s="20">
        <f ca="1">IFERROR(__xludf.DUMMYFUNCTION("""COMPUTED_VALUE"""),16.82)</f>
        <v>16.82</v>
      </c>
      <c r="K591" s="5"/>
      <c r="L591" s="20">
        <f ca="1">IFERROR(__xludf.DUMMYFUNCTION("""COMPUTED_VALUE"""),14.72)</f>
        <v>14.72</v>
      </c>
      <c r="M591" s="166" t="str">
        <f ca="1">IFERROR(__xludf.DUMMYFUNCTION("""COMPUTED_VALUE"""),"Equity Key Stats")</f>
        <v>Equity Key Stats</v>
      </c>
      <c r="N591" s="5"/>
      <c r="O591" s="5"/>
      <c r="P591" s="102">
        <f ca="1">IFERROR(__xludf.DUMMYFUNCTION("""COMPUTED_VALUE"""),6561.27175)</f>
        <v>6561.2717499999999</v>
      </c>
      <c r="Q591" s="5"/>
      <c r="R591" s="57">
        <f ca="1">IFERROR(__xludf.DUMMYFUNCTION("""COMPUTED_VALUE"""),14.65)</f>
        <v>14.65</v>
      </c>
      <c r="S591" s="102">
        <f ca="1">IFERROR(__xludf.DUMMYFUNCTION("""COMPUTED_VALUE"""),-5714.781875)</f>
        <v>-5714.7818749999997</v>
      </c>
      <c r="T591" s="5">
        <f ca="1">IFERROR(__xludf.DUMMYFUNCTION("""COMPUTED_VALUE"""),3)</f>
        <v>3</v>
      </c>
      <c r="U591" s="5">
        <f ca="1">IFERROR(__xludf.DUMMYFUNCTION("""COMPUTED_VALUE"""),1)</f>
        <v>1</v>
      </c>
      <c r="V591" s="19">
        <f ca="1">IFERROR(__xludf.DUMMYFUNCTION("""COMPUTED_VALUE"""),8176.91774749999)</f>
        <v>8176.9177474999897</v>
      </c>
      <c r="W591" s="8" t="str">
        <f ca="1">IFERROR(__xludf.DUMMYFUNCTION("""COMPUTED_VALUE"""),"")</f>
        <v/>
      </c>
      <c r="X591" s="19" t="str">
        <f ca="1">IFERROR(__xludf.DUMMYFUNCTION("""COMPUTED_VALUE"""),"")</f>
        <v/>
      </c>
      <c r="Y591" s="19" t="str">
        <f ca="1">IFERROR(__xludf.DUMMYFUNCTION("""COMPUTED_VALUE"""),"")</f>
        <v/>
      </c>
      <c r="Z591" s="21" t="str">
        <f ca="1">IFERROR(__xludf.DUMMYFUNCTION("""COMPUTED_VALUE"""),"")</f>
        <v/>
      </c>
    </row>
    <row r="592" spans="1:26" ht="13" x14ac:dyDescent="0.15">
      <c r="A592" s="5" t="str">
        <f ca="1">IFERROR(__xludf.DUMMYFUNCTION("""COMPUTED_VALUE"""),"")</f>
        <v/>
      </c>
      <c r="B592" s="5" t="str">
        <f ca="1">IFERROR(__xludf.DUMMYFUNCTION("""COMPUTED_VALUE"""),"89750")</f>
        <v>89750</v>
      </c>
      <c r="C592" s="8">
        <f ca="1">IFERROR(__xludf.DUMMYFUNCTION("""COMPUTED_VALUE"""),44614000297)</f>
        <v>44614000297</v>
      </c>
      <c r="D592" s="5" t="str">
        <f ca="1">IFERROR(__xludf.DUMMYFUNCTION("""COMPUTED_VALUE"""),"SOFI")</f>
        <v>SOFI</v>
      </c>
      <c r="E592" s="164">
        <f ca="1">IFERROR(__xludf.DUMMYFUNCTION("""COMPUTED_VALUE"""),44614)</f>
        <v>44614</v>
      </c>
      <c r="F592" s="5" t="str">
        <f ca="1">IFERROR(__xludf.DUMMYFUNCTION("""COMPUTED_VALUE"""),"Stock")</f>
        <v>Stock</v>
      </c>
      <c r="G592" s="5" t="str">
        <f ca="1">IFERROR(__xludf.DUMMYFUNCTION("""COMPUTED_VALUE"""),"USD")</f>
        <v>USD</v>
      </c>
      <c r="H592" s="19">
        <f ca="1">IFERROR(__xludf.DUMMYFUNCTION("""COMPUTED_VALUE"""),20)</f>
        <v>20</v>
      </c>
      <c r="I592" s="165">
        <f ca="1">IFERROR(__xludf.DUMMYFUNCTION("""COMPUTED_VALUE"""),7.80175)</f>
        <v>7.8017500000000002</v>
      </c>
      <c r="J592" s="20">
        <f ca="1">IFERROR(__xludf.DUMMYFUNCTION("""COMPUTED_VALUE"""),10.26)</f>
        <v>10.26</v>
      </c>
      <c r="K592" s="5"/>
      <c r="L592" s="20">
        <f ca="1">IFERROR(__xludf.DUMMYFUNCTION("""COMPUTED_VALUE"""),9.72)</f>
        <v>9.7200000000000006</v>
      </c>
      <c r="M592" s="166" t="str">
        <f ca="1">IFERROR(__xludf.DUMMYFUNCTION("""COMPUTED_VALUE"""),"Equity Key Stats")</f>
        <v>Equity Key Stats</v>
      </c>
      <c r="N592" s="5"/>
      <c r="O592" s="5"/>
      <c r="P592" s="102">
        <f ca="1">IFERROR(__xludf.DUMMYFUNCTION("""COMPUTED_VALUE"""),-1600.91909999999)</f>
        <v>-1600.9190999999901</v>
      </c>
      <c r="Q592" s="5"/>
      <c r="R592" s="57">
        <f ca="1">IFERROR(__xludf.DUMMYFUNCTION("""COMPUTED_VALUE"""),9.37)</f>
        <v>9.3699999999999992</v>
      </c>
      <c r="S592" s="102">
        <f ca="1">IFERROR(__xludf.DUMMYFUNCTION("""COMPUTED_VALUE"""),1462.04795)</f>
        <v>1462.0479499999999</v>
      </c>
      <c r="T592" s="5">
        <f ca="1">IFERROR(__xludf.DUMMYFUNCTION("""COMPUTED_VALUE"""),4)</f>
        <v>4</v>
      </c>
      <c r="U592" s="5" t="str">
        <f ca="1">IFERROR(__xludf.DUMMYFUNCTION("""COMPUTED_VALUE"""),"")</f>
        <v/>
      </c>
      <c r="V592" s="19" t="str">
        <f ca="1">IFERROR(__xludf.DUMMYFUNCTION("""COMPUTED_VALUE"""),"")</f>
        <v/>
      </c>
      <c r="W592" s="8" t="str">
        <f ca="1">IFERROR(__xludf.DUMMYFUNCTION("""COMPUTED_VALUE"""),"")</f>
        <v/>
      </c>
      <c r="X592" s="19" t="str">
        <f ca="1">IFERROR(__xludf.DUMMYFUNCTION("""COMPUTED_VALUE"""),"")</f>
        <v/>
      </c>
      <c r="Y592" s="19" t="str">
        <f ca="1">IFERROR(__xludf.DUMMYFUNCTION("""COMPUTED_VALUE"""),"")</f>
        <v/>
      </c>
      <c r="Z592" s="21" t="str">
        <f ca="1">IFERROR(__xludf.DUMMYFUNCTION("""COMPUTED_VALUE"""),"")</f>
        <v/>
      </c>
    </row>
    <row r="593" spans="1:26" ht="13" x14ac:dyDescent="0.15">
      <c r="A593" s="5" t="str">
        <f ca="1">IFERROR(__xludf.DUMMYFUNCTION("""COMPUTED_VALUE"""),"")</f>
        <v/>
      </c>
      <c r="B593" s="5" t="str">
        <f ca="1">IFERROR(__xludf.DUMMYFUNCTION("""COMPUTED_VALUE"""),"89750")</f>
        <v>89750</v>
      </c>
      <c r="C593" s="8">
        <f ca="1">IFERROR(__xludf.DUMMYFUNCTION("""COMPUTED_VALUE"""),44614000298)</f>
        <v>44614000298</v>
      </c>
      <c r="D593" s="5" t="str">
        <f ca="1">IFERROR(__xludf.DUMMYFUNCTION("""COMPUTED_VALUE"""),"NU")</f>
        <v>NU</v>
      </c>
      <c r="E593" s="164">
        <f ca="1">IFERROR(__xludf.DUMMYFUNCTION("""COMPUTED_VALUE"""),44614)</f>
        <v>44614</v>
      </c>
      <c r="F593" s="5" t="str">
        <f ca="1">IFERROR(__xludf.DUMMYFUNCTION("""COMPUTED_VALUE"""),"Stock")</f>
        <v>Stock</v>
      </c>
      <c r="G593" s="5" t="str">
        <f ca="1">IFERROR(__xludf.DUMMYFUNCTION("""COMPUTED_VALUE"""),"USD")</f>
        <v>USD</v>
      </c>
      <c r="H593" s="19">
        <f ca="1">IFERROR(__xludf.DUMMYFUNCTION("""COMPUTED_VALUE"""),20)</f>
        <v>20</v>
      </c>
      <c r="I593" s="165">
        <f ca="1">IFERROR(__xludf.DUMMYFUNCTION("""COMPUTED_VALUE"""),7.80175)</f>
        <v>7.8017500000000002</v>
      </c>
      <c r="J593" s="20">
        <f ca="1">IFERROR(__xludf.DUMMYFUNCTION("""COMPUTED_VALUE"""),8.8)</f>
        <v>8.8000000000000007</v>
      </c>
      <c r="K593" s="5"/>
      <c r="L593" s="20">
        <f ca="1">IFERROR(__xludf.DUMMYFUNCTION("""COMPUTED_VALUE"""),8.02)</f>
        <v>8.02</v>
      </c>
      <c r="M593" s="166" t="str">
        <f ca="1">IFERROR(__xludf.DUMMYFUNCTION("""COMPUTED_VALUE"""),"Equity Key Stats")</f>
        <v>Equity Key Stats</v>
      </c>
      <c r="N593" s="5"/>
      <c r="O593" s="5"/>
      <c r="P593" s="102">
        <f ca="1">IFERROR(__xludf.DUMMYFUNCTION("""COMPUTED_VALUE"""),-1373.108)</f>
        <v>-1373.1079999999999</v>
      </c>
      <c r="Q593" s="5"/>
      <c r="R593" s="57">
        <f ca="1">IFERROR(__xludf.DUMMYFUNCTION("""COMPUTED_VALUE"""),7.91)</f>
        <v>7.91</v>
      </c>
      <c r="S593" s="102">
        <f ca="1">IFERROR(__xludf.DUMMYFUNCTION("""COMPUTED_VALUE"""),1234.23685)</f>
        <v>1234.23685</v>
      </c>
      <c r="T593" s="5">
        <f ca="1">IFERROR(__xludf.DUMMYFUNCTION("""COMPUTED_VALUE"""),3)</f>
        <v>3</v>
      </c>
      <c r="U593" s="5" t="str">
        <f ca="1">IFERROR(__xludf.DUMMYFUNCTION("""COMPUTED_VALUE"""),"")</f>
        <v/>
      </c>
      <c r="V593" s="19" t="str">
        <f ca="1">IFERROR(__xludf.DUMMYFUNCTION("""COMPUTED_VALUE"""),"")</f>
        <v/>
      </c>
      <c r="W593" s="8" t="str">
        <f ca="1">IFERROR(__xludf.DUMMYFUNCTION("""COMPUTED_VALUE"""),"")</f>
        <v/>
      </c>
      <c r="X593" s="19" t="str">
        <f ca="1">IFERROR(__xludf.DUMMYFUNCTION("""COMPUTED_VALUE"""),"")</f>
        <v/>
      </c>
      <c r="Y593" s="19" t="str">
        <f ca="1">IFERROR(__xludf.DUMMYFUNCTION("""COMPUTED_VALUE"""),"")</f>
        <v/>
      </c>
      <c r="Z593" s="21" t="str">
        <f ca="1">IFERROR(__xludf.DUMMYFUNCTION("""COMPUTED_VALUE"""),"")</f>
        <v/>
      </c>
    </row>
    <row r="594" spans="1:26" ht="13" x14ac:dyDescent="0.15">
      <c r="A594" s="5" t="str">
        <f ca="1">IFERROR(__xludf.DUMMYFUNCTION("""COMPUTED_VALUE"""),"")</f>
        <v/>
      </c>
      <c r="B594" s="5" t="str">
        <f ca="1">IFERROR(__xludf.DUMMYFUNCTION("""COMPUTED_VALUE"""),"89750")</f>
        <v>89750</v>
      </c>
      <c r="C594" s="8">
        <f ca="1">IFERROR(__xludf.DUMMYFUNCTION("""COMPUTED_VALUE"""),44614000299)</f>
        <v>44614000299</v>
      </c>
      <c r="D594" s="5" t="str">
        <f ca="1">IFERROR(__xludf.DUMMYFUNCTION("""COMPUTED_VALUE"""),"YINN")</f>
        <v>YINN</v>
      </c>
      <c r="E594" s="164">
        <f ca="1">IFERROR(__xludf.DUMMYFUNCTION("""COMPUTED_VALUE"""),44614)</f>
        <v>44614</v>
      </c>
      <c r="F594" s="5" t="str">
        <f ca="1">IFERROR(__xludf.DUMMYFUNCTION("""COMPUTED_VALUE"""),"Stock")</f>
        <v>Stock</v>
      </c>
      <c r="G594" s="5" t="str">
        <f ca="1">IFERROR(__xludf.DUMMYFUNCTION("""COMPUTED_VALUE"""),"USD")</f>
        <v>USD</v>
      </c>
      <c r="H594" s="19">
        <f ca="1">IFERROR(__xludf.DUMMYFUNCTION("""COMPUTED_VALUE"""),50)</f>
        <v>50</v>
      </c>
      <c r="I594" s="165">
        <f ca="1">IFERROR(__xludf.DUMMYFUNCTION("""COMPUTED_VALUE"""),7.80175)</f>
        <v>7.8017500000000002</v>
      </c>
      <c r="J594" s="20">
        <f ca="1">IFERROR(__xludf.DUMMYFUNCTION("""COMPUTED_VALUE"""),7.5)</f>
        <v>7.5</v>
      </c>
      <c r="K594" s="5"/>
      <c r="L594" s="20">
        <f ca="1">IFERROR(__xludf.DUMMYFUNCTION("""COMPUTED_VALUE"""),5.15)</f>
        <v>5.15</v>
      </c>
      <c r="M594" s="166" t="str">
        <f ca="1">IFERROR(__xludf.DUMMYFUNCTION("""COMPUTED_VALUE"""),"Equity Key Stats")</f>
        <v>Equity Key Stats</v>
      </c>
      <c r="N594" s="5"/>
      <c r="O594" s="5"/>
      <c r="P594" s="102">
        <f ca="1">IFERROR(__xludf.DUMMYFUNCTION("""COMPUTED_VALUE"""),-2925.65625)</f>
        <v>-2925.65625</v>
      </c>
      <c r="Q594" s="5"/>
      <c r="R594" s="57">
        <f ca="1">IFERROR(__xludf.DUMMYFUNCTION("""COMPUTED_VALUE"""),5.09)</f>
        <v>5.09</v>
      </c>
      <c r="S594" s="102">
        <f ca="1">IFERROR(__xludf.DUMMYFUNCTION("""COMPUTED_VALUE"""),1985.545375)</f>
        <v>1985.5453749999999</v>
      </c>
      <c r="T594" s="5">
        <f ca="1">IFERROR(__xludf.DUMMYFUNCTION("""COMPUTED_VALUE"""),3)</f>
        <v>3</v>
      </c>
      <c r="U594" s="5" t="str">
        <f ca="1">IFERROR(__xludf.DUMMYFUNCTION("""COMPUTED_VALUE"""),"")</f>
        <v/>
      </c>
      <c r="V594" s="19" t="str">
        <f ca="1">IFERROR(__xludf.DUMMYFUNCTION("""COMPUTED_VALUE"""),"")</f>
        <v/>
      </c>
      <c r="W594" s="8" t="str">
        <f ca="1">IFERROR(__xludf.DUMMYFUNCTION("""COMPUTED_VALUE"""),"")</f>
        <v/>
      </c>
      <c r="X594" s="19" t="str">
        <f ca="1">IFERROR(__xludf.DUMMYFUNCTION("""COMPUTED_VALUE"""),"")</f>
        <v/>
      </c>
      <c r="Y594" s="19" t="str">
        <f ca="1">IFERROR(__xludf.DUMMYFUNCTION("""COMPUTED_VALUE"""),"")</f>
        <v/>
      </c>
      <c r="Z594" s="21" t="str">
        <f ca="1">IFERROR(__xludf.DUMMYFUNCTION("""COMPUTED_VALUE"""),"")</f>
        <v/>
      </c>
    </row>
    <row r="595" spans="1:26" ht="13" x14ac:dyDescent="0.15">
      <c r="A595" s="5" t="str">
        <f ca="1">IFERROR(__xludf.DUMMYFUNCTION("""COMPUTED_VALUE"""),"")</f>
        <v/>
      </c>
      <c r="B595" s="5" t="str">
        <f ca="1">IFERROR(__xludf.DUMMYFUNCTION("""COMPUTED_VALUE"""),"89750")</f>
        <v>89750</v>
      </c>
      <c r="C595" s="8">
        <f ca="1">IFERROR(__xludf.DUMMYFUNCTION("""COMPUTED_VALUE"""),44614000300)</f>
        <v>44614000300</v>
      </c>
      <c r="D595" s="5" t="str">
        <f ca="1">IFERROR(__xludf.DUMMYFUNCTION("""COMPUTED_VALUE"""),"FUTU220225C00041500")</f>
        <v>FUTU220225C00041500</v>
      </c>
      <c r="E595" s="164">
        <f ca="1">IFERROR(__xludf.DUMMYFUNCTION("""COMPUTED_VALUE"""),44614)</f>
        <v>44614</v>
      </c>
      <c r="F595" s="5" t="str">
        <f ca="1">IFERROR(__xludf.DUMMYFUNCTION("""COMPUTED_VALUE"""),"Option")</f>
        <v>Option</v>
      </c>
      <c r="G595" s="5" t="str">
        <f ca="1">IFERROR(__xludf.DUMMYFUNCTION("""COMPUTED_VALUE"""),"USD")</f>
        <v>USD</v>
      </c>
      <c r="H595" s="19">
        <f ca="1">IFERROR(__xludf.DUMMYFUNCTION("""COMPUTED_VALUE"""),100)</f>
        <v>100</v>
      </c>
      <c r="I595" s="165">
        <f ca="1">IFERROR(__xludf.DUMMYFUNCTION("""COMPUTED_VALUE"""),7.80175)</f>
        <v>7.8017500000000002</v>
      </c>
      <c r="J595" s="20">
        <f ca="1">IFERROR(__xludf.DUMMYFUNCTION("""COMPUTED_VALUE"""),1.3)</f>
        <v>1.3</v>
      </c>
      <c r="K595" s="5"/>
      <c r="L595" s="20">
        <f ca="1">IFERROR(__xludf.DUMMYFUNCTION("""COMPUTED_VALUE"""),0)</f>
        <v>0</v>
      </c>
      <c r="M595" s="22" t="str">
        <f ca="1">IFERROR(__xludf.DUMMYFUNCTION("""COMPUTED_VALUE"""),"")</f>
        <v/>
      </c>
      <c r="N595" s="5"/>
      <c r="O595" s="5"/>
      <c r="P595" s="102">
        <f ca="1">IFERROR(__xludf.DUMMYFUNCTION("""COMPUTED_VALUE"""),-101422.75)</f>
        <v>-101422.75</v>
      </c>
      <c r="Q595" s="5"/>
      <c r="R595" s="57">
        <f ca="1">IFERROR(__xludf.DUMMYFUNCTION("""COMPUTED_VALUE"""),0)</f>
        <v>0</v>
      </c>
      <c r="S595" s="102">
        <f ca="1">IFERROR(__xludf.DUMMYFUNCTION("""COMPUTED_VALUE"""),0)</f>
        <v>0</v>
      </c>
      <c r="T595" s="5">
        <f ca="1">IFERROR(__xludf.DUMMYFUNCTION("""COMPUTED_VALUE"""),2)</f>
        <v>2</v>
      </c>
      <c r="U595" s="5" t="str">
        <f ca="1">IFERROR(__xludf.DUMMYFUNCTION("""COMPUTED_VALUE"""),"")</f>
        <v/>
      </c>
      <c r="V595" s="19" t="str">
        <f ca="1">IFERROR(__xludf.DUMMYFUNCTION("""COMPUTED_VALUE"""),"")</f>
        <v/>
      </c>
      <c r="W595" s="8" t="str">
        <f ca="1">IFERROR(__xludf.DUMMYFUNCTION("""COMPUTED_VALUE"""),"")</f>
        <v/>
      </c>
      <c r="X595" s="19" t="str">
        <f ca="1">IFERROR(__xludf.DUMMYFUNCTION("""COMPUTED_VALUE"""),"")</f>
        <v/>
      </c>
      <c r="Y595" s="19" t="str">
        <f ca="1">IFERROR(__xludf.DUMMYFUNCTION("""COMPUTED_VALUE"""),"")</f>
        <v/>
      </c>
      <c r="Z595" s="21" t="str">
        <f ca="1">IFERROR(__xludf.DUMMYFUNCTION("""COMPUTED_VALUE"""),"")</f>
        <v/>
      </c>
    </row>
    <row r="596" spans="1:26" ht="13" x14ac:dyDescent="0.15">
      <c r="A596" s="5" t="str">
        <f ca="1">IFERROR(__xludf.DUMMYFUNCTION("""COMPUTED_VALUE"""),"")</f>
        <v/>
      </c>
      <c r="B596" s="5" t="str">
        <f ca="1">IFERROR(__xludf.DUMMYFUNCTION("""COMPUTED_VALUE"""),"89750")</f>
        <v>89750</v>
      </c>
      <c r="C596" s="8">
        <f ca="1">IFERROR(__xludf.DUMMYFUNCTION("""COMPUTED_VALUE"""),44614000301)</f>
        <v>44614000301</v>
      </c>
      <c r="D596" s="5" t="str">
        <f ca="1">IFERROR(__xludf.DUMMYFUNCTION("""COMPUTED_VALUE"""),"TCEHY")</f>
        <v>TCEHY</v>
      </c>
      <c r="E596" s="164">
        <f ca="1">IFERROR(__xludf.DUMMYFUNCTION("""COMPUTED_VALUE"""),44614)</f>
        <v>44614</v>
      </c>
      <c r="F596" s="5" t="str">
        <f ca="1">IFERROR(__xludf.DUMMYFUNCTION("""COMPUTED_VALUE"""),"Stock")</f>
        <v>Stock</v>
      </c>
      <c r="G596" s="5" t="str">
        <f ca="1">IFERROR(__xludf.DUMMYFUNCTION("""COMPUTED_VALUE"""),"USD")</f>
        <v>USD</v>
      </c>
      <c r="H596" s="19">
        <f ca="1">IFERROR(__xludf.DUMMYFUNCTION("""COMPUTED_VALUE"""),400)</f>
        <v>400</v>
      </c>
      <c r="I596" s="165">
        <f ca="1">IFERROR(__xludf.DUMMYFUNCTION("""COMPUTED_VALUE"""),7.80175)</f>
        <v>7.8017500000000002</v>
      </c>
      <c r="J596" s="20">
        <f ca="1">IFERROR(__xludf.DUMMYFUNCTION("""COMPUTED_VALUE"""),56.34)</f>
        <v>56.34</v>
      </c>
      <c r="K596" s="5"/>
      <c r="L596" s="20">
        <f ca="1">IFERROR(__xludf.DUMMYFUNCTION("""COMPUTED_VALUE"""),50.61)</f>
        <v>50.61</v>
      </c>
      <c r="M596" s="166" t="str">
        <f ca="1">IFERROR(__xludf.DUMMYFUNCTION("""COMPUTED_VALUE"""),"Equity Key Stats")</f>
        <v>Equity Key Stats</v>
      </c>
      <c r="N596" s="5"/>
      <c r="O596" s="5"/>
      <c r="P596" s="102">
        <f ca="1">IFERROR(__xludf.DUMMYFUNCTION("""COMPUTED_VALUE"""),-175820.238)</f>
        <v>-175820.23800000001</v>
      </c>
      <c r="Q596" s="5"/>
      <c r="R596" s="57">
        <f ca="1">IFERROR(__xludf.DUMMYFUNCTION("""COMPUTED_VALUE"""),47.86)</f>
        <v>47.86</v>
      </c>
      <c r="S596" s="102">
        <f ca="1">IFERROR(__xludf.DUMMYFUNCTION("""COMPUTED_VALUE"""),149356.702)</f>
        <v>149356.70199999999</v>
      </c>
      <c r="T596" s="5">
        <f ca="1">IFERROR(__xludf.DUMMYFUNCTION("""COMPUTED_VALUE"""),4)</f>
        <v>4</v>
      </c>
      <c r="U596" s="5" t="str">
        <f ca="1">IFERROR(__xludf.DUMMYFUNCTION("""COMPUTED_VALUE"""),"")</f>
        <v/>
      </c>
      <c r="V596" s="19" t="str">
        <f ca="1">IFERROR(__xludf.DUMMYFUNCTION("""COMPUTED_VALUE"""),"")</f>
        <v/>
      </c>
      <c r="W596" s="8" t="str">
        <f ca="1">IFERROR(__xludf.DUMMYFUNCTION("""COMPUTED_VALUE"""),"")</f>
        <v/>
      </c>
      <c r="X596" s="19" t="str">
        <f ca="1">IFERROR(__xludf.DUMMYFUNCTION("""COMPUTED_VALUE"""),"")</f>
        <v/>
      </c>
      <c r="Y596" s="19" t="str">
        <f ca="1">IFERROR(__xludf.DUMMYFUNCTION("""COMPUTED_VALUE"""),"")</f>
        <v/>
      </c>
      <c r="Z596" s="21" t="str">
        <f ca="1">IFERROR(__xludf.DUMMYFUNCTION("""COMPUTED_VALUE"""),"")</f>
        <v/>
      </c>
    </row>
    <row r="597" spans="1:26" ht="13" x14ac:dyDescent="0.15">
      <c r="A597" s="5" t="str">
        <f ca="1">IFERROR(__xludf.DUMMYFUNCTION("""COMPUTED_VALUE"""),"")</f>
        <v/>
      </c>
      <c r="B597" s="5" t="str">
        <f ca="1">IFERROR(__xludf.DUMMYFUNCTION("""COMPUTED_VALUE"""),"89750")</f>
        <v>89750</v>
      </c>
      <c r="C597" s="8">
        <f ca="1">IFERROR(__xludf.DUMMYFUNCTION("""COMPUTED_VALUE"""),44615000302)</f>
        <v>44615000302</v>
      </c>
      <c r="D597" s="5" t="str">
        <f ca="1">IFERROR(__xludf.DUMMYFUNCTION("""COMPUTED_VALUE"""),"FUTU220225C00041500")</f>
        <v>FUTU220225C00041500</v>
      </c>
      <c r="E597" s="164">
        <f ca="1">IFERROR(__xludf.DUMMYFUNCTION("""COMPUTED_VALUE"""),44615)</f>
        <v>44615</v>
      </c>
      <c r="F597" s="5" t="str">
        <f ca="1">IFERROR(__xludf.DUMMYFUNCTION("""COMPUTED_VALUE"""),"Option")</f>
        <v>Option</v>
      </c>
      <c r="G597" s="5" t="str">
        <f ca="1">IFERROR(__xludf.DUMMYFUNCTION("""COMPUTED_VALUE"""),"USD")</f>
        <v>USD</v>
      </c>
      <c r="H597" s="19">
        <f ca="1">IFERROR(__xludf.DUMMYFUNCTION("""COMPUTED_VALUE"""),-100)</f>
        <v>-100</v>
      </c>
      <c r="I597" s="165">
        <f ca="1">IFERROR(__xludf.DUMMYFUNCTION("""COMPUTED_VALUE"""),7.80545)</f>
        <v>7.8054500000000004</v>
      </c>
      <c r="J597" s="20">
        <f ca="1">IFERROR(__xludf.DUMMYFUNCTION("""COMPUTED_VALUE"""),0.49)</f>
        <v>0.49</v>
      </c>
      <c r="K597" s="5"/>
      <c r="L597" s="20">
        <f ca="1">IFERROR(__xludf.DUMMYFUNCTION("""COMPUTED_VALUE"""),0)</f>
        <v>0</v>
      </c>
      <c r="M597" s="22" t="str">
        <f ca="1">IFERROR(__xludf.DUMMYFUNCTION("""COMPUTED_VALUE"""),"")</f>
        <v/>
      </c>
      <c r="N597" s="5"/>
      <c r="O597" s="5"/>
      <c r="P597" s="102">
        <f ca="1">IFERROR(__xludf.DUMMYFUNCTION("""COMPUTED_VALUE"""),38246.705)</f>
        <v>38246.705000000002</v>
      </c>
      <c r="Q597" s="5"/>
      <c r="R597" s="57">
        <f ca="1">IFERROR(__xludf.DUMMYFUNCTION("""COMPUTED_VALUE"""),0)</f>
        <v>0</v>
      </c>
      <c r="S597" s="102">
        <f ca="1">IFERROR(__xludf.DUMMYFUNCTION("""COMPUTED_VALUE"""),0)</f>
        <v>0</v>
      </c>
      <c r="T597" s="5">
        <f ca="1">IFERROR(__xludf.DUMMYFUNCTION("""COMPUTED_VALUE"""),2)</f>
        <v>2</v>
      </c>
      <c r="U597" s="5">
        <f ca="1">IFERROR(__xludf.DUMMYFUNCTION("""COMPUTED_VALUE"""),1)</f>
        <v>1</v>
      </c>
      <c r="V597" s="19">
        <f ca="1">IFERROR(__xludf.DUMMYFUNCTION("""COMPUTED_VALUE"""),-63176.045)</f>
        <v>-63176.044999999998</v>
      </c>
      <c r="W597" s="8" t="str">
        <f ca="1">IFERROR(__xludf.DUMMYFUNCTION("""COMPUTED_VALUE"""),"")</f>
        <v/>
      </c>
      <c r="X597" s="19" t="str">
        <f ca="1">IFERROR(__xludf.DUMMYFUNCTION("""COMPUTED_VALUE"""),"")</f>
        <v/>
      </c>
      <c r="Y597" s="19" t="str">
        <f ca="1">IFERROR(__xludf.DUMMYFUNCTION("""COMPUTED_VALUE"""),"")</f>
        <v/>
      </c>
      <c r="Z597" s="21" t="str">
        <f ca="1">IFERROR(__xludf.DUMMYFUNCTION("""COMPUTED_VALUE"""),"")</f>
        <v/>
      </c>
    </row>
    <row r="598" spans="1:26" ht="13" x14ac:dyDescent="0.15">
      <c r="A598" s="5" t="str">
        <f ca="1">IFERROR(__xludf.DUMMYFUNCTION("""COMPUTED_VALUE"""),"")</f>
        <v/>
      </c>
      <c r="B598" s="5" t="str">
        <f ca="1">IFERROR(__xludf.DUMMYFUNCTION("""COMPUTED_VALUE"""),"89750")</f>
        <v>89750</v>
      </c>
      <c r="C598" s="8">
        <f ca="1">IFERROR(__xludf.DUMMYFUNCTION("""COMPUTED_VALUE"""),44617000344)</f>
        <v>44617000344</v>
      </c>
      <c r="D598" s="5" t="str">
        <f ca="1">IFERROR(__xludf.DUMMYFUNCTION("""COMPUTED_VALUE"""),"SPXL220318C00080000")</f>
        <v>SPXL220318C00080000</v>
      </c>
      <c r="E598" s="164">
        <f ca="1">IFERROR(__xludf.DUMMYFUNCTION("""COMPUTED_VALUE"""),44617)</f>
        <v>44617</v>
      </c>
      <c r="F598" s="5" t="str">
        <f ca="1">IFERROR(__xludf.DUMMYFUNCTION("""COMPUTED_VALUE"""),"Option")</f>
        <v>Option</v>
      </c>
      <c r="G598" s="5" t="str">
        <f ca="1">IFERROR(__xludf.DUMMYFUNCTION("""COMPUTED_VALUE"""),"USD")</f>
        <v>USD</v>
      </c>
      <c r="H598" s="19">
        <f ca="1">IFERROR(__xludf.DUMMYFUNCTION("""COMPUTED_VALUE"""),10)</f>
        <v>10</v>
      </c>
      <c r="I598" s="165">
        <f ca="1">IFERROR(__xludf.DUMMYFUNCTION("""COMPUTED_VALUE"""),7.808395)</f>
        <v>7.808395</v>
      </c>
      <c r="J598" s="20">
        <f ca="1">IFERROR(__xludf.DUMMYFUNCTION("""COMPUTED_VALUE"""),17.9)</f>
        <v>17.899999999999999</v>
      </c>
      <c r="K598" s="5"/>
      <c r="L598" s="20">
        <f ca="1">IFERROR(__xludf.DUMMYFUNCTION("""COMPUTED_VALUE"""),33)</f>
        <v>33</v>
      </c>
      <c r="M598" s="22" t="str">
        <f ca="1">IFERROR(__xludf.DUMMYFUNCTION("""COMPUTED_VALUE"""),"")</f>
        <v/>
      </c>
      <c r="N598" s="5"/>
      <c r="O598" s="5"/>
      <c r="P598" s="102">
        <f ca="1">IFERROR(__xludf.DUMMYFUNCTION("""COMPUTED_VALUE"""),-139770.270499999)</f>
        <v>-139770.27049999899</v>
      </c>
      <c r="Q598" s="5"/>
      <c r="R598" s="57">
        <f ca="1">IFERROR(__xludf.DUMMYFUNCTION("""COMPUTED_VALUE"""),0)</f>
        <v>0</v>
      </c>
      <c r="S598" s="102">
        <f ca="1">IFERROR(__xludf.DUMMYFUNCTION("""COMPUTED_VALUE"""),0)</f>
        <v>0</v>
      </c>
      <c r="T598" s="5">
        <f ca="1">IFERROR(__xludf.DUMMYFUNCTION("""COMPUTED_VALUE"""),4)</f>
        <v>4</v>
      </c>
      <c r="U598" s="5" t="str">
        <f ca="1">IFERROR(__xludf.DUMMYFUNCTION("""COMPUTED_VALUE"""),"")</f>
        <v/>
      </c>
      <c r="V598" s="19" t="str">
        <f ca="1">IFERROR(__xludf.DUMMYFUNCTION("""COMPUTED_VALUE"""),"")</f>
        <v/>
      </c>
      <c r="W598" s="8" t="str">
        <f ca="1">IFERROR(__xludf.DUMMYFUNCTION("""COMPUTED_VALUE"""),"")</f>
        <v/>
      </c>
      <c r="X598" s="19" t="str">
        <f ca="1">IFERROR(__xludf.DUMMYFUNCTION("""COMPUTED_VALUE"""),"")</f>
        <v/>
      </c>
      <c r="Y598" s="19" t="str">
        <f ca="1">IFERROR(__xludf.DUMMYFUNCTION("""COMPUTED_VALUE"""),"")</f>
        <v/>
      </c>
      <c r="Z598" s="21" t="str">
        <f ca="1">IFERROR(__xludf.DUMMYFUNCTION("""COMPUTED_VALUE"""),"")</f>
        <v/>
      </c>
    </row>
    <row r="599" spans="1:26" ht="13" x14ac:dyDescent="0.15">
      <c r="A599" s="5" t="str">
        <f ca="1">IFERROR(__xludf.DUMMYFUNCTION("""COMPUTED_VALUE"""),"")</f>
        <v/>
      </c>
      <c r="B599" s="5" t="str">
        <f ca="1">IFERROR(__xludf.DUMMYFUNCTION("""COMPUTED_VALUE"""),"89750")</f>
        <v>89750</v>
      </c>
      <c r="C599" s="8">
        <f ca="1">IFERROR(__xludf.DUMMYFUNCTION("""COMPUTED_VALUE"""),44617000345)</f>
        <v>44617000345</v>
      </c>
      <c r="D599" s="71" t="str">
        <f ca="1">IFERROR(__xludf.DUMMYFUNCTION("""COMPUTED_VALUE"""),"9698.HK")</f>
        <v>9698.HK</v>
      </c>
      <c r="E599" s="164">
        <f ca="1">IFERROR(__xludf.DUMMYFUNCTION("""COMPUTED_VALUE"""),44617)</f>
        <v>44617</v>
      </c>
      <c r="F599" s="5" t="str">
        <f ca="1">IFERROR(__xludf.DUMMYFUNCTION("""COMPUTED_VALUE"""),"Stock")</f>
        <v>Stock</v>
      </c>
      <c r="G599" s="5" t="str">
        <f ca="1">IFERROR(__xludf.DUMMYFUNCTION("""COMPUTED_VALUE"""),"HKD")</f>
        <v>HKD</v>
      </c>
      <c r="H599" s="19">
        <f ca="1">IFERROR(__xludf.DUMMYFUNCTION("""COMPUTED_VALUE"""),-2000)</f>
        <v>-2000</v>
      </c>
      <c r="I599" s="165">
        <f ca="1">IFERROR(__xludf.DUMMYFUNCTION("""COMPUTED_VALUE"""),1)</f>
        <v>1</v>
      </c>
      <c r="J599" s="20">
        <f ca="1">IFERROR(__xludf.DUMMYFUNCTION("""COMPUTED_VALUE"""),42.55)</f>
        <v>42.55</v>
      </c>
      <c r="K599" s="5"/>
      <c r="L599" s="20">
        <f ca="1">IFERROR(__xludf.DUMMYFUNCTION("""COMPUTED_VALUE"""),39.55)</f>
        <v>39.549999999999997</v>
      </c>
      <c r="M599" s="166" t="str">
        <f ca="1">IFERROR(__xludf.DUMMYFUNCTION("""COMPUTED_VALUE"""),"Equity Key Stats")</f>
        <v>Equity Key Stats</v>
      </c>
      <c r="N599" s="5"/>
      <c r="O599" s="5"/>
      <c r="P599" s="102">
        <f ca="1">IFERROR(__xludf.DUMMYFUNCTION("""COMPUTED_VALUE"""),85100)</f>
        <v>85100</v>
      </c>
      <c r="Q599" s="5"/>
      <c r="R599" s="57">
        <f ca="1">IFERROR(__xludf.DUMMYFUNCTION("""COMPUTED_VALUE"""),40.2)</f>
        <v>40.200000000000003</v>
      </c>
      <c r="S599" s="102">
        <f ca="1">IFERROR(__xludf.DUMMYFUNCTION("""COMPUTED_VALUE"""),-80400)</f>
        <v>-80400</v>
      </c>
      <c r="T599" s="5">
        <f ca="1">IFERROR(__xludf.DUMMYFUNCTION("""COMPUTED_VALUE"""),5)</f>
        <v>5</v>
      </c>
      <c r="U599" s="5">
        <f ca="1">IFERROR(__xludf.DUMMYFUNCTION("""COMPUTED_VALUE"""),1)</f>
        <v>1</v>
      </c>
      <c r="V599" s="19">
        <f ca="1">IFERROR(__xludf.DUMMYFUNCTION("""COMPUTED_VALUE"""),56975)</f>
        <v>56975</v>
      </c>
      <c r="W599" s="8" t="str">
        <f ca="1">IFERROR(__xludf.DUMMYFUNCTION("""COMPUTED_VALUE"""),"")</f>
        <v/>
      </c>
      <c r="X599" s="19" t="str">
        <f ca="1">IFERROR(__xludf.DUMMYFUNCTION("""COMPUTED_VALUE"""),"")</f>
        <v/>
      </c>
      <c r="Y599" s="19" t="str">
        <f ca="1">IFERROR(__xludf.DUMMYFUNCTION("""COMPUTED_VALUE"""),"")</f>
        <v/>
      </c>
      <c r="Z599" s="21" t="str">
        <f ca="1">IFERROR(__xludf.DUMMYFUNCTION("""COMPUTED_VALUE"""),"")</f>
        <v/>
      </c>
    </row>
    <row r="600" spans="1:26" ht="13" x14ac:dyDescent="0.15">
      <c r="A600" s="5" t="str">
        <f ca="1">IFERROR(__xludf.DUMMYFUNCTION("""COMPUTED_VALUE"""),"")</f>
        <v/>
      </c>
      <c r="B600" s="5" t="str">
        <f ca="1">IFERROR(__xludf.DUMMYFUNCTION("""COMPUTED_VALUE"""),"89750")</f>
        <v>89750</v>
      </c>
      <c r="C600" s="8">
        <f ca="1">IFERROR(__xludf.DUMMYFUNCTION("""COMPUTED_VALUE"""),44617000346)</f>
        <v>44617000346</v>
      </c>
      <c r="D600" s="71" t="str">
        <f ca="1">IFERROR(__xludf.DUMMYFUNCTION("""COMPUTED_VALUE"""),"6969.HK")</f>
        <v>6969.HK</v>
      </c>
      <c r="E600" s="164">
        <f ca="1">IFERROR(__xludf.DUMMYFUNCTION("""COMPUTED_VALUE"""),44617)</f>
        <v>44617</v>
      </c>
      <c r="F600" s="5" t="str">
        <f ca="1">IFERROR(__xludf.DUMMYFUNCTION("""COMPUTED_VALUE"""),"Stock")</f>
        <v>Stock</v>
      </c>
      <c r="G600" s="5" t="str">
        <f ca="1">IFERROR(__xludf.DUMMYFUNCTION("""COMPUTED_VALUE"""),"HKD")</f>
        <v>HKD</v>
      </c>
      <c r="H600" s="19">
        <f ca="1">IFERROR(__xludf.DUMMYFUNCTION("""COMPUTED_VALUE"""),2000)</f>
        <v>2000</v>
      </c>
      <c r="I600" s="165">
        <f ca="1">IFERROR(__xludf.DUMMYFUNCTION("""COMPUTED_VALUE"""),1)</f>
        <v>1</v>
      </c>
      <c r="J600" s="20">
        <f ca="1">IFERROR(__xludf.DUMMYFUNCTION("""COMPUTED_VALUE"""),28.95)</f>
        <v>28.95</v>
      </c>
      <c r="K600" s="5"/>
      <c r="L600" s="20">
        <f ca="1">IFERROR(__xludf.DUMMYFUNCTION("""COMPUTED_VALUE"""),20.75)</f>
        <v>20.75</v>
      </c>
      <c r="M600" s="166" t="str">
        <f ca="1">IFERROR(__xludf.DUMMYFUNCTION("""COMPUTED_VALUE"""),"Equity Key Stats")</f>
        <v>Equity Key Stats</v>
      </c>
      <c r="N600" s="5"/>
      <c r="O600" s="5"/>
      <c r="P600" s="102">
        <f ca="1">IFERROR(__xludf.DUMMYFUNCTION("""COMPUTED_VALUE"""),-57900)</f>
        <v>-57900</v>
      </c>
      <c r="Q600" s="5"/>
      <c r="R600" s="57">
        <f ca="1">IFERROR(__xludf.DUMMYFUNCTION("""COMPUTED_VALUE"""),20.9)</f>
        <v>20.9</v>
      </c>
      <c r="S600" s="102">
        <f ca="1">IFERROR(__xludf.DUMMYFUNCTION("""COMPUTED_VALUE"""),41800)</f>
        <v>41800</v>
      </c>
      <c r="T600" s="5">
        <f ca="1">IFERROR(__xludf.DUMMYFUNCTION("""COMPUTED_VALUE"""),3)</f>
        <v>3</v>
      </c>
      <c r="U600" s="5">
        <f ca="1">IFERROR(__xludf.DUMMYFUNCTION("""COMPUTED_VALUE"""),1)</f>
        <v>1</v>
      </c>
      <c r="V600" s="19">
        <f ca="1">IFERROR(__xludf.DUMMYFUNCTION("""COMPUTED_VALUE"""),-45800)</f>
        <v>-45800</v>
      </c>
      <c r="W600" s="8" t="str">
        <f ca="1">IFERROR(__xludf.DUMMYFUNCTION("""COMPUTED_VALUE"""),"")</f>
        <v/>
      </c>
      <c r="X600" s="19" t="str">
        <f ca="1">IFERROR(__xludf.DUMMYFUNCTION("""COMPUTED_VALUE"""),"")</f>
        <v/>
      </c>
      <c r="Y600" s="19" t="str">
        <f ca="1">IFERROR(__xludf.DUMMYFUNCTION("""COMPUTED_VALUE"""),"")</f>
        <v/>
      </c>
      <c r="Z600" s="21" t="str">
        <f ca="1">IFERROR(__xludf.DUMMYFUNCTION("""COMPUTED_VALUE"""),"")</f>
        <v/>
      </c>
    </row>
    <row r="601" spans="1:26" ht="13" x14ac:dyDescent="0.15">
      <c r="A601" s="5" t="str">
        <f ca="1">IFERROR(__xludf.DUMMYFUNCTION("""COMPUTED_VALUE"""),"")</f>
        <v/>
      </c>
      <c r="B601" s="5" t="str">
        <f ca="1">IFERROR(__xludf.DUMMYFUNCTION("""COMPUTED_VALUE"""),"89750")</f>
        <v>89750</v>
      </c>
      <c r="C601" s="8">
        <f ca="1">IFERROR(__xludf.DUMMYFUNCTION("""COMPUTED_VALUE"""),44617000355)</f>
        <v>44617000355</v>
      </c>
      <c r="D601" s="5" t="str">
        <f ca="1">IFERROR(__xludf.DUMMYFUNCTION("""COMPUTED_VALUE"""),"FTCH220318P00017500")</f>
        <v>FTCH220318P00017500</v>
      </c>
      <c r="E601" s="164">
        <f ca="1">IFERROR(__xludf.DUMMYFUNCTION("""COMPUTED_VALUE"""),44617)</f>
        <v>44617</v>
      </c>
      <c r="F601" s="5" t="str">
        <f ca="1">IFERROR(__xludf.DUMMYFUNCTION("""COMPUTED_VALUE"""),"Option")</f>
        <v>Option</v>
      </c>
      <c r="G601" s="5" t="str">
        <f ca="1">IFERROR(__xludf.DUMMYFUNCTION("""COMPUTED_VALUE"""),"USD")</f>
        <v>USD</v>
      </c>
      <c r="H601" s="19">
        <f ca="1">IFERROR(__xludf.DUMMYFUNCTION("""COMPUTED_VALUE"""),50)</f>
        <v>50</v>
      </c>
      <c r="I601" s="165">
        <f ca="1">IFERROR(__xludf.DUMMYFUNCTION("""COMPUTED_VALUE"""),7.808395)</f>
        <v>7.808395</v>
      </c>
      <c r="J601" s="20">
        <f ca="1">IFERROR(__xludf.DUMMYFUNCTION("""COMPUTED_VALUE"""),0.6)</f>
        <v>0.6</v>
      </c>
      <c r="K601" s="5"/>
      <c r="L601" s="20">
        <f ca="1">IFERROR(__xludf.DUMMYFUNCTION("""COMPUTED_VALUE"""),3.25)</f>
        <v>3.25</v>
      </c>
      <c r="M601" s="22" t="str">
        <f ca="1">IFERROR(__xludf.DUMMYFUNCTION("""COMPUTED_VALUE"""),"")</f>
        <v/>
      </c>
      <c r="N601" s="5"/>
      <c r="O601" s="5"/>
      <c r="P601" s="102">
        <f ca="1">IFERROR(__xludf.DUMMYFUNCTION("""COMPUTED_VALUE"""),-23425.1849999999)</f>
        <v>-23425.184999999899</v>
      </c>
      <c r="Q601" s="5"/>
      <c r="R601" s="57">
        <f ca="1">IFERROR(__xludf.DUMMYFUNCTION("""COMPUTED_VALUE"""),0)</f>
        <v>0</v>
      </c>
      <c r="S601" s="102">
        <f ca="1">IFERROR(__xludf.DUMMYFUNCTION("""COMPUTED_VALUE"""),0)</f>
        <v>0</v>
      </c>
      <c r="T601" s="5">
        <f ca="1">IFERROR(__xludf.DUMMYFUNCTION("""COMPUTED_VALUE"""),3)</f>
        <v>3</v>
      </c>
      <c r="U601" s="5" t="str">
        <f ca="1">IFERROR(__xludf.DUMMYFUNCTION("""COMPUTED_VALUE"""),"")</f>
        <v/>
      </c>
      <c r="V601" s="19" t="str">
        <f ca="1">IFERROR(__xludf.DUMMYFUNCTION("""COMPUTED_VALUE"""),"")</f>
        <v/>
      </c>
      <c r="W601" s="8" t="str">
        <f ca="1">IFERROR(__xludf.DUMMYFUNCTION("""COMPUTED_VALUE"""),"")</f>
        <v/>
      </c>
      <c r="X601" s="19" t="str">
        <f ca="1">IFERROR(__xludf.DUMMYFUNCTION("""COMPUTED_VALUE"""),"")</f>
        <v/>
      </c>
      <c r="Y601" s="19" t="str">
        <f ca="1">IFERROR(__xludf.DUMMYFUNCTION("""COMPUTED_VALUE"""),"")</f>
        <v/>
      </c>
      <c r="Z601" s="21" t="str">
        <f ca="1">IFERROR(__xludf.DUMMYFUNCTION("""COMPUTED_VALUE"""),"")</f>
        <v/>
      </c>
    </row>
    <row r="602" spans="1:26" ht="13" x14ac:dyDescent="0.15">
      <c r="A602" s="5" t="str">
        <f ca="1">IFERROR(__xludf.DUMMYFUNCTION("""COMPUTED_VALUE"""),"")</f>
        <v/>
      </c>
      <c r="B602" s="5" t="str">
        <f ca="1">IFERROR(__xludf.DUMMYFUNCTION("""COMPUTED_VALUE"""),"89750")</f>
        <v>89750</v>
      </c>
      <c r="C602" s="8">
        <f ca="1">IFERROR(__xludf.DUMMYFUNCTION("""COMPUTED_VALUE"""),44617000356)</f>
        <v>44617000356</v>
      </c>
      <c r="D602" s="5" t="str">
        <f ca="1">IFERROR(__xludf.DUMMYFUNCTION("""COMPUTED_VALUE"""),"SOFI")</f>
        <v>SOFI</v>
      </c>
      <c r="E602" s="164">
        <f ca="1">IFERROR(__xludf.DUMMYFUNCTION("""COMPUTED_VALUE"""),44617)</f>
        <v>44617</v>
      </c>
      <c r="F602" s="5" t="str">
        <f ca="1">IFERROR(__xludf.DUMMYFUNCTION("""COMPUTED_VALUE"""),"Stock")</f>
        <v>Stock</v>
      </c>
      <c r="G602" s="5" t="str">
        <f ca="1">IFERROR(__xludf.DUMMYFUNCTION("""COMPUTED_VALUE"""),"USD")</f>
        <v>USD</v>
      </c>
      <c r="H602" s="19">
        <f ca="1">IFERROR(__xludf.DUMMYFUNCTION("""COMPUTED_VALUE"""),30)</f>
        <v>30</v>
      </c>
      <c r="I602" s="165">
        <f ca="1">IFERROR(__xludf.DUMMYFUNCTION("""COMPUTED_VALUE"""),7.808395)</f>
        <v>7.808395</v>
      </c>
      <c r="J602" s="20">
        <f ca="1">IFERROR(__xludf.DUMMYFUNCTION("""COMPUTED_VALUE"""),10.67)</f>
        <v>10.67</v>
      </c>
      <c r="K602" s="5"/>
      <c r="L602" s="20">
        <f ca="1">IFERROR(__xludf.DUMMYFUNCTION("""COMPUTED_VALUE"""),9.72)</f>
        <v>9.7200000000000006</v>
      </c>
      <c r="M602" s="166" t="str">
        <f ca="1">IFERROR(__xludf.DUMMYFUNCTION("""COMPUTED_VALUE"""),"Equity Key Stats")</f>
        <v>Equity Key Stats</v>
      </c>
      <c r="N602" s="5"/>
      <c r="O602" s="5"/>
      <c r="P602" s="102">
        <f ca="1">IFERROR(__xludf.DUMMYFUNCTION("""COMPUTED_VALUE"""),-2499.4672395)</f>
        <v>-2499.4672394999998</v>
      </c>
      <c r="Q602" s="5"/>
      <c r="R602" s="57">
        <f ca="1">IFERROR(__xludf.DUMMYFUNCTION("""COMPUTED_VALUE"""),9.37)</f>
        <v>9.3699999999999992</v>
      </c>
      <c r="S602" s="102">
        <f ca="1">IFERROR(__xludf.DUMMYFUNCTION("""COMPUTED_VALUE"""),2194.93983449999)</f>
        <v>2194.93983449999</v>
      </c>
      <c r="T602" s="5">
        <f ca="1">IFERROR(__xludf.DUMMYFUNCTION("""COMPUTED_VALUE"""),4)</f>
        <v>4</v>
      </c>
      <c r="U602" s="5" t="str">
        <f ca="1">IFERROR(__xludf.DUMMYFUNCTION("""COMPUTED_VALUE"""),"")</f>
        <v/>
      </c>
      <c r="V602" s="19" t="str">
        <f ca="1">IFERROR(__xludf.DUMMYFUNCTION("""COMPUTED_VALUE"""),"")</f>
        <v/>
      </c>
      <c r="W602" s="8" t="str">
        <f ca="1">IFERROR(__xludf.DUMMYFUNCTION("""COMPUTED_VALUE"""),"")</f>
        <v/>
      </c>
      <c r="X602" s="19" t="str">
        <f ca="1">IFERROR(__xludf.DUMMYFUNCTION("""COMPUTED_VALUE"""),"")</f>
        <v/>
      </c>
      <c r="Y602" s="19" t="str">
        <f ca="1">IFERROR(__xludf.DUMMYFUNCTION("""COMPUTED_VALUE"""),"")</f>
        <v/>
      </c>
      <c r="Z602" s="21" t="str">
        <f ca="1">IFERROR(__xludf.DUMMYFUNCTION("""COMPUTED_VALUE"""),"")</f>
        <v/>
      </c>
    </row>
    <row r="603" spans="1:26" ht="13" x14ac:dyDescent="0.15">
      <c r="A603" s="5" t="str">
        <f ca="1">IFERROR(__xludf.DUMMYFUNCTION("""COMPUTED_VALUE"""),"")</f>
        <v/>
      </c>
      <c r="B603" s="5" t="str">
        <f ca="1">IFERROR(__xludf.DUMMYFUNCTION("""COMPUTED_VALUE"""),"89750")</f>
        <v>89750</v>
      </c>
      <c r="C603" s="8">
        <f ca="1">IFERROR(__xludf.DUMMYFUNCTION("""COMPUTED_VALUE"""),44617000357)</f>
        <v>44617000357</v>
      </c>
      <c r="D603" s="5" t="str">
        <f ca="1">IFERROR(__xludf.DUMMYFUNCTION("""COMPUTED_VALUE"""),"NU")</f>
        <v>NU</v>
      </c>
      <c r="E603" s="164">
        <f ca="1">IFERROR(__xludf.DUMMYFUNCTION("""COMPUTED_VALUE"""),44617)</f>
        <v>44617</v>
      </c>
      <c r="F603" s="5" t="str">
        <f ca="1">IFERROR(__xludf.DUMMYFUNCTION("""COMPUTED_VALUE"""),"Stock")</f>
        <v>Stock</v>
      </c>
      <c r="G603" s="5" t="str">
        <f ca="1">IFERROR(__xludf.DUMMYFUNCTION("""COMPUTED_VALUE"""),"USD")</f>
        <v>USD</v>
      </c>
      <c r="H603" s="19">
        <f ca="1">IFERROR(__xludf.DUMMYFUNCTION("""COMPUTED_VALUE"""),70)</f>
        <v>70</v>
      </c>
      <c r="I603" s="165">
        <f ca="1">IFERROR(__xludf.DUMMYFUNCTION("""COMPUTED_VALUE"""),7.808395)</f>
        <v>7.808395</v>
      </c>
      <c r="J603" s="20">
        <f ca="1">IFERROR(__xludf.DUMMYFUNCTION("""COMPUTED_VALUE"""),7.78)</f>
        <v>7.78</v>
      </c>
      <c r="K603" s="5"/>
      <c r="L603" s="20">
        <f ca="1">IFERROR(__xludf.DUMMYFUNCTION("""COMPUTED_VALUE"""),8.02)</f>
        <v>8.02</v>
      </c>
      <c r="M603" s="166" t="str">
        <f ca="1">IFERROR(__xludf.DUMMYFUNCTION("""COMPUTED_VALUE"""),"Equity Key Stats")</f>
        <v>Equity Key Stats</v>
      </c>
      <c r="N603" s="5"/>
      <c r="O603" s="5"/>
      <c r="P603" s="102">
        <f ca="1">IFERROR(__xludf.DUMMYFUNCTION("""COMPUTED_VALUE"""),-4252.451917)</f>
        <v>-4252.4519170000003</v>
      </c>
      <c r="Q603" s="5"/>
      <c r="R603" s="57">
        <f ca="1">IFERROR(__xludf.DUMMYFUNCTION("""COMPUTED_VALUE"""),7.91)</f>
        <v>7.91</v>
      </c>
      <c r="S603" s="102">
        <f ca="1">IFERROR(__xludf.DUMMYFUNCTION("""COMPUTED_VALUE"""),4323.5083115)</f>
        <v>4323.5083114999998</v>
      </c>
      <c r="T603" s="5">
        <f ca="1">IFERROR(__xludf.DUMMYFUNCTION("""COMPUTED_VALUE"""),3)</f>
        <v>3</v>
      </c>
      <c r="U603" s="5" t="str">
        <f ca="1">IFERROR(__xludf.DUMMYFUNCTION("""COMPUTED_VALUE"""),"")</f>
        <v/>
      </c>
      <c r="V603" s="19" t="str">
        <f ca="1">IFERROR(__xludf.DUMMYFUNCTION("""COMPUTED_VALUE"""),"")</f>
        <v/>
      </c>
      <c r="W603" s="8" t="str">
        <f ca="1">IFERROR(__xludf.DUMMYFUNCTION("""COMPUTED_VALUE"""),"")</f>
        <v/>
      </c>
      <c r="X603" s="19" t="str">
        <f ca="1">IFERROR(__xludf.DUMMYFUNCTION("""COMPUTED_VALUE"""),"")</f>
        <v/>
      </c>
      <c r="Y603" s="19" t="str">
        <f ca="1">IFERROR(__xludf.DUMMYFUNCTION("""COMPUTED_VALUE"""),"")</f>
        <v/>
      </c>
      <c r="Z603" s="21" t="str">
        <f ca="1">IFERROR(__xludf.DUMMYFUNCTION("""COMPUTED_VALUE"""),"")</f>
        <v/>
      </c>
    </row>
    <row r="604" spans="1:26" ht="13" x14ac:dyDescent="0.15">
      <c r="A604" s="5" t="str">
        <f ca="1">IFERROR(__xludf.DUMMYFUNCTION("""COMPUTED_VALUE"""),"")</f>
        <v/>
      </c>
      <c r="B604" s="5" t="str">
        <f ca="1">IFERROR(__xludf.DUMMYFUNCTION("""COMPUTED_VALUE"""),"89750")</f>
        <v>89750</v>
      </c>
      <c r="C604" s="8">
        <f ca="1">IFERROR(__xludf.DUMMYFUNCTION("""COMPUTED_VALUE"""),44617000358)</f>
        <v>44617000358</v>
      </c>
      <c r="D604" s="5" t="str">
        <f ca="1">IFERROR(__xludf.DUMMYFUNCTION("""COMPUTED_VALUE"""),"YINN")</f>
        <v>YINN</v>
      </c>
      <c r="E604" s="164">
        <f ca="1">IFERROR(__xludf.DUMMYFUNCTION("""COMPUTED_VALUE"""),44617)</f>
        <v>44617</v>
      </c>
      <c r="F604" s="5" t="str">
        <f ca="1">IFERROR(__xludf.DUMMYFUNCTION("""COMPUTED_VALUE"""),"Stock")</f>
        <v>Stock</v>
      </c>
      <c r="G604" s="5" t="str">
        <f ca="1">IFERROR(__xludf.DUMMYFUNCTION("""COMPUTED_VALUE"""),"USD")</f>
        <v>USD</v>
      </c>
      <c r="H604" s="19">
        <f ca="1">IFERROR(__xludf.DUMMYFUNCTION("""COMPUTED_VALUE"""),50)</f>
        <v>50</v>
      </c>
      <c r="I604" s="165">
        <f ca="1">IFERROR(__xludf.DUMMYFUNCTION("""COMPUTED_VALUE"""),7.808395)</f>
        <v>7.808395</v>
      </c>
      <c r="J604" s="20">
        <f ca="1">IFERROR(__xludf.DUMMYFUNCTION("""COMPUTED_VALUE"""),7.16)</f>
        <v>7.16</v>
      </c>
      <c r="K604" s="5"/>
      <c r="L604" s="20">
        <f ca="1">IFERROR(__xludf.DUMMYFUNCTION("""COMPUTED_VALUE"""),5.15)</f>
        <v>5.15</v>
      </c>
      <c r="M604" s="166" t="str">
        <f ca="1">IFERROR(__xludf.DUMMYFUNCTION("""COMPUTED_VALUE"""),"Equity Key Stats")</f>
        <v>Equity Key Stats</v>
      </c>
      <c r="N604" s="5"/>
      <c r="O604" s="5"/>
      <c r="P604" s="102">
        <f ca="1">IFERROR(__xludf.DUMMYFUNCTION("""COMPUTED_VALUE"""),-2795.40541)</f>
        <v>-2795.4054099999998</v>
      </c>
      <c r="Q604" s="5"/>
      <c r="R604" s="57">
        <f ca="1">IFERROR(__xludf.DUMMYFUNCTION("""COMPUTED_VALUE"""),5.09)</f>
        <v>5.09</v>
      </c>
      <c r="S604" s="102">
        <f ca="1">IFERROR(__xludf.DUMMYFUNCTION("""COMPUTED_VALUE"""),1987.2365275)</f>
        <v>1987.2365275</v>
      </c>
      <c r="T604" s="5">
        <f ca="1">IFERROR(__xludf.DUMMYFUNCTION("""COMPUTED_VALUE"""),3)</f>
        <v>3</v>
      </c>
      <c r="U604" s="5" t="str">
        <f ca="1">IFERROR(__xludf.DUMMYFUNCTION("""COMPUTED_VALUE"""),"")</f>
        <v/>
      </c>
      <c r="V604" s="19" t="str">
        <f ca="1">IFERROR(__xludf.DUMMYFUNCTION("""COMPUTED_VALUE"""),"")</f>
        <v/>
      </c>
      <c r="W604" s="8" t="str">
        <f ca="1">IFERROR(__xludf.DUMMYFUNCTION("""COMPUTED_VALUE"""),"")</f>
        <v/>
      </c>
      <c r="X604" s="19" t="str">
        <f ca="1">IFERROR(__xludf.DUMMYFUNCTION("""COMPUTED_VALUE"""),"")</f>
        <v/>
      </c>
      <c r="Y604" s="19" t="str">
        <f ca="1">IFERROR(__xludf.DUMMYFUNCTION("""COMPUTED_VALUE"""),"")</f>
        <v/>
      </c>
      <c r="Z604" s="21" t="str">
        <f ca="1">IFERROR(__xludf.DUMMYFUNCTION("""COMPUTED_VALUE"""),"")</f>
        <v/>
      </c>
    </row>
    <row r="605" spans="1:26" ht="13" x14ac:dyDescent="0.15">
      <c r="A605" s="5" t="str">
        <f ca="1">IFERROR(__xludf.DUMMYFUNCTION("""COMPUTED_VALUE"""),"")</f>
        <v/>
      </c>
      <c r="B605" s="5" t="str">
        <f ca="1">IFERROR(__xludf.DUMMYFUNCTION("""COMPUTED_VALUE"""),"89750")</f>
        <v>89750</v>
      </c>
      <c r="C605" s="8">
        <f ca="1">IFERROR(__xludf.DUMMYFUNCTION("""COMPUTED_VALUE"""),44620000384)</f>
        <v>44620000384</v>
      </c>
      <c r="D605" s="5" t="str">
        <f ca="1">IFERROR(__xludf.DUMMYFUNCTION("""COMPUTED_VALUE"""),"SOXL")</f>
        <v>SOXL</v>
      </c>
      <c r="E605" s="164">
        <f ca="1">IFERROR(__xludf.DUMMYFUNCTION("""COMPUTED_VALUE"""),44620)</f>
        <v>44620</v>
      </c>
      <c r="F605" s="5" t="str">
        <f ca="1">IFERROR(__xludf.DUMMYFUNCTION("""COMPUTED_VALUE"""),"Stock")</f>
        <v>Stock</v>
      </c>
      <c r="G605" s="5" t="str">
        <f ca="1">IFERROR(__xludf.DUMMYFUNCTION("""COMPUTED_VALUE"""),"USD")</f>
        <v>USD</v>
      </c>
      <c r="H605" s="19">
        <f ca="1">IFERROR(__xludf.DUMMYFUNCTION("""COMPUTED_VALUE"""),-20)</f>
        <v>-20</v>
      </c>
      <c r="I605" s="165">
        <f ca="1">IFERROR(__xludf.DUMMYFUNCTION("""COMPUTED_VALUE"""),7.81345)</f>
        <v>7.8134499999999996</v>
      </c>
      <c r="J605" s="20">
        <f ca="1">IFERROR(__xludf.DUMMYFUNCTION("""COMPUTED_VALUE"""),41.01)</f>
        <v>41.01</v>
      </c>
      <c r="K605" s="5"/>
      <c r="L605" s="20">
        <f ca="1">IFERROR(__xludf.DUMMYFUNCTION("""COMPUTED_VALUE"""),39.59)</f>
        <v>39.590000000000003</v>
      </c>
      <c r="M605" s="166" t="str">
        <f ca="1">IFERROR(__xludf.DUMMYFUNCTION("""COMPUTED_VALUE"""),"Equity Key Stats")</f>
        <v>Equity Key Stats</v>
      </c>
      <c r="N605" s="5"/>
      <c r="O605" s="5"/>
      <c r="P605" s="102">
        <f ca="1">IFERROR(__xludf.DUMMYFUNCTION("""COMPUTED_VALUE"""),6408.59169)</f>
        <v>6408.5916900000002</v>
      </c>
      <c r="Q605" s="5"/>
      <c r="R605" s="57">
        <f ca="1">IFERROR(__xludf.DUMMYFUNCTION("""COMPUTED_VALUE"""),36.69)</f>
        <v>36.69</v>
      </c>
      <c r="S605" s="102">
        <f ca="1">IFERROR(__xludf.DUMMYFUNCTION("""COMPUTED_VALUE"""),-5733.50961)</f>
        <v>-5733.5096100000001</v>
      </c>
      <c r="T605" s="5">
        <f ca="1">IFERROR(__xludf.DUMMYFUNCTION("""COMPUTED_VALUE"""),4)</f>
        <v>4</v>
      </c>
      <c r="U605" s="5" t="str">
        <f ca="1">IFERROR(__xludf.DUMMYFUNCTION("""COMPUTED_VALUE"""),"")</f>
        <v/>
      </c>
      <c r="V605" s="19" t="str">
        <f ca="1">IFERROR(__xludf.DUMMYFUNCTION("""COMPUTED_VALUE"""),"")</f>
        <v/>
      </c>
      <c r="W605" s="8" t="str">
        <f ca="1">IFERROR(__xludf.DUMMYFUNCTION("""COMPUTED_VALUE"""),"")</f>
        <v/>
      </c>
      <c r="X605" s="19" t="str">
        <f ca="1">IFERROR(__xludf.DUMMYFUNCTION("""COMPUTED_VALUE"""),"")</f>
        <v/>
      </c>
      <c r="Y605" s="19" t="str">
        <f ca="1">IFERROR(__xludf.DUMMYFUNCTION("""COMPUTED_VALUE"""),"")</f>
        <v/>
      </c>
      <c r="Z605" s="21" t="str">
        <f ca="1">IFERROR(__xludf.DUMMYFUNCTION("""COMPUTED_VALUE"""),"")</f>
        <v/>
      </c>
    </row>
    <row r="606" spans="1:26" ht="13" x14ac:dyDescent="0.15">
      <c r="A606" s="5" t="str">
        <f ca="1">IFERROR(__xludf.DUMMYFUNCTION("""COMPUTED_VALUE"""),"")</f>
        <v/>
      </c>
      <c r="B606" s="5" t="str">
        <f ca="1">IFERROR(__xludf.DUMMYFUNCTION("""COMPUTED_VALUE"""),"89750")</f>
        <v>89750</v>
      </c>
      <c r="C606" s="8">
        <f ca="1">IFERROR(__xludf.DUMMYFUNCTION("""COMPUTED_VALUE"""),44620000385)</f>
        <v>44620000385</v>
      </c>
      <c r="D606" s="5" t="str">
        <f ca="1">IFERROR(__xludf.DUMMYFUNCTION("""COMPUTED_VALUE"""),"SBRCY")</f>
        <v>SBRCY</v>
      </c>
      <c r="E606" s="164">
        <f ca="1">IFERROR(__xludf.DUMMYFUNCTION("""COMPUTED_VALUE"""),44620)</f>
        <v>44620</v>
      </c>
      <c r="F606" s="5" t="str">
        <f ca="1">IFERROR(__xludf.DUMMYFUNCTION("""COMPUTED_VALUE"""),"Stock")</f>
        <v>Stock</v>
      </c>
      <c r="G606" s="5" t="str">
        <f ca="1">IFERROR(__xludf.DUMMYFUNCTION("""COMPUTED_VALUE"""),"USD")</f>
        <v>USD</v>
      </c>
      <c r="H606" s="19">
        <f ca="1">IFERROR(__xludf.DUMMYFUNCTION("""COMPUTED_VALUE"""),5000)</f>
        <v>5000</v>
      </c>
      <c r="I606" s="165">
        <f ca="1">IFERROR(__xludf.DUMMYFUNCTION("""COMPUTED_VALUE"""),7.81345)</f>
        <v>7.8134499999999996</v>
      </c>
      <c r="J606" s="20">
        <f ca="1">IFERROR(__xludf.DUMMYFUNCTION("""COMPUTED_VALUE"""),1.25)</f>
        <v>1.25</v>
      </c>
      <c r="K606" s="5"/>
      <c r="L606" s="20">
        <f ca="1">IFERROR(__xludf.DUMMYFUNCTION("""COMPUTED_VALUE"""),0.52)</f>
        <v>0.52</v>
      </c>
      <c r="M606" s="166" t="str">
        <f ca="1">IFERROR(__xludf.DUMMYFUNCTION("""COMPUTED_VALUE"""),"Equity Key Stats")</f>
        <v>Equity Key Stats</v>
      </c>
      <c r="N606" s="5"/>
      <c r="O606" s="5"/>
      <c r="P606" s="102">
        <f ca="1">IFERROR(__xludf.DUMMYFUNCTION("""COMPUTED_VALUE"""),-48834.0625)</f>
        <v>-48834.0625</v>
      </c>
      <c r="Q606" s="5"/>
      <c r="R606" s="57">
        <f ca="1">IFERROR(__xludf.DUMMYFUNCTION("""COMPUTED_VALUE"""),0.52)</f>
        <v>0.52</v>
      </c>
      <c r="S606" s="102">
        <f ca="1">IFERROR(__xludf.DUMMYFUNCTION("""COMPUTED_VALUE"""),20314.97)</f>
        <v>20314.97</v>
      </c>
      <c r="T606" s="5">
        <f ca="1">IFERROR(__xludf.DUMMYFUNCTION("""COMPUTED_VALUE"""),2)</f>
        <v>2</v>
      </c>
      <c r="U606" s="5" t="str">
        <f ca="1">IFERROR(__xludf.DUMMYFUNCTION("""COMPUTED_VALUE"""),"")</f>
        <v/>
      </c>
      <c r="V606" s="19" t="str">
        <f ca="1">IFERROR(__xludf.DUMMYFUNCTION("""COMPUTED_VALUE"""),"")</f>
        <v/>
      </c>
      <c r="W606" s="8" t="str">
        <f ca="1">IFERROR(__xludf.DUMMYFUNCTION("""COMPUTED_VALUE"""),"")</f>
        <v/>
      </c>
      <c r="X606" s="19" t="str">
        <f ca="1">IFERROR(__xludf.DUMMYFUNCTION("""COMPUTED_VALUE"""),"")</f>
        <v/>
      </c>
      <c r="Y606" s="19" t="str">
        <f ca="1">IFERROR(__xludf.DUMMYFUNCTION("""COMPUTED_VALUE"""),"")</f>
        <v/>
      </c>
      <c r="Z606" s="21" t="str">
        <f ca="1">IFERROR(__xludf.DUMMYFUNCTION("""COMPUTED_VALUE"""),"")</f>
        <v/>
      </c>
    </row>
    <row r="607" spans="1:26" ht="13" x14ac:dyDescent="0.15">
      <c r="A607" s="5" t="str">
        <f ca="1">IFERROR(__xludf.DUMMYFUNCTION("""COMPUTED_VALUE"""),"")</f>
        <v/>
      </c>
      <c r="B607" s="5" t="str">
        <f ca="1">IFERROR(__xludf.DUMMYFUNCTION("""COMPUTED_VALUE"""),"89750")</f>
        <v>89750</v>
      </c>
      <c r="C607" s="8">
        <f ca="1">IFERROR(__xludf.DUMMYFUNCTION("""COMPUTED_VALUE"""),44620000386)</f>
        <v>44620000386</v>
      </c>
      <c r="D607" s="5" t="str">
        <f ca="1">IFERROR(__xludf.DUMMYFUNCTION("""COMPUTED_VALUE"""),"FTCH220318P00017500")</f>
        <v>FTCH220318P00017500</v>
      </c>
      <c r="E607" s="164">
        <f ca="1">IFERROR(__xludf.DUMMYFUNCTION("""COMPUTED_VALUE"""),44620)</f>
        <v>44620</v>
      </c>
      <c r="F607" s="5" t="str">
        <f ca="1">IFERROR(__xludf.DUMMYFUNCTION("""COMPUTED_VALUE"""),"Option")</f>
        <v>Option</v>
      </c>
      <c r="G607" s="5" t="str">
        <f ca="1">IFERROR(__xludf.DUMMYFUNCTION("""COMPUTED_VALUE"""),"USD")</f>
        <v>USD</v>
      </c>
      <c r="H607" s="19">
        <f ca="1">IFERROR(__xludf.DUMMYFUNCTION("""COMPUTED_VALUE"""),50)</f>
        <v>50</v>
      </c>
      <c r="I607" s="165">
        <f ca="1">IFERROR(__xludf.DUMMYFUNCTION("""COMPUTED_VALUE"""),7.81345)</f>
        <v>7.8134499999999996</v>
      </c>
      <c r="J607" s="20">
        <f ca="1">IFERROR(__xludf.DUMMYFUNCTION("""COMPUTED_VALUE"""),1.03)</f>
        <v>1.03</v>
      </c>
      <c r="K607" s="5"/>
      <c r="L607" s="20">
        <f ca="1">IFERROR(__xludf.DUMMYFUNCTION("""COMPUTED_VALUE"""),3.25)</f>
        <v>3.25</v>
      </c>
      <c r="M607" s="22" t="str">
        <f ca="1">IFERROR(__xludf.DUMMYFUNCTION("""COMPUTED_VALUE"""),"")</f>
        <v/>
      </c>
      <c r="N607" s="5"/>
      <c r="O607" s="5"/>
      <c r="P607" s="102">
        <f ca="1">IFERROR(__xludf.DUMMYFUNCTION("""COMPUTED_VALUE"""),-40239.2674999999)</f>
        <v>-40239.2674999999</v>
      </c>
      <c r="Q607" s="5"/>
      <c r="R607" s="57">
        <f ca="1">IFERROR(__xludf.DUMMYFUNCTION("""COMPUTED_VALUE"""),0)</f>
        <v>0</v>
      </c>
      <c r="S607" s="102">
        <f ca="1">IFERROR(__xludf.DUMMYFUNCTION("""COMPUTED_VALUE"""),0)</f>
        <v>0</v>
      </c>
      <c r="T607" s="5">
        <f ca="1">IFERROR(__xludf.DUMMYFUNCTION("""COMPUTED_VALUE"""),3)</f>
        <v>3</v>
      </c>
      <c r="U607" s="5" t="str">
        <f ca="1">IFERROR(__xludf.DUMMYFUNCTION("""COMPUTED_VALUE"""),"")</f>
        <v/>
      </c>
      <c r="V607" s="19" t="str">
        <f ca="1">IFERROR(__xludf.DUMMYFUNCTION("""COMPUTED_VALUE"""),"")</f>
        <v/>
      </c>
      <c r="W607" s="8" t="str">
        <f ca="1">IFERROR(__xludf.DUMMYFUNCTION("""COMPUTED_VALUE"""),"")</f>
        <v/>
      </c>
      <c r="X607" s="19" t="str">
        <f ca="1">IFERROR(__xludf.DUMMYFUNCTION("""COMPUTED_VALUE"""),"")</f>
        <v/>
      </c>
      <c r="Y607" s="19" t="str">
        <f ca="1">IFERROR(__xludf.DUMMYFUNCTION("""COMPUTED_VALUE"""),"")</f>
        <v/>
      </c>
      <c r="Z607" s="21" t="str">
        <f ca="1">IFERROR(__xludf.DUMMYFUNCTION("""COMPUTED_VALUE"""),"")</f>
        <v/>
      </c>
    </row>
    <row r="608" spans="1:26" ht="13" x14ac:dyDescent="0.15">
      <c r="A608" s="5" t="str">
        <f ca="1">IFERROR(__xludf.DUMMYFUNCTION("""COMPUTED_VALUE"""),"")</f>
        <v/>
      </c>
      <c r="B608" s="5" t="str">
        <f ca="1">IFERROR(__xludf.DUMMYFUNCTION("""COMPUTED_VALUE"""),"89750")</f>
        <v>89750</v>
      </c>
      <c r="C608" s="8">
        <f ca="1">IFERROR(__xludf.DUMMYFUNCTION("""COMPUTED_VALUE"""),44620000387)</f>
        <v>44620000387</v>
      </c>
      <c r="D608" s="5" t="str">
        <f ca="1">IFERROR(__xludf.DUMMYFUNCTION("""COMPUTED_VALUE"""),"SPXL220318C00080000")</f>
        <v>SPXL220318C00080000</v>
      </c>
      <c r="E608" s="164">
        <f ca="1">IFERROR(__xludf.DUMMYFUNCTION("""COMPUTED_VALUE"""),44620)</f>
        <v>44620</v>
      </c>
      <c r="F608" s="5" t="str">
        <f ca="1">IFERROR(__xludf.DUMMYFUNCTION("""COMPUTED_VALUE"""),"Option")</f>
        <v>Option</v>
      </c>
      <c r="G608" s="5" t="str">
        <f ca="1">IFERROR(__xludf.DUMMYFUNCTION("""COMPUTED_VALUE"""),"USD")</f>
        <v>USD</v>
      </c>
      <c r="H608" s="19">
        <f ca="1">IFERROR(__xludf.DUMMYFUNCTION("""COMPUTED_VALUE"""),-2)</f>
        <v>-2</v>
      </c>
      <c r="I608" s="165">
        <f ca="1">IFERROR(__xludf.DUMMYFUNCTION("""COMPUTED_VALUE"""),7.81345)</f>
        <v>7.8134499999999996</v>
      </c>
      <c r="J608" s="20">
        <f ca="1">IFERROR(__xludf.DUMMYFUNCTION("""COMPUTED_VALUE"""),17.9)</f>
        <v>17.899999999999999</v>
      </c>
      <c r="K608" s="5"/>
      <c r="L608" s="20">
        <f ca="1">IFERROR(__xludf.DUMMYFUNCTION("""COMPUTED_VALUE"""),33)</f>
        <v>33</v>
      </c>
      <c r="M608" s="22" t="str">
        <f ca="1">IFERROR(__xludf.DUMMYFUNCTION("""COMPUTED_VALUE"""),"")</f>
        <v/>
      </c>
      <c r="N608" s="5"/>
      <c r="O608" s="5"/>
      <c r="P608" s="102">
        <f ca="1">IFERROR(__xludf.DUMMYFUNCTION("""COMPUTED_VALUE"""),27972.1509999999)</f>
        <v>27972.1509999999</v>
      </c>
      <c r="Q608" s="5"/>
      <c r="R608" s="57">
        <f ca="1">IFERROR(__xludf.DUMMYFUNCTION("""COMPUTED_VALUE"""),0)</f>
        <v>0</v>
      </c>
      <c r="S608" s="102">
        <f ca="1">IFERROR(__xludf.DUMMYFUNCTION("""COMPUTED_VALUE"""),0)</f>
        <v>0</v>
      </c>
      <c r="T608" s="5">
        <f ca="1">IFERROR(__xludf.DUMMYFUNCTION("""COMPUTED_VALUE"""),4)</f>
        <v>4</v>
      </c>
      <c r="U608" s="5" t="str">
        <f ca="1">IFERROR(__xludf.DUMMYFUNCTION("""COMPUTED_VALUE"""),"")</f>
        <v/>
      </c>
      <c r="V608" s="19" t="str">
        <f ca="1">IFERROR(__xludf.DUMMYFUNCTION("""COMPUTED_VALUE"""),"")</f>
        <v/>
      </c>
      <c r="W608" s="8" t="str">
        <f ca="1">IFERROR(__xludf.DUMMYFUNCTION("""COMPUTED_VALUE"""),"")</f>
        <v/>
      </c>
      <c r="X608" s="19" t="str">
        <f ca="1">IFERROR(__xludf.DUMMYFUNCTION("""COMPUTED_VALUE"""),"")</f>
        <v/>
      </c>
      <c r="Y608" s="19" t="str">
        <f ca="1">IFERROR(__xludf.DUMMYFUNCTION("""COMPUTED_VALUE"""),"")</f>
        <v/>
      </c>
      <c r="Z608" s="21" t="str">
        <f ca="1">IFERROR(__xludf.DUMMYFUNCTION("""COMPUTED_VALUE"""),"")</f>
        <v/>
      </c>
    </row>
    <row r="609" spans="1:26" ht="13" x14ac:dyDescent="0.15">
      <c r="A609" s="5" t="str">
        <f ca="1">IFERROR(__xludf.DUMMYFUNCTION("""COMPUTED_VALUE"""),"")</f>
        <v/>
      </c>
      <c r="B609" s="5" t="str">
        <f ca="1">IFERROR(__xludf.DUMMYFUNCTION("""COMPUTED_VALUE"""),"89750")</f>
        <v>89750</v>
      </c>
      <c r="C609" s="8">
        <f ca="1">IFERROR(__xludf.DUMMYFUNCTION("""COMPUTED_VALUE"""),44621000394)</f>
        <v>44621000394</v>
      </c>
      <c r="D609" s="5" t="str">
        <f ca="1">IFERROR(__xludf.DUMMYFUNCTION("""COMPUTED_VALUE"""),"SPXL220318C00080000")</f>
        <v>SPXL220318C00080000</v>
      </c>
      <c r="E609" s="164">
        <f ca="1">IFERROR(__xludf.DUMMYFUNCTION("""COMPUTED_VALUE"""),44621)</f>
        <v>44621</v>
      </c>
      <c r="F609" s="5" t="str">
        <f ca="1">IFERROR(__xludf.DUMMYFUNCTION("""COMPUTED_VALUE"""),"Option")</f>
        <v>Option</v>
      </c>
      <c r="G609" s="5" t="str">
        <f ca="1">IFERROR(__xludf.DUMMYFUNCTION("""COMPUTED_VALUE"""),"USD")</f>
        <v>USD</v>
      </c>
      <c r="H609" s="19">
        <f ca="1">IFERROR(__xludf.DUMMYFUNCTION("""COMPUTED_VALUE"""),-6)</f>
        <v>-6</v>
      </c>
      <c r="I609" s="165">
        <f ca="1">IFERROR(__xludf.DUMMYFUNCTION("""COMPUTED_VALUE"""),7.815805)</f>
        <v>7.8158050000000001</v>
      </c>
      <c r="J609" s="20">
        <f ca="1">IFERROR(__xludf.DUMMYFUNCTION("""COMPUTED_VALUE"""),17.9)</f>
        <v>17.899999999999999</v>
      </c>
      <c r="K609" s="5"/>
      <c r="L609" s="20">
        <f ca="1">IFERROR(__xludf.DUMMYFUNCTION("""COMPUTED_VALUE"""),33)</f>
        <v>33</v>
      </c>
      <c r="M609" s="22" t="str">
        <f ca="1">IFERROR(__xludf.DUMMYFUNCTION("""COMPUTED_VALUE"""),"")</f>
        <v/>
      </c>
      <c r="N609" s="5"/>
      <c r="O609" s="5"/>
      <c r="P609" s="102">
        <f ca="1">IFERROR(__xludf.DUMMYFUNCTION("""COMPUTED_VALUE"""),83941.7456999999)</f>
        <v>83941.745699999898</v>
      </c>
      <c r="Q609" s="5"/>
      <c r="R609" s="57">
        <f ca="1">IFERROR(__xludf.DUMMYFUNCTION("""COMPUTED_VALUE"""),0)</f>
        <v>0</v>
      </c>
      <c r="S609" s="102">
        <f ca="1">IFERROR(__xludf.DUMMYFUNCTION("""COMPUTED_VALUE"""),0)</f>
        <v>0</v>
      </c>
      <c r="T609" s="5">
        <f ca="1">IFERROR(__xludf.DUMMYFUNCTION("""COMPUTED_VALUE"""),4)</f>
        <v>4</v>
      </c>
      <c r="U609" s="5" t="str">
        <f ca="1">IFERROR(__xludf.DUMMYFUNCTION("""COMPUTED_VALUE"""),"")</f>
        <v/>
      </c>
      <c r="V609" s="19" t="str">
        <f ca="1">IFERROR(__xludf.DUMMYFUNCTION("""COMPUTED_VALUE"""),"")</f>
        <v/>
      </c>
      <c r="W609" s="8" t="str">
        <f ca="1">IFERROR(__xludf.DUMMYFUNCTION("""COMPUTED_VALUE"""),"")</f>
        <v/>
      </c>
      <c r="X609" s="19" t="str">
        <f ca="1">IFERROR(__xludf.DUMMYFUNCTION("""COMPUTED_VALUE"""),"")</f>
        <v/>
      </c>
      <c r="Y609" s="19" t="str">
        <f ca="1">IFERROR(__xludf.DUMMYFUNCTION("""COMPUTED_VALUE"""),"")</f>
        <v/>
      </c>
      <c r="Z609" s="21" t="str">
        <f ca="1">IFERROR(__xludf.DUMMYFUNCTION("""COMPUTED_VALUE"""),"")</f>
        <v/>
      </c>
    </row>
    <row r="610" spans="1:26" ht="13" x14ac:dyDescent="0.15">
      <c r="A610" s="5" t="str">
        <f ca="1">IFERROR(__xludf.DUMMYFUNCTION("""COMPUTED_VALUE"""),"")</f>
        <v/>
      </c>
      <c r="B610" s="5" t="str">
        <f ca="1">IFERROR(__xludf.DUMMYFUNCTION("""COMPUTED_VALUE"""),"89750")</f>
        <v>89750</v>
      </c>
      <c r="C610" s="8">
        <f ca="1">IFERROR(__xludf.DUMMYFUNCTION("""COMPUTED_VALUE"""),44621000397)</f>
        <v>44621000397</v>
      </c>
      <c r="D610" s="5" t="str">
        <f ca="1">IFERROR(__xludf.DUMMYFUNCTION("""COMPUTED_VALUE"""),"SOFI")</f>
        <v>SOFI</v>
      </c>
      <c r="E610" s="164">
        <f ca="1">IFERROR(__xludf.DUMMYFUNCTION("""COMPUTED_VALUE"""),44621)</f>
        <v>44621</v>
      </c>
      <c r="F610" s="5" t="str">
        <f ca="1">IFERROR(__xludf.DUMMYFUNCTION("""COMPUTED_VALUE"""),"Stock")</f>
        <v>Stock</v>
      </c>
      <c r="G610" s="5" t="str">
        <f ca="1">IFERROR(__xludf.DUMMYFUNCTION("""COMPUTED_VALUE"""),"USD")</f>
        <v>USD</v>
      </c>
      <c r="H610" s="19">
        <f ca="1">IFERROR(__xludf.DUMMYFUNCTION("""COMPUTED_VALUE"""),-100)</f>
        <v>-100</v>
      </c>
      <c r="I610" s="165">
        <f ca="1">IFERROR(__xludf.DUMMYFUNCTION("""COMPUTED_VALUE"""),7.815805)</f>
        <v>7.8158050000000001</v>
      </c>
      <c r="J610" s="20">
        <f ca="1">IFERROR(__xludf.DUMMYFUNCTION("""COMPUTED_VALUE"""),11.2)</f>
        <v>11.2</v>
      </c>
      <c r="K610" s="5"/>
      <c r="L610" s="20">
        <f ca="1">IFERROR(__xludf.DUMMYFUNCTION("""COMPUTED_VALUE"""),9.72)</f>
        <v>9.7200000000000006</v>
      </c>
      <c r="M610" s="166" t="str">
        <f ca="1">IFERROR(__xludf.DUMMYFUNCTION("""COMPUTED_VALUE"""),"Equity Key Stats")</f>
        <v>Equity Key Stats</v>
      </c>
      <c r="N610" s="5"/>
      <c r="O610" s="5"/>
      <c r="P610" s="102">
        <f ca="1">IFERROR(__xludf.DUMMYFUNCTION("""COMPUTED_VALUE"""),8753.7016)</f>
        <v>8753.7016000000003</v>
      </c>
      <c r="Q610" s="5"/>
      <c r="R610" s="57">
        <f ca="1">IFERROR(__xludf.DUMMYFUNCTION("""COMPUTED_VALUE"""),9.37)</f>
        <v>9.3699999999999992</v>
      </c>
      <c r="S610" s="102">
        <f ca="1">IFERROR(__xludf.DUMMYFUNCTION("""COMPUTED_VALUE"""),-7323.409285)</f>
        <v>-7323.4092849999997</v>
      </c>
      <c r="T610" s="5">
        <f ca="1">IFERROR(__xludf.DUMMYFUNCTION("""COMPUTED_VALUE"""),4)</f>
        <v>4</v>
      </c>
      <c r="U610" s="5">
        <f ca="1">IFERROR(__xludf.DUMMYFUNCTION("""COMPUTED_VALUE"""),1)</f>
        <v>1</v>
      </c>
      <c r="V610" s="19">
        <f ca="1">IFERROR(__xludf.DUMMYFUNCTION("""COMPUTED_VALUE"""),199.042249999998)</f>
        <v>199.04224999999801</v>
      </c>
      <c r="W610" s="8" t="str">
        <f ca="1">IFERROR(__xludf.DUMMYFUNCTION("""COMPUTED_VALUE"""),"")</f>
        <v/>
      </c>
      <c r="X610" s="19" t="str">
        <f ca="1">IFERROR(__xludf.DUMMYFUNCTION("""COMPUTED_VALUE"""),"")</f>
        <v/>
      </c>
      <c r="Y610" s="19" t="str">
        <f ca="1">IFERROR(__xludf.DUMMYFUNCTION("""COMPUTED_VALUE"""),"")</f>
        <v/>
      </c>
      <c r="Z610" s="21" t="str">
        <f ca="1">IFERROR(__xludf.DUMMYFUNCTION("""COMPUTED_VALUE"""),"")</f>
        <v/>
      </c>
    </row>
    <row r="611" spans="1:26" ht="13" x14ac:dyDescent="0.15">
      <c r="A611" s="5" t="str">
        <f ca="1">IFERROR(__xludf.DUMMYFUNCTION("""COMPUTED_VALUE"""),"")</f>
        <v/>
      </c>
      <c r="B611" s="5" t="str">
        <f ca="1">IFERROR(__xludf.DUMMYFUNCTION("""COMPUTED_VALUE"""),"89750")</f>
        <v>89750</v>
      </c>
      <c r="C611" s="8">
        <f ca="1">IFERROR(__xludf.DUMMYFUNCTION("""COMPUTED_VALUE"""),44621000398)</f>
        <v>44621000398</v>
      </c>
      <c r="D611" s="5" t="str">
        <f ca="1">IFERROR(__xludf.DUMMYFUNCTION("""COMPUTED_VALUE"""),"NU")</f>
        <v>NU</v>
      </c>
      <c r="E611" s="164">
        <f ca="1">IFERROR(__xludf.DUMMYFUNCTION("""COMPUTED_VALUE"""),44621)</f>
        <v>44621</v>
      </c>
      <c r="F611" s="5" t="str">
        <f ca="1">IFERROR(__xludf.DUMMYFUNCTION("""COMPUTED_VALUE"""),"Stock")</f>
        <v>Stock</v>
      </c>
      <c r="G611" s="5" t="str">
        <f ca="1">IFERROR(__xludf.DUMMYFUNCTION("""COMPUTED_VALUE"""),"USD")</f>
        <v>USD</v>
      </c>
      <c r="H611" s="19">
        <f ca="1">IFERROR(__xludf.DUMMYFUNCTION("""COMPUTED_VALUE"""),-90)</f>
        <v>-90</v>
      </c>
      <c r="I611" s="165">
        <f ca="1">IFERROR(__xludf.DUMMYFUNCTION("""COMPUTED_VALUE"""),7.815805)</f>
        <v>7.8158050000000001</v>
      </c>
      <c r="J611" s="20">
        <f ca="1">IFERROR(__xludf.DUMMYFUNCTION("""COMPUTED_VALUE"""),7.92)</f>
        <v>7.92</v>
      </c>
      <c r="K611" s="5"/>
      <c r="L611" s="20">
        <f ca="1">IFERROR(__xludf.DUMMYFUNCTION("""COMPUTED_VALUE"""),8.02)</f>
        <v>8.02</v>
      </c>
      <c r="M611" s="166" t="str">
        <f ca="1">IFERROR(__xludf.DUMMYFUNCTION("""COMPUTED_VALUE"""),"Equity Key Stats")</f>
        <v>Equity Key Stats</v>
      </c>
      <c r="N611" s="5"/>
      <c r="O611" s="5"/>
      <c r="P611" s="102">
        <f ca="1">IFERROR(__xludf.DUMMYFUNCTION("""COMPUTED_VALUE"""),5571.105804)</f>
        <v>5571.1058039999998</v>
      </c>
      <c r="Q611" s="5"/>
      <c r="R611" s="57">
        <f ca="1">IFERROR(__xludf.DUMMYFUNCTION("""COMPUTED_VALUE"""),7.91)</f>
        <v>7.91</v>
      </c>
      <c r="S611" s="102">
        <f ca="1">IFERROR(__xludf.DUMMYFUNCTION("""COMPUTED_VALUE"""),-5564.0715795)</f>
        <v>-5564.0715794999996</v>
      </c>
      <c r="T611" s="5">
        <f ca="1">IFERROR(__xludf.DUMMYFUNCTION("""COMPUTED_VALUE"""),3)</f>
        <v>3</v>
      </c>
      <c r="U611" s="5">
        <f ca="1">IFERROR(__xludf.DUMMYFUNCTION("""COMPUTED_VALUE"""),1)</f>
        <v>1</v>
      </c>
      <c r="V611" s="19">
        <f ca="1">IFERROR(__xludf.DUMMYFUNCTION("""COMPUTED_VALUE"""),-60.7805310000003)</f>
        <v>-60.780531000000302</v>
      </c>
      <c r="W611" s="8" t="str">
        <f ca="1">IFERROR(__xludf.DUMMYFUNCTION("""COMPUTED_VALUE"""),"")</f>
        <v/>
      </c>
      <c r="X611" s="19" t="str">
        <f ca="1">IFERROR(__xludf.DUMMYFUNCTION("""COMPUTED_VALUE"""),"")</f>
        <v/>
      </c>
      <c r="Y611" s="19" t="str">
        <f ca="1">IFERROR(__xludf.DUMMYFUNCTION("""COMPUTED_VALUE"""),"")</f>
        <v/>
      </c>
      <c r="Z611" s="21" t="str">
        <f ca="1">IFERROR(__xludf.DUMMYFUNCTION("""COMPUTED_VALUE"""),"")</f>
        <v/>
      </c>
    </row>
    <row r="612" spans="1:26" ht="13" x14ac:dyDescent="0.15">
      <c r="A612" s="5" t="str">
        <f ca="1">IFERROR(__xludf.DUMMYFUNCTION("""COMPUTED_VALUE"""),"")</f>
        <v/>
      </c>
      <c r="B612" s="5" t="str">
        <f ca="1">IFERROR(__xludf.DUMMYFUNCTION("""COMPUTED_VALUE"""),"89750")</f>
        <v>89750</v>
      </c>
      <c r="C612" s="8">
        <f ca="1">IFERROR(__xludf.DUMMYFUNCTION("""COMPUTED_VALUE"""),44621000399)</f>
        <v>44621000399</v>
      </c>
      <c r="D612" s="5" t="str">
        <f ca="1">IFERROR(__xludf.DUMMYFUNCTION("""COMPUTED_VALUE"""),"FTCH220318P00017500")</f>
        <v>FTCH220318P00017500</v>
      </c>
      <c r="E612" s="164">
        <f ca="1">IFERROR(__xludf.DUMMYFUNCTION("""COMPUTED_VALUE"""),44621)</f>
        <v>44621</v>
      </c>
      <c r="F612" s="5" t="str">
        <f ca="1">IFERROR(__xludf.DUMMYFUNCTION("""COMPUTED_VALUE"""),"Option")</f>
        <v>Option</v>
      </c>
      <c r="G612" s="5" t="str">
        <f ca="1">IFERROR(__xludf.DUMMYFUNCTION("""COMPUTED_VALUE"""),"USD")</f>
        <v>USD</v>
      </c>
      <c r="H612" s="19">
        <f ca="1">IFERROR(__xludf.DUMMYFUNCTION("""COMPUTED_VALUE"""),-100)</f>
        <v>-100</v>
      </c>
      <c r="I612" s="165">
        <f ca="1">IFERROR(__xludf.DUMMYFUNCTION("""COMPUTED_VALUE"""),7.815805)</f>
        <v>7.8158050000000001</v>
      </c>
      <c r="J612" s="20">
        <f ca="1">IFERROR(__xludf.DUMMYFUNCTION("""COMPUTED_VALUE"""),1.75)</f>
        <v>1.75</v>
      </c>
      <c r="K612" s="5"/>
      <c r="L612" s="20">
        <f ca="1">IFERROR(__xludf.DUMMYFUNCTION("""COMPUTED_VALUE"""),3.25)</f>
        <v>3.25</v>
      </c>
      <c r="M612" s="22" t="str">
        <f ca="1">IFERROR(__xludf.DUMMYFUNCTION("""COMPUTED_VALUE"""),"")</f>
        <v/>
      </c>
      <c r="N612" s="5"/>
      <c r="O612" s="5"/>
      <c r="P612" s="102">
        <f ca="1">IFERROR(__xludf.DUMMYFUNCTION("""COMPUTED_VALUE"""),136776.5875)</f>
        <v>136776.58749999999</v>
      </c>
      <c r="Q612" s="5"/>
      <c r="R612" s="57">
        <f ca="1">IFERROR(__xludf.DUMMYFUNCTION("""COMPUTED_VALUE"""),0)</f>
        <v>0</v>
      </c>
      <c r="S612" s="102">
        <f ca="1">IFERROR(__xludf.DUMMYFUNCTION("""COMPUTED_VALUE"""),0)</f>
        <v>0</v>
      </c>
      <c r="T612" s="5">
        <f ca="1">IFERROR(__xludf.DUMMYFUNCTION("""COMPUTED_VALUE"""),3)</f>
        <v>3</v>
      </c>
      <c r="U612" s="5">
        <f ca="1">IFERROR(__xludf.DUMMYFUNCTION("""COMPUTED_VALUE"""),1)</f>
        <v>1</v>
      </c>
      <c r="V612" s="19">
        <f ca="1">IFERROR(__xludf.DUMMYFUNCTION("""COMPUTED_VALUE"""),73112.135)</f>
        <v>73112.134999999995</v>
      </c>
      <c r="W612" s="8" t="str">
        <f ca="1">IFERROR(__xludf.DUMMYFUNCTION("""COMPUTED_VALUE"""),"")</f>
        <v/>
      </c>
      <c r="X612" s="19" t="str">
        <f ca="1">IFERROR(__xludf.DUMMYFUNCTION("""COMPUTED_VALUE"""),"")</f>
        <v/>
      </c>
      <c r="Y612" s="19" t="str">
        <f ca="1">IFERROR(__xludf.DUMMYFUNCTION("""COMPUTED_VALUE"""),"")</f>
        <v/>
      </c>
      <c r="Z612" s="21" t="str">
        <f ca="1">IFERROR(__xludf.DUMMYFUNCTION("""COMPUTED_VALUE"""),"")</f>
        <v/>
      </c>
    </row>
    <row r="613" spans="1:26" ht="13" x14ac:dyDescent="0.15">
      <c r="A613" s="5" t="str">
        <f ca="1">IFERROR(__xludf.DUMMYFUNCTION("""COMPUTED_VALUE"""),"")</f>
        <v/>
      </c>
      <c r="B613" s="5" t="str">
        <f ca="1">IFERROR(__xludf.DUMMYFUNCTION("""COMPUTED_VALUE"""),"89750")</f>
        <v>89750</v>
      </c>
      <c r="C613" s="8">
        <f ca="1">IFERROR(__xludf.DUMMYFUNCTION("""COMPUTED_VALUE"""),44622000400)</f>
        <v>44622000400</v>
      </c>
      <c r="D613" s="5" t="str">
        <f ca="1">IFERROR(__xludf.DUMMYFUNCTION("""COMPUTED_VALUE"""),"SOXL")</f>
        <v>SOXL</v>
      </c>
      <c r="E613" s="164">
        <f ca="1">IFERROR(__xludf.DUMMYFUNCTION("""COMPUTED_VALUE"""),44622)</f>
        <v>44622</v>
      </c>
      <c r="F613" s="5" t="str">
        <f ca="1">IFERROR(__xludf.DUMMYFUNCTION("""COMPUTED_VALUE"""),"Stock")</f>
        <v>Stock</v>
      </c>
      <c r="G613" s="5" t="str">
        <f ca="1">IFERROR(__xludf.DUMMYFUNCTION("""COMPUTED_VALUE"""),"USD")</f>
        <v>USD</v>
      </c>
      <c r="H613" s="19">
        <f ca="1">IFERROR(__xludf.DUMMYFUNCTION("""COMPUTED_VALUE"""),100)</f>
        <v>100</v>
      </c>
      <c r="I613" s="165">
        <f ca="1">IFERROR(__xludf.DUMMYFUNCTION("""COMPUTED_VALUE"""),7.81395)</f>
        <v>7.8139500000000002</v>
      </c>
      <c r="J613" s="20">
        <f ca="1">IFERROR(__xludf.DUMMYFUNCTION("""COMPUTED_VALUE"""),36.58)</f>
        <v>36.58</v>
      </c>
      <c r="K613" s="5"/>
      <c r="L613" s="20">
        <f ca="1">IFERROR(__xludf.DUMMYFUNCTION("""COMPUTED_VALUE"""),39.59)</f>
        <v>39.590000000000003</v>
      </c>
      <c r="M613" s="166" t="str">
        <f ca="1">IFERROR(__xludf.DUMMYFUNCTION("""COMPUTED_VALUE"""),"Equity Key Stats")</f>
        <v>Equity Key Stats</v>
      </c>
      <c r="N613" s="5"/>
      <c r="O613" s="5"/>
      <c r="P613" s="102">
        <f ca="1">IFERROR(__xludf.DUMMYFUNCTION("""COMPUTED_VALUE"""),-28583.4290999999)</f>
        <v>-28583.429099999899</v>
      </c>
      <c r="Q613" s="5"/>
      <c r="R613" s="57">
        <f ca="1">IFERROR(__xludf.DUMMYFUNCTION("""COMPUTED_VALUE"""),36.69)</f>
        <v>36.69</v>
      </c>
      <c r="S613" s="102">
        <f ca="1">IFERROR(__xludf.DUMMYFUNCTION("""COMPUTED_VALUE"""),28669.38255)</f>
        <v>28669.382549999998</v>
      </c>
      <c r="T613" s="5">
        <f ca="1">IFERROR(__xludf.DUMMYFUNCTION("""COMPUTED_VALUE"""),4)</f>
        <v>4</v>
      </c>
      <c r="U613" s="5" t="str">
        <f ca="1">IFERROR(__xludf.DUMMYFUNCTION("""COMPUTED_VALUE"""),"")</f>
        <v/>
      </c>
      <c r="V613" s="19" t="str">
        <f ca="1">IFERROR(__xludf.DUMMYFUNCTION("""COMPUTED_VALUE"""),"")</f>
        <v/>
      </c>
      <c r="W613" s="8" t="str">
        <f ca="1">IFERROR(__xludf.DUMMYFUNCTION("""COMPUTED_VALUE"""),"")</f>
        <v/>
      </c>
      <c r="X613" s="19" t="str">
        <f ca="1">IFERROR(__xludf.DUMMYFUNCTION("""COMPUTED_VALUE"""),"")</f>
        <v/>
      </c>
      <c r="Y613" s="19" t="str">
        <f ca="1">IFERROR(__xludf.DUMMYFUNCTION("""COMPUTED_VALUE"""),"")</f>
        <v/>
      </c>
      <c r="Z613" s="21" t="str">
        <f ca="1">IFERROR(__xludf.DUMMYFUNCTION("""COMPUTED_VALUE"""),"")</f>
        <v/>
      </c>
    </row>
    <row r="614" spans="1:26" ht="13" x14ac:dyDescent="0.15">
      <c r="A614" s="5" t="str">
        <f ca="1">IFERROR(__xludf.DUMMYFUNCTION("""COMPUTED_VALUE"""),"")</f>
        <v/>
      </c>
      <c r="B614" s="5" t="str">
        <f ca="1">IFERROR(__xludf.DUMMYFUNCTION("""COMPUTED_VALUE"""),"89750")</f>
        <v>89750</v>
      </c>
      <c r="C614" s="8">
        <f ca="1">IFERROR(__xludf.DUMMYFUNCTION("""COMPUTED_VALUE"""),44622000401)</f>
        <v>44622000401</v>
      </c>
      <c r="D614" s="71" t="str">
        <f ca="1">IFERROR(__xludf.DUMMYFUNCTION("""COMPUTED_VALUE"""),"9988.HK")</f>
        <v>9988.HK</v>
      </c>
      <c r="E614" s="164">
        <f ca="1">IFERROR(__xludf.DUMMYFUNCTION("""COMPUTED_VALUE"""),44622)</f>
        <v>44622</v>
      </c>
      <c r="F614" s="5" t="str">
        <f ca="1">IFERROR(__xludf.DUMMYFUNCTION("""COMPUTED_VALUE"""),"Stock")</f>
        <v>Stock</v>
      </c>
      <c r="G614" s="5" t="str">
        <f ca="1">IFERROR(__xludf.DUMMYFUNCTION("""COMPUTED_VALUE"""),"HKD")</f>
        <v>HKD</v>
      </c>
      <c r="H614" s="19">
        <f ca="1">IFERROR(__xludf.DUMMYFUNCTION("""COMPUTED_VALUE"""),1000)</f>
        <v>1000</v>
      </c>
      <c r="I614" s="165">
        <f ca="1">IFERROR(__xludf.DUMMYFUNCTION("""COMPUTED_VALUE"""),1)</f>
        <v>1</v>
      </c>
      <c r="J614" s="20">
        <f ca="1">IFERROR(__xludf.DUMMYFUNCTION("""COMPUTED_VALUE"""),103.9)</f>
        <v>103.9</v>
      </c>
      <c r="K614" s="5"/>
      <c r="L614" s="20">
        <f ca="1">IFERROR(__xludf.DUMMYFUNCTION("""COMPUTED_VALUE"""),110.2)</f>
        <v>110.2</v>
      </c>
      <c r="M614" s="166" t="str">
        <f ca="1">IFERROR(__xludf.DUMMYFUNCTION("""COMPUTED_VALUE"""),"Equity Key Stats")</f>
        <v>Equity Key Stats</v>
      </c>
      <c r="N614" s="5"/>
      <c r="O614" s="5"/>
      <c r="P614" s="102">
        <f ca="1">IFERROR(__xludf.DUMMYFUNCTION("""COMPUTED_VALUE"""),-103900)</f>
        <v>-103900</v>
      </c>
      <c r="Q614" s="5"/>
      <c r="R614" s="57">
        <f ca="1">IFERROR(__xludf.DUMMYFUNCTION("""COMPUTED_VALUE"""),117.6)</f>
        <v>117.6</v>
      </c>
      <c r="S614" s="102">
        <f ca="1">IFERROR(__xludf.DUMMYFUNCTION("""COMPUTED_VALUE"""),117600)</f>
        <v>117600</v>
      </c>
      <c r="T614" s="5">
        <f ca="1">IFERROR(__xludf.DUMMYFUNCTION("""COMPUTED_VALUE"""),2)</f>
        <v>2</v>
      </c>
      <c r="U614" s="5" t="str">
        <f ca="1">IFERROR(__xludf.DUMMYFUNCTION("""COMPUTED_VALUE"""),"")</f>
        <v/>
      </c>
      <c r="V614" s="19" t="str">
        <f ca="1">IFERROR(__xludf.DUMMYFUNCTION("""COMPUTED_VALUE"""),"")</f>
        <v/>
      </c>
      <c r="W614" s="8" t="str">
        <f ca="1">IFERROR(__xludf.DUMMYFUNCTION("""COMPUTED_VALUE"""),"")</f>
        <v/>
      </c>
      <c r="X614" s="19" t="str">
        <f ca="1">IFERROR(__xludf.DUMMYFUNCTION("""COMPUTED_VALUE"""),"")</f>
        <v/>
      </c>
      <c r="Y614" s="19" t="str">
        <f ca="1">IFERROR(__xludf.DUMMYFUNCTION("""COMPUTED_VALUE"""),"")</f>
        <v/>
      </c>
      <c r="Z614" s="21" t="str">
        <f ca="1">IFERROR(__xludf.DUMMYFUNCTION("""COMPUTED_VALUE"""),"")</f>
        <v/>
      </c>
    </row>
    <row r="615" spans="1:26" ht="13" x14ac:dyDescent="0.15">
      <c r="A615" s="5" t="str">
        <f ca="1">IFERROR(__xludf.DUMMYFUNCTION("""COMPUTED_VALUE"""),"")</f>
        <v/>
      </c>
      <c r="B615" s="5" t="str">
        <f ca="1">IFERROR(__xludf.DUMMYFUNCTION("""COMPUTED_VALUE"""),"89750")</f>
        <v>89750</v>
      </c>
      <c r="C615" s="8">
        <f ca="1">IFERROR(__xludf.DUMMYFUNCTION("""COMPUTED_VALUE"""),44622000407)</f>
        <v>44622000407</v>
      </c>
      <c r="D615" s="5" t="str">
        <f ca="1">IFERROR(__xludf.DUMMYFUNCTION("""COMPUTED_VALUE"""),"SPXL220318C00080000")</f>
        <v>SPXL220318C00080000</v>
      </c>
      <c r="E615" s="164">
        <f ca="1">IFERROR(__xludf.DUMMYFUNCTION("""COMPUTED_VALUE"""),44622)</f>
        <v>44622</v>
      </c>
      <c r="F615" s="5" t="str">
        <f ca="1">IFERROR(__xludf.DUMMYFUNCTION("""COMPUTED_VALUE"""),"Option")</f>
        <v>Option</v>
      </c>
      <c r="G615" s="5" t="str">
        <f ca="1">IFERROR(__xludf.DUMMYFUNCTION("""COMPUTED_VALUE"""),"USD")</f>
        <v>USD</v>
      </c>
      <c r="H615" s="19">
        <f ca="1">IFERROR(__xludf.DUMMYFUNCTION("""COMPUTED_VALUE"""),-2)</f>
        <v>-2</v>
      </c>
      <c r="I615" s="165">
        <f ca="1">IFERROR(__xludf.DUMMYFUNCTION("""COMPUTED_VALUE"""),7.81395)</f>
        <v>7.8139500000000002</v>
      </c>
      <c r="J615" s="20">
        <f ca="1">IFERROR(__xludf.DUMMYFUNCTION("""COMPUTED_VALUE"""),27.91)</f>
        <v>27.91</v>
      </c>
      <c r="K615" s="5"/>
      <c r="L615" s="20">
        <f ca="1">IFERROR(__xludf.DUMMYFUNCTION("""COMPUTED_VALUE"""),33)</f>
        <v>33</v>
      </c>
      <c r="M615" s="22" t="str">
        <f ca="1">IFERROR(__xludf.DUMMYFUNCTION("""COMPUTED_VALUE"""),"")</f>
        <v/>
      </c>
      <c r="N615" s="5"/>
      <c r="O615" s="5"/>
      <c r="P615" s="102">
        <f ca="1">IFERROR(__xludf.DUMMYFUNCTION("""COMPUTED_VALUE"""),43617.4689)</f>
        <v>43617.4689</v>
      </c>
      <c r="Q615" s="5"/>
      <c r="R615" s="57">
        <f ca="1">IFERROR(__xludf.DUMMYFUNCTION("""COMPUTED_VALUE"""),0)</f>
        <v>0</v>
      </c>
      <c r="S615" s="102">
        <f ca="1">IFERROR(__xludf.DUMMYFUNCTION("""COMPUTED_VALUE"""),0)</f>
        <v>0</v>
      </c>
      <c r="T615" s="5">
        <f ca="1">IFERROR(__xludf.DUMMYFUNCTION("""COMPUTED_VALUE"""),4)</f>
        <v>4</v>
      </c>
      <c r="U615" s="5">
        <f ca="1">IFERROR(__xludf.DUMMYFUNCTION("""COMPUTED_VALUE"""),1)</f>
        <v>1</v>
      </c>
      <c r="V615" s="19">
        <f ca="1">IFERROR(__xludf.DUMMYFUNCTION("""COMPUTED_VALUE"""),15761.0950999999)</f>
        <v>15761.0950999999</v>
      </c>
      <c r="W615" s="8" t="str">
        <f ca="1">IFERROR(__xludf.DUMMYFUNCTION("""COMPUTED_VALUE"""),"")</f>
        <v/>
      </c>
      <c r="X615" s="19" t="str">
        <f ca="1">IFERROR(__xludf.DUMMYFUNCTION("""COMPUTED_VALUE"""),"")</f>
        <v/>
      </c>
      <c r="Y615" s="19" t="str">
        <f ca="1">IFERROR(__xludf.DUMMYFUNCTION("""COMPUTED_VALUE"""),"")</f>
        <v/>
      </c>
      <c r="Z615" s="21" t="str">
        <f ca="1">IFERROR(__xludf.DUMMYFUNCTION("""COMPUTED_VALUE"""),"")</f>
        <v/>
      </c>
    </row>
    <row r="616" spans="1:26" ht="13" x14ac:dyDescent="0.15">
      <c r="A616" s="5" t="str">
        <f ca="1">IFERROR(__xludf.DUMMYFUNCTION("""COMPUTED_VALUE"""),"")</f>
        <v/>
      </c>
      <c r="B616" s="5" t="str">
        <f ca="1">IFERROR(__xludf.DUMMYFUNCTION("""COMPUTED_VALUE"""),"89750")</f>
        <v>89750</v>
      </c>
      <c r="C616" s="8">
        <f ca="1">IFERROR(__xludf.DUMMYFUNCTION("""COMPUTED_VALUE"""),44622000408)</f>
        <v>44622000408</v>
      </c>
      <c r="D616" s="5" t="str">
        <f ca="1">IFERROR(__xludf.DUMMYFUNCTION("""COMPUTED_VALUE"""),"SOXL")</f>
        <v>SOXL</v>
      </c>
      <c r="E616" s="164">
        <f ca="1">IFERROR(__xludf.DUMMYFUNCTION("""COMPUTED_VALUE"""),44622)</f>
        <v>44622</v>
      </c>
      <c r="F616" s="5" t="str">
        <f ca="1">IFERROR(__xludf.DUMMYFUNCTION("""COMPUTED_VALUE"""),"Stock")</f>
        <v>Stock</v>
      </c>
      <c r="G616" s="5" t="str">
        <f ca="1">IFERROR(__xludf.DUMMYFUNCTION("""COMPUTED_VALUE"""),"USD")</f>
        <v>USD</v>
      </c>
      <c r="H616" s="19">
        <f ca="1">IFERROR(__xludf.DUMMYFUNCTION("""COMPUTED_VALUE"""),-100)</f>
        <v>-100</v>
      </c>
      <c r="I616" s="165">
        <f ca="1">IFERROR(__xludf.DUMMYFUNCTION("""COMPUTED_VALUE"""),7.81395)</f>
        <v>7.8139500000000002</v>
      </c>
      <c r="J616" s="20">
        <f ca="1">IFERROR(__xludf.DUMMYFUNCTION("""COMPUTED_VALUE"""),40.12)</f>
        <v>40.119999999999997</v>
      </c>
      <c r="K616" s="5"/>
      <c r="L616" s="20">
        <f ca="1">IFERROR(__xludf.DUMMYFUNCTION("""COMPUTED_VALUE"""),39.59)</f>
        <v>39.590000000000003</v>
      </c>
      <c r="M616" s="166" t="str">
        <f ca="1">IFERROR(__xludf.DUMMYFUNCTION("""COMPUTED_VALUE"""),"Equity Key Stats")</f>
        <v>Equity Key Stats</v>
      </c>
      <c r="N616" s="5"/>
      <c r="O616" s="5"/>
      <c r="P616" s="102">
        <f ca="1">IFERROR(__xludf.DUMMYFUNCTION("""COMPUTED_VALUE"""),31349.5673999999)</f>
        <v>31349.567399999902</v>
      </c>
      <c r="Q616" s="5"/>
      <c r="R616" s="57">
        <f ca="1">IFERROR(__xludf.DUMMYFUNCTION("""COMPUTED_VALUE"""),36.69)</f>
        <v>36.69</v>
      </c>
      <c r="S616" s="102">
        <f ca="1">IFERROR(__xludf.DUMMYFUNCTION("""COMPUTED_VALUE"""),-28669.38255)</f>
        <v>-28669.382549999998</v>
      </c>
      <c r="T616" s="5">
        <f ca="1">IFERROR(__xludf.DUMMYFUNCTION("""COMPUTED_VALUE"""),4)</f>
        <v>4</v>
      </c>
      <c r="U616" s="5">
        <f ca="1">IFERROR(__xludf.DUMMYFUNCTION("""COMPUTED_VALUE"""),1)</f>
        <v>1</v>
      </c>
      <c r="V616" s="19">
        <f ca="1">IFERROR(__xludf.DUMMYFUNCTION("""COMPUTED_VALUE"""),2982.55039199999)</f>
        <v>2982.5503919999901</v>
      </c>
      <c r="W616" s="8" t="str">
        <f ca="1">IFERROR(__xludf.DUMMYFUNCTION("""COMPUTED_VALUE"""),"")</f>
        <v/>
      </c>
      <c r="X616" s="19" t="str">
        <f ca="1">IFERROR(__xludf.DUMMYFUNCTION("""COMPUTED_VALUE"""),"")</f>
        <v/>
      </c>
      <c r="Y616" s="19" t="str">
        <f ca="1">IFERROR(__xludf.DUMMYFUNCTION("""COMPUTED_VALUE"""),"")</f>
        <v/>
      </c>
      <c r="Z616" s="21" t="str">
        <f ca="1">IFERROR(__xludf.DUMMYFUNCTION("""COMPUTED_VALUE"""),"")</f>
        <v/>
      </c>
    </row>
    <row r="617" spans="1:26" ht="13" x14ac:dyDescent="0.15">
      <c r="A617" s="5" t="str">
        <f ca="1">IFERROR(__xludf.DUMMYFUNCTION("""COMPUTED_VALUE"""),"")</f>
        <v/>
      </c>
      <c r="B617" s="5" t="str">
        <f ca="1">IFERROR(__xludf.DUMMYFUNCTION("""COMPUTED_VALUE"""),"89750")</f>
        <v>89750</v>
      </c>
      <c r="C617" s="8">
        <f ca="1">IFERROR(__xludf.DUMMYFUNCTION("""COMPUTED_VALUE"""),44623000421)</f>
        <v>44623000421</v>
      </c>
      <c r="D617" s="5" t="str">
        <f ca="1">IFERROR(__xludf.DUMMYFUNCTION("""COMPUTED_VALUE"""),"TQQQ220311P00057500")</f>
        <v>TQQQ220311P00057500</v>
      </c>
      <c r="E617" s="164">
        <f ca="1">IFERROR(__xludf.DUMMYFUNCTION("""COMPUTED_VALUE"""),44623)</f>
        <v>44623</v>
      </c>
      <c r="F617" s="5" t="str">
        <f ca="1">IFERROR(__xludf.DUMMYFUNCTION("""COMPUTED_VALUE"""),"Option")</f>
        <v>Option</v>
      </c>
      <c r="G617" s="5" t="str">
        <f ca="1">IFERROR(__xludf.DUMMYFUNCTION("""COMPUTED_VALUE"""),"USD")</f>
        <v>USD</v>
      </c>
      <c r="H617" s="19">
        <f ca="1">IFERROR(__xludf.DUMMYFUNCTION("""COMPUTED_VALUE"""),10)</f>
        <v>10</v>
      </c>
      <c r="I617" s="165">
        <f ca="1">IFERROR(__xludf.DUMMYFUNCTION("""COMPUTED_VALUE"""),7.81585)</f>
        <v>7.8158500000000002</v>
      </c>
      <c r="J617" s="20">
        <f ca="1">IFERROR(__xludf.DUMMYFUNCTION("""COMPUTED_VALUE"""),6.54)</f>
        <v>6.54</v>
      </c>
      <c r="K617" s="5"/>
      <c r="L617" s="20">
        <f ca="1">IFERROR(__xludf.DUMMYFUNCTION("""COMPUTED_VALUE"""),0)</f>
        <v>0</v>
      </c>
      <c r="M617" s="22" t="str">
        <f ca="1">IFERROR(__xludf.DUMMYFUNCTION("""COMPUTED_VALUE"""),"")</f>
        <v/>
      </c>
      <c r="N617" s="5"/>
      <c r="O617" s="5"/>
      <c r="P617" s="102">
        <f ca="1">IFERROR(__xludf.DUMMYFUNCTION("""COMPUTED_VALUE"""),-51115.659)</f>
        <v>-51115.659</v>
      </c>
      <c r="Q617" s="5"/>
      <c r="R617" s="57">
        <f ca="1">IFERROR(__xludf.DUMMYFUNCTION("""COMPUTED_VALUE"""),0)</f>
        <v>0</v>
      </c>
      <c r="S617" s="102">
        <f ca="1">IFERROR(__xludf.DUMMYFUNCTION("""COMPUTED_VALUE"""),0)</f>
        <v>0</v>
      </c>
      <c r="T617" s="5">
        <f ca="1">IFERROR(__xludf.DUMMYFUNCTION("""COMPUTED_VALUE"""),3)</f>
        <v>3</v>
      </c>
      <c r="U617" s="5" t="str">
        <f ca="1">IFERROR(__xludf.DUMMYFUNCTION("""COMPUTED_VALUE"""),"")</f>
        <v/>
      </c>
      <c r="V617" s="19" t="str">
        <f ca="1">IFERROR(__xludf.DUMMYFUNCTION("""COMPUTED_VALUE"""),"")</f>
        <v/>
      </c>
      <c r="W617" s="8" t="str">
        <f ca="1">IFERROR(__xludf.DUMMYFUNCTION("""COMPUTED_VALUE"""),"")</f>
        <v/>
      </c>
      <c r="X617" s="19" t="str">
        <f ca="1">IFERROR(__xludf.DUMMYFUNCTION("""COMPUTED_VALUE"""),"")</f>
        <v/>
      </c>
      <c r="Y617" s="19" t="str">
        <f ca="1">IFERROR(__xludf.DUMMYFUNCTION("""COMPUTED_VALUE"""),"")</f>
        <v/>
      </c>
      <c r="Z617" s="21" t="str">
        <f ca="1">IFERROR(__xludf.DUMMYFUNCTION("""COMPUTED_VALUE"""),"")</f>
        <v/>
      </c>
    </row>
    <row r="618" spans="1:26" ht="13" x14ac:dyDescent="0.15">
      <c r="A618" s="5" t="str">
        <f ca="1">IFERROR(__xludf.DUMMYFUNCTION("""COMPUTED_VALUE"""),"")</f>
        <v/>
      </c>
      <c r="B618" s="5" t="str">
        <f ca="1">IFERROR(__xludf.DUMMYFUNCTION("""COMPUTED_VALUE"""),"89750")</f>
        <v>89750</v>
      </c>
      <c r="C618" s="8">
        <f ca="1">IFERROR(__xludf.DUMMYFUNCTION("""COMPUTED_VALUE"""),44623000422)</f>
        <v>44623000422</v>
      </c>
      <c r="D618" s="5" t="str">
        <f ca="1">IFERROR(__xludf.DUMMYFUNCTION("""COMPUTED_VALUE"""),"RLX220414C00005000")</f>
        <v>RLX220414C00005000</v>
      </c>
      <c r="E618" s="164">
        <f ca="1">IFERROR(__xludf.DUMMYFUNCTION("""COMPUTED_VALUE"""),44623)</f>
        <v>44623</v>
      </c>
      <c r="F618" s="5" t="str">
        <f ca="1">IFERROR(__xludf.DUMMYFUNCTION("""COMPUTED_VALUE"""),"Option")</f>
        <v>Option</v>
      </c>
      <c r="G618" s="5" t="str">
        <f ca="1">IFERROR(__xludf.DUMMYFUNCTION("""COMPUTED_VALUE"""),"USD")</f>
        <v>USD</v>
      </c>
      <c r="H618" s="19">
        <f ca="1">IFERROR(__xludf.DUMMYFUNCTION("""COMPUTED_VALUE"""),1000)</f>
        <v>1000</v>
      </c>
      <c r="I618" s="165">
        <f ca="1">IFERROR(__xludf.DUMMYFUNCTION("""COMPUTED_VALUE"""),7.81585)</f>
        <v>7.8158500000000002</v>
      </c>
      <c r="J618" s="20">
        <f ca="1">IFERROR(__xludf.DUMMYFUNCTION("""COMPUTED_VALUE"""),0.09)</f>
        <v>0.09</v>
      </c>
      <c r="K618" s="5"/>
      <c r="L618" s="20">
        <f ca="1">IFERROR(__xludf.DUMMYFUNCTION("""COMPUTED_VALUE"""),0.05)</f>
        <v>0.05</v>
      </c>
      <c r="M618" s="22" t="str">
        <f ca="1">IFERROR(__xludf.DUMMYFUNCTION("""COMPUTED_VALUE"""),"")</f>
        <v/>
      </c>
      <c r="N618" s="5"/>
      <c r="O618" s="5"/>
      <c r="P618" s="102">
        <f ca="1">IFERROR(__xludf.DUMMYFUNCTION("""COMPUTED_VALUE"""),-70342.65)</f>
        <v>-70342.649999999994</v>
      </c>
      <c r="Q618" s="5"/>
      <c r="R618" s="57">
        <f ca="1">IFERROR(__xludf.DUMMYFUNCTION("""COMPUTED_VALUE"""),0.05)</f>
        <v>0.05</v>
      </c>
      <c r="S618" s="102">
        <f ca="1">IFERROR(__xludf.DUMMYFUNCTION("""COMPUTED_VALUE"""),39079.25)</f>
        <v>39079.25</v>
      </c>
      <c r="T618" s="5">
        <f ca="1">IFERROR(__xludf.DUMMYFUNCTION("""COMPUTED_VALUE"""),2)</f>
        <v>2</v>
      </c>
      <c r="U618" s="5" t="str">
        <f ca="1">IFERROR(__xludf.DUMMYFUNCTION("""COMPUTED_VALUE"""),"")</f>
        <v/>
      </c>
      <c r="V618" s="19" t="str">
        <f ca="1">IFERROR(__xludf.DUMMYFUNCTION("""COMPUTED_VALUE"""),"")</f>
        <v/>
      </c>
      <c r="W618" s="8" t="str">
        <f ca="1">IFERROR(__xludf.DUMMYFUNCTION("""COMPUTED_VALUE"""),"")</f>
        <v/>
      </c>
      <c r="X618" s="19" t="str">
        <f ca="1">IFERROR(__xludf.DUMMYFUNCTION("""COMPUTED_VALUE"""),"")</f>
        <v/>
      </c>
      <c r="Y618" s="19" t="str">
        <f ca="1">IFERROR(__xludf.DUMMYFUNCTION("""COMPUTED_VALUE"""),"")</f>
        <v/>
      </c>
      <c r="Z618" s="21" t="str">
        <f ca="1">IFERROR(__xludf.DUMMYFUNCTION("""COMPUTED_VALUE"""),"")</f>
        <v/>
      </c>
    </row>
    <row r="619" spans="1:26" ht="13" x14ac:dyDescent="0.15">
      <c r="A619" s="5" t="str">
        <f ca="1">IFERROR(__xludf.DUMMYFUNCTION("""COMPUTED_VALUE"""),"")</f>
        <v/>
      </c>
      <c r="B619" s="5" t="str">
        <f ca="1">IFERROR(__xludf.DUMMYFUNCTION("""COMPUTED_VALUE"""),"89750")</f>
        <v>89750</v>
      </c>
      <c r="C619" s="8">
        <f ca="1">IFERROR(__xludf.DUMMYFUNCTION("""COMPUTED_VALUE"""),44623000423)</f>
        <v>44623000423</v>
      </c>
      <c r="D619" s="5" t="str">
        <f ca="1">IFERROR(__xludf.DUMMYFUNCTION("""COMPUTED_VALUE"""),"TQQQ220311P00057500")</f>
        <v>TQQQ220311P00057500</v>
      </c>
      <c r="E619" s="164">
        <f ca="1">IFERROR(__xludf.DUMMYFUNCTION("""COMPUTED_VALUE"""),44623)</f>
        <v>44623</v>
      </c>
      <c r="F619" s="5" t="str">
        <f ca="1">IFERROR(__xludf.DUMMYFUNCTION("""COMPUTED_VALUE"""),"Option")</f>
        <v>Option</v>
      </c>
      <c r="G619" s="5" t="str">
        <f ca="1">IFERROR(__xludf.DUMMYFUNCTION("""COMPUTED_VALUE"""),"USD")</f>
        <v>USD</v>
      </c>
      <c r="H619" s="19">
        <f ca="1">IFERROR(__xludf.DUMMYFUNCTION("""COMPUTED_VALUE"""),10)</f>
        <v>10</v>
      </c>
      <c r="I619" s="165">
        <f ca="1">IFERROR(__xludf.DUMMYFUNCTION("""COMPUTED_VALUE"""),7.81585)</f>
        <v>7.8158500000000002</v>
      </c>
      <c r="J619" s="20">
        <f ca="1">IFERROR(__xludf.DUMMYFUNCTION("""COMPUTED_VALUE"""),4.84)</f>
        <v>4.84</v>
      </c>
      <c r="K619" s="5"/>
      <c r="L619" s="20">
        <f ca="1">IFERROR(__xludf.DUMMYFUNCTION("""COMPUTED_VALUE"""),0)</f>
        <v>0</v>
      </c>
      <c r="M619" s="22" t="str">
        <f ca="1">IFERROR(__xludf.DUMMYFUNCTION("""COMPUTED_VALUE"""),"")</f>
        <v/>
      </c>
      <c r="N619" s="5"/>
      <c r="O619" s="5"/>
      <c r="P619" s="102">
        <f ca="1">IFERROR(__xludf.DUMMYFUNCTION("""COMPUTED_VALUE"""),-37828.714)</f>
        <v>-37828.714</v>
      </c>
      <c r="Q619" s="5"/>
      <c r="R619" s="57">
        <f ca="1">IFERROR(__xludf.DUMMYFUNCTION("""COMPUTED_VALUE"""),0)</f>
        <v>0</v>
      </c>
      <c r="S619" s="102">
        <f ca="1">IFERROR(__xludf.DUMMYFUNCTION("""COMPUTED_VALUE"""),0)</f>
        <v>0</v>
      </c>
      <c r="T619" s="5">
        <f ca="1">IFERROR(__xludf.DUMMYFUNCTION("""COMPUTED_VALUE"""),3)</f>
        <v>3</v>
      </c>
      <c r="U619" s="5" t="str">
        <f ca="1">IFERROR(__xludf.DUMMYFUNCTION("""COMPUTED_VALUE"""),"")</f>
        <v/>
      </c>
      <c r="V619" s="19" t="str">
        <f ca="1">IFERROR(__xludf.DUMMYFUNCTION("""COMPUTED_VALUE"""),"")</f>
        <v/>
      </c>
      <c r="W619" s="8" t="str">
        <f ca="1">IFERROR(__xludf.DUMMYFUNCTION("""COMPUTED_VALUE"""),"")</f>
        <v/>
      </c>
      <c r="X619" s="19" t="str">
        <f ca="1">IFERROR(__xludf.DUMMYFUNCTION("""COMPUTED_VALUE"""),"")</f>
        <v/>
      </c>
      <c r="Y619" s="19" t="str">
        <f ca="1">IFERROR(__xludf.DUMMYFUNCTION("""COMPUTED_VALUE"""),"")</f>
        <v/>
      </c>
      <c r="Z619" s="21" t="str">
        <f ca="1">IFERROR(__xludf.DUMMYFUNCTION("""COMPUTED_VALUE"""),"")</f>
        <v/>
      </c>
    </row>
    <row r="620" spans="1:26" ht="13" x14ac:dyDescent="0.15">
      <c r="A620" s="5" t="str">
        <f ca="1">IFERROR(__xludf.DUMMYFUNCTION("""COMPUTED_VALUE"""),"")</f>
        <v/>
      </c>
      <c r="B620" s="5" t="str">
        <f ca="1">IFERROR(__xludf.DUMMYFUNCTION("""COMPUTED_VALUE"""),"89750")</f>
        <v>89750</v>
      </c>
      <c r="C620" s="8">
        <f ca="1">IFERROR(__xludf.DUMMYFUNCTION("""COMPUTED_VALUE"""),44623000424)</f>
        <v>44623000424</v>
      </c>
      <c r="D620" s="5" t="str">
        <f ca="1">IFERROR(__xludf.DUMMYFUNCTION("""COMPUTED_VALUE"""),"TCEHY")</f>
        <v>TCEHY</v>
      </c>
      <c r="E620" s="164">
        <f ca="1">IFERROR(__xludf.DUMMYFUNCTION("""COMPUTED_VALUE"""),44623)</f>
        <v>44623</v>
      </c>
      <c r="F620" s="5" t="str">
        <f ca="1">IFERROR(__xludf.DUMMYFUNCTION("""COMPUTED_VALUE"""),"Stock")</f>
        <v>Stock</v>
      </c>
      <c r="G620" s="5" t="str">
        <f ca="1">IFERROR(__xludf.DUMMYFUNCTION("""COMPUTED_VALUE"""),"USD")</f>
        <v>USD</v>
      </c>
      <c r="H620" s="19">
        <f ca="1">IFERROR(__xludf.DUMMYFUNCTION("""COMPUTED_VALUE"""),-50)</f>
        <v>-50</v>
      </c>
      <c r="I620" s="165">
        <f ca="1">IFERROR(__xludf.DUMMYFUNCTION("""COMPUTED_VALUE"""),7.81585)</f>
        <v>7.8158500000000002</v>
      </c>
      <c r="J620" s="20">
        <f ca="1">IFERROR(__xludf.DUMMYFUNCTION("""COMPUTED_VALUE"""),52.2)</f>
        <v>52.2</v>
      </c>
      <c r="K620" s="5"/>
      <c r="L620" s="20">
        <f ca="1">IFERROR(__xludf.DUMMYFUNCTION("""COMPUTED_VALUE"""),50.61)</f>
        <v>50.61</v>
      </c>
      <c r="M620" s="166" t="str">
        <f ca="1">IFERROR(__xludf.DUMMYFUNCTION("""COMPUTED_VALUE"""),"Equity Key Stats")</f>
        <v>Equity Key Stats</v>
      </c>
      <c r="N620" s="5"/>
      <c r="O620" s="5"/>
      <c r="P620" s="102">
        <f ca="1">IFERROR(__xludf.DUMMYFUNCTION("""COMPUTED_VALUE"""),20399.3685)</f>
        <v>20399.3685</v>
      </c>
      <c r="Q620" s="5"/>
      <c r="R620" s="57">
        <f ca="1">IFERROR(__xludf.DUMMYFUNCTION("""COMPUTED_VALUE"""),47.86)</f>
        <v>47.86</v>
      </c>
      <c r="S620" s="102">
        <f ca="1">IFERROR(__xludf.DUMMYFUNCTION("""COMPUTED_VALUE"""),-18703.32905)</f>
        <v>-18703.32905</v>
      </c>
      <c r="T620" s="5">
        <f ca="1">IFERROR(__xludf.DUMMYFUNCTION("""COMPUTED_VALUE"""),4)</f>
        <v>4</v>
      </c>
      <c r="U620" s="5" t="str">
        <f ca="1">IFERROR(__xludf.DUMMYFUNCTION("""COMPUTED_VALUE"""),"")</f>
        <v/>
      </c>
      <c r="V620" s="19" t="str">
        <f ca="1">IFERROR(__xludf.DUMMYFUNCTION("""COMPUTED_VALUE"""),"")</f>
        <v/>
      </c>
      <c r="W620" s="8" t="str">
        <f ca="1">IFERROR(__xludf.DUMMYFUNCTION("""COMPUTED_VALUE"""),"")</f>
        <v/>
      </c>
      <c r="X620" s="19" t="str">
        <f ca="1">IFERROR(__xludf.DUMMYFUNCTION("""COMPUTED_VALUE"""),"")</f>
        <v/>
      </c>
      <c r="Y620" s="19" t="str">
        <f ca="1">IFERROR(__xludf.DUMMYFUNCTION("""COMPUTED_VALUE"""),"")</f>
        <v/>
      </c>
      <c r="Z620" s="21" t="str">
        <f ca="1">IFERROR(__xludf.DUMMYFUNCTION("""COMPUTED_VALUE"""),"")</f>
        <v/>
      </c>
    </row>
    <row r="621" spans="1:26" ht="13" x14ac:dyDescent="0.15">
      <c r="A621" s="5" t="str">
        <f ca="1">IFERROR(__xludf.DUMMYFUNCTION("""COMPUTED_VALUE"""),"")</f>
        <v/>
      </c>
      <c r="B621" s="5" t="str">
        <f ca="1">IFERROR(__xludf.DUMMYFUNCTION("""COMPUTED_VALUE"""),"89750")</f>
        <v>89750</v>
      </c>
      <c r="C621" s="8">
        <f ca="1">IFERROR(__xludf.DUMMYFUNCTION("""COMPUTED_VALUE"""),44624000441)</f>
        <v>44624000441</v>
      </c>
      <c r="D621" s="5" t="str">
        <f ca="1">IFERROR(__xludf.DUMMYFUNCTION("""COMPUTED_VALUE"""),"TQQQ220311P00057500")</f>
        <v>TQQQ220311P00057500</v>
      </c>
      <c r="E621" s="164">
        <f ca="1">IFERROR(__xludf.DUMMYFUNCTION("""COMPUTED_VALUE"""),44624)</f>
        <v>44624</v>
      </c>
      <c r="F621" s="5" t="str">
        <f ca="1">IFERROR(__xludf.DUMMYFUNCTION("""COMPUTED_VALUE"""),"Option")</f>
        <v>Option</v>
      </c>
      <c r="G621" s="5" t="str">
        <f ca="1">IFERROR(__xludf.DUMMYFUNCTION("""COMPUTED_VALUE"""),"USD")</f>
        <v>USD</v>
      </c>
      <c r="H621" s="19">
        <f ca="1">IFERROR(__xludf.DUMMYFUNCTION("""COMPUTED_VALUE"""),-10)</f>
        <v>-10</v>
      </c>
      <c r="I621" s="165">
        <f ca="1">IFERROR(__xludf.DUMMYFUNCTION("""COMPUTED_VALUE"""),7.81428)</f>
        <v>7.8142800000000001</v>
      </c>
      <c r="J621" s="20">
        <f ca="1">IFERROR(__xludf.DUMMYFUNCTION("""COMPUTED_VALUE"""),9.5)</f>
        <v>9.5</v>
      </c>
      <c r="K621" s="5"/>
      <c r="L621" s="20">
        <f ca="1">IFERROR(__xludf.DUMMYFUNCTION("""COMPUTED_VALUE"""),0)</f>
        <v>0</v>
      </c>
      <c r="M621" s="22" t="str">
        <f ca="1">IFERROR(__xludf.DUMMYFUNCTION("""COMPUTED_VALUE"""),"")</f>
        <v/>
      </c>
      <c r="N621" s="5"/>
      <c r="O621" s="5"/>
      <c r="P621" s="102">
        <f ca="1">IFERROR(__xludf.DUMMYFUNCTION("""COMPUTED_VALUE"""),74235.6599999999)</f>
        <v>74235.659999999902</v>
      </c>
      <c r="Q621" s="5"/>
      <c r="R621" s="57">
        <f ca="1">IFERROR(__xludf.DUMMYFUNCTION("""COMPUTED_VALUE"""),0)</f>
        <v>0</v>
      </c>
      <c r="S621" s="102">
        <f ca="1">IFERROR(__xludf.DUMMYFUNCTION("""COMPUTED_VALUE"""),0)</f>
        <v>0</v>
      </c>
      <c r="T621" s="5">
        <f ca="1">IFERROR(__xludf.DUMMYFUNCTION("""COMPUTED_VALUE"""),3)</f>
        <v>3</v>
      </c>
      <c r="U621" s="5">
        <f ca="1">IFERROR(__xludf.DUMMYFUNCTION("""COMPUTED_VALUE"""),1)</f>
        <v>1</v>
      </c>
      <c r="V621" s="19">
        <f ca="1">IFERROR(__xludf.DUMMYFUNCTION("""COMPUTED_VALUE"""),-14708.713)</f>
        <v>-14708.713</v>
      </c>
      <c r="W621" s="8" t="str">
        <f ca="1">IFERROR(__xludf.DUMMYFUNCTION("""COMPUTED_VALUE"""),"")</f>
        <v/>
      </c>
      <c r="X621" s="19" t="str">
        <f ca="1">IFERROR(__xludf.DUMMYFUNCTION("""COMPUTED_VALUE"""),"")</f>
        <v/>
      </c>
      <c r="Y621" s="19" t="str">
        <f ca="1">IFERROR(__xludf.DUMMYFUNCTION("""COMPUTED_VALUE"""),"")</f>
        <v/>
      </c>
      <c r="Z621" s="21" t="str">
        <f ca="1">IFERROR(__xludf.DUMMYFUNCTION("""COMPUTED_VALUE"""),"")</f>
        <v/>
      </c>
    </row>
    <row r="622" spans="1:26" ht="13" x14ac:dyDescent="0.15">
      <c r="A622" s="5" t="str">
        <f ca="1">IFERROR(__xludf.DUMMYFUNCTION("""COMPUTED_VALUE"""),"")</f>
        <v/>
      </c>
      <c r="B622" s="5" t="str">
        <f ca="1">IFERROR(__xludf.DUMMYFUNCTION("""COMPUTED_VALUE"""),"89750")</f>
        <v>89750</v>
      </c>
      <c r="C622" s="8">
        <f ca="1">IFERROR(__xludf.DUMMYFUNCTION("""COMPUTED_VALUE"""),44624000442)</f>
        <v>44624000442</v>
      </c>
      <c r="D622" s="5" t="str">
        <f ca="1">IFERROR(__xludf.DUMMYFUNCTION("""COMPUTED_VALUE"""),"MARA220401P00016000")</f>
        <v>MARA220401P00016000</v>
      </c>
      <c r="E622" s="164">
        <f ca="1">IFERROR(__xludf.DUMMYFUNCTION("""COMPUTED_VALUE"""),44624)</f>
        <v>44624</v>
      </c>
      <c r="F622" s="5" t="str">
        <f ca="1">IFERROR(__xludf.DUMMYFUNCTION("""COMPUTED_VALUE"""),"Option")</f>
        <v>Option</v>
      </c>
      <c r="G622" s="5" t="str">
        <f ca="1">IFERROR(__xludf.DUMMYFUNCTION("""COMPUTED_VALUE"""),"USD")</f>
        <v>USD</v>
      </c>
      <c r="H622" s="19">
        <f ca="1">IFERROR(__xludf.DUMMYFUNCTION("""COMPUTED_VALUE"""),100)</f>
        <v>100</v>
      </c>
      <c r="I622" s="165">
        <f ca="1">IFERROR(__xludf.DUMMYFUNCTION("""COMPUTED_VALUE"""),7.81428)</f>
        <v>7.8142800000000001</v>
      </c>
      <c r="J622" s="20">
        <f ca="1">IFERROR(__xludf.DUMMYFUNCTION("""COMPUTED_VALUE"""),0.36)</f>
        <v>0.36</v>
      </c>
      <c r="K622" s="5"/>
      <c r="L622" s="20">
        <f ca="1">IFERROR(__xludf.DUMMYFUNCTION("""COMPUTED_VALUE"""),0.02)</f>
        <v>0.02</v>
      </c>
      <c r="M622" s="22" t="str">
        <f ca="1">IFERROR(__xludf.DUMMYFUNCTION("""COMPUTED_VALUE"""),"")</f>
        <v/>
      </c>
      <c r="N622" s="5"/>
      <c r="O622" s="5"/>
      <c r="P622" s="102">
        <f ca="1">IFERROR(__xludf.DUMMYFUNCTION("""COMPUTED_VALUE"""),-28131.408)</f>
        <v>-28131.407999999999</v>
      </c>
      <c r="Q622" s="5"/>
      <c r="R622" s="57">
        <f ca="1">IFERROR(__xludf.DUMMYFUNCTION("""COMPUTED_VALUE"""),0.02)</f>
        <v>0.02</v>
      </c>
      <c r="S622" s="102">
        <f ca="1">IFERROR(__xludf.DUMMYFUNCTION("""COMPUTED_VALUE"""),1562.856)</f>
        <v>1562.856</v>
      </c>
      <c r="T622" s="5">
        <f ca="1">IFERROR(__xludf.DUMMYFUNCTION("""COMPUTED_VALUE"""),2)</f>
        <v>2</v>
      </c>
      <c r="U622" s="5" t="str">
        <f ca="1">IFERROR(__xludf.DUMMYFUNCTION("""COMPUTED_VALUE"""),"")</f>
        <v/>
      </c>
      <c r="V622" s="19" t="str">
        <f ca="1">IFERROR(__xludf.DUMMYFUNCTION("""COMPUTED_VALUE"""),"")</f>
        <v/>
      </c>
      <c r="W622" s="8" t="str">
        <f ca="1">IFERROR(__xludf.DUMMYFUNCTION("""COMPUTED_VALUE"""),"")</f>
        <v/>
      </c>
      <c r="X622" s="19" t="str">
        <f ca="1">IFERROR(__xludf.DUMMYFUNCTION("""COMPUTED_VALUE"""),"")</f>
        <v/>
      </c>
      <c r="Y622" s="19" t="str">
        <f ca="1">IFERROR(__xludf.DUMMYFUNCTION("""COMPUTED_VALUE"""),"")</f>
        <v/>
      </c>
      <c r="Z622" s="21" t="str">
        <f ca="1">IFERROR(__xludf.DUMMYFUNCTION("""COMPUTED_VALUE"""),"")</f>
        <v/>
      </c>
    </row>
    <row r="623" spans="1:26" ht="13" x14ac:dyDescent="0.15">
      <c r="A623" s="5" t="str">
        <f ca="1">IFERROR(__xludf.DUMMYFUNCTION("""COMPUTED_VALUE"""),"")</f>
        <v/>
      </c>
      <c r="B623" s="5" t="str">
        <f ca="1">IFERROR(__xludf.DUMMYFUNCTION("""COMPUTED_VALUE"""),"89750")</f>
        <v>89750</v>
      </c>
      <c r="C623" s="8">
        <f ca="1">IFERROR(__xludf.DUMMYFUNCTION("""COMPUTED_VALUE"""),44624000444)</f>
        <v>44624000444</v>
      </c>
      <c r="D623" s="5" t="str">
        <f ca="1">IFERROR(__xludf.DUMMYFUNCTION("""COMPUTED_VALUE"""),"NU220414C00009000")</f>
        <v>NU220414C00009000</v>
      </c>
      <c r="E623" s="164">
        <f ca="1">IFERROR(__xludf.DUMMYFUNCTION("""COMPUTED_VALUE"""),44624)</f>
        <v>44624</v>
      </c>
      <c r="F623" s="5" t="str">
        <f ca="1">IFERROR(__xludf.DUMMYFUNCTION("""COMPUTED_VALUE"""),"Option")</f>
        <v>Option</v>
      </c>
      <c r="G623" s="5" t="str">
        <f ca="1">IFERROR(__xludf.DUMMYFUNCTION("""COMPUTED_VALUE"""),"USD")</f>
        <v>USD</v>
      </c>
      <c r="H623" s="19">
        <f ca="1">IFERROR(__xludf.DUMMYFUNCTION("""COMPUTED_VALUE"""),200)</f>
        <v>200</v>
      </c>
      <c r="I623" s="165">
        <f ca="1">IFERROR(__xludf.DUMMYFUNCTION("""COMPUTED_VALUE"""),7.81428)</f>
        <v>7.8142800000000001</v>
      </c>
      <c r="J623" s="20">
        <f ca="1">IFERROR(__xludf.DUMMYFUNCTION("""COMPUTED_VALUE"""),0.25)</f>
        <v>0.25</v>
      </c>
      <c r="K623" s="5"/>
      <c r="L623" s="20">
        <f ca="1">IFERROR(__xludf.DUMMYFUNCTION("""COMPUTED_VALUE"""),0.23)</f>
        <v>0.23</v>
      </c>
      <c r="M623" s="22" t="str">
        <f ca="1">IFERROR(__xludf.DUMMYFUNCTION("""COMPUTED_VALUE"""),"")</f>
        <v/>
      </c>
      <c r="N623" s="5"/>
      <c r="O623" s="5"/>
      <c r="P623" s="102">
        <f ca="1">IFERROR(__xludf.DUMMYFUNCTION("""COMPUTED_VALUE"""),-39071.4)</f>
        <v>-39071.4</v>
      </c>
      <c r="Q623" s="5"/>
      <c r="R623" s="57">
        <f ca="1">IFERROR(__xludf.DUMMYFUNCTION("""COMPUTED_VALUE"""),0.2)</f>
        <v>0.2</v>
      </c>
      <c r="S623" s="102">
        <f ca="1">IFERROR(__xludf.DUMMYFUNCTION("""COMPUTED_VALUE"""),31257.12)</f>
        <v>31257.119999999999</v>
      </c>
      <c r="T623" s="5">
        <f ca="1">IFERROR(__xludf.DUMMYFUNCTION("""COMPUTED_VALUE"""),2)</f>
        <v>2</v>
      </c>
      <c r="U623" s="5" t="str">
        <f ca="1">IFERROR(__xludf.DUMMYFUNCTION("""COMPUTED_VALUE"""),"")</f>
        <v/>
      </c>
      <c r="V623" s="19" t="str">
        <f ca="1">IFERROR(__xludf.DUMMYFUNCTION("""COMPUTED_VALUE"""),"")</f>
        <v/>
      </c>
      <c r="W623" s="8" t="str">
        <f ca="1">IFERROR(__xludf.DUMMYFUNCTION("""COMPUTED_VALUE"""),"")</f>
        <v/>
      </c>
      <c r="X623" s="19" t="str">
        <f ca="1">IFERROR(__xludf.DUMMYFUNCTION("""COMPUTED_VALUE"""),"")</f>
        <v/>
      </c>
      <c r="Y623" s="19" t="str">
        <f ca="1">IFERROR(__xludf.DUMMYFUNCTION("""COMPUTED_VALUE"""),"")</f>
        <v/>
      </c>
      <c r="Z623" s="21" t="str">
        <f ca="1">IFERROR(__xludf.DUMMYFUNCTION("""COMPUTED_VALUE"""),"")</f>
        <v/>
      </c>
    </row>
    <row r="624" spans="1:26" ht="13" x14ac:dyDescent="0.15">
      <c r="A624" s="5" t="str">
        <f ca="1">IFERROR(__xludf.DUMMYFUNCTION("""COMPUTED_VALUE"""),"")</f>
        <v/>
      </c>
      <c r="B624" s="5" t="str">
        <f ca="1">IFERROR(__xludf.DUMMYFUNCTION("""COMPUTED_VALUE"""),"89750")</f>
        <v>89750</v>
      </c>
      <c r="C624" s="8">
        <f ca="1">IFERROR(__xludf.DUMMYFUNCTION("""COMPUTED_VALUE"""),44627000472)</f>
        <v>44627000472</v>
      </c>
      <c r="D624" s="5" t="str">
        <f ca="1">IFERROR(__xludf.DUMMYFUNCTION("""COMPUTED_VALUE"""),"MARA220401P00016000")</f>
        <v>MARA220401P00016000</v>
      </c>
      <c r="E624" s="164">
        <f ca="1">IFERROR(__xludf.DUMMYFUNCTION("""COMPUTED_VALUE"""),44627)</f>
        <v>44627</v>
      </c>
      <c r="F624" s="5" t="str">
        <f ca="1">IFERROR(__xludf.DUMMYFUNCTION("""COMPUTED_VALUE"""),"Option")</f>
        <v>Option</v>
      </c>
      <c r="G624" s="5" t="str">
        <f ca="1">IFERROR(__xludf.DUMMYFUNCTION("""COMPUTED_VALUE"""),"USD")</f>
        <v>USD</v>
      </c>
      <c r="H624" s="19">
        <f ca="1">IFERROR(__xludf.DUMMYFUNCTION("""COMPUTED_VALUE"""),-100)</f>
        <v>-100</v>
      </c>
      <c r="I624" s="165">
        <f ca="1">IFERROR(__xludf.DUMMYFUNCTION("""COMPUTED_VALUE"""),7.81855)</f>
        <v>7.8185500000000001</v>
      </c>
      <c r="J624" s="20">
        <f ca="1">IFERROR(__xludf.DUMMYFUNCTION("""COMPUTED_VALUE"""),0.74)</f>
        <v>0.74</v>
      </c>
      <c r="K624" s="5"/>
      <c r="L624" s="20">
        <f ca="1">IFERROR(__xludf.DUMMYFUNCTION("""COMPUTED_VALUE"""),0.02)</f>
        <v>0.02</v>
      </c>
      <c r="M624" s="22" t="str">
        <f ca="1">IFERROR(__xludf.DUMMYFUNCTION("""COMPUTED_VALUE"""),"")</f>
        <v/>
      </c>
      <c r="N624" s="5"/>
      <c r="O624" s="5"/>
      <c r="P624" s="102">
        <f ca="1">IFERROR(__xludf.DUMMYFUNCTION("""COMPUTED_VALUE"""),57857.27)</f>
        <v>57857.27</v>
      </c>
      <c r="Q624" s="5"/>
      <c r="R624" s="57">
        <f ca="1">IFERROR(__xludf.DUMMYFUNCTION("""COMPUTED_VALUE"""),0.02)</f>
        <v>0.02</v>
      </c>
      <c r="S624" s="102">
        <f ca="1">IFERROR(__xludf.DUMMYFUNCTION("""COMPUTED_VALUE"""),-1563.71)</f>
        <v>-1563.71</v>
      </c>
      <c r="T624" s="5">
        <f ca="1">IFERROR(__xludf.DUMMYFUNCTION("""COMPUTED_VALUE"""),2)</f>
        <v>2</v>
      </c>
      <c r="U624" s="5">
        <f ca="1">IFERROR(__xludf.DUMMYFUNCTION("""COMPUTED_VALUE"""),1)</f>
        <v>1</v>
      </c>
      <c r="V624" s="19">
        <f ca="1">IFERROR(__xludf.DUMMYFUNCTION("""COMPUTED_VALUE"""),29725.008)</f>
        <v>29725.008000000002</v>
      </c>
      <c r="W624" s="8" t="str">
        <f ca="1">IFERROR(__xludf.DUMMYFUNCTION("""COMPUTED_VALUE"""),"")</f>
        <v/>
      </c>
      <c r="X624" s="19" t="str">
        <f ca="1">IFERROR(__xludf.DUMMYFUNCTION("""COMPUTED_VALUE"""),"")</f>
        <v/>
      </c>
      <c r="Y624" s="19" t="str">
        <f ca="1">IFERROR(__xludf.DUMMYFUNCTION("""COMPUTED_VALUE"""),"")</f>
        <v/>
      </c>
      <c r="Z624" s="21" t="str">
        <f ca="1">IFERROR(__xludf.DUMMYFUNCTION("""COMPUTED_VALUE"""),"")</f>
        <v/>
      </c>
    </row>
    <row r="625" spans="1:26" ht="13" x14ac:dyDescent="0.15">
      <c r="A625" s="5" t="str">
        <f ca="1">IFERROR(__xludf.DUMMYFUNCTION("""COMPUTED_VALUE"""),"")</f>
        <v/>
      </c>
      <c r="B625" s="5" t="str">
        <f ca="1">IFERROR(__xludf.DUMMYFUNCTION("""COMPUTED_VALUE"""),"89750")</f>
        <v>89750</v>
      </c>
      <c r="C625" s="8">
        <f ca="1">IFERROR(__xludf.DUMMYFUNCTION("""COMPUTED_VALUE"""),44627000473)</f>
        <v>44627000473</v>
      </c>
      <c r="D625" s="5" t="str">
        <f ca="1">IFERROR(__xludf.DUMMYFUNCTION("""COMPUTED_VALUE"""),"NU220414C00009000")</f>
        <v>NU220414C00009000</v>
      </c>
      <c r="E625" s="164">
        <f ca="1">IFERROR(__xludf.DUMMYFUNCTION("""COMPUTED_VALUE"""),44627)</f>
        <v>44627</v>
      </c>
      <c r="F625" s="5" t="str">
        <f ca="1">IFERROR(__xludf.DUMMYFUNCTION("""COMPUTED_VALUE"""),"Option")</f>
        <v>Option</v>
      </c>
      <c r="G625" s="5" t="str">
        <f ca="1">IFERROR(__xludf.DUMMYFUNCTION("""COMPUTED_VALUE"""),"USD")</f>
        <v>USD</v>
      </c>
      <c r="H625" s="19">
        <f ca="1">IFERROR(__xludf.DUMMYFUNCTION("""COMPUTED_VALUE"""),-200)</f>
        <v>-200</v>
      </c>
      <c r="I625" s="165">
        <f ca="1">IFERROR(__xludf.DUMMYFUNCTION("""COMPUTED_VALUE"""),7.81855)</f>
        <v>7.8185500000000001</v>
      </c>
      <c r="J625" s="20">
        <f ca="1">IFERROR(__xludf.DUMMYFUNCTION("""COMPUTED_VALUE"""),0.22)</f>
        <v>0.22</v>
      </c>
      <c r="K625" s="5"/>
      <c r="L625" s="20">
        <f ca="1">IFERROR(__xludf.DUMMYFUNCTION("""COMPUTED_VALUE"""),0.23)</f>
        <v>0.23</v>
      </c>
      <c r="M625" s="22" t="str">
        <f ca="1">IFERROR(__xludf.DUMMYFUNCTION("""COMPUTED_VALUE"""),"")</f>
        <v/>
      </c>
      <c r="N625" s="5"/>
      <c r="O625" s="5"/>
      <c r="P625" s="102">
        <f ca="1">IFERROR(__xludf.DUMMYFUNCTION("""COMPUTED_VALUE"""),34401.62)</f>
        <v>34401.620000000003</v>
      </c>
      <c r="Q625" s="5"/>
      <c r="R625" s="57">
        <f ca="1">IFERROR(__xludf.DUMMYFUNCTION("""COMPUTED_VALUE"""),0.2)</f>
        <v>0.2</v>
      </c>
      <c r="S625" s="102">
        <f ca="1">IFERROR(__xludf.DUMMYFUNCTION("""COMPUTED_VALUE"""),-31274.2)</f>
        <v>-31274.2</v>
      </c>
      <c r="T625" s="5">
        <f ca="1">IFERROR(__xludf.DUMMYFUNCTION("""COMPUTED_VALUE"""),2)</f>
        <v>2</v>
      </c>
      <c r="U625" s="5">
        <f ca="1">IFERROR(__xludf.DUMMYFUNCTION("""COMPUTED_VALUE"""),1)</f>
        <v>1</v>
      </c>
      <c r="V625" s="19">
        <f ca="1">IFERROR(__xludf.DUMMYFUNCTION("""COMPUTED_VALUE"""),-4686.85999999999)</f>
        <v>-4686.8599999999897</v>
      </c>
      <c r="W625" s="8" t="str">
        <f ca="1">IFERROR(__xludf.DUMMYFUNCTION("""COMPUTED_VALUE"""),"")</f>
        <v/>
      </c>
      <c r="X625" s="19" t="str">
        <f ca="1">IFERROR(__xludf.DUMMYFUNCTION("""COMPUTED_VALUE"""),"")</f>
        <v/>
      </c>
      <c r="Y625" s="19" t="str">
        <f ca="1">IFERROR(__xludf.DUMMYFUNCTION("""COMPUTED_VALUE"""),"")</f>
        <v/>
      </c>
      <c r="Z625" s="21" t="str">
        <f ca="1">IFERROR(__xludf.DUMMYFUNCTION("""COMPUTED_VALUE"""),"")</f>
        <v/>
      </c>
    </row>
    <row r="626" spans="1:26" ht="13" x14ac:dyDescent="0.15">
      <c r="A626" s="5" t="str">
        <f ca="1">IFERROR(__xludf.DUMMYFUNCTION("""COMPUTED_VALUE"""),"")</f>
        <v/>
      </c>
      <c r="B626" s="5" t="str">
        <f ca="1">IFERROR(__xludf.DUMMYFUNCTION("""COMPUTED_VALUE"""),"89750")</f>
        <v>89750</v>
      </c>
      <c r="C626" s="8">
        <f ca="1">IFERROR(__xludf.DUMMYFUNCTION("""COMPUTED_VALUE"""),44627000474)</f>
        <v>44627000474</v>
      </c>
      <c r="D626" s="5" t="str">
        <f ca="1">IFERROR(__xludf.DUMMYFUNCTION("""COMPUTED_VALUE"""),"RLX220414C00005000")</f>
        <v>RLX220414C00005000</v>
      </c>
      <c r="E626" s="164">
        <f ca="1">IFERROR(__xludf.DUMMYFUNCTION("""COMPUTED_VALUE"""),44627)</f>
        <v>44627</v>
      </c>
      <c r="F626" s="5" t="str">
        <f ca="1">IFERROR(__xludf.DUMMYFUNCTION("""COMPUTED_VALUE"""),"Option")</f>
        <v>Option</v>
      </c>
      <c r="G626" s="5" t="str">
        <f ca="1">IFERROR(__xludf.DUMMYFUNCTION("""COMPUTED_VALUE"""),"USD")</f>
        <v>USD</v>
      </c>
      <c r="H626" s="19">
        <f ca="1">IFERROR(__xludf.DUMMYFUNCTION("""COMPUTED_VALUE"""),-1000)</f>
        <v>-1000</v>
      </c>
      <c r="I626" s="165">
        <f ca="1">IFERROR(__xludf.DUMMYFUNCTION("""COMPUTED_VALUE"""),7.81855)</f>
        <v>7.8185500000000001</v>
      </c>
      <c r="J626" s="20">
        <f ca="1">IFERROR(__xludf.DUMMYFUNCTION("""COMPUTED_VALUE"""),0.08)</f>
        <v>0.08</v>
      </c>
      <c r="K626" s="5"/>
      <c r="L626" s="20">
        <f ca="1">IFERROR(__xludf.DUMMYFUNCTION("""COMPUTED_VALUE"""),0.05)</f>
        <v>0.05</v>
      </c>
      <c r="M626" s="22" t="str">
        <f ca="1">IFERROR(__xludf.DUMMYFUNCTION("""COMPUTED_VALUE"""),"")</f>
        <v/>
      </c>
      <c r="N626" s="5"/>
      <c r="O626" s="5"/>
      <c r="P626" s="102">
        <f ca="1">IFERROR(__xludf.DUMMYFUNCTION("""COMPUTED_VALUE"""),62548.4)</f>
        <v>62548.4</v>
      </c>
      <c r="Q626" s="5"/>
      <c r="R626" s="57">
        <f ca="1">IFERROR(__xludf.DUMMYFUNCTION("""COMPUTED_VALUE"""),0.05)</f>
        <v>0.05</v>
      </c>
      <c r="S626" s="102">
        <f ca="1">IFERROR(__xludf.DUMMYFUNCTION("""COMPUTED_VALUE"""),-39092.75)</f>
        <v>-39092.75</v>
      </c>
      <c r="T626" s="5">
        <f ca="1">IFERROR(__xludf.DUMMYFUNCTION("""COMPUTED_VALUE"""),2)</f>
        <v>2</v>
      </c>
      <c r="U626" s="5">
        <f ca="1">IFERROR(__xludf.DUMMYFUNCTION("""COMPUTED_VALUE"""),1)</f>
        <v>1</v>
      </c>
      <c r="V626" s="19">
        <f ca="1">IFERROR(__xludf.DUMMYFUNCTION("""COMPUTED_VALUE"""),-7807.75)</f>
        <v>-7807.75</v>
      </c>
      <c r="W626" s="8" t="str">
        <f ca="1">IFERROR(__xludf.DUMMYFUNCTION("""COMPUTED_VALUE"""),"")</f>
        <v/>
      </c>
      <c r="X626" s="19" t="str">
        <f ca="1">IFERROR(__xludf.DUMMYFUNCTION("""COMPUTED_VALUE"""),"")</f>
        <v/>
      </c>
      <c r="Y626" s="19" t="str">
        <f ca="1">IFERROR(__xludf.DUMMYFUNCTION("""COMPUTED_VALUE"""),"")</f>
        <v/>
      </c>
      <c r="Z626" s="21" t="str">
        <f ca="1">IFERROR(__xludf.DUMMYFUNCTION("""COMPUTED_VALUE"""),"")</f>
        <v/>
      </c>
    </row>
    <row r="627" spans="1:26" ht="13" x14ac:dyDescent="0.15">
      <c r="A627" s="5" t="str">
        <f ca="1">IFERROR(__xludf.DUMMYFUNCTION("""COMPUTED_VALUE"""),"")</f>
        <v/>
      </c>
      <c r="B627" s="5" t="str">
        <f ca="1">IFERROR(__xludf.DUMMYFUNCTION("""COMPUTED_VALUE"""),"89750")</f>
        <v>89750</v>
      </c>
      <c r="C627" s="8">
        <f ca="1">IFERROR(__xludf.DUMMYFUNCTION("""COMPUTED_VALUE"""),44627000475)</f>
        <v>44627000475</v>
      </c>
      <c r="D627" s="5" t="str">
        <f ca="1">IFERROR(__xludf.DUMMYFUNCTION("""COMPUTED_VALUE"""),"YINN")</f>
        <v>YINN</v>
      </c>
      <c r="E627" s="164">
        <f ca="1">IFERROR(__xludf.DUMMYFUNCTION("""COMPUTED_VALUE"""),44627)</f>
        <v>44627</v>
      </c>
      <c r="F627" s="5" t="str">
        <f ca="1">IFERROR(__xludf.DUMMYFUNCTION("""COMPUTED_VALUE"""),"Stock")</f>
        <v>Stock</v>
      </c>
      <c r="G627" s="5" t="str">
        <f ca="1">IFERROR(__xludf.DUMMYFUNCTION("""COMPUTED_VALUE"""),"USD")</f>
        <v>USD</v>
      </c>
      <c r="H627" s="19">
        <f ca="1">IFERROR(__xludf.DUMMYFUNCTION("""COMPUTED_VALUE"""),-100)</f>
        <v>-100</v>
      </c>
      <c r="I627" s="165">
        <f ca="1">IFERROR(__xludf.DUMMYFUNCTION("""COMPUTED_VALUE"""),7.81855)</f>
        <v>7.8185500000000001</v>
      </c>
      <c r="J627" s="20">
        <f ca="1">IFERROR(__xludf.DUMMYFUNCTION("""COMPUTED_VALUE"""),5.19)</f>
        <v>5.19</v>
      </c>
      <c r="K627" s="5"/>
      <c r="L627" s="20">
        <f ca="1">IFERROR(__xludf.DUMMYFUNCTION("""COMPUTED_VALUE"""),5.15)</f>
        <v>5.15</v>
      </c>
      <c r="M627" s="166" t="str">
        <f ca="1">IFERROR(__xludf.DUMMYFUNCTION("""COMPUTED_VALUE"""),"Equity Key Stats")</f>
        <v>Equity Key Stats</v>
      </c>
      <c r="N627" s="5"/>
      <c r="O627" s="5"/>
      <c r="P627" s="102">
        <f ca="1">IFERROR(__xludf.DUMMYFUNCTION("""COMPUTED_VALUE"""),4057.82745)</f>
        <v>4057.8274500000002</v>
      </c>
      <c r="Q627" s="5"/>
      <c r="R627" s="57">
        <f ca="1">IFERROR(__xludf.DUMMYFUNCTION("""COMPUTED_VALUE"""),5.09)</f>
        <v>5.09</v>
      </c>
      <c r="S627" s="102">
        <f ca="1">IFERROR(__xludf.DUMMYFUNCTION("""COMPUTED_VALUE"""),-3979.64195)</f>
        <v>-3979.6419500000002</v>
      </c>
      <c r="T627" s="5">
        <f ca="1">IFERROR(__xludf.DUMMYFUNCTION("""COMPUTED_VALUE"""),3)</f>
        <v>3</v>
      </c>
      <c r="U627" s="5">
        <f ca="1">IFERROR(__xludf.DUMMYFUNCTION("""COMPUTED_VALUE"""),1)</f>
        <v>1</v>
      </c>
      <c r="V627" s="19">
        <f ca="1">IFERROR(__xludf.DUMMYFUNCTION("""COMPUTED_VALUE"""),-1670.0942575)</f>
        <v>-1670.0942574999999</v>
      </c>
      <c r="W627" s="8" t="str">
        <f ca="1">IFERROR(__xludf.DUMMYFUNCTION("""COMPUTED_VALUE"""),"")</f>
        <v/>
      </c>
      <c r="X627" s="19" t="str">
        <f ca="1">IFERROR(__xludf.DUMMYFUNCTION("""COMPUTED_VALUE"""),"")</f>
        <v/>
      </c>
      <c r="Y627" s="19" t="str">
        <f ca="1">IFERROR(__xludf.DUMMYFUNCTION("""COMPUTED_VALUE"""),"")</f>
        <v/>
      </c>
      <c r="Z627" s="21" t="str">
        <f ca="1">IFERROR(__xludf.DUMMYFUNCTION("""COMPUTED_VALUE"""),"")</f>
        <v/>
      </c>
    </row>
    <row r="628" spans="1:26" ht="13" x14ac:dyDescent="0.15">
      <c r="A628" s="5" t="str">
        <f ca="1">IFERROR(__xludf.DUMMYFUNCTION("""COMPUTED_VALUE"""),"")</f>
        <v/>
      </c>
      <c r="B628" s="5" t="str">
        <f ca="1">IFERROR(__xludf.DUMMYFUNCTION("""COMPUTED_VALUE"""),"89750")</f>
        <v>89750</v>
      </c>
      <c r="C628" s="8">
        <f ca="1">IFERROR(__xludf.DUMMYFUNCTION("""COMPUTED_VALUE"""),44628000488)</f>
        <v>44628000488</v>
      </c>
      <c r="D628" s="5" t="str">
        <f ca="1">IFERROR(__xludf.DUMMYFUNCTION("""COMPUTED_VALUE"""),"NU220318C00005000")</f>
        <v>NU220318C00005000</v>
      </c>
      <c r="E628" s="164">
        <f ca="1">IFERROR(__xludf.DUMMYFUNCTION("""COMPUTED_VALUE"""),44628)</f>
        <v>44628</v>
      </c>
      <c r="F628" s="5" t="str">
        <f ca="1">IFERROR(__xludf.DUMMYFUNCTION("""COMPUTED_VALUE"""),"Option")</f>
        <v>Option</v>
      </c>
      <c r="G628" s="5" t="str">
        <f ca="1">IFERROR(__xludf.DUMMYFUNCTION("""COMPUTED_VALUE"""),"USD")</f>
        <v>USD</v>
      </c>
      <c r="H628" s="19">
        <f ca="1">IFERROR(__xludf.DUMMYFUNCTION("""COMPUTED_VALUE"""),100)</f>
        <v>100</v>
      </c>
      <c r="I628" s="165">
        <f ca="1">IFERROR(__xludf.DUMMYFUNCTION("""COMPUTED_VALUE"""),7.818975)</f>
        <v>7.818975</v>
      </c>
      <c r="J628" s="20">
        <f ca="1">IFERROR(__xludf.DUMMYFUNCTION("""COMPUTED_VALUE"""),1.85)</f>
        <v>1.85</v>
      </c>
      <c r="K628" s="5"/>
      <c r="L628" s="20">
        <f ca="1">IFERROR(__xludf.DUMMYFUNCTION("""COMPUTED_VALUE"""),2.85)</f>
        <v>2.85</v>
      </c>
      <c r="M628" s="22" t="str">
        <f ca="1">IFERROR(__xludf.DUMMYFUNCTION("""COMPUTED_VALUE"""),"")</f>
        <v/>
      </c>
      <c r="N628" s="5"/>
      <c r="O628" s="5"/>
      <c r="P628" s="102">
        <f ca="1">IFERROR(__xludf.DUMMYFUNCTION("""COMPUTED_VALUE"""),-144651.0375)</f>
        <v>-144651.03750000001</v>
      </c>
      <c r="Q628" s="5"/>
      <c r="R628" s="57">
        <f ca="1">IFERROR(__xludf.DUMMYFUNCTION("""COMPUTED_VALUE"""),0)</f>
        <v>0</v>
      </c>
      <c r="S628" s="102">
        <f ca="1">IFERROR(__xludf.DUMMYFUNCTION("""COMPUTED_VALUE"""),0)</f>
        <v>0</v>
      </c>
      <c r="T628" s="5">
        <f ca="1">IFERROR(__xludf.DUMMYFUNCTION("""COMPUTED_VALUE"""),2)</f>
        <v>2</v>
      </c>
      <c r="U628" s="5" t="str">
        <f ca="1">IFERROR(__xludf.DUMMYFUNCTION("""COMPUTED_VALUE"""),"")</f>
        <v/>
      </c>
      <c r="V628" s="19" t="str">
        <f ca="1">IFERROR(__xludf.DUMMYFUNCTION("""COMPUTED_VALUE"""),"")</f>
        <v/>
      </c>
      <c r="W628" s="8" t="str">
        <f ca="1">IFERROR(__xludf.DUMMYFUNCTION("""COMPUTED_VALUE"""),"")</f>
        <v/>
      </c>
      <c r="X628" s="19" t="str">
        <f ca="1">IFERROR(__xludf.DUMMYFUNCTION("""COMPUTED_VALUE"""),"")</f>
        <v/>
      </c>
      <c r="Y628" s="19" t="str">
        <f ca="1">IFERROR(__xludf.DUMMYFUNCTION("""COMPUTED_VALUE"""),"")</f>
        <v/>
      </c>
      <c r="Z628" s="21" t="str">
        <f ca="1">IFERROR(__xludf.DUMMYFUNCTION("""COMPUTED_VALUE"""),"")</f>
        <v/>
      </c>
    </row>
    <row r="629" spans="1:26" ht="13" x14ac:dyDescent="0.15">
      <c r="A629" s="5" t="str">
        <f ca="1">IFERROR(__xludf.DUMMYFUNCTION("""COMPUTED_VALUE"""),"")</f>
        <v/>
      </c>
      <c r="B629" s="5" t="str">
        <f ca="1">IFERROR(__xludf.DUMMYFUNCTION("""COMPUTED_VALUE"""),"89750")</f>
        <v>89750</v>
      </c>
      <c r="C629" s="8">
        <f ca="1">IFERROR(__xludf.DUMMYFUNCTION("""COMPUTED_VALUE"""),44630000521)</f>
        <v>44630000521</v>
      </c>
      <c r="D629" s="71" t="str">
        <f ca="1">IFERROR(__xludf.DUMMYFUNCTION("""COMPUTED_VALUE"""),"9988.HK")</f>
        <v>9988.HK</v>
      </c>
      <c r="E629" s="164">
        <f ca="1">IFERROR(__xludf.DUMMYFUNCTION("""COMPUTED_VALUE"""),44630)</f>
        <v>44630</v>
      </c>
      <c r="F629" s="5" t="str">
        <f ca="1">IFERROR(__xludf.DUMMYFUNCTION("""COMPUTED_VALUE"""),"Stock")</f>
        <v>Stock</v>
      </c>
      <c r="G629" s="5" t="str">
        <f ca="1">IFERROR(__xludf.DUMMYFUNCTION("""COMPUTED_VALUE"""),"HKD")</f>
        <v>HKD</v>
      </c>
      <c r="H629" s="19">
        <f ca="1">IFERROR(__xludf.DUMMYFUNCTION("""COMPUTED_VALUE"""),-1000)</f>
        <v>-1000</v>
      </c>
      <c r="I629" s="165">
        <f ca="1">IFERROR(__xludf.DUMMYFUNCTION("""COMPUTED_VALUE"""),1)</f>
        <v>1</v>
      </c>
      <c r="J629" s="20">
        <f ca="1">IFERROR(__xludf.DUMMYFUNCTION("""COMPUTED_VALUE"""),96.1)</f>
        <v>96.1</v>
      </c>
      <c r="K629" s="5"/>
      <c r="L629" s="20">
        <f ca="1">IFERROR(__xludf.DUMMYFUNCTION("""COMPUTED_VALUE"""),110.2)</f>
        <v>110.2</v>
      </c>
      <c r="M629" s="166" t="str">
        <f ca="1">IFERROR(__xludf.DUMMYFUNCTION("""COMPUTED_VALUE"""),"Equity Key Stats")</f>
        <v>Equity Key Stats</v>
      </c>
      <c r="N629" s="5"/>
      <c r="O629" s="5"/>
      <c r="P629" s="102">
        <f ca="1">IFERROR(__xludf.DUMMYFUNCTION("""COMPUTED_VALUE"""),96100)</f>
        <v>96100</v>
      </c>
      <c r="Q629" s="5"/>
      <c r="R629" s="57">
        <f ca="1">IFERROR(__xludf.DUMMYFUNCTION("""COMPUTED_VALUE"""),117.6)</f>
        <v>117.6</v>
      </c>
      <c r="S629" s="102">
        <f ca="1">IFERROR(__xludf.DUMMYFUNCTION("""COMPUTED_VALUE"""),-117600)</f>
        <v>-117600</v>
      </c>
      <c r="T629" s="5">
        <f ca="1">IFERROR(__xludf.DUMMYFUNCTION("""COMPUTED_VALUE"""),2)</f>
        <v>2</v>
      </c>
      <c r="U629" s="5">
        <f ca="1">IFERROR(__xludf.DUMMYFUNCTION("""COMPUTED_VALUE"""),1)</f>
        <v>1</v>
      </c>
      <c r="V629" s="19">
        <f ca="1">IFERROR(__xludf.DUMMYFUNCTION("""COMPUTED_VALUE"""),-7800)</f>
        <v>-7800</v>
      </c>
      <c r="W629" s="8" t="str">
        <f ca="1">IFERROR(__xludf.DUMMYFUNCTION("""COMPUTED_VALUE"""),"")</f>
        <v/>
      </c>
      <c r="X629" s="19" t="str">
        <f ca="1">IFERROR(__xludf.DUMMYFUNCTION("""COMPUTED_VALUE"""),"")</f>
        <v/>
      </c>
      <c r="Y629" s="19" t="str">
        <f ca="1">IFERROR(__xludf.DUMMYFUNCTION("""COMPUTED_VALUE"""),"")</f>
        <v/>
      </c>
      <c r="Z629" s="21" t="str">
        <f ca="1">IFERROR(__xludf.DUMMYFUNCTION("""COMPUTED_VALUE"""),"")</f>
        <v/>
      </c>
    </row>
    <row r="630" spans="1:26" ht="13" x14ac:dyDescent="0.15">
      <c r="A630" s="5" t="str">
        <f ca="1">IFERROR(__xludf.DUMMYFUNCTION("""COMPUTED_VALUE"""),"")</f>
        <v/>
      </c>
      <c r="B630" s="5" t="str">
        <f ca="1">IFERROR(__xludf.DUMMYFUNCTION("""COMPUTED_VALUE"""),"89750")</f>
        <v>89750</v>
      </c>
      <c r="C630" s="8">
        <f ca="1">IFERROR(__xludf.DUMMYFUNCTION("""COMPUTED_VALUE"""),44630000529)</f>
        <v>44630000529</v>
      </c>
      <c r="D630" s="5" t="str">
        <f ca="1">IFERROR(__xludf.DUMMYFUNCTION("""COMPUTED_VALUE"""),"NU220318C00005000")</f>
        <v>NU220318C00005000</v>
      </c>
      <c r="E630" s="164">
        <f ca="1">IFERROR(__xludf.DUMMYFUNCTION("""COMPUTED_VALUE"""),44630)</f>
        <v>44630</v>
      </c>
      <c r="F630" s="5" t="str">
        <f ca="1">IFERROR(__xludf.DUMMYFUNCTION("""COMPUTED_VALUE"""),"Option")</f>
        <v>Option</v>
      </c>
      <c r="G630" s="5" t="str">
        <f ca="1">IFERROR(__xludf.DUMMYFUNCTION("""COMPUTED_VALUE"""),"USD")</f>
        <v>USD</v>
      </c>
      <c r="H630" s="19">
        <f ca="1">IFERROR(__xludf.DUMMYFUNCTION("""COMPUTED_VALUE"""),-100)</f>
        <v>-100</v>
      </c>
      <c r="I630" s="165">
        <f ca="1">IFERROR(__xludf.DUMMYFUNCTION("""COMPUTED_VALUE"""),7.82295)</f>
        <v>7.8229499999999996</v>
      </c>
      <c r="J630" s="20">
        <f ca="1">IFERROR(__xludf.DUMMYFUNCTION("""COMPUTED_VALUE"""),2.15)</f>
        <v>2.15</v>
      </c>
      <c r="K630" s="5"/>
      <c r="L630" s="20">
        <f ca="1">IFERROR(__xludf.DUMMYFUNCTION("""COMPUTED_VALUE"""),2.85)</f>
        <v>2.85</v>
      </c>
      <c r="M630" s="22" t="str">
        <f ca="1">IFERROR(__xludf.DUMMYFUNCTION("""COMPUTED_VALUE"""),"")</f>
        <v/>
      </c>
      <c r="N630" s="5"/>
      <c r="O630" s="5"/>
      <c r="P630" s="102">
        <f ca="1">IFERROR(__xludf.DUMMYFUNCTION("""COMPUTED_VALUE"""),168193.425)</f>
        <v>168193.42499999999</v>
      </c>
      <c r="Q630" s="5"/>
      <c r="R630" s="57">
        <f ca="1">IFERROR(__xludf.DUMMYFUNCTION("""COMPUTED_VALUE"""),0)</f>
        <v>0</v>
      </c>
      <c r="S630" s="102">
        <f ca="1">IFERROR(__xludf.DUMMYFUNCTION("""COMPUTED_VALUE"""),0)</f>
        <v>0</v>
      </c>
      <c r="T630" s="5">
        <f ca="1">IFERROR(__xludf.DUMMYFUNCTION("""COMPUTED_VALUE"""),2)</f>
        <v>2</v>
      </c>
      <c r="U630" s="5">
        <f ca="1">IFERROR(__xludf.DUMMYFUNCTION("""COMPUTED_VALUE"""),1)</f>
        <v>1</v>
      </c>
      <c r="V630" s="19">
        <f ca="1">IFERROR(__xludf.DUMMYFUNCTION("""COMPUTED_VALUE"""),23542.3874999999)</f>
        <v>23542.387499999899</v>
      </c>
      <c r="W630" s="8" t="str">
        <f ca="1">IFERROR(__xludf.DUMMYFUNCTION("""COMPUTED_VALUE"""),"")</f>
        <v/>
      </c>
      <c r="X630" s="19" t="str">
        <f ca="1">IFERROR(__xludf.DUMMYFUNCTION("""COMPUTED_VALUE"""),"")</f>
        <v/>
      </c>
      <c r="Y630" s="19" t="str">
        <f ca="1">IFERROR(__xludf.DUMMYFUNCTION("""COMPUTED_VALUE"""),"")</f>
        <v/>
      </c>
      <c r="Z630" s="21" t="str">
        <f ca="1">IFERROR(__xludf.DUMMYFUNCTION("""COMPUTED_VALUE"""),"")</f>
        <v/>
      </c>
    </row>
    <row r="631" spans="1:26" ht="13" x14ac:dyDescent="0.15">
      <c r="A631" s="5" t="str">
        <f ca="1">IFERROR(__xludf.DUMMYFUNCTION("""COMPUTED_VALUE"""),"")</f>
        <v/>
      </c>
      <c r="B631" s="5" t="str">
        <f ca="1">IFERROR(__xludf.DUMMYFUNCTION("""COMPUTED_VALUE"""),"89750")</f>
        <v>89750</v>
      </c>
      <c r="C631" s="8">
        <f ca="1">IFERROR(__xludf.DUMMYFUNCTION("""COMPUTED_VALUE"""),44630000530)</f>
        <v>44630000530</v>
      </c>
      <c r="D631" s="5" t="str">
        <f ca="1">IFERROR(__xludf.DUMMYFUNCTION("""COMPUTED_VALUE"""),"TQQQ220408P00056000")</f>
        <v>TQQQ220408P00056000</v>
      </c>
      <c r="E631" s="164">
        <f ca="1">IFERROR(__xludf.DUMMYFUNCTION("""COMPUTED_VALUE"""),44630)</f>
        <v>44630</v>
      </c>
      <c r="F631" s="5" t="str">
        <f ca="1">IFERROR(__xludf.DUMMYFUNCTION("""COMPUTED_VALUE"""),"Option")</f>
        <v>Option</v>
      </c>
      <c r="G631" s="5" t="str">
        <f ca="1">IFERROR(__xludf.DUMMYFUNCTION("""COMPUTED_VALUE"""),"USD")</f>
        <v>USD</v>
      </c>
      <c r="H631" s="19">
        <f ca="1">IFERROR(__xludf.DUMMYFUNCTION("""COMPUTED_VALUE"""),20)</f>
        <v>20</v>
      </c>
      <c r="I631" s="165">
        <f ca="1">IFERROR(__xludf.DUMMYFUNCTION("""COMPUTED_VALUE"""),7.82295)</f>
        <v>7.8229499999999996</v>
      </c>
      <c r="J631" s="20">
        <f ca="1">IFERROR(__xludf.DUMMYFUNCTION("""COMPUTED_VALUE"""),8.33)</f>
        <v>8.33</v>
      </c>
      <c r="K631" s="5"/>
      <c r="L631" s="20">
        <f ca="1">IFERROR(__xludf.DUMMYFUNCTION("""COMPUTED_VALUE"""),3.55)</f>
        <v>3.55</v>
      </c>
      <c r="M631" s="22" t="str">
        <f ca="1">IFERROR(__xludf.DUMMYFUNCTION("""COMPUTED_VALUE"""),"")</f>
        <v/>
      </c>
      <c r="N631" s="5"/>
      <c r="O631" s="5"/>
      <c r="P631" s="102">
        <f ca="1">IFERROR(__xludf.DUMMYFUNCTION("""COMPUTED_VALUE"""),-130330.347)</f>
        <v>-130330.34699999999</v>
      </c>
      <c r="Q631" s="5"/>
      <c r="R631" s="57">
        <f ca="1">IFERROR(__xludf.DUMMYFUNCTION("""COMPUTED_VALUE"""),4.45)</f>
        <v>4.45</v>
      </c>
      <c r="S631" s="102">
        <f ca="1">IFERROR(__xludf.DUMMYFUNCTION("""COMPUTED_VALUE"""),69624.255)</f>
        <v>69624.255000000005</v>
      </c>
      <c r="T631" s="5">
        <f ca="1">IFERROR(__xludf.DUMMYFUNCTION("""COMPUTED_VALUE"""),2)</f>
        <v>2</v>
      </c>
      <c r="U631" s="5" t="str">
        <f ca="1">IFERROR(__xludf.DUMMYFUNCTION("""COMPUTED_VALUE"""),"")</f>
        <v/>
      </c>
      <c r="V631" s="19" t="str">
        <f ca="1">IFERROR(__xludf.DUMMYFUNCTION("""COMPUTED_VALUE"""),"")</f>
        <v/>
      </c>
      <c r="W631" s="8" t="str">
        <f ca="1">IFERROR(__xludf.DUMMYFUNCTION("""COMPUTED_VALUE"""),"")</f>
        <v/>
      </c>
      <c r="X631" s="19" t="str">
        <f ca="1">IFERROR(__xludf.DUMMYFUNCTION("""COMPUTED_VALUE"""),"")</f>
        <v/>
      </c>
      <c r="Y631" s="19" t="str">
        <f ca="1">IFERROR(__xludf.DUMMYFUNCTION("""COMPUTED_VALUE"""),"")</f>
        <v/>
      </c>
      <c r="Z631" s="21" t="str">
        <f ca="1">IFERROR(__xludf.DUMMYFUNCTION("""COMPUTED_VALUE"""),"")</f>
        <v/>
      </c>
    </row>
    <row r="632" spans="1:26" ht="13" x14ac:dyDescent="0.15">
      <c r="A632" s="5" t="str">
        <f ca="1">IFERROR(__xludf.DUMMYFUNCTION("""COMPUTED_VALUE"""),"")</f>
        <v/>
      </c>
      <c r="B632" s="5" t="str">
        <f ca="1">IFERROR(__xludf.DUMMYFUNCTION("""COMPUTED_VALUE"""),"89750")</f>
        <v>89750</v>
      </c>
      <c r="C632" s="8">
        <f ca="1">IFERROR(__xludf.DUMMYFUNCTION("""COMPUTED_VALUE"""),44634000545)</f>
        <v>44634000545</v>
      </c>
      <c r="D632" s="71" t="str">
        <f ca="1">IFERROR(__xludf.DUMMYFUNCTION("""COMPUTED_VALUE"""),"3690.HK")</f>
        <v>3690.HK</v>
      </c>
      <c r="E632" s="164">
        <f ca="1">IFERROR(__xludf.DUMMYFUNCTION("""COMPUTED_VALUE"""),44634)</f>
        <v>44634</v>
      </c>
      <c r="F632" s="5" t="str">
        <f ca="1">IFERROR(__xludf.DUMMYFUNCTION("""COMPUTED_VALUE"""),"Stock")</f>
        <v>Stock</v>
      </c>
      <c r="G632" s="5" t="str">
        <f ca="1">IFERROR(__xludf.DUMMYFUNCTION("""COMPUTED_VALUE"""),"HKD")</f>
        <v>HKD</v>
      </c>
      <c r="H632" s="19">
        <f ca="1">IFERROR(__xludf.DUMMYFUNCTION("""COMPUTED_VALUE"""),500)</f>
        <v>500</v>
      </c>
      <c r="I632" s="165">
        <f ca="1">IFERROR(__xludf.DUMMYFUNCTION("""COMPUTED_VALUE"""),1)</f>
        <v>1</v>
      </c>
      <c r="J632" s="20">
        <f ca="1">IFERROR(__xludf.DUMMYFUNCTION("""COMPUTED_VALUE"""),112.6)</f>
        <v>112.6</v>
      </c>
      <c r="K632" s="5"/>
      <c r="L632" s="20">
        <f ca="1">IFERROR(__xludf.DUMMYFUNCTION("""COMPUTED_VALUE"""),153)</f>
        <v>153</v>
      </c>
      <c r="M632" s="166" t="str">
        <f ca="1">IFERROR(__xludf.DUMMYFUNCTION("""COMPUTED_VALUE"""),"Equity Key Stats")</f>
        <v>Equity Key Stats</v>
      </c>
      <c r="N632" s="5"/>
      <c r="O632" s="5"/>
      <c r="P632" s="102">
        <f ca="1">IFERROR(__xludf.DUMMYFUNCTION("""COMPUTED_VALUE"""),-56300)</f>
        <v>-56300</v>
      </c>
      <c r="Q632" s="5"/>
      <c r="R632" s="57">
        <f ca="1">IFERROR(__xludf.DUMMYFUNCTION("""COMPUTED_VALUE"""),156.2)</f>
        <v>156.19999999999999</v>
      </c>
      <c r="S632" s="102">
        <f ca="1">IFERROR(__xludf.DUMMYFUNCTION("""COMPUTED_VALUE"""),78100)</f>
        <v>78100</v>
      </c>
      <c r="T632" s="5">
        <f ca="1">IFERROR(__xludf.DUMMYFUNCTION("""COMPUTED_VALUE"""),3)</f>
        <v>3</v>
      </c>
      <c r="U632" s="5">
        <f ca="1">IFERROR(__xludf.DUMMYFUNCTION("""COMPUTED_VALUE"""),1)</f>
        <v>1</v>
      </c>
      <c r="V632" s="19">
        <f ca="1">IFERROR(__xludf.DUMMYFUNCTION("""COMPUTED_VALUE"""),23700)</f>
        <v>23700</v>
      </c>
      <c r="W632" s="8" t="str">
        <f ca="1">IFERROR(__xludf.DUMMYFUNCTION("""COMPUTED_VALUE"""),"")</f>
        <v/>
      </c>
      <c r="X632" s="19" t="str">
        <f ca="1">IFERROR(__xludf.DUMMYFUNCTION("""COMPUTED_VALUE"""),"")</f>
        <v/>
      </c>
      <c r="Y632" s="19" t="str">
        <f ca="1">IFERROR(__xludf.DUMMYFUNCTION("""COMPUTED_VALUE"""),"")</f>
        <v/>
      </c>
      <c r="Z632" s="21" t="str">
        <f ca="1">IFERROR(__xludf.DUMMYFUNCTION("""COMPUTED_VALUE"""),"")</f>
        <v/>
      </c>
    </row>
    <row r="633" spans="1:26" ht="13" x14ac:dyDescent="0.15">
      <c r="A633" s="5" t="str">
        <f ca="1">IFERROR(__xludf.DUMMYFUNCTION("""COMPUTED_VALUE"""),"")</f>
        <v/>
      </c>
      <c r="B633" s="5" t="str">
        <f ca="1">IFERROR(__xludf.DUMMYFUNCTION("""COMPUTED_VALUE"""),"89750")</f>
        <v>89750</v>
      </c>
      <c r="C633" s="8">
        <f ca="1">IFERROR(__xludf.DUMMYFUNCTION("""COMPUTED_VALUE"""),44634000546)</f>
        <v>44634000546</v>
      </c>
      <c r="D633" s="71" t="str">
        <f ca="1">IFERROR(__xludf.DUMMYFUNCTION("""COMPUTED_VALUE"""),"0708.HK")</f>
        <v>0708.HK</v>
      </c>
      <c r="E633" s="164">
        <f ca="1">IFERROR(__xludf.DUMMYFUNCTION("""COMPUTED_VALUE"""),44634)</f>
        <v>44634</v>
      </c>
      <c r="F633" s="5" t="str">
        <f ca="1">IFERROR(__xludf.DUMMYFUNCTION("""COMPUTED_VALUE"""),"Stock")</f>
        <v>Stock</v>
      </c>
      <c r="G633" s="5" t="str">
        <f ca="1">IFERROR(__xludf.DUMMYFUNCTION("""COMPUTED_VALUE"""),"HKD")</f>
        <v>HKD</v>
      </c>
      <c r="H633" s="19">
        <f ca="1">IFERROR(__xludf.DUMMYFUNCTION("""COMPUTED_VALUE"""),20000)</f>
        <v>20000</v>
      </c>
      <c r="I633" s="165">
        <f ca="1">IFERROR(__xludf.DUMMYFUNCTION("""COMPUTED_VALUE"""),1)</f>
        <v>1</v>
      </c>
      <c r="J633" s="20">
        <f ca="1">IFERROR(__xludf.DUMMYFUNCTION("""COMPUTED_VALUE"""),2.99)</f>
        <v>2.99</v>
      </c>
      <c r="K633" s="5"/>
      <c r="L633" s="20">
        <f ca="1">IFERROR(__xludf.DUMMYFUNCTION("""COMPUTED_VALUE"""),3.52)</f>
        <v>3.52</v>
      </c>
      <c r="M633" s="166" t="str">
        <f ca="1">IFERROR(__xludf.DUMMYFUNCTION("""COMPUTED_VALUE"""),"Equity Key Stats")</f>
        <v>Equity Key Stats</v>
      </c>
      <c r="N633" s="5"/>
      <c r="O633" s="5"/>
      <c r="P633" s="102">
        <f ca="1">IFERROR(__xludf.DUMMYFUNCTION("""COMPUTED_VALUE"""),-59800)</f>
        <v>-59800</v>
      </c>
      <c r="Q633" s="5"/>
      <c r="R633" s="57">
        <f ca="1">IFERROR(__xludf.DUMMYFUNCTION("""COMPUTED_VALUE"""),3.52)</f>
        <v>3.52</v>
      </c>
      <c r="S633" s="102">
        <f ca="1">IFERROR(__xludf.DUMMYFUNCTION("""COMPUTED_VALUE"""),70400)</f>
        <v>70400</v>
      </c>
      <c r="T633" s="5">
        <f ca="1">IFERROR(__xludf.DUMMYFUNCTION("""COMPUTED_VALUE"""),1)</f>
        <v>1</v>
      </c>
      <c r="U633" s="5">
        <f ca="1">IFERROR(__xludf.DUMMYFUNCTION("""COMPUTED_VALUE"""),1)</f>
        <v>1</v>
      </c>
      <c r="V633" s="19">
        <f ca="1">IFERROR(__xludf.DUMMYFUNCTION("""COMPUTED_VALUE"""),10599.9999999999)</f>
        <v>10599.9999999999</v>
      </c>
      <c r="W633" s="8" t="str">
        <f ca="1">IFERROR(__xludf.DUMMYFUNCTION("""COMPUTED_VALUE"""),"")</f>
        <v/>
      </c>
      <c r="X633" s="19" t="str">
        <f ca="1">IFERROR(__xludf.DUMMYFUNCTION("""COMPUTED_VALUE"""),"")</f>
        <v/>
      </c>
      <c r="Y633" s="19" t="str">
        <f ca="1">IFERROR(__xludf.DUMMYFUNCTION("""COMPUTED_VALUE"""),"")</f>
        <v/>
      </c>
      <c r="Z633" s="21" t="str">
        <f ca="1">IFERROR(__xludf.DUMMYFUNCTION("""COMPUTED_VALUE"""),"")</f>
        <v/>
      </c>
    </row>
    <row r="634" spans="1:26" ht="13" x14ac:dyDescent="0.15">
      <c r="A634" s="5" t="str">
        <f ca="1">IFERROR(__xludf.DUMMYFUNCTION("""COMPUTED_VALUE"""),"")</f>
        <v/>
      </c>
      <c r="B634" s="5" t="str">
        <f ca="1">IFERROR(__xludf.DUMMYFUNCTION("""COMPUTED_VALUE"""),"89750")</f>
        <v>89750</v>
      </c>
      <c r="C634" s="8">
        <f ca="1">IFERROR(__xludf.DUMMYFUNCTION("""COMPUTED_VALUE"""),44634000566)</f>
        <v>44634000566</v>
      </c>
      <c r="D634" s="5" t="str">
        <f ca="1">IFERROR(__xludf.DUMMYFUNCTION("""COMPUTED_VALUE"""),"TCEHY")</f>
        <v>TCEHY</v>
      </c>
      <c r="E634" s="164">
        <f ca="1">IFERROR(__xludf.DUMMYFUNCTION("""COMPUTED_VALUE"""),44634)</f>
        <v>44634</v>
      </c>
      <c r="F634" s="5" t="str">
        <f ca="1">IFERROR(__xludf.DUMMYFUNCTION("""COMPUTED_VALUE"""),"Stock")</f>
        <v>Stock</v>
      </c>
      <c r="G634" s="5" t="str">
        <f ca="1">IFERROR(__xludf.DUMMYFUNCTION("""COMPUTED_VALUE"""),"USD")</f>
        <v>USD</v>
      </c>
      <c r="H634" s="19">
        <f ca="1">IFERROR(__xludf.DUMMYFUNCTION("""COMPUTED_VALUE"""),100)</f>
        <v>100</v>
      </c>
      <c r="I634" s="165">
        <f ca="1">IFERROR(__xludf.DUMMYFUNCTION("""COMPUTED_VALUE"""),7.82925)</f>
        <v>7.82925</v>
      </c>
      <c r="J634" s="20">
        <f ca="1">IFERROR(__xludf.DUMMYFUNCTION("""COMPUTED_VALUE"""),40.76)</f>
        <v>40.76</v>
      </c>
      <c r="K634" s="5"/>
      <c r="L634" s="20">
        <f ca="1">IFERROR(__xludf.DUMMYFUNCTION("""COMPUTED_VALUE"""),50.61)</f>
        <v>50.61</v>
      </c>
      <c r="M634" s="166" t="str">
        <f ca="1">IFERROR(__xludf.DUMMYFUNCTION("""COMPUTED_VALUE"""),"Equity Key Stats")</f>
        <v>Equity Key Stats</v>
      </c>
      <c r="N634" s="5"/>
      <c r="O634" s="5"/>
      <c r="P634" s="102">
        <f ca="1">IFERROR(__xludf.DUMMYFUNCTION("""COMPUTED_VALUE"""),-31912.0229999999)</f>
        <v>-31912.022999999899</v>
      </c>
      <c r="Q634" s="5"/>
      <c r="R634" s="57">
        <f ca="1">IFERROR(__xludf.DUMMYFUNCTION("""COMPUTED_VALUE"""),47.86)</f>
        <v>47.86</v>
      </c>
      <c r="S634" s="102">
        <f ca="1">IFERROR(__xludf.DUMMYFUNCTION("""COMPUTED_VALUE"""),37470.7904999999)</f>
        <v>37470.790499999901</v>
      </c>
      <c r="T634" s="5">
        <f ca="1">IFERROR(__xludf.DUMMYFUNCTION("""COMPUTED_VALUE"""),4)</f>
        <v>4</v>
      </c>
      <c r="U634" s="5" t="str">
        <f ca="1">IFERROR(__xludf.DUMMYFUNCTION("""COMPUTED_VALUE"""),"")</f>
        <v/>
      </c>
      <c r="V634" s="19" t="str">
        <f ca="1">IFERROR(__xludf.DUMMYFUNCTION("""COMPUTED_VALUE"""),"")</f>
        <v/>
      </c>
      <c r="W634" s="8" t="str">
        <f ca="1">IFERROR(__xludf.DUMMYFUNCTION("""COMPUTED_VALUE"""),"")</f>
        <v/>
      </c>
      <c r="X634" s="19" t="str">
        <f ca="1">IFERROR(__xludf.DUMMYFUNCTION("""COMPUTED_VALUE"""),"")</f>
        <v/>
      </c>
      <c r="Y634" s="19" t="str">
        <f ca="1">IFERROR(__xludf.DUMMYFUNCTION("""COMPUTED_VALUE"""),"")</f>
        <v/>
      </c>
      <c r="Z634" s="21" t="str">
        <f ca="1">IFERROR(__xludf.DUMMYFUNCTION("""COMPUTED_VALUE"""),"")</f>
        <v/>
      </c>
    </row>
    <row r="635" spans="1:26" ht="13" x14ac:dyDescent="0.15">
      <c r="A635" s="5" t="str">
        <f ca="1">IFERROR(__xludf.DUMMYFUNCTION("""COMPUTED_VALUE"""),"")</f>
        <v/>
      </c>
      <c r="B635" s="5" t="str">
        <f ca="1">IFERROR(__xludf.DUMMYFUNCTION("""COMPUTED_VALUE"""),"89750")</f>
        <v>89750</v>
      </c>
      <c r="C635" s="8">
        <f ca="1">IFERROR(__xludf.DUMMYFUNCTION("""COMPUTED_VALUE"""),44635000620)</f>
        <v>44635000620</v>
      </c>
      <c r="D635" s="5" t="str">
        <f ca="1">IFERROR(__xludf.DUMMYFUNCTION("""COMPUTED_VALUE"""),"TQQQ220408P00056000")</f>
        <v>TQQQ220408P00056000</v>
      </c>
      <c r="E635" s="164">
        <f ca="1">IFERROR(__xludf.DUMMYFUNCTION("""COMPUTED_VALUE"""),44635)</f>
        <v>44635</v>
      </c>
      <c r="F635" s="5" t="str">
        <f ca="1">IFERROR(__xludf.DUMMYFUNCTION("""COMPUTED_VALUE"""),"Option")</f>
        <v>Option</v>
      </c>
      <c r="G635" s="5" t="str">
        <f ca="1">IFERROR(__xludf.DUMMYFUNCTION("""COMPUTED_VALUE"""),"USD")</f>
        <v>USD</v>
      </c>
      <c r="H635" s="19">
        <f ca="1">IFERROR(__xludf.DUMMYFUNCTION("""COMPUTED_VALUE"""),-20)</f>
        <v>-20</v>
      </c>
      <c r="I635" s="165">
        <f ca="1">IFERROR(__xludf.DUMMYFUNCTION("""COMPUTED_VALUE"""),7.82695)</f>
        <v>7.8269500000000001</v>
      </c>
      <c r="J635" s="20">
        <f ca="1">IFERROR(__xludf.DUMMYFUNCTION("""COMPUTED_VALUE"""),13.51)</f>
        <v>13.51</v>
      </c>
      <c r="K635" s="5"/>
      <c r="L635" s="20">
        <f ca="1">IFERROR(__xludf.DUMMYFUNCTION("""COMPUTED_VALUE"""),3.55)</f>
        <v>3.55</v>
      </c>
      <c r="M635" s="22" t="str">
        <f ca="1">IFERROR(__xludf.DUMMYFUNCTION("""COMPUTED_VALUE"""),"")</f>
        <v/>
      </c>
      <c r="N635" s="5"/>
      <c r="O635" s="5"/>
      <c r="P635" s="102">
        <f ca="1">IFERROR(__xludf.DUMMYFUNCTION("""COMPUTED_VALUE"""),211484.188999999)</f>
        <v>211484.18899999899</v>
      </c>
      <c r="Q635" s="5"/>
      <c r="R635" s="57">
        <f ca="1">IFERROR(__xludf.DUMMYFUNCTION("""COMPUTED_VALUE"""),4.45)</f>
        <v>4.45</v>
      </c>
      <c r="S635" s="102">
        <f ca="1">IFERROR(__xludf.DUMMYFUNCTION("""COMPUTED_VALUE"""),-69659.855)</f>
        <v>-69659.854999999996</v>
      </c>
      <c r="T635" s="5">
        <f ca="1">IFERROR(__xludf.DUMMYFUNCTION("""COMPUTED_VALUE"""),2)</f>
        <v>2</v>
      </c>
      <c r="U635" s="5">
        <f ca="1">IFERROR(__xludf.DUMMYFUNCTION("""COMPUTED_VALUE"""),1)</f>
        <v>1</v>
      </c>
      <c r="V635" s="19">
        <f ca="1">IFERROR(__xludf.DUMMYFUNCTION("""COMPUTED_VALUE"""),81118.2419999999)</f>
        <v>81118.241999999897</v>
      </c>
      <c r="W635" s="8" t="str">
        <f ca="1">IFERROR(__xludf.DUMMYFUNCTION("""COMPUTED_VALUE"""),"")</f>
        <v/>
      </c>
      <c r="X635" s="19" t="str">
        <f ca="1">IFERROR(__xludf.DUMMYFUNCTION("""COMPUTED_VALUE"""),"")</f>
        <v/>
      </c>
      <c r="Y635" s="19" t="str">
        <f ca="1">IFERROR(__xludf.DUMMYFUNCTION("""COMPUTED_VALUE"""),"")</f>
        <v/>
      </c>
      <c r="Z635" s="21" t="str">
        <f ca="1">IFERROR(__xludf.DUMMYFUNCTION("""COMPUTED_VALUE"""),"")</f>
        <v/>
      </c>
    </row>
    <row r="636" spans="1:26" ht="13" x14ac:dyDescent="0.15">
      <c r="A636" s="5" t="str">
        <f ca="1">IFERROR(__xludf.DUMMYFUNCTION("""COMPUTED_VALUE"""),"")</f>
        <v/>
      </c>
      <c r="B636" s="5" t="str">
        <f ca="1">IFERROR(__xludf.DUMMYFUNCTION("""COMPUTED_VALUE"""),"89750")</f>
        <v>89750</v>
      </c>
      <c r="C636" s="8">
        <f ca="1">IFERROR(__xludf.DUMMYFUNCTION("""COMPUTED_VALUE"""),44635000625)</f>
        <v>44635000625</v>
      </c>
      <c r="D636" s="5" t="str">
        <f ca="1">IFERROR(__xludf.DUMMYFUNCTION("""COMPUTED_VALUE"""),"OXY220318P00065000")</f>
        <v>OXY220318P00065000</v>
      </c>
      <c r="E636" s="164">
        <f ca="1">IFERROR(__xludf.DUMMYFUNCTION("""COMPUTED_VALUE"""),44635)</f>
        <v>44635</v>
      </c>
      <c r="F636" s="5" t="str">
        <f ca="1">IFERROR(__xludf.DUMMYFUNCTION("""COMPUTED_VALUE"""),"Option")</f>
        <v>Option</v>
      </c>
      <c r="G636" s="5" t="str">
        <f ca="1">IFERROR(__xludf.DUMMYFUNCTION("""COMPUTED_VALUE"""),"USD")</f>
        <v>USD</v>
      </c>
      <c r="H636" s="19">
        <f ca="1">IFERROR(__xludf.DUMMYFUNCTION("""COMPUTED_VALUE"""),2)</f>
        <v>2</v>
      </c>
      <c r="I636" s="165">
        <f ca="1">IFERROR(__xludf.DUMMYFUNCTION("""COMPUTED_VALUE"""),7.82695)</f>
        <v>7.8269500000000001</v>
      </c>
      <c r="J636" s="20">
        <f ca="1">IFERROR(__xludf.DUMMYFUNCTION("""COMPUTED_VALUE"""),7.65)</f>
        <v>7.65</v>
      </c>
      <c r="K636" s="5"/>
      <c r="L636" s="20">
        <f ca="1">IFERROR(__xludf.DUMMYFUNCTION("""COMPUTED_VALUE"""),7.65)</f>
        <v>7.65</v>
      </c>
      <c r="M636" s="22" t="str">
        <f ca="1">IFERROR(__xludf.DUMMYFUNCTION("""COMPUTED_VALUE"""),"")</f>
        <v/>
      </c>
      <c r="N636" s="5"/>
      <c r="O636" s="5"/>
      <c r="P636" s="102">
        <f ca="1">IFERROR(__xludf.DUMMYFUNCTION("""COMPUTED_VALUE"""),-11975.2335)</f>
        <v>-11975.2335</v>
      </c>
      <c r="Q636" s="5"/>
      <c r="R636" s="57">
        <f ca="1">IFERROR(__xludf.DUMMYFUNCTION("""COMPUTED_VALUE"""),0)</f>
        <v>0</v>
      </c>
      <c r="S636" s="102">
        <f ca="1">IFERROR(__xludf.DUMMYFUNCTION("""COMPUTED_VALUE"""),0)</f>
        <v>0</v>
      </c>
      <c r="T636" s="5">
        <f ca="1">IFERROR(__xludf.DUMMYFUNCTION("""COMPUTED_VALUE"""),2)</f>
        <v>2</v>
      </c>
      <c r="U636" s="5" t="str">
        <f ca="1">IFERROR(__xludf.DUMMYFUNCTION("""COMPUTED_VALUE"""),"")</f>
        <v/>
      </c>
      <c r="V636" s="19" t="str">
        <f ca="1">IFERROR(__xludf.DUMMYFUNCTION("""COMPUTED_VALUE"""),"")</f>
        <v/>
      </c>
      <c r="W636" s="8" t="str">
        <f ca="1">IFERROR(__xludf.DUMMYFUNCTION("""COMPUTED_VALUE"""),"")</f>
        <v/>
      </c>
      <c r="X636" s="19" t="str">
        <f ca="1">IFERROR(__xludf.DUMMYFUNCTION("""COMPUTED_VALUE"""),"")</f>
        <v/>
      </c>
      <c r="Y636" s="19" t="str">
        <f ca="1">IFERROR(__xludf.DUMMYFUNCTION("""COMPUTED_VALUE"""),"")</f>
        <v/>
      </c>
      <c r="Z636" s="21" t="str">
        <f ca="1">IFERROR(__xludf.DUMMYFUNCTION("""COMPUTED_VALUE"""),"")</f>
        <v/>
      </c>
    </row>
    <row r="637" spans="1:26" ht="13" x14ac:dyDescent="0.15">
      <c r="A637" s="5" t="str">
        <f ca="1">IFERROR(__xludf.DUMMYFUNCTION("""COMPUTED_VALUE"""),"")</f>
        <v/>
      </c>
      <c r="B637" s="5" t="str">
        <f ca="1">IFERROR(__xludf.DUMMYFUNCTION("""COMPUTED_VALUE"""),"89750")</f>
        <v>89750</v>
      </c>
      <c r="C637" s="8">
        <f ca="1">IFERROR(__xludf.DUMMYFUNCTION("""COMPUTED_VALUE"""),44635000626)</f>
        <v>44635000626</v>
      </c>
      <c r="D637" s="5" t="str">
        <f ca="1">IFERROR(__xludf.DUMMYFUNCTION("""COMPUTED_VALUE"""),"SBRCY")</f>
        <v>SBRCY</v>
      </c>
      <c r="E637" s="164">
        <f ca="1">IFERROR(__xludf.DUMMYFUNCTION("""COMPUTED_VALUE"""),44635)</f>
        <v>44635</v>
      </c>
      <c r="F637" s="5" t="str">
        <f ca="1">IFERROR(__xludf.DUMMYFUNCTION("""COMPUTED_VALUE"""),"Stock")</f>
        <v>Stock</v>
      </c>
      <c r="G637" s="5" t="str">
        <f ca="1">IFERROR(__xludf.DUMMYFUNCTION("""COMPUTED_VALUE"""),"USD")</f>
        <v>USD</v>
      </c>
      <c r="H637" s="19">
        <f ca="1">IFERROR(__xludf.DUMMYFUNCTION("""COMPUTED_VALUE"""),5000)</f>
        <v>5000</v>
      </c>
      <c r="I637" s="165">
        <f ca="1">IFERROR(__xludf.DUMMYFUNCTION("""COMPUTED_VALUE"""),7.82695)</f>
        <v>7.8269500000000001</v>
      </c>
      <c r="J637" s="20">
        <f ca="1">IFERROR(__xludf.DUMMYFUNCTION("""COMPUTED_VALUE"""),0.52)</f>
        <v>0.52</v>
      </c>
      <c r="K637" s="5"/>
      <c r="L637" s="20">
        <f ca="1">IFERROR(__xludf.DUMMYFUNCTION("""COMPUTED_VALUE"""),0.52)</f>
        <v>0.52</v>
      </c>
      <c r="M637" s="166" t="str">
        <f ca="1">IFERROR(__xludf.DUMMYFUNCTION("""COMPUTED_VALUE"""),"Equity Key Stats")</f>
        <v>Equity Key Stats</v>
      </c>
      <c r="N637" s="5"/>
      <c r="O637" s="5"/>
      <c r="P637" s="102">
        <f ca="1">IFERROR(__xludf.DUMMYFUNCTION("""COMPUTED_VALUE"""),-20350.07)</f>
        <v>-20350.07</v>
      </c>
      <c r="Q637" s="5"/>
      <c r="R637" s="57">
        <f ca="1">IFERROR(__xludf.DUMMYFUNCTION("""COMPUTED_VALUE"""),0.52)</f>
        <v>0.52</v>
      </c>
      <c r="S637" s="102">
        <f ca="1">IFERROR(__xludf.DUMMYFUNCTION("""COMPUTED_VALUE"""),20350.07)</f>
        <v>20350.07</v>
      </c>
      <c r="T637" s="5">
        <f ca="1">IFERROR(__xludf.DUMMYFUNCTION("""COMPUTED_VALUE"""),2)</f>
        <v>2</v>
      </c>
      <c r="U637" s="5">
        <f ca="1">IFERROR(__xludf.DUMMYFUNCTION("""COMPUTED_VALUE"""),1)</f>
        <v>1</v>
      </c>
      <c r="V637" s="19">
        <f ca="1">IFERROR(__xludf.DUMMYFUNCTION("""COMPUTED_VALUE"""),-28519.0925)</f>
        <v>-28519.092499999999</v>
      </c>
      <c r="W637" s="8" t="str">
        <f ca="1">IFERROR(__xludf.DUMMYFUNCTION("""COMPUTED_VALUE"""),"")</f>
        <v/>
      </c>
      <c r="X637" s="19" t="str">
        <f ca="1">IFERROR(__xludf.DUMMYFUNCTION("""COMPUTED_VALUE"""),"")</f>
        <v/>
      </c>
      <c r="Y637" s="19" t="str">
        <f ca="1">IFERROR(__xludf.DUMMYFUNCTION("""COMPUTED_VALUE"""),"")</f>
        <v/>
      </c>
      <c r="Z637" s="21" t="str">
        <f ca="1">IFERROR(__xludf.DUMMYFUNCTION("""COMPUTED_VALUE"""),"")</f>
        <v/>
      </c>
    </row>
    <row r="638" spans="1:26" ht="13" x14ac:dyDescent="0.15">
      <c r="A638" s="5" t="str">
        <f ca="1">IFERROR(__xludf.DUMMYFUNCTION("""COMPUTED_VALUE"""),"")</f>
        <v/>
      </c>
      <c r="B638" s="5" t="str">
        <f ca="1">IFERROR(__xludf.DUMMYFUNCTION("""COMPUTED_VALUE"""),"89750")</f>
        <v>89750</v>
      </c>
      <c r="C638" s="8">
        <f ca="1">IFERROR(__xludf.DUMMYFUNCTION("""COMPUTED_VALUE"""),44635000627)</f>
        <v>44635000627</v>
      </c>
      <c r="D638" s="5" t="str">
        <f ca="1">IFERROR(__xludf.DUMMYFUNCTION("""COMPUTED_VALUE"""),"NU220414C00006000")</f>
        <v>NU220414C00006000</v>
      </c>
      <c r="E638" s="164">
        <f ca="1">IFERROR(__xludf.DUMMYFUNCTION("""COMPUTED_VALUE"""),44635)</f>
        <v>44635</v>
      </c>
      <c r="F638" s="5" t="str">
        <f ca="1">IFERROR(__xludf.DUMMYFUNCTION("""COMPUTED_VALUE"""),"Option")</f>
        <v>Option</v>
      </c>
      <c r="G638" s="5" t="str">
        <f ca="1">IFERROR(__xludf.DUMMYFUNCTION("""COMPUTED_VALUE"""),"USD")</f>
        <v>USD</v>
      </c>
      <c r="H638" s="19">
        <f ca="1">IFERROR(__xludf.DUMMYFUNCTION("""COMPUTED_VALUE"""),2)</f>
        <v>2</v>
      </c>
      <c r="I638" s="165">
        <f ca="1">IFERROR(__xludf.DUMMYFUNCTION("""COMPUTED_VALUE"""),7.82695)</f>
        <v>7.8269500000000001</v>
      </c>
      <c r="J638" s="20">
        <f ca="1">IFERROR(__xludf.DUMMYFUNCTION("""COMPUTED_VALUE"""),0.58)</f>
        <v>0.57999999999999996</v>
      </c>
      <c r="K638" s="5"/>
      <c r="L638" s="20">
        <f ca="1">IFERROR(__xludf.DUMMYFUNCTION("""COMPUTED_VALUE"""),2.05)</f>
        <v>2.0499999999999998</v>
      </c>
      <c r="M638" s="22" t="str">
        <f ca="1">IFERROR(__xludf.DUMMYFUNCTION("""COMPUTED_VALUE"""),"")</f>
        <v/>
      </c>
      <c r="N638" s="5"/>
      <c r="O638" s="5"/>
      <c r="P638" s="102">
        <f ca="1">IFERROR(__xludf.DUMMYFUNCTION("""COMPUTED_VALUE"""),-907.9262)</f>
        <v>-907.92619999999999</v>
      </c>
      <c r="Q638" s="5"/>
      <c r="R638" s="57">
        <f ca="1">IFERROR(__xludf.DUMMYFUNCTION("""COMPUTED_VALUE"""),2.1)</f>
        <v>2.1</v>
      </c>
      <c r="S638" s="102">
        <f ca="1">IFERROR(__xludf.DUMMYFUNCTION("""COMPUTED_VALUE"""),3287.319)</f>
        <v>3287.319</v>
      </c>
      <c r="T638" s="5">
        <f ca="1">IFERROR(__xludf.DUMMYFUNCTION("""COMPUTED_VALUE"""),2)</f>
        <v>2</v>
      </c>
      <c r="U638" s="5" t="str">
        <f ca="1">IFERROR(__xludf.DUMMYFUNCTION("""COMPUTED_VALUE"""),"")</f>
        <v/>
      </c>
      <c r="V638" s="19" t="str">
        <f ca="1">IFERROR(__xludf.DUMMYFUNCTION("""COMPUTED_VALUE"""),"")</f>
        <v/>
      </c>
      <c r="W638" s="8" t="str">
        <f ca="1">IFERROR(__xludf.DUMMYFUNCTION("""COMPUTED_VALUE"""),"")</f>
        <v/>
      </c>
      <c r="X638" s="19" t="str">
        <f ca="1">IFERROR(__xludf.DUMMYFUNCTION("""COMPUTED_VALUE"""),"")</f>
        <v/>
      </c>
      <c r="Y638" s="19" t="str">
        <f ca="1">IFERROR(__xludf.DUMMYFUNCTION("""COMPUTED_VALUE"""),"")</f>
        <v/>
      </c>
      <c r="Z638" s="21" t="str">
        <f ca="1">IFERROR(__xludf.DUMMYFUNCTION("""COMPUTED_VALUE"""),"")</f>
        <v/>
      </c>
    </row>
    <row r="639" spans="1:26" ht="13" x14ac:dyDescent="0.15">
      <c r="A639" s="5" t="str">
        <f ca="1">IFERROR(__xludf.DUMMYFUNCTION("""COMPUTED_VALUE"""),"")</f>
        <v/>
      </c>
      <c r="B639" s="5" t="str">
        <f ca="1">IFERROR(__xludf.DUMMYFUNCTION("""COMPUTED_VALUE"""),"89750")</f>
        <v>89750</v>
      </c>
      <c r="C639" s="8">
        <f ca="1">IFERROR(__xludf.DUMMYFUNCTION("""COMPUTED_VALUE"""),44636000647)</f>
        <v>44636000647</v>
      </c>
      <c r="D639" s="71" t="str">
        <f ca="1">IFERROR(__xludf.DUMMYFUNCTION("""COMPUTED_VALUE"""),"3833.HK")</f>
        <v>3833.HK</v>
      </c>
      <c r="E639" s="164">
        <f ca="1">IFERROR(__xludf.DUMMYFUNCTION("""COMPUTED_VALUE"""),44636)</f>
        <v>44636</v>
      </c>
      <c r="F639" s="5" t="str">
        <f ca="1">IFERROR(__xludf.DUMMYFUNCTION("""COMPUTED_VALUE"""),"Stock")</f>
        <v>Stock</v>
      </c>
      <c r="G639" s="5" t="str">
        <f ca="1">IFERROR(__xludf.DUMMYFUNCTION("""COMPUTED_VALUE"""),"HKD")</f>
        <v>HKD</v>
      </c>
      <c r="H639" s="19">
        <f ca="1">IFERROR(__xludf.DUMMYFUNCTION("""COMPUTED_VALUE"""),100000)</f>
        <v>100000</v>
      </c>
      <c r="I639" s="165">
        <f ca="1">IFERROR(__xludf.DUMMYFUNCTION("""COMPUTED_VALUE"""),1)</f>
        <v>1</v>
      </c>
      <c r="J639" s="20">
        <f ca="1">IFERROR(__xludf.DUMMYFUNCTION("""COMPUTED_VALUE"""),1.39)</f>
        <v>1.39</v>
      </c>
      <c r="K639" s="5"/>
      <c r="L639" s="20">
        <f ca="1">IFERROR(__xludf.DUMMYFUNCTION("""COMPUTED_VALUE"""),1.45)</f>
        <v>1.45</v>
      </c>
      <c r="M639" s="166" t="str">
        <f ca="1">IFERROR(__xludf.DUMMYFUNCTION("""COMPUTED_VALUE"""),"Equity Key Stats")</f>
        <v>Equity Key Stats</v>
      </c>
      <c r="N639" s="5"/>
      <c r="O639" s="5"/>
      <c r="P639" s="102">
        <f ca="1">IFERROR(__xludf.DUMMYFUNCTION("""COMPUTED_VALUE"""),-139000)</f>
        <v>-139000</v>
      </c>
      <c r="Q639" s="5"/>
      <c r="R639" s="57">
        <f ca="1">IFERROR(__xludf.DUMMYFUNCTION("""COMPUTED_VALUE"""),1.48)</f>
        <v>1.48</v>
      </c>
      <c r="S639" s="102">
        <f ca="1">IFERROR(__xludf.DUMMYFUNCTION("""COMPUTED_VALUE"""),148000)</f>
        <v>148000</v>
      </c>
      <c r="T639" s="5">
        <f ca="1">IFERROR(__xludf.DUMMYFUNCTION("""COMPUTED_VALUE"""),1)</f>
        <v>1</v>
      </c>
      <c r="U639" s="5">
        <f ca="1">IFERROR(__xludf.DUMMYFUNCTION("""COMPUTED_VALUE"""),1)</f>
        <v>1</v>
      </c>
      <c r="V639" s="19">
        <f ca="1">IFERROR(__xludf.DUMMYFUNCTION("""COMPUTED_VALUE"""),9000)</f>
        <v>9000</v>
      </c>
      <c r="W639" s="8" t="str">
        <f ca="1">IFERROR(__xludf.DUMMYFUNCTION("""COMPUTED_VALUE"""),"")</f>
        <v/>
      </c>
      <c r="X639" s="19" t="str">
        <f ca="1">IFERROR(__xludf.DUMMYFUNCTION("""COMPUTED_VALUE"""),"")</f>
        <v/>
      </c>
      <c r="Y639" s="19" t="str">
        <f ca="1">IFERROR(__xludf.DUMMYFUNCTION("""COMPUTED_VALUE"""),"")</f>
        <v/>
      </c>
      <c r="Z639" s="21" t="str">
        <f ca="1">IFERROR(__xludf.DUMMYFUNCTION("""COMPUTED_VALUE"""),"")</f>
        <v/>
      </c>
    </row>
    <row r="640" spans="1:26" ht="13" x14ac:dyDescent="0.15">
      <c r="A640" s="5" t="str">
        <f ca="1">IFERROR(__xludf.DUMMYFUNCTION("""COMPUTED_VALUE"""),"")</f>
        <v/>
      </c>
      <c r="B640" s="5" t="str">
        <f ca="1">IFERROR(__xludf.DUMMYFUNCTION("""COMPUTED_VALUE"""),"89750")</f>
        <v>89750</v>
      </c>
      <c r="C640" s="8">
        <f ca="1">IFERROR(__xludf.DUMMYFUNCTION("""COMPUTED_VALUE"""),44637000684)</f>
        <v>44637000684</v>
      </c>
      <c r="D640" s="5" t="str">
        <f ca="1">IFERROR(__xludf.DUMMYFUNCTION("""COMPUTED_VALUE"""),"OXY220318P00065000")</f>
        <v>OXY220318P00065000</v>
      </c>
      <c r="E640" s="164">
        <f ca="1">IFERROR(__xludf.DUMMYFUNCTION("""COMPUTED_VALUE"""),44637)</f>
        <v>44637</v>
      </c>
      <c r="F640" s="5" t="str">
        <f ca="1">IFERROR(__xludf.DUMMYFUNCTION("""COMPUTED_VALUE"""),"Option")</f>
        <v>Option</v>
      </c>
      <c r="G640" s="5" t="str">
        <f ca="1">IFERROR(__xludf.DUMMYFUNCTION("""COMPUTED_VALUE"""),"USD")</f>
        <v>USD</v>
      </c>
      <c r="H640" s="19">
        <f ca="1">IFERROR(__xludf.DUMMYFUNCTION("""COMPUTED_VALUE"""),-2)</f>
        <v>-2</v>
      </c>
      <c r="I640" s="165">
        <f ca="1">IFERROR(__xludf.DUMMYFUNCTION("""COMPUTED_VALUE"""),7.81854)</f>
        <v>7.8185399999999996</v>
      </c>
      <c r="J640" s="20">
        <f ca="1">IFERROR(__xludf.DUMMYFUNCTION("""COMPUTED_VALUE"""),7.65)</f>
        <v>7.65</v>
      </c>
      <c r="K640" s="5"/>
      <c r="L640" s="20">
        <f ca="1">IFERROR(__xludf.DUMMYFUNCTION("""COMPUTED_VALUE"""),7.65)</f>
        <v>7.65</v>
      </c>
      <c r="M640" s="22" t="str">
        <f ca="1">IFERROR(__xludf.DUMMYFUNCTION("""COMPUTED_VALUE"""),"")</f>
        <v/>
      </c>
      <c r="N640" s="5"/>
      <c r="O640" s="5"/>
      <c r="P640" s="102">
        <f ca="1">IFERROR(__xludf.DUMMYFUNCTION("""COMPUTED_VALUE"""),11962.3662)</f>
        <v>11962.3662</v>
      </c>
      <c r="Q640" s="5"/>
      <c r="R640" s="57">
        <f ca="1">IFERROR(__xludf.DUMMYFUNCTION("""COMPUTED_VALUE"""),0)</f>
        <v>0</v>
      </c>
      <c r="S640" s="102">
        <f ca="1">IFERROR(__xludf.DUMMYFUNCTION("""COMPUTED_VALUE"""),0)</f>
        <v>0</v>
      </c>
      <c r="T640" s="5">
        <f ca="1">IFERROR(__xludf.DUMMYFUNCTION("""COMPUTED_VALUE"""),2)</f>
        <v>2</v>
      </c>
      <c r="U640" s="5">
        <f ca="1">IFERROR(__xludf.DUMMYFUNCTION("""COMPUTED_VALUE"""),1)</f>
        <v>1</v>
      </c>
      <c r="V640" s="19">
        <f ca="1">IFERROR(__xludf.DUMMYFUNCTION("""COMPUTED_VALUE"""),-12.8672999999998)</f>
        <v>-12.867299999999799</v>
      </c>
      <c r="W640" s="8" t="str">
        <f ca="1">IFERROR(__xludf.DUMMYFUNCTION("""COMPUTED_VALUE"""),"")</f>
        <v/>
      </c>
      <c r="X640" s="19" t="str">
        <f ca="1">IFERROR(__xludf.DUMMYFUNCTION("""COMPUTED_VALUE"""),"")</f>
        <v/>
      </c>
      <c r="Y640" s="19" t="str">
        <f ca="1">IFERROR(__xludf.DUMMYFUNCTION("""COMPUTED_VALUE"""),"")</f>
        <v/>
      </c>
      <c r="Z640" s="21" t="str">
        <f ca="1">IFERROR(__xludf.DUMMYFUNCTION("""COMPUTED_VALUE"""),"")</f>
        <v/>
      </c>
    </row>
    <row r="641" spans="1:26" ht="13" x14ac:dyDescent="0.15">
      <c r="A641" s="5" t="str">
        <f ca="1">IFERROR(__xludf.DUMMYFUNCTION("""COMPUTED_VALUE"""),"")</f>
        <v/>
      </c>
      <c r="B641" s="5" t="str">
        <f ca="1">IFERROR(__xludf.DUMMYFUNCTION("""COMPUTED_VALUE"""),"89750")</f>
        <v>89750</v>
      </c>
      <c r="C641" s="8">
        <f ca="1">IFERROR(__xludf.DUMMYFUNCTION("""COMPUTED_VALUE"""),44643000841)</f>
        <v>44643000841</v>
      </c>
      <c r="D641" s="5" t="str">
        <f ca="1">IFERROR(__xludf.DUMMYFUNCTION("""COMPUTED_VALUE"""),"NU220414C00006000")</f>
        <v>NU220414C00006000</v>
      </c>
      <c r="E641" s="164">
        <f ca="1">IFERROR(__xludf.DUMMYFUNCTION("""COMPUTED_VALUE"""),44643)</f>
        <v>44643</v>
      </c>
      <c r="F641" s="5" t="str">
        <f ca="1">IFERROR(__xludf.DUMMYFUNCTION("""COMPUTED_VALUE"""),"Option")</f>
        <v>Option</v>
      </c>
      <c r="G641" s="5" t="str">
        <f ca="1">IFERROR(__xludf.DUMMYFUNCTION("""COMPUTED_VALUE"""),"USD")</f>
        <v>USD</v>
      </c>
      <c r="H641" s="19">
        <f ca="1">IFERROR(__xludf.DUMMYFUNCTION("""COMPUTED_VALUE"""),-2)</f>
        <v>-2</v>
      </c>
      <c r="I641" s="165">
        <f ca="1">IFERROR(__xludf.DUMMYFUNCTION("""COMPUTED_VALUE"""),7.823645)</f>
        <v>7.823645</v>
      </c>
      <c r="J641" s="20">
        <f ca="1">IFERROR(__xludf.DUMMYFUNCTION("""COMPUTED_VALUE"""),2.1)</f>
        <v>2.1</v>
      </c>
      <c r="K641" s="5"/>
      <c r="L641" s="20">
        <f ca="1">IFERROR(__xludf.DUMMYFUNCTION("""COMPUTED_VALUE"""),2.05)</f>
        <v>2.0499999999999998</v>
      </c>
      <c r="M641" s="22" t="str">
        <f ca="1">IFERROR(__xludf.DUMMYFUNCTION("""COMPUTED_VALUE"""),"")</f>
        <v/>
      </c>
      <c r="N641" s="5"/>
      <c r="O641" s="5"/>
      <c r="P641" s="102">
        <f ca="1">IFERROR(__xludf.DUMMYFUNCTION("""COMPUTED_VALUE"""),3285.9309)</f>
        <v>3285.9308999999998</v>
      </c>
      <c r="Q641" s="5"/>
      <c r="R641" s="57">
        <f ca="1">IFERROR(__xludf.DUMMYFUNCTION("""COMPUTED_VALUE"""),2.1)</f>
        <v>2.1</v>
      </c>
      <c r="S641" s="102">
        <f ca="1">IFERROR(__xludf.DUMMYFUNCTION("""COMPUTED_VALUE"""),-3285.9309)</f>
        <v>-3285.9308999999998</v>
      </c>
      <c r="T641" s="5">
        <f ca="1">IFERROR(__xludf.DUMMYFUNCTION("""COMPUTED_VALUE"""),2)</f>
        <v>2</v>
      </c>
      <c r="U641" s="5">
        <f ca="1">IFERROR(__xludf.DUMMYFUNCTION("""COMPUTED_VALUE"""),1)</f>
        <v>1</v>
      </c>
      <c r="V641" s="19">
        <f ca="1">IFERROR(__xludf.DUMMYFUNCTION("""COMPUTED_VALUE"""),2379.3928)</f>
        <v>2379.3928000000001</v>
      </c>
      <c r="W641" s="8" t="str">
        <f ca="1">IFERROR(__xludf.DUMMYFUNCTION("""COMPUTED_VALUE"""),"")</f>
        <v/>
      </c>
      <c r="X641" s="19" t="str">
        <f ca="1">IFERROR(__xludf.DUMMYFUNCTION("""COMPUTED_VALUE"""),"")</f>
        <v/>
      </c>
      <c r="Y641" s="19" t="str">
        <f ca="1">IFERROR(__xludf.DUMMYFUNCTION("""COMPUTED_VALUE"""),"")</f>
        <v/>
      </c>
      <c r="Z641" s="21" t="str">
        <f ca="1">IFERROR(__xludf.DUMMYFUNCTION("""COMPUTED_VALUE"""),"")</f>
        <v/>
      </c>
    </row>
    <row r="642" spans="1:26" ht="13" x14ac:dyDescent="0.15">
      <c r="A642" s="5" t="str">
        <f ca="1">IFERROR(__xludf.DUMMYFUNCTION("""COMPUTED_VALUE"""),"89750")</f>
        <v>89750</v>
      </c>
      <c r="B642" s="5" t="str">
        <f ca="1">IFERROR(__xludf.DUMMYFUNCTION("""COMPUTED_VALUE"""),"89750")</f>
        <v>89750</v>
      </c>
      <c r="C642" s="8">
        <f ca="1">IFERROR(__xludf.DUMMYFUNCTION("""COMPUTED_VALUE"""),44643000842)</f>
        <v>44643000842</v>
      </c>
      <c r="D642" s="5" t="str">
        <f ca="1">IFERROR(__xludf.DUMMYFUNCTION("""COMPUTED_VALUE"""),"TCEHY")</f>
        <v>TCEHY</v>
      </c>
      <c r="E642" s="164">
        <f ca="1">IFERROR(__xludf.DUMMYFUNCTION("""COMPUTED_VALUE"""),44643)</f>
        <v>44643</v>
      </c>
      <c r="F642" s="5" t="str">
        <f ca="1">IFERROR(__xludf.DUMMYFUNCTION("""COMPUTED_VALUE"""),"Stock")</f>
        <v>Stock</v>
      </c>
      <c r="G642" s="5" t="str">
        <f ca="1">IFERROR(__xludf.DUMMYFUNCTION("""COMPUTED_VALUE"""),"USD")</f>
        <v>USD</v>
      </c>
      <c r="H642" s="19">
        <f ca="1">IFERROR(__xludf.DUMMYFUNCTION("""COMPUTED_VALUE"""),-100)</f>
        <v>-100</v>
      </c>
      <c r="I642" s="165">
        <f ca="1">IFERROR(__xludf.DUMMYFUNCTION("""COMPUTED_VALUE"""),7.823645)</f>
        <v>7.823645</v>
      </c>
      <c r="J642" s="20">
        <f ca="1">IFERROR(__xludf.DUMMYFUNCTION("""COMPUTED_VALUE"""),47.86)</f>
        <v>47.86</v>
      </c>
      <c r="K642" s="5"/>
      <c r="L642" s="20">
        <f ca="1">IFERROR(__xludf.DUMMYFUNCTION("""COMPUTED_VALUE"""),50.61)</f>
        <v>50.61</v>
      </c>
      <c r="M642" s="166" t="str">
        <f ca="1">IFERROR(__xludf.DUMMYFUNCTION("""COMPUTED_VALUE"""),"Equity Key Stats")</f>
        <v>Equity Key Stats</v>
      </c>
      <c r="N642" s="5"/>
      <c r="O642" s="5"/>
      <c r="P642" s="102">
        <f ca="1">IFERROR(__xludf.DUMMYFUNCTION("""COMPUTED_VALUE"""),37443.96497)</f>
        <v>37443.964970000001</v>
      </c>
      <c r="Q642" s="5"/>
      <c r="R642" s="57">
        <f ca="1">IFERROR(__xludf.DUMMYFUNCTION("""COMPUTED_VALUE"""),47.86)</f>
        <v>47.86</v>
      </c>
      <c r="S642" s="102">
        <f ca="1">IFERROR(__xludf.DUMMYFUNCTION("""COMPUTED_VALUE"""),-37443.96497)</f>
        <v>-37443.964970000001</v>
      </c>
      <c r="T642" s="5">
        <f ca="1">IFERROR(__xludf.DUMMYFUNCTION("""COMPUTED_VALUE"""),4)</f>
        <v>4</v>
      </c>
      <c r="U642" s="5">
        <f ca="1">IFERROR(__xludf.DUMMYFUNCTION("""COMPUTED_VALUE"""),1)</f>
        <v>1</v>
      </c>
      <c r="V642" s="19">
        <f ca="1">IFERROR(__xludf.DUMMYFUNCTION("""COMPUTED_VALUE"""),-19208.7290499999)</f>
        <v>-19208.7290499999</v>
      </c>
      <c r="W642" s="8">
        <f ca="1">IFERROR(__xludf.DUMMYFUNCTION("""COMPUTED_VALUE"""),643820.839151)</f>
        <v>643820.83915100002</v>
      </c>
      <c r="X642" s="19">
        <f ca="1">IFERROR(__xludf.DUMMYFUNCTION("""COMPUTED_VALUE"""),64362.7910489999)</f>
        <v>64362.791048999898</v>
      </c>
      <c r="Y642" s="19">
        <f ca="1">IFERROR(__xludf.DUMMYFUNCTION("""COMPUTED_VALUE"""),0)</f>
        <v>0</v>
      </c>
      <c r="Z642" s="21">
        <f ca="1">IFERROR(__xludf.DUMMYFUNCTION("""COMPUTED_VALUE"""),0.287641678301999)</f>
        <v>0.28764167830199899</v>
      </c>
    </row>
    <row r="643" spans="1:26" ht="13" x14ac:dyDescent="0.15">
      <c r="A643" s="5" t="str">
        <f ca="1">IFERROR(__xludf.DUMMYFUNCTION("""COMPUTED_VALUE"""),"89833")</f>
        <v>89833</v>
      </c>
      <c r="B643" s="5" t="str">
        <f ca="1">IFERROR(__xludf.DUMMYFUNCTION("""COMPUTED_VALUE"""),"89833")</f>
        <v>89833</v>
      </c>
      <c r="C643" s="8">
        <f ca="1">IFERROR(__xludf.DUMMYFUNCTION("""COMPUTED_VALUE"""),44597000057)</f>
        <v>44597000057</v>
      </c>
      <c r="D643" s="5" t="str">
        <f ca="1">IFERROR(__xludf.DUMMYFUNCTION("""COMPUTED_VALUE"""),"Cash")</f>
        <v>Cash</v>
      </c>
      <c r="E643" s="164">
        <f ca="1">IFERROR(__xludf.DUMMYFUNCTION("""COMPUTED_VALUE"""),44597)</f>
        <v>44597</v>
      </c>
      <c r="F643" s="5" t="str">
        <f ca="1">IFERROR(__xludf.DUMMYFUNCTION("""COMPUTED_VALUE"""),"Cash")</f>
        <v>Cash</v>
      </c>
      <c r="G643" s="5" t="str">
        <f ca="1">IFERROR(__xludf.DUMMYFUNCTION("""COMPUTED_VALUE"""),"HKD")</f>
        <v>HKD</v>
      </c>
      <c r="H643" s="19" t="str">
        <f ca="1">IFERROR(__xludf.DUMMYFUNCTION("""COMPUTED_VALUE"""),"")</f>
        <v/>
      </c>
      <c r="I643" s="165">
        <f ca="1">IFERROR(__xludf.DUMMYFUNCTION("""COMPUTED_VALUE"""),1)</f>
        <v>1</v>
      </c>
      <c r="J643" s="5">
        <f ca="1">IFERROR(__xludf.DUMMYFUNCTION("""COMPUTED_VALUE"""),1)</f>
        <v>1</v>
      </c>
      <c r="K643" s="5"/>
      <c r="L643" s="20">
        <f ca="1">IFERROR(__xludf.DUMMYFUNCTION("""COMPUTED_VALUE"""),1)</f>
        <v>1</v>
      </c>
      <c r="M643" s="22" t="str">
        <f ca="1">IFERROR(__xludf.DUMMYFUNCTION("""COMPUTED_VALUE"""),"")</f>
        <v/>
      </c>
      <c r="N643" s="5"/>
      <c r="O643" s="5"/>
      <c r="P643" s="102">
        <f ca="1">IFERROR(__xludf.DUMMYFUNCTION("""COMPUTED_VALUE"""),500000)</f>
        <v>500000</v>
      </c>
      <c r="Q643" s="5"/>
      <c r="R643" s="57">
        <f ca="1">IFERROR(__xludf.DUMMYFUNCTION("""COMPUTED_VALUE"""),1)</f>
        <v>1</v>
      </c>
      <c r="S643" s="102" t="str">
        <f ca="1">IFERROR(__xludf.DUMMYFUNCTION("""COMPUTED_VALUE"""),"")</f>
        <v/>
      </c>
      <c r="T643" s="5">
        <f ca="1">IFERROR(__xludf.DUMMYFUNCTION("""COMPUTED_VALUE"""),1)</f>
        <v>1</v>
      </c>
      <c r="U643" s="5">
        <f ca="1">IFERROR(__xludf.DUMMYFUNCTION("""COMPUTED_VALUE"""),1)</f>
        <v>1</v>
      </c>
      <c r="V643" s="19">
        <f ca="1">IFERROR(__xludf.DUMMYFUNCTION("""COMPUTED_VALUE"""),500000)</f>
        <v>500000</v>
      </c>
      <c r="W643" s="8">
        <f ca="1">IFERROR(__xludf.DUMMYFUNCTION("""COMPUTED_VALUE"""),500000)</f>
        <v>500000</v>
      </c>
      <c r="X643" s="19">
        <f ca="1">IFERROR(__xludf.DUMMYFUNCTION("""COMPUTED_VALUE"""),500000)</f>
        <v>500000</v>
      </c>
      <c r="Y643" s="19">
        <f ca="1">IFERROR(__xludf.DUMMYFUNCTION("""COMPUTED_VALUE"""),0)</f>
        <v>0</v>
      </c>
      <c r="Z643" s="21">
        <f ca="1">IFERROR(__xludf.DUMMYFUNCTION("""COMPUTED_VALUE"""),0)</f>
        <v>0</v>
      </c>
    </row>
    <row r="644" spans="1:26" ht="13" x14ac:dyDescent="0.15">
      <c r="A644" s="5" t="str">
        <f ca="1">IFERROR(__xludf.DUMMYFUNCTION("""COMPUTED_VALUE"""),"")</f>
        <v/>
      </c>
      <c r="B644" s="5" t="str">
        <f ca="1">IFERROR(__xludf.DUMMYFUNCTION("""COMPUTED_VALUE"""),"89845")</f>
        <v>89845</v>
      </c>
      <c r="C644" s="8">
        <f ca="1">IFERROR(__xludf.DUMMYFUNCTION("""COMPUTED_VALUE"""),44597000045)</f>
        <v>44597000045</v>
      </c>
      <c r="D644" s="5" t="str">
        <f ca="1">IFERROR(__xludf.DUMMYFUNCTION("""COMPUTED_VALUE"""),"Cash")</f>
        <v>Cash</v>
      </c>
      <c r="E644" s="164">
        <f ca="1">IFERROR(__xludf.DUMMYFUNCTION("""COMPUTED_VALUE"""),44597)</f>
        <v>44597</v>
      </c>
      <c r="F644" s="5" t="str">
        <f ca="1">IFERROR(__xludf.DUMMYFUNCTION("""COMPUTED_VALUE"""),"Cash")</f>
        <v>Cash</v>
      </c>
      <c r="G644" s="5" t="str">
        <f ca="1">IFERROR(__xludf.DUMMYFUNCTION("""COMPUTED_VALUE"""),"HKD")</f>
        <v>HKD</v>
      </c>
      <c r="H644" s="19" t="str">
        <f ca="1">IFERROR(__xludf.DUMMYFUNCTION("""COMPUTED_VALUE"""),"")</f>
        <v/>
      </c>
      <c r="I644" s="165">
        <f ca="1">IFERROR(__xludf.DUMMYFUNCTION("""COMPUTED_VALUE"""),1)</f>
        <v>1</v>
      </c>
      <c r="J644" s="5">
        <f ca="1">IFERROR(__xludf.DUMMYFUNCTION("""COMPUTED_VALUE"""),1)</f>
        <v>1</v>
      </c>
      <c r="K644" s="5"/>
      <c r="L644" s="20">
        <f ca="1">IFERROR(__xludf.DUMMYFUNCTION("""COMPUTED_VALUE"""),1)</f>
        <v>1</v>
      </c>
      <c r="M644" s="22" t="str">
        <f ca="1">IFERROR(__xludf.DUMMYFUNCTION("""COMPUTED_VALUE"""),"")</f>
        <v/>
      </c>
      <c r="N644" s="5"/>
      <c r="O644" s="5"/>
      <c r="P644" s="102">
        <f ca="1">IFERROR(__xludf.DUMMYFUNCTION("""COMPUTED_VALUE"""),500000)</f>
        <v>500000</v>
      </c>
      <c r="Q644" s="5"/>
      <c r="R644" s="57">
        <f ca="1">IFERROR(__xludf.DUMMYFUNCTION("""COMPUTED_VALUE"""),1)</f>
        <v>1</v>
      </c>
      <c r="S644" s="102" t="str">
        <f ca="1">IFERROR(__xludf.DUMMYFUNCTION("""COMPUTED_VALUE"""),"")</f>
        <v/>
      </c>
      <c r="T644" s="5">
        <f ca="1">IFERROR(__xludf.DUMMYFUNCTION("""COMPUTED_VALUE"""),1)</f>
        <v>1</v>
      </c>
      <c r="U644" s="5">
        <f ca="1">IFERROR(__xludf.DUMMYFUNCTION("""COMPUTED_VALUE"""),1)</f>
        <v>1</v>
      </c>
      <c r="V644" s="19">
        <f ca="1">IFERROR(__xludf.DUMMYFUNCTION("""COMPUTED_VALUE"""),500000)</f>
        <v>500000</v>
      </c>
      <c r="W644" s="8" t="str">
        <f ca="1">IFERROR(__xludf.DUMMYFUNCTION("""COMPUTED_VALUE"""),"")</f>
        <v/>
      </c>
      <c r="X644" s="19" t="str">
        <f ca="1">IFERROR(__xludf.DUMMYFUNCTION("""COMPUTED_VALUE"""),"")</f>
        <v/>
      </c>
      <c r="Y644" s="19" t="str">
        <f ca="1">IFERROR(__xludf.DUMMYFUNCTION("""COMPUTED_VALUE"""),"")</f>
        <v/>
      </c>
      <c r="Z644" s="21" t="str">
        <f ca="1">IFERROR(__xludf.DUMMYFUNCTION("""COMPUTED_VALUE"""),"")</f>
        <v/>
      </c>
    </row>
    <row r="645" spans="1:26" ht="13" x14ac:dyDescent="0.15">
      <c r="A645" s="5" t="str">
        <f ca="1">IFERROR(__xludf.DUMMYFUNCTION("""COMPUTED_VALUE"""),"")</f>
        <v/>
      </c>
      <c r="B645" s="5" t="str">
        <f ca="1">IFERROR(__xludf.DUMMYFUNCTION("""COMPUTED_VALUE"""),"89845")</f>
        <v>89845</v>
      </c>
      <c r="C645" s="8">
        <f ca="1">IFERROR(__xludf.DUMMYFUNCTION("""COMPUTED_VALUE"""),44638000696)</f>
        <v>44638000696</v>
      </c>
      <c r="D645" s="5" t="str">
        <f ca="1">IFERROR(__xludf.DUMMYFUNCTION("""COMPUTED_VALUE"""),"ASML")</f>
        <v>ASML</v>
      </c>
      <c r="E645" s="164">
        <f ca="1">IFERROR(__xludf.DUMMYFUNCTION("""COMPUTED_VALUE"""),44638)</f>
        <v>44638</v>
      </c>
      <c r="F645" s="5" t="str">
        <f ca="1">IFERROR(__xludf.DUMMYFUNCTION("""COMPUTED_VALUE"""),"Stock")</f>
        <v>Stock</v>
      </c>
      <c r="G645" s="5" t="str">
        <f ca="1">IFERROR(__xludf.DUMMYFUNCTION("""COMPUTED_VALUE"""),"USD")</f>
        <v>USD</v>
      </c>
      <c r="H645" s="19">
        <f ca="1">IFERROR(__xludf.DUMMYFUNCTION("""COMPUTED_VALUE"""),0)</f>
        <v>0</v>
      </c>
      <c r="I645" s="165">
        <f ca="1">IFERROR(__xludf.DUMMYFUNCTION("""COMPUTED_VALUE"""),7.82495)</f>
        <v>7.8249500000000003</v>
      </c>
      <c r="J645" s="20">
        <f ca="1">IFERROR(__xludf.DUMMYFUNCTION("""COMPUTED_VALUE"""),0)</f>
        <v>0</v>
      </c>
      <c r="K645" s="5"/>
      <c r="L645" s="20">
        <f ca="1">IFERROR(__xludf.DUMMYFUNCTION("""COMPUTED_VALUE"""),688.74)</f>
        <v>688.74</v>
      </c>
      <c r="M645" s="166" t="str">
        <f ca="1">IFERROR(__xludf.DUMMYFUNCTION("""COMPUTED_VALUE"""),"Equity Key Stats")</f>
        <v>Equity Key Stats</v>
      </c>
      <c r="N645" s="5"/>
      <c r="O645" s="5"/>
      <c r="P645" s="102">
        <f ca="1">IFERROR(__xludf.DUMMYFUNCTION("""COMPUTED_VALUE"""),0)</f>
        <v>0</v>
      </c>
      <c r="Q645" s="5"/>
      <c r="R645" s="57">
        <f ca="1">IFERROR(__xludf.DUMMYFUNCTION("""COMPUTED_VALUE"""),665.36)</f>
        <v>665.36</v>
      </c>
      <c r="S645" s="102">
        <f ca="1">IFERROR(__xludf.DUMMYFUNCTION("""COMPUTED_VALUE"""),0)</f>
        <v>0</v>
      </c>
      <c r="T645" s="5">
        <f ca="1">IFERROR(__xludf.DUMMYFUNCTION("""COMPUTED_VALUE"""),4)</f>
        <v>4</v>
      </c>
      <c r="U645" s="5" t="str">
        <f ca="1">IFERROR(__xludf.DUMMYFUNCTION("""COMPUTED_VALUE"""),"")</f>
        <v/>
      </c>
      <c r="V645" s="19" t="str">
        <f ca="1">IFERROR(__xludf.DUMMYFUNCTION("""COMPUTED_VALUE"""),"")</f>
        <v/>
      </c>
      <c r="W645" s="8" t="str">
        <f ca="1">IFERROR(__xludf.DUMMYFUNCTION("""COMPUTED_VALUE"""),"")</f>
        <v/>
      </c>
      <c r="X645" s="19" t="str">
        <f ca="1">IFERROR(__xludf.DUMMYFUNCTION("""COMPUTED_VALUE"""),"")</f>
        <v/>
      </c>
      <c r="Y645" s="19" t="str">
        <f ca="1">IFERROR(__xludf.DUMMYFUNCTION("""COMPUTED_VALUE"""),"")</f>
        <v/>
      </c>
      <c r="Z645" s="21" t="str">
        <f ca="1">IFERROR(__xludf.DUMMYFUNCTION("""COMPUTED_VALUE"""),"")</f>
        <v/>
      </c>
    </row>
    <row r="646" spans="1:26" ht="13" x14ac:dyDescent="0.15">
      <c r="A646" s="5" t="str">
        <f ca="1">IFERROR(__xludf.DUMMYFUNCTION("""COMPUTED_VALUE"""),"")</f>
        <v/>
      </c>
      <c r="B646" s="5" t="str">
        <f ca="1">IFERROR(__xludf.DUMMYFUNCTION("""COMPUTED_VALUE"""),"89845")</f>
        <v>89845</v>
      </c>
      <c r="C646" s="8">
        <f ca="1">IFERROR(__xludf.DUMMYFUNCTION("""COMPUTED_VALUE"""),44638000698)</f>
        <v>44638000698</v>
      </c>
      <c r="D646" s="5" t="str">
        <f ca="1">IFERROR(__xludf.DUMMYFUNCTION("""COMPUTED_VALUE"""),"ASML")</f>
        <v>ASML</v>
      </c>
      <c r="E646" s="164">
        <f ca="1">IFERROR(__xludf.DUMMYFUNCTION("""COMPUTED_VALUE"""),44638)</f>
        <v>44638</v>
      </c>
      <c r="F646" s="5" t="str">
        <f ca="1">IFERROR(__xludf.DUMMYFUNCTION("""COMPUTED_VALUE"""),"Stock")</f>
        <v>Stock</v>
      </c>
      <c r="G646" s="5" t="str">
        <f ca="1">IFERROR(__xludf.DUMMYFUNCTION("""COMPUTED_VALUE"""),"USD")</f>
        <v>USD</v>
      </c>
      <c r="H646" s="19">
        <f ca="1">IFERROR(__xludf.DUMMYFUNCTION("""COMPUTED_VALUE"""),0)</f>
        <v>0</v>
      </c>
      <c r="I646" s="165">
        <f ca="1">IFERROR(__xludf.DUMMYFUNCTION("""COMPUTED_VALUE"""),7.82495)</f>
        <v>7.8249500000000003</v>
      </c>
      <c r="J646" s="20">
        <f ca="1">IFERROR(__xludf.DUMMYFUNCTION("""COMPUTED_VALUE"""),0)</f>
        <v>0</v>
      </c>
      <c r="K646" s="5"/>
      <c r="L646" s="20">
        <f ca="1">IFERROR(__xludf.DUMMYFUNCTION("""COMPUTED_VALUE"""),688.74)</f>
        <v>688.74</v>
      </c>
      <c r="M646" s="166" t="str">
        <f ca="1">IFERROR(__xludf.DUMMYFUNCTION("""COMPUTED_VALUE"""),"Equity Key Stats")</f>
        <v>Equity Key Stats</v>
      </c>
      <c r="N646" s="5"/>
      <c r="O646" s="5"/>
      <c r="P646" s="102">
        <f ca="1">IFERROR(__xludf.DUMMYFUNCTION("""COMPUTED_VALUE"""),0)</f>
        <v>0</v>
      </c>
      <c r="Q646" s="5"/>
      <c r="R646" s="57">
        <f ca="1">IFERROR(__xludf.DUMMYFUNCTION("""COMPUTED_VALUE"""),665.36)</f>
        <v>665.36</v>
      </c>
      <c r="S646" s="102">
        <f ca="1">IFERROR(__xludf.DUMMYFUNCTION("""COMPUTED_VALUE"""),0)</f>
        <v>0</v>
      </c>
      <c r="T646" s="5">
        <f ca="1">IFERROR(__xludf.DUMMYFUNCTION("""COMPUTED_VALUE"""),4)</f>
        <v>4</v>
      </c>
      <c r="U646" s="5" t="str">
        <f ca="1">IFERROR(__xludf.DUMMYFUNCTION("""COMPUTED_VALUE"""),"")</f>
        <v/>
      </c>
      <c r="V646" s="19" t="str">
        <f ca="1">IFERROR(__xludf.DUMMYFUNCTION("""COMPUTED_VALUE"""),"")</f>
        <v/>
      </c>
      <c r="W646" s="8" t="str">
        <f ca="1">IFERROR(__xludf.DUMMYFUNCTION("""COMPUTED_VALUE"""),"")</f>
        <v/>
      </c>
      <c r="X646" s="19" t="str">
        <f ca="1">IFERROR(__xludf.DUMMYFUNCTION("""COMPUTED_VALUE"""),"")</f>
        <v/>
      </c>
      <c r="Y646" s="19" t="str">
        <f ca="1">IFERROR(__xludf.DUMMYFUNCTION("""COMPUTED_VALUE"""),"")</f>
        <v/>
      </c>
      <c r="Z646" s="21" t="str">
        <f ca="1">IFERROR(__xludf.DUMMYFUNCTION("""COMPUTED_VALUE"""),"")</f>
        <v/>
      </c>
    </row>
    <row r="647" spans="1:26" ht="13" x14ac:dyDescent="0.15">
      <c r="A647" s="5" t="str">
        <f ca="1">IFERROR(__xludf.DUMMYFUNCTION("""COMPUTED_VALUE"""),"")</f>
        <v/>
      </c>
      <c r="B647" s="5" t="str">
        <f ca="1">IFERROR(__xludf.DUMMYFUNCTION("""COMPUTED_VALUE"""),"89845")</f>
        <v>89845</v>
      </c>
      <c r="C647" s="8">
        <f ca="1">IFERROR(__xludf.DUMMYFUNCTION("""COMPUTED_VALUE"""),44638000701)</f>
        <v>44638000701</v>
      </c>
      <c r="D647" s="5" t="str">
        <f ca="1">IFERROR(__xludf.DUMMYFUNCTION("""COMPUTED_VALUE"""),"ASML")</f>
        <v>ASML</v>
      </c>
      <c r="E647" s="164">
        <f ca="1">IFERROR(__xludf.DUMMYFUNCTION("""COMPUTED_VALUE"""),44638)</f>
        <v>44638</v>
      </c>
      <c r="F647" s="5" t="str">
        <f ca="1">IFERROR(__xludf.DUMMYFUNCTION("""COMPUTED_VALUE"""),"Stock")</f>
        <v>Stock</v>
      </c>
      <c r="G647" s="5" t="str">
        <f ca="1">IFERROR(__xludf.DUMMYFUNCTION("""COMPUTED_VALUE"""),"USD")</f>
        <v>USD</v>
      </c>
      <c r="H647" s="19">
        <f ca="1">IFERROR(__xludf.DUMMYFUNCTION("""COMPUTED_VALUE"""),0)</f>
        <v>0</v>
      </c>
      <c r="I647" s="165">
        <f ca="1">IFERROR(__xludf.DUMMYFUNCTION("""COMPUTED_VALUE"""),7.82495)</f>
        <v>7.8249500000000003</v>
      </c>
      <c r="J647" s="20">
        <f ca="1">IFERROR(__xludf.DUMMYFUNCTION("""COMPUTED_VALUE"""),0)</f>
        <v>0</v>
      </c>
      <c r="K647" s="5"/>
      <c r="L647" s="20">
        <f ca="1">IFERROR(__xludf.DUMMYFUNCTION("""COMPUTED_VALUE"""),688.74)</f>
        <v>688.74</v>
      </c>
      <c r="M647" s="166" t="str">
        <f ca="1">IFERROR(__xludf.DUMMYFUNCTION("""COMPUTED_VALUE"""),"Equity Key Stats")</f>
        <v>Equity Key Stats</v>
      </c>
      <c r="N647" s="5"/>
      <c r="O647" s="5"/>
      <c r="P647" s="102">
        <f ca="1">IFERROR(__xludf.DUMMYFUNCTION("""COMPUTED_VALUE"""),0)</f>
        <v>0</v>
      </c>
      <c r="Q647" s="5"/>
      <c r="R647" s="57">
        <f ca="1">IFERROR(__xludf.DUMMYFUNCTION("""COMPUTED_VALUE"""),665.36)</f>
        <v>665.36</v>
      </c>
      <c r="S647" s="102">
        <f ca="1">IFERROR(__xludf.DUMMYFUNCTION("""COMPUTED_VALUE"""),0)</f>
        <v>0</v>
      </c>
      <c r="T647" s="5">
        <f ca="1">IFERROR(__xludf.DUMMYFUNCTION("""COMPUTED_VALUE"""),4)</f>
        <v>4</v>
      </c>
      <c r="U647" s="5" t="str">
        <f ca="1">IFERROR(__xludf.DUMMYFUNCTION("""COMPUTED_VALUE"""),"")</f>
        <v/>
      </c>
      <c r="V647" s="19" t="str">
        <f ca="1">IFERROR(__xludf.DUMMYFUNCTION("""COMPUTED_VALUE"""),"")</f>
        <v/>
      </c>
      <c r="W647" s="8" t="str">
        <f ca="1">IFERROR(__xludf.DUMMYFUNCTION("""COMPUTED_VALUE"""),"")</f>
        <v/>
      </c>
      <c r="X647" s="19" t="str">
        <f ca="1">IFERROR(__xludf.DUMMYFUNCTION("""COMPUTED_VALUE"""),"")</f>
        <v/>
      </c>
      <c r="Y647" s="19" t="str">
        <f ca="1">IFERROR(__xludf.DUMMYFUNCTION("""COMPUTED_VALUE"""),"")</f>
        <v/>
      </c>
      <c r="Z647" s="21" t="str">
        <f ca="1">IFERROR(__xludf.DUMMYFUNCTION("""COMPUTED_VALUE"""),"")</f>
        <v/>
      </c>
    </row>
    <row r="648" spans="1:26" ht="13" x14ac:dyDescent="0.15">
      <c r="A648" s="5" t="str">
        <f ca="1">IFERROR(__xludf.DUMMYFUNCTION("""COMPUTED_VALUE"""),"89845")</f>
        <v>89845</v>
      </c>
      <c r="B648" s="5" t="str">
        <f ca="1">IFERROR(__xludf.DUMMYFUNCTION("""COMPUTED_VALUE"""),"89845")</f>
        <v>89845</v>
      </c>
      <c r="C648" s="8">
        <f ca="1">IFERROR(__xludf.DUMMYFUNCTION("""COMPUTED_VALUE"""),44642000794)</f>
        <v>44642000794</v>
      </c>
      <c r="D648" s="5" t="str">
        <f ca="1">IFERROR(__xludf.DUMMYFUNCTION("""COMPUTED_VALUE"""),"ASML")</f>
        <v>ASML</v>
      </c>
      <c r="E648" s="164">
        <f ca="1">IFERROR(__xludf.DUMMYFUNCTION("""COMPUTED_VALUE"""),44642)</f>
        <v>44642</v>
      </c>
      <c r="F648" s="5" t="str">
        <f ca="1">IFERROR(__xludf.DUMMYFUNCTION("""COMPUTED_VALUE"""),"Stock")</f>
        <v>Stock</v>
      </c>
      <c r="G648" s="5" t="str">
        <f ca="1">IFERROR(__xludf.DUMMYFUNCTION("""COMPUTED_VALUE"""),"USD")</f>
        <v>USD</v>
      </c>
      <c r="H648" s="19" t="str">
        <f ca="1">IFERROR(__xludf.DUMMYFUNCTION("""COMPUTED_VALUE"""),"")</f>
        <v/>
      </c>
      <c r="I648" s="165">
        <f ca="1">IFERROR(__xludf.DUMMYFUNCTION("""COMPUTED_VALUE"""),7.82695)</f>
        <v>7.8269500000000001</v>
      </c>
      <c r="J648" s="20">
        <f ca="1">IFERROR(__xludf.DUMMYFUNCTION("""COMPUTED_VALUE"""),688.74)</f>
        <v>688.74</v>
      </c>
      <c r="K648" s="5"/>
      <c r="L648" s="20">
        <f ca="1">IFERROR(__xludf.DUMMYFUNCTION("""COMPUTED_VALUE"""),688.74)</f>
        <v>688.74</v>
      </c>
      <c r="M648" s="166" t="str">
        <f ca="1">IFERROR(__xludf.DUMMYFUNCTION("""COMPUTED_VALUE"""),"Equity Key Stats")</f>
        <v>Equity Key Stats</v>
      </c>
      <c r="N648" s="5"/>
      <c r="O648" s="5"/>
      <c r="P648" s="102">
        <f ca="1">IFERROR(__xludf.DUMMYFUNCTION("""COMPUTED_VALUE"""),0)</f>
        <v>0</v>
      </c>
      <c r="Q648" s="5"/>
      <c r="R648" s="57">
        <f ca="1">IFERROR(__xludf.DUMMYFUNCTION("""COMPUTED_VALUE"""),665.36)</f>
        <v>665.36</v>
      </c>
      <c r="S648" s="102">
        <f ca="1">IFERROR(__xludf.DUMMYFUNCTION("""COMPUTED_VALUE"""),0)</f>
        <v>0</v>
      </c>
      <c r="T648" s="5">
        <f ca="1">IFERROR(__xludf.DUMMYFUNCTION("""COMPUTED_VALUE"""),4)</f>
        <v>4</v>
      </c>
      <c r="U648" s="5">
        <f ca="1">IFERROR(__xludf.DUMMYFUNCTION("""COMPUTED_VALUE"""),1)</f>
        <v>1</v>
      </c>
      <c r="V648" s="19">
        <f ca="1">IFERROR(__xludf.DUMMYFUNCTION("""COMPUTED_VALUE"""),0)</f>
        <v>0</v>
      </c>
      <c r="W648" s="8">
        <f ca="1">IFERROR(__xludf.DUMMYFUNCTION("""COMPUTED_VALUE"""),500000)</f>
        <v>500000</v>
      </c>
      <c r="X648" s="19">
        <f ca="1">IFERROR(__xludf.DUMMYFUNCTION("""COMPUTED_VALUE"""),500000)</f>
        <v>500000</v>
      </c>
      <c r="Y648" s="19">
        <f ca="1">IFERROR(__xludf.DUMMYFUNCTION("""COMPUTED_VALUE"""),0)</f>
        <v>0</v>
      </c>
      <c r="Z648" s="21">
        <f ca="1">IFERROR(__xludf.DUMMYFUNCTION("""COMPUTED_VALUE"""),0)</f>
        <v>0</v>
      </c>
    </row>
    <row r="649" spans="1:26" ht="13" x14ac:dyDescent="0.15">
      <c r="A649" s="5" t="str">
        <f ca="1">IFERROR(__xludf.DUMMYFUNCTION("""COMPUTED_VALUE"""),"")</f>
        <v/>
      </c>
      <c r="B649" s="5" t="str">
        <f ca="1">IFERROR(__xludf.DUMMYFUNCTION("""COMPUTED_VALUE"""),"95516")</f>
        <v>95516</v>
      </c>
      <c r="C649" s="8">
        <f ca="1">IFERROR(__xludf.DUMMYFUNCTION("""COMPUTED_VALUE"""),44597000036)</f>
        <v>44597000036</v>
      </c>
      <c r="D649" s="5" t="str">
        <f ca="1">IFERROR(__xludf.DUMMYFUNCTION("""COMPUTED_VALUE"""),"Cash")</f>
        <v>Cash</v>
      </c>
      <c r="E649" s="164">
        <f ca="1">IFERROR(__xludf.DUMMYFUNCTION("""COMPUTED_VALUE"""),44597)</f>
        <v>44597</v>
      </c>
      <c r="F649" s="5" t="str">
        <f ca="1">IFERROR(__xludf.DUMMYFUNCTION("""COMPUTED_VALUE"""),"Cash")</f>
        <v>Cash</v>
      </c>
      <c r="G649" s="5" t="str">
        <f ca="1">IFERROR(__xludf.DUMMYFUNCTION("""COMPUTED_VALUE"""),"HKD")</f>
        <v>HKD</v>
      </c>
      <c r="H649" s="19" t="str">
        <f ca="1">IFERROR(__xludf.DUMMYFUNCTION("""COMPUTED_VALUE"""),"")</f>
        <v/>
      </c>
      <c r="I649" s="165">
        <f ca="1">IFERROR(__xludf.DUMMYFUNCTION("""COMPUTED_VALUE"""),1)</f>
        <v>1</v>
      </c>
      <c r="J649" s="5">
        <f ca="1">IFERROR(__xludf.DUMMYFUNCTION("""COMPUTED_VALUE"""),1)</f>
        <v>1</v>
      </c>
      <c r="K649" s="5"/>
      <c r="L649" s="20">
        <f ca="1">IFERROR(__xludf.DUMMYFUNCTION("""COMPUTED_VALUE"""),1)</f>
        <v>1</v>
      </c>
      <c r="M649" s="22" t="str">
        <f ca="1">IFERROR(__xludf.DUMMYFUNCTION("""COMPUTED_VALUE"""),"")</f>
        <v/>
      </c>
      <c r="N649" s="5"/>
      <c r="O649" s="5"/>
      <c r="P649" s="102">
        <f ca="1">IFERROR(__xludf.DUMMYFUNCTION("""COMPUTED_VALUE"""),500000)</f>
        <v>500000</v>
      </c>
      <c r="Q649" s="5"/>
      <c r="R649" s="57">
        <f ca="1">IFERROR(__xludf.DUMMYFUNCTION("""COMPUTED_VALUE"""),1)</f>
        <v>1</v>
      </c>
      <c r="S649" s="102" t="str">
        <f ca="1">IFERROR(__xludf.DUMMYFUNCTION("""COMPUTED_VALUE"""),"")</f>
        <v/>
      </c>
      <c r="T649" s="5">
        <f ca="1">IFERROR(__xludf.DUMMYFUNCTION("""COMPUTED_VALUE"""),1)</f>
        <v>1</v>
      </c>
      <c r="U649" s="5">
        <f ca="1">IFERROR(__xludf.DUMMYFUNCTION("""COMPUTED_VALUE"""),1)</f>
        <v>1</v>
      </c>
      <c r="V649" s="19">
        <f ca="1">IFERROR(__xludf.DUMMYFUNCTION("""COMPUTED_VALUE"""),500000)</f>
        <v>500000</v>
      </c>
      <c r="W649" s="8" t="str">
        <f ca="1">IFERROR(__xludf.DUMMYFUNCTION("""COMPUTED_VALUE"""),"")</f>
        <v/>
      </c>
      <c r="X649" s="19" t="str">
        <f ca="1">IFERROR(__xludf.DUMMYFUNCTION("""COMPUTED_VALUE"""),"")</f>
        <v/>
      </c>
      <c r="Y649" s="19" t="str">
        <f ca="1">IFERROR(__xludf.DUMMYFUNCTION("""COMPUTED_VALUE"""),"")</f>
        <v/>
      </c>
      <c r="Z649" s="21" t="str">
        <f ca="1">IFERROR(__xludf.DUMMYFUNCTION("""COMPUTED_VALUE"""),"")</f>
        <v/>
      </c>
    </row>
    <row r="650" spans="1:26" ht="13" x14ac:dyDescent="0.15">
      <c r="A650" s="5" t="str">
        <f ca="1">IFERROR(__xludf.DUMMYFUNCTION("""COMPUTED_VALUE"""),"")</f>
        <v/>
      </c>
      <c r="B650" s="5" t="str">
        <f ca="1">IFERROR(__xludf.DUMMYFUNCTION("""COMPUTED_VALUE"""),"95516")</f>
        <v>95516</v>
      </c>
      <c r="C650" s="8">
        <f ca="1">IFERROR(__xludf.DUMMYFUNCTION("""COMPUTED_VALUE"""),44637000648)</f>
        <v>44637000648</v>
      </c>
      <c r="D650" s="71" t="str">
        <f ca="1">IFERROR(__xludf.DUMMYFUNCTION("""COMPUTED_VALUE"""),"0968.HK")</f>
        <v>0968.HK</v>
      </c>
      <c r="E650" s="164">
        <f ca="1">IFERROR(__xludf.DUMMYFUNCTION("""COMPUTED_VALUE"""),44637)</f>
        <v>44637</v>
      </c>
      <c r="F650" s="5" t="str">
        <f ca="1">IFERROR(__xludf.DUMMYFUNCTION("""COMPUTED_VALUE"""),"Stock")</f>
        <v>Stock</v>
      </c>
      <c r="G650" s="5" t="str">
        <f ca="1">IFERROR(__xludf.DUMMYFUNCTION("""COMPUTED_VALUE"""),"HKD")</f>
        <v>HKD</v>
      </c>
      <c r="H650" s="19">
        <f ca="1">IFERROR(__xludf.DUMMYFUNCTION("""COMPUTED_VALUE"""),10000)</f>
        <v>10000</v>
      </c>
      <c r="I650" s="165">
        <f ca="1">IFERROR(__xludf.DUMMYFUNCTION("""COMPUTED_VALUE"""),1)</f>
        <v>1</v>
      </c>
      <c r="J650" s="20">
        <f ca="1">IFERROR(__xludf.DUMMYFUNCTION("""COMPUTED_VALUE"""),14)</f>
        <v>14</v>
      </c>
      <c r="K650" s="5"/>
      <c r="L650" s="20">
        <f ca="1">IFERROR(__xludf.DUMMYFUNCTION("""COMPUTED_VALUE"""),13.78)</f>
        <v>13.78</v>
      </c>
      <c r="M650" s="166" t="str">
        <f ca="1">IFERROR(__xludf.DUMMYFUNCTION("""COMPUTED_VALUE"""),"Equity Key Stats")</f>
        <v>Equity Key Stats</v>
      </c>
      <c r="N650" s="5"/>
      <c r="O650" s="5"/>
      <c r="P650" s="102">
        <f ca="1">IFERROR(__xludf.DUMMYFUNCTION("""COMPUTED_VALUE"""),-140000)</f>
        <v>-140000</v>
      </c>
      <c r="Q650" s="5"/>
      <c r="R650" s="57">
        <f ca="1">IFERROR(__xludf.DUMMYFUNCTION("""COMPUTED_VALUE"""),14.06)</f>
        <v>14.06</v>
      </c>
      <c r="S650" s="102">
        <f ca="1">IFERROR(__xludf.DUMMYFUNCTION("""COMPUTED_VALUE"""),140600)</f>
        <v>140600</v>
      </c>
      <c r="T650" s="5">
        <f ca="1">IFERROR(__xludf.DUMMYFUNCTION("""COMPUTED_VALUE"""),1)</f>
        <v>1</v>
      </c>
      <c r="U650" s="5">
        <f ca="1">IFERROR(__xludf.DUMMYFUNCTION("""COMPUTED_VALUE"""),1)</f>
        <v>1</v>
      </c>
      <c r="V650" s="19">
        <f ca="1">IFERROR(__xludf.DUMMYFUNCTION("""COMPUTED_VALUE"""),600)</f>
        <v>600</v>
      </c>
      <c r="W650" s="8" t="str">
        <f ca="1">IFERROR(__xludf.DUMMYFUNCTION("""COMPUTED_VALUE"""),"")</f>
        <v/>
      </c>
      <c r="X650" s="19" t="str">
        <f ca="1">IFERROR(__xludf.DUMMYFUNCTION("""COMPUTED_VALUE"""),"")</f>
        <v/>
      </c>
      <c r="Y650" s="19" t="str">
        <f ca="1">IFERROR(__xludf.DUMMYFUNCTION("""COMPUTED_VALUE"""),"")</f>
        <v/>
      </c>
      <c r="Z650" s="21" t="str">
        <f ca="1">IFERROR(__xludf.DUMMYFUNCTION("""COMPUTED_VALUE"""),"")</f>
        <v/>
      </c>
    </row>
    <row r="651" spans="1:26" ht="13" x14ac:dyDescent="0.15">
      <c r="A651" s="5" t="str">
        <f ca="1">IFERROR(__xludf.DUMMYFUNCTION("""COMPUTED_VALUE"""),"")</f>
        <v/>
      </c>
      <c r="B651" s="5" t="str">
        <f ca="1">IFERROR(__xludf.DUMMYFUNCTION("""COMPUTED_VALUE"""),"95516")</f>
        <v>95516</v>
      </c>
      <c r="C651" s="8">
        <f ca="1">IFERROR(__xludf.DUMMYFUNCTION("""COMPUTED_VALUE"""),44637000650)</f>
        <v>44637000650</v>
      </c>
      <c r="D651" s="71" t="str">
        <f ca="1">IFERROR(__xludf.DUMMYFUNCTION("""COMPUTED_VALUE"""),"3800.HK")</f>
        <v>3800.HK</v>
      </c>
      <c r="E651" s="164">
        <f ca="1">IFERROR(__xludf.DUMMYFUNCTION("""COMPUTED_VALUE"""),44637)</f>
        <v>44637</v>
      </c>
      <c r="F651" s="5" t="str">
        <f ca="1">IFERROR(__xludf.DUMMYFUNCTION("""COMPUTED_VALUE"""),"Stock")</f>
        <v>Stock</v>
      </c>
      <c r="G651" s="5" t="str">
        <f ca="1">IFERROR(__xludf.DUMMYFUNCTION("""COMPUTED_VALUE"""),"HKD")</f>
        <v>HKD</v>
      </c>
      <c r="H651" s="19">
        <f ca="1">IFERROR(__xludf.DUMMYFUNCTION("""COMPUTED_VALUE"""),10000)</f>
        <v>10000</v>
      </c>
      <c r="I651" s="165">
        <f ca="1">IFERROR(__xludf.DUMMYFUNCTION("""COMPUTED_VALUE"""),1)</f>
        <v>1</v>
      </c>
      <c r="J651" s="20">
        <f ca="1">IFERROR(__xludf.DUMMYFUNCTION("""COMPUTED_VALUE"""),2.54)</f>
        <v>2.54</v>
      </c>
      <c r="K651" s="5"/>
      <c r="L651" s="20">
        <f ca="1">IFERROR(__xludf.DUMMYFUNCTION("""COMPUTED_VALUE"""),2.54)</f>
        <v>2.54</v>
      </c>
      <c r="M651" s="166" t="str">
        <f ca="1">IFERROR(__xludf.DUMMYFUNCTION("""COMPUTED_VALUE"""),"Equity Key Stats")</f>
        <v>Equity Key Stats</v>
      </c>
      <c r="N651" s="5"/>
      <c r="O651" s="5"/>
      <c r="P651" s="102">
        <f ca="1">IFERROR(__xludf.DUMMYFUNCTION("""COMPUTED_VALUE"""),-25400)</f>
        <v>-25400</v>
      </c>
      <c r="Q651" s="5"/>
      <c r="R651" s="57">
        <f ca="1">IFERROR(__xludf.DUMMYFUNCTION("""COMPUTED_VALUE"""),2.56)</f>
        <v>2.56</v>
      </c>
      <c r="S651" s="102">
        <f ca="1">IFERROR(__xludf.DUMMYFUNCTION("""COMPUTED_VALUE"""),25600)</f>
        <v>25600</v>
      </c>
      <c r="T651" s="5">
        <f ca="1">IFERROR(__xludf.DUMMYFUNCTION("""COMPUTED_VALUE"""),1)</f>
        <v>1</v>
      </c>
      <c r="U651" s="5">
        <f ca="1">IFERROR(__xludf.DUMMYFUNCTION("""COMPUTED_VALUE"""),1)</f>
        <v>1</v>
      </c>
      <c r="V651" s="19">
        <f ca="1">IFERROR(__xludf.DUMMYFUNCTION("""COMPUTED_VALUE"""),200)</f>
        <v>200</v>
      </c>
      <c r="W651" s="8" t="str">
        <f ca="1">IFERROR(__xludf.DUMMYFUNCTION("""COMPUTED_VALUE"""),"")</f>
        <v/>
      </c>
      <c r="X651" s="19" t="str">
        <f ca="1">IFERROR(__xludf.DUMMYFUNCTION("""COMPUTED_VALUE"""),"")</f>
        <v/>
      </c>
      <c r="Y651" s="19" t="str">
        <f ca="1">IFERROR(__xludf.DUMMYFUNCTION("""COMPUTED_VALUE"""),"")</f>
        <v/>
      </c>
      <c r="Z651" s="21" t="str">
        <f ca="1">IFERROR(__xludf.DUMMYFUNCTION("""COMPUTED_VALUE"""),"")</f>
        <v/>
      </c>
    </row>
    <row r="652" spans="1:26" ht="13" x14ac:dyDescent="0.15">
      <c r="A652" s="5" t="str">
        <f ca="1">IFERROR(__xludf.DUMMYFUNCTION("""COMPUTED_VALUE"""),"")</f>
        <v/>
      </c>
      <c r="B652" s="5" t="str">
        <f ca="1">IFERROR(__xludf.DUMMYFUNCTION("""COMPUTED_VALUE"""),"95516")</f>
        <v>95516</v>
      </c>
      <c r="C652" s="8">
        <f ca="1">IFERROR(__xludf.DUMMYFUNCTION("""COMPUTED_VALUE"""),44637000651)</f>
        <v>44637000651</v>
      </c>
      <c r="D652" s="71" t="str">
        <f ca="1">IFERROR(__xludf.DUMMYFUNCTION("""COMPUTED_VALUE"""),"0175.HK")</f>
        <v>0175.HK</v>
      </c>
      <c r="E652" s="164">
        <f ca="1">IFERROR(__xludf.DUMMYFUNCTION("""COMPUTED_VALUE"""),44637)</f>
        <v>44637</v>
      </c>
      <c r="F652" s="5" t="str">
        <f ca="1">IFERROR(__xludf.DUMMYFUNCTION("""COMPUTED_VALUE"""),"Stock")</f>
        <v>Stock</v>
      </c>
      <c r="G652" s="5" t="str">
        <f ca="1">IFERROR(__xludf.DUMMYFUNCTION("""COMPUTED_VALUE"""),"HKD")</f>
        <v>HKD</v>
      </c>
      <c r="H652" s="19">
        <f ca="1">IFERROR(__xludf.DUMMYFUNCTION("""COMPUTED_VALUE"""),5000)</f>
        <v>5000</v>
      </c>
      <c r="I652" s="165">
        <f ca="1">IFERROR(__xludf.DUMMYFUNCTION("""COMPUTED_VALUE"""),1)</f>
        <v>1</v>
      </c>
      <c r="J652" s="20">
        <f ca="1">IFERROR(__xludf.DUMMYFUNCTION("""COMPUTED_VALUE"""),11.6)</f>
        <v>11.6</v>
      </c>
      <c r="K652" s="5"/>
      <c r="L652" s="20">
        <f ca="1">IFERROR(__xludf.DUMMYFUNCTION("""COMPUTED_VALUE"""),11.78)</f>
        <v>11.78</v>
      </c>
      <c r="M652" s="166" t="str">
        <f ca="1">IFERROR(__xludf.DUMMYFUNCTION("""COMPUTED_VALUE"""),"Equity Key Stats")</f>
        <v>Equity Key Stats</v>
      </c>
      <c r="N652" s="5"/>
      <c r="O652" s="5"/>
      <c r="P652" s="102">
        <f ca="1">IFERROR(__xludf.DUMMYFUNCTION("""COMPUTED_VALUE"""),-58000)</f>
        <v>-58000</v>
      </c>
      <c r="Q652" s="5"/>
      <c r="R652" s="57">
        <f ca="1">IFERROR(__xludf.DUMMYFUNCTION("""COMPUTED_VALUE"""),11.96)</f>
        <v>11.96</v>
      </c>
      <c r="S652" s="102">
        <f ca="1">IFERROR(__xludf.DUMMYFUNCTION("""COMPUTED_VALUE"""),59800)</f>
        <v>59800</v>
      </c>
      <c r="T652" s="5">
        <f ca="1">IFERROR(__xludf.DUMMYFUNCTION("""COMPUTED_VALUE"""),1)</f>
        <v>1</v>
      </c>
      <c r="U652" s="5">
        <f ca="1">IFERROR(__xludf.DUMMYFUNCTION("""COMPUTED_VALUE"""),1)</f>
        <v>1</v>
      </c>
      <c r="V652" s="19">
        <f ca="1">IFERROR(__xludf.DUMMYFUNCTION("""COMPUTED_VALUE"""),1800)</f>
        <v>1800</v>
      </c>
      <c r="W652" s="8" t="str">
        <f ca="1">IFERROR(__xludf.DUMMYFUNCTION("""COMPUTED_VALUE"""),"")</f>
        <v/>
      </c>
      <c r="X652" s="19" t="str">
        <f ca="1">IFERROR(__xludf.DUMMYFUNCTION("""COMPUTED_VALUE"""),"")</f>
        <v/>
      </c>
      <c r="Y652" s="19" t="str">
        <f ca="1">IFERROR(__xludf.DUMMYFUNCTION("""COMPUTED_VALUE"""),"")</f>
        <v/>
      </c>
      <c r="Z652" s="21" t="str">
        <f ca="1">IFERROR(__xludf.DUMMYFUNCTION("""COMPUTED_VALUE"""),"")</f>
        <v/>
      </c>
    </row>
    <row r="653" spans="1:26" ht="13" x14ac:dyDescent="0.15">
      <c r="A653" s="5" t="str">
        <f ca="1">IFERROR(__xludf.DUMMYFUNCTION("""COMPUTED_VALUE"""),"")</f>
        <v/>
      </c>
      <c r="B653" s="5" t="str">
        <f ca="1">IFERROR(__xludf.DUMMYFUNCTION("""COMPUTED_VALUE"""),"95516")</f>
        <v>95516</v>
      </c>
      <c r="C653" s="8">
        <f ca="1">IFERROR(__xludf.DUMMYFUNCTION("""COMPUTED_VALUE"""),44637000652)</f>
        <v>44637000652</v>
      </c>
      <c r="D653" s="71" t="str">
        <f ca="1">IFERROR(__xludf.DUMMYFUNCTION("""COMPUTED_VALUE"""),"9988.HK")</f>
        <v>9988.HK</v>
      </c>
      <c r="E653" s="164">
        <f ca="1">IFERROR(__xludf.DUMMYFUNCTION("""COMPUTED_VALUE"""),44637)</f>
        <v>44637</v>
      </c>
      <c r="F653" s="5" t="str">
        <f ca="1">IFERROR(__xludf.DUMMYFUNCTION("""COMPUTED_VALUE"""),"Stock")</f>
        <v>Stock</v>
      </c>
      <c r="G653" s="5" t="str">
        <f ca="1">IFERROR(__xludf.DUMMYFUNCTION("""COMPUTED_VALUE"""),"HKD")</f>
        <v>HKD</v>
      </c>
      <c r="H653" s="19">
        <f ca="1">IFERROR(__xludf.DUMMYFUNCTION("""COMPUTED_VALUE"""),500)</f>
        <v>500</v>
      </c>
      <c r="I653" s="165">
        <f ca="1">IFERROR(__xludf.DUMMYFUNCTION("""COMPUTED_VALUE"""),1)</f>
        <v>1</v>
      </c>
      <c r="J653" s="20">
        <f ca="1">IFERROR(__xludf.DUMMYFUNCTION("""COMPUTED_VALUE"""),102)</f>
        <v>102</v>
      </c>
      <c r="K653" s="5"/>
      <c r="L653" s="20">
        <f ca="1">IFERROR(__xludf.DUMMYFUNCTION("""COMPUTED_VALUE"""),110.2)</f>
        <v>110.2</v>
      </c>
      <c r="M653" s="166" t="str">
        <f ca="1">IFERROR(__xludf.DUMMYFUNCTION("""COMPUTED_VALUE"""),"Equity Key Stats")</f>
        <v>Equity Key Stats</v>
      </c>
      <c r="N653" s="5"/>
      <c r="O653" s="5"/>
      <c r="P653" s="102">
        <f ca="1">IFERROR(__xludf.DUMMYFUNCTION("""COMPUTED_VALUE"""),-51000)</f>
        <v>-51000</v>
      </c>
      <c r="Q653" s="5"/>
      <c r="R653" s="57">
        <f ca="1">IFERROR(__xludf.DUMMYFUNCTION("""COMPUTED_VALUE"""),117.6)</f>
        <v>117.6</v>
      </c>
      <c r="S653" s="102">
        <f ca="1">IFERROR(__xludf.DUMMYFUNCTION("""COMPUTED_VALUE"""),58800)</f>
        <v>58800</v>
      </c>
      <c r="T653" s="5">
        <f ca="1">IFERROR(__xludf.DUMMYFUNCTION("""COMPUTED_VALUE"""),2)</f>
        <v>2</v>
      </c>
      <c r="U653" s="5" t="str">
        <f ca="1">IFERROR(__xludf.DUMMYFUNCTION("""COMPUTED_VALUE"""),"")</f>
        <v/>
      </c>
      <c r="V653" s="19" t="str">
        <f ca="1">IFERROR(__xludf.DUMMYFUNCTION("""COMPUTED_VALUE"""),"")</f>
        <v/>
      </c>
      <c r="W653" s="8" t="str">
        <f ca="1">IFERROR(__xludf.DUMMYFUNCTION("""COMPUTED_VALUE"""),"")</f>
        <v/>
      </c>
      <c r="X653" s="19" t="str">
        <f ca="1">IFERROR(__xludf.DUMMYFUNCTION("""COMPUTED_VALUE"""),"")</f>
        <v/>
      </c>
      <c r="Y653" s="19" t="str">
        <f ca="1">IFERROR(__xludf.DUMMYFUNCTION("""COMPUTED_VALUE"""),"")</f>
        <v/>
      </c>
      <c r="Z653" s="21" t="str">
        <f ca="1">IFERROR(__xludf.DUMMYFUNCTION("""COMPUTED_VALUE"""),"")</f>
        <v/>
      </c>
    </row>
    <row r="654" spans="1:26" ht="13" x14ac:dyDescent="0.15">
      <c r="A654" s="5" t="str">
        <f ca="1">IFERROR(__xludf.DUMMYFUNCTION("""COMPUTED_VALUE"""),"")</f>
        <v/>
      </c>
      <c r="B654" s="5" t="str">
        <f ca="1">IFERROR(__xludf.DUMMYFUNCTION("""COMPUTED_VALUE"""),"95516")</f>
        <v>95516</v>
      </c>
      <c r="C654" s="8">
        <f ca="1">IFERROR(__xludf.DUMMYFUNCTION("""COMPUTED_VALUE"""),44637000653)</f>
        <v>44637000653</v>
      </c>
      <c r="D654" s="71" t="str">
        <f ca="1">IFERROR(__xludf.DUMMYFUNCTION("""COMPUTED_VALUE"""),"9999.HK")</f>
        <v>9999.HK</v>
      </c>
      <c r="E654" s="164">
        <f ca="1">IFERROR(__xludf.DUMMYFUNCTION("""COMPUTED_VALUE"""),44637)</f>
        <v>44637</v>
      </c>
      <c r="F654" s="5" t="str">
        <f ca="1">IFERROR(__xludf.DUMMYFUNCTION("""COMPUTED_VALUE"""),"Stock")</f>
        <v>Stock</v>
      </c>
      <c r="G654" s="5" t="str">
        <f ca="1">IFERROR(__xludf.DUMMYFUNCTION("""COMPUTED_VALUE"""),"HKD")</f>
        <v>HKD</v>
      </c>
      <c r="H654" s="19">
        <f ca="1">IFERROR(__xludf.DUMMYFUNCTION("""COMPUTED_VALUE"""),500)</f>
        <v>500</v>
      </c>
      <c r="I654" s="165">
        <f ca="1">IFERROR(__xludf.DUMMYFUNCTION("""COMPUTED_VALUE"""),1)</f>
        <v>1</v>
      </c>
      <c r="J654" s="20">
        <f ca="1">IFERROR(__xludf.DUMMYFUNCTION("""COMPUTED_VALUE"""),142.3)</f>
        <v>142.30000000000001</v>
      </c>
      <c r="K654" s="5"/>
      <c r="L654" s="20">
        <f ca="1">IFERROR(__xludf.DUMMYFUNCTION("""COMPUTED_VALUE"""),145.6)</f>
        <v>145.6</v>
      </c>
      <c r="M654" s="166" t="str">
        <f ca="1">IFERROR(__xludf.DUMMYFUNCTION("""COMPUTED_VALUE"""),"Equity Key Stats")</f>
        <v>Equity Key Stats</v>
      </c>
      <c r="N654" s="5"/>
      <c r="O654" s="5"/>
      <c r="P654" s="102">
        <f ca="1">IFERROR(__xludf.DUMMYFUNCTION("""COMPUTED_VALUE"""),-71150)</f>
        <v>-71150</v>
      </c>
      <c r="Q654" s="5"/>
      <c r="R654" s="57">
        <f ca="1">IFERROR(__xludf.DUMMYFUNCTION("""COMPUTED_VALUE"""),151.3)</f>
        <v>151.30000000000001</v>
      </c>
      <c r="S654" s="102">
        <f ca="1">IFERROR(__xludf.DUMMYFUNCTION("""COMPUTED_VALUE"""),75650)</f>
        <v>75650</v>
      </c>
      <c r="T654" s="5">
        <f ca="1">IFERROR(__xludf.DUMMYFUNCTION("""COMPUTED_VALUE"""),1)</f>
        <v>1</v>
      </c>
      <c r="U654" s="5">
        <f ca="1">IFERROR(__xludf.DUMMYFUNCTION("""COMPUTED_VALUE"""),1)</f>
        <v>1</v>
      </c>
      <c r="V654" s="19">
        <f ca="1">IFERROR(__xludf.DUMMYFUNCTION("""COMPUTED_VALUE"""),4500)</f>
        <v>4500</v>
      </c>
      <c r="W654" s="8" t="str">
        <f ca="1">IFERROR(__xludf.DUMMYFUNCTION("""COMPUTED_VALUE"""),"")</f>
        <v/>
      </c>
      <c r="X654" s="19" t="str">
        <f ca="1">IFERROR(__xludf.DUMMYFUNCTION("""COMPUTED_VALUE"""),"")</f>
        <v/>
      </c>
      <c r="Y654" s="19" t="str">
        <f ca="1">IFERROR(__xludf.DUMMYFUNCTION("""COMPUTED_VALUE"""),"")</f>
        <v/>
      </c>
      <c r="Z654" s="21" t="str">
        <f ca="1">IFERROR(__xludf.DUMMYFUNCTION("""COMPUTED_VALUE"""),"")</f>
        <v/>
      </c>
    </row>
    <row r="655" spans="1:26" ht="13" x14ac:dyDescent="0.15">
      <c r="A655" s="5" t="str">
        <f ca="1">IFERROR(__xludf.DUMMYFUNCTION("""COMPUTED_VALUE"""),"95516")</f>
        <v>95516</v>
      </c>
      <c r="B655" s="5" t="str">
        <f ca="1">IFERROR(__xludf.DUMMYFUNCTION("""COMPUTED_VALUE"""),"95516")</f>
        <v>95516</v>
      </c>
      <c r="C655" s="8">
        <f ca="1">IFERROR(__xludf.DUMMYFUNCTION("""COMPUTED_VALUE"""),44641000754)</f>
        <v>44641000754</v>
      </c>
      <c r="D655" s="71" t="str">
        <f ca="1">IFERROR(__xludf.DUMMYFUNCTION("""COMPUTED_VALUE"""),"9988.HK")</f>
        <v>9988.HK</v>
      </c>
      <c r="E655" s="164">
        <f ca="1">IFERROR(__xludf.DUMMYFUNCTION("""COMPUTED_VALUE"""),44641)</f>
        <v>44641</v>
      </c>
      <c r="F655" s="5" t="str">
        <f ca="1">IFERROR(__xludf.DUMMYFUNCTION("""COMPUTED_VALUE"""),"Stock")</f>
        <v>Stock</v>
      </c>
      <c r="G655" s="5" t="str">
        <f ca="1">IFERROR(__xludf.DUMMYFUNCTION("""COMPUTED_VALUE"""),"HKD")</f>
        <v>HKD</v>
      </c>
      <c r="H655" s="19">
        <f ca="1">IFERROR(__xludf.DUMMYFUNCTION("""COMPUTED_VALUE"""),1500)</f>
        <v>1500</v>
      </c>
      <c r="I655" s="165">
        <f ca="1">IFERROR(__xludf.DUMMYFUNCTION("""COMPUTED_VALUE"""),1)</f>
        <v>1</v>
      </c>
      <c r="J655" s="20">
        <f ca="1">IFERROR(__xludf.DUMMYFUNCTION("""COMPUTED_VALUE"""),99.1)</f>
        <v>99.1</v>
      </c>
      <c r="K655" s="5"/>
      <c r="L655" s="20">
        <f ca="1">IFERROR(__xludf.DUMMYFUNCTION("""COMPUTED_VALUE"""),110.2)</f>
        <v>110.2</v>
      </c>
      <c r="M655" s="166" t="str">
        <f ca="1">IFERROR(__xludf.DUMMYFUNCTION("""COMPUTED_VALUE"""),"Equity Key Stats")</f>
        <v>Equity Key Stats</v>
      </c>
      <c r="N655" s="5"/>
      <c r="O655" s="5"/>
      <c r="P655" s="102">
        <f ca="1">IFERROR(__xludf.DUMMYFUNCTION("""COMPUTED_VALUE"""),-148650)</f>
        <v>-148650</v>
      </c>
      <c r="Q655" s="5"/>
      <c r="R655" s="57">
        <f ca="1">IFERROR(__xludf.DUMMYFUNCTION("""COMPUTED_VALUE"""),117.6)</f>
        <v>117.6</v>
      </c>
      <c r="S655" s="102">
        <f ca="1">IFERROR(__xludf.DUMMYFUNCTION("""COMPUTED_VALUE"""),176400)</f>
        <v>176400</v>
      </c>
      <c r="T655" s="5">
        <f ca="1">IFERROR(__xludf.DUMMYFUNCTION("""COMPUTED_VALUE"""),2)</f>
        <v>2</v>
      </c>
      <c r="U655" s="5">
        <f ca="1">IFERROR(__xludf.DUMMYFUNCTION("""COMPUTED_VALUE"""),1)</f>
        <v>1</v>
      </c>
      <c r="V655" s="19">
        <f ca="1">IFERROR(__xludf.DUMMYFUNCTION("""COMPUTED_VALUE"""),35550)</f>
        <v>35550</v>
      </c>
      <c r="W655" s="8">
        <f ca="1">IFERROR(__xludf.DUMMYFUNCTION("""COMPUTED_VALUE"""),542650)</f>
        <v>542650</v>
      </c>
      <c r="X655" s="19">
        <f ca="1">IFERROR(__xludf.DUMMYFUNCTION("""COMPUTED_VALUE"""),5800)</f>
        <v>5800</v>
      </c>
      <c r="Y655" s="19">
        <f ca="1">IFERROR(__xludf.DUMMYFUNCTION("""COMPUTED_VALUE"""),0)</f>
        <v>0</v>
      </c>
      <c r="Z655" s="21">
        <f ca="1">IFERROR(__xludf.DUMMYFUNCTION("""COMPUTED_VALUE"""),0.0852999999999999)</f>
        <v>8.5299999999999904E-2</v>
      </c>
    </row>
    <row r="656" spans="1:26" ht="13" x14ac:dyDescent="0.15">
      <c r="A656" s="5" t="str">
        <f ca="1">IFERROR(__xludf.DUMMYFUNCTION("""COMPUTED_VALUE"""),"97316")</f>
        <v>97316</v>
      </c>
      <c r="B656" s="5" t="str">
        <f ca="1">IFERROR(__xludf.DUMMYFUNCTION("""COMPUTED_VALUE"""),"97316")</f>
        <v>97316</v>
      </c>
      <c r="C656" s="8">
        <f ca="1">IFERROR(__xludf.DUMMYFUNCTION("""COMPUTED_VALUE"""),44597000014)</f>
        <v>44597000014</v>
      </c>
      <c r="D656" s="5" t="str">
        <f ca="1">IFERROR(__xludf.DUMMYFUNCTION("""COMPUTED_VALUE"""),"Cash")</f>
        <v>Cash</v>
      </c>
      <c r="E656" s="164">
        <f ca="1">IFERROR(__xludf.DUMMYFUNCTION("""COMPUTED_VALUE"""),44597)</f>
        <v>44597</v>
      </c>
      <c r="F656" s="5" t="str">
        <f ca="1">IFERROR(__xludf.DUMMYFUNCTION("""COMPUTED_VALUE"""),"Cash")</f>
        <v>Cash</v>
      </c>
      <c r="G656" s="5" t="str">
        <f ca="1">IFERROR(__xludf.DUMMYFUNCTION("""COMPUTED_VALUE"""),"HKD")</f>
        <v>HKD</v>
      </c>
      <c r="H656" s="19" t="str">
        <f ca="1">IFERROR(__xludf.DUMMYFUNCTION("""COMPUTED_VALUE"""),"")</f>
        <v/>
      </c>
      <c r="I656" s="165">
        <f ca="1">IFERROR(__xludf.DUMMYFUNCTION("""COMPUTED_VALUE"""),1)</f>
        <v>1</v>
      </c>
      <c r="J656" s="5">
        <f ca="1">IFERROR(__xludf.DUMMYFUNCTION("""COMPUTED_VALUE"""),1)</f>
        <v>1</v>
      </c>
      <c r="K656" s="5"/>
      <c r="L656" s="20">
        <f ca="1">IFERROR(__xludf.DUMMYFUNCTION("""COMPUTED_VALUE"""),1)</f>
        <v>1</v>
      </c>
      <c r="M656" s="22" t="str">
        <f ca="1">IFERROR(__xludf.DUMMYFUNCTION("""COMPUTED_VALUE"""),"")</f>
        <v/>
      </c>
      <c r="N656" s="5"/>
      <c r="O656" s="5"/>
      <c r="P656" s="102">
        <f ca="1">IFERROR(__xludf.DUMMYFUNCTION("""COMPUTED_VALUE"""),500000)</f>
        <v>500000</v>
      </c>
      <c r="Q656" s="5"/>
      <c r="R656" s="57">
        <f ca="1">IFERROR(__xludf.DUMMYFUNCTION("""COMPUTED_VALUE"""),1)</f>
        <v>1</v>
      </c>
      <c r="S656" s="102" t="str">
        <f ca="1">IFERROR(__xludf.DUMMYFUNCTION("""COMPUTED_VALUE"""),"")</f>
        <v/>
      </c>
      <c r="T656" s="5">
        <f ca="1">IFERROR(__xludf.DUMMYFUNCTION("""COMPUTED_VALUE"""),1)</f>
        <v>1</v>
      </c>
      <c r="U656" s="5">
        <f ca="1">IFERROR(__xludf.DUMMYFUNCTION("""COMPUTED_VALUE"""),1)</f>
        <v>1</v>
      </c>
      <c r="V656" s="19">
        <f ca="1">IFERROR(__xludf.DUMMYFUNCTION("""COMPUTED_VALUE"""),500000)</f>
        <v>500000</v>
      </c>
      <c r="W656" s="8">
        <f ca="1">IFERROR(__xludf.DUMMYFUNCTION("""COMPUTED_VALUE"""),500000)</f>
        <v>500000</v>
      </c>
      <c r="X656" s="19">
        <f ca="1">IFERROR(__xludf.DUMMYFUNCTION("""COMPUTED_VALUE"""),500000)</f>
        <v>500000</v>
      </c>
      <c r="Y656" s="19">
        <f ca="1">IFERROR(__xludf.DUMMYFUNCTION("""COMPUTED_VALUE"""),0)</f>
        <v>0</v>
      </c>
      <c r="Z656" s="21">
        <f ca="1">IFERROR(__xludf.DUMMYFUNCTION("""COMPUTED_VALUE"""),0)</f>
        <v>0</v>
      </c>
    </row>
    <row r="657" spans="1:26" ht="13" x14ac:dyDescent="0.15">
      <c r="A657" s="5" t="str">
        <f ca="1">IFERROR(__xludf.DUMMYFUNCTION("""COMPUTED_VALUE"""),"C0007")</f>
        <v>C0007</v>
      </c>
      <c r="B657" s="5" t="str">
        <f ca="1">IFERROR(__xludf.DUMMYFUNCTION("""COMPUTED_VALUE"""),"C0007")</f>
        <v>C0007</v>
      </c>
      <c r="C657" s="8">
        <f ca="1">IFERROR(__xludf.DUMMYFUNCTION("""COMPUTED_VALUE"""),44562000008)</f>
        <v>44562000008</v>
      </c>
      <c r="D657" s="5" t="str">
        <f ca="1">IFERROR(__xludf.DUMMYFUNCTION("""COMPUTED_VALUE"""),"Cash")</f>
        <v>Cash</v>
      </c>
      <c r="E657" s="164">
        <f ca="1">IFERROR(__xludf.DUMMYFUNCTION("""COMPUTED_VALUE"""),44562)</f>
        <v>44562</v>
      </c>
      <c r="F657" s="5" t="str">
        <f ca="1">IFERROR(__xludf.DUMMYFUNCTION("""COMPUTED_VALUE"""),"Cash")</f>
        <v>Cash</v>
      </c>
      <c r="G657" s="5" t="str">
        <f ca="1">IFERROR(__xludf.DUMMYFUNCTION("""COMPUTED_VALUE"""),"HKD")</f>
        <v>HKD</v>
      </c>
      <c r="H657" s="19" t="str">
        <f ca="1">IFERROR(__xludf.DUMMYFUNCTION("""COMPUTED_VALUE"""),"")</f>
        <v/>
      </c>
      <c r="I657" s="165">
        <f ca="1">IFERROR(__xludf.DUMMYFUNCTION("""COMPUTED_VALUE"""),1)</f>
        <v>1</v>
      </c>
      <c r="J657" s="5">
        <f ca="1">IFERROR(__xludf.DUMMYFUNCTION("""COMPUTED_VALUE"""),1)</f>
        <v>1</v>
      </c>
      <c r="K657" s="5"/>
      <c r="L657" s="20">
        <f ca="1">IFERROR(__xludf.DUMMYFUNCTION("""COMPUTED_VALUE"""),1)</f>
        <v>1</v>
      </c>
      <c r="M657" s="22" t="str">
        <f ca="1">IFERROR(__xludf.DUMMYFUNCTION("""COMPUTED_VALUE"""),"")</f>
        <v/>
      </c>
      <c r="N657" s="5"/>
      <c r="O657" s="5"/>
      <c r="P657" s="102">
        <f ca="1">IFERROR(__xludf.DUMMYFUNCTION("""COMPUTED_VALUE"""),500000)</f>
        <v>500000</v>
      </c>
      <c r="Q657" s="5"/>
      <c r="R657" s="57">
        <f ca="1">IFERROR(__xludf.DUMMYFUNCTION("""COMPUTED_VALUE"""),1)</f>
        <v>1</v>
      </c>
      <c r="S657" s="102" t="str">
        <f ca="1">IFERROR(__xludf.DUMMYFUNCTION("""COMPUTED_VALUE"""),"")</f>
        <v/>
      </c>
      <c r="T657" s="5">
        <f ca="1">IFERROR(__xludf.DUMMYFUNCTION("""COMPUTED_VALUE"""),1)</f>
        <v>1</v>
      </c>
      <c r="U657" s="5">
        <f ca="1">IFERROR(__xludf.DUMMYFUNCTION("""COMPUTED_VALUE"""),1)</f>
        <v>1</v>
      </c>
      <c r="V657" s="19">
        <f ca="1">IFERROR(__xludf.DUMMYFUNCTION("""COMPUTED_VALUE"""),500000)</f>
        <v>500000</v>
      </c>
      <c r="W657" s="8">
        <f ca="1">IFERROR(__xludf.DUMMYFUNCTION("""COMPUTED_VALUE"""),500000)</f>
        <v>500000</v>
      </c>
      <c r="X657" s="19">
        <f ca="1">IFERROR(__xludf.DUMMYFUNCTION("""COMPUTED_VALUE"""),500000)</f>
        <v>500000</v>
      </c>
      <c r="Y657" s="19">
        <f ca="1">IFERROR(__xludf.DUMMYFUNCTION("""COMPUTED_VALUE"""),0)</f>
        <v>0</v>
      </c>
      <c r="Z657" s="21">
        <f ca="1">IFERROR(__xludf.DUMMYFUNCTION("""COMPUTED_VALUE"""),0)</f>
        <v>0</v>
      </c>
    </row>
    <row r="658" spans="1:26" ht="13" x14ac:dyDescent="0.15">
      <c r="A658" s="5" t="str">
        <f ca="1">IFERROR(__xludf.DUMMYFUNCTION("""COMPUTED_VALUE"""),"")</f>
        <v/>
      </c>
      <c r="B658" s="5" t="str">
        <f ca="1">IFERROR(__xludf.DUMMYFUNCTION("""COMPUTED_VALUE"""),"MONKEY")</f>
        <v>MONKEY</v>
      </c>
      <c r="C658" s="8">
        <f ca="1">IFERROR(__xludf.DUMMYFUNCTION("""COMPUTED_VALUE"""),44562000007)</f>
        <v>44562000007</v>
      </c>
      <c r="D658" s="5" t="str">
        <f ca="1">IFERROR(__xludf.DUMMYFUNCTION("""COMPUTED_VALUE"""),"Cash")</f>
        <v>Cash</v>
      </c>
      <c r="E658" s="164">
        <f ca="1">IFERROR(__xludf.DUMMYFUNCTION("""COMPUTED_VALUE"""),44562)</f>
        <v>44562</v>
      </c>
      <c r="F658" s="5" t="str">
        <f ca="1">IFERROR(__xludf.DUMMYFUNCTION("""COMPUTED_VALUE"""),"Cash")</f>
        <v>Cash</v>
      </c>
      <c r="G658" s="5" t="str">
        <f ca="1">IFERROR(__xludf.DUMMYFUNCTION("""COMPUTED_VALUE"""),"HKD")</f>
        <v>HKD</v>
      </c>
      <c r="H658" s="19" t="str">
        <f ca="1">IFERROR(__xludf.DUMMYFUNCTION("""COMPUTED_VALUE"""),"")</f>
        <v/>
      </c>
      <c r="I658" s="165">
        <f ca="1">IFERROR(__xludf.DUMMYFUNCTION("""COMPUTED_VALUE"""),1)</f>
        <v>1</v>
      </c>
      <c r="J658" s="5">
        <f ca="1">IFERROR(__xludf.DUMMYFUNCTION("""COMPUTED_VALUE"""),1)</f>
        <v>1</v>
      </c>
      <c r="K658" s="5"/>
      <c r="L658" s="20">
        <f ca="1">IFERROR(__xludf.DUMMYFUNCTION("""COMPUTED_VALUE"""),1)</f>
        <v>1</v>
      </c>
      <c r="M658" s="22" t="str">
        <f ca="1">IFERROR(__xludf.DUMMYFUNCTION("""COMPUTED_VALUE"""),"")</f>
        <v/>
      </c>
      <c r="N658" s="5"/>
      <c r="O658" s="5"/>
      <c r="P658" s="102">
        <f ca="1">IFERROR(__xludf.DUMMYFUNCTION("""COMPUTED_VALUE"""),500000)</f>
        <v>500000</v>
      </c>
      <c r="Q658" s="5"/>
      <c r="R658" s="57">
        <f ca="1">IFERROR(__xludf.DUMMYFUNCTION("""COMPUTED_VALUE"""),1)</f>
        <v>1</v>
      </c>
      <c r="S658" s="102" t="str">
        <f ca="1">IFERROR(__xludf.DUMMYFUNCTION("""COMPUTED_VALUE"""),"")</f>
        <v/>
      </c>
      <c r="T658" s="5">
        <f ca="1">IFERROR(__xludf.DUMMYFUNCTION("""COMPUTED_VALUE"""),1)</f>
        <v>1</v>
      </c>
      <c r="U658" s="5">
        <f ca="1">IFERROR(__xludf.DUMMYFUNCTION("""COMPUTED_VALUE"""),1)</f>
        <v>1</v>
      </c>
      <c r="V658" s="19">
        <f ca="1">IFERROR(__xludf.DUMMYFUNCTION("""COMPUTED_VALUE"""),500000)</f>
        <v>500000</v>
      </c>
      <c r="W658" s="8" t="str">
        <f ca="1">IFERROR(__xludf.DUMMYFUNCTION("""COMPUTED_VALUE"""),"")</f>
        <v/>
      </c>
      <c r="X658" s="19" t="str">
        <f ca="1">IFERROR(__xludf.DUMMYFUNCTION("""COMPUTED_VALUE"""),"")</f>
        <v/>
      </c>
      <c r="Y658" s="19" t="str">
        <f ca="1">IFERROR(__xludf.DUMMYFUNCTION("""COMPUTED_VALUE"""),"")</f>
        <v/>
      </c>
      <c r="Z658" s="21" t="str">
        <f ca="1">IFERROR(__xludf.DUMMYFUNCTION("""COMPUTED_VALUE"""),"")</f>
        <v/>
      </c>
    </row>
    <row r="659" spans="1:26" ht="13" x14ac:dyDescent="0.15">
      <c r="A659" s="5" t="str">
        <f ca="1">IFERROR(__xludf.DUMMYFUNCTION("""COMPUTED_VALUE"""),"")</f>
        <v/>
      </c>
      <c r="B659" s="5" t="str">
        <f ca="1">IFERROR(__xludf.DUMMYFUNCTION("""COMPUTED_VALUE"""),"MONKEY")</f>
        <v>MONKEY</v>
      </c>
      <c r="C659" s="8">
        <f ca="1">IFERROR(__xludf.DUMMYFUNCTION("""COMPUTED_VALUE"""),44595000011)</f>
        <v>44595000011</v>
      </c>
      <c r="D659" s="5" t="str">
        <f ca="1">IFERROR(__xludf.DUMMYFUNCTION("""COMPUTED_VALUE"""),"AMZN")</f>
        <v>AMZN</v>
      </c>
      <c r="E659" s="164">
        <f ca="1">IFERROR(__xludf.DUMMYFUNCTION("""COMPUTED_VALUE"""),44595)</f>
        <v>44595</v>
      </c>
      <c r="F659" s="5" t="str">
        <f ca="1">IFERROR(__xludf.DUMMYFUNCTION("""COMPUTED_VALUE"""),"Stock")</f>
        <v>Stock</v>
      </c>
      <c r="G659" s="5" t="str">
        <f ca="1">IFERROR(__xludf.DUMMYFUNCTION("""COMPUTED_VALUE"""),"USD")</f>
        <v>USD</v>
      </c>
      <c r="H659" s="19">
        <f ca="1">IFERROR(__xludf.DUMMYFUNCTION("""COMPUTED_VALUE"""),1)</f>
        <v>1</v>
      </c>
      <c r="I659" s="165">
        <f ca="1">IFERROR(__xludf.DUMMYFUNCTION("""COMPUTED_VALUE"""),7.79325)</f>
        <v>7.7932499999999996</v>
      </c>
      <c r="J659" s="20">
        <f ca="1">IFERROR(__xludf.DUMMYFUNCTION("""COMPUTED_VALUE"""),2776.91)</f>
        <v>2776.91</v>
      </c>
      <c r="K659" s="5"/>
      <c r="L659" s="20">
        <f ca="1">IFERROR(__xludf.DUMMYFUNCTION("""COMPUTED_VALUE"""),3297.78)</f>
        <v>3297.78</v>
      </c>
      <c r="M659" s="166" t="str">
        <f ca="1">IFERROR(__xludf.DUMMYFUNCTION("""COMPUTED_VALUE"""),"Equity Key Stats")</f>
        <v>Equity Key Stats</v>
      </c>
      <c r="N659" s="5"/>
      <c r="O659" s="5"/>
      <c r="P659" s="102">
        <f ca="1">IFERROR(__xludf.DUMMYFUNCTION("""COMPUTED_VALUE"""),-21641.1538574999)</f>
        <v>-21641.153857499899</v>
      </c>
      <c r="Q659" s="5"/>
      <c r="R659" s="57">
        <f ca="1">IFERROR(__xludf.DUMMYFUNCTION("""COMPUTED_VALUE"""),3268.16)</f>
        <v>3268.16</v>
      </c>
      <c r="S659" s="102">
        <f ca="1">IFERROR(__xludf.DUMMYFUNCTION("""COMPUTED_VALUE"""),25469.5879199999)</f>
        <v>25469.5879199999</v>
      </c>
      <c r="T659" s="5">
        <f ca="1">IFERROR(__xludf.DUMMYFUNCTION("""COMPUTED_VALUE"""),1)</f>
        <v>1</v>
      </c>
      <c r="U659" s="5">
        <f ca="1">IFERROR(__xludf.DUMMYFUNCTION("""COMPUTED_VALUE"""),1)</f>
        <v>1</v>
      </c>
      <c r="V659" s="19">
        <f ca="1">IFERROR(__xludf.DUMMYFUNCTION("""COMPUTED_VALUE"""),3828.4340625)</f>
        <v>3828.4340625</v>
      </c>
      <c r="W659" s="8" t="str">
        <f ca="1">IFERROR(__xludf.DUMMYFUNCTION("""COMPUTED_VALUE"""),"")</f>
        <v/>
      </c>
      <c r="X659" s="19" t="str">
        <f ca="1">IFERROR(__xludf.DUMMYFUNCTION("""COMPUTED_VALUE"""),"")</f>
        <v/>
      </c>
      <c r="Y659" s="19" t="str">
        <f ca="1">IFERROR(__xludf.DUMMYFUNCTION("""COMPUTED_VALUE"""),"")</f>
        <v/>
      </c>
      <c r="Z659" s="21" t="str">
        <f ca="1">IFERROR(__xludf.DUMMYFUNCTION("""COMPUTED_VALUE"""),"")</f>
        <v/>
      </c>
    </row>
    <row r="660" spans="1:26" ht="13" x14ac:dyDescent="0.15">
      <c r="A660" s="5" t="str">
        <f ca="1">IFERROR(__xludf.DUMMYFUNCTION("""COMPUTED_VALUE"""),"")</f>
        <v/>
      </c>
      <c r="B660" s="5" t="str">
        <f ca="1">IFERROR(__xludf.DUMMYFUNCTION("""COMPUTED_VALUE"""),"MONKEY")</f>
        <v>MONKEY</v>
      </c>
      <c r="C660" s="8">
        <f ca="1">IFERROR(__xludf.DUMMYFUNCTION("""COMPUTED_VALUE"""),44610000252)</f>
        <v>44610000252</v>
      </c>
      <c r="D660" s="71" t="str">
        <f ca="1">IFERROR(__xludf.DUMMYFUNCTION("""COMPUTED_VALUE"""),"9961.HK")</f>
        <v>9961.HK</v>
      </c>
      <c r="E660" s="164">
        <f ca="1">IFERROR(__xludf.DUMMYFUNCTION("""COMPUTED_VALUE"""),44610)</f>
        <v>44610</v>
      </c>
      <c r="F660" s="5" t="str">
        <f ca="1">IFERROR(__xludf.DUMMYFUNCTION("""COMPUTED_VALUE"""),"Stock")</f>
        <v>Stock</v>
      </c>
      <c r="G660" s="5" t="str">
        <f ca="1">IFERROR(__xludf.DUMMYFUNCTION("""COMPUTED_VALUE"""),"HKD")</f>
        <v>HKD</v>
      </c>
      <c r="H660" s="19">
        <f ca="1">IFERROR(__xludf.DUMMYFUNCTION("""COMPUTED_VALUE"""),30)</f>
        <v>30</v>
      </c>
      <c r="I660" s="165">
        <f ca="1">IFERROR(__xludf.DUMMYFUNCTION("""COMPUTED_VALUE"""),1)</f>
        <v>1</v>
      </c>
      <c r="J660" s="20">
        <f ca="1">IFERROR(__xludf.DUMMYFUNCTION("""COMPUTED_VALUE"""),232.8)</f>
        <v>232.8</v>
      </c>
      <c r="K660" s="5"/>
      <c r="L660" s="20">
        <f ca="1">IFERROR(__xludf.DUMMYFUNCTION("""COMPUTED_VALUE"""),187.4)</f>
        <v>187.4</v>
      </c>
      <c r="M660" s="166" t="str">
        <f ca="1">IFERROR(__xludf.DUMMYFUNCTION("""COMPUTED_VALUE"""),"Equity Key Stats")</f>
        <v>Equity Key Stats</v>
      </c>
      <c r="N660" s="5"/>
      <c r="O660" s="5"/>
      <c r="P660" s="102">
        <f ca="1">IFERROR(__xludf.DUMMYFUNCTION("""COMPUTED_VALUE"""),-6984)</f>
        <v>-6984</v>
      </c>
      <c r="Q660" s="5"/>
      <c r="R660" s="57">
        <f ca="1">IFERROR(__xludf.DUMMYFUNCTION("""COMPUTED_VALUE"""),191.1)</f>
        <v>191.1</v>
      </c>
      <c r="S660" s="102">
        <f ca="1">IFERROR(__xludf.DUMMYFUNCTION("""COMPUTED_VALUE"""),5733)</f>
        <v>5733</v>
      </c>
      <c r="T660" s="5">
        <f ca="1">IFERROR(__xludf.DUMMYFUNCTION("""COMPUTED_VALUE"""),1)</f>
        <v>1</v>
      </c>
      <c r="U660" s="5">
        <f ca="1">IFERROR(__xludf.DUMMYFUNCTION("""COMPUTED_VALUE"""),1)</f>
        <v>1</v>
      </c>
      <c r="V660" s="19">
        <f ca="1">IFERROR(__xludf.DUMMYFUNCTION("""COMPUTED_VALUE"""),-1251)</f>
        <v>-1251</v>
      </c>
      <c r="W660" s="8" t="str">
        <f ca="1">IFERROR(__xludf.DUMMYFUNCTION("""COMPUTED_VALUE"""),"")</f>
        <v/>
      </c>
      <c r="X660" s="19" t="str">
        <f ca="1">IFERROR(__xludf.DUMMYFUNCTION("""COMPUTED_VALUE"""),"")</f>
        <v/>
      </c>
      <c r="Y660" s="19" t="str">
        <f ca="1">IFERROR(__xludf.DUMMYFUNCTION("""COMPUTED_VALUE"""),"")</f>
        <v/>
      </c>
      <c r="Z660" s="21" t="str">
        <f ca="1">IFERROR(__xludf.DUMMYFUNCTION("""COMPUTED_VALUE"""),"")</f>
        <v/>
      </c>
    </row>
    <row r="661" spans="1:26" ht="13" x14ac:dyDescent="0.15">
      <c r="A661" s="5" t="str">
        <f ca="1">IFERROR(__xludf.DUMMYFUNCTION("""COMPUTED_VALUE"""),"")</f>
        <v/>
      </c>
      <c r="B661" s="5" t="str">
        <f ca="1">IFERROR(__xludf.DUMMYFUNCTION("""COMPUTED_VALUE"""),"MONKEY")</f>
        <v>MONKEY</v>
      </c>
      <c r="C661" s="8">
        <f ca="1">IFERROR(__xludf.DUMMYFUNCTION("""COMPUTED_VALUE"""),44610000253)</f>
        <v>44610000253</v>
      </c>
      <c r="D661" s="71" t="str">
        <f ca="1">IFERROR(__xludf.DUMMYFUNCTION("""COMPUTED_VALUE"""),"9999.HK")</f>
        <v>9999.HK</v>
      </c>
      <c r="E661" s="164">
        <f ca="1">IFERROR(__xludf.DUMMYFUNCTION("""COMPUTED_VALUE"""),44610)</f>
        <v>44610</v>
      </c>
      <c r="F661" s="5" t="str">
        <f ca="1">IFERROR(__xludf.DUMMYFUNCTION("""COMPUTED_VALUE"""),"Stock")</f>
        <v>Stock</v>
      </c>
      <c r="G661" s="5" t="str">
        <f ca="1">IFERROR(__xludf.DUMMYFUNCTION("""COMPUTED_VALUE"""),"HKD")</f>
        <v>HKD</v>
      </c>
      <c r="H661" s="19">
        <f ca="1">IFERROR(__xludf.DUMMYFUNCTION("""COMPUTED_VALUE"""),40)</f>
        <v>40</v>
      </c>
      <c r="I661" s="165">
        <f ca="1">IFERROR(__xludf.DUMMYFUNCTION("""COMPUTED_VALUE"""),1)</f>
        <v>1</v>
      </c>
      <c r="J661" s="20">
        <f ca="1">IFERROR(__xludf.DUMMYFUNCTION("""COMPUTED_VALUE"""),156.7)</f>
        <v>156.69999999999999</v>
      </c>
      <c r="K661" s="5"/>
      <c r="L661" s="20">
        <f ca="1">IFERROR(__xludf.DUMMYFUNCTION("""COMPUTED_VALUE"""),145.6)</f>
        <v>145.6</v>
      </c>
      <c r="M661" s="166" t="str">
        <f ca="1">IFERROR(__xludf.DUMMYFUNCTION("""COMPUTED_VALUE"""),"Equity Key Stats")</f>
        <v>Equity Key Stats</v>
      </c>
      <c r="N661" s="5"/>
      <c r="O661" s="5"/>
      <c r="P661" s="102">
        <f ca="1">IFERROR(__xludf.DUMMYFUNCTION("""COMPUTED_VALUE"""),-6268)</f>
        <v>-6268</v>
      </c>
      <c r="Q661" s="5"/>
      <c r="R661" s="57">
        <f ca="1">IFERROR(__xludf.DUMMYFUNCTION("""COMPUTED_VALUE"""),151.3)</f>
        <v>151.30000000000001</v>
      </c>
      <c r="S661" s="102">
        <f ca="1">IFERROR(__xludf.DUMMYFUNCTION("""COMPUTED_VALUE"""),6052)</f>
        <v>6052</v>
      </c>
      <c r="T661" s="5">
        <f ca="1">IFERROR(__xludf.DUMMYFUNCTION("""COMPUTED_VALUE"""),1)</f>
        <v>1</v>
      </c>
      <c r="U661" s="5">
        <f ca="1">IFERROR(__xludf.DUMMYFUNCTION("""COMPUTED_VALUE"""),1)</f>
        <v>1</v>
      </c>
      <c r="V661" s="19">
        <f ca="1">IFERROR(__xludf.DUMMYFUNCTION("""COMPUTED_VALUE"""),-216)</f>
        <v>-216</v>
      </c>
      <c r="W661" s="8" t="str">
        <f ca="1">IFERROR(__xludf.DUMMYFUNCTION("""COMPUTED_VALUE"""),"")</f>
        <v/>
      </c>
      <c r="X661" s="19" t="str">
        <f ca="1">IFERROR(__xludf.DUMMYFUNCTION("""COMPUTED_VALUE"""),"")</f>
        <v/>
      </c>
      <c r="Y661" s="19" t="str">
        <f ca="1">IFERROR(__xludf.DUMMYFUNCTION("""COMPUTED_VALUE"""),"")</f>
        <v/>
      </c>
      <c r="Z661" s="21" t="str">
        <f ca="1">IFERROR(__xludf.DUMMYFUNCTION("""COMPUTED_VALUE"""),"")</f>
        <v/>
      </c>
    </row>
    <row r="662" spans="1:26" ht="13" x14ac:dyDescent="0.15">
      <c r="A662" s="5" t="str">
        <f ca="1">IFERROR(__xludf.DUMMYFUNCTION("""COMPUTED_VALUE"""),"")</f>
        <v/>
      </c>
      <c r="B662" s="5" t="str">
        <f ca="1">IFERROR(__xludf.DUMMYFUNCTION("""COMPUTED_VALUE"""),"MONKEY")</f>
        <v>MONKEY</v>
      </c>
      <c r="C662" s="8">
        <f ca="1">IFERROR(__xludf.DUMMYFUNCTION("""COMPUTED_VALUE"""),44610000254)</f>
        <v>44610000254</v>
      </c>
      <c r="D662" s="71" t="str">
        <f ca="1">IFERROR(__xludf.DUMMYFUNCTION("""COMPUTED_VALUE"""),"0909.HK")</f>
        <v>0909.HK</v>
      </c>
      <c r="E662" s="164">
        <f ca="1">IFERROR(__xludf.DUMMYFUNCTION("""COMPUTED_VALUE"""),44610)</f>
        <v>44610</v>
      </c>
      <c r="F662" s="5" t="str">
        <f ca="1">IFERROR(__xludf.DUMMYFUNCTION("""COMPUTED_VALUE"""),"Stock")</f>
        <v>Stock</v>
      </c>
      <c r="G662" s="5" t="str">
        <f ca="1">IFERROR(__xludf.DUMMYFUNCTION("""COMPUTED_VALUE"""),"HKD")</f>
        <v>HKD</v>
      </c>
      <c r="H662" s="19">
        <f ca="1">IFERROR(__xludf.DUMMYFUNCTION("""COMPUTED_VALUE"""),360)</f>
        <v>360</v>
      </c>
      <c r="I662" s="165">
        <f ca="1">IFERROR(__xludf.DUMMYFUNCTION("""COMPUTED_VALUE"""),1)</f>
        <v>1</v>
      </c>
      <c r="J662" s="20">
        <f ca="1">IFERROR(__xludf.DUMMYFUNCTION("""COMPUTED_VALUE"""),17.62)</f>
        <v>17.62</v>
      </c>
      <c r="K662" s="5"/>
      <c r="L662" s="20">
        <f ca="1">IFERROR(__xludf.DUMMYFUNCTION("""COMPUTED_VALUE"""),11.08)</f>
        <v>11.08</v>
      </c>
      <c r="M662" s="166" t="str">
        <f ca="1">IFERROR(__xludf.DUMMYFUNCTION("""COMPUTED_VALUE"""),"Equity Key Stats")</f>
        <v>Equity Key Stats</v>
      </c>
      <c r="N662" s="5"/>
      <c r="O662" s="5"/>
      <c r="P662" s="102">
        <f ca="1">IFERROR(__xludf.DUMMYFUNCTION("""COMPUTED_VALUE"""),-6343.2)</f>
        <v>-6343.2</v>
      </c>
      <c r="Q662" s="5"/>
      <c r="R662" s="57">
        <f ca="1">IFERROR(__xludf.DUMMYFUNCTION("""COMPUTED_VALUE"""),11.52)</f>
        <v>11.52</v>
      </c>
      <c r="S662" s="102">
        <f ca="1">IFERROR(__xludf.DUMMYFUNCTION("""COMPUTED_VALUE"""),4147.2)</f>
        <v>4147.2</v>
      </c>
      <c r="T662" s="5">
        <f ca="1">IFERROR(__xludf.DUMMYFUNCTION("""COMPUTED_VALUE"""),1)</f>
        <v>1</v>
      </c>
      <c r="U662" s="5">
        <f ca="1">IFERROR(__xludf.DUMMYFUNCTION("""COMPUTED_VALUE"""),1)</f>
        <v>1</v>
      </c>
      <c r="V662" s="19">
        <f ca="1">IFERROR(__xludf.DUMMYFUNCTION("""COMPUTED_VALUE"""),-2196)</f>
        <v>-2196</v>
      </c>
      <c r="W662" s="8" t="str">
        <f ca="1">IFERROR(__xludf.DUMMYFUNCTION("""COMPUTED_VALUE"""),"")</f>
        <v/>
      </c>
      <c r="X662" s="19" t="str">
        <f ca="1">IFERROR(__xludf.DUMMYFUNCTION("""COMPUTED_VALUE"""),"")</f>
        <v/>
      </c>
      <c r="Y662" s="19" t="str">
        <f ca="1">IFERROR(__xludf.DUMMYFUNCTION("""COMPUTED_VALUE"""),"")</f>
        <v/>
      </c>
      <c r="Z662" s="21" t="str">
        <f ca="1">IFERROR(__xludf.DUMMYFUNCTION("""COMPUTED_VALUE"""),"")</f>
        <v/>
      </c>
    </row>
    <row r="663" spans="1:26" ht="13" x14ac:dyDescent="0.15">
      <c r="A663" s="5" t="str">
        <f ca="1">IFERROR(__xludf.DUMMYFUNCTION("""COMPUTED_VALUE"""),"")</f>
        <v/>
      </c>
      <c r="B663" s="5" t="str">
        <f ca="1">IFERROR(__xludf.DUMMYFUNCTION("""COMPUTED_VALUE"""),"MONKEY")</f>
        <v>MONKEY</v>
      </c>
      <c r="C663" s="8">
        <f ca="1">IFERROR(__xludf.DUMMYFUNCTION("""COMPUTED_VALUE"""),44610000255)</f>
        <v>44610000255</v>
      </c>
      <c r="D663" s="5" t="str">
        <f ca="1">IFERROR(__xludf.DUMMYFUNCTION("""COMPUTED_VALUE"""),"PANW")</f>
        <v>PANW</v>
      </c>
      <c r="E663" s="164">
        <f ca="1">IFERROR(__xludf.DUMMYFUNCTION("""COMPUTED_VALUE"""),44610)</f>
        <v>44610</v>
      </c>
      <c r="F663" s="5" t="str">
        <f ca="1">IFERROR(__xludf.DUMMYFUNCTION("""COMPUTED_VALUE"""),"Stock")</f>
        <v>Stock</v>
      </c>
      <c r="G663" s="5" t="str">
        <f ca="1">IFERROR(__xludf.DUMMYFUNCTION("""COMPUTED_VALUE"""),"USD")</f>
        <v>USD</v>
      </c>
      <c r="H663" s="19">
        <f ca="1">IFERROR(__xludf.DUMMYFUNCTION("""COMPUTED_VALUE"""),10)</f>
        <v>10</v>
      </c>
      <c r="I663" s="165">
        <f ca="1">IFERROR(__xludf.DUMMYFUNCTION("""COMPUTED_VALUE"""),7.80051)</f>
        <v>7.8005100000000001</v>
      </c>
      <c r="J663" s="20">
        <f ca="1">IFERROR(__xludf.DUMMYFUNCTION("""COMPUTED_VALUE"""),482.17)</f>
        <v>482.17</v>
      </c>
      <c r="K663" s="5"/>
      <c r="L663" s="20">
        <f ca="1">IFERROR(__xludf.DUMMYFUNCTION("""COMPUTED_VALUE"""),597.42)</f>
        <v>597.41999999999996</v>
      </c>
      <c r="M663" s="166" t="str">
        <f ca="1">IFERROR(__xludf.DUMMYFUNCTION("""COMPUTED_VALUE"""),"Equity Key Stats")</f>
        <v>Equity Key Stats</v>
      </c>
      <c r="N663" s="5"/>
      <c r="O663" s="5"/>
      <c r="P663" s="102">
        <f ca="1">IFERROR(__xludf.DUMMYFUNCTION("""COMPUTED_VALUE"""),-37611.719067)</f>
        <v>-37611.719066999998</v>
      </c>
      <c r="Q663" s="5"/>
      <c r="R663" s="57">
        <f ca="1">IFERROR(__xludf.DUMMYFUNCTION("""COMPUTED_VALUE"""),604.04)</f>
        <v>604.04</v>
      </c>
      <c r="S663" s="102">
        <f ca="1">IFERROR(__xludf.DUMMYFUNCTION("""COMPUTED_VALUE"""),47118.200604)</f>
        <v>47118.200603999998</v>
      </c>
      <c r="T663" s="5">
        <f ca="1">IFERROR(__xludf.DUMMYFUNCTION("""COMPUTED_VALUE"""),1)</f>
        <v>1</v>
      </c>
      <c r="U663" s="5">
        <f ca="1">IFERROR(__xludf.DUMMYFUNCTION("""COMPUTED_VALUE"""),1)</f>
        <v>1</v>
      </c>
      <c r="V663" s="19">
        <f ca="1">IFERROR(__xludf.DUMMYFUNCTION("""COMPUTED_VALUE"""),9506.481537)</f>
        <v>9506.4815369999997</v>
      </c>
      <c r="W663" s="8" t="str">
        <f ca="1">IFERROR(__xludf.DUMMYFUNCTION("""COMPUTED_VALUE"""),"")</f>
        <v/>
      </c>
      <c r="X663" s="19" t="str">
        <f ca="1">IFERROR(__xludf.DUMMYFUNCTION("""COMPUTED_VALUE"""),"")</f>
        <v/>
      </c>
      <c r="Y663" s="19" t="str">
        <f ca="1">IFERROR(__xludf.DUMMYFUNCTION("""COMPUTED_VALUE"""),"")</f>
        <v/>
      </c>
      <c r="Z663" s="21" t="str">
        <f ca="1">IFERROR(__xludf.DUMMYFUNCTION("""COMPUTED_VALUE"""),"")</f>
        <v/>
      </c>
    </row>
    <row r="664" spans="1:26" ht="13" x14ac:dyDescent="0.15">
      <c r="A664" s="5" t="str">
        <f ca="1">IFERROR(__xludf.DUMMYFUNCTION("""COMPUTED_VALUE"""),"")</f>
        <v/>
      </c>
      <c r="B664" s="5" t="str">
        <f ca="1">IFERROR(__xludf.DUMMYFUNCTION("""COMPUTED_VALUE"""),"MONKEY")</f>
        <v>MONKEY</v>
      </c>
      <c r="C664" s="8">
        <f ca="1">IFERROR(__xludf.DUMMYFUNCTION("""COMPUTED_VALUE"""),44610000256)</f>
        <v>44610000256</v>
      </c>
      <c r="D664" s="5" t="str">
        <f ca="1">IFERROR(__xludf.DUMMYFUNCTION("""COMPUTED_VALUE"""),"TEAM")</f>
        <v>TEAM</v>
      </c>
      <c r="E664" s="164">
        <f ca="1">IFERROR(__xludf.DUMMYFUNCTION("""COMPUTED_VALUE"""),44610)</f>
        <v>44610</v>
      </c>
      <c r="F664" s="5" t="str">
        <f ca="1">IFERROR(__xludf.DUMMYFUNCTION("""COMPUTED_VALUE"""),"Stock")</f>
        <v>Stock</v>
      </c>
      <c r="G664" s="5" t="str">
        <f ca="1">IFERROR(__xludf.DUMMYFUNCTION("""COMPUTED_VALUE"""),"USD")</f>
        <v>USD</v>
      </c>
      <c r="H664" s="19">
        <f ca="1">IFERROR(__xludf.DUMMYFUNCTION("""COMPUTED_VALUE"""),20)</f>
        <v>20</v>
      </c>
      <c r="I664" s="165">
        <f ca="1">IFERROR(__xludf.DUMMYFUNCTION("""COMPUTED_VALUE"""),7.80051)</f>
        <v>7.8005100000000001</v>
      </c>
      <c r="J664" s="20">
        <f ca="1">IFERROR(__xludf.DUMMYFUNCTION("""COMPUTED_VALUE"""),298.07)</f>
        <v>298.07</v>
      </c>
      <c r="K664" s="5"/>
      <c r="L664" s="20">
        <f ca="1">IFERROR(__xludf.DUMMYFUNCTION("""COMPUTED_VALUE"""),298.51)</f>
        <v>298.51</v>
      </c>
      <c r="M664" s="166" t="str">
        <f ca="1">IFERROR(__xludf.DUMMYFUNCTION("""COMPUTED_VALUE"""),"Equity Key Stats")</f>
        <v>Equity Key Stats</v>
      </c>
      <c r="N664" s="5"/>
      <c r="O664" s="5"/>
      <c r="P664" s="102">
        <f ca="1">IFERROR(__xludf.DUMMYFUNCTION("""COMPUTED_VALUE"""),-46501.9603139999)</f>
        <v>-46501.960313999902</v>
      </c>
      <c r="Q664" s="5"/>
      <c r="R664" s="57">
        <f ca="1">IFERROR(__xludf.DUMMYFUNCTION("""COMPUTED_VALUE"""),289.41)</f>
        <v>289.41000000000003</v>
      </c>
      <c r="S664" s="102">
        <f ca="1">IFERROR(__xludf.DUMMYFUNCTION("""COMPUTED_VALUE"""),45150.911982)</f>
        <v>45150.911981999998</v>
      </c>
      <c r="T664" s="5">
        <f ca="1">IFERROR(__xludf.DUMMYFUNCTION("""COMPUTED_VALUE"""),1)</f>
        <v>1</v>
      </c>
      <c r="U664" s="5">
        <f ca="1">IFERROR(__xludf.DUMMYFUNCTION("""COMPUTED_VALUE"""),1)</f>
        <v>1</v>
      </c>
      <c r="V664" s="19">
        <f ca="1">IFERROR(__xludf.DUMMYFUNCTION("""COMPUTED_VALUE"""),-1351.04833199999)</f>
        <v>-1351.0483319999901</v>
      </c>
      <c r="W664" s="8" t="str">
        <f ca="1">IFERROR(__xludf.DUMMYFUNCTION("""COMPUTED_VALUE"""),"")</f>
        <v/>
      </c>
      <c r="X664" s="19" t="str">
        <f ca="1">IFERROR(__xludf.DUMMYFUNCTION("""COMPUTED_VALUE"""),"")</f>
        <v/>
      </c>
      <c r="Y664" s="19" t="str">
        <f ca="1">IFERROR(__xludf.DUMMYFUNCTION("""COMPUTED_VALUE"""),"")</f>
        <v/>
      </c>
      <c r="Z664" s="21" t="str">
        <f ca="1">IFERROR(__xludf.DUMMYFUNCTION("""COMPUTED_VALUE"""),"")</f>
        <v/>
      </c>
    </row>
    <row r="665" spans="1:26" ht="13" x14ac:dyDescent="0.15">
      <c r="A665" s="5" t="str">
        <f ca="1">IFERROR(__xludf.DUMMYFUNCTION("""COMPUTED_VALUE"""),"")</f>
        <v/>
      </c>
      <c r="B665" s="5" t="str">
        <f ca="1">IFERROR(__xludf.DUMMYFUNCTION("""COMPUTED_VALUE"""),"MONKEY")</f>
        <v>MONKEY</v>
      </c>
      <c r="C665" s="8">
        <f ca="1">IFERROR(__xludf.DUMMYFUNCTION("""COMPUTED_VALUE"""),44610000257)</f>
        <v>44610000257</v>
      </c>
      <c r="D665" s="5" t="str">
        <f ca="1">IFERROR(__xludf.DUMMYFUNCTION("""COMPUTED_VALUE"""),"ATVI")</f>
        <v>ATVI</v>
      </c>
      <c r="E665" s="164">
        <f ca="1">IFERROR(__xludf.DUMMYFUNCTION("""COMPUTED_VALUE"""),44610)</f>
        <v>44610</v>
      </c>
      <c r="F665" s="5" t="str">
        <f ca="1">IFERROR(__xludf.DUMMYFUNCTION("""COMPUTED_VALUE"""),"Stock")</f>
        <v>Stock</v>
      </c>
      <c r="G665" s="5" t="str">
        <f ca="1">IFERROR(__xludf.DUMMYFUNCTION("""COMPUTED_VALUE"""),"USD")</f>
        <v>USD</v>
      </c>
      <c r="H665" s="19">
        <f ca="1">IFERROR(__xludf.DUMMYFUNCTION("""COMPUTED_VALUE"""),80)</f>
        <v>80</v>
      </c>
      <c r="I665" s="165">
        <f ca="1">IFERROR(__xludf.DUMMYFUNCTION("""COMPUTED_VALUE"""),7.80051)</f>
        <v>7.8005100000000001</v>
      </c>
      <c r="J665" s="20">
        <f ca="1">IFERROR(__xludf.DUMMYFUNCTION("""COMPUTED_VALUE"""),81.05)</f>
        <v>81.05</v>
      </c>
      <c r="K665" s="5"/>
      <c r="L665" s="20">
        <f ca="1">IFERROR(__xludf.DUMMYFUNCTION("""COMPUTED_VALUE"""),79.3)</f>
        <v>79.3</v>
      </c>
      <c r="M665" s="166" t="str">
        <f ca="1">IFERROR(__xludf.DUMMYFUNCTION("""COMPUTED_VALUE"""),"Equity Key Stats")</f>
        <v>Equity Key Stats</v>
      </c>
      <c r="N665" s="5"/>
      <c r="O665" s="5"/>
      <c r="P665" s="102">
        <f ca="1">IFERROR(__xludf.DUMMYFUNCTION("""COMPUTED_VALUE"""),-50578.5068399999)</f>
        <v>-50578.5068399999</v>
      </c>
      <c r="Q665" s="5"/>
      <c r="R665" s="57">
        <f ca="1">IFERROR(__xludf.DUMMYFUNCTION("""COMPUTED_VALUE"""),79.07)</f>
        <v>79.069999999999993</v>
      </c>
      <c r="S665" s="102">
        <f ca="1">IFERROR(__xludf.DUMMYFUNCTION("""COMPUTED_VALUE"""),49342.9060559999)</f>
        <v>49342.906055999898</v>
      </c>
      <c r="T665" s="5">
        <f ca="1">IFERROR(__xludf.DUMMYFUNCTION("""COMPUTED_VALUE"""),1)</f>
        <v>1</v>
      </c>
      <c r="U665" s="5">
        <f ca="1">IFERROR(__xludf.DUMMYFUNCTION("""COMPUTED_VALUE"""),1)</f>
        <v>1</v>
      </c>
      <c r="V665" s="19">
        <f ca="1">IFERROR(__xludf.DUMMYFUNCTION("""COMPUTED_VALUE"""),-1235.600784)</f>
        <v>-1235.600784</v>
      </c>
      <c r="W665" s="8" t="str">
        <f ca="1">IFERROR(__xludf.DUMMYFUNCTION("""COMPUTED_VALUE"""),"")</f>
        <v/>
      </c>
      <c r="X665" s="19" t="str">
        <f ca="1">IFERROR(__xludf.DUMMYFUNCTION("""COMPUTED_VALUE"""),"")</f>
        <v/>
      </c>
      <c r="Y665" s="19" t="str">
        <f ca="1">IFERROR(__xludf.DUMMYFUNCTION("""COMPUTED_VALUE"""),"")</f>
        <v/>
      </c>
      <c r="Z665" s="21" t="str">
        <f ca="1">IFERROR(__xludf.DUMMYFUNCTION("""COMPUTED_VALUE"""),"")</f>
        <v/>
      </c>
    </row>
    <row r="666" spans="1:26" ht="13" x14ac:dyDescent="0.15">
      <c r="A666" s="5" t="str">
        <f ca="1">IFERROR(__xludf.DUMMYFUNCTION("""COMPUTED_VALUE"""),"")</f>
        <v/>
      </c>
      <c r="B666" s="5" t="str">
        <f ca="1">IFERROR(__xludf.DUMMYFUNCTION("""COMPUTED_VALUE"""),"MONKEY")</f>
        <v>MONKEY</v>
      </c>
      <c r="C666" s="8">
        <f ca="1">IFERROR(__xludf.DUMMYFUNCTION("""COMPUTED_VALUE"""),44610000258)</f>
        <v>44610000258</v>
      </c>
      <c r="D666" s="5" t="str">
        <f ca="1">IFERROR(__xludf.DUMMYFUNCTION("""COMPUTED_VALUE"""),"AMGN")</f>
        <v>AMGN</v>
      </c>
      <c r="E666" s="164">
        <f ca="1">IFERROR(__xludf.DUMMYFUNCTION("""COMPUTED_VALUE"""),44610)</f>
        <v>44610</v>
      </c>
      <c r="F666" s="5" t="str">
        <f ca="1">IFERROR(__xludf.DUMMYFUNCTION("""COMPUTED_VALUE"""),"Stock")</f>
        <v>Stock</v>
      </c>
      <c r="G666" s="5" t="str">
        <f ca="1">IFERROR(__xludf.DUMMYFUNCTION("""COMPUTED_VALUE"""),"USD")</f>
        <v>USD</v>
      </c>
      <c r="H666" s="19">
        <f ca="1">IFERROR(__xludf.DUMMYFUNCTION("""COMPUTED_VALUE"""),30)</f>
        <v>30</v>
      </c>
      <c r="I666" s="165">
        <f ca="1">IFERROR(__xludf.DUMMYFUNCTION("""COMPUTED_VALUE"""),7.80051)</f>
        <v>7.8005100000000001</v>
      </c>
      <c r="J666" s="20">
        <f ca="1">IFERROR(__xludf.DUMMYFUNCTION("""COMPUTED_VALUE"""),220.77)</f>
        <v>220.77</v>
      </c>
      <c r="K666" s="5"/>
      <c r="L666" s="20">
        <f ca="1">IFERROR(__xludf.DUMMYFUNCTION("""COMPUTED_VALUE"""),236.47)</f>
        <v>236.47</v>
      </c>
      <c r="M666" s="166" t="str">
        <f ca="1">IFERROR(__xludf.DUMMYFUNCTION("""COMPUTED_VALUE"""),"Equity Key Stats")</f>
        <v>Equity Key Stats</v>
      </c>
      <c r="N666" s="5"/>
      <c r="O666" s="5"/>
      <c r="P666" s="102">
        <f ca="1">IFERROR(__xludf.DUMMYFUNCTION("""COMPUTED_VALUE"""),-51663.557781)</f>
        <v>-51663.557781000003</v>
      </c>
      <c r="Q666" s="5"/>
      <c r="R666" s="57">
        <f ca="1">IFERROR(__xludf.DUMMYFUNCTION("""COMPUTED_VALUE"""),234.18)</f>
        <v>234.18</v>
      </c>
      <c r="S666" s="102">
        <f ca="1">IFERROR(__xludf.DUMMYFUNCTION("""COMPUTED_VALUE"""),54801.702954)</f>
        <v>54801.702954</v>
      </c>
      <c r="T666" s="5">
        <f ca="1">IFERROR(__xludf.DUMMYFUNCTION("""COMPUTED_VALUE"""),1)</f>
        <v>1</v>
      </c>
      <c r="U666" s="5">
        <f ca="1">IFERROR(__xludf.DUMMYFUNCTION("""COMPUTED_VALUE"""),1)</f>
        <v>1</v>
      </c>
      <c r="V666" s="19">
        <f ca="1">IFERROR(__xludf.DUMMYFUNCTION("""COMPUTED_VALUE"""),3138.14517299999)</f>
        <v>3138.1451729999899</v>
      </c>
      <c r="W666" s="8" t="str">
        <f ca="1">IFERROR(__xludf.DUMMYFUNCTION("""COMPUTED_VALUE"""),"")</f>
        <v/>
      </c>
      <c r="X666" s="19" t="str">
        <f ca="1">IFERROR(__xludf.DUMMYFUNCTION("""COMPUTED_VALUE"""),"")</f>
        <v/>
      </c>
      <c r="Y666" s="19" t="str">
        <f ca="1">IFERROR(__xludf.DUMMYFUNCTION("""COMPUTED_VALUE"""),"")</f>
        <v/>
      </c>
      <c r="Z666" s="21" t="str">
        <f ca="1">IFERROR(__xludf.DUMMYFUNCTION("""COMPUTED_VALUE"""),"")</f>
        <v/>
      </c>
    </row>
    <row r="667" spans="1:26" ht="13" x14ac:dyDescent="0.15">
      <c r="A667" s="5" t="str">
        <f ca="1">IFERROR(__xludf.DUMMYFUNCTION("""COMPUTED_VALUE"""),"")</f>
        <v/>
      </c>
      <c r="B667" s="5" t="str">
        <f ca="1">IFERROR(__xludf.DUMMYFUNCTION("""COMPUTED_VALUE"""),"MONKEY")</f>
        <v>MONKEY</v>
      </c>
      <c r="C667" s="8">
        <f ca="1">IFERROR(__xludf.DUMMYFUNCTION("""COMPUTED_VALUE"""),44610000259)</f>
        <v>44610000259</v>
      </c>
      <c r="D667" s="5" t="str">
        <f ca="1">IFERROR(__xludf.DUMMYFUNCTION("""COMPUTED_VALUE"""),"LCID")</f>
        <v>LCID</v>
      </c>
      <c r="E667" s="164">
        <f ca="1">IFERROR(__xludf.DUMMYFUNCTION("""COMPUTED_VALUE"""),44610)</f>
        <v>44610</v>
      </c>
      <c r="F667" s="5" t="str">
        <f ca="1">IFERROR(__xludf.DUMMYFUNCTION("""COMPUTED_VALUE"""),"Stock")</f>
        <v>Stock</v>
      </c>
      <c r="G667" s="5" t="str">
        <f ca="1">IFERROR(__xludf.DUMMYFUNCTION("""COMPUTED_VALUE"""),"USD")</f>
        <v>USD</v>
      </c>
      <c r="H667" s="19">
        <f ca="1">IFERROR(__xludf.DUMMYFUNCTION("""COMPUTED_VALUE"""),230)</f>
        <v>230</v>
      </c>
      <c r="I667" s="165">
        <f ca="1">IFERROR(__xludf.DUMMYFUNCTION("""COMPUTED_VALUE"""),7.80051)</f>
        <v>7.8005100000000001</v>
      </c>
      <c r="J667" s="20">
        <f ca="1">IFERROR(__xludf.DUMMYFUNCTION("""COMPUTED_VALUE"""),26.59)</f>
        <v>26.59</v>
      </c>
      <c r="K667" s="5"/>
      <c r="L667" s="20">
        <f ca="1">IFERROR(__xludf.DUMMYFUNCTION("""COMPUTED_VALUE"""),26.65)</f>
        <v>26.65</v>
      </c>
      <c r="M667" s="166" t="str">
        <f ca="1">IFERROR(__xludf.DUMMYFUNCTION("""COMPUTED_VALUE"""),"Equity Key Stats")</f>
        <v>Equity Key Stats</v>
      </c>
      <c r="N667" s="5"/>
      <c r="O667" s="5"/>
      <c r="P667" s="102">
        <f ca="1">IFERROR(__xludf.DUMMYFUNCTION("""COMPUTED_VALUE"""),-47705.579007)</f>
        <v>-47705.579007</v>
      </c>
      <c r="Q667" s="5"/>
      <c r="R667" s="57">
        <f ca="1">IFERROR(__xludf.DUMMYFUNCTION("""COMPUTED_VALUE"""),25.9)</f>
        <v>25.9</v>
      </c>
      <c r="S667" s="102">
        <f ca="1">IFERROR(__xludf.DUMMYFUNCTION("""COMPUTED_VALUE"""),46467.63807)</f>
        <v>46467.638070000001</v>
      </c>
      <c r="T667" s="5">
        <f ca="1">IFERROR(__xludf.DUMMYFUNCTION("""COMPUTED_VALUE"""),1)</f>
        <v>1</v>
      </c>
      <c r="U667" s="5">
        <f ca="1">IFERROR(__xludf.DUMMYFUNCTION("""COMPUTED_VALUE"""),1)</f>
        <v>1</v>
      </c>
      <c r="V667" s="19">
        <f ca="1">IFERROR(__xludf.DUMMYFUNCTION("""COMPUTED_VALUE"""),-1237.94093699999)</f>
        <v>-1237.9409369999901</v>
      </c>
      <c r="W667" s="8" t="str">
        <f ca="1">IFERROR(__xludf.DUMMYFUNCTION("""COMPUTED_VALUE"""),"")</f>
        <v/>
      </c>
      <c r="X667" s="19" t="str">
        <f ca="1">IFERROR(__xludf.DUMMYFUNCTION("""COMPUTED_VALUE"""),"")</f>
        <v/>
      </c>
      <c r="Y667" s="19" t="str">
        <f ca="1">IFERROR(__xludf.DUMMYFUNCTION("""COMPUTED_VALUE"""),"")</f>
        <v/>
      </c>
      <c r="Z667" s="21" t="str">
        <f ca="1">IFERROR(__xludf.DUMMYFUNCTION("""COMPUTED_VALUE"""),"")</f>
        <v/>
      </c>
    </row>
    <row r="668" spans="1:26" ht="13" x14ac:dyDescent="0.15">
      <c r="A668" s="5" t="str">
        <f ca="1">IFERROR(__xludf.DUMMYFUNCTION("""COMPUTED_VALUE"""),"")</f>
        <v/>
      </c>
      <c r="B668" s="5" t="str">
        <f ca="1">IFERROR(__xludf.DUMMYFUNCTION("""COMPUTED_VALUE"""),"MONKEY")</f>
        <v>MONKEY</v>
      </c>
      <c r="C668" s="8">
        <f ca="1">IFERROR(__xludf.DUMMYFUNCTION("""COMPUTED_VALUE"""),44610000260)</f>
        <v>44610000260</v>
      </c>
      <c r="D668" s="5" t="str">
        <f ca="1">IFERROR(__xludf.DUMMYFUNCTION("""COMPUTED_VALUE"""),"SNPS")</f>
        <v>SNPS</v>
      </c>
      <c r="E668" s="164">
        <f ca="1">IFERROR(__xludf.DUMMYFUNCTION("""COMPUTED_VALUE"""),44610)</f>
        <v>44610</v>
      </c>
      <c r="F668" s="5" t="str">
        <f ca="1">IFERROR(__xludf.DUMMYFUNCTION("""COMPUTED_VALUE"""),"Stock")</f>
        <v>Stock</v>
      </c>
      <c r="G668" s="5" t="str">
        <f ca="1">IFERROR(__xludf.DUMMYFUNCTION("""COMPUTED_VALUE"""),"USD")</f>
        <v>USD</v>
      </c>
      <c r="H668" s="19">
        <f ca="1">IFERROR(__xludf.DUMMYFUNCTION("""COMPUTED_VALUE"""),20)</f>
        <v>20</v>
      </c>
      <c r="I668" s="165">
        <f ca="1">IFERROR(__xludf.DUMMYFUNCTION("""COMPUTED_VALUE"""),7.80051)</f>
        <v>7.8005100000000001</v>
      </c>
      <c r="J668" s="20">
        <f ca="1">IFERROR(__xludf.DUMMYFUNCTION("""COMPUTED_VALUE"""),287.63)</f>
        <v>287.63</v>
      </c>
      <c r="K668" s="5"/>
      <c r="L668" s="20">
        <f ca="1">IFERROR(__xludf.DUMMYFUNCTION("""COMPUTED_VALUE"""),325.22)</f>
        <v>325.22000000000003</v>
      </c>
      <c r="M668" s="166" t="str">
        <f ca="1">IFERROR(__xludf.DUMMYFUNCTION("""COMPUTED_VALUE"""),"Equity Key Stats")</f>
        <v>Equity Key Stats</v>
      </c>
      <c r="N668" s="5"/>
      <c r="O668" s="5"/>
      <c r="P668" s="102">
        <f ca="1">IFERROR(__xludf.DUMMYFUNCTION("""COMPUTED_VALUE"""),-44873.213826)</f>
        <v>-44873.213825999999</v>
      </c>
      <c r="Q668" s="5"/>
      <c r="R668" s="57">
        <f ca="1">IFERROR(__xludf.DUMMYFUNCTION("""COMPUTED_VALUE"""),316.44)</f>
        <v>316.44</v>
      </c>
      <c r="S668" s="102">
        <f ca="1">IFERROR(__xludf.DUMMYFUNCTION("""COMPUTED_VALUE"""),49367.867688)</f>
        <v>49367.867687999998</v>
      </c>
      <c r="T668" s="5">
        <f ca="1">IFERROR(__xludf.DUMMYFUNCTION("""COMPUTED_VALUE"""),1)</f>
        <v>1</v>
      </c>
      <c r="U668" s="5">
        <f ca="1">IFERROR(__xludf.DUMMYFUNCTION("""COMPUTED_VALUE"""),1)</f>
        <v>1</v>
      </c>
      <c r="V668" s="19">
        <f ca="1">IFERROR(__xludf.DUMMYFUNCTION("""COMPUTED_VALUE"""),4494.65386199999)</f>
        <v>4494.6538619999901</v>
      </c>
      <c r="W668" s="8" t="str">
        <f ca="1">IFERROR(__xludf.DUMMYFUNCTION("""COMPUTED_VALUE"""),"")</f>
        <v/>
      </c>
      <c r="X668" s="19" t="str">
        <f ca="1">IFERROR(__xludf.DUMMYFUNCTION("""COMPUTED_VALUE"""),"")</f>
        <v/>
      </c>
      <c r="Y668" s="19" t="str">
        <f ca="1">IFERROR(__xludf.DUMMYFUNCTION("""COMPUTED_VALUE"""),"")</f>
        <v/>
      </c>
      <c r="Z668" s="21" t="str">
        <f ca="1">IFERROR(__xludf.DUMMYFUNCTION("""COMPUTED_VALUE"""),"")</f>
        <v/>
      </c>
    </row>
    <row r="669" spans="1:26" ht="13" x14ac:dyDescent="0.15">
      <c r="A669" s="5" t="str">
        <f ca="1">IFERROR(__xludf.DUMMYFUNCTION("""COMPUTED_VALUE"""),"MONKEY")</f>
        <v>MONKEY</v>
      </c>
      <c r="B669" s="5" t="str">
        <f ca="1">IFERROR(__xludf.DUMMYFUNCTION("""COMPUTED_VALUE"""),"MONKEY")</f>
        <v>MONKEY</v>
      </c>
      <c r="C669" s="8">
        <f ca="1">IFERROR(__xludf.DUMMYFUNCTION("""COMPUTED_VALUE"""),44610000261)</f>
        <v>44610000261</v>
      </c>
      <c r="D669" s="5" t="str">
        <f ca="1">IFERROR(__xludf.DUMMYFUNCTION("""COMPUTED_VALUE"""),"TMUS")</f>
        <v>TMUS</v>
      </c>
      <c r="E669" s="164">
        <f ca="1">IFERROR(__xludf.DUMMYFUNCTION("""COMPUTED_VALUE"""),44610)</f>
        <v>44610</v>
      </c>
      <c r="F669" s="5" t="str">
        <f ca="1">IFERROR(__xludf.DUMMYFUNCTION("""COMPUTED_VALUE"""),"Stock")</f>
        <v>Stock</v>
      </c>
      <c r="G669" s="5" t="str">
        <f ca="1">IFERROR(__xludf.DUMMYFUNCTION("""COMPUTED_VALUE"""),"USD")</f>
        <v>USD</v>
      </c>
      <c r="H669" s="19">
        <f ca="1">IFERROR(__xludf.DUMMYFUNCTION("""COMPUTED_VALUE"""),50)</f>
        <v>50</v>
      </c>
      <c r="I669" s="165">
        <f ca="1">IFERROR(__xludf.DUMMYFUNCTION("""COMPUTED_VALUE"""),7.80051)</f>
        <v>7.8005100000000001</v>
      </c>
      <c r="J669" s="20">
        <f ca="1">IFERROR(__xludf.DUMMYFUNCTION("""COMPUTED_VALUE"""),123.98)</f>
        <v>123.98</v>
      </c>
      <c r="K669" s="5"/>
      <c r="L669" s="20">
        <f ca="1">IFERROR(__xludf.DUMMYFUNCTION("""COMPUTED_VALUE"""),125.69)</f>
        <v>125.69</v>
      </c>
      <c r="M669" s="166" t="str">
        <f ca="1">IFERROR(__xludf.DUMMYFUNCTION("""COMPUTED_VALUE"""),"Equity Key Stats")</f>
        <v>Equity Key Stats</v>
      </c>
      <c r="N669" s="5"/>
      <c r="O669" s="5"/>
      <c r="P669" s="102">
        <f ca="1">IFERROR(__xludf.DUMMYFUNCTION("""COMPUTED_VALUE"""),-48355.36149)</f>
        <v>-48355.361490000003</v>
      </c>
      <c r="Q669" s="5"/>
      <c r="R669" s="57">
        <f ca="1">IFERROR(__xludf.DUMMYFUNCTION("""COMPUTED_VALUE"""),124.83)</f>
        <v>124.83</v>
      </c>
      <c r="S669" s="102">
        <f ca="1">IFERROR(__xludf.DUMMYFUNCTION("""COMPUTED_VALUE"""),48686.883165)</f>
        <v>48686.883164999999</v>
      </c>
      <c r="T669" s="5">
        <f ca="1">IFERROR(__xludf.DUMMYFUNCTION("""COMPUTED_VALUE"""),1)</f>
        <v>1</v>
      </c>
      <c r="U669" s="5">
        <f ca="1">IFERROR(__xludf.DUMMYFUNCTION("""COMPUTED_VALUE"""),1)</f>
        <v>1</v>
      </c>
      <c r="V669" s="19">
        <f ca="1">IFERROR(__xludf.DUMMYFUNCTION("""COMPUTED_VALUE"""),331.521674999996)</f>
        <v>331.52167499999598</v>
      </c>
      <c r="W669" s="8">
        <f ca="1">IFERROR(__xludf.DUMMYFUNCTION("""COMPUTED_VALUE"""),513811.6462565)</f>
        <v>513811.64625649998</v>
      </c>
      <c r="X669" s="19">
        <f ca="1">IFERROR(__xludf.DUMMYFUNCTION("""COMPUTED_VALUE"""),131473.7478175)</f>
        <v>131473.7478175</v>
      </c>
      <c r="Y669" s="19">
        <f ca="1">IFERROR(__xludf.DUMMYFUNCTION("""COMPUTED_VALUE"""),0)</f>
        <v>0</v>
      </c>
      <c r="Z669" s="21">
        <f ca="1">IFERROR(__xludf.DUMMYFUNCTION("""COMPUTED_VALUE"""),0.0276232925129999)</f>
        <v>2.76232925129999E-2</v>
      </c>
    </row>
    <row r="670" spans="1:26" ht="13" x14ac:dyDescent="0.15">
      <c r="A670" s="5" t="str">
        <f ca="1">IFERROR(__xludf.DUMMYFUNCTION("""COMPUTED_VALUE"""),"")</f>
        <v/>
      </c>
      <c r="B670" s="5" t="str">
        <f ca="1">IFERROR(__xludf.DUMMYFUNCTION("""COMPUTED_VALUE"""),"Steve")</f>
        <v>Steve</v>
      </c>
      <c r="C670" s="8">
        <f ca="1">IFERROR(__xludf.DUMMYFUNCTION("""COMPUTED_VALUE"""),44562000006)</f>
        <v>44562000006</v>
      </c>
      <c r="D670" s="5" t="str">
        <f ca="1">IFERROR(__xludf.DUMMYFUNCTION("""COMPUTED_VALUE"""),"Cash")</f>
        <v>Cash</v>
      </c>
      <c r="E670" s="164">
        <f ca="1">IFERROR(__xludf.DUMMYFUNCTION("""COMPUTED_VALUE"""),44562)</f>
        <v>44562</v>
      </c>
      <c r="F670" s="5" t="str">
        <f ca="1">IFERROR(__xludf.DUMMYFUNCTION("""COMPUTED_VALUE"""),"Cash")</f>
        <v>Cash</v>
      </c>
      <c r="G670" s="5" t="str">
        <f ca="1">IFERROR(__xludf.DUMMYFUNCTION("""COMPUTED_VALUE"""),"HKD")</f>
        <v>HKD</v>
      </c>
      <c r="H670" s="19" t="str">
        <f ca="1">IFERROR(__xludf.DUMMYFUNCTION("""COMPUTED_VALUE"""),"")</f>
        <v/>
      </c>
      <c r="I670" s="165">
        <f ca="1">IFERROR(__xludf.DUMMYFUNCTION("""COMPUTED_VALUE"""),1)</f>
        <v>1</v>
      </c>
      <c r="J670" s="5">
        <f ca="1">IFERROR(__xludf.DUMMYFUNCTION("""COMPUTED_VALUE"""),1)</f>
        <v>1</v>
      </c>
      <c r="K670" s="5"/>
      <c r="L670" s="20">
        <f ca="1">IFERROR(__xludf.DUMMYFUNCTION("""COMPUTED_VALUE"""),1)</f>
        <v>1</v>
      </c>
      <c r="M670" s="22" t="str">
        <f ca="1">IFERROR(__xludf.DUMMYFUNCTION("""COMPUTED_VALUE"""),"")</f>
        <v/>
      </c>
      <c r="N670" s="5"/>
      <c r="O670" s="5"/>
      <c r="P670" s="102">
        <f ca="1">IFERROR(__xludf.DUMMYFUNCTION("""COMPUTED_VALUE"""),500000)</f>
        <v>500000</v>
      </c>
      <c r="Q670" s="5"/>
      <c r="R670" s="57">
        <f ca="1">IFERROR(__xludf.DUMMYFUNCTION("""COMPUTED_VALUE"""),1)</f>
        <v>1</v>
      </c>
      <c r="S670" s="102" t="str">
        <f ca="1">IFERROR(__xludf.DUMMYFUNCTION("""COMPUTED_VALUE"""),"")</f>
        <v/>
      </c>
      <c r="T670" s="5">
        <f ca="1">IFERROR(__xludf.DUMMYFUNCTION("""COMPUTED_VALUE"""),1)</f>
        <v>1</v>
      </c>
      <c r="U670" s="5">
        <f ca="1">IFERROR(__xludf.DUMMYFUNCTION("""COMPUTED_VALUE"""),1)</f>
        <v>1</v>
      </c>
      <c r="V670" s="19">
        <f ca="1">IFERROR(__xludf.DUMMYFUNCTION("""COMPUTED_VALUE"""),500000)</f>
        <v>500000</v>
      </c>
      <c r="W670" s="8" t="str">
        <f ca="1">IFERROR(__xludf.DUMMYFUNCTION("""COMPUTED_VALUE"""),"")</f>
        <v/>
      </c>
      <c r="X670" s="19" t="str">
        <f ca="1">IFERROR(__xludf.DUMMYFUNCTION("""COMPUTED_VALUE"""),"")</f>
        <v/>
      </c>
      <c r="Y670" s="19" t="str">
        <f ca="1">IFERROR(__xludf.DUMMYFUNCTION("""COMPUTED_VALUE"""),"")</f>
        <v/>
      </c>
      <c r="Z670" s="21" t="str">
        <f ca="1">IFERROR(__xludf.DUMMYFUNCTION("""COMPUTED_VALUE"""),"")</f>
        <v/>
      </c>
    </row>
    <row r="671" spans="1:26" ht="13" x14ac:dyDescent="0.15">
      <c r="A671" s="5" t="str">
        <f ca="1">IFERROR(__xludf.DUMMYFUNCTION("""COMPUTED_VALUE"""),"Steve")</f>
        <v>Steve</v>
      </c>
      <c r="B671" s="5" t="str">
        <f ca="1">IFERROR(__xludf.DUMMYFUNCTION("""COMPUTED_VALUE"""),"Steve")</f>
        <v>Steve</v>
      </c>
      <c r="C671" s="8">
        <f ca="1">IFERROR(__xludf.DUMMYFUNCTION("""COMPUTED_VALUE"""),44595000010)</f>
        <v>44595000010</v>
      </c>
      <c r="D671" s="5" t="str">
        <f ca="1">IFERROR(__xludf.DUMMYFUNCTION("""COMPUTED_VALUE"""),"AMZN")</f>
        <v>AMZN</v>
      </c>
      <c r="E671" s="164">
        <f ca="1">IFERROR(__xludf.DUMMYFUNCTION("""COMPUTED_VALUE"""),44595)</f>
        <v>44595</v>
      </c>
      <c r="F671" s="5" t="str">
        <f ca="1">IFERROR(__xludf.DUMMYFUNCTION("""COMPUTED_VALUE"""),"Stock")</f>
        <v>Stock</v>
      </c>
      <c r="G671" s="5" t="str">
        <f ca="1">IFERROR(__xludf.DUMMYFUNCTION("""COMPUTED_VALUE"""),"USD")</f>
        <v>USD</v>
      </c>
      <c r="H671" s="19">
        <f ca="1">IFERROR(__xludf.DUMMYFUNCTION("""COMPUTED_VALUE"""),1)</f>
        <v>1</v>
      </c>
      <c r="I671" s="165">
        <f ca="1">IFERROR(__xludf.DUMMYFUNCTION("""COMPUTED_VALUE"""),7.79325)</f>
        <v>7.7932499999999996</v>
      </c>
      <c r="J671" s="20">
        <f ca="1">IFERROR(__xludf.DUMMYFUNCTION("""COMPUTED_VALUE"""),2776.91)</f>
        <v>2776.91</v>
      </c>
      <c r="K671" s="5"/>
      <c r="L671" s="20">
        <f ca="1">IFERROR(__xludf.DUMMYFUNCTION("""COMPUTED_VALUE"""),3297.78)</f>
        <v>3297.78</v>
      </c>
      <c r="M671" s="166" t="str">
        <f ca="1">IFERROR(__xludf.DUMMYFUNCTION("""COMPUTED_VALUE"""),"Equity Key Stats")</f>
        <v>Equity Key Stats</v>
      </c>
      <c r="N671" s="5"/>
      <c r="O671" s="5"/>
      <c r="P671" s="102">
        <f ca="1">IFERROR(__xludf.DUMMYFUNCTION("""COMPUTED_VALUE"""),-21641.1538574999)</f>
        <v>-21641.153857499899</v>
      </c>
      <c r="Q671" s="5"/>
      <c r="R671" s="57">
        <f ca="1">IFERROR(__xludf.DUMMYFUNCTION("""COMPUTED_VALUE"""),3268.16)</f>
        <v>3268.16</v>
      </c>
      <c r="S671" s="102">
        <f ca="1">IFERROR(__xludf.DUMMYFUNCTION("""COMPUTED_VALUE"""),25469.5879199999)</f>
        <v>25469.5879199999</v>
      </c>
      <c r="T671" s="5">
        <f ca="1">IFERROR(__xludf.DUMMYFUNCTION("""COMPUTED_VALUE"""),1)</f>
        <v>1</v>
      </c>
      <c r="U671" s="5">
        <f ca="1">IFERROR(__xludf.DUMMYFUNCTION("""COMPUTED_VALUE"""),1)</f>
        <v>1</v>
      </c>
      <c r="V671" s="19">
        <f ca="1">IFERROR(__xludf.DUMMYFUNCTION("""COMPUTED_VALUE"""),3828.4340625)</f>
        <v>3828.4340625</v>
      </c>
      <c r="W671" s="8">
        <f ca="1">IFERROR(__xludf.DUMMYFUNCTION("""COMPUTED_VALUE"""),503828.4340625)</f>
        <v>503828.43406250002</v>
      </c>
      <c r="X671" s="19">
        <f ca="1">IFERROR(__xludf.DUMMYFUNCTION("""COMPUTED_VALUE"""),478358.8461425)</f>
        <v>478358.8461425</v>
      </c>
      <c r="Y671" s="19">
        <f ca="1">IFERROR(__xludf.DUMMYFUNCTION("""COMPUTED_VALUE"""),0)</f>
        <v>0</v>
      </c>
      <c r="Z671" s="21">
        <f ca="1">IFERROR(__xludf.DUMMYFUNCTION("""COMPUTED_VALUE"""),0.00765686812499999)</f>
        <v>7.6568681249999902E-3</v>
      </c>
    </row>
    <row r="672" spans="1:26" ht="13" x14ac:dyDescent="0.15">
      <c r="A672" s="5" t="str">
        <f ca="1">IFERROR(__xludf.DUMMYFUNCTION("""COMPUTED_VALUE"""),"")</f>
        <v/>
      </c>
      <c r="B672" s="5" t="str">
        <f ca="1">IFERROR(__xludf.DUMMYFUNCTION("""COMPUTED_VALUE"""),"TraderX")</f>
        <v>TraderX</v>
      </c>
      <c r="C672" s="8">
        <f ca="1">IFERROR(__xludf.DUMMYFUNCTION("""COMPUTED_VALUE"""),44562000005)</f>
        <v>44562000005</v>
      </c>
      <c r="D672" s="5" t="str">
        <f ca="1">IFERROR(__xludf.DUMMYFUNCTION("""COMPUTED_VALUE"""),"Cash")</f>
        <v>Cash</v>
      </c>
      <c r="E672" s="164">
        <f ca="1">IFERROR(__xludf.DUMMYFUNCTION("""COMPUTED_VALUE"""),44562)</f>
        <v>44562</v>
      </c>
      <c r="F672" s="5" t="str">
        <f ca="1">IFERROR(__xludf.DUMMYFUNCTION("""COMPUTED_VALUE"""),"Cash")</f>
        <v>Cash</v>
      </c>
      <c r="G672" s="5" t="str">
        <f ca="1">IFERROR(__xludf.DUMMYFUNCTION("""COMPUTED_VALUE"""),"HKD")</f>
        <v>HKD</v>
      </c>
      <c r="H672" s="19" t="str">
        <f ca="1">IFERROR(__xludf.DUMMYFUNCTION("""COMPUTED_VALUE"""),"")</f>
        <v/>
      </c>
      <c r="I672" s="165">
        <f ca="1">IFERROR(__xludf.DUMMYFUNCTION("""COMPUTED_VALUE"""),1)</f>
        <v>1</v>
      </c>
      <c r="J672" s="5">
        <f ca="1">IFERROR(__xludf.DUMMYFUNCTION("""COMPUTED_VALUE"""),1)</f>
        <v>1</v>
      </c>
      <c r="K672" s="5"/>
      <c r="L672" s="20">
        <f ca="1">IFERROR(__xludf.DUMMYFUNCTION("""COMPUTED_VALUE"""),1)</f>
        <v>1</v>
      </c>
      <c r="M672" s="22" t="str">
        <f ca="1">IFERROR(__xludf.DUMMYFUNCTION("""COMPUTED_VALUE"""),"")</f>
        <v/>
      </c>
      <c r="N672" s="5"/>
      <c r="O672" s="5"/>
      <c r="P672" s="102">
        <f ca="1">IFERROR(__xludf.DUMMYFUNCTION("""COMPUTED_VALUE"""),500000)</f>
        <v>500000</v>
      </c>
      <c r="Q672" s="5"/>
      <c r="R672" s="57">
        <f ca="1">IFERROR(__xludf.DUMMYFUNCTION("""COMPUTED_VALUE"""),1)</f>
        <v>1</v>
      </c>
      <c r="S672" s="102" t="str">
        <f ca="1">IFERROR(__xludf.DUMMYFUNCTION("""COMPUTED_VALUE"""),"")</f>
        <v/>
      </c>
      <c r="T672" s="5">
        <f ca="1">IFERROR(__xludf.DUMMYFUNCTION("""COMPUTED_VALUE"""),1)</f>
        <v>1</v>
      </c>
      <c r="U672" s="5">
        <f ca="1">IFERROR(__xludf.DUMMYFUNCTION("""COMPUTED_VALUE"""),1)</f>
        <v>1</v>
      </c>
      <c r="V672" s="19">
        <f ca="1">IFERROR(__xludf.DUMMYFUNCTION("""COMPUTED_VALUE"""),500000)</f>
        <v>500000</v>
      </c>
      <c r="W672" s="8" t="str">
        <f ca="1">IFERROR(__xludf.DUMMYFUNCTION("""COMPUTED_VALUE"""),"")</f>
        <v/>
      </c>
      <c r="X672" s="19" t="str">
        <f ca="1">IFERROR(__xludf.DUMMYFUNCTION("""COMPUTED_VALUE"""),"")</f>
        <v/>
      </c>
      <c r="Y672" s="19" t="str">
        <f ca="1">IFERROR(__xludf.DUMMYFUNCTION("""COMPUTED_VALUE"""),"")</f>
        <v/>
      </c>
      <c r="Z672" s="21" t="str">
        <f ca="1">IFERROR(__xludf.DUMMYFUNCTION("""COMPUTED_VALUE"""),"")</f>
        <v/>
      </c>
    </row>
    <row r="673" spans="1:26" ht="13" x14ac:dyDescent="0.15">
      <c r="A673" s="5" t="str">
        <f ca="1">IFERROR(__xludf.DUMMYFUNCTION("""COMPUTED_VALUE"""),"")</f>
        <v/>
      </c>
      <c r="B673" s="5" t="str">
        <f ca="1">IFERROR(__xludf.DUMMYFUNCTION("""COMPUTED_VALUE"""),"TraderX")</f>
        <v>TraderX</v>
      </c>
      <c r="C673" s="8">
        <f ca="1">IFERROR(__xludf.DUMMYFUNCTION("""COMPUTED_VALUE"""),44595000009)</f>
        <v>44595000009</v>
      </c>
      <c r="D673" s="5" t="str">
        <f ca="1">IFERROR(__xludf.DUMMYFUNCTION("""COMPUTED_VALUE"""),"1m")</f>
        <v>1m</v>
      </c>
      <c r="E673" s="164">
        <f ca="1">IFERROR(__xludf.DUMMYFUNCTION("""COMPUTED_VALUE"""),44595)</f>
        <v>44595</v>
      </c>
      <c r="F673" s="5" t="str">
        <f ca="1">IFERROR(__xludf.DUMMYFUNCTION("""COMPUTED_VALUE"""),"Time Deposit")</f>
        <v>Time Deposit</v>
      </c>
      <c r="G673" s="5" t="str">
        <f ca="1">IFERROR(__xludf.DUMMYFUNCTION("""COMPUTED_VALUE"""),"HKD")</f>
        <v>HKD</v>
      </c>
      <c r="H673" s="19">
        <f ca="1">IFERROR(__xludf.DUMMYFUNCTION("""COMPUTED_VALUE"""),1000)</f>
        <v>1000</v>
      </c>
      <c r="I673" s="165">
        <f ca="1">IFERROR(__xludf.DUMMYFUNCTION("""COMPUTED_VALUE"""),1)</f>
        <v>1</v>
      </c>
      <c r="J673" s="5">
        <f ca="1">IFERROR(__xludf.DUMMYFUNCTION("""COMPUTED_VALUE"""),1)</f>
        <v>1</v>
      </c>
      <c r="K673" s="5"/>
      <c r="L673" s="20">
        <f ca="1">IFERROR(__xludf.DUMMYFUNCTION("""COMPUTED_VALUE"""),1)</f>
        <v>1</v>
      </c>
      <c r="M673" s="22" t="str">
        <f ca="1">IFERROR(__xludf.DUMMYFUNCTION("""COMPUTED_VALUE"""),"")</f>
        <v/>
      </c>
      <c r="N673" s="5"/>
      <c r="O673" s="5"/>
      <c r="P673" s="102">
        <f ca="1">IFERROR(__xludf.DUMMYFUNCTION("""COMPUTED_VALUE"""),-1000)</f>
        <v>-1000</v>
      </c>
      <c r="Q673" s="5"/>
      <c r="R673" s="57">
        <f ca="1">IFERROR(__xludf.DUMMYFUNCTION("""COMPUTED_VALUE"""),1)</f>
        <v>1</v>
      </c>
      <c r="S673" s="102">
        <f ca="1">IFERROR(__xludf.DUMMYFUNCTION("""COMPUTED_VALUE"""),1000)</f>
        <v>1000</v>
      </c>
      <c r="T673" s="5">
        <f ca="1">IFERROR(__xludf.DUMMYFUNCTION("""COMPUTED_VALUE"""),1)</f>
        <v>1</v>
      </c>
      <c r="U673" s="5">
        <f ca="1">IFERROR(__xludf.DUMMYFUNCTION("""COMPUTED_VALUE"""),1)</f>
        <v>1</v>
      </c>
      <c r="V673" s="19">
        <f ca="1">IFERROR(__xludf.DUMMYFUNCTION("""COMPUTED_VALUE"""),0)</f>
        <v>0</v>
      </c>
      <c r="W673" s="8" t="str">
        <f ca="1">IFERROR(__xludf.DUMMYFUNCTION("""COMPUTED_VALUE"""),"")</f>
        <v/>
      </c>
      <c r="X673" s="19" t="str">
        <f ca="1">IFERROR(__xludf.DUMMYFUNCTION("""COMPUTED_VALUE"""),"")</f>
        <v/>
      </c>
      <c r="Y673" s="19" t="str">
        <f ca="1">IFERROR(__xludf.DUMMYFUNCTION("""COMPUTED_VALUE"""),"")</f>
        <v/>
      </c>
      <c r="Z673" s="21" t="str">
        <f ca="1">IFERROR(__xludf.DUMMYFUNCTION("""COMPUTED_VALUE"""),"")</f>
        <v/>
      </c>
    </row>
    <row r="674" spans="1:26" ht="13" x14ac:dyDescent="0.15">
      <c r="A674" s="5" t="str">
        <f ca="1">IFERROR(__xludf.DUMMYFUNCTION("""COMPUTED_VALUE"""),"")</f>
        <v/>
      </c>
      <c r="B674" s="5" t="str">
        <f ca="1">IFERROR(__xludf.DUMMYFUNCTION("""COMPUTED_VALUE"""),"TraderX")</f>
        <v>TraderX</v>
      </c>
      <c r="C674" s="8">
        <f ca="1">IFERROR(__xludf.DUMMYFUNCTION("""COMPUTED_VALUE"""),44609000244)</f>
        <v>44609000244</v>
      </c>
      <c r="D674" s="5" t="str">
        <f ca="1">IFERROR(__xludf.DUMMYFUNCTION("""COMPUTED_VALUE"""),"SPXW220218P04300000")</f>
        <v>SPXW220218P04300000</v>
      </c>
      <c r="E674" s="164">
        <f ca="1">IFERROR(__xludf.DUMMYFUNCTION("""COMPUTED_VALUE"""),44609)</f>
        <v>44609</v>
      </c>
      <c r="F674" s="5" t="str">
        <f ca="1">IFERROR(__xludf.DUMMYFUNCTION("""COMPUTED_VALUE"""),"Option")</f>
        <v>Option</v>
      </c>
      <c r="G674" s="5" t="str">
        <f ca="1">IFERROR(__xludf.DUMMYFUNCTION("""COMPUTED_VALUE"""),"USD")</f>
        <v>USD</v>
      </c>
      <c r="H674" s="19">
        <f ca="1">IFERROR(__xludf.DUMMYFUNCTION("""COMPUTED_VALUE"""),-8)</f>
        <v>-8</v>
      </c>
      <c r="I674" s="165">
        <f ca="1">IFERROR(__xludf.DUMMYFUNCTION("""COMPUTED_VALUE"""),7.799115)</f>
        <v>7.7991149999999996</v>
      </c>
      <c r="J674" s="20">
        <f ca="1">IFERROR(__xludf.DUMMYFUNCTION("""COMPUTED_VALUE"""),5.25)</f>
        <v>5.25</v>
      </c>
      <c r="K674" s="5"/>
      <c r="L674" s="20">
        <f ca="1">IFERROR(__xludf.DUMMYFUNCTION("""COMPUTED_VALUE"""),0)</f>
        <v>0</v>
      </c>
      <c r="M674" s="22" t="str">
        <f ca="1">IFERROR(__xludf.DUMMYFUNCTION("""COMPUTED_VALUE"""),"")</f>
        <v/>
      </c>
      <c r="N674" s="5"/>
      <c r="O674" s="5"/>
      <c r="P674" s="102">
        <f ca="1">IFERROR(__xludf.DUMMYFUNCTION("""COMPUTED_VALUE"""),32756.2829999999)</f>
        <v>32756.282999999901</v>
      </c>
      <c r="Q674" s="5"/>
      <c r="R674" s="57">
        <f ca="1">IFERROR(__xludf.DUMMYFUNCTION("""COMPUTED_VALUE"""),0)</f>
        <v>0</v>
      </c>
      <c r="S674" s="102">
        <f ca="1">IFERROR(__xludf.DUMMYFUNCTION("""COMPUTED_VALUE"""),0)</f>
        <v>0</v>
      </c>
      <c r="T674" s="5">
        <f ca="1">IFERROR(__xludf.DUMMYFUNCTION("""COMPUTED_VALUE"""),2)</f>
        <v>2</v>
      </c>
      <c r="U674" s="5" t="str">
        <f ca="1">IFERROR(__xludf.DUMMYFUNCTION("""COMPUTED_VALUE"""),"")</f>
        <v/>
      </c>
      <c r="V674" s="19" t="str">
        <f ca="1">IFERROR(__xludf.DUMMYFUNCTION("""COMPUTED_VALUE"""),"")</f>
        <v/>
      </c>
      <c r="W674" s="8" t="str">
        <f ca="1">IFERROR(__xludf.DUMMYFUNCTION("""COMPUTED_VALUE"""),"")</f>
        <v/>
      </c>
      <c r="X674" s="19" t="str">
        <f ca="1">IFERROR(__xludf.DUMMYFUNCTION("""COMPUTED_VALUE"""),"")</f>
        <v/>
      </c>
      <c r="Y674" s="19" t="str">
        <f ca="1">IFERROR(__xludf.DUMMYFUNCTION("""COMPUTED_VALUE"""),"")</f>
        <v/>
      </c>
      <c r="Z674" s="21" t="str">
        <f ca="1">IFERROR(__xludf.DUMMYFUNCTION("""COMPUTED_VALUE"""),"")</f>
        <v/>
      </c>
    </row>
    <row r="675" spans="1:26" ht="13" x14ac:dyDescent="0.15">
      <c r="A675" s="5" t="str">
        <f ca="1">IFERROR(__xludf.DUMMYFUNCTION("""COMPUTED_VALUE"""),"")</f>
        <v/>
      </c>
      <c r="B675" s="5" t="str">
        <f ca="1">IFERROR(__xludf.DUMMYFUNCTION("""COMPUTED_VALUE"""),"TraderX")</f>
        <v>TraderX</v>
      </c>
      <c r="C675" s="8">
        <f ca="1">IFERROR(__xludf.DUMMYFUNCTION("""COMPUTED_VALUE"""),44609000245)</f>
        <v>44609000245</v>
      </c>
      <c r="D675" s="5" t="str">
        <f ca="1">IFERROR(__xludf.DUMMYFUNCTION("""COMPUTED_VALUE"""),"SPX220218P04220000")</f>
        <v>SPX220218P04220000</v>
      </c>
      <c r="E675" s="164">
        <f ca="1">IFERROR(__xludf.DUMMYFUNCTION("""COMPUTED_VALUE"""),44609)</f>
        <v>44609</v>
      </c>
      <c r="F675" s="5" t="str">
        <f ca="1">IFERROR(__xludf.DUMMYFUNCTION("""COMPUTED_VALUE"""),"Option")</f>
        <v>Option</v>
      </c>
      <c r="G675" s="5" t="str">
        <f ca="1">IFERROR(__xludf.DUMMYFUNCTION("""COMPUTED_VALUE"""),"USD")</f>
        <v>USD</v>
      </c>
      <c r="H675" s="19">
        <f ca="1">IFERROR(__xludf.DUMMYFUNCTION("""COMPUTED_VALUE"""),8)</f>
        <v>8</v>
      </c>
      <c r="I675" s="165">
        <f ca="1">IFERROR(__xludf.DUMMYFUNCTION("""COMPUTED_VALUE"""),7.799115)</f>
        <v>7.7991149999999996</v>
      </c>
      <c r="J675" s="20">
        <f ca="1">IFERROR(__xludf.DUMMYFUNCTION("""COMPUTED_VALUE"""),0.3)</f>
        <v>0.3</v>
      </c>
      <c r="K675" s="5"/>
      <c r="L675" s="20">
        <f ca="1">IFERROR(__xludf.DUMMYFUNCTION("""COMPUTED_VALUE"""),0)</f>
        <v>0</v>
      </c>
      <c r="M675" s="22" t="str">
        <f ca="1">IFERROR(__xludf.DUMMYFUNCTION("""COMPUTED_VALUE"""),"")</f>
        <v/>
      </c>
      <c r="N675" s="5"/>
      <c r="O675" s="5"/>
      <c r="P675" s="102">
        <f ca="1">IFERROR(__xludf.DUMMYFUNCTION("""COMPUTED_VALUE"""),-1871.78759999999)</f>
        <v>-1871.7875999999901</v>
      </c>
      <c r="Q675" s="5"/>
      <c r="R675" s="57">
        <f ca="1">IFERROR(__xludf.DUMMYFUNCTION("""COMPUTED_VALUE"""),0)</f>
        <v>0</v>
      </c>
      <c r="S675" s="102">
        <f ca="1">IFERROR(__xludf.DUMMYFUNCTION("""COMPUTED_VALUE"""),0)</f>
        <v>0</v>
      </c>
      <c r="T675" s="5">
        <f ca="1">IFERROR(__xludf.DUMMYFUNCTION("""COMPUTED_VALUE"""),2)</f>
        <v>2</v>
      </c>
      <c r="U675" s="5" t="str">
        <f ca="1">IFERROR(__xludf.DUMMYFUNCTION("""COMPUTED_VALUE"""),"")</f>
        <v/>
      </c>
      <c r="V675" s="19" t="str">
        <f ca="1">IFERROR(__xludf.DUMMYFUNCTION("""COMPUTED_VALUE"""),"")</f>
        <v/>
      </c>
      <c r="W675" s="8" t="str">
        <f ca="1">IFERROR(__xludf.DUMMYFUNCTION("""COMPUTED_VALUE"""),"")</f>
        <v/>
      </c>
      <c r="X675" s="19" t="str">
        <f ca="1">IFERROR(__xludf.DUMMYFUNCTION("""COMPUTED_VALUE"""),"")</f>
        <v/>
      </c>
      <c r="Y675" s="19" t="str">
        <f ca="1">IFERROR(__xludf.DUMMYFUNCTION("""COMPUTED_VALUE"""),"")</f>
        <v/>
      </c>
      <c r="Z675" s="21" t="str">
        <f ca="1">IFERROR(__xludf.DUMMYFUNCTION("""COMPUTED_VALUE"""),"")</f>
        <v/>
      </c>
    </row>
    <row r="676" spans="1:26" ht="13" x14ac:dyDescent="0.15">
      <c r="A676" s="5" t="str">
        <f ca="1">IFERROR(__xludf.DUMMYFUNCTION("""COMPUTED_VALUE"""),"")</f>
        <v/>
      </c>
      <c r="B676" s="5" t="str">
        <f ca="1">IFERROR(__xludf.DUMMYFUNCTION("""COMPUTED_VALUE"""),"TraderX")</f>
        <v>TraderX</v>
      </c>
      <c r="C676" s="8">
        <f ca="1">IFERROR(__xludf.DUMMYFUNCTION("""COMPUTED_VALUE"""),44611000284)</f>
        <v>44611000284</v>
      </c>
      <c r="D676" s="5" t="str">
        <f ca="1">IFERROR(__xludf.DUMMYFUNCTION("""COMPUTED_VALUE"""),"SPXW220218P04300000")</f>
        <v>SPXW220218P04300000</v>
      </c>
      <c r="E676" s="164">
        <f ca="1">IFERROR(__xludf.DUMMYFUNCTION("""COMPUTED_VALUE"""),44611)</f>
        <v>44611</v>
      </c>
      <c r="F676" s="5" t="str">
        <f ca="1">IFERROR(__xludf.DUMMYFUNCTION("""COMPUTED_VALUE"""),"Option")</f>
        <v>Option</v>
      </c>
      <c r="G676" s="5" t="str">
        <f ca="1">IFERROR(__xludf.DUMMYFUNCTION("""COMPUTED_VALUE"""),"USD")</f>
        <v>USD</v>
      </c>
      <c r="H676" s="19">
        <f ca="1">IFERROR(__xludf.DUMMYFUNCTION("""COMPUTED_VALUE"""),8)</f>
        <v>8</v>
      </c>
      <c r="I676" s="165">
        <f ca="1">IFERROR(__xludf.DUMMYFUNCTION("""COMPUTED_VALUE"""),7.80051)</f>
        <v>7.8005100000000001</v>
      </c>
      <c r="J676" s="20">
        <f ca="1">IFERROR(__xludf.DUMMYFUNCTION("""COMPUTED_VALUE"""),0)</f>
        <v>0</v>
      </c>
      <c r="K676" s="5"/>
      <c r="L676" s="20">
        <f ca="1">IFERROR(__xludf.DUMMYFUNCTION("""COMPUTED_VALUE"""),0)</f>
        <v>0</v>
      </c>
      <c r="M676" s="22" t="str">
        <f ca="1">IFERROR(__xludf.DUMMYFUNCTION("""COMPUTED_VALUE"""),"")</f>
        <v/>
      </c>
      <c r="N676" s="5"/>
      <c r="O676" s="5"/>
      <c r="P676" s="102">
        <f ca="1">IFERROR(__xludf.DUMMYFUNCTION("""COMPUTED_VALUE"""),0)</f>
        <v>0</v>
      </c>
      <c r="Q676" s="5"/>
      <c r="R676" s="57">
        <f ca="1">IFERROR(__xludf.DUMMYFUNCTION("""COMPUTED_VALUE"""),0)</f>
        <v>0</v>
      </c>
      <c r="S676" s="102">
        <f ca="1">IFERROR(__xludf.DUMMYFUNCTION("""COMPUTED_VALUE"""),0)</f>
        <v>0</v>
      </c>
      <c r="T676" s="5">
        <f ca="1">IFERROR(__xludf.DUMMYFUNCTION("""COMPUTED_VALUE"""),2)</f>
        <v>2</v>
      </c>
      <c r="U676" s="5">
        <f ca="1">IFERROR(__xludf.DUMMYFUNCTION("""COMPUTED_VALUE"""),1)</f>
        <v>1</v>
      </c>
      <c r="V676" s="19">
        <f ca="1">IFERROR(__xludf.DUMMYFUNCTION("""COMPUTED_VALUE"""),32756.2829999999)</f>
        <v>32756.282999999901</v>
      </c>
      <c r="W676" s="8" t="str">
        <f ca="1">IFERROR(__xludf.DUMMYFUNCTION("""COMPUTED_VALUE"""),"")</f>
        <v/>
      </c>
      <c r="X676" s="19" t="str">
        <f ca="1">IFERROR(__xludf.DUMMYFUNCTION("""COMPUTED_VALUE"""),"")</f>
        <v/>
      </c>
      <c r="Y676" s="19" t="str">
        <f ca="1">IFERROR(__xludf.DUMMYFUNCTION("""COMPUTED_VALUE"""),"")</f>
        <v/>
      </c>
      <c r="Z676" s="21" t="str">
        <f ca="1">IFERROR(__xludf.DUMMYFUNCTION("""COMPUTED_VALUE"""),"")</f>
        <v/>
      </c>
    </row>
    <row r="677" spans="1:26" ht="13" x14ac:dyDescent="0.15">
      <c r="A677" s="5" t="str">
        <f ca="1">IFERROR(__xludf.DUMMYFUNCTION("""COMPUTED_VALUE"""),"TraderX")</f>
        <v>TraderX</v>
      </c>
      <c r="B677" s="5" t="str">
        <f ca="1">IFERROR(__xludf.DUMMYFUNCTION("""COMPUTED_VALUE"""),"TraderX")</f>
        <v>TraderX</v>
      </c>
      <c r="C677" s="8">
        <f ca="1">IFERROR(__xludf.DUMMYFUNCTION("""COMPUTED_VALUE"""),44611000285)</f>
        <v>44611000285</v>
      </c>
      <c r="D677" s="5" t="str">
        <f ca="1">IFERROR(__xludf.DUMMYFUNCTION("""COMPUTED_VALUE"""),"SPX220218P04220000")</f>
        <v>SPX220218P04220000</v>
      </c>
      <c r="E677" s="164">
        <f ca="1">IFERROR(__xludf.DUMMYFUNCTION("""COMPUTED_VALUE"""),44611)</f>
        <v>44611</v>
      </c>
      <c r="F677" s="5" t="str">
        <f ca="1">IFERROR(__xludf.DUMMYFUNCTION("""COMPUTED_VALUE"""),"Option")</f>
        <v>Option</v>
      </c>
      <c r="G677" s="5" t="str">
        <f ca="1">IFERROR(__xludf.DUMMYFUNCTION("""COMPUTED_VALUE"""),"USD")</f>
        <v>USD</v>
      </c>
      <c r="H677" s="19">
        <f ca="1">IFERROR(__xludf.DUMMYFUNCTION("""COMPUTED_VALUE"""),-8)</f>
        <v>-8</v>
      </c>
      <c r="I677" s="165">
        <f ca="1">IFERROR(__xludf.DUMMYFUNCTION("""COMPUTED_VALUE"""),7.80051)</f>
        <v>7.8005100000000001</v>
      </c>
      <c r="J677" s="20">
        <f ca="1">IFERROR(__xludf.DUMMYFUNCTION("""COMPUTED_VALUE"""),0)</f>
        <v>0</v>
      </c>
      <c r="K677" s="5"/>
      <c r="L677" s="20">
        <f ca="1">IFERROR(__xludf.DUMMYFUNCTION("""COMPUTED_VALUE"""),0)</f>
        <v>0</v>
      </c>
      <c r="M677" s="22" t="str">
        <f ca="1">IFERROR(__xludf.DUMMYFUNCTION("""COMPUTED_VALUE"""),"")</f>
        <v/>
      </c>
      <c r="N677" s="5"/>
      <c r="O677" s="5"/>
      <c r="P677" s="102">
        <f ca="1">IFERROR(__xludf.DUMMYFUNCTION("""COMPUTED_VALUE"""),0)</f>
        <v>0</v>
      </c>
      <c r="Q677" s="5"/>
      <c r="R677" s="57">
        <f ca="1">IFERROR(__xludf.DUMMYFUNCTION("""COMPUTED_VALUE"""),0)</f>
        <v>0</v>
      </c>
      <c r="S677" s="102">
        <f ca="1">IFERROR(__xludf.DUMMYFUNCTION("""COMPUTED_VALUE"""),0)</f>
        <v>0</v>
      </c>
      <c r="T677" s="5">
        <f ca="1">IFERROR(__xludf.DUMMYFUNCTION("""COMPUTED_VALUE"""),2)</f>
        <v>2</v>
      </c>
      <c r="U677" s="5">
        <f ca="1">IFERROR(__xludf.DUMMYFUNCTION("""COMPUTED_VALUE"""),1)</f>
        <v>1</v>
      </c>
      <c r="V677" s="19">
        <f ca="1">IFERROR(__xludf.DUMMYFUNCTION("""COMPUTED_VALUE"""),-1871.78759999999)</f>
        <v>-1871.7875999999901</v>
      </c>
      <c r="W677" s="8">
        <f ca="1">IFERROR(__xludf.DUMMYFUNCTION("""COMPUTED_VALUE"""),530884.4954)</f>
        <v>530884.49540000001</v>
      </c>
      <c r="X677" s="19">
        <f ca="1">IFERROR(__xludf.DUMMYFUNCTION("""COMPUTED_VALUE"""),26833521.76)</f>
        <v>26833521.760000002</v>
      </c>
      <c r="Y677" s="19">
        <f ca="1">IFERROR(__xludf.DUMMYFUNCTION("""COMPUTED_VALUE"""),0)</f>
        <v>0</v>
      </c>
      <c r="Z677" s="21">
        <f ca="1">IFERROR(__xludf.DUMMYFUNCTION("""COMPUTED_VALUE"""),0.0617689908)</f>
        <v>6.17689908E-2</v>
      </c>
    </row>
    <row r="678" spans="1:26" ht="13" x14ac:dyDescent="0.15">
      <c r="E678" s="25"/>
      <c r="V678" s="19"/>
      <c r="W678" s="8"/>
    </row>
    <row r="679" spans="1:26" ht="13" x14ac:dyDescent="0.15">
      <c r="E679" s="25"/>
      <c r="V679" s="19"/>
      <c r="W679" s="8"/>
    </row>
    <row r="680" spans="1:26" ht="13" x14ac:dyDescent="0.15">
      <c r="E680" s="25"/>
      <c r="V680" s="19"/>
      <c r="W680" s="8"/>
    </row>
    <row r="681" spans="1:26" ht="13" x14ac:dyDescent="0.15">
      <c r="E681" s="25"/>
      <c r="V681" s="19"/>
      <c r="W681" s="8"/>
    </row>
    <row r="682" spans="1:26" ht="13" x14ac:dyDescent="0.15">
      <c r="E682" s="25"/>
      <c r="V682" s="19"/>
      <c r="W682" s="8"/>
    </row>
    <row r="683" spans="1:26" ht="13" x14ac:dyDescent="0.15">
      <c r="E683" s="25"/>
      <c r="V683" s="19"/>
      <c r="W683" s="8"/>
    </row>
    <row r="684" spans="1:26" ht="13" x14ac:dyDescent="0.15">
      <c r="E684" s="25"/>
      <c r="V684" s="19"/>
      <c r="W684" s="8"/>
    </row>
    <row r="685" spans="1:26" ht="13" x14ac:dyDescent="0.15">
      <c r="E685" s="25"/>
      <c r="V685" s="19"/>
      <c r="W685" s="8"/>
    </row>
    <row r="686" spans="1:26" ht="13" x14ac:dyDescent="0.15">
      <c r="E686" s="25"/>
      <c r="V686" s="19"/>
      <c r="W686" s="8"/>
    </row>
    <row r="687" spans="1:26" ht="13" x14ac:dyDescent="0.15">
      <c r="E687" s="25"/>
      <c r="V687" s="19"/>
      <c r="W687" s="8"/>
    </row>
    <row r="688" spans="1:26" ht="13" x14ac:dyDescent="0.15">
      <c r="E688" s="25"/>
      <c r="V688" s="19"/>
      <c r="W688" s="8"/>
    </row>
    <row r="689" spans="5:23" ht="13" x14ac:dyDescent="0.15">
      <c r="E689" s="25"/>
      <c r="V689" s="19"/>
      <c r="W689" s="8"/>
    </row>
    <row r="690" spans="5:23" ht="13" x14ac:dyDescent="0.15">
      <c r="E690" s="25"/>
      <c r="V690" s="19"/>
      <c r="W690" s="8"/>
    </row>
    <row r="691" spans="5:23" ht="13" x14ac:dyDescent="0.15">
      <c r="E691" s="25"/>
      <c r="V691" s="19"/>
      <c r="W691" s="8"/>
    </row>
    <row r="692" spans="5:23" ht="13" x14ac:dyDescent="0.15">
      <c r="E692" s="25"/>
      <c r="V692" s="19"/>
      <c r="W692" s="8"/>
    </row>
    <row r="693" spans="5:23" ht="13" x14ac:dyDescent="0.15">
      <c r="E693" s="25"/>
      <c r="V693" s="19"/>
      <c r="W693" s="8"/>
    </row>
    <row r="694" spans="5:23" ht="13" x14ac:dyDescent="0.15">
      <c r="E694" s="25"/>
      <c r="V694" s="19"/>
      <c r="W694" s="8"/>
    </row>
    <row r="695" spans="5:23" ht="13" x14ac:dyDescent="0.15">
      <c r="E695" s="25"/>
      <c r="V695" s="19"/>
      <c r="W695" s="8"/>
    </row>
    <row r="696" spans="5:23" ht="13" x14ac:dyDescent="0.15">
      <c r="E696" s="25"/>
      <c r="V696" s="19"/>
      <c r="W696" s="8"/>
    </row>
    <row r="697" spans="5:23" ht="13" x14ac:dyDescent="0.15">
      <c r="E697" s="25"/>
      <c r="V697" s="19"/>
      <c r="W697" s="8"/>
    </row>
    <row r="698" spans="5:23" ht="13" x14ac:dyDescent="0.15">
      <c r="E698" s="25"/>
      <c r="V698" s="19"/>
      <c r="W698" s="8"/>
    </row>
    <row r="699" spans="5:23" ht="13" x14ac:dyDescent="0.15">
      <c r="E699" s="25"/>
      <c r="V699" s="19"/>
      <c r="W699" s="8"/>
    </row>
    <row r="700" spans="5:23" ht="13" x14ac:dyDescent="0.15">
      <c r="E700" s="25"/>
      <c r="V700" s="19"/>
      <c r="W700" s="8"/>
    </row>
    <row r="701" spans="5:23" ht="13" x14ac:dyDescent="0.15">
      <c r="E701" s="25"/>
      <c r="V701" s="19"/>
      <c r="W701" s="8"/>
    </row>
    <row r="702" spans="5:23" ht="13" x14ac:dyDescent="0.15">
      <c r="E702" s="25"/>
      <c r="V702" s="19"/>
      <c r="W702" s="8"/>
    </row>
    <row r="703" spans="5:23" ht="13" x14ac:dyDescent="0.15">
      <c r="E703" s="25"/>
      <c r="V703" s="19"/>
      <c r="W703" s="8"/>
    </row>
    <row r="704" spans="5:23" ht="13" x14ac:dyDescent="0.15">
      <c r="E704" s="25"/>
      <c r="V704" s="19"/>
      <c r="W704" s="8"/>
    </row>
    <row r="705" spans="5:23" ht="13" x14ac:dyDescent="0.15">
      <c r="E705" s="25"/>
      <c r="V705" s="19"/>
      <c r="W705" s="8"/>
    </row>
    <row r="706" spans="5:23" ht="13" x14ac:dyDescent="0.15">
      <c r="E706" s="25"/>
      <c r="V706" s="19"/>
      <c r="W706" s="8"/>
    </row>
    <row r="707" spans="5:23" ht="13" x14ac:dyDescent="0.15">
      <c r="E707" s="25"/>
      <c r="V707" s="19"/>
      <c r="W707" s="8"/>
    </row>
    <row r="708" spans="5:23" ht="13" x14ac:dyDescent="0.15">
      <c r="E708" s="25"/>
      <c r="V708" s="19"/>
      <c r="W708" s="8"/>
    </row>
    <row r="709" spans="5:23" ht="13" x14ac:dyDescent="0.15">
      <c r="E709" s="25"/>
      <c r="V709" s="19"/>
      <c r="W709" s="8"/>
    </row>
    <row r="710" spans="5:23" ht="13" x14ac:dyDescent="0.15">
      <c r="E710" s="25"/>
      <c r="V710" s="19"/>
      <c r="W710" s="8"/>
    </row>
    <row r="711" spans="5:23" ht="13" x14ac:dyDescent="0.15">
      <c r="E711" s="25"/>
      <c r="V711" s="19"/>
      <c r="W711" s="8"/>
    </row>
    <row r="712" spans="5:23" ht="13" x14ac:dyDescent="0.15">
      <c r="E712" s="25"/>
      <c r="V712" s="19"/>
      <c r="W712" s="8"/>
    </row>
    <row r="713" spans="5:23" ht="13" x14ac:dyDescent="0.15">
      <c r="E713" s="25"/>
      <c r="V713" s="19"/>
      <c r="W713" s="8"/>
    </row>
    <row r="714" spans="5:23" ht="13" x14ac:dyDescent="0.15">
      <c r="E714" s="25"/>
      <c r="V714" s="19"/>
      <c r="W714" s="8"/>
    </row>
    <row r="715" spans="5:23" ht="13" x14ac:dyDescent="0.15">
      <c r="E715" s="25"/>
      <c r="V715" s="19"/>
      <c r="W715" s="8"/>
    </row>
    <row r="716" spans="5:23" ht="13" x14ac:dyDescent="0.15">
      <c r="E716" s="25"/>
      <c r="V716" s="19"/>
      <c r="W716" s="8"/>
    </row>
    <row r="717" spans="5:23" ht="13" x14ac:dyDescent="0.15">
      <c r="E717" s="25"/>
      <c r="V717" s="19"/>
      <c r="W717" s="8"/>
    </row>
    <row r="718" spans="5:23" ht="13" x14ac:dyDescent="0.15">
      <c r="E718" s="25"/>
      <c r="V718" s="19"/>
      <c r="W718" s="8"/>
    </row>
    <row r="719" spans="5:23" ht="13" x14ac:dyDescent="0.15">
      <c r="E719" s="25"/>
      <c r="V719" s="19"/>
      <c r="W719" s="8"/>
    </row>
    <row r="720" spans="5:23" ht="13" x14ac:dyDescent="0.15">
      <c r="E720" s="25"/>
      <c r="V720" s="19"/>
      <c r="W720" s="8"/>
    </row>
    <row r="721" spans="5:23" ht="13" x14ac:dyDescent="0.15">
      <c r="E721" s="25"/>
      <c r="V721" s="19"/>
      <c r="W721" s="8"/>
    </row>
    <row r="722" spans="5:23" ht="13" x14ac:dyDescent="0.15">
      <c r="E722" s="25"/>
      <c r="V722" s="19"/>
      <c r="W722" s="8"/>
    </row>
    <row r="723" spans="5:23" ht="13" x14ac:dyDescent="0.15">
      <c r="E723" s="25"/>
      <c r="V723" s="19"/>
      <c r="W723" s="8"/>
    </row>
    <row r="724" spans="5:23" ht="13" x14ac:dyDescent="0.15">
      <c r="E724" s="25"/>
      <c r="V724" s="19"/>
      <c r="W724" s="8"/>
    </row>
    <row r="725" spans="5:23" ht="13" x14ac:dyDescent="0.15">
      <c r="E725" s="25"/>
      <c r="V725" s="19"/>
      <c r="W725" s="8"/>
    </row>
    <row r="726" spans="5:23" ht="13" x14ac:dyDescent="0.15">
      <c r="E726" s="25"/>
      <c r="V726" s="19"/>
      <c r="W726" s="8"/>
    </row>
    <row r="727" spans="5:23" ht="13" x14ac:dyDescent="0.15">
      <c r="E727" s="25"/>
      <c r="V727" s="19"/>
      <c r="W727" s="8"/>
    </row>
    <row r="728" spans="5:23" ht="13" x14ac:dyDescent="0.15">
      <c r="E728" s="25"/>
      <c r="V728" s="19"/>
      <c r="W728" s="8"/>
    </row>
    <row r="729" spans="5:23" ht="13" x14ac:dyDescent="0.15">
      <c r="E729" s="25"/>
      <c r="V729" s="19"/>
      <c r="W729" s="8"/>
    </row>
    <row r="730" spans="5:23" ht="13" x14ac:dyDescent="0.15">
      <c r="E730" s="25"/>
      <c r="V730" s="19"/>
      <c r="W730" s="8"/>
    </row>
    <row r="731" spans="5:23" ht="13" x14ac:dyDescent="0.15">
      <c r="E731" s="25"/>
      <c r="V731" s="19"/>
      <c r="W731" s="8"/>
    </row>
    <row r="732" spans="5:23" ht="13" x14ac:dyDescent="0.15">
      <c r="E732" s="25"/>
      <c r="V732" s="19"/>
      <c r="W732" s="8"/>
    </row>
    <row r="733" spans="5:23" ht="13" x14ac:dyDescent="0.15">
      <c r="E733" s="25"/>
      <c r="V733" s="19"/>
      <c r="W733" s="8"/>
    </row>
    <row r="734" spans="5:23" ht="13" x14ac:dyDescent="0.15">
      <c r="E734" s="25"/>
      <c r="V734" s="19"/>
      <c r="W734" s="8"/>
    </row>
    <row r="735" spans="5:23" ht="13" x14ac:dyDescent="0.15">
      <c r="E735" s="25"/>
      <c r="V735" s="19"/>
      <c r="W735" s="8"/>
    </row>
    <row r="736" spans="5:23" ht="13" x14ac:dyDescent="0.15">
      <c r="E736" s="25"/>
      <c r="V736" s="19"/>
      <c r="W736" s="8"/>
    </row>
    <row r="737" spans="5:23" ht="13" x14ac:dyDescent="0.15">
      <c r="E737" s="25"/>
      <c r="V737" s="19"/>
      <c r="W737" s="8"/>
    </row>
    <row r="738" spans="5:23" ht="13" x14ac:dyDescent="0.15">
      <c r="E738" s="25"/>
      <c r="V738" s="19"/>
      <c r="W738" s="8"/>
    </row>
    <row r="739" spans="5:23" ht="13" x14ac:dyDescent="0.15">
      <c r="E739" s="25"/>
      <c r="V739" s="19"/>
      <c r="W739" s="8"/>
    </row>
    <row r="740" spans="5:23" ht="13" x14ac:dyDescent="0.15">
      <c r="E740" s="25"/>
      <c r="V740" s="19"/>
      <c r="W740" s="8"/>
    </row>
    <row r="741" spans="5:23" ht="13" x14ac:dyDescent="0.15">
      <c r="E741" s="25"/>
      <c r="V741" s="19"/>
      <c r="W741" s="8"/>
    </row>
    <row r="742" spans="5:23" ht="13" x14ac:dyDescent="0.15">
      <c r="E742" s="25"/>
      <c r="V742" s="19"/>
      <c r="W742" s="8"/>
    </row>
    <row r="743" spans="5:23" ht="13" x14ac:dyDescent="0.15">
      <c r="E743" s="25"/>
      <c r="V743" s="19"/>
      <c r="W743" s="8"/>
    </row>
    <row r="744" spans="5:23" ht="13" x14ac:dyDescent="0.15">
      <c r="E744" s="25"/>
      <c r="V744" s="19"/>
      <c r="W744" s="8"/>
    </row>
    <row r="745" spans="5:23" ht="13" x14ac:dyDescent="0.15">
      <c r="E745" s="25"/>
      <c r="V745" s="19"/>
      <c r="W745" s="8"/>
    </row>
    <row r="746" spans="5:23" ht="13" x14ac:dyDescent="0.15">
      <c r="E746" s="25"/>
      <c r="V746" s="19"/>
      <c r="W746" s="8"/>
    </row>
    <row r="747" spans="5:23" ht="13" x14ac:dyDescent="0.15">
      <c r="E747" s="25"/>
      <c r="V747" s="19"/>
      <c r="W747" s="8"/>
    </row>
    <row r="748" spans="5:23" ht="13" x14ac:dyDescent="0.15">
      <c r="E748" s="25"/>
      <c r="V748" s="19"/>
      <c r="W748" s="8"/>
    </row>
    <row r="749" spans="5:23" ht="13" x14ac:dyDescent="0.15">
      <c r="E749" s="25"/>
      <c r="V749" s="19"/>
      <c r="W749" s="8"/>
    </row>
    <row r="750" spans="5:23" ht="13" x14ac:dyDescent="0.15">
      <c r="E750" s="25"/>
      <c r="V750" s="19"/>
      <c r="W750" s="8"/>
    </row>
    <row r="751" spans="5:23" ht="13" x14ac:dyDescent="0.15">
      <c r="E751" s="25"/>
      <c r="V751" s="19"/>
      <c r="W751" s="8"/>
    </row>
    <row r="752" spans="5:23" ht="13" x14ac:dyDescent="0.15">
      <c r="E752" s="25"/>
      <c r="V752" s="19"/>
      <c r="W752" s="8"/>
    </row>
    <row r="753" spans="5:23" ht="13" x14ac:dyDescent="0.15">
      <c r="E753" s="25"/>
      <c r="V753" s="19"/>
      <c r="W753" s="8"/>
    </row>
    <row r="754" spans="5:23" ht="13" x14ac:dyDescent="0.15">
      <c r="E754" s="25"/>
      <c r="V754" s="19"/>
      <c r="W754" s="8"/>
    </row>
    <row r="755" spans="5:23" ht="13" x14ac:dyDescent="0.15">
      <c r="E755" s="25"/>
      <c r="V755" s="19"/>
      <c r="W755" s="8"/>
    </row>
    <row r="756" spans="5:23" ht="13" x14ac:dyDescent="0.15">
      <c r="E756" s="25"/>
      <c r="V756" s="19"/>
      <c r="W756" s="8"/>
    </row>
    <row r="757" spans="5:23" ht="13" x14ac:dyDescent="0.15">
      <c r="E757" s="25"/>
      <c r="V757" s="19"/>
      <c r="W757" s="8"/>
    </row>
    <row r="758" spans="5:23" ht="13" x14ac:dyDescent="0.15">
      <c r="E758" s="25"/>
      <c r="V758" s="19"/>
      <c r="W758" s="8"/>
    </row>
    <row r="759" spans="5:23" ht="13" x14ac:dyDescent="0.15">
      <c r="E759" s="25"/>
      <c r="V759" s="19"/>
      <c r="W759" s="8"/>
    </row>
    <row r="760" spans="5:23" ht="13" x14ac:dyDescent="0.15">
      <c r="E760" s="25"/>
      <c r="V760" s="19"/>
      <c r="W760" s="8"/>
    </row>
    <row r="761" spans="5:23" ht="13" x14ac:dyDescent="0.15">
      <c r="E761" s="25"/>
      <c r="V761" s="19"/>
      <c r="W761" s="8"/>
    </row>
    <row r="762" spans="5:23" ht="13" x14ac:dyDescent="0.15">
      <c r="E762" s="25"/>
      <c r="V762" s="19"/>
      <c r="W762" s="8"/>
    </row>
    <row r="763" spans="5:23" ht="13" x14ac:dyDescent="0.15">
      <c r="E763" s="25"/>
      <c r="V763" s="19"/>
      <c r="W763" s="8"/>
    </row>
    <row r="764" spans="5:23" ht="13" x14ac:dyDescent="0.15">
      <c r="E764" s="25"/>
      <c r="V764" s="19"/>
      <c r="W764" s="8"/>
    </row>
    <row r="765" spans="5:23" ht="13" x14ac:dyDescent="0.15">
      <c r="E765" s="25"/>
      <c r="V765" s="19"/>
      <c r="W765" s="8"/>
    </row>
    <row r="766" spans="5:23" ht="13" x14ac:dyDescent="0.15">
      <c r="E766" s="25"/>
      <c r="V766" s="19"/>
      <c r="W766" s="8"/>
    </row>
    <row r="767" spans="5:23" ht="13" x14ac:dyDescent="0.15">
      <c r="E767" s="25"/>
      <c r="V767" s="19"/>
      <c r="W767" s="8"/>
    </row>
    <row r="768" spans="5:23" ht="13" x14ac:dyDescent="0.15">
      <c r="E768" s="25"/>
      <c r="V768" s="19"/>
      <c r="W768" s="8"/>
    </row>
    <row r="769" spans="5:23" ht="13" x14ac:dyDescent="0.15">
      <c r="E769" s="25"/>
      <c r="V769" s="19"/>
      <c r="W769" s="8"/>
    </row>
    <row r="770" spans="5:23" ht="13" x14ac:dyDescent="0.15">
      <c r="E770" s="25"/>
      <c r="V770" s="19"/>
      <c r="W770" s="8"/>
    </row>
    <row r="771" spans="5:23" ht="13" x14ac:dyDescent="0.15">
      <c r="E771" s="25"/>
      <c r="V771" s="19"/>
      <c r="W771" s="8"/>
    </row>
    <row r="772" spans="5:23" ht="13" x14ac:dyDescent="0.15">
      <c r="E772" s="25"/>
      <c r="V772" s="19"/>
      <c r="W772" s="8"/>
    </row>
    <row r="773" spans="5:23" ht="13" x14ac:dyDescent="0.15">
      <c r="E773" s="25"/>
      <c r="V773" s="19"/>
      <c r="W773" s="8"/>
    </row>
    <row r="774" spans="5:23" ht="13" x14ac:dyDescent="0.15">
      <c r="E774" s="25"/>
      <c r="V774" s="19"/>
      <c r="W774" s="8"/>
    </row>
    <row r="775" spans="5:23" ht="13" x14ac:dyDescent="0.15">
      <c r="E775" s="25"/>
      <c r="V775" s="19"/>
      <c r="W775" s="8"/>
    </row>
    <row r="776" spans="5:23" ht="13" x14ac:dyDescent="0.15">
      <c r="E776" s="25"/>
      <c r="V776" s="19"/>
      <c r="W776" s="8"/>
    </row>
    <row r="777" spans="5:23" ht="13" x14ac:dyDescent="0.15">
      <c r="E777" s="25"/>
      <c r="V777" s="19"/>
      <c r="W777" s="8"/>
    </row>
    <row r="778" spans="5:23" ht="13" x14ac:dyDescent="0.15">
      <c r="E778" s="25"/>
      <c r="V778" s="19"/>
      <c r="W778" s="8"/>
    </row>
    <row r="779" spans="5:23" ht="13" x14ac:dyDescent="0.15">
      <c r="E779" s="25"/>
      <c r="V779" s="19"/>
      <c r="W779" s="8"/>
    </row>
    <row r="780" spans="5:23" ht="13" x14ac:dyDescent="0.15">
      <c r="E780" s="25"/>
      <c r="V780" s="19"/>
      <c r="W780" s="8"/>
    </row>
    <row r="781" spans="5:23" ht="13" x14ac:dyDescent="0.15">
      <c r="E781" s="25"/>
      <c r="V781" s="19"/>
      <c r="W781" s="8"/>
    </row>
    <row r="782" spans="5:23" ht="13" x14ac:dyDescent="0.15">
      <c r="E782" s="25"/>
      <c r="V782" s="19"/>
      <c r="W782" s="8"/>
    </row>
    <row r="783" spans="5:23" ht="13" x14ac:dyDescent="0.15">
      <c r="E783" s="25"/>
      <c r="V783" s="19"/>
      <c r="W783" s="8"/>
    </row>
    <row r="784" spans="5:23" ht="13" x14ac:dyDescent="0.15">
      <c r="E784" s="25"/>
      <c r="V784" s="19"/>
      <c r="W784" s="8"/>
    </row>
    <row r="785" spans="5:23" ht="13" x14ac:dyDescent="0.15">
      <c r="E785" s="25"/>
      <c r="V785" s="19"/>
      <c r="W785" s="8"/>
    </row>
    <row r="786" spans="5:23" ht="13" x14ac:dyDescent="0.15">
      <c r="E786" s="25"/>
      <c r="V786" s="19"/>
      <c r="W786" s="8"/>
    </row>
    <row r="787" spans="5:23" ht="13" x14ac:dyDescent="0.15">
      <c r="E787" s="25"/>
      <c r="V787" s="19"/>
      <c r="W787" s="8"/>
    </row>
    <row r="788" spans="5:23" ht="13" x14ac:dyDescent="0.15">
      <c r="E788" s="25"/>
      <c r="V788" s="19"/>
      <c r="W788" s="8"/>
    </row>
    <row r="789" spans="5:23" ht="13" x14ac:dyDescent="0.15">
      <c r="E789" s="25"/>
      <c r="V789" s="19"/>
      <c r="W789" s="8"/>
    </row>
    <row r="790" spans="5:23" ht="13" x14ac:dyDescent="0.15">
      <c r="E790" s="25"/>
      <c r="V790" s="19"/>
      <c r="W790" s="8"/>
    </row>
    <row r="791" spans="5:23" ht="13" x14ac:dyDescent="0.15">
      <c r="E791" s="25"/>
      <c r="V791" s="19"/>
      <c r="W791" s="8"/>
    </row>
    <row r="792" spans="5:23" ht="13" x14ac:dyDescent="0.15">
      <c r="E792" s="25"/>
      <c r="V792" s="19"/>
      <c r="W792" s="8"/>
    </row>
    <row r="793" spans="5:23" ht="13" x14ac:dyDescent="0.15">
      <c r="E793" s="25"/>
      <c r="V793" s="19"/>
      <c r="W793" s="8"/>
    </row>
    <row r="794" spans="5:23" ht="13" x14ac:dyDescent="0.15">
      <c r="E794" s="25"/>
      <c r="V794" s="19"/>
      <c r="W794" s="8"/>
    </row>
    <row r="795" spans="5:23" ht="13" x14ac:dyDescent="0.15">
      <c r="E795" s="25"/>
      <c r="V795" s="19"/>
      <c r="W795" s="8"/>
    </row>
    <row r="796" spans="5:23" ht="13" x14ac:dyDescent="0.15">
      <c r="E796" s="25"/>
      <c r="V796" s="19"/>
      <c r="W796" s="8"/>
    </row>
    <row r="797" spans="5:23" ht="13" x14ac:dyDescent="0.15">
      <c r="E797" s="25"/>
      <c r="V797" s="19"/>
      <c r="W797" s="8"/>
    </row>
    <row r="798" spans="5:23" ht="13" x14ac:dyDescent="0.15">
      <c r="E798" s="25"/>
      <c r="V798" s="19"/>
      <c r="W798" s="8"/>
    </row>
    <row r="799" spans="5:23" ht="13" x14ac:dyDescent="0.15">
      <c r="E799" s="25"/>
      <c r="V799" s="19"/>
      <c r="W799" s="8"/>
    </row>
    <row r="800" spans="5:23" ht="13" x14ac:dyDescent="0.15">
      <c r="E800" s="25"/>
      <c r="V800" s="19"/>
      <c r="W800" s="8"/>
    </row>
    <row r="801" spans="5:23" ht="13" x14ac:dyDescent="0.15">
      <c r="E801" s="25"/>
      <c r="V801" s="19"/>
      <c r="W801" s="8"/>
    </row>
    <row r="802" spans="5:23" ht="13" x14ac:dyDescent="0.15">
      <c r="E802" s="25"/>
      <c r="V802" s="19"/>
      <c r="W802" s="8"/>
    </row>
    <row r="803" spans="5:23" ht="13" x14ac:dyDescent="0.15">
      <c r="E803" s="25"/>
      <c r="V803" s="19"/>
      <c r="W803" s="8"/>
    </row>
    <row r="804" spans="5:23" ht="13" x14ac:dyDescent="0.15">
      <c r="E804" s="25"/>
      <c r="V804" s="19"/>
      <c r="W804" s="8"/>
    </row>
    <row r="805" spans="5:23" ht="13" x14ac:dyDescent="0.15">
      <c r="E805" s="25"/>
      <c r="V805" s="19"/>
      <c r="W805" s="8"/>
    </row>
    <row r="806" spans="5:23" ht="13" x14ac:dyDescent="0.15">
      <c r="E806" s="25"/>
      <c r="V806" s="19"/>
      <c r="W806" s="8"/>
    </row>
    <row r="807" spans="5:23" ht="13" x14ac:dyDescent="0.15">
      <c r="E807" s="25"/>
      <c r="V807" s="19"/>
      <c r="W807" s="8"/>
    </row>
    <row r="808" spans="5:23" ht="13" x14ac:dyDescent="0.15">
      <c r="E808" s="25"/>
      <c r="V808" s="19"/>
      <c r="W808" s="8"/>
    </row>
    <row r="809" spans="5:23" ht="13" x14ac:dyDescent="0.15">
      <c r="E809" s="25"/>
      <c r="V809" s="19"/>
      <c r="W809" s="8"/>
    </row>
    <row r="810" spans="5:23" ht="13" x14ac:dyDescent="0.15">
      <c r="E810" s="25"/>
      <c r="V810" s="19"/>
      <c r="W810" s="8"/>
    </row>
    <row r="811" spans="5:23" ht="13" x14ac:dyDescent="0.15">
      <c r="E811" s="25"/>
      <c r="V811" s="19"/>
      <c r="W811" s="8"/>
    </row>
    <row r="812" spans="5:23" ht="13" x14ac:dyDescent="0.15">
      <c r="E812" s="25"/>
      <c r="V812" s="19"/>
      <c r="W812" s="8"/>
    </row>
    <row r="813" spans="5:23" ht="13" x14ac:dyDescent="0.15">
      <c r="E813" s="25"/>
      <c r="V813" s="19"/>
      <c r="W813" s="8"/>
    </row>
    <row r="814" spans="5:23" ht="13" x14ac:dyDescent="0.15">
      <c r="E814" s="25"/>
      <c r="V814" s="19"/>
      <c r="W814" s="8"/>
    </row>
    <row r="815" spans="5:23" ht="13" x14ac:dyDescent="0.15">
      <c r="E815" s="25"/>
      <c r="V815" s="19"/>
      <c r="W815" s="8"/>
    </row>
    <row r="816" spans="5:23" ht="13" x14ac:dyDescent="0.15">
      <c r="E816" s="25"/>
      <c r="V816" s="19"/>
      <c r="W816" s="8"/>
    </row>
    <row r="817" spans="5:23" ht="13" x14ac:dyDescent="0.15">
      <c r="E817" s="25"/>
      <c r="V817" s="19"/>
      <c r="W817" s="8"/>
    </row>
    <row r="818" spans="5:23" ht="13" x14ac:dyDescent="0.15">
      <c r="E818" s="25"/>
      <c r="V818" s="19"/>
      <c r="W818" s="8"/>
    </row>
    <row r="819" spans="5:23" ht="13" x14ac:dyDescent="0.15">
      <c r="E819" s="25"/>
      <c r="V819" s="19"/>
      <c r="W819" s="8"/>
    </row>
    <row r="820" spans="5:23" ht="13" x14ac:dyDescent="0.15">
      <c r="E820" s="25"/>
      <c r="V820" s="19"/>
      <c r="W820" s="8"/>
    </row>
    <row r="821" spans="5:23" ht="13" x14ac:dyDescent="0.15">
      <c r="E821" s="25"/>
      <c r="V821" s="19"/>
      <c r="W821" s="8"/>
    </row>
    <row r="822" spans="5:23" ht="13" x14ac:dyDescent="0.15">
      <c r="E822" s="25"/>
      <c r="V822" s="19"/>
      <c r="W822" s="8"/>
    </row>
    <row r="823" spans="5:23" ht="13" x14ac:dyDescent="0.15">
      <c r="E823" s="25"/>
      <c r="V823" s="19"/>
      <c r="W823" s="8"/>
    </row>
    <row r="824" spans="5:23" ht="13" x14ac:dyDescent="0.15">
      <c r="E824" s="25"/>
      <c r="V824" s="19"/>
      <c r="W824" s="8"/>
    </row>
    <row r="825" spans="5:23" ht="13" x14ac:dyDescent="0.15">
      <c r="E825" s="25"/>
      <c r="V825" s="19"/>
      <c r="W825" s="8"/>
    </row>
    <row r="826" spans="5:23" ht="13" x14ac:dyDescent="0.15">
      <c r="E826" s="25"/>
      <c r="V826" s="19"/>
      <c r="W826" s="8"/>
    </row>
    <row r="827" spans="5:23" ht="13" x14ac:dyDescent="0.15">
      <c r="E827" s="25"/>
      <c r="V827" s="19"/>
      <c r="W827" s="8"/>
    </row>
    <row r="828" spans="5:23" ht="13" x14ac:dyDescent="0.15">
      <c r="E828" s="25"/>
      <c r="V828" s="19"/>
      <c r="W828" s="8"/>
    </row>
    <row r="829" spans="5:23" ht="13" x14ac:dyDescent="0.15">
      <c r="E829" s="25"/>
      <c r="V829" s="19"/>
      <c r="W829" s="8"/>
    </row>
    <row r="830" spans="5:23" ht="13" x14ac:dyDescent="0.15">
      <c r="E830" s="25"/>
      <c r="V830" s="19"/>
      <c r="W830" s="8"/>
    </row>
    <row r="831" spans="5:23" ht="13" x14ac:dyDescent="0.15">
      <c r="E831" s="25"/>
      <c r="V831" s="19"/>
      <c r="W831" s="8"/>
    </row>
    <row r="832" spans="5:23" ht="13" x14ac:dyDescent="0.15">
      <c r="E832" s="25"/>
      <c r="V832" s="19"/>
      <c r="W832" s="8"/>
    </row>
    <row r="833" spans="5:23" ht="13" x14ac:dyDescent="0.15">
      <c r="E833" s="25"/>
      <c r="V833" s="19"/>
      <c r="W833" s="8"/>
    </row>
    <row r="834" spans="5:23" ht="13" x14ac:dyDescent="0.15">
      <c r="E834" s="25"/>
      <c r="V834" s="19"/>
      <c r="W834" s="8"/>
    </row>
    <row r="835" spans="5:23" ht="13" x14ac:dyDescent="0.15">
      <c r="E835" s="25"/>
      <c r="V835" s="19"/>
      <c r="W835" s="8"/>
    </row>
    <row r="836" spans="5:23" ht="13" x14ac:dyDescent="0.15">
      <c r="E836" s="25"/>
      <c r="V836" s="19"/>
      <c r="W836" s="8"/>
    </row>
    <row r="837" spans="5:23" ht="13" x14ac:dyDescent="0.15">
      <c r="E837" s="25"/>
      <c r="V837" s="19"/>
      <c r="W837" s="8"/>
    </row>
    <row r="838" spans="5:23" ht="13" x14ac:dyDescent="0.15">
      <c r="E838" s="25"/>
      <c r="V838" s="19"/>
      <c r="W838" s="8"/>
    </row>
    <row r="839" spans="5:23" ht="13" x14ac:dyDescent="0.15">
      <c r="E839" s="25"/>
      <c r="V839" s="19"/>
      <c r="W839" s="8"/>
    </row>
    <row r="840" spans="5:23" ht="13" x14ac:dyDescent="0.15">
      <c r="E840" s="25"/>
      <c r="V840" s="19"/>
      <c r="W840" s="8"/>
    </row>
    <row r="841" spans="5:23" ht="13" x14ac:dyDescent="0.15">
      <c r="E841" s="25"/>
      <c r="V841" s="19"/>
      <c r="W841" s="8"/>
    </row>
    <row r="842" spans="5:23" ht="13" x14ac:dyDescent="0.15">
      <c r="E842" s="25"/>
      <c r="V842" s="19"/>
      <c r="W842" s="8"/>
    </row>
    <row r="843" spans="5:23" ht="13" x14ac:dyDescent="0.15">
      <c r="E843" s="25"/>
      <c r="V843" s="19"/>
      <c r="W843" s="8"/>
    </row>
    <row r="844" spans="5:23" ht="13" x14ac:dyDescent="0.15">
      <c r="E844" s="25"/>
      <c r="V844" s="19"/>
      <c r="W844" s="8"/>
    </row>
    <row r="845" spans="5:23" ht="13" x14ac:dyDescent="0.15">
      <c r="E845" s="25"/>
      <c r="V845" s="19"/>
      <c r="W845" s="8"/>
    </row>
    <row r="846" spans="5:23" ht="13" x14ac:dyDescent="0.15">
      <c r="E846" s="25"/>
      <c r="V846" s="19"/>
      <c r="W846" s="8"/>
    </row>
    <row r="847" spans="5:23" ht="13" x14ac:dyDescent="0.15">
      <c r="E847" s="25"/>
      <c r="V847" s="19"/>
      <c r="W847" s="8"/>
    </row>
    <row r="848" spans="5:23" ht="13" x14ac:dyDescent="0.15">
      <c r="E848" s="25"/>
      <c r="V848" s="19"/>
      <c r="W848" s="8"/>
    </row>
    <row r="849" spans="5:23" ht="13" x14ac:dyDescent="0.15">
      <c r="E849" s="25"/>
      <c r="V849" s="19"/>
      <c r="W849" s="8"/>
    </row>
    <row r="850" spans="5:23" ht="13" x14ac:dyDescent="0.15">
      <c r="E850" s="25"/>
      <c r="V850" s="19"/>
      <c r="W850" s="8"/>
    </row>
    <row r="851" spans="5:23" ht="13" x14ac:dyDescent="0.15">
      <c r="E851" s="25"/>
      <c r="V851" s="19"/>
      <c r="W851" s="8"/>
    </row>
    <row r="852" spans="5:23" ht="13" x14ac:dyDescent="0.15">
      <c r="E852" s="25"/>
      <c r="V852" s="19"/>
      <c r="W852" s="8"/>
    </row>
    <row r="853" spans="5:23" ht="13" x14ac:dyDescent="0.15">
      <c r="E853" s="25"/>
      <c r="V853" s="19"/>
      <c r="W853" s="8"/>
    </row>
    <row r="854" spans="5:23" ht="13" x14ac:dyDescent="0.15">
      <c r="E854" s="25"/>
      <c r="V854" s="19"/>
      <c r="W854" s="8"/>
    </row>
    <row r="855" spans="5:23" ht="13" x14ac:dyDescent="0.15">
      <c r="E855" s="25"/>
      <c r="V855" s="19"/>
      <c r="W855" s="8"/>
    </row>
    <row r="856" spans="5:23" ht="13" x14ac:dyDescent="0.15">
      <c r="E856" s="25"/>
      <c r="V856" s="19"/>
      <c r="W856" s="8"/>
    </row>
    <row r="857" spans="5:23" ht="13" x14ac:dyDescent="0.15">
      <c r="E857" s="25"/>
      <c r="V857" s="19"/>
      <c r="W857" s="8"/>
    </row>
    <row r="858" spans="5:23" ht="13" x14ac:dyDescent="0.15">
      <c r="E858" s="25"/>
      <c r="V858" s="19"/>
      <c r="W858" s="8"/>
    </row>
    <row r="859" spans="5:23" ht="13" x14ac:dyDescent="0.15">
      <c r="E859" s="25"/>
      <c r="V859" s="19"/>
      <c r="W859" s="8"/>
    </row>
    <row r="860" spans="5:23" ht="13" x14ac:dyDescent="0.15">
      <c r="E860" s="25"/>
      <c r="V860" s="19"/>
      <c r="W860" s="8"/>
    </row>
    <row r="861" spans="5:23" ht="13" x14ac:dyDescent="0.15">
      <c r="E861" s="25"/>
      <c r="V861" s="19"/>
      <c r="W861" s="8"/>
    </row>
    <row r="862" spans="5:23" ht="13" x14ac:dyDescent="0.15">
      <c r="E862" s="25"/>
      <c r="V862" s="19"/>
      <c r="W862" s="8"/>
    </row>
    <row r="863" spans="5:23" ht="13" x14ac:dyDescent="0.15">
      <c r="E863" s="25"/>
      <c r="V863" s="19"/>
      <c r="W863" s="8"/>
    </row>
    <row r="864" spans="5:23" ht="13" x14ac:dyDescent="0.15">
      <c r="E864" s="25"/>
      <c r="V864" s="19"/>
      <c r="W864" s="8"/>
    </row>
    <row r="865" spans="5:23" ht="13" x14ac:dyDescent="0.15">
      <c r="E865" s="25"/>
      <c r="V865" s="19"/>
      <c r="W865" s="8"/>
    </row>
    <row r="866" spans="5:23" ht="13" x14ac:dyDescent="0.15">
      <c r="E866" s="25"/>
      <c r="V866" s="19"/>
      <c r="W866" s="8"/>
    </row>
    <row r="867" spans="5:23" ht="13" x14ac:dyDescent="0.15">
      <c r="E867" s="25"/>
      <c r="V867" s="19"/>
      <c r="W867" s="8"/>
    </row>
    <row r="868" spans="5:23" ht="13" x14ac:dyDescent="0.15">
      <c r="E868" s="25"/>
      <c r="V868" s="19"/>
      <c r="W868" s="8"/>
    </row>
    <row r="869" spans="5:23" ht="13" x14ac:dyDescent="0.15">
      <c r="E869" s="25"/>
      <c r="V869" s="19"/>
      <c r="W869" s="8"/>
    </row>
    <row r="870" spans="5:23" ht="13" x14ac:dyDescent="0.15">
      <c r="E870" s="25"/>
      <c r="V870" s="19"/>
      <c r="W870" s="8"/>
    </row>
    <row r="871" spans="5:23" ht="13" x14ac:dyDescent="0.15">
      <c r="E871" s="25"/>
      <c r="V871" s="19"/>
      <c r="W871" s="8"/>
    </row>
    <row r="872" spans="5:23" ht="13" x14ac:dyDescent="0.15">
      <c r="E872" s="25"/>
      <c r="V872" s="19"/>
      <c r="W872" s="8"/>
    </row>
    <row r="873" spans="5:23" ht="13" x14ac:dyDescent="0.15">
      <c r="E873" s="25"/>
      <c r="V873" s="19"/>
      <c r="W873" s="8"/>
    </row>
    <row r="874" spans="5:23" ht="13" x14ac:dyDescent="0.15">
      <c r="E874" s="25"/>
      <c r="V874" s="19"/>
      <c r="W874" s="8"/>
    </row>
    <row r="875" spans="5:23" ht="13" x14ac:dyDescent="0.15">
      <c r="E875" s="25"/>
      <c r="V875" s="19"/>
      <c r="W875" s="8"/>
    </row>
    <row r="876" spans="5:23" ht="13" x14ac:dyDescent="0.15">
      <c r="E876" s="25"/>
      <c r="V876" s="19"/>
      <c r="W876" s="8"/>
    </row>
    <row r="877" spans="5:23" ht="13" x14ac:dyDescent="0.15">
      <c r="E877" s="25"/>
      <c r="V877" s="19"/>
      <c r="W877" s="8"/>
    </row>
    <row r="878" spans="5:23" ht="13" x14ac:dyDescent="0.15">
      <c r="E878" s="25"/>
      <c r="V878" s="19"/>
      <c r="W878" s="8"/>
    </row>
    <row r="879" spans="5:23" ht="13" x14ac:dyDescent="0.15">
      <c r="E879" s="25"/>
      <c r="V879" s="19"/>
      <c r="W879" s="8"/>
    </row>
    <row r="880" spans="5:23" ht="13" x14ac:dyDescent="0.15">
      <c r="E880" s="25"/>
      <c r="V880" s="19"/>
      <c r="W880" s="8"/>
    </row>
    <row r="881" spans="5:23" ht="13" x14ac:dyDescent="0.15">
      <c r="E881" s="25"/>
      <c r="V881" s="19"/>
      <c r="W881" s="8"/>
    </row>
    <row r="882" spans="5:23" ht="13" x14ac:dyDescent="0.15">
      <c r="E882" s="25"/>
      <c r="V882" s="19"/>
      <c r="W882" s="8"/>
    </row>
    <row r="883" spans="5:23" ht="13" x14ac:dyDescent="0.15">
      <c r="E883" s="25"/>
      <c r="V883" s="19"/>
      <c r="W883" s="8"/>
    </row>
    <row r="884" spans="5:23" ht="13" x14ac:dyDescent="0.15">
      <c r="E884" s="25"/>
      <c r="V884" s="19"/>
      <c r="W884" s="8"/>
    </row>
    <row r="885" spans="5:23" ht="13" x14ac:dyDescent="0.15">
      <c r="E885" s="25"/>
      <c r="V885" s="19"/>
      <c r="W885" s="8"/>
    </row>
    <row r="886" spans="5:23" ht="13" x14ac:dyDescent="0.15">
      <c r="E886" s="25"/>
      <c r="V886" s="19"/>
      <c r="W886" s="8"/>
    </row>
    <row r="887" spans="5:23" ht="13" x14ac:dyDescent="0.15">
      <c r="E887" s="25"/>
      <c r="V887" s="19"/>
      <c r="W887" s="8"/>
    </row>
    <row r="888" spans="5:23" ht="13" x14ac:dyDescent="0.15">
      <c r="E888" s="25"/>
      <c r="V888" s="19"/>
      <c r="W888" s="8"/>
    </row>
    <row r="889" spans="5:23" ht="13" x14ac:dyDescent="0.15">
      <c r="E889" s="25"/>
      <c r="V889" s="19"/>
      <c r="W889" s="8"/>
    </row>
    <row r="890" spans="5:23" ht="13" x14ac:dyDescent="0.15">
      <c r="E890" s="25"/>
      <c r="V890" s="19"/>
      <c r="W890" s="8"/>
    </row>
    <row r="891" spans="5:23" ht="13" x14ac:dyDescent="0.15">
      <c r="E891" s="25"/>
      <c r="V891" s="19"/>
      <c r="W891" s="8"/>
    </row>
    <row r="892" spans="5:23" ht="13" x14ac:dyDescent="0.15">
      <c r="E892" s="25"/>
      <c r="V892" s="19"/>
      <c r="W892" s="8"/>
    </row>
    <row r="893" spans="5:23" ht="13" x14ac:dyDescent="0.15">
      <c r="E893" s="25"/>
      <c r="V893" s="19"/>
      <c r="W893" s="8"/>
    </row>
    <row r="894" spans="5:23" ht="13" x14ac:dyDescent="0.15">
      <c r="E894" s="25"/>
      <c r="V894" s="19"/>
      <c r="W894" s="8"/>
    </row>
    <row r="895" spans="5:23" ht="13" x14ac:dyDescent="0.15">
      <c r="E895" s="25"/>
      <c r="V895" s="19"/>
      <c r="W895" s="8"/>
    </row>
    <row r="896" spans="5:23" ht="13" x14ac:dyDescent="0.15">
      <c r="E896" s="25"/>
      <c r="V896" s="19"/>
      <c r="W896" s="8"/>
    </row>
    <row r="897" spans="5:23" ht="13" x14ac:dyDescent="0.15">
      <c r="E897" s="25"/>
      <c r="V897" s="19"/>
      <c r="W897" s="8"/>
    </row>
    <row r="898" spans="5:23" ht="13" x14ac:dyDescent="0.15">
      <c r="E898" s="25"/>
      <c r="V898" s="19"/>
      <c r="W898" s="8"/>
    </row>
    <row r="899" spans="5:23" ht="13" x14ac:dyDescent="0.15">
      <c r="E899" s="25"/>
      <c r="V899" s="19"/>
      <c r="W899" s="8"/>
    </row>
    <row r="900" spans="5:23" ht="13" x14ac:dyDescent="0.15">
      <c r="E900" s="25"/>
      <c r="V900" s="19"/>
      <c r="W900" s="8"/>
    </row>
    <row r="901" spans="5:23" ht="13" x14ac:dyDescent="0.15">
      <c r="E901" s="25"/>
      <c r="V901" s="19"/>
      <c r="W901" s="8"/>
    </row>
    <row r="902" spans="5:23" ht="13" x14ac:dyDescent="0.15">
      <c r="E902" s="25"/>
      <c r="V902" s="19"/>
      <c r="W902" s="8"/>
    </row>
    <row r="903" spans="5:23" ht="13" x14ac:dyDescent="0.15">
      <c r="E903" s="25"/>
      <c r="V903" s="19"/>
      <c r="W903" s="8"/>
    </row>
    <row r="904" spans="5:23" ht="13" x14ac:dyDescent="0.15">
      <c r="E904" s="25"/>
      <c r="V904" s="19"/>
      <c r="W904" s="8"/>
    </row>
    <row r="905" spans="5:23" ht="13" x14ac:dyDescent="0.15">
      <c r="E905" s="25"/>
      <c r="V905" s="19"/>
      <c r="W905" s="8"/>
    </row>
    <row r="906" spans="5:23" ht="13" x14ac:dyDescent="0.15">
      <c r="E906" s="25"/>
      <c r="V906" s="19"/>
      <c r="W906" s="8"/>
    </row>
    <row r="907" spans="5:23" ht="13" x14ac:dyDescent="0.15">
      <c r="E907" s="25"/>
      <c r="V907" s="19"/>
      <c r="W907" s="8"/>
    </row>
    <row r="908" spans="5:23" ht="13" x14ac:dyDescent="0.15">
      <c r="E908" s="25"/>
      <c r="V908" s="19"/>
      <c r="W908" s="8"/>
    </row>
    <row r="909" spans="5:23" ht="13" x14ac:dyDescent="0.15">
      <c r="E909" s="25"/>
      <c r="V909" s="19"/>
      <c r="W909" s="8"/>
    </row>
    <row r="910" spans="5:23" ht="13" x14ac:dyDescent="0.15">
      <c r="E910" s="25"/>
      <c r="V910" s="19"/>
      <c r="W910" s="8"/>
    </row>
    <row r="911" spans="5:23" ht="13" x14ac:dyDescent="0.15">
      <c r="E911" s="25"/>
      <c r="V911" s="19"/>
      <c r="W911" s="8"/>
    </row>
    <row r="912" spans="5:23" ht="13" x14ac:dyDescent="0.15">
      <c r="E912" s="25"/>
      <c r="V912" s="19"/>
      <c r="W912" s="8"/>
    </row>
    <row r="913" spans="5:23" ht="13" x14ac:dyDescent="0.15">
      <c r="E913" s="25"/>
      <c r="V913" s="19"/>
      <c r="W913" s="8"/>
    </row>
    <row r="914" spans="5:23" ht="13" x14ac:dyDescent="0.15">
      <c r="E914" s="25"/>
      <c r="V914" s="19"/>
      <c r="W914" s="8"/>
    </row>
    <row r="915" spans="5:23" ht="13" x14ac:dyDescent="0.15">
      <c r="E915" s="25"/>
      <c r="V915" s="19"/>
      <c r="W915" s="8"/>
    </row>
    <row r="916" spans="5:23" ht="13" x14ac:dyDescent="0.15">
      <c r="E916" s="25"/>
      <c r="V916" s="19"/>
      <c r="W916" s="8"/>
    </row>
    <row r="917" spans="5:23" ht="13" x14ac:dyDescent="0.15">
      <c r="E917" s="25"/>
      <c r="V917" s="19"/>
      <c r="W917" s="8"/>
    </row>
    <row r="918" spans="5:23" ht="13" x14ac:dyDescent="0.15">
      <c r="E918" s="25"/>
      <c r="V918" s="19"/>
      <c r="W918" s="8"/>
    </row>
    <row r="919" spans="5:23" ht="13" x14ac:dyDescent="0.15">
      <c r="E919" s="25"/>
      <c r="V919" s="19"/>
      <c r="W919" s="8"/>
    </row>
    <row r="920" spans="5:23" ht="13" x14ac:dyDescent="0.15">
      <c r="E920" s="25"/>
      <c r="V920" s="19"/>
      <c r="W920" s="8"/>
    </row>
    <row r="921" spans="5:23" ht="13" x14ac:dyDescent="0.15">
      <c r="E921" s="25"/>
      <c r="V921" s="19"/>
      <c r="W921" s="8"/>
    </row>
    <row r="922" spans="5:23" ht="13" x14ac:dyDescent="0.15">
      <c r="E922" s="25"/>
    </row>
    <row r="923" spans="5:23" ht="13" x14ac:dyDescent="0.15">
      <c r="E923" s="25"/>
    </row>
    <row r="924" spans="5:23" ht="13" x14ac:dyDescent="0.15">
      <c r="E924" s="25"/>
    </row>
    <row r="925" spans="5:23" ht="13" x14ac:dyDescent="0.15">
      <c r="E925" s="25"/>
    </row>
    <row r="926" spans="5:23" ht="13" x14ac:dyDescent="0.15">
      <c r="E926" s="25"/>
    </row>
    <row r="927" spans="5:23" ht="13" x14ac:dyDescent="0.15">
      <c r="E927" s="25"/>
    </row>
    <row r="928" spans="5:23" ht="13" x14ac:dyDescent="0.15">
      <c r="E928" s="25"/>
    </row>
    <row r="929" spans="5:5" ht="13" x14ac:dyDescent="0.15">
      <c r="E929" s="25"/>
    </row>
    <row r="930" spans="5:5" ht="13" x14ac:dyDescent="0.15">
      <c r="E930" s="25"/>
    </row>
    <row r="931" spans="5:5" ht="13" x14ac:dyDescent="0.15">
      <c r="E931" s="25"/>
    </row>
    <row r="932" spans="5:5" ht="13" x14ac:dyDescent="0.15">
      <c r="E932" s="25"/>
    </row>
    <row r="933" spans="5:5" ht="13" x14ac:dyDescent="0.15">
      <c r="E933" s="25"/>
    </row>
    <row r="934" spans="5:5" ht="13" x14ac:dyDescent="0.15">
      <c r="E934" s="25"/>
    </row>
    <row r="935" spans="5:5" ht="13" x14ac:dyDescent="0.15">
      <c r="E935" s="25"/>
    </row>
    <row r="936" spans="5:5" ht="13" x14ac:dyDescent="0.15">
      <c r="E936" s="25"/>
    </row>
    <row r="937" spans="5:5" ht="13" x14ac:dyDescent="0.15">
      <c r="E937" s="25"/>
    </row>
    <row r="938" spans="5:5" ht="13" x14ac:dyDescent="0.15">
      <c r="E938" s="25"/>
    </row>
    <row r="939" spans="5:5" ht="13" x14ac:dyDescent="0.15">
      <c r="E939" s="25"/>
    </row>
    <row r="940" spans="5:5" ht="13" x14ac:dyDescent="0.15">
      <c r="E940" s="25"/>
    </row>
    <row r="941" spans="5:5" ht="13" x14ac:dyDescent="0.15">
      <c r="E941" s="25"/>
    </row>
    <row r="942" spans="5:5" ht="13" x14ac:dyDescent="0.15">
      <c r="E942" s="25"/>
    </row>
    <row r="943" spans="5:5" ht="13" x14ac:dyDescent="0.15">
      <c r="E943" s="25"/>
    </row>
    <row r="944" spans="5:5" ht="13" x14ac:dyDescent="0.15">
      <c r="E944" s="25"/>
    </row>
    <row r="945" spans="5:5" ht="13" x14ac:dyDescent="0.15">
      <c r="E945" s="25"/>
    </row>
    <row r="946" spans="5:5" ht="13" x14ac:dyDescent="0.15">
      <c r="E946" s="25"/>
    </row>
    <row r="947" spans="5:5" ht="13" x14ac:dyDescent="0.15">
      <c r="E947" s="25"/>
    </row>
    <row r="948" spans="5:5" ht="13" x14ac:dyDescent="0.15">
      <c r="E948" s="25"/>
    </row>
    <row r="949" spans="5:5" ht="13" x14ac:dyDescent="0.15">
      <c r="E949" s="25"/>
    </row>
    <row r="950" spans="5:5" ht="13" x14ac:dyDescent="0.15">
      <c r="E950" s="25"/>
    </row>
    <row r="951" spans="5:5" ht="13" x14ac:dyDescent="0.15">
      <c r="E951" s="25"/>
    </row>
    <row r="952" spans="5:5" ht="13" x14ac:dyDescent="0.15">
      <c r="E952" s="25"/>
    </row>
    <row r="953" spans="5:5" ht="13" x14ac:dyDescent="0.15">
      <c r="E953" s="25"/>
    </row>
    <row r="954" spans="5:5" ht="13" x14ac:dyDescent="0.15">
      <c r="E954" s="25"/>
    </row>
    <row r="955" spans="5:5" ht="13" x14ac:dyDescent="0.15">
      <c r="E955" s="25"/>
    </row>
    <row r="956" spans="5:5" ht="13" x14ac:dyDescent="0.15">
      <c r="E956" s="25"/>
    </row>
    <row r="957" spans="5:5" ht="13" x14ac:dyDescent="0.15">
      <c r="E957" s="25"/>
    </row>
    <row r="958" spans="5:5" ht="13" x14ac:dyDescent="0.15">
      <c r="E958" s="25"/>
    </row>
    <row r="959" spans="5:5" ht="13" x14ac:dyDescent="0.15">
      <c r="E959" s="25"/>
    </row>
    <row r="960" spans="5:5" ht="13" x14ac:dyDescent="0.15">
      <c r="E960" s="25"/>
    </row>
    <row r="961" spans="5:5" ht="13" x14ac:dyDescent="0.15">
      <c r="E961" s="25"/>
    </row>
    <row r="962" spans="5:5" ht="13" x14ac:dyDescent="0.15">
      <c r="E962" s="25"/>
    </row>
    <row r="963" spans="5:5" ht="13" x14ac:dyDescent="0.15">
      <c r="E963" s="25"/>
    </row>
    <row r="964" spans="5:5" ht="13" x14ac:dyDescent="0.15">
      <c r="E964" s="25"/>
    </row>
    <row r="965" spans="5:5" ht="13" x14ac:dyDescent="0.15">
      <c r="E965" s="25"/>
    </row>
    <row r="966" spans="5:5" ht="13" x14ac:dyDescent="0.15">
      <c r="E966" s="25"/>
    </row>
    <row r="967" spans="5:5" ht="13" x14ac:dyDescent="0.15">
      <c r="E967" s="25"/>
    </row>
    <row r="968" spans="5:5" ht="13" x14ac:dyDescent="0.15">
      <c r="E968" s="25"/>
    </row>
    <row r="969" spans="5:5" ht="13" x14ac:dyDescent="0.15">
      <c r="E969" s="25"/>
    </row>
    <row r="970" spans="5:5" ht="13" x14ac:dyDescent="0.15">
      <c r="E970" s="25"/>
    </row>
    <row r="971" spans="5:5" ht="13" x14ac:dyDescent="0.15">
      <c r="E971" s="25"/>
    </row>
    <row r="972" spans="5:5" ht="13" x14ac:dyDescent="0.15">
      <c r="E972" s="25"/>
    </row>
    <row r="973" spans="5:5" ht="13" x14ac:dyDescent="0.15">
      <c r="E973" s="25"/>
    </row>
    <row r="974" spans="5:5" ht="13" x14ac:dyDescent="0.15">
      <c r="E974" s="25"/>
    </row>
    <row r="975" spans="5:5" ht="13" x14ac:dyDescent="0.15">
      <c r="E975" s="25"/>
    </row>
    <row r="976" spans="5:5" ht="13" x14ac:dyDescent="0.15">
      <c r="E976" s="25"/>
    </row>
    <row r="977" spans="5:5" ht="13" x14ac:dyDescent="0.15">
      <c r="E977" s="25"/>
    </row>
    <row r="978" spans="5:5" ht="13" x14ac:dyDescent="0.15">
      <c r="E978" s="25"/>
    </row>
    <row r="979" spans="5:5" ht="13" x14ac:dyDescent="0.15">
      <c r="E979" s="25"/>
    </row>
    <row r="980" spans="5:5" ht="13" x14ac:dyDescent="0.15">
      <c r="E980" s="25"/>
    </row>
    <row r="981" spans="5:5" ht="13" x14ac:dyDescent="0.15">
      <c r="E981" s="25"/>
    </row>
    <row r="982" spans="5:5" ht="13" x14ac:dyDescent="0.15">
      <c r="E982" s="25"/>
    </row>
    <row r="983" spans="5:5" ht="13" x14ac:dyDescent="0.15">
      <c r="E983" s="25"/>
    </row>
    <row r="984" spans="5:5" ht="13" x14ac:dyDescent="0.15">
      <c r="E984" s="25"/>
    </row>
    <row r="985" spans="5:5" ht="13" x14ac:dyDescent="0.15">
      <c r="E985" s="25"/>
    </row>
    <row r="986" spans="5:5" ht="13" x14ac:dyDescent="0.15">
      <c r="E986" s="25"/>
    </row>
    <row r="987" spans="5:5" ht="13" x14ac:dyDescent="0.15">
      <c r="E987" s="25"/>
    </row>
    <row r="988" spans="5:5" ht="13" x14ac:dyDescent="0.15">
      <c r="E988" s="25"/>
    </row>
    <row r="989" spans="5:5" ht="13" x14ac:dyDescent="0.15">
      <c r="E989" s="25"/>
    </row>
    <row r="990" spans="5:5" ht="13" x14ac:dyDescent="0.15">
      <c r="E990" s="25"/>
    </row>
    <row r="991" spans="5:5" ht="13" x14ac:dyDescent="0.15">
      <c r="E991" s="25"/>
    </row>
    <row r="992" spans="5:5" ht="13" x14ac:dyDescent="0.15">
      <c r="E992" s="25"/>
    </row>
    <row r="993" spans="5:5" ht="13" x14ac:dyDescent="0.15">
      <c r="E993" s="25"/>
    </row>
    <row r="994" spans="5:5" ht="13" x14ac:dyDescent="0.15">
      <c r="E994" s="25"/>
    </row>
    <row r="995" spans="5:5" ht="13" x14ac:dyDescent="0.15">
      <c r="E995" s="25"/>
    </row>
    <row r="996" spans="5:5" ht="13" x14ac:dyDescent="0.15">
      <c r="E996" s="25"/>
    </row>
    <row r="997" spans="5:5" ht="13" x14ac:dyDescent="0.15">
      <c r="E997" s="25"/>
    </row>
    <row r="998" spans="5:5" ht="13" x14ac:dyDescent="0.15">
      <c r="E998" s="25"/>
    </row>
    <row r="999" spans="5:5" ht="13" x14ac:dyDescent="0.15">
      <c r="E999" s="25"/>
    </row>
    <row r="1000" spans="5:5" ht="13" x14ac:dyDescent="0.15">
      <c r="E1000" s="25"/>
    </row>
  </sheetData>
  <conditionalFormatting sqref="A8:A1000">
    <cfRule type="notContainsBlanks" dxfId="0" priority="1">
      <formula>LEN(TRIM(A8))&gt;0</formula>
    </cfRule>
  </conditionalFormatting>
  <hyperlinks>
    <hyperlink ref="M9" r:id="rId1" display="https://finance.yahoo.com/quote/AAPL/?p=AAPL" xr:uid="{00000000-0004-0000-0700-000000000000}"/>
    <hyperlink ref="M10" r:id="rId2" display="https://finance.yahoo.com/quote/TSLA/?p=TSLA" xr:uid="{00000000-0004-0000-0700-000001000000}"/>
    <hyperlink ref="M11" r:id="rId3" display="https://finance.yahoo.com/quote/TSLA/?p=TSLA" xr:uid="{00000000-0004-0000-0700-000002000000}"/>
    <hyperlink ref="M12" r:id="rId4" display="https://finance.yahoo.com/quote/GC=F/?p=GC=F" xr:uid="{00000000-0004-0000-0700-000003000000}"/>
    <hyperlink ref="M13" r:id="rId5" display="https://finance.yahoo.com/quote/CL=F/?p=CL=F" xr:uid="{00000000-0004-0000-0700-000004000000}"/>
    <hyperlink ref="M14" r:id="rId6" display="https://finance.yahoo.com/quote/SI=F/?p=SI=F" xr:uid="{00000000-0004-0000-0700-000005000000}"/>
    <hyperlink ref="M15" r:id="rId7" display="https://finance.yahoo.com/quote/OXY/?p=OXY" xr:uid="{00000000-0004-0000-0700-000006000000}"/>
    <hyperlink ref="M16" r:id="rId8" display="https://finance.yahoo.com/quote/ABBV/?p=ABBV" xr:uid="{00000000-0004-0000-0700-000007000000}"/>
    <hyperlink ref="M17" r:id="rId9" display="https://finance.yahoo.com/quote/AAPL/?p=AAPL" xr:uid="{00000000-0004-0000-0700-000008000000}"/>
    <hyperlink ref="M18" r:id="rId10" display="https://finance.yahoo.com/quote/MSFT/?p=MSFT" xr:uid="{00000000-0004-0000-0700-000009000000}"/>
    <hyperlink ref="M19" r:id="rId11" display="https://finance.yahoo.com/quote/AMZN/?p=AMZN" xr:uid="{00000000-0004-0000-0700-00000A000000}"/>
    <hyperlink ref="M20" r:id="rId12" display="https://finance.yahoo.com/quote/%5ECMC200/?p=%5ECMC200" xr:uid="{00000000-0004-0000-0700-00000B000000}"/>
    <hyperlink ref="M21" r:id="rId13" display="https://finance.yahoo.com/quote/SHOP/?p=SHOP" xr:uid="{00000000-0004-0000-0700-00000C000000}"/>
    <hyperlink ref="M22" r:id="rId14" display="https://finance.yahoo.com/quote/%5EN225/?p=%5EN225" xr:uid="{00000000-0004-0000-0700-00000D000000}"/>
    <hyperlink ref="M23" r:id="rId15" display="https://finance.yahoo.com/quote/PFE/?p=PFE" xr:uid="{00000000-0004-0000-0700-00000E000000}"/>
    <hyperlink ref="M24" r:id="rId16" display="https://finance.yahoo.com/quote/LUNA1-USD/?p=LUNA1-USD" xr:uid="{00000000-0004-0000-0700-00000F000000}"/>
    <hyperlink ref="M25" r:id="rId17" display="https://finance.yahoo.com/quote/NFLX/?p=NFLX" xr:uid="{00000000-0004-0000-0700-000010000000}"/>
    <hyperlink ref="M26" r:id="rId18" display="https://finance.yahoo.com/quote/NVDA/?p=NVDA" xr:uid="{00000000-0004-0000-0700-000011000000}"/>
    <hyperlink ref="M27" r:id="rId19" display="https://finance.yahoo.com/quote/CL=F/?p=CL=F" xr:uid="{00000000-0004-0000-0700-000012000000}"/>
    <hyperlink ref="M28" r:id="rId20" display="https://finance.yahoo.com/quote/NKE/?p=NKE" xr:uid="{00000000-0004-0000-0700-000013000000}"/>
    <hyperlink ref="M29" r:id="rId21" display="https://finance.yahoo.com/quote/DIDI/?p=DIDI" xr:uid="{00000000-0004-0000-0700-000014000000}"/>
    <hyperlink ref="D30" r:id="rId22" display="http://0700.hk/" xr:uid="{00000000-0004-0000-0700-000015000000}"/>
    <hyperlink ref="M30" r:id="rId23" display="https://finance.yahoo.com/quote/0700.HK/?p=0700.HK" xr:uid="{00000000-0004-0000-0700-000016000000}"/>
    <hyperlink ref="M31" r:id="rId24" display="https://finance.yahoo.com/quote/GOOG/?p=GOOG" xr:uid="{00000000-0004-0000-0700-000017000000}"/>
    <hyperlink ref="M32" r:id="rId25" display="https://finance.yahoo.com/quote/FB/?p=FB" xr:uid="{00000000-0004-0000-0700-000018000000}"/>
    <hyperlink ref="M33" r:id="rId26" display="https://finance.yahoo.com/quote/MSFT/?p=MSFT" xr:uid="{00000000-0004-0000-0700-000019000000}"/>
    <hyperlink ref="M34" r:id="rId27" display="https://finance.yahoo.com/quote/TSLA/?p=TSLA" xr:uid="{00000000-0004-0000-0700-00001A000000}"/>
    <hyperlink ref="M35" r:id="rId28" display="https://finance.yahoo.com/quote/F/?p=F" xr:uid="{00000000-0004-0000-0700-00001B000000}"/>
    <hyperlink ref="M36" r:id="rId29" display="https://finance.yahoo.com/quote/BA/?p=BA" xr:uid="{00000000-0004-0000-0700-00001C000000}"/>
    <hyperlink ref="M37" r:id="rId30" display="https://finance.yahoo.com/quote/MMM/?p=MMM" xr:uid="{00000000-0004-0000-0700-00001D000000}"/>
    <hyperlink ref="M38" r:id="rId31" display="https://finance.yahoo.com/quote/AMC/?p=AMC" xr:uid="{00000000-0004-0000-0700-00001E000000}"/>
    <hyperlink ref="M39" r:id="rId32" display="https://finance.yahoo.com/quote/MSFT/?p=MSFT" xr:uid="{00000000-0004-0000-0700-00001F000000}"/>
    <hyperlink ref="M40" r:id="rId33" display="https://finance.yahoo.com/quote/FB/?p=FB" xr:uid="{00000000-0004-0000-0700-000020000000}"/>
    <hyperlink ref="M41" r:id="rId34" display="https://finance.yahoo.com/quote/GOOG/?p=GOOG" xr:uid="{00000000-0004-0000-0700-000021000000}"/>
    <hyperlink ref="M42" r:id="rId35" display="https://finance.yahoo.com/quote/TSLA/?p=TSLA" xr:uid="{00000000-0004-0000-0700-000022000000}"/>
    <hyperlink ref="M43" r:id="rId36" display="https://finance.yahoo.com/quote/F/?p=F" xr:uid="{00000000-0004-0000-0700-000023000000}"/>
    <hyperlink ref="M44" r:id="rId37" display="https://finance.yahoo.com/quote/BA/?p=BA" xr:uid="{00000000-0004-0000-0700-000024000000}"/>
    <hyperlink ref="M45" r:id="rId38" display="https://finance.yahoo.com/quote/BRK-B/?p=BRK-B" xr:uid="{00000000-0004-0000-0700-000025000000}"/>
    <hyperlink ref="M46" r:id="rId39" display="https://finance.yahoo.com/quote/OXY/?p=OXY" xr:uid="{00000000-0004-0000-0700-000026000000}"/>
    <hyperlink ref="M47" r:id="rId40" display="https://finance.yahoo.com/quote/PFE/?p=PFE" xr:uid="{00000000-0004-0000-0700-000027000000}"/>
    <hyperlink ref="M48" r:id="rId41" display="https://finance.yahoo.com/quote/GOOG/?p=GOOG" xr:uid="{00000000-0004-0000-0700-000028000000}"/>
    <hyperlink ref="M53" r:id="rId42" display="https://finance.yahoo.com/quote/005930.KS/?p=005930.KS" xr:uid="{00000000-0004-0000-0700-000029000000}"/>
    <hyperlink ref="M54" r:id="rId43" display="https://finance.yahoo.com/quote/XLK/?p=XLK" xr:uid="{00000000-0004-0000-0700-00002A000000}"/>
    <hyperlink ref="M55" r:id="rId44" display="https://finance.yahoo.com/quote/XLK/?p=XLK" xr:uid="{00000000-0004-0000-0700-00002B000000}"/>
    <hyperlink ref="M56" r:id="rId45" display="https://finance.yahoo.com/quote/XLRE/?p=XLRE" xr:uid="{00000000-0004-0000-0700-00002C000000}"/>
    <hyperlink ref="M57" r:id="rId46" display="https://finance.yahoo.com/quote/XLU/?p=XLU" xr:uid="{00000000-0004-0000-0700-00002D000000}"/>
    <hyperlink ref="M58" r:id="rId47" display="https://finance.yahoo.com/quote/XLP/?p=XLP" xr:uid="{00000000-0004-0000-0700-00002E000000}"/>
    <hyperlink ref="M59" r:id="rId48" display="https://finance.yahoo.com/quote/XLE/?p=XLE" xr:uid="{00000000-0004-0000-0700-00002F000000}"/>
    <hyperlink ref="M60" r:id="rId49" display="https://finance.yahoo.com/quote/XLF/?p=XLF" xr:uid="{00000000-0004-0000-0700-000030000000}"/>
    <hyperlink ref="M61" r:id="rId50" display="https://finance.yahoo.com/quote/XLB/?p=XLB" xr:uid="{00000000-0004-0000-0700-000031000000}"/>
    <hyperlink ref="M62" r:id="rId51" display="https://finance.yahoo.com/quote/XLY/?p=XLY" xr:uid="{00000000-0004-0000-0700-000032000000}"/>
    <hyperlink ref="M63" r:id="rId52" display="https://finance.yahoo.com/quote/XLC/?p=XLC" xr:uid="{00000000-0004-0000-0700-000033000000}"/>
    <hyperlink ref="M64" r:id="rId53" display="https://finance.yahoo.com/quote/XLK/?p=XLK" xr:uid="{00000000-0004-0000-0700-000034000000}"/>
    <hyperlink ref="M65" r:id="rId54" display="https://finance.yahoo.com/quote/XLI/?p=XLI" xr:uid="{00000000-0004-0000-0700-000035000000}"/>
    <hyperlink ref="M66" r:id="rId55" display="https://finance.yahoo.com/quote/XLV/?p=XLV" xr:uid="{00000000-0004-0000-0700-000036000000}"/>
    <hyperlink ref="M67" r:id="rId56" display="https://finance.yahoo.com/quote/XLV/?p=XLV" xr:uid="{00000000-0004-0000-0700-000037000000}"/>
    <hyperlink ref="M69" r:id="rId57" display="https://finance.yahoo.com/quote/TSLA/?p=TSLA" xr:uid="{00000000-0004-0000-0700-000038000000}"/>
    <hyperlink ref="M70" r:id="rId58" display="https://finance.yahoo.com/quote/TSLA/?p=TSLA" xr:uid="{00000000-0004-0000-0700-000039000000}"/>
    <hyperlink ref="M71" r:id="rId59" display="https://finance.yahoo.com/quote/ANPDY/?p=ANPDY" xr:uid="{00000000-0004-0000-0700-00003A000000}"/>
    <hyperlink ref="M72" r:id="rId60" display="https://finance.yahoo.com/quote/GOLD/?p=GOLD" xr:uid="{00000000-0004-0000-0700-00003B000000}"/>
    <hyperlink ref="M73" r:id="rId61" display="https://finance.yahoo.com/quote/GOLD/?p=GOLD" xr:uid="{00000000-0004-0000-0700-00003C000000}"/>
    <hyperlink ref="M74" r:id="rId62" display="https://finance.yahoo.com/quote/TSLA/?p=TSLA" xr:uid="{00000000-0004-0000-0700-00003D000000}"/>
    <hyperlink ref="M75" r:id="rId63" display="https://finance.yahoo.com/quote/ANPDY/?p=ANPDY" xr:uid="{00000000-0004-0000-0700-00003E000000}"/>
    <hyperlink ref="M76" r:id="rId64" display="https://finance.yahoo.com/quote/TSLA/?p=TSLA" xr:uid="{00000000-0004-0000-0700-00003F000000}"/>
    <hyperlink ref="M82" r:id="rId65" display="https://finance.yahoo.com/quote/VYGLX/?p=VYGLX" xr:uid="{00000000-0004-0000-0700-000040000000}"/>
    <hyperlink ref="M83" r:id="rId66" display="https://www.bondsupermart.com/bsm/general-search/US023135AN60" xr:uid="{00000000-0004-0000-0700-000041000000}"/>
    <hyperlink ref="M84" r:id="rId67" display="https://finance.yahoo.com/quote/AAPL/?p=AAPL" xr:uid="{00000000-0004-0000-0700-000042000000}"/>
    <hyperlink ref="M85" r:id="rId68" display="https://finance.yahoo.com/quote/WMT/?p=WMT" xr:uid="{00000000-0004-0000-0700-000043000000}"/>
    <hyperlink ref="M86" r:id="rId69" display="https://finance.yahoo.com/quote/WMT/?p=WMT" xr:uid="{00000000-0004-0000-0700-000044000000}"/>
    <hyperlink ref="M87" r:id="rId70" display="https://finance.yahoo.com/quote/AAPL/?p=AAPL" xr:uid="{00000000-0004-0000-0700-000045000000}"/>
    <hyperlink ref="M92" r:id="rId71" display="https://finance.yahoo.com/quote/NVDA/?p=NVDA" xr:uid="{00000000-0004-0000-0700-000046000000}"/>
    <hyperlink ref="M93" r:id="rId72" display="https://finance.yahoo.com/quote/SONY/?p=SONY" xr:uid="{00000000-0004-0000-0700-000047000000}"/>
    <hyperlink ref="M94" r:id="rId73" display="https://finance.yahoo.com/quote/ATVI/?p=ATVI" xr:uid="{00000000-0004-0000-0700-000048000000}"/>
    <hyperlink ref="M95" r:id="rId74" display="https://finance.yahoo.com/quote/tcehy/?p=tcehy" xr:uid="{00000000-0004-0000-0700-000049000000}"/>
    <hyperlink ref="M97" r:id="rId75" display="https://finance.yahoo.com/quote/BA/?p=BA" xr:uid="{00000000-0004-0000-0700-00004A000000}"/>
    <hyperlink ref="D99" r:id="rId76" display="http://2318.hk/" xr:uid="{00000000-0004-0000-0700-00004B000000}"/>
    <hyperlink ref="M99" r:id="rId77" display="https://finance.yahoo.com/quote/2318.hk/?p=2318.hk" xr:uid="{00000000-0004-0000-0700-00004C000000}"/>
    <hyperlink ref="D100" r:id="rId78" display="http://0346.hk/" xr:uid="{00000000-0004-0000-0700-00004D000000}"/>
    <hyperlink ref="M100" r:id="rId79" display="https://finance.yahoo.com/quote/0346.hk/?p=0346.hk" xr:uid="{00000000-0004-0000-0700-00004E000000}"/>
    <hyperlink ref="D101" r:id="rId80" display="http://2607.hk/" xr:uid="{00000000-0004-0000-0700-00004F000000}"/>
    <hyperlink ref="M101" r:id="rId81" display="https://finance.yahoo.com/quote/2607.hk/?p=2607.hk" xr:uid="{00000000-0004-0000-0700-000050000000}"/>
    <hyperlink ref="D103" r:id="rId82" display="http://0700.hk/" xr:uid="{00000000-0004-0000-0700-000051000000}"/>
    <hyperlink ref="M103" r:id="rId83" display="https://finance.yahoo.com/quote/0700.HK/?p=0700.HK" xr:uid="{00000000-0004-0000-0700-000052000000}"/>
    <hyperlink ref="M104" r:id="rId84" display="https://finance.yahoo.com/quote/TSLA/?p=TSLA" xr:uid="{00000000-0004-0000-0700-000053000000}"/>
    <hyperlink ref="M105" r:id="rId85" display="https://finance.yahoo.com/quote/CL=F/?p=CL=F" xr:uid="{00000000-0004-0000-0700-000054000000}"/>
    <hyperlink ref="M106" r:id="rId86" display="https://finance.yahoo.com/quote/TSLA/?p=TSLA" xr:uid="{00000000-0004-0000-0700-000055000000}"/>
    <hyperlink ref="D107" r:id="rId87" display="http://0700.hk/" xr:uid="{00000000-0004-0000-0700-000056000000}"/>
    <hyperlink ref="M107" r:id="rId88" display="https://finance.yahoo.com/quote/0700.HK/?p=0700.HK" xr:uid="{00000000-0004-0000-0700-000057000000}"/>
    <hyperlink ref="M111" r:id="rId89" display="https://finance.yahoo.com/quote/FB/?p=FB" xr:uid="{00000000-0004-0000-0700-000058000000}"/>
    <hyperlink ref="M112" r:id="rId90" display="https://finance.yahoo.com/quote/FB/?p=FB" xr:uid="{00000000-0004-0000-0700-000059000000}"/>
    <hyperlink ref="M113" r:id="rId91" display="https://finance.yahoo.com/quote/BMBL/?p=BMBL" xr:uid="{00000000-0004-0000-0700-00005A000000}"/>
    <hyperlink ref="M114" r:id="rId92" display="https://finance.yahoo.com/quote/NUSI/?p=NUSI" xr:uid="{00000000-0004-0000-0700-00005B000000}"/>
    <hyperlink ref="D115" r:id="rId93" display="http://0388.hk/" xr:uid="{00000000-0004-0000-0700-00005C000000}"/>
    <hyperlink ref="M115" r:id="rId94" display="https://finance.yahoo.com/quote/0388.HK/?p=0388.HK" xr:uid="{00000000-0004-0000-0700-00005D000000}"/>
    <hyperlink ref="M117" r:id="rId95" display="https://finance.yahoo.com/quote/TME/?p=TME" xr:uid="{00000000-0004-0000-0700-00005E000000}"/>
    <hyperlink ref="M118" r:id="rId96" display="https://finance.yahoo.com/quote/BNTX/?p=BNTX" xr:uid="{00000000-0004-0000-0700-00005F000000}"/>
    <hyperlink ref="M119" r:id="rId97" display="https://finance.yahoo.com/quote/BNTX/?p=BNTX" xr:uid="{00000000-0004-0000-0700-000060000000}"/>
    <hyperlink ref="M120" r:id="rId98" display="https://finance.yahoo.com/quote/DVN/?p=DVN" xr:uid="{00000000-0004-0000-0700-000061000000}"/>
    <hyperlink ref="M121" r:id="rId99" display="https://finance.yahoo.com/quote/CL=F/?p=CL=F" xr:uid="{00000000-0004-0000-0700-000062000000}"/>
    <hyperlink ref="M123" r:id="rId100" display="https://finance.yahoo.com/quote/TSLA/?p=TSLA" xr:uid="{00000000-0004-0000-0700-000063000000}"/>
    <hyperlink ref="M124" r:id="rId101" display="https://finance.yahoo.com/quote/TSLA/?p=TSLA" xr:uid="{00000000-0004-0000-0700-000064000000}"/>
    <hyperlink ref="M125" r:id="rId102" display="https://finance.yahoo.com/quote/ANPDY/?p=ANPDY" xr:uid="{00000000-0004-0000-0700-000065000000}"/>
    <hyperlink ref="M126" r:id="rId103" display="https://finance.yahoo.com/quote/GOLD/?p=GOLD" xr:uid="{00000000-0004-0000-0700-000066000000}"/>
    <hyperlink ref="M127" r:id="rId104" display="https://finance.yahoo.com/quote/GOLD/?p=GOLD" xr:uid="{00000000-0004-0000-0700-000067000000}"/>
    <hyperlink ref="M128" r:id="rId105" display="https://finance.yahoo.com/quote/TSLA/?p=TSLA" xr:uid="{00000000-0004-0000-0700-000068000000}"/>
    <hyperlink ref="M129" r:id="rId106" display="https://finance.yahoo.com/quote/ANPDY/?p=ANPDY" xr:uid="{00000000-0004-0000-0700-000069000000}"/>
    <hyperlink ref="M130" r:id="rId107" display="https://finance.yahoo.com/quote/TSLA/?p=TSLA" xr:uid="{00000000-0004-0000-0700-00006A000000}"/>
    <hyperlink ref="D133" r:id="rId108" display="http://1109.hk/" xr:uid="{00000000-0004-0000-0700-00006B000000}"/>
    <hyperlink ref="M133" r:id="rId109" display="https://finance.yahoo.com/quote/1109.HK/?p=1109.HK" xr:uid="{00000000-0004-0000-0700-00006C000000}"/>
    <hyperlink ref="D134" r:id="rId110" display="http://1109.hk/" xr:uid="{00000000-0004-0000-0700-00006D000000}"/>
    <hyperlink ref="M134" r:id="rId111" display="https://finance.yahoo.com/quote/1109.HK/?p=1109.HK" xr:uid="{00000000-0004-0000-0700-00006E000000}"/>
    <hyperlink ref="D136" r:id="rId112" display="http://0700.hk/" xr:uid="{00000000-0004-0000-0700-00006F000000}"/>
    <hyperlink ref="M136" r:id="rId113" display="https://finance.yahoo.com/quote/0700.hk/?p=0700.hk" xr:uid="{00000000-0004-0000-0700-000070000000}"/>
    <hyperlink ref="D137" r:id="rId114" display="http://0700.hk/" xr:uid="{00000000-0004-0000-0700-000071000000}"/>
    <hyperlink ref="M137" r:id="rId115" display="https://finance.yahoo.com/quote/0700.HK/?p=0700.HK" xr:uid="{00000000-0004-0000-0700-000072000000}"/>
    <hyperlink ref="M139" r:id="rId116" display="https://finance.yahoo.com/quote/SOFI/?p=SOFI" xr:uid="{00000000-0004-0000-0700-000073000000}"/>
    <hyperlink ref="D140" r:id="rId117" display="http://9626.hk/" xr:uid="{00000000-0004-0000-0700-000074000000}"/>
    <hyperlink ref="M140" r:id="rId118" display="https://finance.yahoo.com/quote/9626.HK/?p=9626.HK" xr:uid="{00000000-0004-0000-0700-000075000000}"/>
    <hyperlink ref="D141" r:id="rId119" display="http://9888.hk/" xr:uid="{00000000-0004-0000-0700-000076000000}"/>
    <hyperlink ref="M141" r:id="rId120" display="https://finance.yahoo.com/quote/9888.HK/?p=9888.HK" xr:uid="{00000000-0004-0000-0700-000077000000}"/>
    <hyperlink ref="D142" r:id="rId121" display="http://9626.hk/" xr:uid="{00000000-0004-0000-0700-000078000000}"/>
    <hyperlink ref="M142" r:id="rId122" display="https://finance.yahoo.com/quote/9626.HK/?p=9626.HK" xr:uid="{00000000-0004-0000-0700-000079000000}"/>
    <hyperlink ref="D143" r:id="rId123" display="http://9988.hk/" xr:uid="{00000000-0004-0000-0700-00007A000000}"/>
    <hyperlink ref="M143" r:id="rId124" display="https://finance.yahoo.com/quote/9988.HK/?p=9988.HK" xr:uid="{00000000-0004-0000-0700-00007B000000}"/>
    <hyperlink ref="M144" r:id="rId125" display="https://finance.yahoo.com/quote/TSLA/?p=TSLA" xr:uid="{00000000-0004-0000-0700-00007C000000}"/>
    <hyperlink ref="D150" r:id="rId126" display="http://1810.hk/" xr:uid="{00000000-0004-0000-0700-00007D000000}"/>
    <hyperlink ref="M150" r:id="rId127" display="https://finance.yahoo.com/quote/1810.HK/?p=1810.HK" xr:uid="{00000000-0004-0000-0700-00007E000000}"/>
    <hyperlink ref="D151" r:id="rId128" display="http://9988.hk/" xr:uid="{00000000-0004-0000-0700-00007F000000}"/>
    <hyperlink ref="M151" r:id="rId129" display="https://finance.yahoo.com/quote/9988.HK/?p=9988.HK" xr:uid="{00000000-0004-0000-0700-000080000000}"/>
    <hyperlink ref="D152" r:id="rId130" display="http://1024.hk/" xr:uid="{00000000-0004-0000-0700-000081000000}"/>
    <hyperlink ref="M152" r:id="rId131" display="https://finance.yahoo.com/quote/1024.HK/?p=1024.HK" xr:uid="{00000000-0004-0000-0700-000082000000}"/>
    <hyperlink ref="D153" r:id="rId132" display="http://1810.hk/" xr:uid="{00000000-0004-0000-0700-000083000000}"/>
    <hyperlink ref="M153" r:id="rId133" display="https://finance.yahoo.com/quote/1810.HK/?p=1810.HK" xr:uid="{00000000-0004-0000-0700-000084000000}"/>
    <hyperlink ref="D154" r:id="rId134" display="http://9988.hk/" xr:uid="{00000000-0004-0000-0700-000085000000}"/>
    <hyperlink ref="M154" r:id="rId135" display="https://finance.yahoo.com/quote/9988.Hk/?p=9988.Hk" xr:uid="{00000000-0004-0000-0700-000086000000}"/>
    <hyperlink ref="D155" r:id="rId136" display="http://1024.hk/" xr:uid="{00000000-0004-0000-0700-000087000000}"/>
    <hyperlink ref="M155" r:id="rId137" display="https://finance.yahoo.com/quote/1024.HK/?p=1024.HK" xr:uid="{00000000-0004-0000-0700-000088000000}"/>
    <hyperlink ref="D156" r:id="rId138" display="http://1810.hk/" xr:uid="{00000000-0004-0000-0700-000089000000}"/>
    <hyperlink ref="M156" r:id="rId139" display="https://finance.yahoo.com/quote/1810.HK/?p=1810.HK" xr:uid="{00000000-0004-0000-0700-00008A000000}"/>
    <hyperlink ref="D157" r:id="rId140" display="http://6680.hk/" xr:uid="{00000000-0004-0000-0700-00008B000000}"/>
    <hyperlink ref="M157" r:id="rId141" display="https://finance.yahoo.com/quote/6680.HK/?p=6680.HK" xr:uid="{00000000-0004-0000-0700-00008C000000}"/>
    <hyperlink ref="D158" r:id="rId142" display="http://9988.hk/" xr:uid="{00000000-0004-0000-0700-00008D000000}"/>
    <hyperlink ref="M158" r:id="rId143" display="https://finance.yahoo.com/quote/9988.HK/?p=9988.HK" xr:uid="{00000000-0004-0000-0700-00008E000000}"/>
    <hyperlink ref="D159" r:id="rId144" display="http://1024.hk/" xr:uid="{00000000-0004-0000-0700-00008F000000}"/>
    <hyperlink ref="M159" r:id="rId145" display="https://finance.yahoo.com/quote/1024.HK/?p=1024.HK" xr:uid="{00000000-0004-0000-0700-000090000000}"/>
    <hyperlink ref="D160" r:id="rId146" display="http://1810.hk/" xr:uid="{00000000-0004-0000-0700-000091000000}"/>
    <hyperlink ref="M160" r:id="rId147" display="https://finance.yahoo.com/quote/1810.HK/?p=1810.HK" xr:uid="{00000000-0004-0000-0700-000092000000}"/>
    <hyperlink ref="D161" r:id="rId148" display="http://1024.hk/" xr:uid="{00000000-0004-0000-0700-000093000000}"/>
    <hyperlink ref="M161" r:id="rId149" display="https://finance.yahoo.com/quote/1024.HK/?p=1024.HK" xr:uid="{00000000-0004-0000-0700-000094000000}"/>
    <hyperlink ref="D162" r:id="rId150" display="http://1024.hk/" xr:uid="{00000000-0004-0000-0700-000095000000}"/>
    <hyperlink ref="M162" r:id="rId151" display="https://finance.yahoo.com/quote/1024.HK/?p=1024.HK" xr:uid="{00000000-0004-0000-0700-000096000000}"/>
    <hyperlink ref="D163" r:id="rId152" display="http://1024.hk/" xr:uid="{00000000-0004-0000-0700-000097000000}"/>
    <hyperlink ref="M163" r:id="rId153" display="https://finance.yahoo.com/quote/1024.HK/?p=1024.HK" xr:uid="{00000000-0004-0000-0700-000098000000}"/>
    <hyperlink ref="D164" r:id="rId154" display="http://1024.hk/" xr:uid="{00000000-0004-0000-0700-000099000000}"/>
    <hyperlink ref="M164" r:id="rId155" display="https://finance.yahoo.com/quote/1024.HK/?p=1024.HK" xr:uid="{00000000-0004-0000-0700-00009A000000}"/>
    <hyperlink ref="D165" r:id="rId156" display="http://9988.hk/" xr:uid="{00000000-0004-0000-0700-00009B000000}"/>
    <hyperlink ref="M165" r:id="rId157" display="https://finance.yahoo.com/quote/9988.HK/?p=9988.HK" xr:uid="{00000000-0004-0000-0700-00009C000000}"/>
    <hyperlink ref="D166" r:id="rId158" display="http://6680.hk/" xr:uid="{00000000-0004-0000-0700-00009D000000}"/>
    <hyperlink ref="M166" r:id="rId159" display="https://finance.yahoo.com/quote/6680.HK/?p=6680.HK" xr:uid="{00000000-0004-0000-0700-00009E000000}"/>
    <hyperlink ref="D167" r:id="rId160" display="http://1024.hk/" xr:uid="{00000000-0004-0000-0700-00009F000000}"/>
    <hyperlink ref="M167" r:id="rId161" display="https://finance.yahoo.com/quote/1024.HK/?p=1024.HK" xr:uid="{00000000-0004-0000-0700-0000A0000000}"/>
    <hyperlink ref="D168" r:id="rId162" display="http://9988.hk/" xr:uid="{00000000-0004-0000-0700-0000A1000000}"/>
    <hyperlink ref="M168" r:id="rId163" display="https://finance.yahoo.com/quote/9988.HK/?p=9988.HK" xr:uid="{00000000-0004-0000-0700-0000A2000000}"/>
    <hyperlink ref="D169" r:id="rId164" display="http://9988.hk/" xr:uid="{00000000-0004-0000-0700-0000A3000000}"/>
    <hyperlink ref="M169" r:id="rId165" display="https://finance.yahoo.com/quote/9988.HK/?p=9988.HK" xr:uid="{00000000-0004-0000-0700-0000A4000000}"/>
    <hyperlink ref="D170" r:id="rId166" display="http://6862.hk/" xr:uid="{00000000-0004-0000-0700-0000A5000000}"/>
    <hyperlink ref="M170" r:id="rId167" display="https://finance.yahoo.com/quote/6862.HK/?p=6862.HK" xr:uid="{00000000-0004-0000-0700-0000A6000000}"/>
    <hyperlink ref="D171" r:id="rId168" display="http://600519.ss/" xr:uid="{00000000-0004-0000-0700-0000A7000000}"/>
    <hyperlink ref="M171" r:id="rId169" display="https://finance.yahoo.com/quote/600519.SS/?p=600519.SS" xr:uid="{00000000-0004-0000-0700-0000A8000000}"/>
    <hyperlink ref="M172" r:id="rId170" display="https://finance.yahoo.com/quote/XLV/?p=XLV" xr:uid="{00000000-0004-0000-0700-0000A9000000}"/>
    <hyperlink ref="D173" r:id="rId171" display="http://1810.hk/" xr:uid="{00000000-0004-0000-0700-0000AA000000}"/>
    <hyperlink ref="M173" r:id="rId172" display="https://finance.yahoo.com/quote/1810.HK/?p=1810.HK" xr:uid="{00000000-0004-0000-0700-0000AB000000}"/>
    <hyperlink ref="D174" r:id="rId173" display="http://9988.hk/" xr:uid="{00000000-0004-0000-0700-0000AC000000}"/>
    <hyperlink ref="M174" r:id="rId174" display="https://finance.yahoo.com/quote/9988.HK/?p=9988.HK" xr:uid="{00000000-0004-0000-0700-0000AD000000}"/>
    <hyperlink ref="D175" r:id="rId175" display="http://600519.ss/" xr:uid="{00000000-0004-0000-0700-0000AE000000}"/>
    <hyperlink ref="M175" r:id="rId176" display="https://finance.yahoo.com/quote/600519.SS/?p=600519.SS" xr:uid="{00000000-0004-0000-0700-0000AF000000}"/>
    <hyperlink ref="M176" r:id="rId177" display="https://finance.yahoo.com/quote/XLV/?p=XLV" xr:uid="{00000000-0004-0000-0700-0000B0000000}"/>
    <hyperlink ref="M179" r:id="rId178" display="https://finance.yahoo.com/quote/PFE/?p=PFE" xr:uid="{00000000-0004-0000-0700-0000B1000000}"/>
    <hyperlink ref="M180" r:id="rId179" display="https://finance.yahoo.com/quote/PFE/?p=PFE" xr:uid="{00000000-0004-0000-0700-0000B2000000}"/>
    <hyperlink ref="M181" r:id="rId180" display="https://finance.yahoo.com/quote/NVAX/?p=NVAX" xr:uid="{00000000-0004-0000-0700-0000B3000000}"/>
    <hyperlink ref="D182" r:id="rId181" display="http://603939.ss/" xr:uid="{00000000-0004-0000-0700-0000B4000000}"/>
    <hyperlink ref="M182" r:id="rId182" display="https://finance.yahoo.com/quote/603939.SS/?p=603939.SS" xr:uid="{00000000-0004-0000-0700-0000B5000000}"/>
    <hyperlink ref="D183" r:id="rId183" display="http://603392.ss/" xr:uid="{00000000-0004-0000-0700-0000B6000000}"/>
    <hyperlink ref="M183" r:id="rId184" display="https://finance.yahoo.com/quote/603392.SS/?p=603392.SS" xr:uid="{00000000-0004-0000-0700-0000B7000000}"/>
    <hyperlink ref="M186" r:id="rId185" display="https://finance.yahoo.com/quote/BZ=F/?p=BZ=F" xr:uid="{00000000-0004-0000-0700-0000B8000000}"/>
    <hyperlink ref="M187" r:id="rId186" display="https://finance.yahoo.com/quote/AAPL/?p=AAPL" xr:uid="{00000000-0004-0000-0700-0000B9000000}"/>
    <hyperlink ref="D188" r:id="rId187" display="http://3988.hk/" xr:uid="{00000000-0004-0000-0700-0000BA000000}"/>
    <hyperlink ref="M188" r:id="rId188" display="https://finance.yahoo.com/quote/3988.HK/?p=3988.HK" xr:uid="{00000000-0004-0000-0700-0000BB000000}"/>
    <hyperlink ref="M189" r:id="rId189" display="https://finance.yahoo.com/quote/JPM/?p=JPM" xr:uid="{00000000-0004-0000-0700-0000BC000000}"/>
    <hyperlink ref="M191" r:id="rId190" display="https://finance.yahoo.com/quote/ANTM/?p=ANTM" xr:uid="{00000000-0004-0000-0700-0000BD000000}"/>
    <hyperlink ref="M192" r:id="rId191" display="https://finance.yahoo.com/quote/NKE/?p=NKE" xr:uid="{00000000-0004-0000-0700-0000BE000000}"/>
    <hyperlink ref="M193" r:id="rId192" display="https://finance.yahoo.com/quote/NKE/?p=NKE" xr:uid="{00000000-0004-0000-0700-0000BF000000}"/>
    <hyperlink ref="M194" r:id="rId193" display="https://finance.yahoo.com/quote/UNP/?p=UNP" xr:uid="{00000000-0004-0000-0700-0000C0000000}"/>
    <hyperlink ref="M195" r:id="rId194" display="https://finance.yahoo.com/quote/UNH/?p=UNH" xr:uid="{00000000-0004-0000-0700-0000C1000000}"/>
    <hyperlink ref="D197" r:id="rId195" display="http://0700.hk/" xr:uid="{00000000-0004-0000-0700-0000C2000000}"/>
    <hyperlink ref="M197" r:id="rId196" display="https://finance.yahoo.com/quote/0700.HK/?p=0700.HK" xr:uid="{00000000-0004-0000-0700-0000C3000000}"/>
    <hyperlink ref="D198" r:id="rId197" display="http://600519.ss/" xr:uid="{00000000-0004-0000-0700-0000C4000000}"/>
    <hyperlink ref="M198" r:id="rId198" display="https://finance.yahoo.com/quote/600519.SS/?p=600519.SS" xr:uid="{00000000-0004-0000-0700-0000C5000000}"/>
    <hyperlink ref="D202" r:id="rId199" display="http://0700.hk/" xr:uid="{00000000-0004-0000-0700-0000C6000000}"/>
    <hyperlink ref="M202" r:id="rId200" display="https://finance.yahoo.com/quote/0700.HK/?p=0700.HK" xr:uid="{00000000-0004-0000-0700-0000C7000000}"/>
    <hyperlink ref="M205" r:id="rId201" display="https://finance.yahoo.com/quote/AMZN/?p=AMZN" xr:uid="{00000000-0004-0000-0700-0000C8000000}"/>
    <hyperlink ref="M206" r:id="rId202" display="https://finance.yahoo.com/quote/GOOG/?p=GOOG" xr:uid="{00000000-0004-0000-0700-0000C9000000}"/>
    <hyperlink ref="M208" r:id="rId203" display="https://finance.yahoo.com/quote/GOOG/?p=GOOG" xr:uid="{00000000-0004-0000-0700-0000CA000000}"/>
    <hyperlink ref="M209" r:id="rId204" display="https://finance.yahoo.com/quote/BABA/?p=BABA" xr:uid="{00000000-0004-0000-0700-0000CB000000}"/>
    <hyperlink ref="M210" r:id="rId205" display="https://finance.yahoo.com/quote/CL=F/?p=CL=F" xr:uid="{00000000-0004-0000-0700-0000CC000000}"/>
    <hyperlink ref="M211" r:id="rId206" display="https://finance.yahoo.com/quote/AMZN/?p=AMZN" xr:uid="{00000000-0004-0000-0700-0000CD000000}"/>
    <hyperlink ref="M212" r:id="rId207" display="https://finance.yahoo.com/quote/BABA/?p=BABA" xr:uid="{00000000-0004-0000-0700-0000CE000000}"/>
    <hyperlink ref="D213" r:id="rId208" display="http://0070.hk/" xr:uid="{00000000-0004-0000-0700-0000CF000000}"/>
    <hyperlink ref="M213" r:id="rId209" display="https://finance.yahoo.com/quote/0070.HK/?p=0070.HK" xr:uid="{00000000-0004-0000-0700-0000D0000000}"/>
    <hyperlink ref="M214" r:id="rId210" display="https://finance.yahoo.com/quote/BABA/?p=BABA" xr:uid="{00000000-0004-0000-0700-0000D1000000}"/>
    <hyperlink ref="D215" r:id="rId211" display="http://0700.hk/" xr:uid="{00000000-0004-0000-0700-0000D2000000}"/>
    <hyperlink ref="M215" r:id="rId212" display="https://finance.yahoo.com/quote/0700.HK/?p=0700.HK" xr:uid="{00000000-0004-0000-0700-0000D3000000}"/>
    <hyperlink ref="M216" r:id="rId213" display="https://finance.yahoo.com/quote/BABA/?p=BABA" xr:uid="{00000000-0004-0000-0700-0000D4000000}"/>
    <hyperlink ref="D217" r:id="rId214" display="http://0700.hk/" xr:uid="{00000000-0004-0000-0700-0000D5000000}"/>
    <hyperlink ref="M217" r:id="rId215" display="https://finance.yahoo.com/quote/0700.HK/?p=0700.HK" xr:uid="{00000000-0004-0000-0700-0000D6000000}"/>
    <hyperlink ref="M218" r:id="rId216" display="https://finance.yahoo.com/quote/BABA/?p=BABA" xr:uid="{00000000-0004-0000-0700-0000D7000000}"/>
    <hyperlink ref="M219" r:id="rId217" display="https://finance.yahoo.com/quote/AMZN/?p=AMZN" xr:uid="{00000000-0004-0000-0700-0000D8000000}"/>
    <hyperlink ref="M220" r:id="rId218" display="https://finance.yahoo.com/quote/GC=F/?p=GC=F" xr:uid="{00000000-0004-0000-0700-0000D9000000}"/>
    <hyperlink ref="D221" r:id="rId219" display="http://0700.hk/" xr:uid="{00000000-0004-0000-0700-0000DA000000}"/>
    <hyperlink ref="M221" r:id="rId220" display="https://finance.yahoo.com/quote/0700.HK/?p=0700.HK" xr:uid="{00000000-0004-0000-0700-0000DB000000}"/>
    <hyperlink ref="M222" r:id="rId221" display="https://finance.yahoo.com/quote/AMZN/?p=AMZN" xr:uid="{00000000-0004-0000-0700-0000DC000000}"/>
    <hyperlink ref="M223" r:id="rId222" display="https://finance.yahoo.com/quote/AAPL/?p=AAPL" xr:uid="{00000000-0004-0000-0700-0000DD000000}"/>
    <hyperlink ref="M224" r:id="rId223" display="https://finance.yahoo.com/quote/BABA/?p=BABA" xr:uid="{00000000-0004-0000-0700-0000DE000000}"/>
    <hyperlink ref="D225" r:id="rId224" display="http://0700.hk/" xr:uid="{00000000-0004-0000-0700-0000DF000000}"/>
    <hyperlink ref="M225" r:id="rId225" display="https://finance.yahoo.com/quote/0700.HK/?p=0700.HK" xr:uid="{00000000-0004-0000-0700-0000E0000000}"/>
    <hyperlink ref="M226" r:id="rId226" display="https://finance.yahoo.com/quote/AMZN/?p=AMZN" xr:uid="{00000000-0004-0000-0700-0000E1000000}"/>
    <hyperlink ref="M228" r:id="rId227" display="https://finance.yahoo.com/quote/MSFT/?p=MSFT" xr:uid="{00000000-0004-0000-0700-0000E2000000}"/>
    <hyperlink ref="D229" r:id="rId228" display="http://ubi.pa/" xr:uid="{00000000-0004-0000-0700-0000E3000000}"/>
    <hyperlink ref="M229" r:id="rId229" display="https://finance.yahoo.com/quote/UBI.PA/?p=UBI.PA" xr:uid="{00000000-0004-0000-0700-0000E4000000}"/>
    <hyperlink ref="M230" r:id="rId230" display="https://finance.yahoo.com/quote/NVDA/?p=NVDA" xr:uid="{00000000-0004-0000-0700-0000E5000000}"/>
    <hyperlink ref="M231" r:id="rId231" display="https://finance.yahoo.com/quote/SONY/?p=SONY" xr:uid="{00000000-0004-0000-0700-0000E6000000}"/>
    <hyperlink ref="M232" r:id="rId232" display="https://finance.yahoo.com/quote/NTDOY/?p=NTDOY" xr:uid="{00000000-0004-0000-0700-0000E7000000}"/>
    <hyperlink ref="M235" r:id="rId233" display="https://finance.yahoo.com/quote/TSLA/?p=TSLA" xr:uid="{00000000-0004-0000-0700-0000E8000000}"/>
    <hyperlink ref="M236" r:id="rId234" display="https://finance.yahoo.com/quote/TSLA/?p=TSLA" xr:uid="{00000000-0004-0000-0700-0000E9000000}"/>
    <hyperlink ref="M237" r:id="rId235" display="https://finance.yahoo.com/quote/ANPDY/?p=ANPDY" xr:uid="{00000000-0004-0000-0700-0000EA000000}"/>
    <hyperlink ref="M238" r:id="rId236" display="https://finance.yahoo.com/quote/GOLD/?p=GOLD" xr:uid="{00000000-0004-0000-0700-0000EB000000}"/>
    <hyperlink ref="M239" r:id="rId237" display="https://finance.yahoo.com/quote/GOLD/?p=GOLD" xr:uid="{00000000-0004-0000-0700-0000EC000000}"/>
    <hyperlink ref="M240" r:id="rId238" display="https://finance.yahoo.com/quote/TSLA/?p=TSLA" xr:uid="{00000000-0004-0000-0700-0000ED000000}"/>
    <hyperlink ref="M241" r:id="rId239" display="https://finance.yahoo.com/quote/ANPDY/?p=ANPDY" xr:uid="{00000000-0004-0000-0700-0000EE000000}"/>
    <hyperlink ref="M242" r:id="rId240" display="https://finance.yahoo.com/quote/TSLA/?p=TSLA" xr:uid="{00000000-0004-0000-0700-0000EF000000}"/>
    <hyperlink ref="M245" r:id="rId241" display="https://finance.yahoo.com/quote/AEP/?p=AEP" xr:uid="{00000000-0004-0000-0700-0000F0000000}"/>
    <hyperlink ref="D247" r:id="rId242" display="http://3800.hk/" xr:uid="{00000000-0004-0000-0700-0000F1000000}"/>
    <hyperlink ref="M247" r:id="rId243" display="https://finance.yahoo.com/quote/3800.hk/?p=3800.hk" xr:uid="{00000000-0004-0000-0700-0000F2000000}"/>
    <hyperlink ref="D248" r:id="rId244" display="http://1208.hk/" xr:uid="{00000000-0004-0000-0700-0000F3000000}"/>
    <hyperlink ref="M248" r:id="rId245" display="https://finance.yahoo.com/quote/1208.HK/?p=1208.HK" xr:uid="{00000000-0004-0000-0700-0000F4000000}"/>
    <hyperlink ref="D249" r:id="rId246" display="http://3800.hk/" xr:uid="{00000000-0004-0000-0700-0000F5000000}"/>
    <hyperlink ref="M249" r:id="rId247" display="https://finance.yahoo.com/quote/3800.HK/?p=3800.HK" xr:uid="{00000000-0004-0000-0700-0000F6000000}"/>
    <hyperlink ref="D250" r:id="rId248" display="http://3800.hk/" xr:uid="{00000000-0004-0000-0700-0000F7000000}"/>
    <hyperlink ref="M250" r:id="rId249" display="https://finance.yahoo.com/quote/3800.HK/?p=3800.HK" xr:uid="{00000000-0004-0000-0700-0000F8000000}"/>
    <hyperlink ref="D251" r:id="rId250" display="http://3800.hk/" xr:uid="{00000000-0004-0000-0700-0000F9000000}"/>
    <hyperlink ref="M251" r:id="rId251" display="https://finance.yahoo.com/quote/3800.HK/?p=3800.HK" xr:uid="{00000000-0004-0000-0700-0000FA000000}"/>
    <hyperlink ref="D252" r:id="rId252" display="http://3315.hk/" xr:uid="{00000000-0004-0000-0700-0000FB000000}"/>
    <hyperlink ref="M252" r:id="rId253" display="https://finance.yahoo.com/quote/3315.HK/?p=3315.HK" xr:uid="{00000000-0004-0000-0700-0000FC000000}"/>
    <hyperlink ref="M255" r:id="rId254" display="https://finance.yahoo.com/quote/TSLA/?p=TSLA" xr:uid="{00000000-0004-0000-0700-0000FD000000}"/>
    <hyperlink ref="M256" r:id="rId255" display="https://finance.yahoo.com/quote/DIS/?p=DIS" xr:uid="{00000000-0004-0000-0700-0000FE000000}"/>
    <hyperlink ref="M257" r:id="rId256" display="https://finance.yahoo.com/quote/DIS/?p=DIS" xr:uid="{00000000-0004-0000-0700-0000FF000000}"/>
    <hyperlink ref="M258" r:id="rId257" display="https://finance.yahoo.com/quote/TSLA/?p=TSLA" xr:uid="{00000000-0004-0000-0700-000000010000}"/>
    <hyperlink ref="M259" r:id="rId258" display="https://finance.yahoo.com/quote/RIVN/?p=RIVN" xr:uid="{00000000-0004-0000-0700-000001010000}"/>
    <hyperlink ref="M260" r:id="rId259" display="https://finance.yahoo.com/quote/RIVN/?p=RIVN" xr:uid="{00000000-0004-0000-0700-000002010000}"/>
    <hyperlink ref="M261" r:id="rId260" display="https://finance.yahoo.com/quote/TSLA/?p=TSLA" xr:uid="{00000000-0004-0000-0700-000003010000}"/>
    <hyperlink ref="M262" r:id="rId261" display="https://finance.yahoo.com/quote/DIS/?p=DIS" xr:uid="{00000000-0004-0000-0700-000004010000}"/>
    <hyperlink ref="M263" r:id="rId262" display="https://finance.yahoo.com/quote/TSLA/?p=TSLA" xr:uid="{00000000-0004-0000-0700-000005010000}"/>
    <hyperlink ref="M264" r:id="rId263" display="https://finance.yahoo.com/quote/TSLA/?p=TSLA" xr:uid="{00000000-0004-0000-0700-000006010000}"/>
    <hyperlink ref="D265" r:id="rId264" display="http://9988.hk/" xr:uid="{00000000-0004-0000-0700-000007010000}"/>
    <hyperlink ref="M265" r:id="rId265" display="https://finance.yahoo.com/quote/9988.HK/?p=9988.HK" xr:uid="{00000000-0004-0000-0700-000008010000}"/>
    <hyperlink ref="M268" r:id="rId266" display="https://finance.yahoo.com/quote/DIS/?p=DIS" xr:uid="{00000000-0004-0000-0700-000009010000}"/>
    <hyperlink ref="M269" r:id="rId267" display="https://finance.yahoo.com/quote/DIS/?p=DIS" xr:uid="{00000000-0004-0000-0700-00000A010000}"/>
    <hyperlink ref="M270" r:id="rId268" display="https://finance.yahoo.com/quote/DIS/?p=DIS" xr:uid="{00000000-0004-0000-0700-00000B010000}"/>
    <hyperlink ref="M271" r:id="rId269" display="https://www.bondsupermart.com/bsm/general-search/US88032XAE40" xr:uid="{00000000-0004-0000-0700-00000C010000}"/>
    <hyperlink ref="D273" r:id="rId270" display="http://2020.hk/" xr:uid="{00000000-0004-0000-0700-00000D010000}"/>
    <hyperlink ref="M273" r:id="rId271" display="https://finance.yahoo.com/quote/2020.HK/?p=2020.HK" xr:uid="{00000000-0004-0000-0700-00000E010000}"/>
    <hyperlink ref="D274" r:id="rId272" display="http://2020.hk/" xr:uid="{00000000-0004-0000-0700-00000F010000}"/>
    <hyperlink ref="M274" r:id="rId273" display="https://finance.yahoo.com/quote/2020.HK/?p=2020.HK" xr:uid="{00000000-0004-0000-0700-000010010000}"/>
    <hyperlink ref="M275" r:id="rId274" display="https://finance.yahoo.com/quote/TSLA/?p=TSLA" xr:uid="{00000000-0004-0000-0700-000011010000}"/>
    <hyperlink ref="D276" r:id="rId275" display="http://6049.hk/" xr:uid="{00000000-0004-0000-0700-000012010000}"/>
    <hyperlink ref="M276" r:id="rId276" display="https://finance.yahoo.com/quote/6049.HK/?p=6049.HK" xr:uid="{00000000-0004-0000-0700-000013010000}"/>
    <hyperlink ref="M278" r:id="rId277" display="https://finance.yahoo.com/quote/AAPL/?p=AAPL" xr:uid="{00000000-0004-0000-0700-000014010000}"/>
    <hyperlink ref="M279" r:id="rId278" display="https://finance.yahoo.com/quote/LMT/?p=LMT" xr:uid="{00000000-0004-0000-0700-000015010000}"/>
    <hyperlink ref="M280" r:id="rId279" display="https://finance.yahoo.com/quote/ABNB/?p=ABNB" xr:uid="{00000000-0004-0000-0700-000016010000}"/>
    <hyperlink ref="M281" r:id="rId280" display="https://finance.yahoo.com/quote/AAPL/?p=AAPL" xr:uid="{00000000-0004-0000-0700-000017010000}"/>
    <hyperlink ref="M282" r:id="rId281" display="https://finance.yahoo.com/quote/BA/?p=BA" xr:uid="{00000000-0004-0000-0700-000018010000}"/>
    <hyperlink ref="M284" r:id="rId282" display="https://finance.yahoo.com/quote/TSLA/?p=TSLA" xr:uid="{00000000-0004-0000-0700-000019010000}"/>
    <hyperlink ref="M285" r:id="rId283" display="https://finance.yahoo.com/quote/TSLA/?p=TSLA" xr:uid="{00000000-0004-0000-0700-00001A010000}"/>
    <hyperlink ref="M286" r:id="rId284" display="https://finance.yahoo.com/quote/LVMHF/?p=LVMHF" xr:uid="{00000000-0004-0000-0700-00001B010000}"/>
    <hyperlink ref="M287" r:id="rId285" display="https://finance.yahoo.com/quote/DIS/?p=DIS" xr:uid="{00000000-0004-0000-0700-00001C010000}"/>
    <hyperlink ref="D288" r:id="rId286" display="http://2222.sr/" xr:uid="{00000000-0004-0000-0700-00001D010000}"/>
    <hyperlink ref="M288" r:id="rId287" display="https://finance.yahoo.com/quote/2222.SR/?p=2222.SR" xr:uid="{00000000-0004-0000-0700-00001E010000}"/>
    <hyperlink ref="D289" r:id="rId288" display="http://2222.sr/" xr:uid="{00000000-0004-0000-0700-00001F010000}"/>
    <hyperlink ref="M289" r:id="rId289" display="https://finance.yahoo.com/quote/2222.SR/?p=2222.SR" xr:uid="{00000000-0004-0000-0700-000020010000}"/>
    <hyperlink ref="M290" r:id="rId290" display="https://finance.yahoo.com/quote/GOLD/?p=GOLD" xr:uid="{00000000-0004-0000-0700-000021010000}"/>
    <hyperlink ref="D294" r:id="rId291" display="http://0700.hk/" xr:uid="{00000000-0004-0000-0700-000022010000}"/>
    <hyperlink ref="M294" r:id="rId292" display="https://finance.yahoo.com/quote/0700.HK/?p=0700.HK" xr:uid="{00000000-0004-0000-0700-000023010000}"/>
    <hyperlink ref="D295" r:id="rId293" display="http://0700.hk/" xr:uid="{00000000-0004-0000-0700-000024010000}"/>
    <hyperlink ref="M295" r:id="rId294" display="https://finance.yahoo.com/quote/0700.hk/?p=0700.hk" xr:uid="{00000000-0004-0000-0700-000025010000}"/>
    <hyperlink ref="M305" r:id="rId295" display="https://finance.yahoo.com/quote/FB/?p=FB" xr:uid="{00000000-0004-0000-0700-000026010000}"/>
    <hyperlink ref="D306" r:id="rId296" display="http://0883.hk/" xr:uid="{00000000-0004-0000-0700-000027010000}"/>
    <hyperlink ref="M306" r:id="rId297" display="https://finance.yahoo.com/quote/0883.HK/?p=0883.HK" xr:uid="{00000000-0004-0000-0700-000028010000}"/>
    <hyperlink ref="M307" r:id="rId298" display="https://finance.yahoo.com/quote/FB/?p=FB" xr:uid="{00000000-0004-0000-0700-000029010000}"/>
    <hyperlink ref="M308" r:id="rId299" display="https://finance.yahoo.com/quote/BTC-USD/?p=BTC-USD" xr:uid="{00000000-0004-0000-0700-00002A010000}"/>
    <hyperlink ref="M309" r:id="rId300" display="https://finance.yahoo.com/quote/NFLX/?p=NFLX" xr:uid="{00000000-0004-0000-0700-00002B010000}"/>
    <hyperlink ref="M310" r:id="rId301" display="https://finance.yahoo.com/quote/MCD/?p=MCD" xr:uid="{00000000-0004-0000-0700-00002C010000}"/>
    <hyperlink ref="M311" r:id="rId302" display="https://finance.yahoo.com/quote/TSLA/?p=TSLA" xr:uid="{00000000-0004-0000-0700-00002D010000}"/>
    <hyperlink ref="M312" r:id="rId303" display="https://finance.yahoo.com/quote/BTC-USD/?p=BTC-USD" xr:uid="{00000000-0004-0000-0700-00002E010000}"/>
    <hyperlink ref="D313" r:id="rId304" display="http://0883.hk/" xr:uid="{00000000-0004-0000-0700-00002F010000}"/>
    <hyperlink ref="M313" r:id="rId305" display="https://finance.yahoo.com/quote/0883.hk/?p=0883.hk" xr:uid="{00000000-0004-0000-0700-000030010000}"/>
    <hyperlink ref="M314" r:id="rId306" display="https://finance.yahoo.com/quote/GOOG/?p=GOOG" xr:uid="{00000000-0004-0000-0700-000031010000}"/>
    <hyperlink ref="M315" r:id="rId307" display="https://finance.yahoo.com/quote/RBLX/?p=RBLX" xr:uid="{00000000-0004-0000-0700-000032010000}"/>
    <hyperlink ref="M316" r:id="rId308" display="https://finance.yahoo.com/quote/BTC-USD/?p=BTC-USD" xr:uid="{00000000-0004-0000-0700-000033010000}"/>
    <hyperlink ref="D317" r:id="rId309" display="http://6969.hk/" xr:uid="{00000000-0004-0000-0700-000034010000}"/>
    <hyperlink ref="M317" r:id="rId310" display="https://finance.yahoo.com/quote/6969.HK/?p=6969.HK" xr:uid="{00000000-0004-0000-0700-000035010000}"/>
    <hyperlink ref="M318" r:id="rId311" display="https://finance.yahoo.com/quote/TSLA/?p=TSLA" xr:uid="{00000000-0004-0000-0700-000036010000}"/>
    <hyperlink ref="M319" r:id="rId312" display="https://finance.yahoo.com/quote/YINN/?p=YINN" xr:uid="{00000000-0004-0000-0700-000037010000}"/>
    <hyperlink ref="M320" r:id="rId313" display="https://finance.yahoo.com/quote/AMZN/?p=AMZN" xr:uid="{00000000-0004-0000-0700-000038010000}"/>
    <hyperlink ref="M321" r:id="rId314" display="https://finance.yahoo.com/quote/NFLX/?p=NFLX" xr:uid="{00000000-0004-0000-0700-000039010000}"/>
    <hyperlink ref="D322" r:id="rId315" display="http://9988.hk/" xr:uid="{00000000-0004-0000-0700-00003A010000}"/>
    <hyperlink ref="M322" r:id="rId316" display="https://finance.yahoo.com/quote/9988.HK/?p=9988.HK" xr:uid="{00000000-0004-0000-0700-00003B010000}"/>
    <hyperlink ref="M323" r:id="rId317" display="https://finance.yahoo.com/quote/GC=F/?p=GC=F" xr:uid="{00000000-0004-0000-0700-00003C010000}"/>
    <hyperlink ref="M326" r:id="rId318" display="https://finance.yahoo.com/quote/BAC/?p=BAC" xr:uid="{00000000-0004-0000-0700-00003D010000}"/>
    <hyperlink ref="M327" r:id="rId319" display="https://finance.yahoo.com/quote/BRK-B/?p=BRK-B" xr:uid="{00000000-0004-0000-0700-00003E010000}"/>
    <hyperlink ref="M328" r:id="rId320" display="https://finance.yahoo.com/quote/BRK-B/?p=BRK-B" xr:uid="{00000000-0004-0000-0700-00003F010000}"/>
    <hyperlink ref="D330" r:id="rId321" display="http://3047.hk/" xr:uid="{00000000-0004-0000-0700-000040010000}"/>
    <hyperlink ref="M330" r:id="rId322" display="https://finance.yahoo.com/quote/3047.HK/?p=3047.HK" xr:uid="{00000000-0004-0000-0700-000041010000}"/>
    <hyperlink ref="D331" r:id="rId323" display="http://9988.hk/" xr:uid="{00000000-0004-0000-0700-000042010000}"/>
    <hyperlink ref="M331" r:id="rId324" display="https://finance.yahoo.com/quote/9988.HK/?p=9988.HK" xr:uid="{00000000-0004-0000-0700-000043010000}"/>
    <hyperlink ref="D332" r:id="rId325" display="http://0941.hk/" xr:uid="{00000000-0004-0000-0700-000044010000}"/>
    <hyperlink ref="M332" r:id="rId326" display="https://finance.yahoo.com/quote/0941.HK/?p=0941.HK" xr:uid="{00000000-0004-0000-0700-000045010000}"/>
    <hyperlink ref="M333" r:id="rId327" display="https://finance.yahoo.com/quote/SARK/?p=SARK" xr:uid="{00000000-0004-0000-0700-000046010000}"/>
    <hyperlink ref="M334" r:id="rId328" display="https://finance.yahoo.com/quote/ARKK/?p=ARKK" xr:uid="{00000000-0004-0000-0700-000047010000}"/>
    <hyperlink ref="M335" r:id="rId329" display="https://finance.yahoo.com/quote/ARKK/?p=ARKK" xr:uid="{00000000-0004-0000-0700-000048010000}"/>
    <hyperlink ref="M336" r:id="rId330" display="https://finance.yahoo.com/quote/SARK/?p=SARK" xr:uid="{00000000-0004-0000-0700-000049010000}"/>
    <hyperlink ref="D337" r:id="rId331" display="http://3047.hk/" xr:uid="{00000000-0004-0000-0700-00004A010000}"/>
    <hyperlink ref="M337" r:id="rId332" display="https://finance.yahoo.com/quote/3047.HK/?p=3047.HK" xr:uid="{00000000-0004-0000-0700-00004B010000}"/>
    <hyperlink ref="D338" r:id="rId333" display="http://9988.hk/" xr:uid="{00000000-0004-0000-0700-00004C010000}"/>
    <hyperlink ref="M338" r:id="rId334" display="https://finance.yahoo.com/quote/9988.HK/?p=9988.HK" xr:uid="{00000000-0004-0000-0700-00004D010000}"/>
    <hyperlink ref="M339" r:id="rId335" display="https://finance.yahoo.com/quote/NET/?p=NET" xr:uid="{00000000-0004-0000-0700-00004E010000}"/>
    <hyperlink ref="D340" r:id="rId336" display="http://9988.hk/" xr:uid="{00000000-0004-0000-0700-00004F010000}"/>
    <hyperlink ref="M340" r:id="rId337" display="https://finance.yahoo.com/quote/9988.HK/?p=9988.HK" xr:uid="{00000000-0004-0000-0700-000050010000}"/>
    <hyperlink ref="M341" r:id="rId338" display="https://finance.yahoo.com/quote/SARK/?p=SARK" xr:uid="{00000000-0004-0000-0700-000051010000}"/>
    <hyperlink ref="M342" r:id="rId339" display="https://finance.yahoo.com/quote/SARK/?p=SARK" xr:uid="{00000000-0004-0000-0700-000052010000}"/>
    <hyperlink ref="M343" r:id="rId340" display="https://finance.yahoo.com/quote/SARK/?p=SARK" xr:uid="{00000000-0004-0000-0700-000053010000}"/>
    <hyperlink ref="D344" r:id="rId341" display="http://9988.hk/" xr:uid="{00000000-0004-0000-0700-000054010000}"/>
    <hyperlink ref="M344" r:id="rId342" display="https://finance.yahoo.com/quote/9988.HK/?p=9988.HK" xr:uid="{00000000-0004-0000-0700-000055010000}"/>
    <hyperlink ref="D345" r:id="rId343" display="http://3047.hk/" xr:uid="{00000000-0004-0000-0700-000056010000}"/>
    <hyperlink ref="M345" r:id="rId344" display="https://finance.yahoo.com/quote/3047.HK/?p=3047.HK" xr:uid="{00000000-0004-0000-0700-000057010000}"/>
    <hyperlink ref="D348" r:id="rId345" display="http://0700.hk/" xr:uid="{00000000-0004-0000-0700-000058010000}"/>
    <hyperlink ref="M348" r:id="rId346" display="https://finance.yahoo.com/quote/0700.HK/?p=0700.HK" xr:uid="{00000000-0004-0000-0700-000059010000}"/>
    <hyperlink ref="D349" r:id="rId347" display="http://0700.hk/" xr:uid="{00000000-0004-0000-0700-00005A010000}"/>
    <hyperlink ref="M349" r:id="rId348" display="https://finance.yahoo.com/quote/0700.HK/?p=0700.HK" xr:uid="{00000000-0004-0000-0700-00005B010000}"/>
    <hyperlink ref="D350" r:id="rId349" display="http://9988.hk/" xr:uid="{00000000-0004-0000-0700-00005C010000}"/>
    <hyperlink ref="M350" r:id="rId350" display="https://finance.yahoo.com/quote/9988.HK/?p=9988.HK" xr:uid="{00000000-0004-0000-0700-00005D010000}"/>
    <hyperlink ref="D351" r:id="rId351" display="http://0700.hk/" xr:uid="{00000000-0004-0000-0700-00005E010000}"/>
    <hyperlink ref="M351" r:id="rId352" display="https://finance.yahoo.com/quote/0700.HK/?p=0700.HK" xr:uid="{00000000-0004-0000-0700-00005F010000}"/>
    <hyperlink ref="D352" r:id="rId353" display="http://9988.hk/" xr:uid="{00000000-0004-0000-0700-000060010000}"/>
    <hyperlink ref="M352" r:id="rId354" display="https://finance.yahoo.com/quote/9988.HK/?p=9988.HK" xr:uid="{00000000-0004-0000-0700-000061010000}"/>
    <hyperlink ref="D353" r:id="rId355" display="http://9988.hk/" xr:uid="{00000000-0004-0000-0700-000062010000}"/>
    <hyperlink ref="M353" r:id="rId356" display="https://finance.yahoo.com/quote/9988.HK/?p=9988.HK" xr:uid="{00000000-0004-0000-0700-000063010000}"/>
    <hyperlink ref="D354" r:id="rId357" display="http://0700.hk/" xr:uid="{00000000-0004-0000-0700-000064010000}"/>
    <hyperlink ref="M354" r:id="rId358" display="https://finance.yahoo.com/quote/0700.HK/?p=0700.HK" xr:uid="{00000000-0004-0000-0700-000065010000}"/>
    <hyperlink ref="D355" r:id="rId359" display="http://1810.hk/" xr:uid="{00000000-0004-0000-0700-000066010000}"/>
    <hyperlink ref="M355" r:id="rId360" display="https://finance.yahoo.com/quote/1810.HK/?p=1810.HK" xr:uid="{00000000-0004-0000-0700-000067010000}"/>
    <hyperlink ref="D356" r:id="rId361" display="http://1299.hk/" xr:uid="{00000000-0004-0000-0700-000068010000}"/>
    <hyperlink ref="M356" r:id="rId362" display="https://finance.yahoo.com/quote/1299.HK/?p=1299.HK" xr:uid="{00000000-0004-0000-0700-000069010000}"/>
    <hyperlink ref="M358" r:id="rId363" display="https://finance.yahoo.com/quote/AAPL/?p=AAPL" xr:uid="{00000000-0004-0000-0700-00006A010000}"/>
    <hyperlink ref="M359" r:id="rId364" display="https://finance.yahoo.com/quote/NFLX/?p=NFLX" xr:uid="{00000000-0004-0000-0700-00006B010000}"/>
    <hyperlink ref="D361" r:id="rId365" display="http://0151.hk/" xr:uid="{00000000-0004-0000-0700-00006C010000}"/>
    <hyperlink ref="M361" r:id="rId366" display="https://finance.yahoo.com/quote/0151.HK/?p=0151.HK" xr:uid="{00000000-0004-0000-0700-00006D010000}"/>
    <hyperlink ref="D362" r:id="rId367" display="http://0001.hk/" xr:uid="{00000000-0004-0000-0700-00006E010000}"/>
    <hyperlink ref="M362" r:id="rId368" display="https://finance.yahoo.com/quote/0001.HK/?p=0001.HK" xr:uid="{00000000-0004-0000-0700-00006F010000}"/>
    <hyperlink ref="D363" r:id="rId369" display="http://0151.hk/" xr:uid="{00000000-0004-0000-0700-000070010000}"/>
    <hyperlink ref="M363" r:id="rId370" display="https://finance.yahoo.com/quote/0151.HK/?p=0151.HK" xr:uid="{00000000-0004-0000-0700-000071010000}"/>
    <hyperlink ref="D364" r:id="rId371" display="http://0151.hk/" xr:uid="{00000000-0004-0000-0700-000072010000}"/>
    <hyperlink ref="M364" r:id="rId372" display="https://finance.yahoo.com/quote/0151.HK/?p=0151.HK" xr:uid="{00000000-0004-0000-0700-000073010000}"/>
    <hyperlink ref="M366" r:id="rId373" display="https://finance.yahoo.com/quote/FSR/?p=FSR" xr:uid="{00000000-0004-0000-0700-000074010000}"/>
    <hyperlink ref="D367" r:id="rId374" display="http://1898.hk/" xr:uid="{00000000-0004-0000-0700-000075010000}"/>
    <hyperlink ref="M367" r:id="rId375" display="https://finance.yahoo.com/quote/1898.HK/?p=1898.HK" xr:uid="{00000000-0004-0000-0700-000076010000}"/>
    <hyperlink ref="D368" r:id="rId376" display="http://9988.hk/" xr:uid="{00000000-0004-0000-0700-000077010000}"/>
    <hyperlink ref="M368" r:id="rId377" display="https://finance.yahoo.com/quote/9988.HK/?p=9988.HK" xr:uid="{00000000-0004-0000-0700-000078010000}"/>
    <hyperlink ref="M370" r:id="rId378" display="https://finance.yahoo.com/quote/AAPL/?p=AAPL" xr:uid="{00000000-0004-0000-0700-000079010000}"/>
    <hyperlink ref="D371" r:id="rId379" display="http://6862.hk/" xr:uid="{00000000-0004-0000-0700-00007A010000}"/>
    <hyperlink ref="M371" r:id="rId380" display="https://finance.yahoo.com/quote/6862.HK/?p=6862.HK" xr:uid="{00000000-0004-0000-0700-00007B010000}"/>
    <hyperlink ref="D372" r:id="rId381" display="http://0700.hk/" xr:uid="{00000000-0004-0000-0700-00007C010000}"/>
    <hyperlink ref="M372" r:id="rId382" display="https://finance.yahoo.com/quote/0700.HK/?p=0700.HK" xr:uid="{00000000-0004-0000-0700-00007D010000}"/>
    <hyperlink ref="D373" r:id="rId383" display="http://0700.hk/" xr:uid="{00000000-0004-0000-0700-00007E010000}"/>
    <hyperlink ref="M373" r:id="rId384" display="https://finance.yahoo.com/quote/0700.HK/?p=0700.HK" xr:uid="{00000000-0004-0000-0700-00007F010000}"/>
    <hyperlink ref="D374" r:id="rId385" display="http://6862.hk/" xr:uid="{00000000-0004-0000-0700-000080010000}"/>
    <hyperlink ref="M374" r:id="rId386" display="https://finance.yahoo.com/quote/6862.HK/?p=6862.HK" xr:uid="{00000000-0004-0000-0700-000081010000}"/>
    <hyperlink ref="M377" r:id="rId387" display="https://finance.yahoo.com/quote/LMT/?p=LMT" xr:uid="{00000000-0004-0000-0700-000082010000}"/>
    <hyperlink ref="M378" r:id="rId388" display="https://finance.yahoo.com/quote/PFE/?p=PFE" xr:uid="{00000000-0004-0000-0700-000083010000}"/>
    <hyperlink ref="D379" r:id="rId389" display="http://3339.hk/" xr:uid="{00000000-0004-0000-0700-000084010000}"/>
    <hyperlink ref="M379" r:id="rId390" display="https://finance.yahoo.com/quote/3339.HK/?p=3339.HK" xr:uid="{00000000-0004-0000-0700-000085010000}"/>
    <hyperlink ref="M380" r:id="rId391" display="https://finance.yahoo.com/quote/PFE/?p=PFE" xr:uid="{00000000-0004-0000-0700-000086010000}"/>
    <hyperlink ref="M381" r:id="rId392" display="https://finance.yahoo.com/quote/SOFI/?p=SOFI" xr:uid="{00000000-0004-0000-0700-000087010000}"/>
    <hyperlink ref="M382" r:id="rId393" display="https://finance.yahoo.com/quote/NFLX/?p=NFLX" xr:uid="{00000000-0004-0000-0700-000088010000}"/>
    <hyperlink ref="M383" r:id="rId394" display="https://finance.yahoo.com/quote/SOFI/?p=SOFI" xr:uid="{00000000-0004-0000-0700-000089010000}"/>
    <hyperlink ref="M384" r:id="rId395" display="https://finance.yahoo.com/quote/LMT/?p=LMT" xr:uid="{00000000-0004-0000-0700-00008A010000}"/>
    <hyperlink ref="D386" r:id="rId396" display="http://2318.hk/" xr:uid="{00000000-0004-0000-0700-00008B010000}"/>
    <hyperlink ref="M386" r:id="rId397" display="https://finance.yahoo.com/quote/2318.HK/?p=2318.HK" xr:uid="{00000000-0004-0000-0700-00008C010000}"/>
    <hyperlink ref="D387" r:id="rId398" display="http://2318.hk/" xr:uid="{00000000-0004-0000-0700-00008D010000}"/>
    <hyperlink ref="M387" r:id="rId399" display="https://finance.yahoo.com/quote/2318.HK/?p=2318.HK" xr:uid="{00000000-0004-0000-0700-00008E010000}"/>
    <hyperlink ref="D391" r:id="rId400" display="http://2333.hk/" xr:uid="{00000000-0004-0000-0700-00008F010000}"/>
    <hyperlink ref="M391" r:id="rId401" display="https://finance.yahoo.com/quote/2333.HK/?p=2333.HK" xr:uid="{00000000-0004-0000-0700-000090010000}"/>
    <hyperlink ref="D392" r:id="rId402" display="http://3339.hk/" xr:uid="{00000000-0004-0000-0700-000091010000}"/>
    <hyperlink ref="M392" r:id="rId403" display="https://finance.yahoo.com/quote/3339.HK/?p=3339.HK" xr:uid="{00000000-0004-0000-0700-000092010000}"/>
    <hyperlink ref="D393" r:id="rId404" display="http://1610.hk/" xr:uid="{00000000-0004-0000-0700-000093010000}"/>
    <hyperlink ref="M393" r:id="rId405" display="https://finance.yahoo.com/quote/1610.HK/?p=1610.HK" xr:uid="{00000000-0004-0000-0700-000094010000}"/>
    <hyperlink ref="D394" r:id="rId406" display="http://1810.hk/" xr:uid="{00000000-0004-0000-0700-000095010000}"/>
    <hyperlink ref="M394" r:id="rId407" display="https://finance.yahoo.com/quote/1810.HK/?p=1810.HK" xr:uid="{00000000-0004-0000-0700-000096010000}"/>
    <hyperlink ref="D395" r:id="rId408" display="http://3339.hk/" xr:uid="{00000000-0004-0000-0700-000097010000}"/>
    <hyperlink ref="M395" r:id="rId409" display="https://finance.yahoo.com/quote/3339.HK/?p=3339.HK" xr:uid="{00000000-0004-0000-0700-000098010000}"/>
    <hyperlink ref="D396" r:id="rId410" display="http://3339.hk/" xr:uid="{00000000-0004-0000-0700-000099010000}"/>
    <hyperlink ref="M396" r:id="rId411" display="https://finance.yahoo.com/quote/3339.HK/?p=3339.HK" xr:uid="{00000000-0004-0000-0700-00009A010000}"/>
    <hyperlink ref="D397" r:id="rId412" display="http://2333.hk/" xr:uid="{00000000-0004-0000-0700-00009B010000}"/>
    <hyperlink ref="M397" r:id="rId413" display="https://finance.yahoo.com/quote/2333.HK/?p=2333.HK" xr:uid="{00000000-0004-0000-0700-00009C010000}"/>
    <hyperlink ref="D398" r:id="rId414" display="http://1810.hk/" xr:uid="{00000000-0004-0000-0700-00009D010000}"/>
    <hyperlink ref="M398" r:id="rId415" display="https://finance.yahoo.com/quote/1810.HK/?p=1810.HK" xr:uid="{00000000-0004-0000-0700-00009E010000}"/>
    <hyperlink ref="D399" r:id="rId416" display="http://2333.hk/" xr:uid="{00000000-0004-0000-0700-00009F010000}"/>
    <hyperlink ref="M399" r:id="rId417" display="https://finance.yahoo.com/quote/2333.HK/?p=2333.HK" xr:uid="{00000000-0004-0000-0700-0000A0010000}"/>
    <hyperlink ref="D400" r:id="rId418" display="http://0175.hk/" xr:uid="{00000000-0004-0000-0700-0000A1010000}"/>
    <hyperlink ref="M400" r:id="rId419" display="https://finance.yahoo.com/quote/0175.HK/?p=0175.HK" xr:uid="{00000000-0004-0000-0700-0000A2010000}"/>
    <hyperlink ref="M404" r:id="rId420" display="https://finance.yahoo.com/quote/TSLA/?p=TSLA" xr:uid="{00000000-0004-0000-0700-0000A3010000}"/>
    <hyperlink ref="D406" r:id="rId421" display="http://0700.hk/" xr:uid="{00000000-0004-0000-0700-0000A4010000}"/>
    <hyperlink ref="M406" r:id="rId422" display="https://finance.yahoo.com/quote/0700.HK/?p=0700.HK" xr:uid="{00000000-0004-0000-0700-0000A5010000}"/>
    <hyperlink ref="D407" r:id="rId423" display="http://3690.hk/" xr:uid="{00000000-0004-0000-0700-0000A6010000}"/>
    <hyperlink ref="M407" r:id="rId424" display="https://finance.yahoo.com/quote/3690.HK/?p=3690.HK" xr:uid="{00000000-0004-0000-0700-0000A7010000}"/>
    <hyperlink ref="M409" r:id="rId425" display="https://finance.yahoo.com/quote/NET/?p=NET" xr:uid="{00000000-0004-0000-0700-0000A8010000}"/>
    <hyperlink ref="D410" r:id="rId426" display="http://1398.hk/" xr:uid="{00000000-0004-0000-0700-0000A9010000}"/>
    <hyperlink ref="M410" r:id="rId427" display="https://finance.yahoo.com/quote/1398.HK/?p=1398.HK" xr:uid="{00000000-0004-0000-0700-0000AA010000}"/>
    <hyperlink ref="M411" r:id="rId428" display="https://finance.yahoo.com/quote/AMAT/?p=AMAT" xr:uid="{00000000-0004-0000-0700-0000AB010000}"/>
    <hyperlink ref="M412" r:id="rId429" display="https://finance.yahoo.com/quote/CL=F/?p=CL=F" xr:uid="{00000000-0004-0000-0700-0000AC010000}"/>
    <hyperlink ref="M413" r:id="rId430" display="https://finance.yahoo.com/quote/NET/?p=NET" xr:uid="{00000000-0004-0000-0700-0000AD010000}"/>
    <hyperlink ref="D414" r:id="rId431" display="http://1398.hk/" xr:uid="{00000000-0004-0000-0700-0000AE010000}"/>
    <hyperlink ref="M414" r:id="rId432" display="https://finance.yahoo.com/quote/1398.HK/?p=1398.HK" xr:uid="{00000000-0004-0000-0700-0000AF010000}"/>
    <hyperlink ref="D415" r:id="rId433" display="http://300157.sz/" xr:uid="{00000000-0004-0000-0700-0000B0010000}"/>
    <hyperlink ref="M415" r:id="rId434" display="https://finance.yahoo.com/quote/300157.SZ/?p=300157.SZ" xr:uid="{00000000-0004-0000-0700-0000B1010000}"/>
    <hyperlink ref="M416" r:id="rId435" display="https://finance.yahoo.com/quote/NET/?p=NET" xr:uid="{00000000-0004-0000-0700-0000B2010000}"/>
    <hyperlink ref="M417" r:id="rId436" display="https://finance.yahoo.com/quote/AMAT/?p=AMAT" xr:uid="{00000000-0004-0000-0700-0000B3010000}"/>
    <hyperlink ref="M418" r:id="rId437" display="https://finance.yahoo.com/quote/BRK-B/?p=BRK-B" xr:uid="{00000000-0004-0000-0700-0000B4010000}"/>
    <hyperlink ref="M419" r:id="rId438" display="https://finance.yahoo.com/quote/BRK-B/?p=BRK-B" xr:uid="{00000000-0004-0000-0700-0000B5010000}"/>
    <hyperlink ref="M420" r:id="rId439" display="https://finance.yahoo.com/quote/CL=F/?p=CL=F" xr:uid="{00000000-0004-0000-0700-0000B6010000}"/>
    <hyperlink ref="M421" r:id="rId440" display="https://finance.yahoo.com/quote/AAPL/?p=AAPL" xr:uid="{00000000-0004-0000-0700-0000B7010000}"/>
    <hyperlink ref="M422" r:id="rId441" display="https://finance.yahoo.com/quote/CL=F/?p=CL=F" xr:uid="{00000000-0004-0000-0700-0000B8010000}"/>
    <hyperlink ref="M423" r:id="rId442" display="https://finance.yahoo.com/quote/AAPL/?p=AAPL" xr:uid="{00000000-0004-0000-0700-0000B9010000}"/>
    <hyperlink ref="M424" r:id="rId443" display="https://finance.yahoo.com/quote/AMAT/?p=AMAT" xr:uid="{00000000-0004-0000-0700-0000BA010000}"/>
    <hyperlink ref="M425" r:id="rId444" display="https://finance.yahoo.com/quote/NET/?p=NET" xr:uid="{00000000-0004-0000-0700-0000BB010000}"/>
    <hyperlink ref="M426" r:id="rId445" display="https://finance.yahoo.com/quote/BRK-B/?p=BRK-B" xr:uid="{00000000-0004-0000-0700-0000BC010000}"/>
    <hyperlink ref="M427" r:id="rId446" display="https://finance.yahoo.com/quote/IXHL/?p=IXHL" xr:uid="{00000000-0004-0000-0700-0000BD010000}"/>
    <hyperlink ref="D428" r:id="rId447" display="http://1398.hk/" xr:uid="{00000000-0004-0000-0700-0000BE010000}"/>
    <hyperlink ref="M428" r:id="rId448" display="https://finance.yahoo.com/quote/1398.HK/?p=1398.HK" xr:uid="{00000000-0004-0000-0700-0000BF010000}"/>
    <hyperlink ref="D430" r:id="rId449" display="http://601168.ss/" xr:uid="{00000000-0004-0000-0700-0000C0010000}"/>
    <hyperlink ref="M430" r:id="rId450" display="https://finance.yahoo.com/quote/601168.ss/?p=601168.ss" xr:uid="{00000000-0004-0000-0700-0000C1010000}"/>
    <hyperlink ref="D431" r:id="rId451" display="http://600986.ss/" xr:uid="{00000000-0004-0000-0700-0000C2010000}"/>
    <hyperlink ref="M431" r:id="rId452" display="https://finance.yahoo.com/quote/600986.ss/?p=600986.ss" xr:uid="{00000000-0004-0000-0700-0000C3010000}"/>
    <hyperlink ref="D432" r:id="rId453" display="http://002230.sz/" xr:uid="{00000000-0004-0000-0700-0000C4010000}"/>
    <hyperlink ref="M432" r:id="rId454" display="https://finance.yahoo.com/quote/002230.SZ/?p=002230.SZ" xr:uid="{00000000-0004-0000-0700-0000C5010000}"/>
    <hyperlink ref="D433" r:id="rId455" display="http://002475.sz/" xr:uid="{00000000-0004-0000-0700-0000C6010000}"/>
    <hyperlink ref="M433" r:id="rId456" display="https://finance.yahoo.com/quote/002475.SZ/?p=002475.SZ" xr:uid="{00000000-0004-0000-0700-0000C7010000}"/>
    <hyperlink ref="M437" r:id="rId457" display="https://finance.yahoo.com/quote/XLE/?p=XLE" xr:uid="{00000000-0004-0000-0700-0000C8010000}"/>
    <hyperlink ref="D439" r:id="rId458" display="http://0700.hk/" xr:uid="{00000000-0004-0000-0700-0000C9010000}"/>
    <hyperlink ref="M439" r:id="rId459" display="https://finance.yahoo.com/quote/0700.HK/?p=0700.HK" xr:uid="{00000000-0004-0000-0700-0000CA010000}"/>
    <hyperlink ref="D440" r:id="rId460" display="http://3800.hk/" xr:uid="{00000000-0004-0000-0700-0000CB010000}"/>
    <hyperlink ref="M440" r:id="rId461" display="https://finance.yahoo.com/quote/3800.HK/?p=3800.HK" xr:uid="{00000000-0004-0000-0700-0000CC010000}"/>
    <hyperlink ref="D441" r:id="rId462" display="http://0700.hk/" xr:uid="{00000000-0004-0000-0700-0000CD010000}"/>
    <hyperlink ref="M441" r:id="rId463" display="https://finance.yahoo.com/quote/0700.HK/?p=0700.HK" xr:uid="{00000000-0004-0000-0700-0000CE010000}"/>
    <hyperlink ref="D442" r:id="rId464" display="http://0700.hk/" xr:uid="{00000000-0004-0000-0700-0000CF010000}"/>
    <hyperlink ref="M442" r:id="rId465" display="https://finance.yahoo.com/quote/0700.HK/?p=0700.HK" xr:uid="{00000000-0004-0000-0700-0000D0010000}"/>
    <hyperlink ref="D443" r:id="rId466" display="http://9868.hk/" xr:uid="{00000000-0004-0000-0700-0000D1010000}"/>
    <hyperlink ref="M443" r:id="rId467" display="https://finance.yahoo.com/quote/9868.HK/?p=9868.HK" xr:uid="{00000000-0004-0000-0700-0000D2010000}"/>
    <hyperlink ref="D445" r:id="rId468" display="http://1810.hk/" xr:uid="{00000000-0004-0000-0700-0000D3010000}"/>
    <hyperlink ref="M445" r:id="rId469" display="https://finance.yahoo.com/quote/1810.hk/?p=1810.hk" xr:uid="{00000000-0004-0000-0700-0000D4010000}"/>
    <hyperlink ref="M447" r:id="rId470" display="https://finance.yahoo.com/quote/GBTC/?p=GBTC" xr:uid="{00000000-0004-0000-0700-0000D5010000}"/>
    <hyperlink ref="M448" r:id="rId471" display="https://finance.yahoo.com/quote/F/?p=F" xr:uid="{00000000-0004-0000-0700-0000D6010000}"/>
    <hyperlink ref="M449" r:id="rId472" display="https://finance.yahoo.com/quote/MSFT/?p=MSFT" xr:uid="{00000000-0004-0000-0700-0000D7010000}"/>
    <hyperlink ref="M450" r:id="rId473" display="https://finance.yahoo.com/quote/GBTC/?p=GBTC" xr:uid="{00000000-0004-0000-0700-0000D8010000}"/>
    <hyperlink ref="M451" r:id="rId474" display="https://finance.yahoo.com/quote/f/?p=f" xr:uid="{00000000-0004-0000-0700-0000D9010000}"/>
    <hyperlink ref="M452" r:id="rId475" display="https://finance.yahoo.com/quote/UVXY/?p=UVXY" xr:uid="{00000000-0004-0000-0700-0000DA010000}"/>
    <hyperlink ref="M453" r:id="rId476" display="https://finance.yahoo.com/quote/UVXY/?p=UVXY" xr:uid="{00000000-0004-0000-0700-0000DB010000}"/>
    <hyperlink ref="M454" r:id="rId477" display="https://finance.yahoo.com/quote/WEAT/?p=WEAT" xr:uid="{00000000-0004-0000-0700-0000DC010000}"/>
    <hyperlink ref="D456" r:id="rId478" display="http://600519.ss/" xr:uid="{00000000-0004-0000-0700-0000DD010000}"/>
    <hyperlink ref="M456" r:id="rId479" display="https://finance.yahoo.com/quote/600519.SS/?p=600519.SS" xr:uid="{00000000-0004-0000-0700-0000DE010000}"/>
    <hyperlink ref="M458" r:id="rId480" display="https://finance.yahoo.com/quote/aapl/?p=aapl" xr:uid="{00000000-0004-0000-0700-0000DF010000}"/>
    <hyperlink ref="M459" r:id="rId481" display="https://finance.yahoo.com/quote/TSLA/?p=TSLA" xr:uid="{00000000-0004-0000-0700-0000E0010000}"/>
    <hyperlink ref="M460" r:id="rId482" display="https://finance.yahoo.com/quote/ES=F/?p=ES=F" xr:uid="{00000000-0004-0000-0700-0000E1010000}"/>
    <hyperlink ref="M462" r:id="rId483" display="https://www.bondsupermart.com/bsm/general-search/XS1974522853" xr:uid="{00000000-0004-0000-0700-0000E2010000}"/>
    <hyperlink ref="M464" r:id="rId484" display="https://finance.yahoo.com/quote/XPEV/?p=XPEV" xr:uid="{00000000-0004-0000-0700-0000E3010000}"/>
    <hyperlink ref="M465" r:id="rId485" display="https://finance.yahoo.com/quote/MGM/?p=MGM" xr:uid="{00000000-0004-0000-0700-0000E4010000}"/>
    <hyperlink ref="D466" r:id="rId486" display="http://1498.hk/" xr:uid="{00000000-0004-0000-0700-0000E5010000}"/>
    <hyperlink ref="M466" r:id="rId487" display="https://finance.yahoo.com/quote/1498.HK/?p=1498.HK" xr:uid="{00000000-0004-0000-0700-0000E6010000}"/>
    <hyperlink ref="D467" r:id="rId488" display="http://002665.sz/" xr:uid="{00000000-0004-0000-0700-0000E7010000}"/>
    <hyperlink ref="M467" r:id="rId489" display="https://finance.yahoo.com/quote/002665.SZ/?p=002665.SZ" xr:uid="{00000000-0004-0000-0700-0000E8010000}"/>
    <hyperlink ref="D468" r:id="rId490" display="http://000554.sz/" xr:uid="{00000000-0004-0000-0700-0000E9010000}"/>
    <hyperlink ref="M468" r:id="rId491" display="https://finance.yahoo.com/quote/000554.SZ/?p=000554.SZ" xr:uid="{00000000-0004-0000-0700-0000EA010000}"/>
    <hyperlink ref="D469" r:id="rId492" display="http://300945.sz/" xr:uid="{00000000-0004-0000-0700-0000EB010000}"/>
    <hyperlink ref="M469" r:id="rId493" display="https://finance.yahoo.com/quote/300945.SZ/?p=300945.SZ" xr:uid="{00000000-0004-0000-0700-0000EC010000}"/>
    <hyperlink ref="D470" r:id="rId494" display="http://601808.ss/" xr:uid="{00000000-0004-0000-0700-0000ED010000}"/>
    <hyperlink ref="M470" r:id="rId495" display="https://finance.yahoo.com/quote/601808.SS/?p=601808.SS" xr:uid="{00000000-0004-0000-0700-0000EE010000}"/>
    <hyperlink ref="D471" r:id="rId496" display="http://601808.ss/" xr:uid="{00000000-0004-0000-0700-0000EF010000}"/>
    <hyperlink ref="M471" r:id="rId497" display="https://finance.yahoo.com/quote/601808.SS/?p=601808.SS" xr:uid="{00000000-0004-0000-0700-0000F0010000}"/>
    <hyperlink ref="D472" r:id="rId498" display="http://300922.sz/" xr:uid="{00000000-0004-0000-0700-0000F1010000}"/>
    <hyperlink ref="M472" r:id="rId499" display="https://finance.yahoo.com/quote/300922.SZ/?p=300922.SZ" xr:uid="{00000000-0004-0000-0700-0000F2010000}"/>
    <hyperlink ref="D473" r:id="rId500" display="http://300922.sz/" xr:uid="{00000000-0004-0000-0700-0000F3010000}"/>
    <hyperlink ref="M473" r:id="rId501" display="https://finance.yahoo.com/quote/300922.SZ/?p=300922.SZ" xr:uid="{00000000-0004-0000-0700-0000F4010000}"/>
    <hyperlink ref="D474" r:id="rId502" display="http://000554.sz/" xr:uid="{00000000-0004-0000-0700-0000F5010000}"/>
    <hyperlink ref="M474" r:id="rId503" display="https://finance.yahoo.com/quote/000554.SZ/?p=000554.SZ" xr:uid="{00000000-0004-0000-0700-0000F6010000}"/>
    <hyperlink ref="D475" r:id="rId504" display="http://300945.sz/" xr:uid="{00000000-0004-0000-0700-0000F7010000}"/>
    <hyperlink ref="M475" r:id="rId505" display="https://finance.yahoo.com/quote/300945.SZ/?p=300945.SZ" xr:uid="{00000000-0004-0000-0700-0000F8010000}"/>
    <hyperlink ref="D476" r:id="rId506" display="http://601808.ss/" xr:uid="{00000000-0004-0000-0700-0000F9010000}"/>
    <hyperlink ref="M476" r:id="rId507" display="https://finance.yahoo.com/quote/601808.SS/?p=601808.SS" xr:uid="{00000000-0004-0000-0700-0000FA010000}"/>
    <hyperlink ref="D477" r:id="rId508" display="http://300922.sz/" xr:uid="{00000000-0004-0000-0700-0000FB010000}"/>
    <hyperlink ref="M477" r:id="rId509" display="https://finance.yahoo.com/quote/300922.SZ/?p=300922.SZ" xr:uid="{00000000-0004-0000-0700-0000FC010000}"/>
    <hyperlink ref="D478" r:id="rId510" display="http://603967.ss/" xr:uid="{00000000-0004-0000-0700-0000FD010000}"/>
    <hyperlink ref="M478" r:id="rId511" display="https://finance.yahoo.com/quote/603967.SS/?p=603967.SS" xr:uid="{00000000-0004-0000-0700-0000FE010000}"/>
    <hyperlink ref="D479" r:id="rId512" display="http://300922.sz/" xr:uid="{00000000-0004-0000-0700-0000FF010000}"/>
    <hyperlink ref="M479" r:id="rId513" display="https://finance.yahoo.com/quote/300922.SZ/?p=300922.SZ" xr:uid="{00000000-0004-0000-0700-000000020000}"/>
    <hyperlink ref="D480" r:id="rId514" display="http://002665.sz/" xr:uid="{00000000-0004-0000-0700-000001020000}"/>
    <hyperlink ref="M480" r:id="rId515" display="https://finance.yahoo.com/quote/002665.SZ/?p=002665.SZ" xr:uid="{00000000-0004-0000-0700-000002020000}"/>
    <hyperlink ref="D481" r:id="rId516" display="http://603967.ss/" xr:uid="{00000000-0004-0000-0700-000003020000}"/>
    <hyperlink ref="M481" r:id="rId517" display="https://finance.yahoo.com/quote/603967.SS/?p=603967.SS" xr:uid="{00000000-0004-0000-0700-000004020000}"/>
    <hyperlink ref="D482" r:id="rId518" display="http://603963.ss/" xr:uid="{00000000-0004-0000-0700-000005020000}"/>
    <hyperlink ref="M482" r:id="rId519" display="https://finance.yahoo.com/quote/603963.SS/?p=603963.SS" xr:uid="{00000000-0004-0000-0700-000006020000}"/>
    <hyperlink ref="D483" r:id="rId520" display="http://603963.ss/" xr:uid="{00000000-0004-0000-0700-000007020000}"/>
    <hyperlink ref="M483" r:id="rId521" display="https://finance.yahoo.com/quote/603963.SS/?p=603963.SS" xr:uid="{00000000-0004-0000-0700-000008020000}"/>
    <hyperlink ref="D484" r:id="rId522" display="http://603963.ss/" xr:uid="{00000000-0004-0000-0700-000009020000}"/>
    <hyperlink ref="M484" r:id="rId523" display="https://finance.yahoo.com/quote/603963.SS/?p=603963.SS" xr:uid="{00000000-0004-0000-0700-00000A020000}"/>
    <hyperlink ref="M485" r:id="rId524" display="https://finance.yahoo.com/quote/GC=F/?p=GC=F" xr:uid="{00000000-0004-0000-0700-00000B020000}"/>
    <hyperlink ref="D486" r:id="rId525" display="http://603538.ss/" xr:uid="{00000000-0004-0000-0700-00000C020000}"/>
    <hyperlink ref="M486" r:id="rId526" display="https://finance.yahoo.com/quote/603538.SS/?p=603538.SS" xr:uid="{00000000-0004-0000-0700-00000D020000}"/>
    <hyperlink ref="D487" r:id="rId527" display="http://688076.ss/" xr:uid="{00000000-0004-0000-0700-00000E020000}"/>
    <hyperlink ref="M487" r:id="rId528" display="https://finance.yahoo.com/quote/688076.SS/?p=688076.SS" xr:uid="{00000000-0004-0000-0700-00000F020000}"/>
    <hyperlink ref="M488" r:id="rId529" display="https://finance.yahoo.com/quote/GC=F/?p=GC=F" xr:uid="{00000000-0004-0000-0700-000010020000}"/>
    <hyperlink ref="M489" r:id="rId530" display="https://finance.yahoo.com/quote/GC=F/?p=GC=F" xr:uid="{00000000-0004-0000-0700-000011020000}"/>
    <hyperlink ref="D490" r:id="rId531" display="http://0700.hk/" xr:uid="{00000000-0004-0000-0700-000012020000}"/>
    <hyperlink ref="M490" r:id="rId532" display="https://finance.yahoo.com/quote/0700.HK/?p=0700.HK" xr:uid="{00000000-0004-0000-0700-000013020000}"/>
    <hyperlink ref="D491" r:id="rId533" display="http://9988.hk/" xr:uid="{00000000-0004-0000-0700-000014020000}"/>
    <hyperlink ref="M491" r:id="rId534" display="https://finance.yahoo.com/quote/9988.HK/?p=9988.HK" xr:uid="{00000000-0004-0000-0700-000015020000}"/>
    <hyperlink ref="D492" r:id="rId535" display="http://002670.sz/" xr:uid="{00000000-0004-0000-0700-000016020000}"/>
    <hyperlink ref="M492" r:id="rId536" display="https://finance.yahoo.com/quote/002670.SZ/?p=002670.SZ" xr:uid="{00000000-0004-0000-0700-000017020000}"/>
    <hyperlink ref="M493" r:id="rId537" display="https://finance.yahoo.com/quote/GC=F/?p=GC=F" xr:uid="{00000000-0004-0000-0700-000018020000}"/>
    <hyperlink ref="M495" r:id="rId538" display="https://finance.yahoo.com/quote/TSLA/?p=TSLA" xr:uid="{00000000-0004-0000-0700-000019020000}"/>
    <hyperlink ref="M496" r:id="rId539" display="https://finance.yahoo.com/quote/MSFT/?p=MSFT" xr:uid="{00000000-0004-0000-0700-00001A020000}"/>
    <hyperlink ref="M497" r:id="rId540" display="https://finance.yahoo.com/quote/NVDA/?p=NVDA" xr:uid="{00000000-0004-0000-0700-00001B020000}"/>
    <hyperlink ref="M498" r:id="rId541" display="https://finance.yahoo.com/quote/ISPO/?p=ISPO" xr:uid="{00000000-0004-0000-0700-00001C020000}"/>
    <hyperlink ref="M499" r:id="rId542" display="https://finance.yahoo.com/quote/GOOGL/?p=GOOGL" xr:uid="{00000000-0004-0000-0700-00001D020000}"/>
    <hyperlink ref="M500" r:id="rId543" display="https://finance.yahoo.com/quote/MSFT/?p=MSFT" xr:uid="{00000000-0004-0000-0700-00001E020000}"/>
    <hyperlink ref="M501" r:id="rId544" display="https://finance.yahoo.com/quote/MSFT/?p=MSFT" xr:uid="{00000000-0004-0000-0700-00001F020000}"/>
    <hyperlink ref="M503" r:id="rId545" display="https://finance.yahoo.com/quote/NET/?p=NET" xr:uid="{00000000-0004-0000-0700-000020020000}"/>
    <hyperlink ref="D504" r:id="rId546" display="http://1398.hk/" xr:uid="{00000000-0004-0000-0700-000021020000}"/>
    <hyperlink ref="M504" r:id="rId547" display="https://finance.yahoo.com/quote/1398.HK/?p=1398.HK" xr:uid="{00000000-0004-0000-0700-000022020000}"/>
    <hyperlink ref="M505" r:id="rId548" display="https://finance.yahoo.com/quote/AMAT/?p=AMAT" xr:uid="{00000000-0004-0000-0700-000023020000}"/>
    <hyperlink ref="M506" r:id="rId549" display="https://finance.yahoo.com/quote/CL=F/?p=CL=F" xr:uid="{00000000-0004-0000-0700-000024020000}"/>
    <hyperlink ref="M507" r:id="rId550" display="https://finance.yahoo.com/quote/NET/?p=NET" xr:uid="{00000000-0004-0000-0700-000025020000}"/>
    <hyperlink ref="D508" r:id="rId551" display="http://1398.hk/" xr:uid="{00000000-0004-0000-0700-000026020000}"/>
    <hyperlink ref="M508" r:id="rId552" display="https://finance.yahoo.com/quote/1398.HK/?p=1398.HK" xr:uid="{00000000-0004-0000-0700-000027020000}"/>
    <hyperlink ref="D509" r:id="rId553" display="http://300157.sz/" xr:uid="{00000000-0004-0000-0700-000028020000}"/>
    <hyperlink ref="M509" r:id="rId554" display="https://finance.yahoo.com/quote/300157.SZ/?p=300157.SZ" xr:uid="{00000000-0004-0000-0700-000029020000}"/>
    <hyperlink ref="M510" r:id="rId555" display="https://finance.yahoo.com/quote/AMAT/?p=AMAT" xr:uid="{00000000-0004-0000-0700-00002A020000}"/>
    <hyperlink ref="M511" r:id="rId556" display="https://finance.yahoo.com/quote/BRK-B/?p=BRK-B" xr:uid="{00000000-0004-0000-0700-00002B020000}"/>
    <hyperlink ref="M512" r:id="rId557" display="https://finance.yahoo.com/quote/BRK-B/?p=BRK-B" xr:uid="{00000000-0004-0000-0700-00002C020000}"/>
    <hyperlink ref="M513" r:id="rId558" display="https://finance.yahoo.com/quote/CL=F/?p=CL=F" xr:uid="{00000000-0004-0000-0700-00002D020000}"/>
    <hyperlink ref="M514" r:id="rId559" display="https://finance.yahoo.com/quote/AAPL/?p=AAPL" xr:uid="{00000000-0004-0000-0700-00002E020000}"/>
    <hyperlink ref="M515" r:id="rId560" display="https://finance.yahoo.com/quote/CL=F/?p=CL=F" xr:uid="{00000000-0004-0000-0700-00002F020000}"/>
    <hyperlink ref="M516" r:id="rId561" display="https://finance.yahoo.com/quote/IXHL/?p=IXHL" xr:uid="{00000000-0004-0000-0700-000030020000}"/>
    <hyperlink ref="D517" r:id="rId562" display="http://1398.hk/" xr:uid="{00000000-0004-0000-0700-000031020000}"/>
    <hyperlink ref="M517" r:id="rId563" display="https://finance.yahoo.com/quote/1398.HK/?p=1398.HK" xr:uid="{00000000-0004-0000-0700-000032020000}"/>
    <hyperlink ref="M518" r:id="rId564" display="https://finance.yahoo.com/quote/IXHL/?p=IXHL" xr:uid="{00000000-0004-0000-0700-000033020000}"/>
    <hyperlink ref="M522" r:id="rId565" display="https://finance.yahoo.com/quote/JD/?p=JD" xr:uid="{00000000-0004-0000-0700-000034020000}"/>
    <hyperlink ref="D523" r:id="rId566" display="http://0700.hk/" xr:uid="{00000000-0004-0000-0700-000035020000}"/>
    <hyperlink ref="M523" r:id="rId567" display="https://finance.yahoo.com/quote/0700.HK/?p=0700.HK" xr:uid="{00000000-0004-0000-0700-000036020000}"/>
    <hyperlink ref="D524" r:id="rId568" display="http://3690.hk/" xr:uid="{00000000-0004-0000-0700-000037020000}"/>
    <hyperlink ref="M524" r:id="rId569" display="https://finance.yahoo.com/quote/3690.HK/?p=3690.HK" xr:uid="{00000000-0004-0000-0700-000038020000}"/>
    <hyperlink ref="M525" r:id="rId570" display="https://finance.yahoo.com/quote/JD/?p=JD" xr:uid="{00000000-0004-0000-0700-000039020000}"/>
    <hyperlink ref="D526" r:id="rId571" display="http://0700.hk/" xr:uid="{00000000-0004-0000-0700-00003A020000}"/>
    <hyperlink ref="M526" r:id="rId572" display="https://finance.yahoo.com/quote/0700.HK/?p=0700.HK" xr:uid="{00000000-0004-0000-0700-00003B020000}"/>
    <hyperlink ref="D527" r:id="rId573" display="http://0700.hk/" xr:uid="{00000000-0004-0000-0700-00003C020000}"/>
    <hyperlink ref="M527" r:id="rId574" display="https://finance.yahoo.com/quote/0700.HK/?p=0700.HK" xr:uid="{00000000-0004-0000-0700-00003D020000}"/>
    <hyperlink ref="D531" r:id="rId575" display="http://000568.sz/" xr:uid="{00000000-0004-0000-0700-00003E020000}"/>
    <hyperlink ref="M531" r:id="rId576" display="https://finance.yahoo.com/quote/000568.SZ/?p=000568.SZ" xr:uid="{00000000-0004-0000-0700-00003F020000}"/>
    <hyperlink ref="D533" r:id="rId577" display="http://1024.hk/" xr:uid="{00000000-0004-0000-0700-000040020000}"/>
    <hyperlink ref="M533" r:id="rId578" display="https://finance.yahoo.com/quote/1024.HK/?p=1024.HK" xr:uid="{00000000-0004-0000-0700-000041020000}"/>
    <hyperlink ref="D536" r:id="rId579" display="http://0700.hk/" xr:uid="{00000000-0004-0000-0700-000042020000}"/>
    <hyperlink ref="M536" r:id="rId580" display="https://finance.yahoo.com/quote/0700.HK/?p=0700.HK" xr:uid="{00000000-0004-0000-0700-000043020000}"/>
    <hyperlink ref="D537" r:id="rId581" display="http://3690.hk/" xr:uid="{00000000-0004-0000-0700-000044020000}"/>
    <hyperlink ref="M537" r:id="rId582" display="https://finance.yahoo.com/quote/3690.HK/?p=3690.HK" xr:uid="{00000000-0004-0000-0700-000045020000}"/>
    <hyperlink ref="D538" r:id="rId583" display="http://0700.hk/" xr:uid="{00000000-0004-0000-0700-000046020000}"/>
    <hyperlink ref="M538" r:id="rId584" display="https://finance.yahoo.com/quote/0700.HK/?p=0700.HK" xr:uid="{00000000-0004-0000-0700-000047020000}"/>
    <hyperlink ref="D539" r:id="rId585" display="http://3690.hk/" xr:uid="{00000000-0004-0000-0700-000048020000}"/>
    <hyperlink ref="M539" r:id="rId586" display="https://finance.yahoo.com/quote/3690.HK/?p=3690.HK" xr:uid="{00000000-0004-0000-0700-000049020000}"/>
    <hyperlink ref="D541" r:id="rId587" display="http://9988.hk/" xr:uid="{00000000-0004-0000-0700-00004A020000}"/>
    <hyperlink ref="M541" r:id="rId588" display="https://finance.yahoo.com/quote/9988.HK/?p=9988.HK" xr:uid="{00000000-0004-0000-0700-00004B020000}"/>
    <hyperlink ref="D542" r:id="rId589" display="http://9626.hk/" xr:uid="{00000000-0004-0000-0700-00004C020000}"/>
    <hyperlink ref="M542" r:id="rId590" display="https://finance.yahoo.com/quote/9626.HK/?p=9626.HK" xr:uid="{00000000-0004-0000-0700-00004D020000}"/>
    <hyperlink ref="D543" r:id="rId591" display="http://6078.hk/" xr:uid="{00000000-0004-0000-0700-00004E020000}"/>
    <hyperlink ref="M543" r:id="rId592" display="https://finance.yahoo.com/quote/6078.HK/?p=6078.HK" xr:uid="{00000000-0004-0000-0700-00004F020000}"/>
    <hyperlink ref="D544" r:id="rId593" display="http://3690.hk/" xr:uid="{00000000-0004-0000-0700-000050020000}"/>
    <hyperlink ref="M544" r:id="rId594" display="https://finance.yahoo.com/quote/3690.HK/?p=3690.HK" xr:uid="{00000000-0004-0000-0700-000051020000}"/>
    <hyperlink ref="M546" r:id="rId595" display="https://finance.yahoo.com/quote/AAPL/?p=AAPL" xr:uid="{00000000-0004-0000-0700-000052020000}"/>
    <hyperlink ref="D547" r:id="rId596" display="http://000950.sz/" xr:uid="{00000000-0004-0000-0700-000053020000}"/>
    <hyperlink ref="M547" r:id="rId597" display="https://finance.yahoo.com/quote/000950.SZ/?p=000950.SZ" xr:uid="{00000000-0004-0000-0700-000054020000}"/>
    <hyperlink ref="D548" r:id="rId598" display="http://600661.ss/" xr:uid="{00000000-0004-0000-0700-000055020000}"/>
    <hyperlink ref="M548" r:id="rId599" display="https://finance.yahoo.com/quote/600661.SS/?p=600661.SS" xr:uid="{00000000-0004-0000-0700-000056020000}"/>
    <hyperlink ref="M549" r:id="rId600" display="https://finance.yahoo.com/quote/AAPL/?p=AAPL" xr:uid="{00000000-0004-0000-0700-000057020000}"/>
    <hyperlink ref="D550" r:id="rId601" display="http://000950.sz/" xr:uid="{00000000-0004-0000-0700-000058020000}"/>
    <hyperlink ref="M550" r:id="rId602" display="https://finance.yahoo.com/quote/000950.SZ/?p=000950.SZ" xr:uid="{00000000-0004-0000-0700-000059020000}"/>
    <hyperlink ref="D551" r:id="rId603" display="http://600661.ss/" xr:uid="{00000000-0004-0000-0700-00005A020000}"/>
    <hyperlink ref="M551" r:id="rId604" display="https://finance.yahoo.com/quote/600661.SS/?p=600661.SS" xr:uid="{00000000-0004-0000-0700-00005B020000}"/>
    <hyperlink ref="D552" r:id="rId605" display="http://0700.hk/" xr:uid="{00000000-0004-0000-0700-00005C020000}"/>
    <hyperlink ref="M552" r:id="rId606" display="https://finance.yahoo.com/quote/0700.HK/?p=0700.HK" xr:uid="{00000000-0004-0000-0700-00005D020000}"/>
    <hyperlink ref="D553" r:id="rId607" display="http://001896.sz/" xr:uid="{00000000-0004-0000-0700-00005E020000}"/>
    <hyperlink ref="M553" r:id="rId608" display="https://finance.yahoo.com/quote/001896.SZ/?p=001896.SZ" xr:uid="{00000000-0004-0000-0700-00005F020000}"/>
    <hyperlink ref="D554" r:id="rId609" display="http://0700.hk/" xr:uid="{00000000-0004-0000-0700-000060020000}"/>
    <hyperlink ref="M554" r:id="rId610" display="https://finance.yahoo.com/quote/0700.HK/?p=0700.HK" xr:uid="{00000000-0004-0000-0700-000061020000}"/>
    <hyperlink ref="D556" r:id="rId611" display="http://9988.hk/" xr:uid="{00000000-0004-0000-0700-000062020000}"/>
    <hyperlink ref="M556" r:id="rId612" display="https://finance.yahoo.com/quote/9988.HK/?p=9988.HK" xr:uid="{00000000-0004-0000-0700-000063020000}"/>
    <hyperlink ref="D557" r:id="rId613" display="http://0941.hk/" xr:uid="{00000000-0004-0000-0700-000064020000}"/>
    <hyperlink ref="M557" r:id="rId614" display="https://finance.yahoo.com/quote/0941.HK/?p=0941.HK" xr:uid="{00000000-0004-0000-0700-000065020000}"/>
    <hyperlink ref="D558" r:id="rId615" display="http://9988.hk/" xr:uid="{00000000-0004-0000-0700-000066020000}"/>
    <hyperlink ref="M558" r:id="rId616" display="https://finance.yahoo.com/quote/9988.HK/?p=9988.HK" xr:uid="{00000000-0004-0000-0700-000067020000}"/>
    <hyperlink ref="D559" r:id="rId617" display="http://2800.hk/" xr:uid="{00000000-0004-0000-0700-000068020000}"/>
    <hyperlink ref="M559" r:id="rId618" display="https://finance.yahoo.com/quote/2800.HK/?p=2800.HK" xr:uid="{00000000-0004-0000-0700-000069020000}"/>
    <hyperlink ref="D560" r:id="rId619" display="http://9988.hk/" xr:uid="{00000000-0004-0000-0700-00006A020000}"/>
    <hyperlink ref="M560" r:id="rId620" display="https://finance.yahoo.com/quote/9988.HK/?p=9988.HK" xr:uid="{00000000-0004-0000-0700-00006B020000}"/>
    <hyperlink ref="D561" r:id="rId621" display="http://2800.hk/" xr:uid="{00000000-0004-0000-0700-00006C020000}"/>
    <hyperlink ref="M561" r:id="rId622" display="https://finance.yahoo.com/quote/2800.HK/?p=2800.HK" xr:uid="{00000000-0004-0000-0700-00006D020000}"/>
    <hyperlink ref="D562" r:id="rId623" display="http://0700.hk/" xr:uid="{00000000-0004-0000-0700-00006E020000}"/>
    <hyperlink ref="M562" r:id="rId624" display="https://finance.yahoo.com/quote/0700.HK/?p=0700.HK" xr:uid="{00000000-0004-0000-0700-00006F020000}"/>
    <hyperlink ref="D563" r:id="rId625" display="http://2800.hk/" xr:uid="{00000000-0004-0000-0700-000070020000}"/>
    <hyperlink ref="M563" r:id="rId626" display="https://finance.yahoo.com/quote/2800.HK/?p=2800.HK" xr:uid="{00000000-0004-0000-0700-000071020000}"/>
    <hyperlink ref="D564" r:id="rId627" display="http://0388.hk/" xr:uid="{00000000-0004-0000-0700-000072020000}"/>
    <hyperlink ref="M564" r:id="rId628" display="https://finance.yahoo.com/quote/0388.HK/?p=0388.HK" xr:uid="{00000000-0004-0000-0700-000073020000}"/>
    <hyperlink ref="D565" r:id="rId629" display="http://9988.hk/" xr:uid="{00000000-0004-0000-0700-000074020000}"/>
    <hyperlink ref="M565" r:id="rId630" display="https://finance.yahoo.com/quote/9988.HK/?p=9988.HK" xr:uid="{00000000-0004-0000-0700-000075020000}"/>
    <hyperlink ref="D566" r:id="rId631" display="http://9988.hk/" xr:uid="{00000000-0004-0000-0700-000076020000}"/>
    <hyperlink ref="M566" r:id="rId632" display="https://finance.yahoo.com/quote/9988.HK/?p=9988.HK" xr:uid="{00000000-0004-0000-0700-000077020000}"/>
    <hyperlink ref="D567" r:id="rId633" display="http://2800.hk/" xr:uid="{00000000-0004-0000-0700-000078020000}"/>
    <hyperlink ref="M567" r:id="rId634" display="https://finance.yahoo.com/quote/2800.HK/?p=2800.HK" xr:uid="{00000000-0004-0000-0700-000079020000}"/>
    <hyperlink ref="D568" r:id="rId635" display="http://9988.hk/" xr:uid="{00000000-0004-0000-0700-00007A020000}"/>
    <hyperlink ref="M568" r:id="rId636" display="https://finance.yahoo.com/quote/9988.HK/?p=9988.HK" xr:uid="{00000000-0004-0000-0700-00007B020000}"/>
    <hyperlink ref="M571" r:id="rId637" display="https://finance.yahoo.com/quote/BITO/?p=BITO" xr:uid="{00000000-0004-0000-0700-00007C020000}"/>
    <hyperlink ref="D578" r:id="rId638" display="http://9698.hk/" xr:uid="{00000000-0004-0000-0700-00007D020000}"/>
    <hyperlink ref="M578" r:id="rId639" display="https://finance.yahoo.com/quote/9698.HK/?p=9698.HK" xr:uid="{00000000-0004-0000-0700-00007E020000}"/>
    <hyperlink ref="D579" r:id="rId640" display="http://3690.hk/" xr:uid="{00000000-0004-0000-0700-00007F020000}"/>
    <hyperlink ref="M579" r:id="rId641" display="https://finance.yahoo.com/quote/3690.HK/?p=3690.HK" xr:uid="{00000000-0004-0000-0700-000080020000}"/>
    <hyperlink ref="D580" r:id="rId642" display="http://9698.hk/" xr:uid="{00000000-0004-0000-0700-000081020000}"/>
    <hyperlink ref="M580" r:id="rId643" display="https://finance.yahoo.com/quote/9698.HK/?p=9698.HK" xr:uid="{00000000-0004-0000-0700-000082020000}"/>
    <hyperlink ref="D581" r:id="rId644" display="http://3690.hk/" xr:uid="{00000000-0004-0000-0700-000083020000}"/>
    <hyperlink ref="M581" r:id="rId645" display="https://finance.yahoo.com/quote/3690.HK/?p=3690.HK" xr:uid="{00000000-0004-0000-0700-000084020000}"/>
    <hyperlink ref="D582" r:id="rId646" display="http://2269.hk/" xr:uid="{00000000-0004-0000-0700-000085020000}"/>
    <hyperlink ref="M582" r:id="rId647" display="https://finance.yahoo.com/quote/2269.HK/?p=2269.HK" xr:uid="{00000000-0004-0000-0700-000086020000}"/>
    <hyperlink ref="M583" r:id="rId648" display="https://finance.yahoo.com/quote/UVXY/?p=UVXY" xr:uid="{00000000-0004-0000-0700-000087020000}"/>
    <hyperlink ref="D584" r:id="rId649" display="http://9698.hk/" xr:uid="{00000000-0004-0000-0700-000088020000}"/>
    <hyperlink ref="M584" r:id="rId650" display="https://finance.yahoo.com/quote/9698.HK/?p=9698.HK" xr:uid="{00000000-0004-0000-0700-000089020000}"/>
    <hyperlink ref="D585" r:id="rId651" display="http://6969.hk/" xr:uid="{00000000-0004-0000-0700-00008A020000}"/>
    <hyperlink ref="M585" r:id="rId652" display="https://finance.yahoo.com/quote/6969.HK/?p=6969.HK" xr:uid="{00000000-0004-0000-0700-00008B020000}"/>
    <hyperlink ref="D586" r:id="rId653" display="http://6969.hk/" xr:uid="{00000000-0004-0000-0700-00008C020000}"/>
    <hyperlink ref="M586" r:id="rId654" display="https://finance.yahoo.com/quote/6969.HK/?p=6969.HK" xr:uid="{00000000-0004-0000-0700-00008D020000}"/>
    <hyperlink ref="M587" r:id="rId655" display="https://finance.yahoo.com/quote/SOFI/?p=SOFI" xr:uid="{00000000-0004-0000-0700-00008E020000}"/>
    <hyperlink ref="M588" r:id="rId656" display="https://finance.yahoo.com/quote/UVXY/?p=UVXY" xr:uid="{00000000-0004-0000-0700-00008F020000}"/>
    <hyperlink ref="M589" r:id="rId657" display="https://finance.yahoo.com/quote/SOXL/?p=SOXL" xr:uid="{00000000-0004-0000-0700-000090020000}"/>
    <hyperlink ref="D590" r:id="rId658" display="http://9698.hk/" xr:uid="{00000000-0004-0000-0700-000091020000}"/>
    <hyperlink ref="M590" r:id="rId659" display="https://finance.yahoo.com/quote/9698.HK/?p=9698.HK" xr:uid="{00000000-0004-0000-0700-000092020000}"/>
    <hyperlink ref="M591" r:id="rId660" display="https://finance.yahoo.com/quote/UVXY/?p=UVXY" xr:uid="{00000000-0004-0000-0700-000093020000}"/>
    <hyperlink ref="M592" r:id="rId661" display="https://finance.yahoo.com/quote/SOFI/?p=SOFI" xr:uid="{00000000-0004-0000-0700-000094020000}"/>
    <hyperlink ref="M593" r:id="rId662" display="https://finance.yahoo.com/quote/NU/?p=NU" xr:uid="{00000000-0004-0000-0700-000095020000}"/>
    <hyperlink ref="M594" r:id="rId663" display="https://finance.yahoo.com/quote/YINN/?p=YINN" xr:uid="{00000000-0004-0000-0700-000096020000}"/>
    <hyperlink ref="M596" r:id="rId664" display="https://finance.yahoo.com/quote/TCEHY/?p=TCEHY" xr:uid="{00000000-0004-0000-0700-000097020000}"/>
    <hyperlink ref="D599" r:id="rId665" display="http://9698.hk/" xr:uid="{00000000-0004-0000-0700-000098020000}"/>
    <hyperlink ref="M599" r:id="rId666" display="https://finance.yahoo.com/quote/9698.HK/?p=9698.HK" xr:uid="{00000000-0004-0000-0700-000099020000}"/>
    <hyperlink ref="D600" r:id="rId667" display="http://6969.hk/" xr:uid="{00000000-0004-0000-0700-00009A020000}"/>
    <hyperlink ref="M600" r:id="rId668" display="https://finance.yahoo.com/quote/6969.HK/?p=6969.HK" xr:uid="{00000000-0004-0000-0700-00009B020000}"/>
    <hyperlink ref="M602" r:id="rId669" display="https://finance.yahoo.com/quote/SOFI/?p=SOFI" xr:uid="{00000000-0004-0000-0700-00009C020000}"/>
    <hyperlink ref="M603" r:id="rId670" display="https://finance.yahoo.com/quote/NU/?p=NU" xr:uid="{00000000-0004-0000-0700-00009D020000}"/>
    <hyperlink ref="M604" r:id="rId671" display="https://finance.yahoo.com/quote/YINN/?p=YINN" xr:uid="{00000000-0004-0000-0700-00009E020000}"/>
    <hyperlink ref="M605" r:id="rId672" display="https://finance.yahoo.com/quote/SOXL/?p=SOXL" xr:uid="{00000000-0004-0000-0700-00009F020000}"/>
    <hyperlink ref="M606" r:id="rId673" display="https://finance.yahoo.com/quote/SBRCY/?p=SBRCY" xr:uid="{00000000-0004-0000-0700-0000A0020000}"/>
    <hyperlink ref="M610" r:id="rId674" display="https://finance.yahoo.com/quote/SOFI/?p=SOFI" xr:uid="{00000000-0004-0000-0700-0000A1020000}"/>
    <hyperlink ref="M611" r:id="rId675" display="https://finance.yahoo.com/quote/NU/?p=NU" xr:uid="{00000000-0004-0000-0700-0000A2020000}"/>
    <hyperlink ref="M613" r:id="rId676" display="https://finance.yahoo.com/quote/SOXL/?p=SOXL" xr:uid="{00000000-0004-0000-0700-0000A3020000}"/>
    <hyperlink ref="D614" r:id="rId677" display="http://9988.hk/" xr:uid="{00000000-0004-0000-0700-0000A4020000}"/>
    <hyperlink ref="M614" r:id="rId678" display="https://finance.yahoo.com/quote/9988.HK/?p=9988.HK" xr:uid="{00000000-0004-0000-0700-0000A5020000}"/>
    <hyperlink ref="M616" r:id="rId679" display="https://finance.yahoo.com/quote/SOXL/?p=SOXL" xr:uid="{00000000-0004-0000-0700-0000A6020000}"/>
    <hyperlink ref="M620" r:id="rId680" display="https://finance.yahoo.com/quote/TCEHY/?p=TCEHY" xr:uid="{00000000-0004-0000-0700-0000A7020000}"/>
    <hyperlink ref="M627" r:id="rId681" display="https://finance.yahoo.com/quote/YINN/?p=YINN" xr:uid="{00000000-0004-0000-0700-0000A8020000}"/>
    <hyperlink ref="D629" r:id="rId682" display="http://9988.hk/" xr:uid="{00000000-0004-0000-0700-0000A9020000}"/>
    <hyperlink ref="M629" r:id="rId683" display="https://finance.yahoo.com/quote/9988.HK/?p=9988.HK" xr:uid="{00000000-0004-0000-0700-0000AA020000}"/>
    <hyperlink ref="D632" r:id="rId684" display="http://3690.hk/" xr:uid="{00000000-0004-0000-0700-0000AB020000}"/>
    <hyperlink ref="M632" r:id="rId685" display="https://finance.yahoo.com/quote/3690.HK/?p=3690.HK" xr:uid="{00000000-0004-0000-0700-0000AC020000}"/>
    <hyperlink ref="D633" r:id="rId686" display="http://0708.hk/" xr:uid="{00000000-0004-0000-0700-0000AD020000}"/>
    <hyperlink ref="M633" r:id="rId687" display="https://finance.yahoo.com/quote/0708.HK/?p=0708.HK" xr:uid="{00000000-0004-0000-0700-0000AE020000}"/>
    <hyperlink ref="M634" r:id="rId688" display="https://finance.yahoo.com/quote/TCEHY/?p=TCEHY" xr:uid="{00000000-0004-0000-0700-0000AF020000}"/>
    <hyperlink ref="M637" r:id="rId689" display="https://finance.yahoo.com/quote/SBRCY/?p=SBRCY" xr:uid="{00000000-0004-0000-0700-0000B0020000}"/>
    <hyperlink ref="D639" r:id="rId690" display="http://3833.hk/" xr:uid="{00000000-0004-0000-0700-0000B1020000}"/>
    <hyperlink ref="M639" r:id="rId691" display="https://finance.yahoo.com/quote/3833.HK/?p=3833.HK" xr:uid="{00000000-0004-0000-0700-0000B2020000}"/>
    <hyperlink ref="M642" r:id="rId692" display="https://finance.yahoo.com/quote/TCEHY/?p=TCEHY" xr:uid="{00000000-0004-0000-0700-0000B3020000}"/>
    <hyperlink ref="M645" r:id="rId693" display="https://finance.yahoo.com/quote/ASML/?p=ASML" xr:uid="{00000000-0004-0000-0700-0000B4020000}"/>
    <hyperlink ref="M646" r:id="rId694" display="https://finance.yahoo.com/quote/ASML/?p=ASML" xr:uid="{00000000-0004-0000-0700-0000B5020000}"/>
    <hyperlink ref="M647" r:id="rId695" display="https://finance.yahoo.com/quote/ASML/?p=ASML" xr:uid="{00000000-0004-0000-0700-0000B6020000}"/>
    <hyperlink ref="M648" r:id="rId696" display="https://finance.yahoo.com/quote/ASML/?p=ASML" xr:uid="{00000000-0004-0000-0700-0000B7020000}"/>
    <hyperlink ref="D650" r:id="rId697" display="http://0968.hk/" xr:uid="{00000000-0004-0000-0700-0000B8020000}"/>
    <hyperlink ref="M650" r:id="rId698" display="https://finance.yahoo.com/quote/0968.HK/?p=0968.HK" xr:uid="{00000000-0004-0000-0700-0000B9020000}"/>
    <hyperlink ref="D651" r:id="rId699" display="http://3800.hk/" xr:uid="{00000000-0004-0000-0700-0000BA020000}"/>
    <hyperlink ref="M651" r:id="rId700" display="https://finance.yahoo.com/quote/3800.HK/?p=3800.HK" xr:uid="{00000000-0004-0000-0700-0000BB020000}"/>
    <hyperlink ref="D652" r:id="rId701" display="http://0175.hk/" xr:uid="{00000000-0004-0000-0700-0000BC020000}"/>
    <hyperlink ref="M652" r:id="rId702" display="https://finance.yahoo.com/quote/0175.HK/?p=0175.HK" xr:uid="{00000000-0004-0000-0700-0000BD020000}"/>
    <hyperlink ref="D653" r:id="rId703" display="http://9988.hk/" xr:uid="{00000000-0004-0000-0700-0000BE020000}"/>
    <hyperlink ref="M653" r:id="rId704" display="https://finance.yahoo.com/quote/9988.HK/?p=9988.HK" xr:uid="{00000000-0004-0000-0700-0000BF020000}"/>
    <hyperlink ref="D654" r:id="rId705" display="http://9999.hk/" xr:uid="{00000000-0004-0000-0700-0000C0020000}"/>
    <hyperlink ref="M654" r:id="rId706" display="https://finance.yahoo.com/quote/9999.HK/?p=9999.HK" xr:uid="{00000000-0004-0000-0700-0000C1020000}"/>
    <hyperlink ref="D655" r:id="rId707" display="http://9988.hk/" xr:uid="{00000000-0004-0000-0700-0000C2020000}"/>
    <hyperlink ref="M655" r:id="rId708" display="https://finance.yahoo.com/quote/9988.HK/?p=9988.HK" xr:uid="{00000000-0004-0000-0700-0000C3020000}"/>
    <hyperlink ref="M659" r:id="rId709" display="https://finance.yahoo.com/quote/AMZN/?p=AMZN" xr:uid="{00000000-0004-0000-0700-0000C4020000}"/>
    <hyperlink ref="D660" r:id="rId710" display="http://9961.hk/" xr:uid="{00000000-0004-0000-0700-0000C5020000}"/>
    <hyperlink ref="M660" r:id="rId711" display="https://finance.yahoo.com/quote/9961.HK/?p=9961.HK" xr:uid="{00000000-0004-0000-0700-0000C6020000}"/>
    <hyperlink ref="D661" r:id="rId712" display="http://9999.hk/" xr:uid="{00000000-0004-0000-0700-0000C7020000}"/>
    <hyperlink ref="M661" r:id="rId713" display="https://finance.yahoo.com/quote/9999.HK/?p=9999.HK" xr:uid="{00000000-0004-0000-0700-0000C8020000}"/>
    <hyperlink ref="D662" r:id="rId714" display="http://0909.hk/" xr:uid="{00000000-0004-0000-0700-0000C9020000}"/>
    <hyperlink ref="M662" r:id="rId715" display="https://finance.yahoo.com/quote/0909.HK/?p=0909.HK" xr:uid="{00000000-0004-0000-0700-0000CA020000}"/>
    <hyperlink ref="M663" r:id="rId716" display="https://finance.yahoo.com/quote/PANW/?p=PANW" xr:uid="{00000000-0004-0000-0700-0000CB020000}"/>
    <hyperlink ref="M664" r:id="rId717" display="https://finance.yahoo.com/quote/TEAM/?p=TEAM" xr:uid="{00000000-0004-0000-0700-0000CC020000}"/>
    <hyperlink ref="M665" r:id="rId718" display="https://finance.yahoo.com/quote/ATVI/?p=ATVI" xr:uid="{00000000-0004-0000-0700-0000CD020000}"/>
    <hyperlink ref="M666" r:id="rId719" display="https://finance.yahoo.com/quote/AMGN/?p=AMGN" xr:uid="{00000000-0004-0000-0700-0000CE020000}"/>
    <hyperlink ref="M667" r:id="rId720" display="https://finance.yahoo.com/quote/LCID/?p=LCID" xr:uid="{00000000-0004-0000-0700-0000CF020000}"/>
    <hyperlink ref="M668" r:id="rId721" display="https://finance.yahoo.com/quote/SNPS/?p=SNPS" xr:uid="{00000000-0004-0000-0700-0000D0020000}"/>
    <hyperlink ref="M669" r:id="rId722" display="https://finance.yahoo.com/quote/TMUS/?p=TMUS" xr:uid="{00000000-0004-0000-0700-0000D1020000}"/>
    <hyperlink ref="M671" r:id="rId723" display="https://finance.yahoo.com/quote/AMZN/?p=AMZN" xr:uid="{00000000-0004-0000-0700-0000D202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ySplit="5" topLeftCell="A8" activePane="bottomLeft" state="frozen"/>
      <selection pane="bottomLeft" activeCell="B7" sqref="B7"/>
    </sheetView>
  </sheetViews>
  <sheetFormatPr baseColWidth="10" defaultColWidth="12.6640625" defaultRowHeight="15.75" customHeight="1" outlineLevelRow="1" x14ac:dyDescent="0.15"/>
  <cols>
    <col min="1" max="1" width="2.1640625" customWidth="1"/>
    <col min="2" max="2" width="15.83203125" customWidth="1"/>
    <col min="3" max="3" width="10.1640625" customWidth="1"/>
    <col min="4" max="4" width="9.1640625" customWidth="1"/>
    <col min="5" max="5" width="11" customWidth="1"/>
    <col min="6" max="6" width="8.1640625" customWidth="1"/>
    <col min="7" max="7" width="15.5" customWidth="1"/>
    <col min="8" max="8" width="9.6640625" customWidth="1"/>
    <col min="9" max="9" width="105" customWidth="1"/>
  </cols>
  <sheetData>
    <row r="1" spans="1:26" ht="23" x14ac:dyDescent="0.25">
      <c r="A1" s="5" t="str">
        <f ca="1">IFERROR(__xludf.DUMMYFUNCTION("importrange(""https://docs.google.com/spreadsheets/d/1mvA960mm3QaFyRdwkfIRxhE1UQJl45QEUTnDVxtxiIE/edit?usp=sharing"",""RecOrd!A1:i"" &amp; right(L1,3))"),"")</f>
        <v/>
      </c>
      <c r="B1" s="72" t="str">
        <f ca="1">IFERROR(__xludf.DUMMYFUNCTION("""COMPUTED_VALUE"""),"Order Received Summary")</f>
        <v>Order Received Summary</v>
      </c>
      <c r="C1" s="25"/>
      <c r="D1" s="5"/>
      <c r="E1" s="5"/>
      <c r="F1" s="5"/>
      <c r="G1" s="25"/>
      <c r="H1" s="26"/>
      <c r="I1" s="5"/>
      <c r="L1" s="19" t="str">
        <f ca="1">IFERROR(__xludf.DUMMYFUNCTION("importrange(""https://docs.google.com/spreadsheets/d/1mvA960mm3QaFyRdwkfIRxhE1UQJl45QEUTnDVxtxiIE/edit?usp=sharing"",""RecOrd!m1"")"),"Last row: 752")</f>
        <v>Last row: 752</v>
      </c>
    </row>
    <row r="2" spans="1:26" ht="13" collapsed="1" x14ac:dyDescent="0.15">
      <c r="A2" s="5"/>
      <c r="B2" s="25"/>
      <c r="C2" s="25"/>
      <c r="D2" s="5"/>
      <c r="E2" s="5"/>
      <c r="F2" s="5"/>
      <c r="G2" s="25"/>
      <c r="H2" s="26"/>
      <c r="I2" s="5"/>
    </row>
    <row r="3" spans="1:26" ht="13" hidden="1" outlineLevel="1" x14ac:dyDescent="0.15">
      <c r="A3" s="5"/>
      <c r="B3" s="25"/>
      <c r="C3" s="25"/>
      <c r="D3" s="5"/>
      <c r="E3" s="5"/>
      <c r="F3" s="5"/>
      <c r="G3" s="25"/>
      <c r="H3" s="26"/>
      <c r="I3" s="5"/>
    </row>
    <row r="4" spans="1:26" ht="13" hidden="1" outlineLevel="1" x14ac:dyDescent="0.15">
      <c r="A4" s="5"/>
      <c r="B4" s="25"/>
      <c r="C4" s="25"/>
      <c r="D4" s="5"/>
      <c r="E4" s="5"/>
      <c r="F4" s="5"/>
      <c r="G4" s="25"/>
      <c r="H4" s="26"/>
      <c r="I4" s="5"/>
    </row>
    <row r="5" spans="1:26" ht="28" collapsed="1" x14ac:dyDescent="0.15">
      <c r="A5" s="73"/>
      <c r="B5" s="74" t="str">
        <f ca="1">IFERROR(__xludf.DUMMYFUNCTION("""COMPUTED_VALUE"""),"Timestamp")</f>
        <v>Timestamp</v>
      </c>
      <c r="C5" s="75" t="str">
        <f ca="1">IFERROR(__xludf.DUMMYFUNCTION("""COMPUTED_VALUE"""),"CTS Trade Date")</f>
        <v>CTS Trade Date</v>
      </c>
      <c r="D5" s="76" t="str">
        <f ca="1">IFERROR(__xludf.DUMMYFUNCTION("""COMPUTED_VALUE"""),"Acct #")</f>
        <v>Acct #</v>
      </c>
      <c r="E5" s="76" t="str">
        <f ca="1">IFERROR(__xludf.DUMMYFUNCTION("""COMPUTED_VALUE"""),"Select Asset Class")</f>
        <v>Select Asset Class</v>
      </c>
      <c r="F5" s="76" t="str">
        <f ca="1">IFERROR(__xludf.DUMMYFUNCTION("""COMPUTED_VALUE"""),"Exchg")</f>
        <v>Exchg</v>
      </c>
      <c r="G5" s="74" t="str">
        <f ca="1">IFERROR(__xludf.DUMMYFUNCTION("""COMPUTED_VALUE"""),"Ticker Symbol (Security Code)")</f>
        <v>Ticker Symbol (Security Code)</v>
      </c>
      <c r="H5" s="77" t="str">
        <f ca="1">IFERROR(__xludf.DUMMYFUNCTION("""COMPUTED_VALUE"""),"Quantity Submitted")</f>
        <v>Quantity Submitted</v>
      </c>
      <c r="I5" s="76" t="str">
        <f ca="1">IFERROR(__xludf.DUMMYFUNCTION("""COMPUTED_VALUE"""),"Comments to Prop Traders")</f>
        <v>Comments to Prop Traders</v>
      </c>
      <c r="J5" s="73"/>
      <c r="K5" s="73"/>
      <c r="L5" s="73"/>
      <c r="M5" s="73"/>
      <c r="N5" s="73"/>
      <c r="O5" s="73"/>
      <c r="P5" s="73"/>
      <c r="Q5" s="73"/>
      <c r="R5" s="73"/>
      <c r="S5" s="73"/>
      <c r="T5" s="73"/>
      <c r="U5" s="73"/>
      <c r="V5" s="73"/>
      <c r="W5" s="73"/>
      <c r="X5" s="73"/>
      <c r="Y5" s="73"/>
      <c r="Z5" s="73"/>
    </row>
    <row r="6" spans="1:26" ht="13" hidden="1" outlineLevel="1" x14ac:dyDescent="0.15">
      <c r="A6" s="5"/>
      <c r="B6" s="25"/>
      <c r="C6" s="25"/>
      <c r="D6" s="5"/>
      <c r="E6" s="5"/>
      <c r="F6" s="5"/>
      <c r="G6" s="25"/>
      <c r="H6" s="26"/>
      <c r="I6" s="5"/>
    </row>
    <row r="7" spans="1:26" ht="13" hidden="1" outlineLevel="1" x14ac:dyDescent="0.15">
      <c r="A7" s="5"/>
      <c r="B7" s="25"/>
      <c r="C7" s="25"/>
      <c r="D7" s="5" t="str">
        <f ca="1">IFERROR(__xludf.DUMMYFUNCTION("""COMPUTED_VALUE"""),"")</f>
        <v/>
      </c>
      <c r="E7" s="5"/>
      <c r="F7" s="5"/>
      <c r="G7" s="25"/>
      <c r="H7" s="26"/>
      <c r="I7" s="5"/>
    </row>
    <row r="8" spans="1:26" ht="13" x14ac:dyDescent="0.15">
      <c r="A8" s="5"/>
      <c r="B8" s="78"/>
      <c r="C8" s="79" t="str">
        <f ca="1">IFERROR(__xludf.DUMMYFUNCTION("""COMPUTED_VALUE"""),"")</f>
        <v/>
      </c>
      <c r="D8" s="80" t="str">
        <f ca="1">IFERROR(__xludf.DUMMYFUNCTION("""COMPUTED_VALUE"""),"")</f>
        <v/>
      </c>
      <c r="E8" s="80"/>
      <c r="F8" s="80" t="str">
        <f ca="1">IFERROR(__xludf.DUMMYFUNCTION("""COMPUTED_VALUE"""),"")</f>
        <v/>
      </c>
      <c r="G8" s="78"/>
      <c r="H8" s="81" t="str">
        <f ca="1">IFERROR(__xludf.DUMMYFUNCTION("""COMPUTED_VALUE"""),"")</f>
        <v/>
      </c>
      <c r="I8" s="80"/>
    </row>
    <row r="9" spans="1:26" ht="13" x14ac:dyDescent="0.15">
      <c r="A9" s="5"/>
      <c r="B9" s="82">
        <f ca="1">IFERROR(__xludf.DUMMYFUNCTION("""COMPUTED_VALUE"""),44595.4575694444)</f>
        <v>44595.457569444399</v>
      </c>
      <c r="C9" s="78"/>
      <c r="D9" s="80" t="str">
        <f ca="1">IFERROR(__xludf.DUMMYFUNCTION("""COMPUTED_VALUE"""),"Steve")</f>
        <v>Steve</v>
      </c>
      <c r="E9" s="80" t="str">
        <f ca="1">IFERROR(__xludf.DUMMYFUNCTION("""COMPUTED_VALUE"""),"Stock")</f>
        <v>Stock</v>
      </c>
      <c r="F9" s="80" t="str">
        <f ca="1">IFERROR(__xludf.DUMMYFUNCTION("""COMPUTED_VALUE"""),"USD")</f>
        <v>USD</v>
      </c>
      <c r="G9" s="78" t="str">
        <f ca="1">IFERROR(__xludf.DUMMYFUNCTION("""COMPUTED_VALUE"""),"AMZN")</f>
        <v>AMZN</v>
      </c>
      <c r="H9" s="81"/>
      <c r="I9" s="80"/>
    </row>
    <row r="10" spans="1:26" ht="13" x14ac:dyDescent="0.15">
      <c r="A10" s="5"/>
      <c r="B10" s="82">
        <f ca="1">IFERROR(__xludf.DUMMYFUNCTION("""COMPUTED_VALUE"""),44595.4575694444)</f>
        <v>44595.457569444399</v>
      </c>
      <c r="C10" s="78"/>
      <c r="D10" s="80" t="str">
        <f ca="1">IFERROR(__xludf.DUMMYFUNCTION("""COMPUTED_VALUE"""),"TraderX")</f>
        <v>TraderX</v>
      </c>
      <c r="E10" s="80" t="str">
        <f ca="1">IFERROR(__xludf.DUMMYFUNCTION("""COMPUTED_VALUE"""),"Time Deposit")</f>
        <v>Time Deposit</v>
      </c>
      <c r="F10" s="80" t="str">
        <f ca="1">IFERROR(__xludf.DUMMYFUNCTION("""COMPUTED_VALUE"""),"HKD")</f>
        <v>HKD</v>
      </c>
      <c r="G10" s="78" t="str">
        <f ca="1">IFERROR(__xludf.DUMMYFUNCTION("""COMPUTED_VALUE"""),"1m")</f>
        <v>1m</v>
      </c>
      <c r="H10" s="81"/>
      <c r="I10" s="80"/>
    </row>
    <row r="11" spans="1:26" ht="13" x14ac:dyDescent="0.15">
      <c r="A11" s="5"/>
      <c r="B11" s="82">
        <f ca="1">IFERROR(__xludf.DUMMYFUNCTION("""COMPUTED_VALUE"""),44595.4575694444)</f>
        <v>44595.457569444399</v>
      </c>
      <c r="C11" s="79">
        <f ca="1">IFERROR(__xludf.DUMMYFUNCTION("""COMPUTED_VALUE"""),44595.6666666666)</f>
        <v>44595.666666666599</v>
      </c>
      <c r="D11" s="80" t="str">
        <f ca="1">IFERROR(__xludf.DUMMYFUNCTION("""COMPUTED_VALUE"""),"MONKEY")</f>
        <v>MONKEY</v>
      </c>
      <c r="E11" s="80" t="str">
        <f ca="1">IFERROR(__xludf.DUMMYFUNCTION("""COMPUTED_VALUE"""),"Stock")</f>
        <v>Stock</v>
      </c>
      <c r="F11" s="80" t="str">
        <f ca="1">IFERROR(__xludf.DUMMYFUNCTION("""COMPUTED_VALUE"""),"USD")</f>
        <v>USD</v>
      </c>
      <c r="G11" s="78" t="str">
        <f ca="1">IFERROR(__xludf.DUMMYFUNCTION("""COMPUTED_VALUE"""),"AMZN")</f>
        <v>AMZN</v>
      </c>
      <c r="H11" s="81"/>
      <c r="I11" s="80"/>
    </row>
    <row r="12" spans="1:26" ht="13" x14ac:dyDescent="0.15">
      <c r="A12" s="5"/>
      <c r="B12" s="82">
        <f ca="1">IFERROR(__xludf.DUMMYFUNCTION("""COMPUTED_VALUE"""),44599.5172867013)</f>
        <v>44599.517286701303</v>
      </c>
      <c r="C12" s="79">
        <f ca="1">IFERROR(__xludf.DUMMYFUNCTION("""COMPUTED_VALUE"""),44599.6666666666)</f>
        <v>44599.666666666599</v>
      </c>
      <c r="D12" s="80" t="str">
        <f ca="1">IFERROR(__xludf.DUMMYFUNCTION("""COMPUTED_VALUE"""),"46220")</f>
        <v>46220</v>
      </c>
      <c r="E12" s="80" t="str">
        <f ca="1">IFERROR(__xludf.DUMMYFUNCTION("""COMPUTED_VALUE"""),"Stock")</f>
        <v>Stock</v>
      </c>
      <c r="F12" s="80" t="str">
        <f ca="1">IFERROR(__xludf.DUMMYFUNCTION("""COMPUTED_VALUE"""),"USD")</f>
        <v>USD</v>
      </c>
      <c r="G12" s="78" t="str">
        <f ca="1">IFERROR(__xludf.DUMMYFUNCTION("""COMPUTED_VALUE"""),"FB")</f>
        <v>FB</v>
      </c>
      <c r="H12" s="81">
        <f ca="1">IFERROR(__xludf.DUMMYFUNCTION("""COMPUTED_VALUE"""),25)</f>
        <v>25</v>
      </c>
      <c r="I12" s="80" t="str">
        <f ca="1">IFERROR(__xludf.DUMMYFUNCTION("""COMPUTED_VALUE""")," Limit Buy @ 255 - Closing @ 250")</f>
        <v xml:space="preserve"> Limit Buy @ 255 - Closing @ 250</v>
      </c>
    </row>
    <row r="13" spans="1:26" ht="13" x14ac:dyDescent="0.15">
      <c r="A13" s="5"/>
      <c r="B13" s="82">
        <f ca="1">IFERROR(__xludf.DUMMYFUNCTION("""COMPUTED_VALUE"""),44599.5936885995)</f>
        <v>44599.593688599503</v>
      </c>
      <c r="C13" s="79">
        <f ca="1">IFERROR(__xludf.DUMMYFUNCTION("""COMPUTED_VALUE"""),44599.6666666666)</f>
        <v>44599.666666666599</v>
      </c>
      <c r="D13" s="80" t="str">
        <f ca="1">IFERROR(__xludf.DUMMYFUNCTION("""COMPUTED_VALUE"""),"76796")</f>
        <v>76796</v>
      </c>
      <c r="E13" s="80" t="str">
        <f ca="1">IFERROR(__xludf.DUMMYFUNCTION("""COMPUTED_VALUE"""),"Stock")</f>
        <v>Stock</v>
      </c>
      <c r="F13" s="80" t="str">
        <f ca="1">IFERROR(__xludf.DUMMYFUNCTION("""COMPUTED_VALUE"""),"USD")</f>
        <v>USD</v>
      </c>
      <c r="G13" s="78" t="str">
        <f ca="1">IFERROR(__xludf.DUMMYFUNCTION("""COMPUTED_VALUE"""),"TSLA")</f>
        <v>TSLA</v>
      </c>
      <c r="H13" s="81">
        <f ca="1">IFERROR(__xludf.DUMMYFUNCTION("""COMPUTED_VALUE"""),1000)</f>
        <v>1000</v>
      </c>
      <c r="I13" s="80" t="str">
        <f ca="1">IFERROR(__xludf.DUMMYFUNCTION("""COMPUTED_VALUE"""),"Order rejected due to insufficient cash.")</f>
        <v>Order rejected due to insufficient cash.</v>
      </c>
    </row>
    <row r="14" spans="1:26" ht="13" x14ac:dyDescent="0.15">
      <c r="A14" s="5"/>
      <c r="B14" s="82">
        <f ca="1">IFERROR(__xludf.DUMMYFUNCTION("""COMPUTED_VALUE"""),44599.6434687963)</f>
        <v>44599.643468796297</v>
      </c>
      <c r="C14" s="79">
        <f ca="1">IFERROR(__xludf.DUMMYFUNCTION("""COMPUTED_VALUE"""),44599.6666666666)</f>
        <v>44599.666666666599</v>
      </c>
      <c r="D14" s="80" t="str">
        <f ca="1">IFERROR(__xludf.DUMMYFUNCTION("""COMPUTED_VALUE"""),"36903")</f>
        <v>36903</v>
      </c>
      <c r="E14" s="80" t="str">
        <f ca="1">IFERROR(__xludf.DUMMYFUNCTION("""COMPUTED_VALUE"""),"Stock")</f>
        <v>Stock</v>
      </c>
      <c r="F14" s="80" t="str">
        <f ca="1">IFERROR(__xludf.DUMMYFUNCTION("""COMPUTED_VALUE"""),"USD")</f>
        <v>USD</v>
      </c>
      <c r="G14" s="78" t="str">
        <f ca="1">IFERROR(__xludf.DUMMYFUNCTION("""COMPUTED_VALUE"""),"FB")</f>
        <v>FB</v>
      </c>
      <c r="H14" s="81">
        <f ca="1">IFERROR(__xludf.DUMMYFUNCTION("""COMPUTED_VALUE"""),50)</f>
        <v>50</v>
      </c>
      <c r="I14" s="80"/>
    </row>
    <row r="15" spans="1:26" ht="13" x14ac:dyDescent="0.15">
      <c r="A15" s="5"/>
      <c r="B15" s="82">
        <f ca="1">IFERROR(__xludf.DUMMYFUNCTION("""COMPUTED_VALUE"""),44599.6963541666)</f>
        <v>44599.696354166597</v>
      </c>
      <c r="C15" s="79">
        <f ca="1">IFERROR(__xludf.DUMMYFUNCTION("""COMPUTED_VALUE"""),44600.6666666666)</f>
        <v>44600.666666666599</v>
      </c>
      <c r="D15" s="80" t="str">
        <f ca="1">IFERROR(__xludf.DUMMYFUNCTION("""COMPUTED_VALUE"""),"39296")</f>
        <v>39296</v>
      </c>
      <c r="E15" s="80" t="str">
        <f ca="1">IFERROR(__xludf.DUMMYFUNCTION("""COMPUTED_VALUE"""),"Stock")</f>
        <v>Stock</v>
      </c>
      <c r="F15" s="80" t="str">
        <f ca="1">IFERROR(__xludf.DUMMYFUNCTION("""COMPUTED_VALUE"""),"HKD")</f>
        <v>HKD</v>
      </c>
      <c r="G15" s="83" t="str">
        <f ca="1">IFERROR(__xludf.DUMMYFUNCTION("""COMPUTED_VALUE"""),"0700.HK")</f>
        <v>0700.HK</v>
      </c>
      <c r="H15" s="81">
        <f ca="1">IFERROR(__xludf.DUMMYFUNCTION("""COMPUTED_VALUE"""),1000)</f>
        <v>1000</v>
      </c>
      <c r="I15" s="80"/>
    </row>
    <row r="16" spans="1:26" ht="13" x14ac:dyDescent="0.15">
      <c r="A16" s="5"/>
      <c r="B16" s="82">
        <f ca="1">IFERROR(__xludf.DUMMYFUNCTION("""COMPUTED_VALUE"""),44600.5963021064)</f>
        <v>44600.596302106402</v>
      </c>
      <c r="C16" s="79" t="str">
        <f ca="1">IFERROR(__xludf.DUMMYFUNCTION("""COMPUTED_VALUE"""),"")</f>
        <v/>
      </c>
      <c r="D16" s="80" t="str">
        <f ca="1">IFERROR(__xludf.DUMMYFUNCTION("""COMPUTED_VALUE"""),"46220")</f>
        <v>46220</v>
      </c>
      <c r="E16" s="80" t="str">
        <f ca="1">IFERROR(__xludf.DUMMYFUNCTION("""COMPUTED_VALUE"""),"Stock")</f>
        <v>Stock</v>
      </c>
      <c r="F16" s="80" t="str">
        <f ca="1">IFERROR(__xludf.DUMMYFUNCTION("""COMPUTED_VALUE"""),"error")</f>
        <v>error</v>
      </c>
      <c r="G16" s="78" t="str">
        <f ca="1">IFERROR(__xludf.DUMMYFUNCTION("""COMPUTED_VALUE"""),"US:FB")</f>
        <v>US:FB</v>
      </c>
      <c r="H16" s="81">
        <f ca="1">IFERROR(__xludf.DUMMYFUNCTION("""COMPUTED_VALUE"""),25)</f>
        <v>25</v>
      </c>
      <c r="I16" s="80" t="str">
        <f ca="1">IFERROR(__xludf.DUMMYFUNCTION("""COMPUTED_VALUE"""),"Order rejected due to wrong ticker code. just need to type in FB")</f>
        <v>Order rejected due to wrong ticker code. just need to type in FB</v>
      </c>
    </row>
    <row r="17" spans="1:9" ht="13" x14ac:dyDescent="0.15">
      <c r="A17" s="5"/>
      <c r="B17" s="82">
        <f ca="1">IFERROR(__xludf.DUMMYFUNCTION("""COMPUTED_VALUE"""),44600.600024618)</f>
        <v>44600.600024617997</v>
      </c>
      <c r="C17" s="79">
        <f ca="1">IFERROR(__xludf.DUMMYFUNCTION("""COMPUTED_VALUE"""),44600.6666666666)</f>
        <v>44600.666666666599</v>
      </c>
      <c r="D17" s="80" t="str">
        <f ca="1">IFERROR(__xludf.DUMMYFUNCTION("""COMPUTED_VALUE"""),"46220")</f>
        <v>46220</v>
      </c>
      <c r="E17" s="80" t="str">
        <f ca="1">IFERROR(__xludf.DUMMYFUNCTION("""COMPUTED_VALUE"""),"Stock")</f>
        <v>Stock</v>
      </c>
      <c r="F17" s="80" t="str">
        <f ca="1">IFERROR(__xludf.DUMMYFUNCTION("""COMPUTED_VALUE"""),"HKD")</f>
        <v>HKD</v>
      </c>
      <c r="G17" s="83" t="str">
        <f ca="1">IFERROR(__xludf.DUMMYFUNCTION("""COMPUTED_VALUE"""),"0883.HK")</f>
        <v>0883.HK</v>
      </c>
      <c r="H17" s="81">
        <f ca="1">IFERROR(__xludf.DUMMYFUNCTION("""COMPUTED_VALUE"""),20)</f>
        <v>20</v>
      </c>
      <c r="I17" s="80"/>
    </row>
    <row r="18" spans="1:9" ht="13" x14ac:dyDescent="0.15">
      <c r="A18" s="5"/>
      <c r="B18" s="82">
        <f ca="1">IFERROR(__xludf.DUMMYFUNCTION("""COMPUTED_VALUE"""),44600.602086331)</f>
        <v>44600.602086330997</v>
      </c>
      <c r="C18" s="79">
        <f ca="1">IFERROR(__xludf.DUMMYFUNCTION("""COMPUTED_VALUE"""),44600.6666666666)</f>
        <v>44600.666666666599</v>
      </c>
      <c r="D18" s="80" t="str">
        <f ca="1">IFERROR(__xludf.DUMMYFUNCTION("""COMPUTED_VALUE"""),"46220")</f>
        <v>46220</v>
      </c>
      <c r="E18" s="80" t="str">
        <f ca="1">IFERROR(__xludf.DUMMYFUNCTION("""COMPUTED_VALUE"""),"Stock")</f>
        <v>Stock</v>
      </c>
      <c r="F18" s="80" t="str">
        <f ca="1">IFERROR(__xludf.DUMMYFUNCTION("""COMPUTED_VALUE"""),"USD")</f>
        <v>USD</v>
      </c>
      <c r="G18" s="78" t="str">
        <f ca="1">IFERROR(__xludf.DUMMYFUNCTION("""COMPUTED_VALUE"""),"FB")</f>
        <v>FB</v>
      </c>
      <c r="H18" s="81">
        <f ca="1">IFERROR(__xludf.DUMMYFUNCTION("""COMPUTED_VALUE"""),20)</f>
        <v>20</v>
      </c>
      <c r="I18" s="80"/>
    </row>
    <row r="19" spans="1:9" ht="13" x14ac:dyDescent="0.15">
      <c r="A19" s="5"/>
      <c r="B19" s="82">
        <f ca="1">IFERROR(__xludf.DUMMYFUNCTION("""COMPUTED_VALUE"""),44600.6253072685)</f>
        <v>44600.625307268499</v>
      </c>
      <c r="C19" s="79">
        <f ca="1">IFERROR(__xludf.DUMMYFUNCTION("""COMPUTED_VALUE"""),44600.6666666666)</f>
        <v>44600.666666666599</v>
      </c>
      <c r="D19" s="80" t="str">
        <f ca="1">IFERROR(__xludf.DUMMYFUNCTION("""COMPUTED_VALUE"""),"46699")</f>
        <v>46699</v>
      </c>
      <c r="E19" s="80" t="str">
        <f ca="1">IFERROR(__xludf.DUMMYFUNCTION("""COMPUTED_VALUE"""),"Stock")</f>
        <v>Stock</v>
      </c>
      <c r="F19" s="80" t="str">
        <f ca="1">IFERROR(__xludf.DUMMYFUNCTION("""COMPUTED_VALUE"""),"USD")</f>
        <v>USD</v>
      </c>
      <c r="G19" s="78" t="str">
        <f ca="1">IFERROR(__xludf.DUMMYFUNCTION("""COMPUTED_VALUE"""),"AAPL")</f>
        <v>AAPL</v>
      </c>
      <c r="H19" s="81">
        <f ca="1">IFERROR(__xludf.DUMMYFUNCTION("""COMPUTED_VALUE"""),20)</f>
        <v>20</v>
      </c>
      <c r="I19" s="80"/>
    </row>
    <row r="20" spans="1:9" ht="13" x14ac:dyDescent="0.15">
      <c r="A20" s="5"/>
      <c r="B20" s="82">
        <f ca="1">IFERROR(__xludf.DUMMYFUNCTION("""COMPUTED_VALUE"""),44600.6855278472)</f>
        <v>44600.685527847199</v>
      </c>
      <c r="C20" s="79">
        <f ca="1">IFERROR(__xludf.DUMMYFUNCTION("""COMPUTED_VALUE"""),44600.6666666666)</f>
        <v>44600.666666666599</v>
      </c>
      <c r="D20" s="80" t="str">
        <f ca="1">IFERROR(__xludf.DUMMYFUNCTION("""COMPUTED_VALUE"""),"45969")</f>
        <v>45969</v>
      </c>
      <c r="E20" s="80" t="str">
        <f ca="1">IFERROR(__xludf.DUMMYFUNCTION("""COMPUTED_VALUE"""),"Option")</f>
        <v>Option</v>
      </c>
      <c r="F20" s="80" t="str">
        <f ca="1">IFERROR(__xludf.DUMMYFUNCTION("""COMPUTED_VALUE"""),"USD")</f>
        <v>USD</v>
      </c>
      <c r="G20" s="78" t="str">
        <f ca="1">IFERROR(__xludf.DUMMYFUNCTION("""COMPUTED_VALUE"""),"BILI220318P00040000")</f>
        <v>BILI220318P00040000</v>
      </c>
      <c r="H20" s="81">
        <f ca="1">IFERROR(__xludf.DUMMYFUNCTION("""COMPUTED_VALUE"""),7)</f>
        <v>7</v>
      </c>
      <c r="I20" s="80"/>
    </row>
    <row r="21" spans="1:9" ht="13" x14ac:dyDescent="0.15">
      <c r="A21" s="5"/>
      <c r="B21" s="82">
        <f ca="1">IFERROR(__xludf.DUMMYFUNCTION("""COMPUTED_VALUE"""),44600.6935389467)</f>
        <v>44600.693538946703</v>
      </c>
      <c r="C21" s="79">
        <f ca="1">IFERROR(__xludf.DUMMYFUNCTION("""COMPUTED_VALUE"""),44600.6666666666)</f>
        <v>44600.666666666599</v>
      </c>
      <c r="D21" s="80" t="str">
        <f ca="1">IFERROR(__xludf.DUMMYFUNCTION("""COMPUTED_VALUE"""),"45969")</f>
        <v>45969</v>
      </c>
      <c r="E21" s="80" t="str">
        <f ca="1">IFERROR(__xludf.DUMMYFUNCTION("""COMPUTED_VALUE"""),"Option")</f>
        <v>Option</v>
      </c>
      <c r="F21" s="80" t="str">
        <f ca="1">IFERROR(__xludf.DUMMYFUNCTION("""COMPUTED_VALUE"""),"USD")</f>
        <v>USD</v>
      </c>
      <c r="G21" s="78" t="str">
        <f ca="1">IFERROR(__xludf.DUMMYFUNCTION("""COMPUTED_VALUE"""),"FB220325P00210000")</f>
        <v>FB220325P00210000</v>
      </c>
      <c r="H21" s="81">
        <f ca="1">IFERROR(__xludf.DUMMYFUNCTION("""COMPUTED_VALUE"""),16)</f>
        <v>16</v>
      </c>
      <c r="I21" s="80"/>
    </row>
    <row r="22" spans="1:9" ht="13" x14ac:dyDescent="0.15">
      <c r="A22" s="5"/>
      <c r="B22" s="82">
        <f ca="1">IFERROR(__xludf.DUMMYFUNCTION("""COMPUTED_VALUE"""),44600.8872261805)</f>
        <v>44600.887226180501</v>
      </c>
      <c r="C22" s="79">
        <f ca="1">IFERROR(__xludf.DUMMYFUNCTION("""COMPUTED_VALUE"""),44600.6666666666)</f>
        <v>44600.666666666599</v>
      </c>
      <c r="D22" s="80" t="str">
        <f ca="1">IFERROR(__xludf.DUMMYFUNCTION("""COMPUTED_VALUE"""),"45969")</f>
        <v>45969</v>
      </c>
      <c r="E22" s="80" t="str">
        <f ca="1">IFERROR(__xludf.DUMMYFUNCTION("""COMPUTED_VALUE"""),"Option")</f>
        <v>Option</v>
      </c>
      <c r="F22" s="80" t="str">
        <f ca="1">IFERROR(__xludf.DUMMYFUNCTION("""COMPUTED_VALUE"""),"USD")</f>
        <v>USD</v>
      </c>
      <c r="G22" s="78" t="str">
        <f ca="1">IFERROR(__xludf.DUMMYFUNCTION("""COMPUTED_VALUE"""),"BAC220325C00045000")</f>
        <v>BAC220325C00045000</v>
      </c>
      <c r="H22" s="81">
        <f ca="1">IFERROR(__xludf.DUMMYFUNCTION("""COMPUTED_VALUE"""),30)</f>
        <v>30</v>
      </c>
      <c r="I22" s="80"/>
    </row>
    <row r="23" spans="1:9" ht="13" x14ac:dyDescent="0.15">
      <c r="A23" s="5"/>
      <c r="B23" s="82">
        <f ca="1">IFERROR(__xludf.DUMMYFUNCTION("""COMPUTED_VALUE"""),44601.3896780555)</f>
        <v>44601.389678055501</v>
      </c>
      <c r="C23" s="79">
        <f ca="1">IFERROR(__xludf.DUMMYFUNCTION("""COMPUTED_VALUE"""),44601.6666666666)</f>
        <v>44601.666666666599</v>
      </c>
      <c r="D23" s="80" t="str">
        <f ca="1">IFERROR(__xludf.DUMMYFUNCTION("""COMPUTED_VALUE"""),"89750")</f>
        <v>89750</v>
      </c>
      <c r="E23" s="80" t="str">
        <f ca="1">IFERROR(__xludf.DUMMYFUNCTION("""COMPUTED_VALUE"""),"Stock")</f>
        <v>Stock</v>
      </c>
      <c r="F23" s="80" t="str">
        <f ca="1">IFERROR(__xludf.DUMMYFUNCTION("""COMPUTED_VALUE"""),"HKD")</f>
        <v>HKD</v>
      </c>
      <c r="G23" s="83" t="str">
        <f ca="1">IFERROR(__xludf.DUMMYFUNCTION("""COMPUTED_VALUE"""),"9698.HK")</f>
        <v>9698.HK</v>
      </c>
      <c r="H23" s="81">
        <f ca="1">IFERROR(__xludf.DUMMYFUNCTION("""COMPUTED_VALUE"""),10000)</f>
        <v>10000</v>
      </c>
      <c r="I23" s="80"/>
    </row>
    <row r="24" spans="1:9" ht="13" x14ac:dyDescent="0.15">
      <c r="A24" s="5"/>
      <c r="B24" s="82">
        <f ca="1">IFERROR(__xludf.DUMMYFUNCTION("""COMPUTED_VALUE"""),44601.3940193055)</f>
        <v>44601.394019305502</v>
      </c>
      <c r="C24" s="79">
        <f ca="1">IFERROR(__xludf.DUMMYFUNCTION("""COMPUTED_VALUE"""),44601.6666666666)</f>
        <v>44601.666666666599</v>
      </c>
      <c r="D24" s="80" t="str">
        <f ca="1">IFERROR(__xludf.DUMMYFUNCTION("""COMPUTED_VALUE"""),"89750")</f>
        <v>89750</v>
      </c>
      <c r="E24" s="80" t="str">
        <f ca="1">IFERROR(__xludf.DUMMYFUNCTION("""COMPUTED_VALUE"""),"Stock")</f>
        <v>Stock</v>
      </c>
      <c r="F24" s="80" t="str">
        <f ca="1">IFERROR(__xludf.DUMMYFUNCTION("""COMPUTED_VALUE"""),"HKD")</f>
        <v>HKD</v>
      </c>
      <c r="G24" s="83" t="str">
        <f ca="1">IFERROR(__xludf.DUMMYFUNCTION("""COMPUTED_VALUE"""),"3690.HK")</f>
        <v>3690.HK</v>
      </c>
      <c r="H24" s="81">
        <f ca="1">IFERROR(__xludf.DUMMYFUNCTION("""COMPUTED_VALUE"""),500)</f>
        <v>500</v>
      </c>
      <c r="I24" s="80"/>
    </row>
    <row r="25" spans="1:9" ht="13" x14ac:dyDescent="0.15">
      <c r="A25" s="5"/>
      <c r="B25" s="82">
        <f ca="1">IFERROR(__xludf.DUMMYFUNCTION("""COMPUTED_VALUE"""),44601.3945668171)</f>
        <v>44601.3945668171</v>
      </c>
      <c r="C25" s="79">
        <f ca="1">IFERROR(__xludf.DUMMYFUNCTION("""COMPUTED_VALUE"""),44601.6666666666)</f>
        <v>44601.666666666599</v>
      </c>
      <c r="D25" s="80" t="str">
        <f ca="1">IFERROR(__xludf.DUMMYFUNCTION("""COMPUTED_VALUE"""),"89750")</f>
        <v>89750</v>
      </c>
      <c r="E25" s="80" t="str">
        <f ca="1">IFERROR(__xludf.DUMMYFUNCTION("""COMPUTED_VALUE"""),"Stock")</f>
        <v>Stock</v>
      </c>
      <c r="F25" s="80" t="str">
        <f ca="1">IFERROR(__xludf.DUMMYFUNCTION("""COMPUTED_VALUE"""),"HKD")</f>
        <v>HKD</v>
      </c>
      <c r="G25" s="83" t="str">
        <f ca="1">IFERROR(__xludf.DUMMYFUNCTION("""COMPUTED_VALUE"""),"9698.HK")</f>
        <v>9698.HK</v>
      </c>
      <c r="H25" s="81">
        <f ca="1">IFERROR(__xludf.DUMMYFUNCTION("""COMPUTED_VALUE"""),10000)</f>
        <v>10000</v>
      </c>
      <c r="I25" s="80"/>
    </row>
    <row r="26" spans="1:9" ht="13" x14ac:dyDescent="0.15">
      <c r="A26" s="5"/>
      <c r="B26" s="82">
        <f ca="1">IFERROR(__xludf.DUMMYFUNCTION("""COMPUTED_VALUE"""),44601.6668875694)</f>
        <v>44601.666887569401</v>
      </c>
      <c r="C26" s="79">
        <f ca="1">IFERROR(__xludf.DUMMYFUNCTION("""COMPUTED_VALUE"""),44601.6666666666)</f>
        <v>44601.666666666599</v>
      </c>
      <c r="D26" s="80" t="str">
        <f ca="1">IFERROR(__xludf.DUMMYFUNCTION("""COMPUTED_VALUE"""),"46220")</f>
        <v>46220</v>
      </c>
      <c r="E26" s="80" t="str">
        <f ca="1">IFERROR(__xludf.DUMMYFUNCTION("""COMPUTED_VALUE"""),"Stock")</f>
        <v>Stock</v>
      </c>
      <c r="F26" s="80" t="str">
        <f ca="1">IFERROR(__xludf.DUMMYFUNCTION("""COMPUTED_VALUE"""),"USD")</f>
        <v>USD</v>
      </c>
      <c r="G26" s="78" t="str">
        <f ca="1">IFERROR(__xludf.DUMMYFUNCTION("""COMPUTED_VALUE"""),"BTC-USD")</f>
        <v>BTC-USD</v>
      </c>
      <c r="H26" s="81">
        <f ca="1">IFERROR(__xludf.DUMMYFUNCTION("""COMPUTED_VALUE"""),5)</f>
        <v>5</v>
      </c>
      <c r="I26" s="80" t="str">
        <f ca="1">IFERROR(__xludf.DUMMYFUNCTION("""COMPUTED_VALUE"""),"Order rejected due to insufficient cash. 1 BTC = 43k USD = 344,000HKD.")</f>
        <v>Order rejected due to insufficient cash. 1 BTC = 43k USD = 344,000HKD.</v>
      </c>
    </row>
    <row r="27" spans="1:9" ht="13" x14ac:dyDescent="0.15">
      <c r="A27" s="5"/>
      <c r="B27" s="82">
        <f ca="1">IFERROR(__xludf.DUMMYFUNCTION("""COMPUTED_VALUE"""),44601.6835842939)</f>
        <v>44601.683584293904</v>
      </c>
      <c r="C27" s="79">
        <f ca="1">IFERROR(__xludf.DUMMYFUNCTION("""COMPUTED_VALUE"""),44601.6666666666)</f>
        <v>44601.666666666599</v>
      </c>
      <c r="D27" s="80" t="str">
        <f ca="1">IFERROR(__xludf.DUMMYFUNCTION("""COMPUTED_VALUE"""),"46220")</f>
        <v>46220</v>
      </c>
      <c r="E27" s="80" t="str">
        <f ca="1">IFERROR(__xludf.DUMMYFUNCTION("""COMPUTED_VALUE"""),"Stock")</f>
        <v>Stock</v>
      </c>
      <c r="F27" s="80" t="str">
        <f ca="1">IFERROR(__xludf.DUMMYFUNCTION("""COMPUTED_VALUE"""),"USD")</f>
        <v>USD</v>
      </c>
      <c r="G27" s="78" t="str">
        <f ca="1">IFERROR(__xludf.DUMMYFUNCTION("""COMPUTED_VALUE"""),"NFLX")</f>
        <v>NFLX</v>
      </c>
      <c r="H27" s="81">
        <f ca="1">IFERROR(__xludf.DUMMYFUNCTION("""COMPUTED_VALUE"""),15)</f>
        <v>15</v>
      </c>
      <c r="I27" s="80"/>
    </row>
    <row r="28" spans="1:9" ht="13" x14ac:dyDescent="0.15">
      <c r="A28" s="5"/>
      <c r="B28" s="82">
        <f ca="1">IFERROR(__xludf.DUMMYFUNCTION("""COMPUTED_VALUE"""),44601.6910579398)</f>
        <v>44601.691057939803</v>
      </c>
      <c r="C28" s="79">
        <f ca="1">IFERROR(__xludf.DUMMYFUNCTION("""COMPUTED_VALUE"""),44601.6666666666)</f>
        <v>44601.666666666599</v>
      </c>
      <c r="D28" s="80" t="str">
        <f ca="1">IFERROR(__xludf.DUMMYFUNCTION("""COMPUTED_VALUE"""),"76796")</f>
        <v>76796</v>
      </c>
      <c r="E28" s="80" t="str">
        <f ca="1">IFERROR(__xludf.DUMMYFUNCTION("""COMPUTED_VALUE"""),"Stock")</f>
        <v>Stock</v>
      </c>
      <c r="F28" s="80" t="str">
        <f ca="1">IFERROR(__xludf.DUMMYFUNCTION("""COMPUTED_VALUE"""),"USD")</f>
        <v>USD</v>
      </c>
      <c r="G28" s="78" t="str">
        <f ca="1">IFERROR(__xludf.DUMMYFUNCTION("""COMPUTED_VALUE"""),"MSFT")</f>
        <v>MSFT</v>
      </c>
      <c r="H28" s="81">
        <f ca="1">IFERROR(__xludf.DUMMYFUNCTION("""COMPUTED_VALUE"""),100)</f>
        <v>100</v>
      </c>
      <c r="I28" s="80"/>
    </row>
    <row r="29" spans="1:9" ht="13" x14ac:dyDescent="0.15">
      <c r="A29" s="5"/>
      <c r="B29" s="82">
        <f ca="1">IFERROR(__xludf.DUMMYFUNCTION("""COMPUTED_VALUE"""),44601.868654375)</f>
        <v>44601.868654375001</v>
      </c>
      <c r="C29" s="79" t="str">
        <f ca="1">IFERROR(__xludf.DUMMYFUNCTION("""COMPUTED_VALUE"""),"")</f>
        <v/>
      </c>
      <c r="D29" s="80" t="str">
        <f ca="1">IFERROR(__xludf.DUMMYFUNCTION("""COMPUTED_VALUE"""),"76975")</f>
        <v>76975</v>
      </c>
      <c r="E29" s="80" t="str">
        <f ca="1">IFERROR(__xludf.DUMMYFUNCTION("""COMPUTED_VALUE"""),"Stock")</f>
        <v>Stock</v>
      </c>
      <c r="F29" s="80" t="str">
        <f ca="1">IFERROR(__xludf.DUMMYFUNCTION("""COMPUTED_VALUE"""),"error")</f>
        <v>error</v>
      </c>
      <c r="G29" s="78" t="str">
        <f ca="1">IFERROR(__xludf.DUMMYFUNCTION("""COMPUTED_VALUE"""),"Tencent HK0700")</f>
        <v>Tencent HK0700</v>
      </c>
      <c r="H29" s="81">
        <f ca="1">IFERROR(__xludf.DUMMYFUNCTION("""COMPUTED_VALUE"""),207.13)</f>
        <v>207.13</v>
      </c>
      <c r="I29" s="80" t="str">
        <f ca="1">IFERROR(__xludf.DUMMYFUNCTION("""COMPUTED_VALUE"""),"Order rejected due to wrong ticker code. just need to type in 0700.HK")</f>
        <v>Order rejected due to wrong ticker code. just need to type in 0700.HK</v>
      </c>
    </row>
    <row r="30" spans="1:9" ht="13" x14ac:dyDescent="0.15">
      <c r="A30" s="5"/>
      <c r="B30" s="82">
        <f ca="1">IFERROR(__xludf.DUMMYFUNCTION("""COMPUTED_VALUE"""),44601.8752311689)</f>
        <v>44601.875231168902</v>
      </c>
      <c r="C30" s="79" t="str">
        <f ca="1">IFERROR(__xludf.DUMMYFUNCTION("""COMPUTED_VALUE"""),"")</f>
        <v/>
      </c>
      <c r="D30" s="80" t="str">
        <f ca="1">IFERROR(__xludf.DUMMYFUNCTION("""COMPUTED_VALUE"""),"73879")</f>
        <v>73879</v>
      </c>
      <c r="E30" s="80" t="str">
        <f ca="1">IFERROR(__xludf.DUMMYFUNCTION("""COMPUTED_VALUE"""),"Stock")</f>
        <v>Stock</v>
      </c>
      <c r="F30" s="80" t="str">
        <f ca="1">IFERROR(__xludf.DUMMYFUNCTION("""COMPUTED_VALUE"""),"error")</f>
        <v>error</v>
      </c>
      <c r="G30" s="78" t="str">
        <f ca="1">IFERROR(__xludf.DUMMYFUNCTION("""COMPUTED_VALUE"""),"Tencent HK0700")</f>
        <v>Tencent HK0700</v>
      </c>
      <c r="H30" s="81">
        <f ca="1">IFERROR(__xludf.DUMMYFUNCTION("""COMPUTED_VALUE"""),207.13)</f>
        <v>207.13</v>
      </c>
      <c r="I30" s="80" t="str">
        <f ca="1">IFERROR(__xludf.DUMMYFUNCTION("""COMPUTED_VALUE"""),"Order rejected due to wrong ticker code. just need to type in 0700.HK")</f>
        <v>Order rejected due to wrong ticker code. just need to type in 0700.HK</v>
      </c>
    </row>
    <row r="31" spans="1:9" ht="13" x14ac:dyDescent="0.15">
      <c r="A31" s="5"/>
      <c r="B31" s="82">
        <f ca="1">IFERROR(__xludf.DUMMYFUNCTION("""COMPUTED_VALUE"""),44601.8774620138)</f>
        <v>44601.877462013799</v>
      </c>
      <c r="C31" s="79">
        <f ca="1">IFERROR(__xludf.DUMMYFUNCTION("""COMPUTED_VALUE"""),44601.6666666666)</f>
        <v>44601.666666666599</v>
      </c>
      <c r="D31" s="80" t="str">
        <f ca="1">IFERROR(__xludf.DUMMYFUNCTION("""COMPUTED_VALUE"""),"36903")</f>
        <v>36903</v>
      </c>
      <c r="E31" s="80" t="str">
        <f ca="1">IFERROR(__xludf.DUMMYFUNCTION("""COMPUTED_VALUE"""),"Stock")</f>
        <v>Stock</v>
      </c>
      <c r="F31" s="80" t="str">
        <f ca="1">IFERROR(__xludf.DUMMYFUNCTION("""COMPUTED_VALUE"""),"USD")</f>
        <v>USD</v>
      </c>
      <c r="G31" s="78" t="str">
        <f ca="1">IFERROR(__xludf.DUMMYFUNCTION("""COMPUTED_VALUE"""),"FB")</f>
        <v>FB</v>
      </c>
      <c r="H31" s="81">
        <f ca="1">IFERROR(__xludf.DUMMYFUNCTION("""COMPUTED_VALUE"""),80)</f>
        <v>80</v>
      </c>
      <c r="I31" s="80"/>
    </row>
    <row r="32" spans="1:9" ht="13" x14ac:dyDescent="0.15">
      <c r="A32" s="5"/>
      <c r="B32" s="82">
        <f ca="1">IFERROR(__xludf.DUMMYFUNCTION("""COMPUTED_VALUE"""),44601.8786154745)</f>
        <v>44601.878615474503</v>
      </c>
      <c r="C32" s="79">
        <f ca="1">IFERROR(__xludf.DUMMYFUNCTION("""COMPUTED_VALUE"""),44601.6666666666)</f>
        <v>44601.666666666599</v>
      </c>
      <c r="D32" s="80" t="str">
        <f ca="1">IFERROR(__xludf.DUMMYFUNCTION("""COMPUTED_VALUE"""),"36903")</f>
        <v>36903</v>
      </c>
      <c r="E32" s="80" t="str">
        <f ca="1">IFERROR(__xludf.DUMMYFUNCTION("""COMPUTED_VALUE"""),"Stock")</f>
        <v>Stock</v>
      </c>
      <c r="F32" s="80" t="str">
        <f ca="1">IFERROR(__xludf.DUMMYFUNCTION("""COMPUTED_VALUE"""),"USD")</f>
        <v>USD</v>
      </c>
      <c r="G32" s="78" t="str">
        <f ca="1">IFERROR(__xludf.DUMMYFUNCTION("""COMPUTED_VALUE"""),"BMBL")</f>
        <v>BMBL</v>
      </c>
      <c r="H32" s="81">
        <f ca="1">IFERROR(__xludf.DUMMYFUNCTION("""COMPUTED_VALUE"""),500)</f>
        <v>500</v>
      </c>
      <c r="I32" s="80"/>
    </row>
    <row r="33" spans="1:9" ht="13" x14ac:dyDescent="0.15">
      <c r="A33" s="5"/>
      <c r="B33" s="82">
        <f ca="1">IFERROR(__xludf.DUMMYFUNCTION("""COMPUTED_VALUE"""),44601.8967205902)</f>
        <v>44601.896720590201</v>
      </c>
      <c r="C33" s="79">
        <f ca="1">IFERROR(__xludf.DUMMYFUNCTION("""COMPUTED_VALUE"""),44601.6666666666)</f>
        <v>44601.666666666599</v>
      </c>
      <c r="D33" s="80" t="str">
        <f ca="1">IFERROR(__xludf.DUMMYFUNCTION("""COMPUTED_VALUE"""),"36903")</f>
        <v>36903</v>
      </c>
      <c r="E33" s="80" t="str">
        <f ca="1">IFERROR(__xludf.DUMMYFUNCTION("""COMPUTED_VALUE"""),"Stock")</f>
        <v>Stock</v>
      </c>
      <c r="F33" s="80" t="str">
        <f ca="1">IFERROR(__xludf.DUMMYFUNCTION("""COMPUTED_VALUE"""),"USD")</f>
        <v>USD</v>
      </c>
      <c r="G33" s="78" t="str">
        <f ca="1">IFERROR(__xludf.DUMMYFUNCTION("""COMPUTED_VALUE"""),"NUSI")</f>
        <v>NUSI</v>
      </c>
      <c r="H33" s="81">
        <f ca="1">IFERROR(__xludf.DUMMYFUNCTION("""COMPUTED_VALUE"""),400)</f>
        <v>400</v>
      </c>
      <c r="I33" s="80"/>
    </row>
    <row r="34" spans="1:9" ht="13" x14ac:dyDescent="0.15">
      <c r="A34" s="5"/>
      <c r="B34" s="82">
        <f ca="1">IFERROR(__xludf.DUMMYFUNCTION("""COMPUTED_VALUE"""),44601.9501452199)</f>
        <v>44601.950145219897</v>
      </c>
      <c r="C34" s="79">
        <f ca="1">IFERROR(__xludf.DUMMYFUNCTION("""COMPUTED_VALUE"""),44601.6666666666)</f>
        <v>44601.666666666599</v>
      </c>
      <c r="D34" s="80" t="str">
        <f ca="1">IFERROR(__xludf.DUMMYFUNCTION("""COMPUTED_VALUE"""),"76975")</f>
        <v>76975</v>
      </c>
      <c r="E34" s="80" t="str">
        <f ca="1">IFERROR(__xludf.DUMMYFUNCTION("""COMPUTED_VALUE"""),"Stock")</f>
        <v>Stock</v>
      </c>
      <c r="F34" s="80" t="str">
        <f ca="1">IFERROR(__xludf.DUMMYFUNCTION("""COMPUTED_VALUE"""),"USD")</f>
        <v>USD</v>
      </c>
      <c r="G34" s="78" t="str">
        <f ca="1">IFERROR(__xludf.DUMMYFUNCTION("""COMPUTED_VALUE"""),"JD")</f>
        <v>JD</v>
      </c>
      <c r="H34" s="81">
        <f ca="1">IFERROR(__xludf.DUMMYFUNCTION("""COMPUTED_VALUE"""),1298)</f>
        <v>1298</v>
      </c>
      <c r="I34" s="80"/>
    </row>
    <row r="35" spans="1:9" ht="13" x14ac:dyDescent="0.15">
      <c r="A35" s="5"/>
      <c r="B35" s="82">
        <f ca="1">IFERROR(__xludf.DUMMYFUNCTION("""COMPUTED_VALUE"""),44602.0084027777)</f>
        <v>44602.008402777697</v>
      </c>
      <c r="C35" s="79">
        <f ca="1">IFERROR(__xludf.DUMMYFUNCTION("""COMPUTED_VALUE"""),44601.6666666666)</f>
        <v>44601.666666666599</v>
      </c>
      <c r="D35" s="80" t="str">
        <f ca="1">IFERROR(__xludf.DUMMYFUNCTION("""COMPUTED_VALUE"""),"89750")</f>
        <v>89750</v>
      </c>
      <c r="E35" s="80" t="str">
        <f ca="1">IFERROR(__xludf.DUMMYFUNCTION("""COMPUTED_VALUE"""),"Option")</f>
        <v>Option</v>
      </c>
      <c r="F35" s="80" t="str">
        <f ca="1">IFERROR(__xludf.DUMMYFUNCTION("""COMPUTED_VALUE"""),"USD")</f>
        <v>USD</v>
      </c>
      <c r="G35" s="78" t="str">
        <f ca="1">IFERROR(__xludf.DUMMYFUNCTION("""COMPUTED_VALUE"""),"SOXL220225C59000")</f>
        <v>SOXL220225C59000</v>
      </c>
      <c r="H35" s="81">
        <f ca="1">IFERROR(__xludf.DUMMYFUNCTION("""COMPUTED_VALUE"""),40)</f>
        <v>40</v>
      </c>
      <c r="I35" s="80" t="str">
        <f ca="1">IFERROR(__xludf.DUMMYFUNCTION("""COMPUTED_VALUE"""),"SOXL220225C00059000 should be the right ticker, 3 zeros missing")</f>
        <v>SOXL220225C00059000 should be the right ticker, 3 zeros missing</v>
      </c>
    </row>
    <row r="36" spans="1:9" ht="13" x14ac:dyDescent="0.15">
      <c r="A36" s="5"/>
      <c r="B36" s="82">
        <f ca="1">IFERROR(__xludf.DUMMYFUNCTION("""COMPUTED_VALUE"""),44602.0226041666)</f>
        <v>44602.022604166603</v>
      </c>
      <c r="C36" s="79">
        <f ca="1">IFERROR(__xludf.DUMMYFUNCTION("""COMPUTED_VALUE"""),44601.6666666666)</f>
        <v>44601.666666666599</v>
      </c>
      <c r="D36" s="80" t="str">
        <f ca="1">IFERROR(__xludf.DUMMYFUNCTION("""COMPUTED_VALUE"""),"75415")</f>
        <v>75415</v>
      </c>
      <c r="E36" s="80" t="str">
        <f ca="1">IFERROR(__xludf.DUMMYFUNCTION("""COMPUTED_VALUE"""),"Stock")</f>
        <v>Stock</v>
      </c>
      <c r="F36" s="80" t="str">
        <f ca="1">IFERROR(__xludf.DUMMYFUNCTION("""COMPUTED_VALUE"""),"USD")</f>
        <v>USD</v>
      </c>
      <c r="G36" s="78" t="str">
        <f ca="1">IFERROR(__xludf.DUMMYFUNCTION("""COMPUTED_VALUE"""),"GBTC")</f>
        <v>GBTC</v>
      </c>
      <c r="H36" s="81">
        <f ca="1">IFERROR(__xludf.DUMMYFUNCTION("""COMPUTED_VALUE"""),415)</f>
        <v>415</v>
      </c>
      <c r="I36" s="80"/>
    </row>
    <row r="37" spans="1:9" ht="13" x14ac:dyDescent="0.15">
      <c r="A37" s="5"/>
      <c r="B37" s="82">
        <f ca="1">IFERROR(__xludf.DUMMYFUNCTION("""COMPUTED_VALUE"""),44602.41340875)</f>
        <v>44602.413408749999</v>
      </c>
      <c r="C37" s="79">
        <f ca="1">IFERROR(__xludf.DUMMYFUNCTION("""COMPUTED_VALUE"""),44602.6666666666)</f>
        <v>44602.666666666599</v>
      </c>
      <c r="D37" s="80" t="str">
        <f ca="1">IFERROR(__xludf.DUMMYFUNCTION("""COMPUTED_VALUE"""),"89750")</f>
        <v>89750</v>
      </c>
      <c r="E37" s="80" t="str">
        <f ca="1">IFERROR(__xludf.DUMMYFUNCTION("""COMPUTED_VALUE"""),"Stock")</f>
        <v>Stock</v>
      </c>
      <c r="F37" s="80" t="str">
        <f ca="1">IFERROR(__xludf.DUMMYFUNCTION("""COMPUTED_VALUE"""),"HKD")</f>
        <v>HKD</v>
      </c>
      <c r="G37" s="83" t="str">
        <f ca="1">IFERROR(__xludf.DUMMYFUNCTION("""COMPUTED_VALUE"""),"3690.HK")</f>
        <v>3690.HK</v>
      </c>
      <c r="H37" s="81">
        <f ca="1">IFERROR(__xludf.DUMMYFUNCTION("""COMPUTED_VALUE"""),500)</f>
        <v>500</v>
      </c>
      <c r="I37" s="80"/>
    </row>
    <row r="38" spans="1:9" ht="13" x14ac:dyDescent="0.15">
      <c r="A38" s="5"/>
      <c r="B38" s="82">
        <f ca="1">IFERROR(__xludf.DUMMYFUNCTION("""COMPUTED_VALUE"""),44602.4603170949)</f>
        <v>44602.460317094898</v>
      </c>
      <c r="C38" s="79">
        <f ca="1">IFERROR(__xludf.DUMMYFUNCTION("""COMPUTED_VALUE"""),44602.6666666666)</f>
        <v>44602.666666666599</v>
      </c>
      <c r="D38" s="80" t="str">
        <f ca="1">IFERROR(__xludf.DUMMYFUNCTION("""COMPUTED_VALUE"""),"76369")</f>
        <v>76369</v>
      </c>
      <c r="E38" s="80" t="str">
        <f ca="1">IFERROR(__xludf.DUMMYFUNCTION("""COMPUTED_VALUE"""),"Stock")</f>
        <v>Stock</v>
      </c>
      <c r="F38" s="80" t="str">
        <f ca="1">IFERROR(__xludf.DUMMYFUNCTION("""COMPUTED_VALUE"""),"USD")</f>
        <v>USD</v>
      </c>
      <c r="G38" s="78" t="str">
        <f ca="1">IFERROR(__xludf.DUMMYFUNCTION("""COMPUTED_VALUE"""),"XPEV")</f>
        <v>XPEV</v>
      </c>
      <c r="H38" s="81">
        <f ca="1">IFERROR(__xludf.DUMMYFUNCTION("""COMPUTED_VALUE"""),5)</f>
        <v>5</v>
      </c>
      <c r="I38" s="80"/>
    </row>
    <row r="39" spans="1:9" ht="13" x14ac:dyDescent="0.15">
      <c r="A39" s="5"/>
      <c r="B39" s="82">
        <f ca="1">IFERROR(__xludf.DUMMYFUNCTION("""COMPUTED_VALUE"""),44602.4630199768)</f>
        <v>44602.4630199768</v>
      </c>
      <c r="C39" s="79">
        <f ca="1">IFERROR(__xludf.DUMMYFUNCTION("""COMPUTED_VALUE"""),44602.6666666666)</f>
        <v>44602.666666666599</v>
      </c>
      <c r="D39" s="80" t="str">
        <f ca="1">IFERROR(__xludf.DUMMYFUNCTION("""COMPUTED_VALUE"""),"76369")</f>
        <v>76369</v>
      </c>
      <c r="E39" s="80" t="str">
        <f ca="1">IFERROR(__xludf.DUMMYFUNCTION("""COMPUTED_VALUE"""),"Stock")</f>
        <v>Stock</v>
      </c>
      <c r="F39" s="80" t="str">
        <f ca="1">IFERROR(__xludf.DUMMYFUNCTION("""COMPUTED_VALUE"""),"USD")</f>
        <v>USD</v>
      </c>
      <c r="G39" s="78" t="str">
        <f ca="1">IFERROR(__xludf.DUMMYFUNCTION("""COMPUTED_VALUE"""),"MGM")</f>
        <v>MGM</v>
      </c>
      <c r="H39" s="81">
        <f ca="1">IFERROR(__xludf.DUMMYFUNCTION("""COMPUTED_VALUE"""),5)</f>
        <v>5</v>
      </c>
      <c r="I39" s="80"/>
    </row>
    <row r="40" spans="1:9" ht="13" x14ac:dyDescent="0.15">
      <c r="A40" s="5"/>
      <c r="B40" s="82">
        <f ca="1">IFERROR(__xludf.DUMMYFUNCTION("""COMPUTED_VALUE"""),44602.4645397106)</f>
        <v>44602.4645397106</v>
      </c>
      <c r="C40" s="79">
        <f ca="1">IFERROR(__xludf.DUMMYFUNCTION("""COMPUTED_VALUE"""),44602.6666666666)</f>
        <v>44602.666666666599</v>
      </c>
      <c r="D40" s="80" t="str">
        <f ca="1">IFERROR(__xludf.DUMMYFUNCTION("""COMPUTED_VALUE"""),"74641")</f>
        <v>74641</v>
      </c>
      <c r="E40" s="80" t="str">
        <f ca="1">IFERROR(__xludf.DUMMYFUNCTION("""COMPUTED_VALUE"""),"Time Deposit")</f>
        <v>Time Deposit</v>
      </c>
      <c r="F40" s="80" t="str">
        <f ca="1">IFERROR(__xludf.DUMMYFUNCTION("""COMPUTED_VALUE"""),"HKD")</f>
        <v>HKD</v>
      </c>
      <c r="G40" s="78" t="str">
        <f ca="1">IFERROR(__xludf.DUMMYFUNCTION("""COMPUTED_VALUE"""),"time deposit ")</f>
        <v xml:space="preserve">time deposit </v>
      </c>
      <c r="H40" s="81" t="str">
        <f ca="1">IFERROR(__xludf.DUMMYFUNCTION("""COMPUTED_VALUE"""),"1m")</f>
        <v>1m</v>
      </c>
      <c r="I40" s="80"/>
    </row>
    <row r="41" spans="1:9" ht="13" x14ac:dyDescent="0.15">
      <c r="A41" s="5"/>
      <c r="B41" s="82">
        <f ca="1">IFERROR(__xludf.DUMMYFUNCTION("""COMPUTED_VALUE"""),44602.4736579513)</f>
        <v>44602.473657951297</v>
      </c>
      <c r="C41" s="79">
        <f ca="1">IFERROR(__xludf.DUMMYFUNCTION("""COMPUTED_VALUE"""),44602.625)</f>
        <v>44602.625</v>
      </c>
      <c r="D41" s="80" t="str">
        <f ca="1">IFERROR(__xludf.DUMMYFUNCTION("""COMPUTED_VALUE"""),"74641")</f>
        <v>74641</v>
      </c>
      <c r="E41" s="80" t="str">
        <f ca="1">IFERROR(__xludf.DUMMYFUNCTION("""COMPUTED_VALUE"""),"Stock")</f>
        <v>Stock</v>
      </c>
      <c r="F41" s="80" t="str">
        <f ca="1">IFERROR(__xludf.DUMMYFUNCTION("""COMPUTED_VALUE"""),"CNY")</f>
        <v>CNY</v>
      </c>
      <c r="G41" s="83" t="str">
        <f ca="1">IFERROR(__xludf.DUMMYFUNCTION("""COMPUTED_VALUE"""),"601168.ss")</f>
        <v>601168.ss</v>
      </c>
      <c r="H41" s="81">
        <f ca="1">IFERROR(__xludf.DUMMYFUNCTION("""COMPUTED_VALUE"""),100)</f>
        <v>100</v>
      </c>
      <c r="I41" s="80"/>
    </row>
    <row r="42" spans="1:9" ht="13" x14ac:dyDescent="0.15">
      <c r="A42" s="5"/>
      <c r="B42" s="82">
        <f ca="1">IFERROR(__xludf.DUMMYFUNCTION("""COMPUTED_VALUE"""),44602.6034518287)</f>
        <v>44602.603451828698</v>
      </c>
      <c r="C42" s="79">
        <f ca="1">IFERROR(__xludf.DUMMYFUNCTION("""COMPUTED_VALUE"""),44602.6666666666)</f>
        <v>44602.666666666599</v>
      </c>
      <c r="D42" s="80" t="str">
        <f ca="1">IFERROR(__xludf.DUMMYFUNCTION("""COMPUTED_VALUE"""),"46220")</f>
        <v>46220</v>
      </c>
      <c r="E42" s="80" t="str">
        <f ca="1">IFERROR(__xludf.DUMMYFUNCTION("""COMPUTED_VALUE"""),"Stock")</f>
        <v>Stock</v>
      </c>
      <c r="F42" s="80" t="str">
        <f ca="1">IFERROR(__xludf.DUMMYFUNCTION("""COMPUTED_VALUE"""),"USD")</f>
        <v>USD</v>
      </c>
      <c r="G42" s="78" t="str">
        <f ca="1">IFERROR(__xludf.DUMMYFUNCTION("""COMPUTED_VALUE"""),"MCD")</f>
        <v>MCD</v>
      </c>
      <c r="H42" s="81">
        <f ca="1">IFERROR(__xludf.DUMMYFUNCTION("""COMPUTED_VALUE"""),10)</f>
        <v>10</v>
      </c>
      <c r="I42" s="80"/>
    </row>
    <row r="43" spans="1:9" ht="13" x14ac:dyDescent="0.15">
      <c r="A43" s="5"/>
      <c r="B43" s="82">
        <f ca="1">IFERROR(__xludf.DUMMYFUNCTION("""COMPUTED_VALUE"""),44602.6801662731)</f>
        <v>44602.680166273101</v>
      </c>
      <c r="C43" s="79">
        <f ca="1">IFERROR(__xludf.DUMMYFUNCTION("""COMPUTED_VALUE"""),44602.6666666666)</f>
        <v>44602.666666666599</v>
      </c>
      <c r="D43" s="80" t="str">
        <f ca="1">IFERROR(__xludf.DUMMYFUNCTION("""COMPUTED_VALUE"""),"39441")</f>
        <v>39441</v>
      </c>
      <c r="E43" s="80" t="str">
        <f ca="1">IFERROR(__xludf.DUMMYFUNCTION("""COMPUTED_VALUE"""),"Stock")</f>
        <v>Stock</v>
      </c>
      <c r="F43" s="80" t="str">
        <f ca="1">IFERROR(__xludf.DUMMYFUNCTION("""COMPUTED_VALUE"""),"USD")</f>
        <v>USD</v>
      </c>
      <c r="G43" s="78" t="str">
        <f ca="1">IFERROR(__xludf.DUMMYFUNCTION("""COMPUTED_VALUE"""),"AMZN")</f>
        <v>AMZN</v>
      </c>
      <c r="H43" s="81">
        <f ca="1">IFERROR(__xludf.DUMMYFUNCTION("""COMPUTED_VALUE"""),6)</f>
        <v>6</v>
      </c>
      <c r="I43" s="80"/>
    </row>
    <row r="44" spans="1:9" ht="13" x14ac:dyDescent="0.15">
      <c r="A44" s="5"/>
      <c r="B44" s="82">
        <f ca="1">IFERROR(__xludf.DUMMYFUNCTION("""COMPUTED_VALUE"""),44602.6821970833)</f>
        <v>44602.682197083297</v>
      </c>
      <c r="C44" s="79">
        <f ca="1">IFERROR(__xludf.DUMMYFUNCTION("""COMPUTED_VALUE"""),44602.6666666666)</f>
        <v>44602.666666666599</v>
      </c>
      <c r="D44" s="80" t="str">
        <f ca="1">IFERROR(__xludf.DUMMYFUNCTION("""COMPUTED_VALUE"""),"39441")</f>
        <v>39441</v>
      </c>
      <c r="E44" s="80" t="str">
        <f ca="1">IFERROR(__xludf.DUMMYFUNCTION("""COMPUTED_VALUE"""),"Stock")</f>
        <v>Stock</v>
      </c>
      <c r="F44" s="80" t="str">
        <f ca="1">IFERROR(__xludf.DUMMYFUNCTION("""COMPUTED_VALUE"""),"USD")</f>
        <v>USD</v>
      </c>
      <c r="G44" s="78" t="str">
        <f ca="1">IFERROR(__xludf.DUMMYFUNCTION("""COMPUTED_VALUE"""),"GOOG")</f>
        <v>GOOG</v>
      </c>
      <c r="H44" s="81">
        <f ca="1">IFERROR(__xludf.DUMMYFUNCTION("""COMPUTED_VALUE"""),5)</f>
        <v>5</v>
      </c>
      <c r="I44" s="80"/>
    </row>
    <row r="45" spans="1:9" ht="13" x14ac:dyDescent="0.15">
      <c r="A45" s="5"/>
      <c r="B45" s="82">
        <f ca="1">IFERROR(__xludf.DUMMYFUNCTION("""COMPUTED_VALUE"""),44602.9232126851)</f>
        <v>44602.923212685098</v>
      </c>
      <c r="C45" s="79" t="str">
        <f ca="1">IFERROR(__xludf.DUMMYFUNCTION("""COMPUTED_VALUE"""),"")</f>
        <v/>
      </c>
      <c r="D45" s="80" t="str">
        <f ca="1">IFERROR(__xludf.DUMMYFUNCTION("""COMPUTED_VALUE"""),"76975")</f>
        <v>76975</v>
      </c>
      <c r="E45" s="80" t="str">
        <f ca="1">IFERROR(__xludf.DUMMYFUNCTION("""COMPUTED_VALUE"""),"Stock")</f>
        <v>Stock</v>
      </c>
      <c r="F45" s="80" t="str">
        <f ca="1">IFERROR(__xludf.DUMMYFUNCTION("""COMPUTED_VALUE"""),"error")</f>
        <v>error</v>
      </c>
      <c r="G45" s="78" t="str">
        <f ca="1">IFERROR(__xludf.DUMMYFUNCTION("""COMPUTED_VALUE"""),"Tencent HK0700")</f>
        <v>Tencent HK0700</v>
      </c>
      <c r="H45" s="81">
        <f ca="1">IFERROR(__xludf.DUMMYFUNCTION("""COMPUTED_VALUE"""),206)</f>
        <v>206</v>
      </c>
      <c r="I45" s="80" t="str">
        <f ca="1">IFERROR(__xludf.DUMMYFUNCTION("""COMPUTED_VALUE"""),"Order rejected due to wrong ticker code. just need to type in 0700.HK")</f>
        <v>Order rejected due to wrong ticker code. just need to type in 0700.HK</v>
      </c>
    </row>
    <row r="46" spans="1:9" ht="13" x14ac:dyDescent="0.15">
      <c r="A46" s="5"/>
      <c r="B46" s="82">
        <f ca="1">IFERROR(__xludf.DUMMYFUNCTION("""COMPUTED_VALUE"""),44602.9737353588)</f>
        <v>44602.973735358799</v>
      </c>
      <c r="C46" s="79">
        <f ca="1">IFERROR(__xludf.DUMMYFUNCTION("""COMPUTED_VALUE"""),44603.6666666666)</f>
        <v>44603.666666666599</v>
      </c>
      <c r="D46" s="80" t="str">
        <f ca="1">IFERROR(__xludf.DUMMYFUNCTION("""COMPUTED_VALUE"""),"39441")</f>
        <v>39441</v>
      </c>
      <c r="E46" s="80" t="str">
        <f ca="1">IFERROR(__xludf.DUMMYFUNCTION("""COMPUTED_VALUE"""),"Time Deposit")</f>
        <v>Time Deposit</v>
      </c>
      <c r="F46" s="80" t="str">
        <f ca="1">IFERROR(__xludf.DUMMYFUNCTION("""COMPUTED_VALUE"""),"HKD")</f>
        <v>HKD</v>
      </c>
      <c r="G46" s="78" t="str">
        <f ca="1">IFERROR(__xludf.DUMMYFUNCTION("""COMPUTED_VALUE"""),"3m")</f>
        <v>3m</v>
      </c>
      <c r="H46" s="81">
        <f ca="1">IFERROR(__xludf.DUMMYFUNCTION("""COMPUTED_VALUE"""),100000)</f>
        <v>100000</v>
      </c>
      <c r="I46" s="80"/>
    </row>
    <row r="47" spans="1:9" ht="13" x14ac:dyDescent="0.15">
      <c r="A47" s="5"/>
      <c r="B47" s="82">
        <f ca="1">IFERROR(__xludf.DUMMYFUNCTION("""COMPUTED_VALUE"""),44603.3780909027)</f>
        <v>44603.378090902697</v>
      </c>
      <c r="C47" s="79">
        <f ca="1">IFERROR(__xludf.DUMMYFUNCTION("""COMPUTED_VALUE"""),44603.6666666666)</f>
        <v>44603.666666666599</v>
      </c>
      <c r="D47" s="80" t="str">
        <f ca="1">IFERROR(__xludf.DUMMYFUNCTION("""COMPUTED_VALUE"""),"46699")</f>
        <v>46699</v>
      </c>
      <c r="E47" s="80" t="str">
        <f ca="1">IFERROR(__xludf.DUMMYFUNCTION("""COMPUTED_VALUE"""),"Stock")</f>
        <v>Stock</v>
      </c>
      <c r="F47" s="80" t="str">
        <f ca="1">IFERROR(__xludf.DUMMYFUNCTION("""COMPUTED_VALUE"""),"USD")</f>
        <v>USD</v>
      </c>
      <c r="G47" s="78" t="str">
        <f ca="1">IFERROR(__xludf.DUMMYFUNCTION("""COMPUTED_VALUE"""),"NFLX")</f>
        <v>NFLX</v>
      </c>
      <c r="H47" s="81">
        <f ca="1">IFERROR(__xludf.DUMMYFUNCTION("""COMPUTED_VALUE"""),20)</f>
        <v>20</v>
      </c>
      <c r="I47" s="80"/>
    </row>
    <row r="48" spans="1:9" ht="13" x14ac:dyDescent="0.15">
      <c r="A48" s="5"/>
      <c r="B48" s="82">
        <f ca="1">IFERROR(__xludf.DUMMYFUNCTION("""COMPUTED_VALUE"""),44603.469490787)</f>
        <v>44603.469490787</v>
      </c>
      <c r="C48" s="79">
        <f ca="1">IFERROR(__xludf.DUMMYFUNCTION("""COMPUTED_VALUE"""),44603.6666666666)</f>
        <v>44603.666666666599</v>
      </c>
      <c r="D48" s="80" t="str">
        <f ca="1">IFERROR(__xludf.DUMMYFUNCTION("""COMPUTED_VALUE"""),"69930")</f>
        <v>69930</v>
      </c>
      <c r="E48" s="80" t="str">
        <f ca="1">IFERROR(__xludf.DUMMYFUNCTION("""COMPUTED_VALUE"""),"Stock")</f>
        <v>Stock</v>
      </c>
      <c r="F48" s="80" t="str">
        <f ca="1">IFERROR(__xludf.DUMMYFUNCTION("""COMPUTED_VALUE"""),"HKD")</f>
        <v>HKD</v>
      </c>
      <c r="G48" s="83" t="str">
        <f ca="1">IFERROR(__xludf.DUMMYFUNCTION("""COMPUTED_VALUE"""),"2318.HK")</f>
        <v>2318.HK</v>
      </c>
      <c r="H48" s="81">
        <f ca="1">IFERROR(__xludf.DUMMYFUNCTION("""COMPUTED_VALUE"""),100)</f>
        <v>100</v>
      </c>
      <c r="I48" s="80"/>
    </row>
    <row r="49" spans="1:9" ht="13" x14ac:dyDescent="0.15">
      <c r="A49" s="5"/>
      <c r="B49" s="82">
        <f ca="1">IFERROR(__xludf.DUMMYFUNCTION("""COMPUTED_VALUE"""),44603.497145625)</f>
        <v>44603.497145624999</v>
      </c>
      <c r="C49" s="79" t="str">
        <f ca="1">IFERROR(__xludf.DUMMYFUNCTION("""COMPUTED_VALUE"""),"")</f>
        <v/>
      </c>
      <c r="D49" s="80" t="str">
        <f ca="1">IFERROR(__xludf.DUMMYFUNCTION("""COMPUTED_VALUE"""),"76975")</f>
        <v>76975</v>
      </c>
      <c r="E49" s="80" t="str">
        <f ca="1">IFERROR(__xludf.DUMMYFUNCTION("""COMPUTED_VALUE"""),"Stock")</f>
        <v>Stock</v>
      </c>
      <c r="F49" s="80" t="str">
        <f ca="1">IFERROR(__xludf.DUMMYFUNCTION("""COMPUTED_VALUE"""),"error")</f>
        <v>error</v>
      </c>
      <c r="G49" s="78" t="str">
        <f ca="1">IFERROR(__xludf.DUMMYFUNCTION("""COMPUTED_VALUE"""),"Tencent HK 0700")</f>
        <v>Tencent HK 0700</v>
      </c>
      <c r="H49" s="81">
        <f ca="1">IFERROR(__xludf.DUMMYFUNCTION("""COMPUTED_VALUE"""),208)</f>
        <v>208</v>
      </c>
      <c r="I49" s="80" t="str">
        <f ca="1">IFERROR(__xludf.DUMMYFUNCTION("""COMPUTED_VALUE"""),"Order rejected due to wrong ticker code. just need to type in 0700.HK")</f>
        <v>Order rejected due to wrong ticker code. just need to type in 0700.HK</v>
      </c>
    </row>
    <row r="50" spans="1:9" ht="13" x14ac:dyDescent="0.15">
      <c r="A50" s="5"/>
      <c r="B50" s="82">
        <f ca="1">IFERROR(__xludf.DUMMYFUNCTION("""COMPUTED_VALUE"""),44603.5002928125)</f>
        <v>44603.500292812503</v>
      </c>
      <c r="C50" s="79" t="str">
        <f ca="1">IFERROR(__xludf.DUMMYFUNCTION("""COMPUTED_VALUE"""),"")</f>
        <v/>
      </c>
      <c r="D50" s="80" t="str">
        <f ca="1">IFERROR(__xludf.DUMMYFUNCTION("""COMPUTED_VALUE"""),"76975")</f>
        <v>76975</v>
      </c>
      <c r="E50" s="80" t="str">
        <f ca="1">IFERROR(__xludf.DUMMYFUNCTION("""COMPUTED_VALUE"""),"Stock")</f>
        <v>Stock</v>
      </c>
      <c r="F50" s="80" t="str">
        <f ca="1">IFERROR(__xludf.DUMMYFUNCTION("""COMPUTED_VALUE"""),"error")</f>
        <v>error</v>
      </c>
      <c r="G50" s="78" t="str">
        <f ca="1">IFERROR(__xludf.DUMMYFUNCTION("""COMPUTED_VALUE"""),"Tencent")</f>
        <v>Tencent</v>
      </c>
      <c r="H50" s="81">
        <f ca="1">IFERROR(__xludf.DUMMYFUNCTION("""COMPUTED_VALUE"""),208)</f>
        <v>208</v>
      </c>
      <c r="I50" s="80" t="str">
        <f ca="1">IFERROR(__xludf.DUMMYFUNCTION("""COMPUTED_VALUE"""),"Order rejected due to wrong ticker code. just need to type in 0700.HK")</f>
        <v>Order rejected due to wrong ticker code. just need to type in 0700.HK</v>
      </c>
    </row>
    <row r="51" spans="1:9" ht="13" x14ac:dyDescent="0.15">
      <c r="A51" s="5"/>
      <c r="B51" s="82">
        <f ca="1">IFERROR(__xludf.DUMMYFUNCTION("""COMPUTED_VALUE"""),44603.647139155)</f>
        <v>44603.647139155</v>
      </c>
      <c r="C51" s="79">
        <f ca="1">IFERROR(__xludf.DUMMYFUNCTION("""COMPUTED_VALUE"""),44603.6666666666)</f>
        <v>44603.666666666599</v>
      </c>
      <c r="D51" s="80" t="str">
        <f ca="1">IFERROR(__xludf.DUMMYFUNCTION("""COMPUTED_VALUE"""),"89750")</f>
        <v>89750</v>
      </c>
      <c r="E51" s="80" t="str">
        <f ca="1">IFERROR(__xludf.DUMMYFUNCTION("""COMPUTED_VALUE"""),"Stock")</f>
        <v>Stock</v>
      </c>
      <c r="F51" s="80" t="str">
        <f ca="1">IFERROR(__xludf.DUMMYFUNCTION("""COMPUTED_VALUE"""),"HKD")</f>
        <v>HKD</v>
      </c>
      <c r="G51" s="83" t="str">
        <f ca="1">IFERROR(__xludf.DUMMYFUNCTION("""COMPUTED_VALUE"""),"2269.HK")</f>
        <v>2269.HK</v>
      </c>
      <c r="H51" s="81">
        <f ca="1">IFERROR(__xludf.DUMMYFUNCTION("""COMPUTED_VALUE"""),2000)</f>
        <v>2000</v>
      </c>
      <c r="I51" s="80"/>
    </row>
    <row r="52" spans="1:9" ht="13" x14ac:dyDescent="0.15">
      <c r="A52" s="5"/>
      <c r="B52" s="82">
        <f ca="1">IFERROR(__xludf.DUMMYFUNCTION("""COMPUTED_VALUE"""),44603.6490575462)</f>
        <v>44603.649057546201</v>
      </c>
      <c r="C52" s="79">
        <f ca="1">IFERROR(__xludf.DUMMYFUNCTION("""COMPUTED_VALUE"""),44603.6666666666)</f>
        <v>44603.666666666599</v>
      </c>
      <c r="D52" s="80" t="str">
        <f ca="1">IFERROR(__xludf.DUMMYFUNCTION("""COMPUTED_VALUE"""),"76848")</f>
        <v>76848</v>
      </c>
      <c r="E52" s="80" t="str">
        <f ca="1">IFERROR(__xludf.DUMMYFUNCTION("""COMPUTED_VALUE"""),"Stock")</f>
        <v>Stock</v>
      </c>
      <c r="F52" s="80" t="str">
        <f ca="1">IFERROR(__xludf.DUMMYFUNCTION("""COMPUTED_VALUE"""),"USD")</f>
        <v>USD</v>
      </c>
      <c r="G52" s="78" t="str">
        <f ca="1">IFERROR(__xludf.DUMMYFUNCTION("""COMPUTED_VALUE"""),"NET")</f>
        <v>NET</v>
      </c>
      <c r="H52" s="81">
        <f ca="1">IFERROR(__xludf.DUMMYFUNCTION("""COMPUTED_VALUE"""),10)</f>
        <v>10</v>
      </c>
      <c r="I52" s="80"/>
    </row>
    <row r="53" spans="1:9" ht="13" x14ac:dyDescent="0.15">
      <c r="A53" s="5"/>
      <c r="B53" s="82">
        <f ca="1">IFERROR(__xludf.DUMMYFUNCTION("""COMPUTED_VALUE"""),44603.6494215509)</f>
        <v>44603.649421550901</v>
      </c>
      <c r="C53" s="79">
        <f ca="1">IFERROR(__xludf.DUMMYFUNCTION("""COMPUTED_VALUE"""),44603.6666666666)</f>
        <v>44603.666666666599</v>
      </c>
      <c r="D53" s="80" t="str">
        <f ca="1">IFERROR(__xludf.DUMMYFUNCTION("""COMPUTED_VALUE"""),"74356")</f>
        <v>74356</v>
      </c>
      <c r="E53" s="80" t="str">
        <f ca="1">IFERROR(__xludf.DUMMYFUNCTION("""COMPUTED_VALUE"""),"Stock")</f>
        <v>Stock</v>
      </c>
      <c r="F53" s="80" t="str">
        <f ca="1">IFERROR(__xludf.DUMMYFUNCTION("""COMPUTED_VALUE"""),"USD")</f>
        <v>USD</v>
      </c>
      <c r="G53" s="78" t="str">
        <f ca="1">IFERROR(__xludf.DUMMYFUNCTION("""COMPUTED_VALUE"""),"NET")</f>
        <v>NET</v>
      </c>
      <c r="H53" s="81">
        <f ca="1">IFERROR(__xludf.DUMMYFUNCTION("""COMPUTED_VALUE"""),10)</f>
        <v>10</v>
      </c>
      <c r="I53" s="80"/>
    </row>
    <row r="54" spans="1:9" ht="13" x14ac:dyDescent="0.15">
      <c r="A54" s="5"/>
      <c r="B54" s="82">
        <f ca="1">IFERROR(__xludf.DUMMYFUNCTION("""COMPUTED_VALUE"""),44603.6582995949)</f>
        <v>44603.658299594899</v>
      </c>
      <c r="C54" s="79">
        <f ca="1">IFERROR(__xludf.DUMMYFUNCTION("""COMPUTED_VALUE"""),44603.6666666666)</f>
        <v>44603.666666666599</v>
      </c>
      <c r="D54" s="80" t="str">
        <f ca="1">IFERROR(__xludf.DUMMYFUNCTION("""COMPUTED_VALUE"""),"76848")</f>
        <v>76848</v>
      </c>
      <c r="E54" s="80" t="str">
        <f ca="1">IFERROR(__xludf.DUMMYFUNCTION("""COMPUTED_VALUE"""),"Stock")</f>
        <v>Stock</v>
      </c>
      <c r="F54" s="80" t="str">
        <f ca="1">IFERROR(__xludf.DUMMYFUNCTION("""COMPUTED_VALUE"""),"HKD")</f>
        <v>HKD</v>
      </c>
      <c r="G54" s="83" t="str">
        <f ca="1">IFERROR(__xludf.DUMMYFUNCTION("""COMPUTED_VALUE"""),"1398.HK")</f>
        <v>1398.HK</v>
      </c>
      <c r="H54" s="81">
        <f ca="1">IFERROR(__xludf.DUMMYFUNCTION("""COMPUTED_VALUE"""),500)</f>
        <v>500</v>
      </c>
      <c r="I54" s="80"/>
    </row>
    <row r="55" spans="1:9" ht="13" x14ac:dyDescent="0.15">
      <c r="A55" s="5"/>
      <c r="B55" s="82">
        <f ca="1">IFERROR(__xludf.DUMMYFUNCTION("""COMPUTED_VALUE"""),44603.6587238773)</f>
        <v>44603.658723877299</v>
      </c>
      <c r="C55" s="79">
        <f ca="1">IFERROR(__xludf.DUMMYFUNCTION("""COMPUTED_VALUE"""),44603.6666666666)</f>
        <v>44603.666666666599</v>
      </c>
      <c r="D55" s="80" t="str">
        <f ca="1">IFERROR(__xludf.DUMMYFUNCTION("""COMPUTED_VALUE"""),"74356")</f>
        <v>74356</v>
      </c>
      <c r="E55" s="80" t="str">
        <f ca="1">IFERROR(__xludf.DUMMYFUNCTION("""COMPUTED_VALUE"""),"Stock")</f>
        <v>Stock</v>
      </c>
      <c r="F55" s="80" t="str">
        <f ca="1">IFERROR(__xludf.DUMMYFUNCTION("""COMPUTED_VALUE"""),"HKD")</f>
        <v>HKD</v>
      </c>
      <c r="G55" s="83" t="str">
        <f ca="1">IFERROR(__xludf.DUMMYFUNCTION("""COMPUTED_VALUE"""),"1398.HK")</f>
        <v>1398.HK</v>
      </c>
      <c r="H55" s="81">
        <f ca="1">IFERROR(__xludf.DUMMYFUNCTION("""COMPUTED_VALUE"""),500)</f>
        <v>500</v>
      </c>
      <c r="I55" s="80"/>
    </row>
    <row r="56" spans="1:9" ht="13" x14ac:dyDescent="0.15">
      <c r="A56" s="5"/>
      <c r="B56" s="82">
        <f ca="1">IFERROR(__xludf.DUMMYFUNCTION("""COMPUTED_VALUE"""),44603.6968006597)</f>
        <v>44603.696800659702</v>
      </c>
      <c r="C56" s="79" t="str">
        <f ca="1">IFERROR(__xludf.DUMMYFUNCTION("""COMPUTED_VALUE"""),"")</f>
        <v/>
      </c>
      <c r="D56" s="80" t="str">
        <f ca="1">IFERROR(__xludf.DUMMYFUNCTION("""COMPUTED_VALUE"""),"75288")</f>
        <v>75288</v>
      </c>
      <c r="E56" s="80" t="str">
        <f ca="1">IFERROR(__xludf.DUMMYFUNCTION("""COMPUTED_VALUE"""),"Stock")</f>
        <v>Stock</v>
      </c>
      <c r="F56" s="80" t="str">
        <f ca="1">IFERROR(__xludf.DUMMYFUNCTION("""COMPUTED_VALUE"""),"error")</f>
        <v>error</v>
      </c>
      <c r="G56" s="78" t="str">
        <f ca="1">IFERROR(__xludf.DUMMYFUNCTION("""COMPUTED_VALUE"""),"Tencent HK0700")</f>
        <v>Tencent HK0700</v>
      </c>
      <c r="H56" s="81">
        <f ca="1">IFERROR(__xludf.DUMMYFUNCTION("""COMPUTED_VALUE"""),209)</f>
        <v>209</v>
      </c>
      <c r="I56" s="80" t="str">
        <f ca="1">IFERROR(__xludf.DUMMYFUNCTION("""COMPUTED_VALUE"""),"Order rejected due to wrong ticker code. just need to type in 0700.HK")</f>
        <v>Order rejected due to wrong ticker code. just need to type in 0700.HK</v>
      </c>
    </row>
    <row r="57" spans="1:9" ht="13" x14ac:dyDescent="0.15">
      <c r="A57" s="5"/>
      <c r="B57" s="82">
        <f ca="1">IFERROR(__xludf.DUMMYFUNCTION("""COMPUTED_VALUE"""),44603.7020061111)</f>
        <v>44603.702006111103</v>
      </c>
      <c r="C57" s="79">
        <f ca="1">IFERROR(__xludf.DUMMYFUNCTION("""COMPUTED_VALUE"""),44603.6666666666)</f>
        <v>44603.666666666599</v>
      </c>
      <c r="D57" s="80" t="str">
        <f ca="1">IFERROR(__xludf.DUMMYFUNCTION("""COMPUTED_VALUE"""),"46220")</f>
        <v>46220</v>
      </c>
      <c r="E57" s="80" t="str">
        <f ca="1">IFERROR(__xludf.DUMMYFUNCTION("""COMPUTED_VALUE"""),"Stock")</f>
        <v>Stock</v>
      </c>
      <c r="F57" s="80" t="str">
        <f ca="1">IFERROR(__xludf.DUMMYFUNCTION("""COMPUTED_VALUE"""),"USD")</f>
        <v>USD</v>
      </c>
      <c r="G57" s="78" t="str">
        <f ca="1">IFERROR(__xludf.DUMMYFUNCTION("""COMPUTED_VALUE"""),"TSLA")</f>
        <v>TSLA</v>
      </c>
      <c r="H57" s="81">
        <f ca="1">IFERROR(__xludf.DUMMYFUNCTION("""COMPUTED_VALUE"""),15)</f>
        <v>15</v>
      </c>
      <c r="I57" s="80"/>
    </row>
    <row r="58" spans="1:9" ht="13" x14ac:dyDescent="0.15">
      <c r="A58" s="5"/>
      <c r="B58" s="82">
        <f ca="1">IFERROR(__xludf.DUMMYFUNCTION("""COMPUTED_VALUE"""),44603.7238444328)</f>
        <v>44603.723844432803</v>
      </c>
      <c r="C58" s="79">
        <f ca="1">IFERROR(__xludf.DUMMYFUNCTION("""COMPUTED_VALUE"""),44603.6666666666)</f>
        <v>44603.666666666599</v>
      </c>
      <c r="D58" s="80" t="str">
        <f ca="1">IFERROR(__xludf.DUMMYFUNCTION("""COMPUTED_VALUE"""),"75076")</f>
        <v>75076</v>
      </c>
      <c r="E58" s="80" t="str">
        <f ca="1">IFERROR(__xludf.DUMMYFUNCTION("""COMPUTED_VALUE"""),"Stock")</f>
        <v>Stock</v>
      </c>
      <c r="F58" s="80" t="str">
        <f ca="1">IFERROR(__xludf.DUMMYFUNCTION("""COMPUTED_VALUE"""),"USD")</f>
        <v>USD</v>
      </c>
      <c r="G58" s="78" t="str">
        <f ca="1">IFERROR(__xludf.DUMMYFUNCTION("""COMPUTED_VALUE"""),"XLE")</f>
        <v>XLE</v>
      </c>
      <c r="H58" s="81">
        <f ca="1">IFERROR(__xludf.DUMMYFUNCTION("""COMPUTED_VALUE"""),800)</f>
        <v>800</v>
      </c>
      <c r="I58" s="80"/>
    </row>
    <row r="59" spans="1:9" ht="13" x14ac:dyDescent="0.15">
      <c r="A59" s="5"/>
      <c r="B59" s="82">
        <f ca="1">IFERROR(__xludf.DUMMYFUNCTION("""COMPUTED_VALUE"""),44603.7496327314)</f>
        <v>44603.7496327314</v>
      </c>
      <c r="C59" s="79" t="str">
        <f ca="1">IFERROR(__xludf.DUMMYFUNCTION("""COMPUTED_VALUE"""),"")</f>
        <v/>
      </c>
      <c r="D59" s="80" t="str">
        <f ca="1">IFERROR(__xludf.DUMMYFUNCTION("""COMPUTED_VALUE"""),"76796")</f>
        <v>76796</v>
      </c>
      <c r="E59" s="80" t="str">
        <f ca="1">IFERROR(__xludf.DUMMYFUNCTION("""COMPUTED_VALUE"""),"Stock")</f>
        <v>Stock</v>
      </c>
      <c r="F59" s="80" t="str">
        <f ca="1">IFERROR(__xludf.DUMMYFUNCTION("""COMPUTED_VALUE"""),"error")</f>
        <v>error</v>
      </c>
      <c r="G59" s="78" t="str">
        <f ca="1">IFERROR(__xludf.DUMMYFUNCTION("""COMPUTED_VALUE"""),"IXIC")</f>
        <v>IXIC</v>
      </c>
      <c r="H59" s="81">
        <f ca="1">IFERROR(__xludf.DUMMYFUNCTION("""COMPUTED_VALUE"""),10)</f>
        <v>10</v>
      </c>
      <c r="I59" s="80" t="str">
        <f ca="1">IFERROR(__xludf.DUMMYFUNCTION("""COMPUTED_VALUE"""),"Order rejected due to wrong ticker code. need to find proper index ETFs")</f>
        <v>Order rejected due to wrong ticker code. need to find proper index ETFs</v>
      </c>
    </row>
    <row r="60" spans="1:9" ht="13" x14ac:dyDescent="0.15">
      <c r="A60" s="5"/>
      <c r="B60" s="82">
        <f ca="1">IFERROR(__xludf.DUMMYFUNCTION("""COMPUTED_VALUE"""),44604.051366956)</f>
        <v>44604.051366956002</v>
      </c>
      <c r="C60" s="79" t="str">
        <f ca="1">IFERROR(__xludf.DUMMYFUNCTION("""COMPUTED_VALUE"""),"")</f>
        <v/>
      </c>
      <c r="D60" s="80" t="str">
        <f ca="1">IFERROR(__xludf.DUMMYFUNCTION("""COMPUTED_VALUE"""),"39857")</f>
        <v>39857</v>
      </c>
      <c r="E60" s="80" t="str">
        <f ca="1">IFERROR(__xludf.DUMMYFUNCTION("""COMPUTED_VALUE"""),"Stock")</f>
        <v>Stock</v>
      </c>
      <c r="F60" s="80" t="str">
        <f ca="1">IFERROR(__xludf.DUMMYFUNCTION("""COMPUTED_VALUE"""),"error")</f>
        <v>error</v>
      </c>
      <c r="G60" s="78" t="str">
        <f ca="1">IFERROR(__xludf.DUMMYFUNCTION("""COMPUTED_VALUE"""),"Tesla, Inc. (TSLA)")</f>
        <v>Tesla, Inc. (TSLA)</v>
      </c>
      <c r="H60" s="81">
        <f ca="1">IFERROR(__xludf.DUMMYFUNCTION("""COMPUTED_VALUE"""),2)</f>
        <v>2</v>
      </c>
      <c r="I60" s="80" t="str">
        <f ca="1">IFERROR(__xludf.DUMMYFUNCTION("""COMPUTED_VALUE"""),"Order rejected due to wrong ticker code. just need to type in TSLA")</f>
        <v>Order rejected due to wrong ticker code. just need to type in TSLA</v>
      </c>
    </row>
    <row r="61" spans="1:9" ht="13" x14ac:dyDescent="0.15">
      <c r="A61" s="5"/>
      <c r="B61" s="82">
        <f ca="1">IFERROR(__xludf.DUMMYFUNCTION("""COMPUTED_VALUE"""),44604.7949474074)</f>
        <v>44604.794947407398</v>
      </c>
      <c r="C61" s="79" t="str">
        <f ca="1">IFERROR(__xludf.DUMMYFUNCTION("""COMPUTED_VALUE"""),"")</f>
        <v/>
      </c>
      <c r="D61" s="80" t="str">
        <f ca="1">IFERROR(__xludf.DUMMYFUNCTION("""COMPUTED_VALUE"""),"76796")</f>
        <v>76796</v>
      </c>
      <c r="E61" s="80" t="str">
        <f ca="1">IFERROR(__xludf.DUMMYFUNCTION("""COMPUTED_VALUE"""),"Stock")</f>
        <v>Stock</v>
      </c>
      <c r="F61" s="80" t="str">
        <f ca="1">IFERROR(__xludf.DUMMYFUNCTION("""COMPUTED_VALUE"""),"error")</f>
        <v>error</v>
      </c>
      <c r="G61" s="78" t="str">
        <f ca="1">IFERROR(__xludf.DUMMYFUNCTION("""COMPUTED_VALUE"""),"02777")</f>
        <v>02777</v>
      </c>
      <c r="H61" s="81">
        <f ca="1">IFERROR(__xludf.DUMMYFUNCTION("""COMPUTED_VALUE"""),5000)</f>
        <v>5000</v>
      </c>
      <c r="I61" s="80" t="str">
        <f ca="1">IFERROR(__xludf.DUMMYFUNCTION("""COMPUTED_VALUE"""),"Wrong Password &amp; Order rejected due to wrong ticker code. just need to type in 2777.HK")</f>
        <v>Wrong Password &amp; Order rejected due to wrong ticker code. just need to type in 2777.HK</v>
      </c>
    </row>
    <row r="62" spans="1:9" ht="13" x14ac:dyDescent="0.15">
      <c r="A62" s="5"/>
      <c r="B62" s="82">
        <f ca="1">IFERROR(__xludf.DUMMYFUNCTION("""COMPUTED_VALUE"""),44604.9000504398)</f>
        <v>44604.900050439799</v>
      </c>
      <c r="C62" s="79">
        <f ca="1">IFERROR(__xludf.DUMMYFUNCTION("""COMPUTED_VALUE"""),44605.6666666666)</f>
        <v>44605.666666666599</v>
      </c>
      <c r="D62" s="80" t="str">
        <f ca="1">IFERROR(__xludf.DUMMYFUNCTION("""COMPUTED_VALUE"""),"")</f>
        <v/>
      </c>
      <c r="E62" s="80" t="str">
        <f ca="1">IFERROR(__xludf.DUMMYFUNCTION("""COMPUTED_VALUE"""),"Time Deposit")</f>
        <v>Time Deposit</v>
      </c>
      <c r="F62" s="80" t="str">
        <f ca="1">IFERROR(__xludf.DUMMYFUNCTION("""COMPUTED_VALUE"""),"HKD")</f>
        <v>HKD</v>
      </c>
      <c r="G62" s="78" t="str">
        <f ca="1">IFERROR(__xludf.DUMMYFUNCTION("""COMPUTED_VALUE"""),"3m")</f>
        <v>3m</v>
      </c>
      <c r="H62" s="81">
        <f ca="1">IFERROR(__xludf.DUMMYFUNCTION("""COMPUTED_VALUE"""),100000)</f>
        <v>100000</v>
      </c>
      <c r="I62" s="80"/>
    </row>
    <row r="63" spans="1:9" ht="13" x14ac:dyDescent="0.15">
      <c r="A63" s="5"/>
      <c r="B63" s="82">
        <f ca="1">IFERROR(__xludf.DUMMYFUNCTION("""COMPUTED_VALUE"""),44606.412891655)</f>
        <v>44606.412891655003</v>
      </c>
      <c r="C63" s="79">
        <f ca="1">IFERROR(__xludf.DUMMYFUNCTION("""COMPUTED_VALUE"""),44606.6666666666)</f>
        <v>44606.666666666599</v>
      </c>
      <c r="D63" s="80" t="str">
        <f ca="1">IFERROR(__xludf.DUMMYFUNCTION("""COMPUTED_VALUE"""),"35577")</f>
        <v>35577</v>
      </c>
      <c r="E63" s="80" t="str">
        <f ca="1">IFERROR(__xludf.DUMMYFUNCTION("""COMPUTED_VALUE"""),"Time Deposit")</f>
        <v>Time Deposit</v>
      </c>
      <c r="F63" s="80" t="str">
        <f ca="1">IFERROR(__xludf.DUMMYFUNCTION("""COMPUTED_VALUE"""),"HKD")</f>
        <v>HKD</v>
      </c>
      <c r="G63" s="78" t="str">
        <f ca="1">IFERROR(__xludf.DUMMYFUNCTION("""COMPUTED_VALUE"""),"1m")</f>
        <v>1m</v>
      </c>
      <c r="H63" s="84">
        <f ca="1">IFERROR(__xludf.DUMMYFUNCTION("""COMPUTED_VALUE"""),50000)</f>
        <v>50000</v>
      </c>
      <c r="I63" s="80"/>
    </row>
    <row r="64" spans="1:9" ht="13" x14ac:dyDescent="0.15">
      <c r="A64" s="5"/>
      <c r="B64" s="82">
        <f ca="1">IFERROR(__xludf.DUMMYFUNCTION("""COMPUTED_VALUE"""),44606.4665302083)</f>
        <v>44606.466530208301</v>
      </c>
      <c r="C64" s="79">
        <f ca="1">IFERROR(__xludf.DUMMYFUNCTION("""COMPUTED_VALUE"""),44606.6666666666)</f>
        <v>44606.666666666599</v>
      </c>
      <c r="D64" s="80" t="str">
        <f ca="1">IFERROR(__xludf.DUMMYFUNCTION("""COMPUTED_VALUE"""),"35577")</f>
        <v>35577</v>
      </c>
      <c r="E64" s="80" t="str">
        <f ca="1">IFERROR(__xludf.DUMMYFUNCTION("""COMPUTED_VALUE"""),"Stock")</f>
        <v>Stock</v>
      </c>
      <c r="F64" s="80" t="str">
        <f ca="1">IFERROR(__xludf.DUMMYFUNCTION("""COMPUTED_VALUE"""),"USD")</f>
        <v>USD</v>
      </c>
      <c r="G64" s="78" t="str">
        <f ca="1">IFERROR(__xludf.DUMMYFUNCTION("""COMPUTED_VALUE"""),"VYGLX")</f>
        <v>VYGLX</v>
      </c>
      <c r="H64" s="81">
        <f ca="1">IFERROR(__xludf.DUMMYFUNCTION("""COMPUTED_VALUE"""),300)</f>
        <v>300</v>
      </c>
      <c r="I64" s="80"/>
    </row>
    <row r="65" spans="1:9" ht="13" x14ac:dyDescent="0.15">
      <c r="A65" s="5"/>
      <c r="B65" s="82">
        <f ca="1">IFERROR(__xludf.DUMMYFUNCTION("""COMPUTED_VALUE"""),44606.4976300231)</f>
        <v>44606.497630023099</v>
      </c>
      <c r="C65" s="79" t="str">
        <f ca="1">IFERROR(__xludf.DUMMYFUNCTION("""COMPUTED_VALUE"""),"")</f>
        <v/>
      </c>
      <c r="D65" s="80" t="str">
        <f ca="1">IFERROR(__xludf.DUMMYFUNCTION("""COMPUTED_VALUE"""),"40158")</f>
        <v>40158</v>
      </c>
      <c r="E65" s="80" t="str">
        <f ca="1">IFERROR(__xludf.DUMMYFUNCTION("""COMPUTED_VALUE"""),"Stock")</f>
        <v>Stock</v>
      </c>
      <c r="F65" s="80" t="str">
        <f ca="1">IFERROR(__xludf.DUMMYFUNCTION("""COMPUTED_VALUE"""),"error")</f>
        <v>error</v>
      </c>
      <c r="G65" s="78" t="str">
        <f ca="1">IFERROR(__xludf.DUMMYFUNCTION("""COMPUTED_VALUE"""),"HK2020")</f>
        <v>HK2020</v>
      </c>
      <c r="H65" s="81">
        <f ca="1">IFERROR(__xludf.DUMMYFUNCTION("""COMPUTED_VALUE"""),700)</f>
        <v>700</v>
      </c>
      <c r="I65" s="80" t="str">
        <f ca="1">IFERROR(__xludf.DUMMYFUNCTION("""COMPUTED_VALUE"""),"Order rejected due to wrong ticker code. just need to type in 2020.HK")</f>
        <v>Order rejected due to wrong ticker code. just need to type in 2020.HK</v>
      </c>
    </row>
    <row r="66" spans="1:9" ht="13" x14ac:dyDescent="0.15">
      <c r="A66" s="5"/>
      <c r="B66" s="82">
        <f ca="1">IFERROR(__xludf.DUMMYFUNCTION("""COMPUTED_VALUE"""),44606.5195487268)</f>
        <v>44606.519548726799</v>
      </c>
      <c r="C66" s="79">
        <f ca="1">IFERROR(__xludf.DUMMYFUNCTION("""COMPUTED_VALUE"""),44606.625)</f>
        <v>44606.625</v>
      </c>
      <c r="D66" s="80" t="str">
        <f ca="1">IFERROR(__xludf.DUMMYFUNCTION("""COMPUTED_VALUE"""),"74641")</f>
        <v>74641</v>
      </c>
      <c r="E66" s="80" t="str">
        <f ca="1">IFERROR(__xludf.DUMMYFUNCTION("""COMPUTED_VALUE"""),"Stock")</f>
        <v>Stock</v>
      </c>
      <c r="F66" s="80" t="str">
        <f ca="1">IFERROR(__xludf.DUMMYFUNCTION("""COMPUTED_VALUE"""),"CNY")</f>
        <v>CNY</v>
      </c>
      <c r="G66" s="83" t="str">
        <f ca="1">IFERROR(__xludf.DUMMYFUNCTION("""COMPUTED_VALUE"""),"600986.ss")</f>
        <v>600986.ss</v>
      </c>
      <c r="H66" s="81">
        <f ca="1">IFERROR(__xludf.DUMMYFUNCTION("""COMPUTED_VALUE"""),1000)</f>
        <v>1000</v>
      </c>
      <c r="I66" s="80"/>
    </row>
    <row r="67" spans="1:9" ht="13" x14ac:dyDescent="0.15">
      <c r="A67" s="5"/>
      <c r="B67" s="82">
        <f ca="1">IFERROR(__xludf.DUMMYFUNCTION("""COMPUTED_VALUE"""),44606.5336393865)</f>
        <v>44606.5336393865</v>
      </c>
      <c r="C67" s="79" t="str">
        <f ca="1">IFERROR(__xludf.DUMMYFUNCTION("""COMPUTED_VALUE"""),"")</f>
        <v/>
      </c>
      <c r="D67" s="80" t="str">
        <f ca="1">IFERROR(__xludf.DUMMYFUNCTION("""COMPUTED_VALUE"""),"76975")</f>
        <v>76975</v>
      </c>
      <c r="E67" s="80" t="str">
        <f ca="1">IFERROR(__xludf.DUMMYFUNCTION("""COMPUTED_VALUE"""),"Stock")</f>
        <v>Stock</v>
      </c>
      <c r="F67" s="80" t="str">
        <f ca="1">IFERROR(__xludf.DUMMYFUNCTION("""COMPUTED_VALUE"""),"error")</f>
        <v>error</v>
      </c>
      <c r="G67" s="78" t="str">
        <f ca="1">IFERROR(__xludf.DUMMYFUNCTION("""COMPUTED_VALUE"""),"Tencent 00700.HK")</f>
        <v>Tencent 00700.HK</v>
      </c>
      <c r="H67" s="81">
        <f ca="1">IFERROR(__xludf.DUMMYFUNCTION("""COMPUTED_VALUE"""),212)</f>
        <v>212</v>
      </c>
      <c r="I67" s="80" t="str">
        <f ca="1">IFERROR(__xludf.DUMMYFUNCTION("""COMPUTED_VALUE"""),"Order rejected due to wrong ticker code. just need to type in 0700.HK")</f>
        <v>Order rejected due to wrong ticker code. just need to type in 0700.HK</v>
      </c>
    </row>
    <row r="68" spans="1:9" ht="13" x14ac:dyDescent="0.15">
      <c r="A68" s="5"/>
      <c r="B68" s="82">
        <f ca="1">IFERROR(__xludf.DUMMYFUNCTION("""COMPUTED_VALUE"""),44606.5404319675)</f>
        <v>44606.5404319675</v>
      </c>
      <c r="C68" s="79" t="str">
        <f ca="1">IFERROR(__xludf.DUMMYFUNCTION("""COMPUTED_VALUE"""),"")</f>
        <v/>
      </c>
      <c r="D68" s="80" t="str">
        <f ca="1">IFERROR(__xludf.DUMMYFUNCTION("""COMPUTED_VALUE"""),"75288")</f>
        <v>75288</v>
      </c>
      <c r="E68" s="80" t="str">
        <f ca="1">IFERROR(__xludf.DUMMYFUNCTION("""COMPUTED_VALUE"""),"Stock")</f>
        <v>Stock</v>
      </c>
      <c r="F68" s="80" t="str">
        <f ca="1">IFERROR(__xludf.DUMMYFUNCTION("""COMPUTED_VALUE"""),"error")</f>
        <v>error</v>
      </c>
      <c r="G68" s="78" t="str">
        <f ca="1">IFERROR(__xludf.DUMMYFUNCTION("""COMPUTED_VALUE"""),"Tencent 00700.HK")</f>
        <v>Tencent 00700.HK</v>
      </c>
      <c r="H68" s="81">
        <f ca="1">IFERROR(__xludf.DUMMYFUNCTION("""COMPUTED_VALUE"""),212)</f>
        <v>212</v>
      </c>
      <c r="I68" s="80" t="str">
        <f ca="1">IFERROR(__xludf.DUMMYFUNCTION("""COMPUTED_VALUE"""),"Order rejected due to wrong ticker code. just need to type in 0700.HK")</f>
        <v>Order rejected due to wrong ticker code. just need to type in 0700.HK</v>
      </c>
    </row>
    <row r="69" spans="1:9" ht="13" x14ac:dyDescent="0.15">
      <c r="A69" s="5"/>
      <c r="B69" s="82">
        <f ca="1">IFERROR(__xludf.DUMMYFUNCTION("""COMPUTED_VALUE"""),44606.6464650347)</f>
        <v>44606.646465034697</v>
      </c>
      <c r="C69" s="79">
        <f ca="1">IFERROR(__xludf.DUMMYFUNCTION("""COMPUTED_VALUE"""),44606.6666666666)</f>
        <v>44606.666666666599</v>
      </c>
      <c r="D69" s="80" t="str">
        <f ca="1">IFERROR(__xludf.DUMMYFUNCTION("""COMPUTED_VALUE"""),"39494")</f>
        <v>39494</v>
      </c>
      <c r="E69" s="80" t="str">
        <f ca="1">IFERROR(__xludf.DUMMYFUNCTION("""COMPUTED_VALUE"""),"Stock")</f>
        <v>Stock</v>
      </c>
      <c r="F69" s="80" t="str">
        <f ca="1">IFERROR(__xludf.DUMMYFUNCTION("""COMPUTED_VALUE"""),"USD")</f>
        <v>USD</v>
      </c>
      <c r="G69" s="78" t="str">
        <f ca="1">IFERROR(__xludf.DUMMYFUNCTION("""COMPUTED_VALUE"""),"MSFT")</f>
        <v>MSFT</v>
      </c>
      <c r="H69" s="81">
        <f ca="1">IFERROR(__xludf.DUMMYFUNCTION("""COMPUTED_VALUE"""),3)</f>
        <v>3</v>
      </c>
      <c r="I69" s="80"/>
    </row>
    <row r="70" spans="1:9" ht="13" x14ac:dyDescent="0.15">
      <c r="A70" s="5"/>
      <c r="B70" s="82">
        <f ca="1">IFERROR(__xludf.DUMMYFUNCTION("""COMPUTED_VALUE"""),44606.6479038541)</f>
        <v>44606.6479038541</v>
      </c>
      <c r="C70" s="79">
        <f ca="1">IFERROR(__xludf.DUMMYFUNCTION("""COMPUTED_VALUE"""),44606.7291666666)</f>
        <v>44606.729166666599</v>
      </c>
      <c r="D70" s="80" t="str">
        <f ca="1">IFERROR(__xludf.DUMMYFUNCTION("""COMPUTED_VALUE"""),"39494")</f>
        <v>39494</v>
      </c>
      <c r="E70" s="80" t="str">
        <f ca="1">IFERROR(__xludf.DUMMYFUNCTION("""COMPUTED_VALUE"""),"Stock")</f>
        <v>Stock</v>
      </c>
      <c r="F70" s="80" t="str">
        <f ca="1">IFERROR(__xludf.DUMMYFUNCTION("""COMPUTED_VALUE"""),"EUR")</f>
        <v>EUR</v>
      </c>
      <c r="G70" s="83" t="str">
        <f ca="1">IFERROR(__xludf.DUMMYFUNCTION("""COMPUTED_VALUE"""),"UBI.PA")</f>
        <v>UBI.PA</v>
      </c>
      <c r="H70" s="81">
        <f ca="1">IFERROR(__xludf.DUMMYFUNCTION("""COMPUTED_VALUE"""),5)</f>
        <v>5</v>
      </c>
      <c r="I70" s="80"/>
    </row>
    <row r="71" spans="1:9" ht="13" x14ac:dyDescent="0.15">
      <c r="A71" s="5"/>
      <c r="B71" s="82">
        <f ca="1">IFERROR(__xludf.DUMMYFUNCTION("""COMPUTED_VALUE"""),44606.7147466782)</f>
        <v>44606.714746678197</v>
      </c>
      <c r="C71" s="79" t="str">
        <f ca="1">IFERROR(__xludf.DUMMYFUNCTION("""COMPUTED_VALUE"""),"")</f>
        <v/>
      </c>
      <c r="D71" s="80" t="str">
        <f ca="1">IFERROR(__xludf.DUMMYFUNCTION("""COMPUTED_VALUE"""),"70628")</f>
        <v>70628</v>
      </c>
      <c r="E71" s="80" t="str">
        <f ca="1">IFERROR(__xludf.DUMMYFUNCTION("""COMPUTED_VALUE"""),"Stock")</f>
        <v>Stock</v>
      </c>
      <c r="F71" s="80" t="str">
        <f ca="1">IFERROR(__xludf.DUMMYFUNCTION("""COMPUTED_VALUE"""),"error")</f>
        <v>error</v>
      </c>
      <c r="G71" s="78" t="str">
        <f ca="1">IFERROR(__xludf.DUMMYFUNCTION("""COMPUTED_VALUE"""),"02333")</f>
        <v>02333</v>
      </c>
      <c r="H71" s="81" t="str">
        <f ca="1">IFERROR(__xludf.DUMMYFUNCTION("""COMPUTED_VALUE"""),"02333")</f>
        <v>02333</v>
      </c>
      <c r="I71" s="80" t="str">
        <f ca="1">IFERROR(__xludf.DUMMYFUNCTION("""COMPUTED_VALUE"""),"Order rejected due to wrong ticker code. just need to type in 2333.HK")</f>
        <v>Order rejected due to wrong ticker code. just need to type in 2333.HK</v>
      </c>
    </row>
    <row r="72" spans="1:9" ht="13" x14ac:dyDescent="0.15">
      <c r="A72" s="5"/>
      <c r="B72" s="82">
        <f ca="1">IFERROR(__xludf.DUMMYFUNCTION("""COMPUTED_VALUE"""),44606.7154684722)</f>
        <v>44606.715468472197</v>
      </c>
      <c r="C72" s="79" t="str">
        <f ca="1">IFERROR(__xludf.DUMMYFUNCTION("""COMPUTED_VALUE"""),"")</f>
        <v/>
      </c>
      <c r="D72" s="80" t="str">
        <f ca="1">IFERROR(__xludf.DUMMYFUNCTION("""COMPUTED_VALUE"""),"70628")</f>
        <v>70628</v>
      </c>
      <c r="E72" s="80" t="str">
        <f ca="1">IFERROR(__xludf.DUMMYFUNCTION("""COMPUTED_VALUE"""),"Stock")</f>
        <v>Stock</v>
      </c>
      <c r="F72" s="80" t="str">
        <f ca="1">IFERROR(__xludf.DUMMYFUNCTION("""COMPUTED_VALUE"""),"error")</f>
        <v>error</v>
      </c>
      <c r="G72" s="78" t="str">
        <f ca="1">IFERROR(__xludf.DUMMYFUNCTION("""COMPUTED_VALUE"""),"01776")</f>
        <v>01776</v>
      </c>
      <c r="H72" s="81">
        <f ca="1">IFERROR(__xludf.DUMMYFUNCTION("""COMPUTED_VALUE"""),1000)</f>
        <v>1000</v>
      </c>
      <c r="I72" s="80" t="str">
        <f ca="1">IFERROR(__xludf.DUMMYFUNCTION("""COMPUTED_VALUE"""),"Order rejected due to wrong ticker code. just need to type in 1776.HK")</f>
        <v>Order rejected due to wrong ticker code. just need to type in 1776.HK</v>
      </c>
    </row>
    <row r="73" spans="1:9" ht="13" x14ac:dyDescent="0.15">
      <c r="A73" s="5"/>
      <c r="B73" s="82">
        <f ca="1">IFERROR(__xludf.DUMMYFUNCTION("""COMPUTED_VALUE"""),44607.5257764814)</f>
        <v>44607.525776481401</v>
      </c>
      <c r="C73" s="79" t="str">
        <f ca="1">IFERROR(__xludf.DUMMYFUNCTION("""COMPUTED_VALUE"""),"")</f>
        <v/>
      </c>
      <c r="D73" s="80" t="str">
        <f ca="1">IFERROR(__xludf.DUMMYFUNCTION("""COMPUTED_VALUE"""),"36460")</f>
        <v>36460</v>
      </c>
      <c r="E73" s="80" t="str">
        <f ca="1">IFERROR(__xludf.DUMMYFUNCTION("""COMPUTED_VALUE"""),"Stock")</f>
        <v>Stock</v>
      </c>
      <c r="F73" s="80" t="str">
        <f ca="1">IFERROR(__xludf.DUMMYFUNCTION("""COMPUTED_VALUE"""),"error")</f>
        <v>error</v>
      </c>
      <c r="G73" s="78">
        <f ca="1">IFERROR(__xludf.DUMMYFUNCTION("""COMPUTED_VALUE"""),603259)</f>
        <v>603259</v>
      </c>
      <c r="H73" s="81">
        <f ca="1">IFERROR(__xludf.DUMMYFUNCTION("""COMPUTED_VALUE"""),100)</f>
        <v>100</v>
      </c>
      <c r="I73" s="80" t="str">
        <f ca="1">IFERROR(__xludf.DUMMYFUNCTION("""COMPUTED_VALUE"""),"Order rejected due to wrong ticker code. just need to type in 603259.SS")</f>
        <v>Order rejected due to wrong ticker code. just need to type in 603259.SS</v>
      </c>
    </row>
    <row r="74" spans="1:9" ht="13" x14ac:dyDescent="0.15">
      <c r="A74" s="5"/>
      <c r="B74" s="82">
        <f ca="1">IFERROR(__xludf.DUMMYFUNCTION("""COMPUTED_VALUE"""),44607.5447837847)</f>
        <v>44607.544783784702</v>
      </c>
      <c r="C74" s="79" t="str">
        <f ca="1">IFERROR(__xludf.DUMMYFUNCTION("""COMPUTED_VALUE"""),"")</f>
        <v/>
      </c>
      <c r="D74" s="80" t="str">
        <f ca="1">IFERROR(__xludf.DUMMYFUNCTION("""COMPUTED_VALUE"""),"70628")</f>
        <v>70628</v>
      </c>
      <c r="E74" s="80" t="str">
        <f ca="1">IFERROR(__xludf.DUMMYFUNCTION("""COMPUTED_VALUE"""),"Stock")</f>
        <v>Stock</v>
      </c>
      <c r="F74" s="80" t="str">
        <f ca="1">IFERROR(__xludf.DUMMYFUNCTION("""COMPUTED_VALUE"""),"error")</f>
        <v>error</v>
      </c>
      <c r="G74" s="78">
        <f ca="1">IFERROR(__xludf.DUMMYFUNCTION("""COMPUTED_VALUE"""),3339)</f>
        <v>3339</v>
      </c>
      <c r="H74" s="81">
        <f ca="1">IFERROR(__xludf.DUMMYFUNCTION("""COMPUTED_VALUE"""),10000)</f>
        <v>10000</v>
      </c>
      <c r="I74" s="80" t="str">
        <f ca="1">IFERROR(__xludf.DUMMYFUNCTION("""COMPUTED_VALUE"""),"Order rejected due to wrong ticker code. just need to type in 3339.HK")</f>
        <v>Order rejected due to wrong ticker code. just need to type in 3339.HK</v>
      </c>
    </row>
    <row r="75" spans="1:9" ht="13" x14ac:dyDescent="0.15">
      <c r="A75" s="5"/>
      <c r="B75" s="82">
        <f ca="1">IFERROR(__xludf.DUMMYFUNCTION("""COMPUTED_VALUE"""),44607.5457804976)</f>
        <v>44607.545780497603</v>
      </c>
      <c r="C75" s="79" t="str">
        <f ca="1">IFERROR(__xludf.DUMMYFUNCTION("""COMPUTED_VALUE"""),"")</f>
        <v/>
      </c>
      <c r="D75" s="80" t="str">
        <f ca="1">IFERROR(__xludf.DUMMYFUNCTION("""COMPUTED_VALUE"""),"70628")</f>
        <v>70628</v>
      </c>
      <c r="E75" s="80" t="str">
        <f ca="1">IFERROR(__xludf.DUMMYFUNCTION("""COMPUTED_VALUE"""),"Stock")</f>
        <v>Stock</v>
      </c>
      <c r="F75" s="80" t="str">
        <f ca="1">IFERROR(__xludf.DUMMYFUNCTION("""COMPUTED_VALUE"""),"error")</f>
        <v>error</v>
      </c>
      <c r="G75" s="78" t="str">
        <f ca="1">IFERROR(__xludf.DUMMYFUNCTION("""COMPUTED_VALUE"""),"02333")</f>
        <v>02333</v>
      </c>
      <c r="H75" s="81">
        <f ca="1">IFERROR(__xludf.DUMMYFUNCTION("""COMPUTED_VALUE"""),5000)</f>
        <v>5000</v>
      </c>
      <c r="I75" s="80" t="str">
        <f ca="1">IFERROR(__xludf.DUMMYFUNCTION("""COMPUTED_VALUE"""),"Order rejected due to wrong ticker code. just need to type in 2333.HK")</f>
        <v>Order rejected due to wrong ticker code. just need to type in 2333.HK</v>
      </c>
    </row>
    <row r="76" spans="1:9" ht="13" x14ac:dyDescent="0.15">
      <c r="A76" s="5"/>
      <c r="B76" s="82">
        <f ca="1">IFERROR(__xludf.DUMMYFUNCTION("""COMPUTED_VALUE"""),44607.5489578819)</f>
        <v>44607.548957881903</v>
      </c>
      <c r="C76" s="79" t="str">
        <f ca="1">IFERROR(__xludf.DUMMYFUNCTION("""COMPUTED_VALUE"""),"")</f>
        <v/>
      </c>
      <c r="D76" s="80" t="str">
        <f ca="1">IFERROR(__xludf.DUMMYFUNCTION("""COMPUTED_VALUE"""),"70628")</f>
        <v>70628</v>
      </c>
      <c r="E76" s="80" t="str">
        <f ca="1">IFERROR(__xludf.DUMMYFUNCTION("""COMPUTED_VALUE"""),"Stock")</f>
        <v>Stock</v>
      </c>
      <c r="F76" s="80" t="str">
        <f ca="1">IFERROR(__xludf.DUMMYFUNCTION("""COMPUTED_VALUE"""),"error")</f>
        <v>error</v>
      </c>
      <c r="G76" s="78">
        <f ca="1">IFERROR(__xludf.DUMMYFUNCTION("""COMPUTED_VALUE"""),3339)</f>
        <v>3339</v>
      </c>
      <c r="H76" s="81">
        <f ca="1">IFERROR(__xludf.DUMMYFUNCTION("""COMPUTED_VALUE"""),50000)</f>
        <v>50000</v>
      </c>
      <c r="I76" s="80" t="str">
        <f ca="1">IFERROR(__xludf.DUMMYFUNCTION("""COMPUTED_VALUE"""),"Order rejected due to wrong ticker code. just need to type in 3339.HK")</f>
        <v>Order rejected due to wrong ticker code. just need to type in 3339.HK</v>
      </c>
    </row>
    <row r="77" spans="1:9" ht="13" x14ac:dyDescent="0.15">
      <c r="A77" s="5"/>
      <c r="B77" s="82">
        <f ca="1">IFERROR(__xludf.DUMMYFUNCTION("""COMPUTED_VALUE"""),44607.5625437847)</f>
        <v>44607.562543784697</v>
      </c>
      <c r="C77" s="79">
        <f ca="1">IFERROR(__xludf.DUMMYFUNCTION("""COMPUTED_VALUE"""),44607.6666666666)</f>
        <v>44607.666666666599</v>
      </c>
      <c r="D77" s="80" t="str">
        <f ca="1">IFERROR(__xludf.DUMMYFUNCTION("""COMPUTED_VALUE"""),"70628")</f>
        <v>70628</v>
      </c>
      <c r="E77" s="80" t="str">
        <f ca="1">IFERROR(__xludf.DUMMYFUNCTION("""COMPUTED_VALUE"""),"Stock")</f>
        <v>Stock</v>
      </c>
      <c r="F77" s="80" t="str">
        <f ca="1">IFERROR(__xludf.DUMMYFUNCTION("""COMPUTED_VALUE"""),"HKD")</f>
        <v>HKD</v>
      </c>
      <c r="G77" s="83" t="str">
        <f ca="1">IFERROR(__xludf.DUMMYFUNCTION("""COMPUTED_VALUE"""),"2333.HK")</f>
        <v>2333.HK</v>
      </c>
      <c r="H77" s="81">
        <f ca="1">IFERROR(__xludf.DUMMYFUNCTION("""COMPUTED_VALUE"""),5000)</f>
        <v>5000</v>
      </c>
      <c r="I77" s="80"/>
    </row>
    <row r="78" spans="1:9" ht="13" x14ac:dyDescent="0.15">
      <c r="A78" s="5"/>
      <c r="B78" s="82">
        <f ca="1">IFERROR(__xludf.DUMMYFUNCTION("""COMPUTED_VALUE"""),44607.5631763078)</f>
        <v>44607.563176307798</v>
      </c>
      <c r="C78" s="79">
        <f ca="1">IFERROR(__xludf.DUMMYFUNCTION("""COMPUTED_VALUE"""),44607.6666666666)</f>
        <v>44607.666666666599</v>
      </c>
      <c r="D78" s="80" t="str">
        <f ca="1">IFERROR(__xludf.DUMMYFUNCTION("""COMPUTED_VALUE"""),"70628")</f>
        <v>70628</v>
      </c>
      <c r="E78" s="80" t="str">
        <f ca="1">IFERROR(__xludf.DUMMYFUNCTION("""COMPUTED_VALUE"""),"Stock")</f>
        <v>Stock</v>
      </c>
      <c r="F78" s="80" t="str">
        <f ca="1">IFERROR(__xludf.DUMMYFUNCTION("""COMPUTED_VALUE"""),"HKD")</f>
        <v>HKD</v>
      </c>
      <c r="G78" s="83" t="str">
        <f ca="1">IFERROR(__xludf.DUMMYFUNCTION("""COMPUTED_VALUE"""),"3339.HK")</f>
        <v>3339.HK</v>
      </c>
      <c r="H78" s="81">
        <f ca="1">IFERROR(__xludf.DUMMYFUNCTION("""COMPUTED_VALUE"""),50000)</f>
        <v>50000</v>
      </c>
      <c r="I78" s="80"/>
    </row>
    <row r="79" spans="1:9" ht="13" x14ac:dyDescent="0.15">
      <c r="A79" s="5"/>
      <c r="B79" s="82">
        <f ca="1">IFERROR(__xludf.DUMMYFUNCTION("""COMPUTED_VALUE"""),44607.5650163773)</f>
        <v>44607.565016377303</v>
      </c>
      <c r="C79" s="79">
        <f ca="1">IFERROR(__xludf.DUMMYFUNCTION("""COMPUTED_VALUE"""),44607.6666666666)</f>
        <v>44607.666666666599</v>
      </c>
      <c r="D79" s="80" t="str">
        <f ca="1">IFERROR(__xludf.DUMMYFUNCTION("""COMPUTED_VALUE"""),"70628")</f>
        <v>70628</v>
      </c>
      <c r="E79" s="80" t="str">
        <f ca="1">IFERROR(__xludf.DUMMYFUNCTION("""COMPUTED_VALUE"""),"Stock")</f>
        <v>Stock</v>
      </c>
      <c r="F79" s="80" t="str">
        <f ca="1">IFERROR(__xludf.DUMMYFUNCTION("""COMPUTED_VALUE"""),"HKD")</f>
        <v>HKD</v>
      </c>
      <c r="G79" s="83" t="str">
        <f ca="1">IFERROR(__xludf.DUMMYFUNCTION("""COMPUTED_VALUE"""),"1610.HK")</f>
        <v>1610.HK</v>
      </c>
      <c r="H79" s="81">
        <f ca="1">IFERROR(__xludf.DUMMYFUNCTION("""COMPUTED_VALUE"""),20000)</f>
        <v>20000</v>
      </c>
      <c r="I79" s="80"/>
    </row>
    <row r="80" spans="1:9" ht="13" x14ac:dyDescent="0.15">
      <c r="A80" s="5"/>
      <c r="B80" s="82">
        <f ca="1">IFERROR(__xludf.DUMMYFUNCTION("""COMPUTED_VALUE"""),44607.5788433564)</f>
        <v>44607.578843356401</v>
      </c>
      <c r="C80" s="79">
        <f ca="1">IFERROR(__xludf.DUMMYFUNCTION("""COMPUTED_VALUE"""),44607.6666666666)</f>
        <v>44607.666666666599</v>
      </c>
      <c r="D80" s="80" t="str">
        <f ca="1">IFERROR(__xludf.DUMMYFUNCTION("""COMPUTED_VALUE"""),"40158")</f>
        <v>40158</v>
      </c>
      <c r="E80" s="80" t="str">
        <f ca="1">IFERROR(__xludf.DUMMYFUNCTION("""COMPUTED_VALUE"""),"Stock")</f>
        <v>Stock</v>
      </c>
      <c r="F80" s="80" t="str">
        <f ca="1">IFERROR(__xludf.DUMMYFUNCTION("""COMPUTED_VALUE"""),"HKD")</f>
        <v>HKD</v>
      </c>
      <c r="G80" s="83" t="str">
        <f ca="1">IFERROR(__xludf.DUMMYFUNCTION("""COMPUTED_VALUE"""),"2020.HK")</f>
        <v>2020.HK</v>
      </c>
      <c r="H80" s="81">
        <f ca="1">IFERROR(__xludf.DUMMYFUNCTION("""COMPUTED_VALUE"""),700)</f>
        <v>700</v>
      </c>
      <c r="I80" s="80"/>
    </row>
    <row r="81" spans="1:9" ht="13" x14ac:dyDescent="0.15">
      <c r="A81" s="5"/>
      <c r="B81" s="82">
        <f ca="1">IFERROR(__xludf.DUMMYFUNCTION("""COMPUTED_VALUE"""),44607.5869359837)</f>
        <v>44607.586935983702</v>
      </c>
      <c r="C81" s="79">
        <f ca="1">IFERROR(__xludf.DUMMYFUNCTION("""COMPUTED_VALUE"""),44607.6666666666)</f>
        <v>44607.666666666599</v>
      </c>
      <c r="D81" s="80" t="str">
        <f ca="1">IFERROR(__xludf.DUMMYFUNCTION("""COMPUTED_VALUE"""),"76796")</f>
        <v>76796</v>
      </c>
      <c r="E81" s="80" t="str">
        <f ca="1">IFERROR(__xludf.DUMMYFUNCTION("""COMPUTED_VALUE"""),"Stock")</f>
        <v>Stock</v>
      </c>
      <c r="F81" s="80" t="str">
        <f ca="1">IFERROR(__xludf.DUMMYFUNCTION("""COMPUTED_VALUE"""),"USD")</f>
        <v>USD</v>
      </c>
      <c r="G81" s="78" t="str">
        <f ca="1">IFERROR(__xludf.DUMMYFUNCTION("""COMPUTED_VALUE"""),"NVDA")</f>
        <v>NVDA</v>
      </c>
      <c r="H81" s="81">
        <f ca="1">IFERROR(__xludf.DUMMYFUNCTION("""COMPUTED_VALUE"""),500)</f>
        <v>500</v>
      </c>
      <c r="I81" s="80"/>
    </row>
    <row r="82" spans="1:9" ht="13" x14ac:dyDescent="0.15">
      <c r="A82" s="5"/>
      <c r="B82" s="82">
        <f ca="1">IFERROR(__xludf.DUMMYFUNCTION("""COMPUTED_VALUE"""),44607.6134883796)</f>
        <v>44607.613488379597</v>
      </c>
      <c r="C82" s="79">
        <f ca="1">IFERROR(__xludf.DUMMYFUNCTION("""COMPUTED_VALUE"""),44607.6666666666)</f>
        <v>44607.666666666599</v>
      </c>
      <c r="D82" s="80" t="str">
        <f ca="1">IFERROR(__xludf.DUMMYFUNCTION("""COMPUTED_VALUE"""),"70628")</f>
        <v>70628</v>
      </c>
      <c r="E82" s="80" t="str">
        <f ca="1">IFERROR(__xludf.DUMMYFUNCTION("""COMPUTED_VALUE"""),"Stock")</f>
        <v>Stock</v>
      </c>
      <c r="F82" s="80" t="str">
        <f ca="1">IFERROR(__xludf.DUMMYFUNCTION("""COMPUTED_VALUE"""),"HKD")</f>
        <v>HKD</v>
      </c>
      <c r="G82" s="83" t="str">
        <f ca="1">IFERROR(__xludf.DUMMYFUNCTION("""COMPUTED_VALUE"""),"1810.HK")</f>
        <v>1810.HK</v>
      </c>
      <c r="H82" s="81">
        <f ca="1">IFERROR(__xludf.DUMMYFUNCTION("""COMPUTED_VALUE"""),10000)</f>
        <v>10000</v>
      </c>
      <c r="I82" s="80"/>
    </row>
    <row r="83" spans="1:9" ht="13" x14ac:dyDescent="0.15">
      <c r="A83" s="5"/>
      <c r="B83" s="82">
        <f ca="1">IFERROR(__xludf.DUMMYFUNCTION("""COMPUTED_VALUE"""),44607.6642427662)</f>
        <v>44607.664242766201</v>
      </c>
      <c r="C83" s="79">
        <f ca="1">IFERROR(__xludf.DUMMYFUNCTION("""COMPUTED_VALUE"""),44607.6666666666)</f>
        <v>44607.666666666599</v>
      </c>
      <c r="D83" s="80" t="str">
        <f ca="1">IFERROR(__xludf.DUMMYFUNCTION("""COMPUTED_VALUE"""),"36221")</f>
        <v>36221</v>
      </c>
      <c r="E83" s="80" t="str">
        <f ca="1">IFERROR(__xludf.DUMMYFUNCTION("""COMPUTED_VALUE"""),"Stock")</f>
        <v>Stock</v>
      </c>
      <c r="F83" s="80" t="str">
        <f ca="1">IFERROR(__xludf.DUMMYFUNCTION("""COMPUTED_VALUE"""),"USD")</f>
        <v>USD</v>
      </c>
      <c r="G83" s="78" t="str">
        <f ca="1">IFERROR(__xludf.DUMMYFUNCTION("""COMPUTED_VALUE"""),"NVDA")</f>
        <v>NVDA</v>
      </c>
      <c r="H83" s="81">
        <f ca="1">IFERROR(__xludf.DUMMYFUNCTION("""COMPUTED_VALUE"""),100)</f>
        <v>100</v>
      </c>
      <c r="I83" s="80"/>
    </row>
    <row r="84" spans="1:9" ht="13" x14ac:dyDescent="0.15">
      <c r="A84" s="5"/>
      <c r="B84" s="82">
        <f ca="1">IFERROR(__xludf.DUMMYFUNCTION("""COMPUTED_VALUE"""),44607.6674637037)</f>
        <v>44607.667463703699</v>
      </c>
      <c r="C84" s="79">
        <f ca="1">IFERROR(__xludf.DUMMYFUNCTION("""COMPUTED_VALUE"""),44607.6666666666)</f>
        <v>44607.666666666599</v>
      </c>
      <c r="D84" s="80" t="str">
        <f ca="1">IFERROR(__xludf.DUMMYFUNCTION("""COMPUTED_VALUE"""),"46276")</f>
        <v>46276</v>
      </c>
      <c r="E84" s="80" t="str">
        <f ca="1">IFERROR(__xludf.DUMMYFUNCTION("""COMPUTED_VALUE"""),"Stock")</f>
        <v>Stock</v>
      </c>
      <c r="F84" s="80" t="str">
        <f ca="1">IFERROR(__xludf.DUMMYFUNCTION("""COMPUTED_VALUE"""),"USD")</f>
        <v>USD</v>
      </c>
      <c r="G84" s="78" t="str">
        <f ca="1">IFERROR(__xludf.DUMMYFUNCTION("""COMPUTED_VALUE"""),"BAC")</f>
        <v>BAC</v>
      </c>
      <c r="H84" s="81">
        <f ca="1">IFERROR(__xludf.DUMMYFUNCTION("""COMPUTED_VALUE"""),400)</f>
        <v>400</v>
      </c>
      <c r="I84" s="80"/>
    </row>
    <row r="85" spans="1:9" ht="13" x14ac:dyDescent="0.15">
      <c r="A85" s="5"/>
      <c r="B85" s="82">
        <f ca="1">IFERROR(__xludf.DUMMYFUNCTION("""COMPUTED_VALUE"""),44607.6714289583)</f>
        <v>44607.671428958303</v>
      </c>
      <c r="C85" s="79">
        <f ca="1">IFERROR(__xludf.DUMMYFUNCTION("""COMPUTED_VALUE"""),44607.6666666666)</f>
        <v>44607.666666666599</v>
      </c>
      <c r="D85" s="80" t="str">
        <f ca="1">IFERROR(__xludf.DUMMYFUNCTION("""COMPUTED_VALUE"""),"46276")</f>
        <v>46276</v>
      </c>
      <c r="E85" s="80" t="str">
        <f ca="1">IFERROR(__xludf.DUMMYFUNCTION("""COMPUTED_VALUE"""),"Stock")</f>
        <v>Stock</v>
      </c>
      <c r="F85" s="80" t="str">
        <f ca="1">IFERROR(__xludf.DUMMYFUNCTION("""COMPUTED_VALUE"""),"USD")</f>
        <v>USD</v>
      </c>
      <c r="G85" s="78" t="str">
        <f ca="1">IFERROR(__xludf.DUMMYFUNCTION("""COMPUTED_VALUE"""),"BRK-B")</f>
        <v>BRK-B</v>
      </c>
      <c r="H85" s="81">
        <f ca="1">IFERROR(__xludf.DUMMYFUNCTION("""COMPUTED_VALUE"""),65)</f>
        <v>65</v>
      </c>
      <c r="I85" s="80"/>
    </row>
    <row r="86" spans="1:9" ht="13" x14ac:dyDescent="0.15">
      <c r="A86" s="5"/>
      <c r="B86" s="82">
        <f ca="1">IFERROR(__xludf.DUMMYFUNCTION("""COMPUTED_VALUE"""),44607.6716265046)</f>
        <v>44607.671626504598</v>
      </c>
      <c r="C86" s="79">
        <f ca="1">IFERROR(__xludf.DUMMYFUNCTION("""COMPUTED_VALUE"""),44607.6666666666)</f>
        <v>44607.666666666599</v>
      </c>
      <c r="D86" s="80" t="str">
        <f ca="1">IFERROR(__xludf.DUMMYFUNCTION("""COMPUTED_VALUE"""),"39857")</f>
        <v>39857</v>
      </c>
      <c r="E86" s="80" t="str">
        <f ca="1">IFERROR(__xludf.DUMMYFUNCTION("""COMPUTED_VALUE"""),"Stock")</f>
        <v>Stock</v>
      </c>
      <c r="F86" s="80" t="str">
        <f ca="1">IFERROR(__xludf.DUMMYFUNCTION("""COMPUTED_VALUE"""),"USD")</f>
        <v>USD</v>
      </c>
      <c r="G86" s="78" t="str">
        <f ca="1">IFERROR(__xludf.DUMMYFUNCTION("""COMPUTED_VALUE"""),"TSLA")</f>
        <v>TSLA</v>
      </c>
      <c r="H86" s="81">
        <f ca="1">IFERROR(__xludf.DUMMYFUNCTION("""COMPUTED_VALUE"""),2)</f>
        <v>2</v>
      </c>
      <c r="I86" s="80" t="str">
        <f ca="1">IFERROR(__xludf.DUMMYFUNCTION("""COMPUTED_VALUE"""),"input as s1239857@muhk.edu.hk")</f>
        <v>input as s1239857@muhk.edu.hk</v>
      </c>
    </row>
    <row r="87" spans="1:9" ht="13" x14ac:dyDescent="0.15">
      <c r="A87" s="5"/>
      <c r="B87" s="82">
        <f ca="1">IFERROR(__xludf.DUMMYFUNCTION("""COMPUTED_VALUE"""),44607.671691493)</f>
        <v>44607.671691493</v>
      </c>
      <c r="C87" s="79">
        <f ca="1">IFERROR(__xludf.DUMMYFUNCTION("""COMPUTED_VALUE"""),44607.6666666666)</f>
        <v>44607.666666666599</v>
      </c>
      <c r="D87" s="80" t="str">
        <f ca="1">IFERROR(__xludf.DUMMYFUNCTION("""COMPUTED_VALUE"""),"36221")</f>
        <v>36221</v>
      </c>
      <c r="E87" s="80" t="str">
        <f ca="1">IFERROR(__xludf.DUMMYFUNCTION("""COMPUTED_VALUE"""),"Stock")</f>
        <v>Stock</v>
      </c>
      <c r="F87" s="80" t="str">
        <f ca="1">IFERROR(__xludf.DUMMYFUNCTION("""COMPUTED_VALUE"""),"USD")</f>
        <v>USD</v>
      </c>
      <c r="G87" s="78" t="str">
        <f ca="1">IFERROR(__xludf.DUMMYFUNCTION("""COMPUTED_VALUE"""),"SONY")</f>
        <v>SONY</v>
      </c>
      <c r="H87" s="81">
        <f ca="1">IFERROR(__xludf.DUMMYFUNCTION("""COMPUTED_VALUE"""),400)</f>
        <v>400</v>
      </c>
      <c r="I87" s="80"/>
    </row>
    <row r="88" spans="1:9" ht="13" x14ac:dyDescent="0.15">
      <c r="A88" s="5"/>
      <c r="B88" s="82">
        <f ca="1">IFERROR(__xludf.DUMMYFUNCTION("""COMPUTED_VALUE"""),44607.6737831944)</f>
        <v>44607.673783194397</v>
      </c>
      <c r="C88" s="79">
        <f ca="1">IFERROR(__xludf.DUMMYFUNCTION("""COMPUTED_VALUE"""),44607.6666666666)</f>
        <v>44607.666666666599</v>
      </c>
      <c r="D88" s="80" t="str">
        <f ca="1">IFERROR(__xludf.DUMMYFUNCTION("""COMPUTED_VALUE"""),"36221")</f>
        <v>36221</v>
      </c>
      <c r="E88" s="80" t="str">
        <f ca="1">IFERROR(__xludf.DUMMYFUNCTION("""COMPUTED_VALUE"""),"Stock")</f>
        <v>Stock</v>
      </c>
      <c r="F88" s="80" t="str">
        <f ca="1">IFERROR(__xludf.DUMMYFUNCTION("""COMPUTED_VALUE"""),"USD")</f>
        <v>USD</v>
      </c>
      <c r="G88" s="78" t="str">
        <f ca="1">IFERROR(__xludf.DUMMYFUNCTION("""COMPUTED_VALUE"""),"ATVI")</f>
        <v>ATVI</v>
      </c>
      <c r="H88" s="81">
        <f ca="1">IFERROR(__xludf.DUMMYFUNCTION("""COMPUTED_VALUE"""),200)</f>
        <v>200</v>
      </c>
      <c r="I88" s="80"/>
    </row>
    <row r="89" spans="1:9" ht="13" x14ac:dyDescent="0.15">
      <c r="A89" s="5"/>
      <c r="B89" s="82">
        <f ca="1">IFERROR(__xludf.DUMMYFUNCTION("""COMPUTED_VALUE"""),44607.6752833912)</f>
        <v>44607.675283391203</v>
      </c>
      <c r="C89" s="79">
        <f ca="1">IFERROR(__xludf.DUMMYFUNCTION("""COMPUTED_VALUE"""),44607.6666666666)</f>
        <v>44607.666666666599</v>
      </c>
      <c r="D89" s="80" t="str">
        <f ca="1">IFERROR(__xludf.DUMMYFUNCTION("""COMPUTED_VALUE"""),"40433")</f>
        <v>40433</v>
      </c>
      <c r="E89" s="80" t="str">
        <f ca="1">IFERROR(__xludf.DUMMYFUNCTION("""COMPUTED_VALUE"""),"Stock")</f>
        <v>Stock</v>
      </c>
      <c r="F89" s="80" t="str">
        <f ca="1">IFERROR(__xludf.DUMMYFUNCTION("""COMPUTED_VALUE"""),"USD")</f>
        <v>USD</v>
      </c>
      <c r="G89" s="78" t="str">
        <f ca="1">IFERROR(__xludf.DUMMYFUNCTION("""COMPUTED_VALUE"""),"TSLA")</f>
        <v>TSLA</v>
      </c>
      <c r="H89" s="81">
        <f ca="1">IFERROR(__xludf.DUMMYFUNCTION("""COMPUTED_VALUE"""),400)</f>
        <v>400</v>
      </c>
      <c r="I89" s="80"/>
    </row>
    <row r="90" spans="1:9" ht="13" x14ac:dyDescent="0.15">
      <c r="A90" s="5"/>
      <c r="B90" s="82">
        <f ca="1">IFERROR(__xludf.DUMMYFUNCTION("""COMPUTED_VALUE"""),44607.6832414699)</f>
        <v>44607.683241469902</v>
      </c>
      <c r="C90" s="79">
        <f ca="1">IFERROR(__xludf.DUMMYFUNCTION("""COMPUTED_VALUE"""),44607.6666666666)</f>
        <v>44607.666666666599</v>
      </c>
      <c r="D90" s="80" t="str">
        <f ca="1">IFERROR(__xludf.DUMMYFUNCTION("""COMPUTED_VALUE"""),"40433")</f>
        <v>40433</v>
      </c>
      <c r="E90" s="80" t="str">
        <f ca="1">IFERROR(__xludf.DUMMYFUNCTION("""COMPUTED_VALUE"""),"Stock")</f>
        <v>Stock</v>
      </c>
      <c r="F90" s="80" t="str">
        <f ca="1">IFERROR(__xludf.DUMMYFUNCTION("""COMPUTED_VALUE"""),"USD")</f>
        <v>USD</v>
      </c>
      <c r="G90" s="78" t="str">
        <f ca="1">IFERROR(__xludf.DUMMYFUNCTION("""COMPUTED_VALUE"""),"TSLA")</f>
        <v>TSLA</v>
      </c>
      <c r="H90" s="81">
        <f ca="1">IFERROR(__xludf.DUMMYFUNCTION("""COMPUTED_VALUE"""),350)</f>
        <v>350</v>
      </c>
      <c r="I90" s="80" t="str">
        <f ca="1">IFERROR(__xludf.DUMMYFUNCTION("""COMPUTED_VALUE"""),"Order rejected due to day-trade restriction: Limit sell 890 limit buy 865")</f>
        <v>Order rejected due to day-trade restriction: Limit sell 890 limit buy 865</v>
      </c>
    </row>
    <row r="91" spans="1:9" ht="13" x14ac:dyDescent="0.15">
      <c r="A91" s="5"/>
      <c r="B91" s="82">
        <f ca="1">IFERROR(__xludf.DUMMYFUNCTION("""COMPUTED_VALUE"""),44607.6839800462)</f>
        <v>44607.683980046197</v>
      </c>
      <c r="C91" s="79">
        <f ca="1">IFERROR(__xludf.DUMMYFUNCTION("""COMPUTED_VALUE"""),44607.6666666666)</f>
        <v>44607.666666666599</v>
      </c>
      <c r="D91" s="80" t="str">
        <f ca="1">IFERROR(__xludf.DUMMYFUNCTION("""COMPUTED_VALUE"""),"36221")</f>
        <v>36221</v>
      </c>
      <c r="E91" s="80" t="str">
        <f ca="1">IFERROR(__xludf.DUMMYFUNCTION("""COMPUTED_VALUE"""),"Stock")</f>
        <v>Stock</v>
      </c>
      <c r="F91" s="80" t="str">
        <f ca="1">IFERROR(__xludf.DUMMYFUNCTION("""COMPUTED_VALUE"""),"USD")</f>
        <v>USD</v>
      </c>
      <c r="G91" s="78" t="str">
        <f ca="1">IFERROR(__xludf.DUMMYFUNCTION("""COMPUTED_VALUE"""),"tcehy")</f>
        <v>tcehy</v>
      </c>
      <c r="H91" s="81">
        <f ca="1">IFERROR(__xludf.DUMMYFUNCTION("""COMPUTED_VALUE"""),200)</f>
        <v>200</v>
      </c>
      <c r="I91" s="80"/>
    </row>
    <row r="92" spans="1:9" ht="13" x14ac:dyDescent="0.15">
      <c r="A92" s="5"/>
      <c r="B92" s="82">
        <f ca="1">IFERROR(__xludf.DUMMYFUNCTION("""COMPUTED_VALUE"""),44608.0209121412)</f>
        <v>44608.020912141197</v>
      </c>
      <c r="C92" s="79" t="str">
        <f ca="1">IFERROR(__xludf.DUMMYFUNCTION("""COMPUTED_VALUE"""),"")</f>
        <v/>
      </c>
      <c r="D92" s="80" t="str">
        <f ca="1">IFERROR(__xludf.DUMMYFUNCTION("""COMPUTED_VALUE"""),"70628")</f>
        <v>70628</v>
      </c>
      <c r="E92" s="80" t="str">
        <f ca="1">IFERROR(__xludf.DUMMYFUNCTION("""COMPUTED_VALUE"""),"Stock")</f>
        <v>Stock</v>
      </c>
      <c r="F92" s="80" t="str">
        <f ca="1">IFERROR(__xludf.DUMMYFUNCTION("""COMPUTED_VALUE"""),"error")</f>
        <v>error</v>
      </c>
      <c r="G92" s="78" t="str">
        <f ca="1">IFERROR(__xludf.DUMMYFUNCTION("""COMPUTED_VALUE"""),"Tesla, Inc. (TSLA)")</f>
        <v>Tesla, Inc. (TSLA)</v>
      </c>
      <c r="H92" s="81">
        <f ca="1">IFERROR(__xludf.DUMMYFUNCTION("""COMPUTED_VALUE"""),100)</f>
        <v>100</v>
      </c>
      <c r="I92" s="80" t="str">
        <f ca="1">IFERROR(__xludf.DUMMYFUNCTION("""COMPUTED_VALUE"""),"Order rejected due to wrong ticker code. just need to type in TSLA")</f>
        <v>Order rejected due to wrong ticker code. just need to type in TSLA</v>
      </c>
    </row>
    <row r="93" spans="1:9" ht="13" x14ac:dyDescent="0.15">
      <c r="A93" s="5"/>
      <c r="B93" s="82">
        <f ca="1">IFERROR(__xludf.DUMMYFUNCTION("""COMPUTED_VALUE"""),44608.0221568634)</f>
        <v>44608.022156863401</v>
      </c>
      <c r="C93" s="79">
        <f ca="1">IFERROR(__xludf.DUMMYFUNCTION("""COMPUTED_VALUE"""),44607.6666666666)</f>
        <v>44607.666666666599</v>
      </c>
      <c r="D93" s="80" t="str">
        <f ca="1">IFERROR(__xludf.DUMMYFUNCTION("""COMPUTED_VALUE"""),"35577")</f>
        <v>35577</v>
      </c>
      <c r="E93" s="80" t="str">
        <f ca="1">IFERROR(__xludf.DUMMYFUNCTION("""COMPUTED_VALUE"""),"Bond")</f>
        <v>Bond</v>
      </c>
      <c r="F93" s="80" t="str">
        <f ca="1">IFERROR(__xludf.DUMMYFUNCTION("""COMPUTED_VALUE"""),"USD")</f>
        <v>USD</v>
      </c>
      <c r="G93" s="78" t="str">
        <f ca="1">IFERROR(__xludf.DUMMYFUNCTION("""COMPUTED_VALUE"""),"US023135AN60")</f>
        <v>US023135AN60</v>
      </c>
      <c r="H93" s="81">
        <f ca="1">IFERROR(__xludf.DUMMYFUNCTION("""COMPUTED_VALUE"""),3)</f>
        <v>3</v>
      </c>
      <c r="I93" s="80"/>
    </row>
    <row r="94" spans="1:9" ht="13" x14ac:dyDescent="0.15">
      <c r="A94" s="5"/>
      <c r="B94" s="82">
        <f ca="1">IFERROR(__xludf.DUMMYFUNCTION("""COMPUTED_VALUE"""),44608.0544182754)</f>
        <v>44608.054418275402</v>
      </c>
      <c r="C94" s="79">
        <f ca="1">IFERROR(__xludf.DUMMYFUNCTION("""COMPUTED_VALUE"""),44607.6666666666)</f>
        <v>44607.666666666599</v>
      </c>
      <c r="D94" s="80" t="str">
        <f ca="1">IFERROR(__xludf.DUMMYFUNCTION("""COMPUTED_VALUE"""),"89750")</f>
        <v>89750</v>
      </c>
      <c r="E94" s="80" t="str">
        <f ca="1">IFERROR(__xludf.DUMMYFUNCTION("""COMPUTED_VALUE"""),"Stock")</f>
        <v>Stock</v>
      </c>
      <c r="F94" s="80" t="str">
        <f ca="1">IFERROR(__xludf.DUMMYFUNCTION("""COMPUTED_VALUE"""),"USD")</f>
        <v>USD</v>
      </c>
      <c r="G94" s="78" t="str">
        <f ca="1">IFERROR(__xludf.DUMMYFUNCTION("""COMPUTED_VALUE"""),"UVXY")</f>
        <v>UVXY</v>
      </c>
      <c r="H94" s="81">
        <f ca="1">IFERROR(__xludf.DUMMYFUNCTION("""COMPUTED_VALUE"""),500)</f>
        <v>500</v>
      </c>
      <c r="I94" s="80"/>
    </row>
    <row r="95" spans="1:9" ht="13" x14ac:dyDescent="0.15">
      <c r="A95" s="5"/>
      <c r="B95" s="82">
        <f ca="1">IFERROR(__xludf.DUMMYFUNCTION("""COMPUTED_VALUE"""),44608.3986152083)</f>
        <v>44608.398615208302</v>
      </c>
      <c r="C95" s="79">
        <f ca="1">IFERROR(__xludf.DUMMYFUNCTION("""COMPUTED_VALUE"""),44608.6666666666)</f>
        <v>44608.666666666599</v>
      </c>
      <c r="D95" s="80" t="str">
        <f ca="1">IFERROR(__xludf.DUMMYFUNCTION("""COMPUTED_VALUE"""),"70628")</f>
        <v>70628</v>
      </c>
      <c r="E95" s="80" t="str">
        <f ca="1">IFERROR(__xludf.DUMMYFUNCTION("""COMPUTED_VALUE"""),"Stock")</f>
        <v>Stock</v>
      </c>
      <c r="F95" s="80" t="str">
        <f ca="1">IFERROR(__xludf.DUMMYFUNCTION("""COMPUTED_VALUE"""),"HKD")</f>
        <v>HKD</v>
      </c>
      <c r="G95" s="83" t="str">
        <f ca="1">IFERROR(__xludf.DUMMYFUNCTION("""COMPUTED_VALUE"""),"3339.HK")</f>
        <v>3339.HK</v>
      </c>
      <c r="H95" s="81">
        <f ca="1">IFERROR(__xludf.DUMMYFUNCTION("""COMPUTED_VALUE"""),50000)</f>
        <v>50000</v>
      </c>
      <c r="I95" s="80"/>
    </row>
    <row r="96" spans="1:9" ht="13" x14ac:dyDescent="0.15">
      <c r="A96" s="5"/>
      <c r="B96" s="82">
        <f ca="1">IFERROR(__xludf.DUMMYFUNCTION("""COMPUTED_VALUE"""),44608.3993956828)</f>
        <v>44608.399395682798</v>
      </c>
      <c r="C96" s="79">
        <f ca="1">IFERROR(__xludf.DUMMYFUNCTION("""COMPUTED_VALUE"""),44608.6666666666)</f>
        <v>44608.666666666599</v>
      </c>
      <c r="D96" s="80" t="str">
        <f ca="1">IFERROR(__xludf.DUMMYFUNCTION("""COMPUTED_VALUE"""),"70628")</f>
        <v>70628</v>
      </c>
      <c r="E96" s="80" t="str">
        <f ca="1">IFERROR(__xludf.DUMMYFUNCTION("""COMPUTED_VALUE"""),"Stock")</f>
        <v>Stock</v>
      </c>
      <c r="F96" s="80" t="str">
        <f ca="1">IFERROR(__xludf.DUMMYFUNCTION("""COMPUTED_VALUE"""),"HKD")</f>
        <v>HKD</v>
      </c>
      <c r="G96" s="83" t="str">
        <f ca="1">IFERROR(__xludf.DUMMYFUNCTION("""COMPUTED_VALUE"""),"3339.HK")</f>
        <v>3339.HK</v>
      </c>
      <c r="H96" s="81">
        <f ca="1">IFERROR(__xludf.DUMMYFUNCTION("""COMPUTED_VALUE"""),30000)</f>
        <v>30000</v>
      </c>
      <c r="I96" s="80"/>
    </row>
    <row r="97" spans="1:9" ht="13" x14ac:dyDescent="0.15">
      <c r="A97" s="5"/>
      <c r="B97" s="82">
        <f ca="1">IFERROR(__xludf.DUMMYFUNCTION("""COMPUTED_VALUE"""),44608.4050135069)</f>
        <v>44608.405013506897</v>
      </c>
      <c r="C97" s="79">
        <f ca="1">IFERROR(__xludf.DUMMYFUNCTION("""COMPUTED_VALUE"""),44608.6666666666)</f>
        <v>44608.666666666599</v>
      </c>
      <c r="D97" s="80" t="str">
        <f ca="1">IFERROR(__xludf.DUMMYFUNCTION("""COMPUTED_VALUE"""),"70628")</f>
        <v>70628</v>
      </c>
      <c r="E97" s="80" t="str">
        <f ca="1">IFERROR(__xludf.DUMMYFUNCTION("""COMPUTED_VALUE"""),"Stock")</f>
        <v>Stock</v>
      </c>
      <c r="F97" s="80" t="str">
        <f ca="1">IFERROR(__xludf.DUMMYFUNCTION("""COMPUTED_VALUE"""),"HKD")</f>
        <v>HKD</v>
      </c>
      <c r="G97" s="83" t="str">
        <f ca="1">IFERROR(__xludf.DUMMYFUNCTION("""COMPUTED_VALUE"""),"2333.HK")</f>
        <v>2333.HK</v>
      </c>
      <c r="H97" s="81">
        <f ca="1">IFERROR(__xludf.DUMMYFUNCTION("""COMPUTED_VALUE"""),7000)</f>
        <v>7000</v>
      </c>
      <c r="I97" s="80"/>
    </row>
    <row r="98" spans="1:9" ht="13" x14ac:dyDescent="0.15">
      <c r="A98" s="5"/>
      <c r="B98" s="82">
        <f ca="1">IFERROR(__xludf.DUMMYFUNCTION("""COMPUTED_VALUE"""),44608.4222886342)</f>
        <v>44608.422288634203</v>
      </c>
      <c r="C98" s="79">
        <f ca="1">IFERROR(__xludf.DUMMYFUNCTION("""COMPUTED_VALUE"""),44608.6666666666)</f>
        <v>44608.666666666599</v>
      </c>
      <c r="D98" s="80" t="str">
        <f ca="1">IFERROR(__xludf.DUMMYFUNCTION("""COMPUTED_VALUE"""),"70628")</f>
        <v>70628</v>
      </c>
      <c r="E98" s="80" t="str">
        <f ca="1">IFERROR(__xludf.DUMMYFUNCTION("""COMPUTED_VALUE"""),"Stock")</f>
        <v>Stock</v>
      </c>
      <c r="F98" s="80" t="str">
        <f ca="1">IFERROR(__xludf.DUMMYFUNCTION("""COMPUTED_VALUE"""),"HKD")</f>
        <v>HKD</v>
      </c>
      <c r="G98" s="83" t="str">
        <f ca="1">IFERROR(__xludf.DUMMYFUNCTION("""COMPUTED_VALUE"""),"1810.HK")</f>
        <v>1810.HK</v>
      </c>
      <c r="H98" s="81">
        <f ca="1">IFERROR(__xludf.DUMMYFUNCTION("""COMPUTED_VALUE"""),9000)</f>
        <v>9000</v>
      </c>
      <c r="I98" s="80"/>
    </row>
    <row r="99" spans="1:9" ht="13" x14ac:dyDescent="0.15">
      <c r="A99" s="5"/>
      <c r="B99" s="82">
        <f ca="1">IFERROR(__xludf.DUMMYFUNCTION("""COMPUTED_VALUE"""),44608.4236914351)</f>
        <v>44608.423691435099</v>
      </c>
      <c r="C99" s="79" t="str">
        <f ca="1">IFERROR(__xludf.DUMMYFUNCTION("""COMPUTED_VALUE"""),"")</f>
        <v/>
      </c>
      <c r="D99" s="80" t="str">
        <f ca="1">IFERROR(__xludf.DUMMYFUNCTION("""COMPUTED_VALUE"""),"82124")</f>
        <v>82124</v>
      </c>
      <c r="E99" s="80" t="str">
        <f ca="1">IFERROR(__xludf.DUMMYFUNCTION("""COMPUTED_VALUE"""),"Stock")</f>
        <v>Stock</v>
      </c>
      <c r="F99" s="80" t="str">
        <f ca="1">IFERROR(__xludf.DUMMYFUNCTION("""COMPUTED_VALUE"""),"error")</f>
        <v>error</v>
      </c>
      <c r="G99" s="78">
        <f ca="1">IFERROR(__xludf.DUMMYFUNCTION("""COMPUTED_VALUE"""),9988)</f>
        <v>9988</v>
      </c>
      <c r="H99" s="81">
        <f ca="1">IFERROR(__xludf.DUMMYFUNCTION("""COMPUTED_VALUE"""),200)</f>
        <v>200</v>
      </c>
      <c r="I99" s="80" t="str">
        <f ca="1">IFERROR(__xludf.DUMMYFUNCTION("""COMPUTED_VALUE"""),"Order rejected due to wrong ticker code. just need to type in 9988.HK")</f>
        <v>Order rejected due to wrong ticker code. just need to type in 9988.HK</v>
      </c>
    </row>
    <row r="100" spans="1:9" ht="13" x14ac:dyDescent="0.15">
      <c r="A100" s="5"/>
      <c r="B100" s="82">
        <f ca="1">IFERROR(__xludf.DUMMYFUNCTION("""COMPUTED_VALUE"""),44608.5044105208)</f>
        <v>44608.5044105208</v>
      </c>
      <c r="C100" s="79">
        <f ca="1">IFERROR(__xludf.DUMMYFUNCTION("""COMPUTED_VALUE"""),44608.6666666666)</f>
        <v>44608.666666666599</v>
      </c>
      <c r="D100" s="80" t="str">
        <f ca="1">IFERROR(__xludf.DUMMYFUNCTION("""COMPUTED_VALUE"""),"89750")</f>
        <v>89750</v>
      </c>
      <c r="E100" s="80" t="str">
        <f ca="1">IFERROR(__xludf.DUMMYFUNCTION("""COMPUTED_VALUE"""),"Stock")</f>
        <v>Stock</v>
      </c>
      <c r="F100" s="80" t="str">
        <f ca="1">IFERROR(__xludf.DUMMYFUNCTION("""COMPUTED_VALUE"""),"HKD")</f>
        <v>HKD</v>
      </c>
      <c r="G100" s="83" t="str">
        <f ca="1">IFERROR(__xludf.DUMMYFUNCTION("""COMPUTED_VALUE"""),"9698.HK")</f>
        <v>9698.HK</v>
      </c>
      <c r="H100" s="81">
        <f ca="1">IFERROR(__xludf.DUMMYFUNCTION("""COMPUTED_VALUE"""),9500)</f>
        <v>9500</v>
      </c>
      <c r="I100" s="80"/>
    </row>
    <row r="101" spans="1:9" ht="13" x14ac:dyDescent="0.15">
      <c r="A101" s="5"/>
      <c r="B101" s="82">
        <f ca="1">IFERROR(__xludf.DUMMYFUNCTION("""COMPUTED_VALUE"""),44608.5343051273)</f>
        <v>44608.534305127301</v>
      </c>
      <c r="C101" s="79">
        <f ca="1">IFERROR(__xludf.DUMMYFUNCTION("""COMPUTED_VALUE"""),44608.6666666666)</f>
        <v>44608.666666666599</v>
      </c>
      <c r="D101" s="80" t="str">
        <f ca="1">IFERROR(__xludf.DUMMYFUNCTION("""COMPUTED_VALUE"""),"40433")</f>
        <v>40433</v>
      </c>
      <c r="E101" s="80" t="str">
        <f ca="1">IFERROR(__xludf.DUMMYFUNCTION("""COMPUTED_VALUE"""),"Stock")</f>
        <v>Stock</v>
      </c>
      <c r="F101" s="80" t="str">
        <f ca="1">IFERROR(__xludf.DUMMYFUNCTION("""COMPUTED_VALUE"""),"USD")</f>
        <v>USD</v>
      </c>
      <c r="G101" s="78" t="str">
        <f ca="1">IFERROR(__xludf.DUMMYFUNCTION("""COMPUTED_VALUE"""),"TSLA")</f>
        <v>TSLA</v>
      </c>
      <c r="H101" s="81">
        <f ca="1">IFERROR(__xludf.DUMMYFUNCTION("""COMPUTED_VALUE"""),365)</f>
        <v>365</v>
      </c>
      <c r="I101" s="80"/>
    </row>
    <row r="102" spans="1:9" ht="13" x14ac:dyDescent="0.15">
      <c r="A102" s="5"/>
      <c r="B102" s="82">
        <f ca="1">IFERROR(__xludf.DUMMYFUNCTION("""COMPUTED_VALUE"""),44608.6033865509)</f>
        <v>44608.603386550902</v>
      </c>
      <c r="C102" s="79">
        <f ca="1">IFERROR(__xludf.DUMMYFUNCTION("""COMPUTED_VALUE"""),44608.6666666666)</f>
        <v>44608.666666666599</v>
      </c>
      <c r="D102" s="80" t="str">
        <f ca="1">IFERROR(__xludf.DUMMYFUNCTION("""COMPUTED_VALUE"""),"82124")</f>
        <v>82124</v>
      </c>
      <c r="E102" s="80" t="str">
        <f ca="1">IFERROR(__xludf.DUMMYFUNCTION("""COMPUTED_VALUE"""),"Stock")</f>
        <v>Stock</v>
      </c>
      <c r="F102" s="80" t="str">
        <f ca="1">IFERROR(__xludf.DUMMYFUNCTION("""COMPUTED_VALUE"""),"HKD")</f>
        <v>HKD</v>
      </c>
      <c r="G102" s="83" t="str">
        <f ca="1">IFERROR(__xludf.DUMMYFUNCTION("""COMPUTED_VALUE"""),"9988.HK")</f>
        <v>9988.HK</v>
      </c>
      <c r="H102" s="81">
        <f ca="1">IFERROR(__xludf.DUMMYFUNCTION("""COMPUTED_VALUE"""),200)</f>
        <v>200</v>
      </c>
      <c r="I102" s="80" t="str">
        <f ca="1">IFERROR(__xludf.DUMMYFUNCTION("""COMPUTED_VALUE"""),"CTO adjusts the pwd. was typed in as with a @ in between")</f>
        <v>CTO adjusts the pwd. was typed in as with a @ in between</v>
      </c>
    </row>
    <row r="103" spans="1:9" ht="13" x14ac:dyDescent="0.15">
      <c r="A103" s="5"/>
      <c r="B103" s="82">
        <f ca="1">IFERROR(__xludf.DUMMYFUNCTION("""COMPUTED_VALUE"""),44608.6420499074)</f>
        <v>44608.642049907401</v>
      </c>
      <c r="C103" s="79">
        <f ca="1">IFERROR(__xludf.DUMMYFUNCTION("""COMPUTED_VALUE"""),44608.6666666666)</f>
        <v>44608.666666666599</v>
      </c>
      <c r="D103" s="80" t="str">
        <f ca="1">IFERROR(__xludf.DUMMYFUNCTION("""COMPUTED_VALUE"""),"46220")</f>
        <v>46220</v>
      </c>
      <c r="E103" s="80" t="str">
        <f ca="1">IFERROR(__xludf.DUMMYFUNCTION("""COMPUTED_VALUE"""),"Stock")</f>
        <v>Stock</v>
      </c>
      <c r="F103" s="80" t="str">
        <f ca="1">IFERROR(__xludf.DUMMYFUNCTION("""COMPUTED_VALUE"""),"USD")</f>
        <v>USD</v>
      </c>
      <c r="G103" s="78" t="str">
        <f ca="1">IFERROR(__xludf.DUMMYFUNCTION("""COMPUTED_VALUE"""),"BTC-USD")</f>
        <v>BTC-USD</v>
      </c>
      <c r="H103" s="81">
        <f ca="1">IFERROR(__xludf.DUMMYFUNCTION("""COMPUTED_VALUE"""),10)</f>
        <v>10</v>
      </c>
      <c r="I103" s="80"/>
    </row>
    <row r="104" spans="1:9" ht="13" x14ac:dyDescent="0.15">
      <c r="A104" s="5"/>
      <c r="B104" s="82">
        <f ca="1">IFERROR(__xludf.DUMMYFUNCTION("""COMPUTED_VALUE"""),44608.6438545138)</f>
        <v>44608.643854513801</v>
      </c>
      <c r="C104" s="79">
        <f ca="1">IFERROR(__xludf.DUMMYFUNCTION("""COMPUTED_VALUE"""),44608.6666666666)</f>
        <v>44608.666666666599</v>
      </c>
      <c r="D104" s="80" t="str">
        <f ca="1">IFERROR(__xludf.DUMMYFUNCTION("""COMPUTED_VALUE"""),"46220")</f>
        <v>46220</v>
      </c>
      <c r="E104" s="80" t="str">
        <f ca="1">IFERROR(__xludf.DUMMYFUNCTION("""COMPUTED_VALUE"""),"Stock")</f>
        <v>Stock</v>
      </c>
      <c r="F104" s="80" t="str">
        <f ca="1">IFERROR(__xludf.DUMMYFUNCTION("""COMPUTED_VALUE"""),"HKD")</f>
        <v>HKD</v>
      </c>
      <c r="G104" s="83" t="str">
        <f ca="1">IFERROR(__xludf.DUMMYFUNCTION("""COMPUTED_VALUE"""),"0883.hk")</f>
        <v>0883.hk</v>
      </c>
      <c r="H104" s="81">
        <f ca="1">IFERROR(__xludf.DUMMYFUNCTION("""COMPUTED_VALUE"""),20)</f>
        <v>20</v>
      </c>
      <c r="I104" s="80"/>
    </row>
    <row r="105" spans="1:9" ht="13" x14ac:dyDescent="0.15">
      <c r="A105" s="5"/>
      <c r="B105" s="82">
        <f ca="1">IFERROR(__xludf.DUMMYFUNCTION("""COMPUTED_VALUE"""),44608.6552554282)</f>
        <v>44608.655255428203</v>
      </c>
      <c r="C105" s="79">
        <f ca="1">IFERROR(__xludf.DUMMYFUNCTION("""COMPUTED_VALUE"""),44608.6666666666)</f>
        <v>44608.666666666599</v>
      </c>
      <c r="D105" s="80" t="str">
        <f ca="1">IFERROR(__xludf.DUMMYFUNCTION("""COMPUTED_VALUE"""),"46220")</f>
        <v>46220</v>
      </c>
      <c r="E105" s="80" t="str">
        <f ca="1">IFERROR(__xludf.DUMMYFUNCTION("""COMPUTED_VALUE"""),"Stock")</f>
        <v>Stock</v>
      </c>
      <c r="F105" s="80" t="str">
        <f ca="1">IFERROR(__xludf.DUMMYFUNCTION("""COMPUTED_VALUE"""),"USD")</f>
        <v>USD</v>
      </c>
      <c r="G105" s="78" t="str">
        <f ca="1">IFERROR(__xludf.DUMMYFUNCTION("""COMPUTED_VALUE"""),"GOOG")</f>
        <v>GOOG</v>
      </c>
      <c r="H105" s="81">
        <f ca="1">IFERROR(__xludf.DUMMYFUNCTION("""COMPUTED_VALUE"""),20)</f>
        <v>20</v>
      </c>
      <c r="I105" s="80"/>
    </row>
    <row r="106" spans="1:9" ht="13" x14ac:dyDescent="0.15">
      <c r="A106" s="5"/>
      <c r="B106" s="82">
        <f ca="1">IFERROR(__xludf.DUMMYFUNCTION("""COMPUTED_VALUE"""),44608.6610262962)</f>
        <v>44608.661026296199</v>
      </c>
      <c r="C106" s="79">
        <f ca="1">IFERROR(__xludf.DUMMYFUNCTION("""COMPUTED_VALUE"""),44608.6666666666)</f>
        <v>44608.666666666599</v>
      </c>
      <c r="D106" s="80" t="str">
        <f ca="1">IFERROR(__xludf.DUMMYFUNCTION("""COMPUTED_VALUE"""),"40158")</f>
        <v>40158</v>
      </c>
      <c r="E106" s="80" t="str">
        <f ca="1">IFERROR(__xludf.DUMMYFUNCTION("""COMPUTED_VALUE"""),"Stock")</f>
        <v>Stock</v>
      </c>
      <c r="F106" s="80" t="str">
        <f ca="1">IFERROR(__xludf.DUMMYFUNCTION("""COMPUTED_VALUE"""),"HKD")</f>
        <v>HKD</v>
      </c>
      <c r="G106" s="83" t="str">
        <f ca="1">IFERROR(__xludf.DUMMYFUNCTION("""COMPUTED_VALUE"""),"2020.HK")</f>
        <v>2020.HK</v>
      </c>
      <c r="H106" s="81">
        <f ca="1">IFERROR(__xludf.DUMMYFUNCTION("""COMPUTED_VALUE"""),7)</f>
        <v>7</v>
      </c>
      <c r="I106" s="80"/>
    </row>
    <row r="107" spans="1:9" ht="13" x14ac:dyDescent="0.15">
      <c r="A107" s="5"/>
      <c r="B107" s="82">
        <f ca="1">IFERROR(__xludf.DUMMYFUNCTION("""COMPUTED_VALUE"""),44608.676030243)</f>
        <v>44608.676030242998</v>
      </c>
      <c r="C107" s="79">
        <f ca="1">IFERROR(__xludf.DUMMYFUNCTION("""COMPUTED_VALUE"""),44608.6666666666)</f>
        <v>44608.666666666599</v>
      </c>
      <c r="D107" s="80" t="str">
        <f ca="1">IFERROR(__xludf.DUMMYFUNCTION("""COMPUTED_VALUE"""),"39494")</f>
        <v>39494</v>
      </c>
      <c r="E107" s="80" t="str">
        <f ca="1">IFERROR(__xludf.DUMMYFUNCTION("""COMPUTED_VALUE"""),"Stock")</f>
        <v>Stock</v>
      </c>
      <c r="F107" s="80" t="str">
        <f ca="1">IFERROR(__xludf.DUMMYFUNCTION("""COMPUTED_VALUE"""),"USD")</f>
        <v>USD</v>
      </c>
      <c r="G107" s="78" t="str">
        <f ca="1">IFERROR(__xludf.DUMMYFUNCTION("""COMPUTED_VALUE"""),"NVDA")</f>
        <v>NVDA</v>
      </c>
      <c r="H107" s="81">
        <f ca="1">IFERROR(__xludf.DUMMYFUNCTION("""COMPUTED_VALUE"""),100)</f>
        <v>100</v>
      </c>
      <c r="I107" s="80"/>
    </row>
    <row r="108" spans="1:9" ht="13" x14ac:dyDescent="0.15">
      <c r="A108" s="5"/>
      <c r="B108" s="82">
        <f ca="1">IFERROR(__xludf.DUMMYFUNCTION("""COMPUTED_VALUE"""),44608.6767482407)</f>
        <v>44608.676748240701</v>
      </c>
      <c r="C108" s="79">
        <f ca="1">IFERROR(__xludf.DUMMYFUNCTION("""COMPUTED_VALUE"""),44608.6666666666)</f>
        <v>44608.666666666599</v>
      </c>
      <c r="D108" s="80" t="str">
        <f ca="1">IFERROR(__xludf.DUMMYFUNCTION("""COMPUTED_VALUE"""),"39494")</f>
        <v>39494</v>
      </c>
      <c r="E108" s="80" t="str">
        <f ca="1">IFERROR(__xludf.DUMMYFUNCTION("""COMPUTED_VALUE"""),"Stock")</f>
        <v>Stock</v>
      </c>
      <c r="F108" s="80" t="str">
        <f ca="1">IFERROR(__xludf.DUMMYFUNCTION("""COMPUTED_VALUE"""),"USD")</f>
        <v>USD</v>
      </c>
      <c r="G108" s="78" t="str">
        <f ca="1">IFERROR(__xludf.DUMMYFUNCTION("""COMPUTED_VALUE"""),"SONY")</f>
        <v>SONY</v>
      </c>
      <c r="H108" s="81">
        <f ca="1">IFERROR(__xludf.DUMMYFUNCTION("""COMPUTED_VALUE"""),100)</f>
        <v>100</v>
      </c>
      <c r="I108" s="80" t="str">
        <f ca="1">IFERROR(__xludf.DUMMYFUNCTION("""COMPUTED_VALUE"""),"input as s1239494@ouhk.edu.hk")</f>
        <v>input as s1239494@ouhk.edu.hk</v>
      </c>
    </row>
    <row r="109" spans="1:9" ht="13" x14ac:dyDescent="0.15">
      <c r="A109" s="5"/>
      <c r="B109" s="82">
        <f ca="1">IFERROR(__xludf.DUMMYFUNCTION("""COMPUTED_VALUE"""),44608.6780850694)</f>
        <v>44608.678085069398</v>
      </c>
      <c r="C109" s="79">
        <f ca="1">IFERROR(__xludf.DUMMYFUNCTION("""COMPUTED_VALUE"""),44608.6666666666)</f>
        <v>44608.666666666599</v>
      </c>
      <c r="D109" s="80" t="str">
        <f ca="1">IFERROR(__xludf.DUMMYFUNCTION("""COMPUTED_VALUE"""),"39494")</f>
        <v>39494</v>
      </c>
      <c r="E109" s="80" t="str">
        <f ca="1">IFERROR(__xludf.DUMMYFUNCTION("""COMPUTED_VALUE"""),"Stock")</f>
        <v>Stock</v>
      </c>
      <c r="F109" s="80" t="str">
        <f ca="1">IFERROR(__xludf.DUMMYFUNCTION("""COMPUTED_VALUE"""),"USD")</f>
        <v>USD</v>
      </c>
      <c r="G109" s="78" t="str">
        <f ca="1">IFERROR(__xludf.DUMMYFUNCTION("""COMPUTED_VALUE"""),"NTDOY")</f>
        <v>NTDOY</v>
      </c>
      <c r="H109" s="81">
        <f ca="1">IFERROR(__xludf.DUMMYFUNCTION("""COMPUTED_VALUE"""),100)</f>
        <v>100</v>
      </c>
      <c r="I109" s="80"/>
    </row>
    <row r="110" spans="1:9" ht="13" x14ac:dyDescent="0.15">
      <c r="A110" s="5"/>
      <c r="B110" s="82">
        <f ca="1">IFERROR(__xludf.DUMMYFUNCTION("""COMPUTED_VALUE"""),44608.7199176851)</f>
        <v>44608.719917685099</v>
      </c>
      <c r="C110" s="79">
        <f ca="1">IFERROR(__xludf.DUMMYFUNCTION("""COMPUTED_VALUE"""),44608.6666666666)</f>
        <v>44608.666666666599</v>
      </c>
      <c r="D110" s="80" t="str">
        <f ca="1">IFERROR(__xludf.DUMMYFUNCTION("""COMPUTED_VALUE"""),"39857")</f>
        <v>39857</v>
      </c>
      <c r="E110" s="80" t="str">
        <f ca="1">IFERROR(__xludf.DUMMYFUNCTION("""COMPUTED_VALUE"""),"Stock")</f>
        <v>Stock</v>
      </c>
      <c r="F110" s="80" t="str">
        <f ca="1">IFERROR(__xludf.DUMMYFUNCTION("""COMPUTED_VALUE"""),"USD")</f>
        <v>USD</v>
      </c>
      <c r="G110" s="78" t="str">
        <f ca="1">IFERROR(__xludf.DUMMYFUNCTION("""COMPUTED_VALUE"""),"DIS")</f>
        <v>DIS</v>
      </c>
      <c r="H110" s="81">
        <f ca="1">IFERROR(__xludf.DUMMYFUNCTION("""COMPUTED_VALUE"""),200)</f>
        <v>200</v>
      </c>
      <c r="I110" s="80" t="str">
        <f ca="1">IFERROR(__xludf.DUMMYFUNCTION("""COMPUTED_VALUE"""),"input as s1239857@muhk.edu.hk")</f>
        <v>input as s1239857@muhk.edu.hk</v>
      </c>
    </row>
    <row r="111" spans="1:9" ht="13" x14ac:dyDescent="0.15">
      <c r="A111" s="5"/>
      <c r="B111" s="82">
        <f ca="1">IFERROR(__xludf.DUMMYFUNCTION("""COMPUTED_VALUE"""),44608.917690706)</f>
        <v>44608.917690706003</v>
      </c>
      <c r="C111" s="79">
        <f ca="1">IFERROR(__xludf.DUMMYFUNCTION("""COMPUTED_VALUE"""),44608.6666666666)</f>
        <v>44608.666666666599</v>
      </c>
      <c r="D111" s="80" t="str">
        <f ca="1">IFERROR(__xludf.DUMMYFUNCTION("""COMPUTED_VALUE"""),"40105")</f>
        <v>40105</v>
      </c>
      <c r="E111" s="80" t="str">
        <f ca="1">IFERROR(__xludf.DUMMYFUNCTION("""COMPUTED_VALUE"""),"Stock")</f>
        <v>Stock</v>
      </c>
      <c r="F111" s="80" t="str">
        <f ca="1">IFERROR(__xludf.DUMMYFUNCTION("""COMPUTED_VALUE"""),"USD")</f>
        <v>USD</v>
      </c>
      <c r="G111" s="78" t="str">
        <f ca="1">IFERROR(__xludf.DUMMYFUNCTION("""COMPUTED_VALUE"""),"DIS")</f>
        <v>DIS</v>
      </c>
      <c r="H111" s="81">
        <f ca="1">IFERROR(__xludf.DUMMYFUNCTION("""COMPUTED_VALUE"""),300)</f>
        <v>300</v>
      </c>
      <c r="I111" s="80"/>
    </row>
    <row r="112" spans="1:9" ht="13" x14ac:dyDescent="0.15">
      <c r="A112" s="5"/>
      <c r="B112" s="82">
        <f ca="1">IFERROR(__xludf.DUMMYFUNCTION("""COMPUTED_VALUE"""),44608.9193502199)</f>
        <v>44608.919350219898</v>
      </c>
      <c r="C112" s="79">
        <f ca="1">IFERROR(__xludf.DUMMYFUNCTION("""COMPUTED_VALUE"""),44608.6666666666)</f>
        <v>44608.666666666599</v>
      </c>
      <c r="D112" s="80" t="str">
        <f ca="1">IFERROR(__xludf.DUMMYFUNCTION("""COMPUTED_VALUE"""),"40105")</f>
        <v>40105</v>
      </c>
      <c r="E112" s="80" t="str">
        <f ca="1">IFERROR(__xludf.DUMMYFUNCTION("""COMPUTED_VALUE"""),"Stock")</f>
        <v>Stock</v>
      </c>
      <c r="F112" s="80" t="str">
        <f ca="1">IFERROR(__xludf.DUMMYFUNCTION("""COMPUTED_VALUE"""),"USD")</f>
        <v>USD</v>
      </c>
      <c r="G112" s="78" t="str">
        <f ca="1">IFERROR(__xludf.DUMMYFUNCTION("""COMPUTED_VALUE"""),"DIS")</f>
        <v>DIS</v>
      </c>
      <c r="H112" s="81">
        <f ca="1">IFERROR(__xludf.DUMMYFUNCTION("""COMPUTED_VALUE"""),300)</f>
        <v>300</v>
      </c>
      <c r="I112" s="80"/>
    </row>
    <row r="113" spans="1:9" ht="13" x14ac:dyDescent="0.15">
      <c r="A113" s="5"/>
      <c r="B113" s="82">
        <f ca="1">IFERROR(__xludf.DUMMYFUNCTION("""COMPUTED_VALUE"""),44608.9357399652)</f>
        <v>44608.9357399652</v>
      </c>
      <c r="C113" s="79">
        <f ca="1">IFERROR(__xludf.DUMMYFUNCTION("""COMPUTED_VALUE"""),44608.6666666666)</f>
        <v>44608.666666666599</v>
      </c>
      <c r="D113" s="80" t="str">
        <f ca="1">IFERROR(__xludf.DUMMYFUNCTION("""COMPUTED_VALUE"""),"39608")</f>
        <v>39608</v>
      </c>
      <c r="E113" s="80" t="str">
        <f ca="1">IFERROR(__xludf.DUMMYFUNCTION("""COMPUTED_VALUE"""),"Stock")</f>
        <v>Stock</v>
      </c>
      <c r="F113" s="80" t="str">
        <f ca="1">IFERROR(__xludf.DUMMYFUNCTION("""COMPUTED_VALUE"""),"USD")</f>
        <v>USD</v>
      </c>
      <c r="G113" s="78" t="str">
        <f ca="1">IFERROR(__xludf.DUMMYFUNCTION("""COMPUTED_VALUE"""),"TSLA")</f>
        <v>TSLA</v>
      </c>
      <c r="H113" s="81">
        <f ca="1">IFERROR(__xludf.DUMMYFUNCTION("""COMPUTED_VALUE"""),36)</f>
        <v>36</v>
      </c>
      <c r="I113" s="80"/>
    </row>
    <row r="114" spans="1:9" ht="13" x14ac:dyDescent="0.15">
      <c r="A114" s="5"/>
      <c r="B114" s="82">
        <f ca="1">IFERROR(__xludf.DUMMYFUNCTION("""COMPUTED_VALUE"""),44608.9357724884)</f>
        <v>44608.935772488403</v>
      </c>
      <c r="C114" s="79">
        <f ca="1">IFERROR(__xludf.DUMMYFUNCTION("""COMPUTED_VALUE"""),44608.6666666666)</f>
        <v>44608.666666666599</v>
      </c>
      <c r="D114" s="80" t="str">
        <f ca="1">IFERROR(__xludf.DUMMYFUNCTION("""COMPUTED_VALUE"""),"37400")</f>
        <v>37400</v>
      </c>
      <c r="E114" s="80" t="str">
        <f ca="1">IFERROR(__xludf.DUMMYFUNCTION("""COMPUTED_VALUE"""),"Stock")</f>
        <v>Stock</v>
      </c>
      <c r="F114" s="80" t="str">
        <f ca="1">IFERROR(__xludf.DUMMYFUNCTION("""COMPUTED_VALUE"""),"USD")</f>
        <v>USD</v>
      </c>
      <c r="G114" s="78" t="str">
        <f ca="1">IFERROR(__xludf.DUMMYFUNCTION("""COMPUTED_VALUE"""),"TSLA")</f>
        <v>TSLA</v>
      </c>
      <c r="H114" s="81">
        <f ca="1">IFERROR(__xludf.DUMMYFUNCTION("""COMPUTED_VALUE"""),36)</f>
        <v>36</v>
      </c>
      <c r="I114" s="80"/>
    </row>
    <row r="115" spans="1:9" ht="13" x14ac:dyDescent="0.15">
      <c r="A115" s="5"/>
      <c r="B115" s="82">
        <f ca="1">IFERROR(__xludf.DUMMYFUNCTION("""COMPUTED_VALUE"""),44608.9551551504)</f>
        <v>44608.955155150397</v>
      </c>
      <c r="C115" s="79">
        <f ca="1">IFERROR(__xludf.DUMMYFUNCTION("""COMPUTED_VALUE"""),44608.6666666666)</f>
        <v>44608.666666666599</v>
      </c>
      <c r="D115" s="80" t="str">
        <f ca="1">IFERROR(__xludf.DUMMYFUNCTION("""COMPUTED_VALUE"""),"32312")</f>
        <v>32312</v>
      </c>
      <c r="E115" s="80" t="str">
        <f ca="1">IFERROR(__xludf.DUMMYFUNCTION("""COMPUTED_VALUE"""),"Stock")</f>
        <v>Stock</v>
      </c>
      <c r="F115" s="80" t="str">
        <f ca="1">IFERROR(__xludf.DUMMYFUNCTION("""COMPUTED_VALUE"""),"USD")</f>
        <v>USD</v>
      </c>
      <c r="G115" s="78" t="str">
        <f ca="1">IFERROR(__xludf.DUMMYFUNCTION("""COMPUTED_VALUE"""),"TSLA")</f>
        <v>TSLA</v>
      </c>
      <c r="H115" s="81">
        <f ca="1">IFERROR(__xludf.DUMMYFUNCTION("""COMPUTED_VALUE"""),36)</f>
        <v>36</v>
      </c>
      <c r="I115" s="80"/>
    </row>
    <row r="116" spans="1:9" ht="13" x14ac:dyDescent="0.15">
      <c r="A116" s="5"/>
      <c r="B116" s="82">
        <f ca="1">IFERROR(__xludf.DUMMYFUNCTION("""COMPUTED_VALUE"""),44609.4585486111)</f>
        <v>44609.458548611103</v>
      </c>
      <c r="C116" s="79">
        <f ca="1">IFERROR(__xludf.DUMMYFUNCTION("""COMPUTED_VALUE"""),44609.6666666666)</f>
        <v>44609.666666666599</v>
      </c>
      <c r="D116" s="80" t="str">
        <f ca="1">IFERROR(__xludf.DUMMYFUNCTION("""COMPUTED_VALUE"""),"76848")</f>
        <v>76848</v>
      </c>
      <c r="E116" s="80" t="str">
        <f ca="1">IFERROR(__xludf.DUMMYFUNCTION("""COMPUTED_VALUE"""),"Stock")</f>
        <v>Stock</v>
      </c>
      <c r="F116" s="80" t="str">
        <f ca="1">IFERROR(__xludf.DUMMYFUNCTION("""COMPUTED_VALUE"""),"USD")</f>
        <v>USD</v>
      </c>
      <c r="G116" s="78" t="str">
        <f ca="1">IFERROR(__xludf.DUMMYFUNCTION("""COMPUTED_VALUE"""),"AMAT")</f>
        <v>AMAT</v>
      </c>
      <c r="H116" s="81">
        <f ca="1">IFERROR(__xludf.DUMMYFUNCTION("""COMPUTED_VALUE"""),50)</f>
        <v>50</v>
      </c>
      <c r="I116" s="80"/>
    </row>
    <row r="117" spans="1:9" ht="13" x14ac:dyDescent="0.15">
      <c r="A117" s="5"/>
      <c r="B117" s="82">
        <f ca="1">IFERROR(__xludf.DUMMYFUNCTION("""COMPUTED_VALUE"""),44609.4587077777)</f>
        <v>44609.458707777703</v>
      </c>
      <c r="C117" s="79">
        <f ca="1">IFERROR(__xludf.DUMMYFUNCTION("""COMPUTED_VALUE"""),44609.6666666666)</f>
        <v>44609.666666666599</v>
      </c>
      <c r="D117" s="80" t="str">
        <f ca="1">IFERROR(__xludf.DUMMYFUNCTION("""COMPUTED_VALUE"""),"74356")</f>
        <v>74356</v>
      </c>
      <c r="E117" s="80" t="str">
        <f ca="1">IFERROR(__xludf.DUMMYFUNCTION("""COMPUTED_VALUE"""),"Stock")</f>
        <v>Stock</v>
      </c>
      <c r="F117" s="80" t="str">
        <f ca="1">IFERROR(__xludf.DUMMYFUNCTION("""COMPUTED_VALUE"""),"USD")</f>
        <v>USD</v>
      </c>
      <c r="G117" s="78" t="str">
        <f ca="1">IFERROR(__xludf.DUMMYFUNCTION("""COMPUTED_VALUE"""),"AMAT")</f>
        <v>AMAT</v>
      </c>
      <c r="H117" s="81">
        <f ca="1">IFERROR(__xludf.DUMMYFUNCTION("""COMPUTED_VALUE"""),50)</f>
        <v>50</v>
      </c>
      <c r="I117" s="80"/>
    </row>
    <row r="118" spans="1:9" ht="13" x14ac:dyDescent="0.15">
      <c r="A118" s="5"/>
      <c r="B118" s="82">
        <f ca="1">IFERROR(__xludf.DUMMYFUNCTION("""COMPUTED_VALUE"""),44609.4855999652)</f>
        <v>44609.485599965199</v>
      </c>
      <c r="C118" s="79" t="str">
        <f ca="1">IFERROR(__xludf.DUMMYFUNCTION("""COMPUTED_VALUE"""),"")</f>
        <v/>
      </c>
      <c r="D118" s="80" t="str">
        <f ca="1">IFERROR(__xludf.DUMMYFUNCTION("""COMPUTED_VALUE"""),"82124")</f>
        <v>82124</v>
      </c>
      <c r="E118" s="80" t="str">
        <f ca="1">IFERROR(__xludf.DUMMYFUNCTION("""COMPUTED_VALUE"""),"Stock")</f>
        <v>Stock</v>
      </c>
      <c r="F118" s="80" t="str">
        <f ca="1">IFERROR(__xludf.DUMMYFUNCTION("""COMPUTED_VALUE"""),"error")</f>
        <v>error</v>
      </c>
      <c r="G118" s="78">
        <f ca="1">IFERROR(__xludf.DUMMYFUNCTION("""COMPUTED_VALUE"""),9988)</f>
        <v>9988</v>
      </c>
      <c r="H118" s="81">
        <f ca="1">IFERROR(__xludf.DUMMYFUNCTION("""COMPUTED_VALUE"""),200)</f>
        <v>200</v>
      </c>
      <c r="I118" s="80" t="str">
        <f ca="1">IFERROR(__xludf.DUMMYFUNCTION("""COMPUTED_VALUE"""),"Order rejected due to wrong ticker code. just need to type in 9988.HK")</f>
        <v>Order rejected due to wrong ticker code. just need to type in 9988.HK</v>
      </c>
    </row>
    <row r="119" spans="1:9" ht="13" x14ac:dyDescent="0.15">
      <c r="A119" s="5"/>
      <c r="B119" s="82">
        <f ca="1">IFERROR(__xludf.DUMMYFUNCTION("""COMPUTED_VALUE"""),44609.6655219907)</f>
        <v>44609.665521990697</v>
      </c>
      <c r="C119" s="79">
        <f ca="1">IFERROR(__xludf.DUMMYFUNCTION("""COMPUTED_VALUE"""),44609.6666666666)</f>
        <v>44609.666666666599</v>
      </c>
      <c r="D119" s="80" t="str">
        <f ca="1">IFERROR(__xludf.DUMMYFUNCTION("""COMPUTED_VALUE"""),"76975")</f>
        <v>76975</v>
      </c>
      <c r="E119" s="80" t="str">
        <f ca="1">IFERROR(__xludf.DUMMYFUNCTION("""COMPUTED_VALUE"""),"Stock")</f>
        <v>Stock</v>
      </c>
      <c r="F119" s="80" t="str">
        <f ca="1">IFERROR(__xludf.DUMMYFUNCTION("""COMPUTED_VALUE"""),"HKD")</f>
        <v>HKD</v>
      </c>
      <c r="G119" s="83" t="str">
        <f ca="1">IFERROR(__xludf.DUMMYFUNCTION("""COMPUTED_VALUE"""),"0700.HK")</f>
        <v>0700.HK</v>
      </c>
      <c r="H119" s="81">
        <f ca="1">IFERROR(__xludf.DUMMYFUNCTION("""COMPUTED_VALUE"""),210)</f>
        <v>210</v>
      </c>
      <c r="I119" s="80"/>
    </row>
    <row r="120" spans="1:9" ht="13" x14ac:dyDescent="0.15">
      <c r="A120" s="5"/>
      <c r="B120" s="82">
        <f ca="1">IFERROR(__xludf.DUMMYFUNCTION("""COMPUTED_VALUE"""),44609.6657614583)</f>
        <v>44609.665761458302</v>
      </c>
      <c r="C120" s="79">
        <f ca="1">IFERROR(__xludf.DUMMYFUNCTION("""COMPUTED_VALUE"""),44609.6666666666)</f>
        <v>44609.666666666599</v>
      </c>
      <c r="D120" s="80" t="str">
        <f ca="1">IFERROR(__xludf.DUMMYFUNCTION("""COMPUTED_VALUE"""),"89750")</f>
        <v>89750</v>
      </c>
      <c r="E120" s="80" t="str">
        <f ca="1">IFERROR(__xludf.DUMMYFUNCTION("""COMPUTED_VALUE"""),"Stock")</f>
        <v>Stock</v>
      </c>
      <c r="F120" s="80" t="str">
        <f ca="1">IFERROR(__xludf.DUMMYFUNCTION("""COMPUTED_VALUE"""),"HKD")</f>
        <v>HKD</v>
      </c>
      <c r="G120" s="83" t="str">
        <f ca="1">IFERROR(__xludf.DUMMYFUNCTION("""COMPUTED_VALUE"""),"6969.HK")</f>
        <v>6969.HK</v>
      </c>
      <c r="H120" s="81">
        <f ca="1">IFERROR(__xludf.DUMMYFUNCTION("""COMPUTED_VALUE"""),1000)</f>
        <v>1000</v>
      </c>
      <c r="I120" s="80"/>
    </row>
    <row r="121" spans="1:9" ht="13" x14ac:dyDescent="0.15">
      <c r="A121" s="5"/>
      <c r="B121" s="82">
        <f ca="1">IFERROR(__xludf.DUMMYFUNCTION("""COMPUTED_VALUE"""),44609.6727311111)</f>
        <v>44609.672731111103</v>
      </c>
      <c r="C121" s="79">
        <f ca="1">IFERROR(__xludf.DUMMYFUNCTION("""COMPUTED_VALUE"""),44609.6666666666)</f>
        <v>44609.666666666599</v>
      </c>
      <c r="D121" s="80" t="str">
        <f ca="1">IFERROR(__xludf.DUMMYFUNCTION("""COMPUTED_VALUE"""),"39857")</f>
        <v>39857</v>
      </c>
      <c r="E121" s="80" t="str">
        <f ca="1">IFERROR(__xludf.DUMMYFUNCTION("""COMPUTED_VALUE"""),"Stock")</f>
        <v>Stock</v>
      </c>
      <c r="F121" s="80" t="str">
        <f ca="1">IFERROR(__xludf.DUMMYFUNCTION("""COMPUTED_VALUE"""),"USD")</f>
        <v>USD</v>
      </c>
      <c r="G121" s="78" t="str">
        <f ca="1">IFERROR(__xludf.DUMMYFUNCTION("""COMPUTED_VALUE"""),"DIS")</f>
        <v>DIS</v>
      </c>
      <c r="H121" s="81">
        <f ca="1">IFERROR(__xludf.DUMMYFUNCTION("""COMPUTED_VALUE"""),300)</f>
        <v>300</v>
      </c>
      <c r="I121" s="80"/>
    </row>
    <row r="122" spans="1:9" ht="13" x14ac:dyDescent="0.15">
      <c r="A122" s="5"/>
      <c r="B122" s="82">
        <f ca="1">IFERROR(__xludf.DUMMYFUNCTION("""COMPUTED_VALUE"""),44609.6753666203)</f>
        <v>44609.6753666203</v>
      </c>
      <c r="C122" s="79">
        <f ca="1">IFERROR(__xludf.DUMMYFUNCTION("""COMPUTED_VALUE"""),44610.6666666666)</f>
        <v>44610.666666666599</v>
      </c>
      <c r="D122" s="80" t="str">
        <f ca="1">IFERROR(__xludf.DUMMYFUNCTION("""COMPUTED_VALUE"""),"75288")</f>
        <v>75288</v>
      </c>
      <c r="E122" s="80" t="str">
        <f ca="1">IFERROR(__xludf.DUMMYFUNCTION("""COMPUTED_VALUE"""),"Stock")</f>
        <v>Stock</v>
      </c>
      <c r="F122" s="80" t="str">
        <f ca="1">IFERROR(__xludf.DUMMYFUNCTION("""COMPUTED_VALUE"""),"HKD")</f>
        <v>HKD</v>
      </c>
      <c r="G122" s="83" t="str">
        <f ca="1">IFERROR(__xludf.DUMMYFUNCTION("""COMPUTED_VALUE"""),"0700.HK")</f>
        <v>0700.HK</v>
      </c>
      <c r="H122" s="81">
        <f ca="1">IFERROR(__xludf.DUMMYFUNCTION("""COMPUTED_VALUE"""),210)</f>
        <v>210</v>
      </c>
      <c r="I122" s="80"/>
    </row>
    <row r="123" spans="1:9" ht="13" x14ac:dyDescent="0.15">
      <c r="A123" s="5"/>
      <c r="B123" s="82">
        <f ca="1">IFERROR(__xludf.DUMMYFUNCTION("""COMPUTED_VALUE"""),44609.6774909375)</f>
        <v>44609.677490937502</v>
      </c>
      <c r="C123" s="79">
        <f ca="1">IFERROR(__xludf.DUMMYFUNCTION("""COMPUTED_VALUE"""),44609.6666666666)</f>
        <v>44609.666666666599</v>
      </c>
      <c r="D123" s="80" t="str">
        <f ca="1">IFERROR(__xludf.DUMMYFUNCTION("""COMPUTED_VALUE"""),"")</f>
        <v/>
      </c>
      <c r="E123" s="80" t="str">
        <f ca="1">IFERROR(__xludf.DUMMYFUNCTION("""COMPUTED_VALUE"""),"Stock")</f>
        <v>Stock</v>
      </c>
      <c r="F123" s="80" t="str">
        <f ca="1">IFERROR(__xludf.DUMMYFUNCTION("""COMPUTED_VALUE"""),"USD")</f>
        <v>USD</v>
      </c>
      <c r="G123" s="78" t="str">
        <f ca="1">IFERROR(__xludf.DUMMYFUNCTION("""COMPUTED_VALUE"""),"DIS")</f>
        <v>DIS</v>
      </c>
      <c r="H123" s="81">
        <f ca="1">IFERROR(__xludf.DUMMYFUNCTION("""COMPUTED_VALUE"""),300)</f>
        <v>300</v>
      </c>
      <c r="I123" s="80"/>
    </row>
    <row r="124" spans="1:9" ht="13" x14ac:dyDescent="0.15">
      <c r="A124" s="5"/>
      <c r="B124" s="82">
        <f ca="1">IFERROR(__xludf.DUMMYFUNCTION("""COMPUTED_VALUE"""),44609.7177130092)</f>
        <v>44609.717713009202</v>
      </c>
      <c r="C124" s="79" t="str">
        <f ca="1">IFERROR(__xludf.DUMMYFUNCTION("""COMPUTED_VALUE"""),"")</f>
        <v/>
      </c>
      <c r="D124" s="80" t="str">
        <f ca="1">IFERROR(__xludf.DUMMYFUNCTION("""COMPUTED_VALUE"""),"36460")</f>
        <v>36460</v>
      </c>
      <c r="E124" s="80" t="str">
        <f ca="1">IFERROR(__xludf.DUMMYFUNCTION("""COMPUTED_VALUE"""),"Stock")</f>
        <v>Stock</v>
      </c>
      <c r="F124" s="80" t="str">
        <f ca="1">IFERROR(__xludf.DUMMYFUNCTION("""COMPUTED_VALUE"""),"error")</f>
        <v>error</v>
      </c>
      <c r="G124" s="78">
        <f ca="1">IFERROR(__xludf.DUMMYFUNCTION("""COMPUTED_VALUE"""),603259)</f>
        <v>603259</v>
      </c>
      <c r="H124" s="81">
        <f ca="1">IFERROR(__xludf.DUMMYFUNCTION("""COMPUTED_VALUE"""),100)</f>
        <v>100</v>
      </c>
      <c r="I124" s="80" t="str">
        <f ca="1">IFERROR(__xludf.DUMMYFUNCTION("""COMPUTED_VALUE"""),"Order rejected due to wrong ticker code. just need to type in 603259.SS")</f>
        <v>Order rejected due to wrong ticker code. just need to type in 603259.SS</v>
      </c>
    </row>
    <row r="125" spans="1:9" ht="13" x14ac:dyDescent="0.15">
      <c r="A125" s="5"/>
      <c r="B125" s="82">
        <f ca="1">IFERROR(__xludf.DUMMYFUNCTION("""COMPUTED_VALUE"""),44609.9115731365)</f>
        <v>44609.911573136502</v>
      </c>
      <c r="C125" s="79">
        <f ca="1">IFERROR(__xludf.DUMMYFUNCTION("""COMPUTED_VALUE"""),44609.6666666666)</f>
        <v>44609.666666666599</v>
      </c>
      <c r="D125" s="80" t="str">
        <f ca="1">IFERROR(__xludf.DUMMYFUNCTION("""COMPUTED_VALUE"""),"39608")</f>
        <v>39608</v>
      </c>
      <c r="E125" s="80" t="str">
        <f ca="1">IFERROR(__xludf.DUMMYFUNCTION("""COMPUTED_VALUE"""),"Stock")</f>
        <v>Stock</v>
      </c>
      <c r="F125" s="80" t="str">
        <f ca="1">IFERROR(__xludf.DUMMYFUNCTION("""COMPUTED_VALUE"""),"USD")</f>
        <v>USD</v>
      </c>
      <c r="G125" s="78" t="str">
        <f ca="1">IFERROR(__xludf.DUMMYFUNCTION("""COMPUTED_VALUE"""),"TSLA")</f>
        <v>TSLA</v>
      </c>
      <c r="H125" s="81">
        <f ca="1">IFERROR(__xludf.DUMMYFUNCTION("""COMPUTED_VALUE"""),18)</f>
        <v>18</v>
      </c>
      <c r="I125" s="80" t="str">
        <f ca="1">IFERROR(__xludf.DUMMYFUNCTION("""COMPUTED_VALUE"""),"Order rejected due to wrong password")</f>
        <v>Order rejected due to wrong password</v>
      </c>
    </row>
    <row r="126" spans="1:9" ht="13" x14ac:dyDescent="0.15">
      <c r="A126" s="5"/>
      <c r="B126" s="82">
        <f ca="1">IFERROR(__xludf.DUMMYFUNCTION("""COMPUTED_VALUE"""),44609.9130709837)</f>
        <v>44609.913070983697</v>
      </c>
      <c r="C126" s="79">
        <f ca="1">IFERROR(__xludf.DUMMYFUNCTION("""COMPUTED_VALUE"""),44609.6666666666)</f>
        <v>44609.666666666599</v>
      </c>
      <c r="D126" s="80" t="str">
        <f ca="1">IFERROR(__xludf.DUMMYFUNCTION("""COMPUTED_VALUE"""),"37400")</f>
        <v>37400</v>
      </c>
      <c r="E126" s="80" t="str">
        <f ca="1">IFERROR(__xludf.DUMMYFUNCTION("""COMPUTED_VALUE"""),"Stock")</f>
        <v>Stock</v>
      </c>
      <c r="F126" s="80" t="str">
        <f ca="1">IFERROR(__xludf.DUMMYFUNCTION("""COMPUTED_VALUE"""),"USD")</f>
        <v>USD</v>
      </c>
      <c r="G126" s="78" t="str">
        <f ca="1">IFERROR(__xludf.DUMMYFUNCTION("""COMPUTED_VALUE"""),"TSLA")</f>
        <v>TSLA</v>
      </c>
      <c r="H126" s="81">
        <f ca="1">IFERROR(__xludf.DUMMYFUNCTION("""COMPUTED_VALUE"""),18)</f>
        <v>18</v>
      </c>
      <c r="I126" s="80"/>
    </row>
    <row r="127" spans="1:9" ht="13" x14ac:dyDescent="0.15">
      <c r="A127" s="5"/>
      <c r="B127" s="82">
        <f ca="1">IFERROR(__xludf.DUMMYFUNCTION("""COMPUTED_VALUE"""),44609.9154268865)</f>
        <v>44609.915426886502</v>
      </c>
      <c r="C127" s="79">
        <f ca="1">IFERROR(__xludf.DUMMYFUNCTION("""COMPUTED_VALUE"""),44609.6666666666)</f>
        <v>44609.666666666599</v>
      </c>
      <c r="D127" s="80" t="str">
        <f ca="1">IFERROR(__xludf.DUMMYFUNCTION("""COMPUTED_VALUE"""),"39608")</f>
        <v>39608</v>
      </c>
      <c r="E127" s="80" t="str">
        <f ca="1">IFERROR(__xludf.DUMMYFUNCTION("""COMPUTED_VALUE"""),"Stock")</f>
        <v>Stock</v>
      </c>
      <c r="F127" s="80" t="str">
        <f ca="1">IFERROR(__xludf.DUMMYFUNCTION("""COMPUTED_VALUE"""),"USD")</f>
        <v>USD</v>
      </c>
      <c r="G127" s="78" t="str">
        <f ca="1">IFERROR(__xludf.DUMMYFUNCTION("""COMPUTED_VALUE"""),"TSLA")</f>
        <v>TSLA</v>
      </c>
      <c r="H127" s="81">
        <f ca="1">IFERROR(__xludf.DUMMYFUNCTION("""COMPUTED_VALUE"""),18)</f>
        <v>18</v>
      </c>
      <c r="I127" s="80"/>
    </row>
    <row r="128" spans="1:9" ht="13" x14ac:dyDescent="0.15">
      <c r="A128" s="5"/>
      <c r="B128" s="82">
        <f ca="1">IFERROR(__xludf.DUMMYFUNCTION("""COMPUTED_VALUE"""),44609.921060162)</f>
        <v>44609.921060162</v>
      </c>
      <c r="C128" s="79">
        <f ca="1">IFERROR(__xludf.DUMMYFUNCTION("""COMPUTED_VALUE"""),44609.6666666666)</f>
        <v>44609.666666666599</v>
      </c>
      <c r="D128" s="80" t="str">
        <f ca="1">IFERROR(__xludf.DUMMYFUNCTION("""COMPUTED_VALUE"""),"32312")</f>
        <v>32312</v>
      </c>
      <c r="E128" s="80" t="str">
        <f ca="1">IFERROR(__xludf.DUMMYFUNCTION("""COMPUTED_VALUE"""),"Stock")</f>
        <v>Stock</v>
      </c>
      <c r="F128" s="80" t="str">
        <f ca="1">IFERROR(__xludf.DUMMYFUNCTION("""COMPUTED_VALUE"""),"USD")</f>
        <v>USD</v>
      </c>
      <c r="G128" s="78" t="str">
        <f ca="1">IFERROR(__xludf.DUMMYFUNCTION("""COMPUTED_VALUE"""),"TSLA")</f>
        <v>TSLA</v>
      </c>
      <c r="H128" s="81">
        <f ca="1">IFERROR(__xludf.DUMMYFUNCTION("""COMPUTED_VALUE"""),18)</f>
        <v>18</v>
      </c>
      <c r="I128" s="80"/>
    </row>
    <row r="129" spans="1:9" ht="13" x14ac:dyDescent="0.15">
      <c r="A129" s="5"/>
      <c r="B129" s="82">
        <f ca="1">IFERROR(__xludf.DUMMYFUNCTION("""COMPUTED_VALUE"""),44609.9918764699)</f>
        <v>44609.991876469903</v>
      </c>
      <c r="C129" s="79">
        <f ca="1">IFERROR(__xludf.DUMMYFUNCTION("""COMPUTED_VALUE"""),44609.6666666666)</f>
        <v>44609.666666666599</v>
      </c>
      <c r="D129" s="80" t="str">
        <f ca="1">IFERROR(__xludf.DUMMYFUNCTION("""COMPUTED_VALUE"""),"46220")</f>
        <v>46220</v>
      </c>
      <c r="E129" s="80" t="str">
        <f ca="1">IFERROR(__xludf.DUMMYFUNCTION("""COMPUTED_VALUE"""),"Stock")</f>
        <v>Stock</v>
      </c>
      <c r="F129" s="80" t="str">
        <f ca="1">IFERROR(__xludf.DUMMYFUNCTION("""COMPUTED_VALUE"""),"USD")</f>
        <v>USD</v>
      </c>
      <c r="G129" s="78" t="str">
        <f ca="1">IFERROR(__xludf.DUMMYFUNCTION("""COMPUTED_VALUE"""),"RBLX")</f>
        <v>RBLX</v>
      </c>
      <c r="H129" s="81">
        <f ca="1">IFERROR(__xludf.DUMMYFUNCTION("""COMPUTED_VALUE"""),50)</f>
        <v>50</v>
      </c>
      <c r="I129" s="80"/>
    </row>
    <row r="130" spans="1:9" ht="13" x14ac:dyDescent="0.15">
      <c r="A130" s="5"/>
      <c r="B130" s="82">
        <f ca="1">IFERROR(__xludf.DUMMYFUNCTION("""COMPUTED_VALUE"""),44610.05459375)</f>
        <v>44610.054593749999</v>
      </c>
      <c r="C130" s="79">
        <f ca="1">IFERROR(__xludf.DUMMYFUNCTION("""COMPUTED_VALUE"""),44609.6666666666)</f>
        <v>44609.666666666599</v>
      </c>
      <c r="D130" s="80" t="str">
        <f ca="1">IFERROR(__xludf.DUMMYFUNCTION("""COMPUTED_VALUE"""),"TraderX")</f>
        <v>TraderX</v>
      </c>
      <c r="E130" s="80" t="str">
        <f ca="1">IFERROR(__xludf.DUMMYFUNCTION("""COMPUTED_VALUE"""),"Option")</f>
        <v>Option</v>
      </c>
      <c r="F130" s="80" t="str">
        <f ca="1">IFERROR(__xludf.DUMMYFUNCTION("""COMPUTED_VALUE"""),"USD")</f>
        <v>USD</v>
      </c>
      <c r="G130" s="78" t="str">
        <f ca="1">IFERROR(__xludf.DUMMYFUNCTION("""COMPUTED_VALUE"""),"SPXW220218P04300000")</f>
        <v>SPXW220218P04300000</v>
      </c>
      <c r="H130" s="81">
        <f ca="1">IFERROR(__xludf.DUMMYFUNCTION("""COMPUTED_VALUE"""),8)</f>
        <v>8</v>
      </c>
      <c r="I130" s="80"/>
    </row>
    <row r="131" spans="1:9" ht="13" x14ac:dyDescent="0.15">
      <c r="A131" s="5"/>
      <c r="B131" s="82">
        <f ca="1">IFERROR(__xludf.DUMMYFUNCTION("""COMPUTED_VALUE"""),44610.055226331)</f>
        <v>44610.055226331002</v>
      </c>
      <c r="C131" s="79">
        <f ca="1">IFERROR(__xludf.DUMMYFUNCTION("""COMPUTED_VALUE"""),44609.6666666666)</f>
        <v>44609.666666666599</v>
      </c>
      <c r="D131" s="80" t="str">
        <f ca="1">IFERROR(__xludf.DUMMYFUNCTION("""COMPUTED_VALUE"""),"TraderX")</f>
        <v>TraderX</v>
      </c>
      <c r="E131" s="80" t="str">
        <f ca="1">IFERROR(__xludf.DUMMYFUNCTION("""COMPUTED_VALUE"""),"Option")</f>
        <v>Option</v>
      </c>
      <c r="F131" s="80" t="str">
        <f ca="1">IFERROR(__xludf.DUMMYFUNCTION("""COMPUTED_VALUE"""),"USD")</f>
        <v>USD</v>
      </c>
      <c r="G131" s="78" t="str">
        <f ca="1">IFERROR(__xludf.DUMMYFUNCTION("""COMPUTED_VALUE"""),"SPX220218P04220000")</f>
        <v>SPX220218P04220000</v>
      </c>
      <c r="H131" s="81">
        <f ca="1">IFERROR(__xludf.DUMMYFUNCTION("""COMPUTED_VALUE"""),8)</f>
        <v>8</v>
      </c>
      <c r="I131" s="80"/>
    </row>
    <row r="132" spans="1:9" ht="13" x14ac:dyDescent="0.15">
      <c r="A132" s="5"/>
      <c r="B132" s="82">
        <f ca="1">IFERROR(__xludf.DUMMYFUNCTION("""COMPUTED_VALUE"""),44610.0709833796)</f>
        <v>44610.070983379599</v>
      </c>
      <c r="C132" s="79">
        <f ca="1">IFERROR(__xludf.DUMMYFUNCTION("""COMPUTED_VALUE"""),44609.6666666666)</f>
        <v>44609.666666666599</v>
      </c>
      <c r="D132" s="80" t="str">
        <f ca="1">IFERROR(__xludf.DUMMYFUNCTION("""COMPUTED_VALUE"""),"40158")</f>
        <v>40158</v>
      </c>
      <c r="E132" s="80" t="str">
        <f ca="1">IFERROR(__xludf.DUMMYFUNCTION("""COMPUTED_VALUE"""),"Stock")</f>
        <v>Stock</v>
      </c>
      <c r="F132" s="80" t="str">
        <f ca="1">IFERROR(__xludf.DUMMYFUNCTION("""COMPUTED_VALUE"""),"USD")</f>
        <v>USD</v>
      </c>
      <c r="G132" s="78" t="str">
        <f ca="1">IFERROR(__xludf.DUMMYFUNCTION("""COMPUTED_VALUE"""),"TSLA")</f>
        <v>TSLA</v>
      </c>
      <c r="H132" s="81">
        <f ca="1">IFERROR(__xludf.DUMMYFUNCTION("""COMPUTED_VALUE"""),6)</f>
        <v>6</v>
      </c>
      <c r="I132" s="80"/>
    </row>
    <row r="133" spans="1:9" ht="13" x14ac:dyDescent="0.15">
      <c r="A133" s="5"/>
      <c r="B133" s="82">
        <f ca="1">IFERROR(__xludf.DUMMYFUNCTION("""COMPUTED_VALUE"""),44610.4853524768)</f>
        <v>44610.485352476797</v>
      </c>
      <c r="C133" s="79">
        <f ca="1">IFERROR(__xludf.DUMMYFUNCTION("""COMPUTED_VALUE"""),44610.6666666666)</f>
        <v>44610.666666666599</v>
      </c>
      <c r="D133" s="80" t="str">
        <f ca="1">IFERROR(__xludf.DUMMYFUNCTION("""COMPUTED_VALUE"""),"39857")</f>
        <v>39857</v>
      </c>
      <c r="E133" s="80" t="str">
        <f ca="1">IFERROR(__xludf.DUMMYFUNCTION("""COMPUTED_VALUE"""),"Stock")</f>
        <v>Stock</v>
      </c>
      <c r="F133" s="80" t="str">
        <f ca="1">IFERROR(__xludf.DUMMYFUNCTION("""COMPUTED_VALUE"""),"USD")</f>
        <v>USD</v>
      </c>
      <c r="G133" s="78" t="str">
        <f ca="1">IFERROR(__xludf.DUMMYFUNCTION("""COMPUTED_VALUE"""),"TSLA")</f>
        <v>TSLA</v>
      </c>
      <c r="H133" s="81">
        <f ca="1">IFERROR(__xludf.DUMMYFUNCTION("""COMPUTED_VALUE"""),2)</f>
        <v>2</v>
      </c>
      <c r="I133" s="80"/>
    </row>
    <row r="134" spans="1:9" ht="13" x14ac:dyDescent="0.15">
      <c r="A134" s="5"/>
      <c r="B134" s="82">
        <f ca="1">IFERROR(__xludf.DUMMYFUNCTION("""COMPUTED_VALUE"""),44610.4925617245)</f>
        <v>44610.492561724503</v>
      </c>
      <c r="C134" s="79">
        <f ca="1">IFERROR(__xludf.DUMMYFUNCTION("""COMPUTED_VALUE"""),44610.6666666666)</f>
        <v>44610.666666666599</v>
      </c>
      <c r="D134" s="80" t="str">
        <f ca="1">IFERROR(__xludf.DUMMYFUNCTION("""COMPUTED_VALUE"""),"70628")</f>
        <v>70628</v>
      </c>
      <c r="E134" s="80" t="str">
        <f ca="1">IFERROR(__xludf.DUMMYFUNCTION("""COMPUTED_VALUE"""),"Stock")</f>
        <v>Stock</v>
      </c>
      <c r="F134" s="80" t="str">
        <f ca="1">IFERROR(__xludf.DUMMYFUNCTION("""COMPUTED_VALUE"""),"HKD")</f>
        <v>HKD</v>
      </c>
      <c r="G134" s="83" t="str">
        <f ca="1">IFERROR(__xludf.DUMMYFUNCTION("""COMPUTED_VALUE"""),"2333.HK")</f>
        <v>2333.HK</v>
      </c>
      <c r="H134" s="81">
        <f ca="1">IFERROR(__xludf.DUMMYFUNCTION("""COMPUTED_VALUE"""),4000)</f>
        <v>4000</v>
      </c>
      <c r="I134" s="80"/>
    </row>
    <row r="135" spans="1:9" ht="13" x14ac:dyDescent="0.15">
      <c r="A135" s="5"/>
      <c r="B135" s="82">
        <f ca="1">IFERROR(__xludf.DUMMYFUNCTION("""COMPUTED_VALUE"""),44610.4941448726)</f>
        <v>44610.494144872602</v>
      </c>
      <c r="C135" s="79">
        <f ca="1">IFERROR(__xludf.DUMMYFUNCTION("""COMPUTED_VALUE"""),44610.6666666666)</f>
        <v>44610.666666666599</v>
      </c>
      <c r="D135" s="80" t="str">
        <f ca="1">IFERROR(__xludf.DUMMYFUNCTION("""COMPUTED_VALUE"""),"70628")</f>
        <v>70628</v>
      </c>
      <c r="E135" s="80" t="str">
        <f ca="1">IFERROR(__xludf.DUMMYFUNCTION("""COMPUTED_VALUE"""),"Stock")</f>
        <v>Stock</v>
      </c>
      <c r="F135" s="80" t="str">
        <f ca="1">IFERROR(__xludf.DUMMYFUNCTION("""COMPUTED_VALUE"""),"HKD")</f>
        <v>HKD</v>
      </c>
      <c r="G135" s="83" t="str">
        <f ca="1">IFERROR(__xludf.DUMMYFUNCTION("""COMPUTED_VALUE"""),"0175.HK")</f>
        <v>0175.HK</v>
      </c>
      <c r="H135" s="81">
        <f ca="1">IFERROR(__xludf.DUMMYFUNCTION("""COMPUTED_VALUE"""),16.85)</f>
        <v>16.850000000000001</v>
      </c>
      <c r="I135" s="80"/>
    </row>
    <row r="136" spans="1:9" ht="13" x14ac:dyDescent="0.15">
      <c r="A136" s="5"/>
      <c r="B136" s="82">
        <f ca="1">IFERROR(__xludf.DUMMYFUNCTION("""COMPUTED_VALUE"""),44610.5151876736)</f>
        <v>44610.515187673598</v>
      </c>
      <c r="C136" s="79">
        <f ca="1">IFERROR(__xludf.DUMMYFUNCTION("""COMPUTED_VALUE"""),44610.6666666666)</f>
        <v>44610.666666666599</v>
      </c>
      <c r="D136" s="80" t="str">
        <f ca="1">IFERROR(__xludf.DUMMYFUNCTION("""COMPUTED_VALUE"""),"76796")</f>
        <v>76796</v>
      </c>
      <c r="E136" s="80" t="str">
        <f ca="1">IFERROR(__xludf.DUMMYFUNCTION("""COMPUTED_VALUE"""),"Stock")</f>
        <v>Stock</v>
      </c>
      <c r="F136" s="80" t="str">
        <f ca="1">IFERROR(__xludf.DUMMYFUNCTION("""COMPUTED_VALUE"""),"USD")</f>
        <v>USD</v>
      </c>
      <c r="G136" s="78" t="str">
        <f ca="1">IFERROR(__xludf.DUMMYFUNCTION("""COMPUTED_VALUE"""),"ISPO")</f>
        <v>ISPO</v>
      </c>
      <c r="H136" s="81">
        <f ca="1">IFERROR(__xludf.DUMMYFUNCTION("""COMPUTED_VALUE"""),2000)</f>
        <v>2000</v>
      </c>
      <c r="I136" s="80"/>
    </row>
    <row r="137" spans="1:9" ht="13" x14ac:dyDescent="0.15">
      <c r="A137" s="5"/>
      <c r="B137" s="82">
        <f ca="1">IFERROR(__xludf.DUMMYFUNCTION("""COMPUTED_VALUE"""),44610.5156534953)</f>
        <v>44610.515653495298</v>
      </c>
      <c r="C137" s="79" t="str">
        <f ca="1">IFERROR(__xludf.DUMMYFUNCTION("""COMPUTED_VALUE"""),"")</f>
        <v/>
      </c>
      <c r="D137" s="80" t="str">
        <f ca="1">IFERROR(__xludf.DUMMYFUNCTION("""COMPUTED_VALUE"""),"76796")</f>
        <v>76796</v>
      </c>
      <c r="E137" s="80" t="str">
        <f ca="1">IFERROR(__xludf.DUMMYFUNCTION("""COMPUTED_VALUE"""),"Stock")</f>
        <v>Stock</v>
      </c>
      <c r="F137" s="80" t="str">
        <f ca="1">IFERROR(__xludf.DUMMYFUNCTION("""COMPUTED_VALUE"""),"error")</f>
        <v>error</v>
      </c>
      <c r="G137" s="78" t="str">
        <f ca="1">IFERROR(__xludf.DUMMYFUNCTION("""COMPUTED_VALUE"""),"NVDA")</f>
        <v>NVDA</v>
      </c>
      <c r="H137" s="81" t="str">
        <f ca="1">IFERROR(__xludf.DUMMYFUNCTION("""COMPUTED_VALUE"""),"all")</f>
        <v>all</v>
      </c>
      <c r="I137" s="80" t="str">
        <f ca="1">IFERROR(__xludf.DUMMYFUNCTION("""COMPUTED_VALUE"""),"Expected a number in shares quantity, not in non-numeric character")</f>
        <v>Expected a number in shares quantity, not in non-numeric character</v>
      </c>
    </row>
    <row r="138" spans="1:9" ht="13" x14ac:dyDescent="0.15">
      <c r="A138" s="5"/>
      <c r="B138" s="82">
        <f ca="1">IFERROR(__xludf.DUMMYFUNCTION("""COMPUTED_VALUE"""),44610.6261995949)</f>
        <v>44610.626199594903</v>
      </c>
      <c r="C138" s="79">
        <f ca="1">IFERROR(__xludf.DUMMYFUNCTION("""COMPUTED_VALUE"""),44610.6666666666)</f>
        <v>44610.666666666599</v>
      </c>
      <c r="D138" s="80" t="str">
        <f ca="1">IFERROR(__xludf.DUMMYFUNCTION("""COMPUTED_VALUE"""),"MONKEY")</f>
        <v>MONKEY</v>
      </c>
      <c r="E138" s="80" t="str">
        <f ca="1">IFERROR(__xludf.DUMMYFUNCTION("""COMPUTED_VALUE"""),"Stock")</f>
        <v>Stock</v>
      </c>
      <c r="F138" s="80" t="str">
        <f ca="1">IFERROR(__xludf.DUMMYFUNCTION("""COMPUTED_VALUE"""),"HKD")</f>
        <v>HKD</v>
      </c>
      <c r="G138" s="83" t="str">
        <f ca="1">IFERROR(__xludf.DUMMYFUNCTION("""COMPUTED_VALUE"""),"9961.HK")</f>
        <v>9961.HK</v>
      </c>
      <c r="H138" s="81">
        <f ca="1">IFERROR(__xludf.DUMMYFUNCTION("""COMPUTED_VALUE"""),30)</f>
        <v>30</v>
      </c>
      <c r="I138" s="80"/>
    </row>
    <row r="139" spans="1:9" ht="13" x14ac:dyDescent="0.15">
      <c r="A139" s="5"/>
      <c r="B139" s="82">
        <f ca="1">IFERROR(__xludf.DUMMYFUNCTION("""COMPUTED_VALUE"""),44610.6266281597)</f>
        <v>44610.626628159698</v>
      </c>
      <c r="C139" s="79">
        <f ca="1">IFERROR(__xludf.DUMMYFUNCTION("""COMPUTED_VALUE"""),44610.6666666666)</f>
        <v>44610.666666666599</v>
      </c>
      <c r="D139" s="80" t="str">
        <f ca="1">IFERROR(__xludf.DUMMYFUNCTION("""COMPUTED_VALUE"""),"MONKEY")</f>
        <v>MONKEY</v>
      </c>
      <c r="E139" s="80" t="str">
        <f ca="1">IFERROR(__xludf.DUMMYFUNCTION("""COMPUTED_VALUE"""),"Stock")</f>
        <v>Stock</v>
      </c>
      <c r="F139" s="80" t="str">
        <f ca="1">IFERROR(__xludf.DUMMYFUNCTION("""COMPUTED_VALUE"""),"HKD")</f>
        <v>HKD</v>
      </c>
      <c r="G139" s="83" t="str">
        <f ca="1">IFERROR(__xludf.DUMMYFUNCTION("""COMPUTED_VALUE"""),"9999.HK")</f>
        <v>9999.HK</v>
      </c>
      <c r="H139" s="81">
        <f ca="1">IFERROR(__xludf.DUMMYFUNCTION("""COMPUTED_VALUE"""),40)</f>
        <v>40</v>
      </c>
      <c r="I139" s="80"/>
    </row>
    <row r="140" spans="1:9" ht="13" x14ac:dyDescent="0.15">
      <c r="A140" s="5"/>
      <c r="B140" s="82">
        <f ca="1">IFERROR(__xludf.DUMMYFUNCTION("""COMPUTED_VALUE"""),44610.6269896412)</f>
        <v>44610.626989641198</v>
      </c>
      <c r="C140" s="79">
        <f ca="1">IFERROR(__xludf.DUMMYFUNCTION("""COMPUTED_VALUE"""),44610.6666666666)</f>
        <v>44610.666666666599</v>
      </c>
      <c r="D140" s="80" t="str">
        <f ca="1">IFERROR(__xludf.DUMMYFUNCTION("""COMPUTED_VALUE"""),"MONKEY")</f>
        <v>MONKEY</v>
      </c>
      <c r="E140" s="80" t="str">
        <f ca="1">IFERROR(__xludf.DUMMYFUNCTION("""COMPUTED_VALUE"""),"Stock")</f>
        <v>Stock</v>
      </c>
      <c r="F140" s="80" t="str">
        <f ca="1">IFERROR(__xludf.DUMMYFUNCTION("""COMPUTED_VALUE"""),"HKD")</f>
        <v>HKD</v>
      </c>
      <c r="G140" s="83" t="str">
        <f ca="1">IFERROR(__xludf.DUMMYFUNCTION("""COMPUTED_VALUE"""),"0909.HK")</f>
        <v>0909.HK</v>
      </c>
      <c r="H140" s="81">
        <f ca="1">IFERROR(__xludf.DUMMYFUNCTION("""COMPUTED_VALUE"""),360)</f>
        <v>360</v>
      </c>
      <c r="I140" s="80"/>
    </row>
    <row r="141" spans="1:9" ht="13" x14ac:dyDescent="0.15">
      <c r="A141" s="5"/>
      <c r="B141" s="82">
        <f ca="1">IFERROR(__xludf.DUMMYFUNCTION("""COMPUTED_VALUE"""),44610.6275059259)</f>
        <v>44610.627505925899</v>
      </c>
      <c r="C141" s="79">
        <f ca="1">IFERROR(__xludf.DUMMYFUNCTION("""COMPUTED_VALUE"""),44610.6666666666)</f>
        <v>44610.666666666599</v>
      </c>
      <c r="D141" s="80" t="str">
        <f ca="1">IFERROR(__xludf.DUMMYFUNCTION("""COMPUTED_VALUE"""),"MONKEY")</f>
        <v>MONKEY</v>
      </c>
      <c r="E141" s="80" t="str">
        <f ca="1">IFERROR(__xludf.DUMMYFUNCTION("""COMPUTED_VALUE"""),"Stock")</f>
        <v>Stock</v>
      </c>
      <c r="F141" s="80" t="str">
        <f ca="1">IFERROR(__xludf.DUMMYFUNCTION("""COMPUTED_VALUE"""),"USD")</f>
        <v>USD</v>
      </c>
      <c r="G141" s="78" t="str">
        <f ca="1">IFERROR(__xludf.DUMMYFUNCTION("""COMPUTED_VALUE"""),"PANW")</f>
        <v>PANW</v>
      </c>
      <c r="H141" s="81">
        <f ca="1">IFERROR(__xludf.DUMMYFUNCTION("""COMPUTED_VALUE"""),10)</f>
        <v>10</v>
      </c>
      <c r="I141" s="80"/>
    </row>
    <row r="142" spans="1:9" ht="13" x14ac:dyDescent="0.15">
      <c r="A142" s="5"/>
      <c r="B142" s="82">
        <f ca="1">IFERROR(__xludf.DUMMYFUNCTION("""COMPUTED_VALUE"""),44610.6277411574)</f>
        <v>44610.627741157397</v>
      </c>
      <c r="C142" s="79">
        <f ca="1">IFERROR(__xludf.DUMMYFUNCTION("""COMPUTED_VALUE"""),44610.6666666666)</f>
        <v>44610.666666666599</v>
      </c>
      <c r="D142" s="80" t="str">
        <f ca="1">IFERROR(__xludf.DUMMYFUNCTION("""COMPUTED_VALUE"""),"MONKEY")</f>
        <v>MONKEY</v>
      </c>
      <c r="E142" s="80" t="str">
        <f ca="1">IFERROR(__xludf.DUMMYFUNCTION("""COMPUTED_VALUE"""),"Stock")</f>
        <v>Stock</v>
      </c>
      <c r="F142" s="80" t="str">
        <f ca="1">IFERROR(__xludf.DUMMYFUNCTION("""COMPUTED_VALUE"""),"USD")</f>
        <v>USD</v>
      </c>
      <c r="G142" s="78" t="str">
        <f ca="1">IFERROR(__xludf.DUMMYFUNCTION("""COMPUTED_VALUE"""),"TEAM")</f>
        <v>TEAM</v>
      </c>
      <c r="H142" s="81">
        <f ca="1">IFERROR(__xludf.DUMMYFUNCTION("""COMPUTED_VALUE"""),20)</f>
        <v>20</v>
      </c>
      <c r="I142" s="80"/>
    </row>
    <row r="143" spans="1:9" ht="13" x14ac:dyDescent="0.15">
      <c r="A143" s="5"/>
      <c r="B143" s="82">
        <f ca="1">IFERROR(__xludf.DUMMYFUNCTION("""COMPUTED_VALUE"""),44610.628036412)</f>
        <v>44610.628036412003</v>
      </c>
      <c r="C143" s="79">
        <f ca="1">IFERROR(__xludf.DUMMYFUNCTION("""COMPUTED_VALUE"""),44610.6666666666)</f>
        <v>44610.666666666599</v>
      </c>
      <c r="D143" s="80" t="str">
        <f ca="1">IFERROR(__xludf.DUMMYFUNCTION("""COMPUTED_VALUE"""),"MONKEY")</f>
        <v>MONKEY</v>
      </c>
      <c r="E143" s="80" t="str">
        <f ca="1">IFERROR(__xludf.DUMMYFUNCTION("""COMPUTED_VALUE"""),"Stock")</f>
        <v>Stock</v>
      </c>
      <c r="F143" s="80" t="str">
        <f ca="1">IFERROR(__xludf.DUMMYFUNCTION("""COMPUTED_VALUE"""),"USD")</f>
        <v>USD</v>
      </c>
      <c r="G143" s="78" t="str">
        <f ca="1">IFERROR(__xludf.DUMMYFUNCTION("""COMPUTED_VALUE"""),"ATVI")</f>
        <v>ATVI</v>
      </c>
      <c r="H143" s="81">
        <f ca="1">IFERROR(__xludf.DUMMYFUNCTION("""COMPUTED_VALUE"""),80)</f>
        <v>80</v>
      </c>
      <c r="I143" s="80"/>
    </row>
    <row r="144" spans="1:9" ht="13" x14ac:dyDescent="0.15">
      <c r="A144" s="5"/>
      <c r="B144" s="82">
        <f ca="1">IFERROR(__xludf.DUMMYFUNCTION("""COMPUTED_VALUE"""),44610.6283611574)</f>
        <v>44610.628361157404</v>
      </c>
      <c r="C144" s="79">
        <f ca="1">IFERROR(__xludf.DUMMYFUNCTION("""COMPUTED_VALUE"""),44610.6666666666)</f>
        <v>44610.666666666599</v>
      </c>
      <c r="D144" s="80" t="str">
        <f ca="1">IFERROR(__xludf.DUMMYFUNCTION("""COMPUTED_VALUE"""),"MONKEY")</f>
        <v>MONKEY</v>
      </c>
      <c r="E144" s="80" t="str">
        <f ca="1">IFERROR(__xludf.DUMMYFUNCTION("""COMPUTED_VALUE"""),"Stock")</f>
        <v>Stock</v>
      </c>
      <c r="F144" s="80" t="str">
        <f ca="1">IFERROR(__xludf.DUMMYFUNCTION("""COMPUTED_VALUE"""),"USD")</f>
        <v>USD</v>
      </c>
      <c r="G144" s="78" t="str">
        <f ca="1">IFERROR(__xludf.DUMMYFUNCTION("""COMPUTED_VALUE"""),"AMGN")</f>
        <v>AMGN</v>
      </c>
      <c r="H144" s="81">
        <f ca="1">IFERROR(__xludf.DUMMYFUNCTION("""COMPUTED_VALUE"""),30)</f>
        <v>30</v>
      </c>
      <c r="I144" s="80"/>
    </row>
    <row r="145" spans="1:9" ht="13" x14ac:dyDescent="0.15">
      <c r="A145" s="5"/>
      <c r="B145" s="82">
        <f ca="1">IFERROR(__xludf.DUMMYFUNCTION("""COMPUTED_VALUE"""),44610.6286634953)</f>
        <v>44610.628663495299</v>
      </c>
      <c r="C145" s="79">
        <f ca="1">IFERROR(__xludf.DUMMYFUNCTION("""COMPUTED_VALUE"""),44610.6666666666)</f>
        <v>44610.666666666599</v>
      </c>
      <c r="D145" s="80" t="str">
        <f ca="1">IFERROR(__xludf.DUMMYFUNCTION("""COMPUTED_VALUE"""),"MONKEY")</f>
        <v>MONKEY</v>
      </c>
      <c r="E145" s="80" t="str">
        <f ca="1">IFERROR(__xludf.DUMMYFUNCTION("""COMPUTED_VALUE"""),"Stock")</f>
        <v>Stock</v>
      </c>
      <c r="F145" s="80" t="str">
        <f ca="1">IFERROR(__xludf.DUMMYFUNCTION("""COMPUTED_VALUE"""),"USD")</f>
        <v>USD</v>
      </c>
      <c r="G145" s="78" t="str">
        <f ca="1">IFERROR(__xludf.DUMMYFUNCTION("""COMPUTED_VALUE"""),"LCID")</f>
        <v>LCID</v>
      </c>
      <c r="H145" s="81">
        <f ca="1">IFERROR(__xludf.DUMMYFUNCTION("""COMPUTED_VALUE"""),230)</f>
        <v>230</v>
      </c>
      <c r="I145" s="80"/>
    </row>
    <row r="146" spans="1:9" ht="13" x14ac:dyDescent="0.15">
      <c r="A146" s="5"/>
      <c r="B146" s="82">
        <f ca="1">IFERROR(__xludf.DUMMYFUNCTION("""COMPUTED_VALUE"""),44610.6289707407)</f>
        <v>44610.628970740698</v>
      </c>
      <c r="C146" s="79">
        <f ca="1">IFERROR(__xludf.DUMMYFUNCTION("""COMPUTED_VALUE"""),44610.6666666666)</f>
        <v>44610.666666666599</v>
      </c>
      <c r="D146" s="80" t="str">
        <f ca="1">IFERROR(__xludf.DUMMYFUNCTION("""COMPUTED_VALUE"""),"MONKEY")</f>
        <v>MONKEY</v>
      </c>
      <c r="E146" s="80" t="str">
        <f ca="1">IFERROR(__xludf.DUMMYFUNCTION("""COMPUTED_VALUE"""),"Stock")</f>
        <v>Stock</v>
      </c>
      <c r="F146" s="80" t="str">
        <f ca="1">IFERROR(__xludf.DUMMYFUNCTION("""COMPUTED_VALUE"""),"USD")</f>
        <v>USD</v>
      </c>
      <c r="G146" s="78" t="str">
        <f ca="1">IFERROR(__xludf.DUMMYFUNCTION("""COMPUTED_VALUE"""),"SNPS")</f>
        <v>SNPS</v>
      </c>
      <c r="H146" s="81">
        <f ca="1">IFERROR(__xludf.DUMMYFUNCTION("""COMPUTED_VALUE"""),20)</f>
        <v>20</v>
      </c>
      <c r="I146" s="80"/>
    </row>
    <row r="147" spans="1:9" ht="13" x14ac:dyDescent="0.15">
      <c r="A147" s="5"/>
      <c r="B147" s="82">
        <f ca="1">IFERROR(__xludf.DUMMYFUNCTION("""COMPUTED_VALUE"""),44610.629261875)</f>
        <v>44610.629261875001</v>
      </c>
      <c r="C147" s="79">
        <f ca="1">IFERROR(__xludf.DUMMYFUNCTION("""COMPUTED_VALUE"""),44610.6666666666)</f>
        <v>44610.666666666599</v>
      </c>
      <c r="D147" s="80" t="str">
        <f ca="1">IFERROR(__xludf.DUMMYFUNCTION("""COMPUTED_VALUE"""),"MONKEY")</f>
        <v>MONKEY</v>
      </c>
      <c r="E147" s="80" t="str">
        <f ca="1">IFERROR(__xludf.DUMMYFUNCTION("""COMPUTED_VALUE"""),"Stock")</f>
        <v>Stock</v>
      </c>
      <c r="F147" s="80" t="str">
        <f ca="1">IFERROR(__xludf.DUMMYFUNCTION("""COMPUTED_VALUE"""),"USD")</f>
        <v>USD</v>
      </c>
      <c r="G147" s="78" t="str">
        <f ca="1">IFERROR(__xludf.DUMMYFUNCTION("""COMPUTED_VALUE"""),"TMUS")</f>
        <v>TMUS</v>
      </c>
      <c r="H147" s="81">
        <f ca="1">IFERROR(__xludf.DUMMYFUNCTION("""COMPUTED_VALUE"""),50)</f>
        <v>50</v>
      </c>
      <c r="I147" s="80"/>
    </row>
    <row r="148" spans="1:9" ht="13" x14ac:dyDescent="0.15">
      <c r="A148" s="5"/>
      <c r="B148" s="82">
        <f ca="1">IFERROR(__xludf.DUMMYFUNCTION("""COMPUTED_VALUE"""),44610.6341729513)</f>
        <v>44610.634172951301</v>
      </c>
      <c r="C148" s="79" t="str">
        <f ca="1">IFERROR(__xludf.DUMMYFUNCTION("""COMPUTED_VALUE"""),"")</f>
        <v/>
      </c>
      <c r="D148" s="80" t="str">
        <f ca="1">IFERROR(__xludf.DUMMYFUNCTION("""COMPUTED_VALUE"""),"76796")</f>
        <v>76796</v>
      </c>
      <c r="E148" s="80" t="str">
        <f ca="1">IFERROR(__xludf.DUMMYFUNCTION("""COMPUTED_VALUE"""),"Stock")</f>
        <v>Stock</v>
      </c>
      <c r="F148" s="80" t="str">
        <f ca="1">IFERROR(__xludf.DUMMYFUNCTION("""COMPUTED_VALUE"""),"error")</f>
        <v>error</v>
      </c>
      <c r="G148" s="78" t="str">
        <f ca="1">IFERROR(__xludf.DUMMYFUNCTION("""COMPUTED_VALUE"""),"MSFT")</f>
        <v>MSFT</v>
      </c>
      <c r="H148" s="81" t="str">
        <f ca="1">IFERROR(__xludf.DUMMYFUNCTION("""COMPUTED_VALUE"""),"all")</f>
        <v>all</v>
      </c>
      <c r="I148" s="80" t="str">
        <f ca="1">IFERROR(__xludf.DUMMYFUNCTION("""COMPUTED_VALUE"""),"Expected a number in shares quantity, not in non-numeric character")</f>
        <v>Expected a number in shares quantity, not in non-numeric character</v>
      </c>
    </row>
    <row r="149" spans="1:9" ht="13" x14ac:dyDescent="0.15">
      <c r="A149" s="5"/>
      <c r="B149" s="82">
        <f ca="1">IFERROR(__xludf.DUMMYFUNCTION("""COMPUTED_VALUE"""),44610.6586606712)</f>
        <v>44610.658660671201</v>
      </c>
      <c r="C149" s="79">
        <f ca="1">IFERROR(__xludf.DUMMYFUNCTION("""COMPUTED_VALUE"""),44610.6666666666)</f>
        <v>44610.666666666599</v>
      </c>
      <c r="D149" s="80" t="str">
        <f ca="1">IFERROR(__xludf.DUMMYFUNCTION("""COMPUTED_VALUE"""),"89750")</f>
        <v>89750</v>
      </c>
      <c r="E149" s="80" t="str">
        <f ca="1">IFERROR(__xludf.DUMMYFUNCTION("""COMPUTED_VALUE"""),"Stock")</f>
        <v>Stock</v>
      </c>
      <c r="F149" s="80" t="str">
        <f ca="1">IFERROR(__xludf.DUMMYFUNCTION("""COMPUTED_VALUE"""),"HKD")</f>
        <v>HKD</v>
      </c>
      <c r="G149" s="83" t="str">
        <f ca="1">IFERROR(__xludf.DUMMYFUNCTION("""COMPUTED_VALUE"""),"6969.HK")</f>
        <v>6969.HK</v>
      </c>
      <c r="H149" s="81">
        <f ca="1">IFERROR(__xludf.DUMMYFUNCTION("""COMPUTED_VALUE"""),1000)</f>
        <v>1000</v>
      </c>
      <c r="I149" s="80"/>
    </row>
    <row r="150" spans="1:9" ht="13" x14ac:dyDescent="0.15">
      <c r="A150" s="5"/>
      <c r="B150" s="82">
        <f ca="1">IFERROR(__xludf.DUMMYFUNCTION("""COMPUTED_VALUE"""),44610.6705777199)</f>
        <v>44610.670577719902</v>
      </c>
      <c r="C150" s="79">
        <f ca="1">IFERROR(__xludf.DUMMYFUNCTION("""COMPUTED_VALUE"""),44610.6666666666)</f>
        <v>44610.666666666599</v>
      </c>
      <c r="D150" s="80" t="str">
        <f ca="1">IFERROR(__xludf.DUMMYFUNCTION("""COMPUTED_VALUE"""),"75415")</f>
        <v>75415</v>
      </c>
      <c r="E150" s="80" t="str">
        <f ca="1">IFERROR(__xludf.DUMMYFUNCTION("""COMPUTED_VALUE"""),"Stock")</f>
        <v>Stock</v>
      </c>
      <c r="F150" s="80" t="str">
        <f ca="1">IFERROR(__xludf.DUMMYFUNCTION("""COMPUTED_VALUE"""),"USD")</f>
        <v>USD</v>
      </c>
      <c r="G150" s="78" t="str">
        <f ca="1">IFERROR(__xludf.DUMMYFUNCTION("""COMPUTED_VALUE"""),"F")</f>
        <v>F</v>
      </c>
      <c r="H150" s="81">
        <f ca="1">IFERROR(__xludf.DUMMYFUNCTION("""COMPUTED_VALUE"""),2850)</f>
        <v>2850</v>
      </c>
      <c r="I150" s="80"/>
    </row>
    <row r="151" spans="1:9" ht="13" x14ac:dyDescent="0.15">
      <c r="A151" s="5"/>
      <c r="B151" s="82">
        <f ca="1">IFERROR(__xludf.DUMMYFUNCTION("""COMPUTED_VALUE"""),44610.6715821875)</f>
        <v>44610.671582187497</v>
      </c>
      <c r="C151" s="79">
        <f ca="1">IFERROR(__xludf.DUMMYFUNCTION("""COMPUTED_VALUE"""),44613)</f>
        <v>44613</v>
      </c>
      <c r="D151" s="80" t="str">
        <f ca="1">IFERROR(__xludf.DUMMYFUNCTION("""COMPUTED_VALUE"""),"36460")</f>
        <v>36460</v>
      </c>
      <c r="E151" s="80" t="str">
        <f ca="1">IFERROR(__xludf.DUMMYFUNCTION("""COMPUTED_VALUE"""),"Stock")</f>
        <v>Stock</v>
      </c>
      <c r="F151" s="80" t="str">
        <f ca="1">IFERROR(__xludf.DUMMYFUNCTION("""COMPUTED_VALUE"""),"HKD")</f>
        <v>HKD</v>
      </c>
      <c r="G151" s="83" t="str">
        <f ca="1">IFERROR(__xludf.DUMMYFUNCTION("""COMPUTED_VALUE"""),"0700.HK")</f>
        <v>0700.HK</v>
      </c>
      <c r="H151" s="81">
        <f ca="1">IFERROR(__xludf.DUMMYFUNCTION("""COMPUTED_VALUE"""),200)</f>
        <v>200</v>
      </c>
      <c r="I151" s="80"/>
    </row>
    <row r="152" spans="1:9" ht="13" x14ac:dyDescent="0.15">
      <c r="A152" s="5"/>
      <c r="B152" s="82">
        <f ca="1">IFERROR(__xludf.DUMMYFUNCTION("""COMPUTED_VALUE"""),44610.6739993402)</f>
        <v>44610.673999340201</v>
      </c>
      <c r="C152" s="79">
        <f ca="1">IFERROR(__xludf.DUMMYFUNCTION("""COMPUTED_VALUE"""),44610.6666666666)</f>
        <v>44610.666666666599</v>
      </c>
      <c r="D152" s="80" t="str">
        <f ca="1">IFERROR(__xludf.DUMMYFUNCTION("""COMPUTED_VALUE"""),"46220")</f>
        <v>46220</v>
      </c>
      <c r="E152" s="80" t="str">
        <f ca="1">IFERROR(__xludf.DUMMYFUNCTION("""COMPUTED_VALUE"""),"Stock")</f>
        <v>Stock</v>
      </c>
      <c r="F152" s="80" t="str">
        <f ca="1">IFERROR(__xludf.DUMMYFUNCTION("""COMPUTED_VALUE"""),"USD")</f>
        <v>USD</v>
      </c>
      <c r="G152" s="78" t="str">
        <f ca="1">IFERROR(__xludf.DUMMYFUNCTION("""COMPUTED_VALUE"""),"BTC-USD")</f>
        <v>BTC-USD</v>
      </c>
      <c r="H152" s="81">
        <f ca="1">IFERROR(__xludf.DUMMYFUNCTION("""COMPUTED_VALUE"""),20)</f>
        <v>20</v>
      </c>
      <c r="I152" s="80"/>
    </row>
    <row r="153" spans="1:9" ht="13" x14ac:dyDescent="0.15">
      <c r="A153" s="5"/>
      <c r="B153" s="82">
        <f ca="1">IFERROR(__xludf.DUMMYFUNCTION("""COMPUTED_VALUE"""),44610.6811490972)</f>
        <v>44610.681149097203</v>
      </c>
      <c r="C153" s="79" t="str">
        <f ca="1">IFERROR(__xludf.DUMMYFUNCTION("""COMPUTED_VALUE"""),"")</f>
        <v/>
      </c>
      <c r="D153" s="80" t="str">
        <f ca="1">IFERROR(__xludf.DUMMYFUNCTION("""COMPUTED_VALUE"""),"39857")</f>
        <v>39857</v>
      </c>
      <c r="E153" s="80" t="str">
        <f ca="1">IFERROR(__xludf.DUMMYFUNCTION("""COMPUTED_VALUE"""),"Stock")</f>
        <v>Stock</v>
      </c>
      <c r="F153" s="80" t="str">
        <f ca="1">IFERROR(__xludf.DUMMYFUNCTION("""COMPUTED_VALUE"""),"error")</f>
        <v>error</v>
      </c>
      <c r="G153" s="78">
        <f ca="1">IFERROR(__xludf.DUMMYFUNCTION("""COMPUTED_VALUE"""),6969)</f>
        <v>6969</v>
      </c>
      <c r="H153" s="81">
        <f ca="1">IFERROR(__xludf.DUMMYFUNCTION("""COMPUTED_VALUE"""),3000)</f>
        <v>3000</v>
      </c>
      <c r="I153" s="80" t="str">
        <f ca="1">IFERROR(__xludf.DUMMYFUNCTION("""COMPUTED_VALUE"""),"Order rejected due to wrong ticker code. just need to type in 6969.HK")</f>
        <v>Order rejected due to wrong ticker code. just need to type in 6969.HK</v>
      </c>
    </row>
    <row r="154" spans="1:9" ht="13" x14ac:dyDescent="0.15">
      <c r="A154" s="5"/>
      <c r="B154" s="82">
        <f ca="1">IFERROR(__xludf.DUMMYFUNCTION("""COMPUTED_VALUE"""),44610.6811871759)</f>
        <v>44610.681187175898</v>
      </c>
      <c r="C154" s="79">
        <f ca="1">IFERROR(__xludf.DUMMYFUNCTION("""COMPUTED_VALUE"""),44613)</f>
        <v>44613</v>
      </c>
      <c r="D154" s="80" t="str">
        <f ca="1">IFERROR(__xludf.DUMMYFUNCTION("""COMPUTED_VALUE"""),"46220")</f>
        <v>46220</v>
      </c>
      <c r="E154" s="80" t="str">
        <f ca="1">IFERROR(__xludf.DUMMYFUNCTION("""COMPUTED_VALUE"""),"Stock")</f>
        <v>Stock</v>
      </c>
      <c r="F154" s="80" t="str">
        <f ca="1">IFERROR(__xludf.DUMMYFUNCTION("""COMPUTED_VALUE"""),"HKD")</f>
        <v>HKD</v>
      </c>
      <c r="G154" s="83" t="str">
        <f ca="1">IFERROR(__xludf.DUMMYFUNCTION("""COMPUTED_VALUE"""),"6969.HK")</f>
        <v>6969.HK</v>
      </c>
      <c r="H154" s="81">
        <f ca="1">IFERROR(__xludf.DUMMYFUNCTION("""COMPUTED_VALUE"""),2000)</f>
        <v>2000</v>
      </c>
      <c r="I154" s="80"/>
    </row>
    <row r="155" spans="1:9" ht="13" x14ac:dyDescent="0.15">
      <c r="A155" s="5"/>
      <c r="B155" s="82">
        <f ca="1">IFERROR(__xludf.DUMMYFUNCTION("""COMPUTED_VALUE"""),44610.6836210301)</f>
        <v>44610.683621030097</v>
      </c>
      <c r="C155" s="79" t="str">
        <f ca="1">IFERROR(__xludf.DUMMYFUNCTION("""COMPUTED_VALUE"""),"")</f>
        <v/>
      </c>
      <c r="D155" s="80" t="str">
        <f ca="1">IFERROR(__xludf.DUMMYFUNCTION("""COMPUTED_VALUE"""),"75369")</f>
        <v>75369</v>
      </c>
      <c r="E155" s="80" t="str">
        <f ca="1">IFERROR(__xludf.DUMMYFUNCTION("""COMPUTED_VALUE"""),"Stock")</f>
        <v>Stock</v>
      </c>
      <c r="F155" s="80" t="str">
        <f ca="1">IFERROR(__xludf.DUMMYFUNCTION("""COMPUTED_VALUE"""),"error")</f>
        <v>error</v>
      </c>
      <c r="G155" s="78">
        <f ca="1">IFERROR(__xludf.DUMMYFUNCTION("""COMPUTED_VALUE"""),83547)</f>
        <v>83547</v>
      </c>
      <c r="H155" s="81">
        <f ca="1">IFERROR(__xludf.DUMMYFUNCTION("""COMPUTED_VALUE"""),5)</f>
        <v>5</v>
      </c>
      <c r="I155" s="80" t="str">
        <f ca="1">IFERROR(__xludf.DUMMYFUNCTION("""COMPUTED_VALUE"""),"Order rejected due to wrong ticker code. it is a 4 digit code for HK stock. For limit price, just put in the price is enough (the numeric number).")</f>
        <v>Order rejected due to wrong ticker code. it is a 4 digit code for HK stock. For limit price, just put in the price is enough (the numeric number).</v>
      </c>
    </row>
    <row r="156" spans="1:9" ht="13" x14ac:dyDescent="0.15">
      <c r="A156" s="5"/>
      <c r="B156" s="82">
        <f ca="1">IFERROR(__xludf.DUMMYFUNCTION("""COMPUTED_VALUE"""),44610.7503957986)</f>
        <v>44610.750395798597</v>
      </c>
      <c r="C156" s="79">
        <f ca="1">IFERROR(__xludf.DUMMYFUNCTION("""COMPUTED_VALUE"""),44610.6666666666)</f>
        <v>44610.666666666599</v>
      </c>
      <c r="D156" s="80" t="str">
        <f ca="1">IFERROR(__xludf.DUMMYFUNCTION("""COMPUTED_VALUE"""),"46276")</f>
        <v>46276</v>
      </c>
      <c r="E156" s="80" t="str">
        <f ca="1">IFERROR(__xludf.DUMMYFUNCTION("""COMPUTED_VALUE"""),"Stock")</f>
        <v>Stock</v>
      </c>
      <c r="F156" s="80" t="str">
        <f ca="1">IFERROR(__xludf.DUMMYFUNCTION("""COMPUTED_VALUE"""),"USD")</f>
        <v>USD</v>
      </c>
      <c r="G156" s="78" t="str">
        <f ca="1">IFERROR(__xludf.DUMMYFUNCTION("""COMPUTED_VALUE"""),"BRK-B")</f>
        <v>BRK-B</v>
      </c>
      <c r="H156" s="81">
        <f ca="1">IFERROR(__xludf.DUMMYFUNCTION("""COMPUTED_VALUE"""),10)</f>
        <v>10</v>
      </c>
      <c r="I156" s="80"/>
    </row>
    <row r="157" spans="1:9" ht="13" x14ac:dyDescent="0.15">
      <c r="A157" s="5"/>
      <c r="B157" s="82">
        <f ca="1">IFERROR(__xludf.DUMMYFUNCTION("""COMPUTED_VALUE"""),44610.8252547685)</f>
        <v>44610.825254768497</v>
      </c>
      <c r="C157" s="79">
        <f ca="1">IFERROR(__xludf.DUMMYFUNCTION("""COMPUTED_VALUE"""),44610.6666666666)</f>
        <v>44610.666666666599</v>
      </c>
      <c r="D157" s="80" t="str">
        <f ca="1">IFERROR(__xludf.DUMMYFUNCTION("""COMPUTED_VALUE"""),"39608")</f>
        <v>39608</v>
      </c>
      <c r="E157" s="80" t="str">
        <f ca="1">IFERROR(__xludf.DUMMYFUNCTION("""COMPUTED_VALUE"""),"Stock")</f>
        <v>Stock</v>
      </c>
      <c r="F157" s="80" t="str">
        <f ca="1">IFERROR(__xludf.DUMMYFUNCTION("""COMPUTED_VALUE"""),"USD")</f>
        <v>USD</v>
      </c>
      <c r="G157" s="78" t="str">
        <f ca="1">IFERROR(__xludf.DUMMYFUNCTION("""COMPUTED_VALUE"""),"ANPDY")</f>
        <v>ANPDY</v>
      </c>
      <c r="H157" s="81">
        <f ca="1">IFERROR(__xludf.DUMMYFUNCTION("""COMPUTED_VALUE"""),30)</f>
        <v>30</v>
      </c>
      <c r="I157" s="80"/>
    </row>
    <row r="158" spans="1:9" ht="13" x14ac:dyDescent="0.15">
      <c r="A158" s="5"/>
      <c r="B158" s="82">
        <f ca="1">IFERROR(__xludf.DUMMYFUNCTION("""COMPUTED_VALUE"""),44610.8252981828)</f>
        <v>44610.825298182797</v>
      </c>
      <c r="C158" s="79">
        <f ca="1">IFERROR(__xludf.DUMMYFUNCTION("""COMPUTED_VALUE"""),44610.6666666666)</f>
        <v>44610.666666666599</v>
      </c>
      <c r="D158" s="80" t="str">
        <f ca="1">IFERROR(__xludf.DUMMYFUNCTION("""COMPUTED_VALUE"""),"37400")</f>
        <v>37400</v>
      </c>
      <c r="E158" s="80" t="str">
        <f ca="1">IFERROR(__xludf.DUMMYFUNCTION("""COMPUTED_VALUE"""),"Stock")</f>
        <v>Stock</v>
      </c>
      <c r="F158" s="80" t="str">
        <f ca="1">IFERROR(__xludf.DUMMYFUNCTION("""COMPUTED_VALUE"""),"USD")</f>
        <v>USD</v>
      </c>
      <c r="G158" s="78" t="str">
        <f ca="1">IFERROR(__xludf.DUMMYFUNCTION("""COMPUTED_VALUE"""),"ANPDY")</f>
        <v>ANPDY</v>
      </c>
      <c r="H158" s="81">
        <f ca="1">IFERROR(__xludf.DUMMYFUNCTION("""COMPUTED_VALUE"""),30)</f>
        <v>30</v>
      </c>
      <c r="I158" s="80"/>
    </row>
    <row r="159" spans="1:9" ht="13" x14ac:dyDescent="0.15">
      <c r="A159" s="5"/>
      <c r="B159" s="82">
        <f ca="1">IFERROR(__xludf.DUMMYFUNCTION("""COMPUTED_VALUE"""),44610.825316412)</f>
        <v>44610.825316412003</v>
      </c>
      <c r="C159" s="79">
        <f ca="1">IFERROR(__xludf.DUMMYFUNCTION("""COMPUTED_VALUE"""),44610.6666666666)</f>
        <v>44610.666666666599</v>
      </c>
      <c r="D159" s="80" t="str">
        <f ca="1">IFERROR(__xludf.DUMMYFUNCTION("""COMPUTED_VALUE"""),"32312")</f>
        <v>32312</v>
      </c>
      <c r="E159" s="80" t="str">
        <f ca="1">IFERROR(__xludf.DUMMYFUNCTION("""COMPUTED_VALUE"""),"Stock")</f>
        <v>Stock</v>
      </c>
      <c r="F159" s="80" t="str">
        <f ca="1">IFERROR(__xludf.DUMMYFUNCTION("""COMPUTED_VALUE"""),"USD")</f>
        <v>USD</v>
      </c>
      <c r="G159" s="78" t="str">
        <f ca="1">IFERROR(__xludf.DUMMYFUNCTION("""COMPUTED_VALUE"""),"ANPDY")</f>
        <v>ANPDY</v>
      </c>
      <c r="H159" s="81">
        <f ca="1">IFERROR(__xludf.DUMMYFUNCTION("""COMPUTED_VALUE"""),30)</f>
        <v>30</v>
      </c>
      <c r="I159" s="80"/>
    </row>
    <row r="160" spans="1:9" ht="13" x14ac:dyDescent="0.15">
      <c r="A160" s="5"/>
      <c r="B160" s="82">
        <f ca="1">IFERROR(__xludf.DUMMYFUNCTION("""COMPUTED_VALUE"""),44610.9653550115)</f>
        <v>44610.965355011504</v>
      </c>
      <c r="C160" s="79">
        <f ca="1">IFERROR(__xludf.DUMMYFUNCTION("""COMPUTED_VALUE"""),44610.6666666666)</f>
        <v>44610.666666666599</v>
      </c>
      <c r="D160" s="80" t="str">
        <f ca="1">IFERROR(__xludf.DUMMYFUNCTION("""COMPUTED_VALUE"""),"40433")</f>
        <v>40433</v>
      </c>
      <c r="E160" s="80" t="str">
        <f ca="1">IFERROR(__xludf.DUMMYFUNCTION("""COMPUTED_VALUE"""),"Stock")</f>
        <v>Stock</v>
      </c>
      <c r="F160" s="80" t="str">
        <f ca="1">IFERROR(__xludf.DUMMYFUNCTION("""COMPUTED_VALUE"""),"USD")</f>
        <v>USD</v>
      </c>
      <c r="G160" s="78" t="str">
        <f ca="1">IFERROR(__xludf.DUMMYFUNCTION("""COMPUTED_VALUE"""),"LVMHF")</f>
        <v>LVMHF</v>
      </c>
      <c r="H160" s="81">
        <f ca="1">IFERROR(__xludf.DUMMYFUNCTION("""COMPUTED_VALUE"""),4)</f>
        <v>4</v>
      </c>
      <c r="I160" s="80"/>
    </row>
    <row r="161" spans="1:9" ht="13" x14ac:dyDescent="0.15">
      <c r="A161" s="5"/>
      <c r="B161" s="82">
        <f ca="1">IFERROR(__xludf.DUMMYFUNCTION("""COMPUTED_VALUE"""),44610.9703277083)</f>
        <v>44610.970327708303</v>
      </c>
      <c r="C161" s="79">
        <f ca="1">IFERROR(__xludf.DUMMYFUNCTION("""COMPUTED_VALUE"""),44610.6666666666)</f>
        <v>44610.666666666599</v>
      </c>
      <c r="D161" s="80" t="str">
        <f ca="1">IFERROR(__xludf.DUMMYFUNCTION("""COMPUTED_VALUE"""),"40433")</f>
        <v>40433</v>
      </c>
      <c r="E161" s="80" t="str">
        <f ca="1">IFERROR(__xludf.DUMMYFUNCTION("""COMPUTED_VALUE"""),"Stock")</f>
        <v>Stock</v>
      </c>
      <c r="F161" s="80" t="str">
        <f ca="1">IFERROR(__xludf.DUMMYFUNCTION("""COMPUTED_VALUE"""),"USD")</f>
        <v>USD</v>
      </c>
      <c r="G161" s="78" t="str">
        <f ca="1">IFERROR(__xludf.DUMMYFUNCTION("""COMPUTED_VALUE"""),"DIS")</f>
        <v>DIS</v>
      </c>
      <c r="H161" s="81">
        <f ca="1">IFERROR(__xludf.DUMMYFUNCTION("""COMPUTED_VALUE"""),6)</f>
        <v>6</v>
      </c>
      <c r="I161" s="80"/>
    </row>
    <row r="162" spans="1:9" ht="13" x14ac:dyDescent="0.15">
      <c r="A162" s="5"/>
      <c r="B162" s="82">
        <f ca="1">IFERROR(__xludf.DUMMYFUNCTION("""COMPUTED_VALUE"""),44611.0160067245)</f>
        <v>44611.016006724501</v>
      </c>
      <c r="C162" s="79">
        <f ca="1">IFERROR(__xludf.DUMMYFUNCTION("""COMPUTED_VALUE"""),44610.6666666666)</f>
        <v>44610.666666666599</v>
      </c>
      <c r="D162" s="80" t="str">
        <f ca="1">IFERROR(__xludf.DUMMYFUNCTION("""COMPUTED_VALUE"""),"39857")</f>
        <v>39857</v>
      </c>
      <c r="E162" s="80" t="str">
        <f ca="1">IFERROR(__xludf.DUMMYFUNCTION("""COMPUTED_VALUE"""),"Stock")</f>
        <v>Stock</v>
      </c>
      <c r="F162" s="80" t="str">
        <f ca="1">IFERROR(__xludf.DUMMYFUNCTION("""COMPUTED_VALUE"""),"USD")</f>
        <v>USD</v>
      </c>
      <c r="G162" s="78" t="str">
        <f ca="1">IFERROR(__xludf.DUMMYFUNCTION("""COMPUTED_VALUE"""),"RIVN")</f>
        <v>RIVN</v>
      </c>
      <c r="H162" s="81">
        <f ca="1">IFERROR(__xludf.DUMMYFUNCTION("""COMPUTED_VALUE"""),800)</f>
        <v>800</v>
      </c>
      <c r="I162" s="80"/>
    </row>
    <row r="163" spans="1:9" ht="13" x14ac:dyDescent="0.15">
      <c r="A163" s="5"/>
      <c r="B163" s="82">
        <f ca="1">IFERROR(__xludf.DUMMYFUNCTION("""COMPUTED_VALUE"""),44611.0263369328)</f>
        <v>44611.026336932802</v>
      </c>
      <c r="C163" s="79">
        <f ca="1">IFERROR(__xludf.DUMMYFUNCTION("""COMPUTED_VALUE"""),44610.6666666666)</f>
        <v>44610.666666666599</v>
      </c>
      <c r="D163" s="80" t="str">
        <f ca="1">IFERROR(__xludf.DUMMYFUNCTION("""COMPUTED_VALUE"""),"39857")</f>
        <v>39857</v>
      </c>
      <c r="E163" s="80" t="str">
        <f ca="1">IFERROR(__xludf.DUMMYFUNCTION("""COMPUTED_VALUE"""),"Stock")</f>
        <v>Stock</v>
      </c>
      <c r="F163" s="80" t="str">
        <f ca="1">IFERROR(__xludf.DUMMYFUNCTION("""COMPUTED_VALUE"""),"USD")</f>
        <v>USD</v>
      </c>
      <c r="G163" s="78" t="str">
        <f ca="1">IFERROR(__xludf.DUMMYFUNCTION("""COMPUTED_VALUE"""),"RIVN")</f>
        <v>RIVN</v>
      </c>
      <c r="H163" s="81">
        <f ca="1">IFERROR(__xludf.DUMMYFUNCTION("""COMPUTED_VALUE"""),800)</f>
        <v>800</v>
      </c>
      <c r="I163" s="80"/>
    </row>
    <row r="164" spans="1:9" ht="13" x14ac:dyDescent="0.15">
      <c r="A164" s="5"/>
      <c r="B164" s="82">
        <f ca="1">IFERROR(__xludf.DUMMYFUNCTION("""COMPUTED_VALUE"""),44611.0488137152)</f>
        <v>44611.048813715199</v>
      </c>
      <c r="C164" s="79" t="str">
        <f ca="1">IFERROR(__xludf.DUMMYFUNCTION("""COMPUTED_VALUE"""),"")</f>
        <v/>
      </c>
      <c r="D164" s="80" t="str">
        <f ca="1">IFERROR(__xludf.DUMMYFUNCTION("""COMPUTED_VALUE"""),"40433")</f>
        <v>40433</v>
      </c>
      <c r="E164" s="80" t="str">
        <f ca="1">IFERROR(__xludf.DUMMYFUNCTION("""COMPUTED_VALUE"""),"Stock")</f>
        <v>Stock</v>
      </c>
      <c r="F164" s="80" t="str">
        <f ca="1">IFERROR(__xludf.DUMMYFUNCTION("""COMPUTED_VALUE"""),"error")</f>
        <v>error</v>
      </c>
      <c r="G164" s="78" t="str">
        <f ca="1">IFERROR(__xludf.DUMMYFUNCTION("""COMPUTED_VALUE"""),"TSLAA")</f>
        <v>TSLAA</v>
      </c>
      <c r="H164" s="81">
        <f ca="1">IFERROR(__xludf.DUMMYFUNCTION("""COMPUTED_VALUE"""),5)</f>
        <v>5</v>
      </c>
      <c r="I164" s="80" t="str">
        <f ca="1">IFERROR(__xludf.DUMMYFUNCTION("""COMPUTED_VALUE"""),"Order rejected due to wrong ticker code. just need to type in TSLA?")</f>
        <v>Order rejected due to wrong ticker code. just need to type in TSLA?</v>
      </c>
    </row>
    <row r="165" spans="1:9" ht="13" x14ac:dyDescent="0.15">
      <c r="A165" s="5"/>
      <c r="B165" s="82">
        <f ca="1">IFERROR(__xludf.DUMMYFUNCTION("""COMPUTED_VALUE"""),44611.1260173611)</f>
        <v>44611.126017361101</v>
      </c>
      <c r="C165" s="79">
        <f ca="1">IFERROR(__xludf.DUMMYFUNCTION("""COMPUTED_VALUE"""),44610.6666666666)</f>
        <v>44610.666666666599</v>
      </c>
      <c r="D165" s="80" t="str">
        <f ca="1">IFERROR(__xludf.DUMMYFUNCTION("""COMPUTED_VALUE"""),"89750")</f>
        <v>89750</v>
      </c>
      <c r="E165" s="80" t="str">
        <f ca="1">IFERROR(__xludf.DUMMYFUNCTION("""COMPUTED_VALUE"""),"Stock")</f>
        <v>Stock</v>
      </c>
      <c r="F165" s="80" t="str">
        <f ca="1">IFERROR(__xludf.DUMMYFUNCTION("""COMPUTED_VALUE"""),"USD")</f>
        <v>USD</v>
      </c>
      <c r="G165" s="78" t="str">
        <f ca="1">IFERROR(__xludf.DUMMYFUNCTION("""COMPUTED_VALUE"""),"SOFI")</f>
        <v>SOFI</v>
      </c>
      <c r="H165" s="81">
        <f ca="1">IFERROR(__xludf.DUMMYFUNCTION("""COMPUTED_VALUE"""),50)</f>
        <v>50</v>
      </c>
      <c r="I165" s="80"/>
    </row>
    <row r="166" spans="1:9" ht="13" x14ac:dyDescent="0.15">
      <c r="A166" s="5"/>
      <c r="B166" s="82">
        <f ca="1">IFERROR(__xludf.DUMMYFUNCTION("""COMPUTED_VALUE"""),44611.1305142939)</f>
        <v>44611.130514293902</v>
      </c>
      <c r="C166" s="79">
        <f ca="1">IFERROR(__xludf.DUMMYFUNCTION("""COMPUTED_VALUE"""),44610.6666666666)</f>
        <v>44610.666666666599</v>
      </c>
      <c r="D166" s="80" t="str">
        <f ca="1">IFERROR(__xludf.DUMMYFUNCTION("""COMPUTED_VALUE"""),"89750")</f>
        <v>89750</v>
      </c>
      <c r="E166" s="80" t="str">
        <f ca="1">IFERROR(__xludf.DUMMYFUNCTION("""COMPUTED_VALUE"""),"Stock")</f>
        <v>Stock</v>
      </c>
      <c r="F166" s="80" t="str">
        <f ca="1">IFERROR(__xludf.DUMMYFUNCTION("""COMPUTED_VALUE"""),"USD")</f>
        <v>USD</v>
      </c>
      <c r="G166" s="78" t="str">
        <f ca="1">IFERROR(__xludf.DUMMYFUNCTION("""COMPUTED_VALUE"""),"UVXY")</f>
        <v>UVXY</v>
      </c>
      <c r="H166" s="81">
        <f ca="1">IFERROR(__xludf.DUMMYFUNCTION("""COMPUTED_VALUE"""),450)</f>
        <v>450</v>
      </c>
      <c r="I166" s="80"/>
    </row>
    <row r="167" spans="1:9" ht="13" x14ac:dyDescent="0.15">
      <c r="A167" s="5"/>
      <c r="B167" s="82">
        <f ca="1">IFERROR(__xludf.DUMMYFUNCTION("""COMPUTED_VALUE"""),44611.1313446064)</f>
        <v>44611.131344606401</v>
      </c>
      <c r="C167" s="79">
        <f ca="1">IFERROR(__xludf.DUMMYFUNCTION("""COMPUTED_VALUE"""),44610.6666666666)</f>
        <v>44610.666666666599</v>
      </c>
      <c r="D167" s="80" t="str">
        <f ca="1">IFERROR(__xludf.DUMMYFUNCTION("""COMPUTED_VALUE"""),"89750")</f>
        <v>89750</v>
      </c>
      <c r="E167" s="80" t="str">
        <f ca="1">IFERROR(__xludf.DUMMYFUNCTION("""COMPUTED_VALUE"""),"Stock")</f>
        <v>Stock</v>
      </c>
      <c r="F167" s="80" t="str">
        <f ca="1">IFERROR(__xludf.DUMMYFUNCTION("""COMPUTED_VALUE"""),"USD")</f>
        <v>USD</v>
      </c>
      <c r="G167" s="78" t="str">
        <f ca="1">IFERROR(__xludf.DUMMYFUNCTION("""COMPUTED_VALUE"""),"SOXL")</f>
        <v>SOXL</v>
      </c>
      <c r="H167" s="81">
        <f ca="1">IFERROR(__xludf.DUMMYFUNCTION("""COMPUTED_VALUE"""),20)</f>
        <v>20</v>
      </c>
      <c r="I167" s="80"/>
    </row>
    <row r="168" spans="1:9" ht="13" x14ac:dyDescent="0.15">
      <c r="A168" s="5"/>
      <c r="B168" s="82">
        <f ca="1">IFERROR(__xludf.DUMMYFUNCTION("""COMPUTED_VALUE"""),44611.4629009837)</f>
        <v>44611.462900983701</v>
      </c>
      <c r="C168" s="79">
        <f ca="1">IFERROR(__xludf.DUMMYFUNCTION("""COMPUTED_VALUE"""),44613)</f>
        <v>44613</v>
      </c>
      <c r="D168" s="80" t="str">
        <f ca="1">IFERROR(__xludf.DUMMYFUNCTION("""COMPUTED_VALUE"""),"76369")</f>
        <v>76369</v>
      </c>
      <c r="E168" s="80" t="str">
        <f ca="1">IFERROR(__xludf.DUMMYFUNCTION("""COMPUTED_VALUE"""),"Stock")</f>
        <v>Stock</v>
      </c>
      <c r="F168" s="80" t="str">
        <f ca="1">IFERROR(__xludf.DUMMYFUNCTION("""COMPUTED_VALUE"""),"HKD")</f>
        <v>HKD</v>
      </c>
      <c r="G168" s="83" t="str">
        <f ca="1">IFERROR(__xludf.DUMMYFUNCTION("""COMPUTED_VALUE"""),"1498.HK")</f>
        <v>1498.HK</v>
      </c>
      <c r="H168" s="81">
        <f ca="1">IFERROR(__xludf.DUMMYFUNCTION("""COMPUTED_VALUE"""),1000)</f>
        <v>1000</v>
      </c>
      <c r="I168" s="80"/>
    </row>
    <row r="169" spans="1:9" ht="13" x14ac:dyDescent="0.15">
      <c r="A169" s="5"/>
      <c r="B169" s="82">
        <f ca="1">IFERROR(__xludf.DUMMYFUNCTION("""COMPUTED_VALUE"""),44611.7673262037)</f>
        <v>44611.767326203699</v>
      </c>
      <c r="C169" s="78"/>
      <c r="D169" s="80" t="str">
        <f ca="1">IFERROR(__xludf.DUMMYFUNCTION("""COMPUTED_VALUE"""),"")</f>
        <v/>
      </c>
      <c r="E169" s="80" t="str">
        <f ca="1">IFERROR(__xludf.DUMMYFUNCTION("""COMPUTED_VALUE"""),"Stock")</f>
        <v>Stock</v>
      </c>
      <c r="F169" s="80" t="str">
        <f ca="1">IFERROR(__xludf.DUMMYFUNCTION("""COMPUTED_VALUE"""),"error")</f>
        <v>error</v>
      </c>
      <c r="G169" s="78">
        <f ca="1">IFERROR(__xludf.DUMMYFUNCTION("""COMPUTED_VALUE"""),600519)</f>
        <v>600519</v>
      </c>
      <c r="H169" s="81">
        <f ca="1">IFERROR(__xludf.DUMMYFUNCTION("""COMPUTED_VALUE"""),1000)</f>
        <v>1000</v>
      </c>
      <c r="I169" s="80" t="str">
        <f ca="1">IFERROR(__xludf.DUMMYFUNCTION("""COMPUTED_VALUE"""),"Order rejected due to invalid school email account, (nmaXXXXX@gmail.com), wrong ticker code. just need to type in 600519.SS")</f>
        <v>Order rejected due to invalid school email account, (nmaXXXXX@gmail.com), wrong ticker code. just need to type in 600519.SS</v>
      </c>
    </row>
    <row r="170" spans="1:9" ht="13" x14ac:dyDescent="0.15">
      <c r="A170" s="5"/>
      <c r="B170" s="82">
        <f ca="1">IFERROR(__xludf.DUMMYFUNCTION("""COMPUTED_VALUE"""),44612.3611317245)</f>
        <v>44612.361131724501</v>
      </c>
      <c r="C170" s="79">
        <f ca="1">IFERROR(__xludf.DUMMYFUNCTION("""COMPUTED_VALUE"""),44611)</f>
        <v>44611</v>
      </c>
      <c r="D170" s="80" t="str">
        <f ca="1">IFERROR(__xludf.DUMMYFUNCTION("""COMPUTED_VALUE"""),"TraderX")</f>
        <v>TraderX</v>
      </c>
      <c r="E170" s="80" t="str">
        <f ca="1">IFERROR(__xludf.DUMMYFUNCTION("""COMPUTED_VALUE"""),"Option")</f>
        <v>Option</v>
      </c>
      <c r="F170" s="80" t="str">
        <f ca="1">IFERROR(__xludf.DUMMYFUNCTION("""COMPUTED_VALUE"""),"USD")</f>
        <v>USD</v>
      </c>
      <c r="G170" s="78" t="str">
        <f ca="1">IFERROR(__xludf.DUMMYFUNCTION("""COMPUTED_VALUE"""),"SPXW220218P04300000")</f>
        <v>SPXW220218P04300000</v>
      </c>
      <c r="H170" s="81">
        <f ca="1">IFERROR(__xludf.DUMMYFUNCTION("""COMPUTED_VALUE"""),8)</f>
        <v>8</v>
      </c>
      <c r="I170" s="80"/>
    </row>
    <row r="171" spans="1:9" ht="13" x14ac:dyDescent="0.15">
      <c r="A171" s="5"/>
      <c r="B171" s="82">
        <f ca="1">IFERROR(__xludf.DUMMYFUNCTION("""COMPUTED_VALUE"""),44612.3618259838)</f>
        <v>44612.361825983797</v>
      </c>
      <c r="C171" s="79">
        <f ca="1">IFERROR(__xludf.DUMMYFUNCTION("""COMPUTED_VALUE"""),44611)</f>
        <v>44611</v>
      </c>
      <c r="D171" s="80" t="str">
        <f ca="1">IFERROR(__xludf.DUMMYFUNCTION("""COMPUTED_VALUE"""),"TraderX")</f>
        <v>TraderX</v>
      </c>
      <c r="E171" s="80" t="str">
        <f ca="1">IFERROR(__xludf.DUMMYFUNCTION("""COMPUTED_VALUE"""),"Option")</f>
        <v>Option</v>
      </c>
      <c r="F171" s="80" t="str">
        <f ca="1">IFERROR(__xludf.DUMMYFUNCTION("""COMPUTED_VALUE"""),"USD")</f>
        <v>USD</v>
      </c>
      <c r="G171" s="78" t="str">
        <f ca="1">IFERROR(__xludf.DUMMYFUNCTION("""COMPUTED_VALUE"""),"SPX220218P04220000")</f>
        <v>SPX220218P04220000</v>
      </c>
      <c r="H171" s="81">
        <f ca="1">IFERROR(__xludf.DUMMYFUNCTION("""COMPUTED_VALUE"""),8)</f>
        <v>8</v>
      </c>
      <c r="I171" s="80"/>
    </row>
    <row r="172" spans="1:9" ht="13" x14ac:dyDescent="0.15">
      <c r="A172" s="5"/>
      <c r="B172" s="82">
        <f ca="1">IFERROR(__xludf.DUMMYFUNCTION("""COMPUTED_VALUE"""),44612.9941424189)</f>
        <v>44612.994142418902</v>
      </c>
      <c r="C172" s="79">
        <f ca="1">IFERROR(__xludf.DUMMYFUNCTION("""COMPUTED_VALUE"""),44613)</f>
        <v>44613</v>
      </c>
      <c r="D172" s="80" t="str">
        <f ca="1">IFERROR(__xludf.DUMMYFUNCTION("""COMPUTED_VALUE"""),"75369")</f>
        <v>75369</v>
      </c>
      <c r="E172" s="80" t="str">
        <f ca="1">IFERROR(__xludf.DUMMYFUNCTION("""COMPUTED_VALUE"""),"Stock")</f>
        <v>Stock</v>
      </c>
      <c r="F172" s="80" t="str">
        <f ca="1">IFERROR(__xludf.DUMMYFUNCTION("""COMPUTED_VALUE"""),"error")</f>
        <v>error</v>
      </c>
      <c r="G172" s="78" t="str">
        <f ca="1">IFERROR(__xludf.DUMMYFUNCTION("""COMPUTED_VALUE"""),"04338")</f>
        <v>04338</v>
      </c>
      <c r="H172" s="81">
        <f ca="1">IFERROR(__xludf.DUMMYFUNCTION("""COMPUTED_VALUE"""),10)</f>
        <v>10</v>
      </c>
      <c r="I172" s="80" t="str">
        <f ca="1">IFERROR(__xludf.DUMMYFUNCTION("""COMPUTED_VALUE"""),"Order rejected due to wrong password, wrong ticker code and non numeric character in limit price. just need to type in 4338.HK. AND just numeric price for limiit price")</f>
        <v>Order rejected due to wrong password, wrong ticker code and non numeric character in limit price. just need to type in 4338.HK. AND just numeric price for limiit price</v>
      </c>
    </row>
    <row r="173" spans="1:9" ht="13" x14ac:dyDescent="0.15">
      <c r="A173" s="5"/>
      <c r="B173" s="82">
        <f ca="1">IFERROR(__xludf.DUMMYFUNCTION("""COMPUTED_VALUE"""),44613.0010191898)</f>
        <v>44613.001019189804</v>
      </c>
      <c r="C173" s="79">
        <f ca="1">IFERROR(__xludf.DUMMYFUNCTION("""COMPUTED_VALUE"""),44614)</f>
        <v>44614</v>
      </c>
      <c r="D173" s="80" t="str">
        <f ca="1">IFERROR(__xludf.DUMMYFUNCTION("""COMPUTED_VALUE"""),"37934")</f>
        <v>37934</v>
      </c>
      <c r="E173" s="80" t="str">
        <f ca="1">IFERROR(__xludf.DUMMYFUNCTION("""COMPUTED_VALUE"""),"Stock")</f>
        <v>Stock</v>
      </c>
      <c r="F173" s="80" t="str">
        <f ca="1">IFERROR(__xludf.DUMMYFUNCTION("""COMPUTED_VALUE"""),"USD")</f>
        <v>USD</v>
      </c>
      <c r="G173" s="78" t="str">
        <f ca="1">IFERROR(__xludf.DUMMYFUNCTION("""COMPUTED_VALUE"""),"SOFI")</f>
        <v>SOFI</v>
      </c>
      <c r="H173" s="81">
        <f ca="1">IFERROR(__xludf.DUMMYFUNCTION("""COMPUTED_VALUE"""),200)</f>
        <v>200</v>
      </c>
      <c r="I173" s="80"/>
    </row>
    <row r="174" spans="1:9" ht="13" x14ac:dyDescent="0.15">
      <c r="A174" s="5"/>
      <c r="B174" s="82">
        <f ca="1">IFERROR(__xludf.DUMMYFUNCTION("""COMPUTED_VALUE"""),44613.4835181018)</f>
        <v>44613.483518101799</v>
      </c>
      <c r="C174" s="79">
        <f ca="1">IFERROR(__xludf.DUMMYFUNCTION("""COMPUTED_VALUE"""),44613.6666666666)</f>
        <v>44613.666666666599</v>
      </c>
      <c r="D174" s="80" t="str">
        <f ca="1">IFERROR(__xludf.DUMMYFUNCTION("""COMPUTED_VALUE"""),"77729")</f>
        <v>77729</v>
      </c>
      <c r="E174" s="80" t="str">
        <f ca="1">IFERROR(__xludf.DUMMYFUNCTION("""COMPUTED_VALUE"""),"Stock")</f>
        <v>Stock</v>
      </c>
      <c r="F174" s="80" t="str">
        <f ca="1">IFERROR(__xludf.DUMMYFUNCTION("""COMPUTED_VALUE"""),"HKD")</f>
        <v>HKD</v>
      </c>
      <c r="G174" s="83" t="str">
        <f ca="1">IFERROR(__xludf.DUMMYFUNCTION("""COMPUTED_VALUE"""),"0700.HK")</f>
        <v>0700.HK</v>
      </c>
      <c r="H174" s="81">
        <f ca="1">IFERROR(__xludf.DUMMYFUNCTION("""COMPUTED_VALUE"""),218)</f>
        <v>218</v>
      </c>
      <c r="I174" s="80"/>
    </row>
    <row r="175" spans="1:9" ht="13" x14ac:dyDescent="0.15">
      <c r="A175" s="5"/>
      <c r="B175" s="82">
        <f ca="1">IFERROR(__xludf.DUMMYFUNCTION("""COMPUTED_VALUE"""),44613.4958718171)</f>
        <v>44613.495871817096</v>
      </c>
      <c r="C175" s="79">
        <f ca="1">IFERROR(__xludf.DUMMYFUNCTION("""COMPUTED_VALUE"""),44613.6666666666)</f>
        <v>44613.666666666599</v>
      </c>
      <c r="D175" s="80" t="str">
        <f ca="1">IFERROR(__xludf.DUMMYFUNCTION("""COMPUTED_VALUE"""),"76975")</f>
        <v>76975</v>
      </c>
      <c r="E175" s="80" t="str">
        <f ca="1">IFERROR(__xludf.DUMMYFUNCTION("""COMPUTED_VALUE"""),"Stock")</f>
        <v>Stock</v>
      </c>
      <c r="F175" s="80" t="str">
        <f ca="1">IFERROR(__xludf.DUMMYFUNCTION("""COMPUTED_VALUE"""),"HKD")</f>
        <v>HKD</v>
      </c>
      <c r="G175" s="83" t="str">
        <f ca="1">IFERROR(__xludf.DUMMYFUNCTION("""COMPUTED_VALUE"""),"3690.HK")</f>
        <v>3690.HK</v>
      </c>
      <c r="H175" s="81">
        <f ca="1">IFERROR(__xludf.DUMMYFUNCTION("""COMPUTED_VALUE"""),270)</f>
        <v>270</v>
      </c>
      <c r="I175" s="80"/>
    </row>
    <row r="176" spans="1:9" ht="13" x14ac:dyDescent="0.15">
      <c r="A176" s="5"/>
      <c r="B176" s="82">
        <f ca="1">IFERROR(__xludf.DUMMYFUNCTION("""COMPUTED_VALUE"""),44613.4961147106)</f>
        <v>44613.496114710601</v>
      </c>
      <c r="C176" s="79">
        <f ca="1">IFERROR(__xludf.DUMMYFUNCTION("""COMPUTED_VALUE"""),44613.6666666666)</f>
        <v>44613.666666666599</v>
      </c>
      <c r="D176" s="80" t="str">
        <f ca="1">IFERROR(__xludf.DUMMYFUNCTION("""COMPUTED_VALUE"""),"77729")</f>
        <v>77729</v>
      </c>
      <c r="E176" s="80" t="str">
        <f ca="1">IFERROR(__xludf.DUMMYFUNCTION("""COMPUTED_VALUE"""),"Stock")</f>
        <v>Stock</v>
      </c>
      <c r="F176" s="80" t="str">
        <f ca="1">IFERROR(__xludf.DUMMYFUNCTION("""COMPUTED_VALUE"""),"HKD")</f>
        <v>HKD</v>
      </c>
      <c r="G176" s="83" t="str">
        <f ca="1">IFERROR(__xludf.DUMMYFUNCTION("""COMPUTED_VALUE"""),"3690.HK")</f>
        <v>3690.HK</v>
      </c>
      <c r="H176" s="81">
        <f ca="1">IFERROR(__xludf.DUMMYFUNCTION("""COMPUTED_VALUE"""),270)</f>
        <v>270</v>
      </c>
      <c r="I176" s="80"/>
    </row>
    <row r="177" spans="1:9" ht="13" x14ac:dyDescent="0.15">
      <c r="A177" s="5"/>
      <c r="B177" s="82">
        <f ca="1">IFERROR(__xludf.DUMMYFUNCTION("""COMPUTED_VALUE"""),44613.5656983217)</f>
        <v>44613.565698321698</v>
      </c>
      <c r="C177" s="79">
        <f ca="1">IFERROR(__xludf.DUMMYFUNCTION("""COMPUTED_VALUE"""),44613.625)</f>
        <v>44613.625</v>
      </c>
      <c r="D177" s="80" t="str">
        <f ca="1">IFERROR(__xludf.DUMMYFUNCTION("""COMPUTED_VALUE"""),"74641")</f>
        <v>74641</v>
      </c>
      <c r="E177" s="80" t="str">
        <f ca="1">IFERROR(__xludf.DUMMYFUNCTION("""COMPUTED_VALUE"""),"Stock")</f>
        <v>Stock</v>
      </c>
      <c r="F177" s="80" t="str">
        <f ca="1">IFERROR(__xludf.DUMMYFUNCTION("""COMPUTED_VALUE"""),"CNY")</f>
        <v>CNY</v>
      </c>
      <c r="G177" s="83" t="str">
        <f ca="1">IFERROR(__xludf.DUMMYFUNCTION("""COMPUTED_VALUE"""),"002230.SZ")</f>
        <v>002230.SZ</v>
      </c>
      <c r="H177" s="81">
        <f ca="1">IFERROR(__xludf.DUMMYFUNCTION("""COMPUTED_VALUE"""),1000)</f>
        <v>1000</v>
      </c>
      <c r="I177" s="80"/>
    </row>
    <row r="178" spans="1:9" ht="13" x14ac:dyDescent="0.15">
      <c r="A178" s="5"/>
      <c r="B178" s="82">
        <f ca="1">IFERROR(__xludf.DUMMYFUNCTION("""COMPUTED_VALUE"""),44613.5833246412)</f>
        <v>44613.5833246412</v>
      </c>
      <c r="C178" s="79">
        <f ca="1">IFERROR(__xludf.DUMMYFUNCTION("""COMPUTED_VALUE"""),44613.6666666666)</f>
        <v>44613.666666666599</v>
      </c>
      <c r="D178" s="80" t="str">
        <f ca="1">IFERROR(__xludf.DUMMYFUNCTION("""COMPUTED_VALUE"""),"37649")</f>
        <v>37649</v>
      </c>
      <c r="E178" s="80" t="str">
        <f ca="1">IFERROR(__xludf.DUMMYFUNCTION("""COMPUTED_VALUE"""),"Stock")</f>
        <v>Stock</v>
      </c>
      <c r="F178" s="80" t="str">
        <f ca="1">IFERROR(__xludf.DUMMYFUNCTION("""COMPUTED_VALUE"""),"HKD")</f>
        <v>HKD</v>
      </c>
      <c r="G178" s="83" t="str">
        <f ca="1">IFERROR(__xludf.DUMMYFUNCTION("""COMPUTED_VALUE"""),"1109.HK")</f>
        <v>1109.HK</v>
      </c>
      <c r="H178" s="81">
        <f ca="1">IFERROR(__xludf.DUMMYFUNCTION("""COMPUTED_VALUE"""),4000)</f>
        <v>4000</v>
      </c>
      <c r="I178" s="80"/>
    </row>
    <row r="179" spans="1:9" ht="13" x14ac:dyDescent="0.15">
      <c r="A179" s="5"/>
      <c r="B179" s="82">
        <f ca="1">IFERROR(__xludf.DUMMYFUNCTION("""COMPUTED_VALUE"""),44613.6047740509)</f>
        <v>44613.604774050902</v>
      </c>
      <c r="C179" s="79">
        <f ca="1">IFERROR(__xludf.DUMMYFUNCTION("""COMPUTED_VALUE"""),44613.6666666666)</f>
        <v>44613.666666666599</v>
      </c>
      <c r="D179" s="80" t="str">
        <f ca="1">IFERROR(__xludf.DUMMYFUNCTION("""COMPUTED_VALUE"""),"82124")</f>
        <v>82124</v>
      </c>
      <c r="E179" s="80" t="str">
        <f ca="1">IFERROR(__xludf.DUMMYFUNCTION("""COMPUTED_VALUE"""),"Stock")</f>
        <v>Stock</v>
      </c>
      <c r="F179" s="80" t="str">
        <f ca="1">IFERROR(__xludf.DUMMYFUNCTION("""COMPUTED_VALUE"""),"HKD")</f>
        <v>HKD</v>
      </c>
      <c r="G179" s="83" t="str">
        <f ca="1">IFERROR(__xludf.DUMMYFUNCTION("""COMPUTED_VALUE"""),"0941.HK")</f>
        <v>0941.HK</v>
      </c>
      <c r="H179" s="81">
        <f ca="1">IFERROR(__xludf.DUMMYFUNCTION("""COMPUTED_VALUE"""),1000)</f>
        <v>1000</v>
      </c>
      <c r="I179" s="80"/>
    </row>
    <row r="180" spans="1:9" ht="13" x14ac:dyDescent="0.15">
      <c r="A180" s="5"/>
      <c r="B180" s="82">
        <f ca="1">IFERROR(__xludf.DUMMYFUNCTION("""COMPUTED_VALUE"""),44613.6481600925)</f>
        <v>44613.648160092504</v>
      </c>
      <c r="C180" s="79" t="str">
        <f ca="1">IFERROR(__xludf.DUMMYFUNCTION("""COMPUTED_VALUE"""),"")</f>
        <v/>
      </c>
      <c r="D180" s="80" t="str">
        <f ca="1">IFERROR(__xludf.DUMMYFUNCTION("""COMPUTED_VALUE"""),"39857")</f>
        <v>39857</v>
      </c>
      <c r="E180" s="80" t="str">
        <f ca="1">IFERROR(__xludf.DUMMYFUNCTION("""COMPUTED_VALUE"""),"Stock")</f>
        <v>Stock</v>
      </c>
      <c r="F180" s="80" t="str">
        <f ca="1">IFERROR(__xludf.DUMMYFUNCTION("""COMPUTED_VALUE"""),"error")</f>
        <v>error</v>
      </c>
      <c r="G180" s="78" t="str">
        <f ca="1">IFERROR(__xludf.DUMMYFUNCTION("""COMPUTED_VALUE"""),"03690")</f>
        <v>03690</v>
      </c>
      <c r="H180" s="81">
        <f ca="1">IFERROR(__xludf.DUMMYFUNCTION("""COMPUTED_VALUE"""),550)</f>
        <v>550</v>
      </c>
      <c r="I180" s="80" t="str">
        <f ca="1">IFERROR(__xludf.DUMMYFUNCTION("""COMPUTED_VALUE"""),"Order rejected due to wrong ticker code. just need to type in  3690.HK")</f>
        <v>Order rejected due to wrong ticker code. just need to type in  3690.HK</v>
      </c>
    </row>
    <row r="181" spans="1:9" ht="13" x14ac:dyDescent="0.15">
      <c r="A181" s="5"/>
      <c r="B181" s="82">
        <f ca="1">IFERROR(__xludf.DUMMYFUNCTION("""COMPUTED_VALUE"""),44613.6624040972)</f>
        <v>44613.662404097202</v>
      </c>
      <c r="C181" s="79">
        <f ca="1">IFERROR(__xludf.DUMMYFUNCTION("""COMPUTED_VALUE"""),44613.6666666666)</f>
        <v>44613.666666666599</v>
      </c>
      <c r="D181" s="80" t="str">
        <f ca="1">IFERROR(__xludf.DUMMYFUNCTION("""COMPUTED_VALUE"""),"89750")</f>
        <v>89750</v>
      </c>
      <c r="E181" s="80" t="str">
        <f ca="1">IFERROR(__xludf.DUMMYFUNCTION("""COMPUTED_VALUE"""),"Stock")</f>
        <v>Stock</v>
      </c>
      <c r="F181" s="80" t="str">
        <f ca="1">IFERROR(__xludf.DUMMYFUNCTION("""COMPUTED_VALUE"""),"HKD")</f>
        <v>HKD</v>
      </c>
      <c r="G181" s="83" t="str">
        <f ca="1">IFERROR(__xludf.DUMMYFUNCTION("""COMPUTED_VALUE"""),"9698.HK")</f>
        <v>9698.HK</v>
      </c>
      <c r="H181" s="81">
        <f ca="1">IFERROR(__xludf.DUMMYFUNCTION("""COMPUTED_VALUE"""),1500)</f>
        <v>1500</v>
      </c>
      <c r="I181" s="80"/>
    </row>
    <row r="182" spans="1:9" ht="13" x14ac:dyDescent="0.15">
      <c r="A182" s="5"/>
      <c r="B182" s="82">
        <f ca="1">IFERROR(__xludf.DUMMYFUNCTION("""COMPUTED_VALUE"""),44615.0921249768)</f>
        <v>44615.0921249768</v>
      </c>
      <c r="C182" s="79">
        <f ca="1">IFERROR(__xludf.DUMMYFUNCTION("""COMPUTED_VALUE"""),44614.6666666666)</f>
        <v>44614.666666666599</v>
      </c>
      <c r="D182" s="80" t="str">
        <f ca="1">IFERROR(__xludf.DUMMYFUNCTION("""COMPUTED_VALUE"""),"89750")</f>
        <v>89750</v>
      </c>
      <c r="E182" s="80" t="str">
        <f ca="1">IFERROR(__xludf.DUMMYFUNCTION("""COMPUTED_VALUE"""),"Stock")</f>
        <v>Stock</v>
      </c>
      <c r="F182" s="80" t="str">
        <f ca="1">IFERROR(__xludf.DUMMYFUNCTION("""COMPUTED_VALUE"""),"USD")</f>
        <v>USD</v>
      </c>
      <c r="G182" s="78" t="str">
        <f ca="1">IFERROR(__xludf.DUMMYFUNCTION("""COMPUTED_VALUE"""),"UVXY")</f>
        <v>UVXY</v>
      </c>
      <c r="H182" s="81">
        <f ca="1">IFERROR(__xludf.DUMMYFUNCTION("""COMPUTED_VALUE"""),50)</f>
        <v>50</v>
      </c>
      <c r="I182" s="80"/>
    </row>
    <row r="183" spans="1:9" ht="13" x14ac:dyDescent="0.15">
      <c r="A183" s="5"/>
      <c r="B183" s="82">
        <f ca="1">IFERROR(__xludf.DUMMYFUNCTION("""COMPUTED_VALUE"""),44615.1014101736)</f>
        <v>44615.1014101736</v>
      </c>
      <c r="C183" s="79">
        <f ca="1">IFERROR(__xludf.DUMMYFUNCTION("""COMPUTED_VALUE"""),44614.6666666666)</f>
        <v>44614.666666666599</v>
      </c>
      <c r="D183" s="80" t="str">
        <f ca="1">IFERROR(__xludf.DUMMYFUNCTION("""COMPUTED_VALUE"""),"89750")</f>
        <v>89750</v>
      </c>
      <c r="E183" s="80" t="str">
        <f ca="1">IFERROR(__xludf.DUMMYFUNCTION("""COMPUTED_VALUE"""),"Stock")</f>
        <v>Stock</v>
      </c>
      <c r="F183" s="80" t="str">
        <f ca="1">IFERROR(__xludf.DUMMYFUNCTION("""COMPUTED_VALUE"""),"USD")</f>
        <v>USD</v>
      </c>
      <c r="G183" s="78" t="str">
        <f ca="1">IFERROR(__xludf.DUMMYFUNCTION("""COMPUTED_VALUE"""),"SOFI")</f>
        <v>SOFI</v>
      </c>
      <c r="H183" s="81">
        <f ca="1">IFERROR(__xludf.DUMMYFUNCTION("""COMPUTED_VALUE"""),20)</f>
        <v>20</v>
      </c>
      <c r="I183" s="80"/>
    </row>
    <row r="184" spans="1:9" ht="13" x14ac:dyDescent="0.15">
      <c r="A184" s="5"/>
      <c r="B184" s="82">
        <f ca="1">IFERROR(__xludf.DUMMYFUNCTION("""COMPUTED_VALUE"""),44615.1018305902)</f>
        <v>44615.101830590203</v>
      </c>
      <c r="C184" s="79">
        <f ca="1">IFERROR(__xludf.DUMMYFUNCTION("""COMPUTED_VALUE"""),44614.6666666666)</f>
        <v>44614.666666666599</v>
      </c>
      <c r="D184" s="80" t="str">
        <f ca="1">IFERROR(__xludf.DUMMYFUNCTION("""COMPUTED_VALUE"""),"89750")</f>
        <v>89750</v>
      </c>
      <c r="E184" s="80" t="str">
        <f ca="1">IFERROR(__xludf.DUMMYFUNCTION("""COMPUTED_VALUE"""),"Stock")</f>
        <v>Stock</v>
      </c>
      <c r="F184" s="80" t="str">
        <f ca="1">IFERROR(__xludf.DUMMYFUNCTION("""COMPUTED_VALUE"""),"USD")</f>
        <v>USD</v>
      </c>
      <c r="G184" s="78" t="str">
        <f ca="1">IFERROR(__xludf.DUMMYFUNCTION("""COMPUTED_VALUE"""),"NU")</f>
        <v>NU</v>
      </c>
      <c r="H184" s="81">
        <f ca="1">IFERROR(__xludf.DUMMYFUNCTION("""COMPUTED_VALUE"""),20)</f>
        <v>20</v>
      </c>
      <c r="I184" s="80"/>
    </row>
    <row r="185" spans="1:9" ht="13" x14ac:dyDescent="0.15">
      <c r="A185" s="5"/>
      <c r="B185" s="82">
        <f ca="1">IFERROR(__xludf.DUMMYFUNCTION("""COMPUTED_VALUE"""),44615.1027543055)</f>
        <v>44615.102754305502</v>
      </c>
      <c r="C185" s="79">
        <f ca="1">IFERROR(__xludf.DUMMYFUNCTION("""COMPUTED_VALUE"""),44614.6666666666)</f>
        <v>44614.666666666599</v>
      </c>
      <c r="D185" s="80" t="str">
        <f ca="1">IFERROR(__xludf.DUMMYFUNCTION("""COMPUTED_VALUE"""),"89750")</f>
        <v>89750</v>
      </c>
      <c r="E185" s="80" t="str">
        <f ca="1">IFERROR(__xludf.DUMMYFUNCTION("""COMPUTED_VALUE"""),"Stock")</f>
        <v>Stock</v>
      </c>
      <c r="F185" s="80" t="str">
        <f ca="1">IFERROR(__xludf.DUMMYFUNCTION("""COMPUTED_VALUE"""),"USD")</f>
        <v>USD</v>
      </c>
      <c r="G185" s="78" t="str">
        <f ca="1">IFERROR(__xludf.DUMMYFUNCTION("""COMPUTED_VALUE"""),"YINN")</f>
        <v>YINN</v>
      </c>
      <c r="H185" s="81">
        <f ca="1">IFERROR(__xludf.DUMMYFUNCTION("""COMPUTED_VALUE"""),50)</f>
        <v>50</v>
      </c>
      <c r="I185" s="80"/>
    </row>
    <row r="186" spans="1:9" ht="13" x14ac:dyDescent="0.15">
      <c r="A186" s="5"/>
      <c r="B186" s="82">
        <f ca="1">IFERROR(__xludf.DUMMYFUNCTION("""COMPUTED_VALUE"""),44615.1514254861)</f>
        <v>44615.151425486103</v>
      </c>
      <c r="C186" s="79">
        <f ca="1">IFERROR(__xludf.DUMMYFUNCTION("""COMPUTED_VALUE"""),44614.6666666666)</f>
        <v>44614.666666666599</v>
      </c>
      <c r="D186" s="80" t="str">
        <f ca="1">IFERROR(__xludf.DUMMYFUNCTION("""COMPUTED_VALUE"""),"89750")</f>
        <v>89750</v>
      </c>
      <c r="E186" s="80" t="str">
        <f ca="1">IFERROR(__xludf.DUMMYFUNCTION("""COMPUTED_VALUE"""),"Option")</f>
        <v>Option</v>
      </c>
      <c r="F186" s="80" t="str">
        <f ca="1">IFERROR(__xludf.DUMMYFUNCTION("""COMPUTED_VALUE"""),"USD")</f>
        <v>USD</v>
      </c>
      <c r="G186" s="78" t="str">
        <f ca="1">IFERROR(__xludf.DUMMYFUNCTION("""COMPUTED_VALUE"""),"FUTU220225C00041500")</f>
        <v>FUTU220225C00041500</v>
      </c>
      <c r="H186" s="81">
        <f ca="1">IFERROR(__xludf.DUMMYFUNCTION("""COMPUTED_VALUE"""),100)</f>
        <v>100</v>
      </c>
      <c r="I186" s="80"/>
    </row>
    <row r="187" spans="1:9" ht="13" x14ac:dyDescent="0.15">
      <c r="A187" s="5"/>
      <c r="B187" s="82">
        <f ca="1">IFERROR(__xludf.DUMMYFUNCTION("""COMPUTED_VALUE"""),44615.154367905)</f>
        <v>44615.154367905001</v>
      </c>
      <c r="C187" s="79">
        <f ca="1">IFERROR(__xludf.DUMMYFUNCTION("""COMPUTED_VALUE"""),44614.6666666666)</f>
        <v>44614.666666666599</v>
      </c>
      <c r="D187" s="80" t="str">
        <f ca="1">IFERROR(__xludf.DUMMYFUNCTION("""COMPUTED_VALUE"""),"89750")</f>
        <v>89750</v>
      </c>
      <c r="E187" s="80" t="str">
        <f ca="1">IFERROR(__xludf.DUMMYFUNCTION("""COMPUTED_VALUE"""),"Stock")</f>
        <v>Stock</v>
      </c>
      <c r="F187" s="80" t="str">
        <f ca="1">IFERROR(__xludf.DUMMYFUNCTION("""COMPUTED_VALUE"""),"USD")</f>
        <v>USD</v>
      </c>
      <c r="G187" s="78" t="str">
        <f ca="1">IFERROR(__xludf.DUMMYFUNCTION("""COMPUTED_VALUE"""),"TCEHY")</f>
        <v>TCEHY</v>
      </c>
      <c r="H187" s="81">
        <f ca="1">IFERROR(__xludf.DUMMYFUNCTION("""COMPUTED_VALUE"""),400)</f>
        <v>400</v>
      </c>
      <c r="I187" s="80"/>
    </row>
    <row r="188" spans="1:9" ht="13" x14ac:dyDescent="0.15">
      <c r="A188" s="5"/>
      <c r="B188" s="82">
        <f ca="1">IFERROR(__xludf.DUMMYFUNCTION("""COMPUTED_VALUE"""),44615.7853606712)</f>
        <v>44615.785360671201</v>
      </c>
      <c r="C188" s="79">
        <f ca="1">IFERROR(__xludf.DUMMYFUNCTION("""COMPUTED_VALUE"""),44615.6666666666)</f>
        <v>44615.666666666599</v>
      </c>
      <c r="D188" s="80" t="str">
        <f ca="1">IFERROR(__xludf.DUMMYFUNCTION("""COMPUTED_VALUE"""),"89750")</f>
        <v>89750</v>
      </c>
      <c r="E188" s="80" t="str">
        <f ca="1">IFERROR(__xludf.DUMMYFUNCTION("""COMPUTED_VALUE"""),"Option")</f>
        <v>Option</v>
      </c>
      <c r="F188" s="80" t="str">
        <f ca="1">IFERROR(__xludf.DUMMYFUNCTION("""COMPUTED_VALUE"""),"USD")</f>
        <v>USD</v>
      </c>
      <c r="G188" s="78" t="str">
        <f ca="1">IFERROR(__xludf.DUMMYFUNCTION("""COMPUTED_VALUE"""),"FUTU220225C00041500")</f>
        <v>FUTU220225C00041500</v>
      </c>
      <c r="H188" s="81">
        <f ca="1">IFERROR(__xludf.DUMMYFUNCTION("""COMPUTED_VALUE"""),100)</f>
        <v>100</v>
      </c>
      <c r="I188" s="80"/>
    </row>
    <row r="189" spans="1:9" ht="13" x14ac:dyDescent="0.15">
      <c r="A189" s="5"/>
      <c r="B189" s="82">
        <f ca="1">IFERROR(__xludf.DUMMYFUNCTION("""COMPUTED_VALUE"""),44615.9367711574)</f>
        <v>44615.936771157401</v>
      </c>
      <c r="C189" s="79">
        <f ca="1">IFERROR(__xludf.DUMMYFUNCTION("""COMPUTED_VALUE"""),44615.6666666666)</f>
        <v>44615.666666666599</v>
      </c>
      <c r="D189" s="80" t="str">
        <f ca="1">IFERROR(__xludf.DUMMYFUNCTION("""COMPUTED_VALUE"""),"46220")</f>
        <v>46220</v>
      </c>
      <c r="E189" s="80" t="str">
        <f ca="1">IFERROR(__xludf.DUMMYFUNCTION("""COMPUTED_VALUE"""),"Stock")</f>
        <v>Stock</v>
      </c>
      <c r="F189" s="80" t="str">
        <f ca="1">IFERROR(__xludf.DUMMYFUNCTION("""COMPUTED_VALUE"""),"USD")</f>
        <v>USD</v>
      </c>
      <c r="G189" s="78" t="str">
        <f ca="1">IFERROR(__xludf.DUMMYFUNCTION("""COMPUTED_VALUE"""),"TSLA")</f>
        <v>TSLA</v>
      </c>
      <c r="H189" s="81">
        <f ca="1">IFERROR(__xludf.DUMMYFUNCTION("""COMPUTED_VALUE"""),20)</f>
        <v>20</v>
      </c>
      <c r="I189" s="80"/>
    </row>
    <row r="190" spans="1:9" ht="13" x14ac:dyDescent="0.15">
      <c r="A190" s="5"/>
      <c r="B190" s="82">
        <f ca="1">IFERROR(__xludf.DUMMYFUNCTION("""COMPUTED_VALUE"""),44615.9390220833)</f>
        <v>44615.939022083301</v>
      </c>
      <c r="C190" s="79">
        <f ca="1">IFERROR(__xludf.DUMMYFUNCTION("""COMPUTED_VALUE"""),44615.6666666666)</f>
        <v>44615.666666666599</v>
      </c>
      <c r="D190" s="80" t="str">
        <f ca="1">IFERROR(__xludf.DUMMYFUNCTION("""COMPUTED_VALUE"""),"46220")</f>
        <v>46220</v>
      </c>
      <c r="E190" s="80" t="str">
        <f ca="1">IFERROR(__xludf.DUMMYFUNCTION("""COMPUTED_VALUE"""),"Stock")</f>
        <v>Stock</v>
      </c>
      <c r="F190" s="80" t="str">
        <f ca="1">IFERROR(__xludf.DUMMYFUNCTION("""COMPUTED_VALUE"""),"USD")</f>
        <v>USD</v>
      </c>
      <c r="G190" s="78" t="str">
        <f ca="1">IFERROR(__xludf.DUMMYFUNCTION("""COMPUTED_VALUE"""),"YINN")</f>
        <v>YINN</v>
      </c>
      <c r="H190" s="81">
        <f ca="1">IFERROR(__xludf.DUMMYFUNCTION("""COMPUTED_VALUE"""),50)</f>
        <v>50</v>
      </c>
      <c r="I190" s="80"/>
    </row>
    <row r="191" spans="1:9" ht="13" x14ac:dyDescent="0.15">
      <c r="A191" s="5"/>
      <c r="B191" s="82">
        <f ca="1">IFERROR(__xludf.DUMMYFUNCTION("""COMPUTED_VALUE"""),44616.0035005092)</f>
        <v>44616.0035005092</v>
      </c>
      <c r="C191" s="79" t="str">
        <f ca="1">IFERROR(__xludf.DUMMYFUNCTION("""COMPUTED_VALUE"""),"")</f>
        <v/>
      </c>
      <c r="D191" s="80" t="str">
        <f ca="1">IFERROR(__xludf.DUMMYFUNCTION("""COMPUTED_VALUE"""),"")</f>
        <v/>
      </c>
      <c r="E191" s="80" t="str">
        <f ca="1">IFERROR(__xludf.DUMMYFUNCTION("""COMPUTED_VALUE"""),"Stock")</f>
        <v>Stock</v>
      </c>
      <c r="F191" s="80" t="str">
        <f ca="1">IFERROR(__xludf.DUMMYFUNCTION("""COMPUTED_VALUE"""),"error")</f>
        <v>error</v>
      </c>
      <c r="G191" s="83" t="str">
        <f ca="1">IFERROR(__xludf.DUMMYFUNCTION("""COMPUTED_VALUE"""),"0941.HK")</f>
        <v>0941.HK</v>
      </c>
      <c r="H191" s="81">
        <f ca="1">IFERROR(__xludf.DUMMYFUNCTION("""COMPUTED_VALUE"""),5)</f>
        <v>5</v>
      </c>
      <c r="I191" s="80" t="str">
        <f ca="1">IFERROR(__xludf.DUMMYFUNCTION("""COMPUTED_VALUE"""),"Order rejected due to wrong account name, code, and not school email")</f>
        <v>Order rejected due to wrong account name, code, and not school email</v>
      </c>
    </row>
    <row r="192" spans="1:9" ht="13" x14ac:dyDescent="0.15">
      <c r="A192" s="5"/>
      <c r="B192" s="82">
        <f ca="1">IFERROR(__xludf.DUMMYFUNCTION("""COMPUTED_VALUE"""),44616.005340706)</f>
        <v>44616.005340705997</v>
      </c>
      <c r="C192" s="79" t="str">
        <f ca="1">IFERROR(__xludf.DUMMYFUNCTION("""COMPUTED_VALUE"""),"")</f>
        <v/>
      </c>
      <c r="D192" s="80" t="str">
        <f ca="1">IFERROR(__xludf.DUMMYFUNCTION("""COMPUTED_VALUE"""),"")</f>
        <v/>
      </c>
      <c r="E192" s="80" t="str">
        <f ca="1">IFERROR(__xludf.DUMMYFUNCTION("""COMPUTED_VALUE"""),"Stock")</f>
        <v>Stock</v>
      </c>
      <c r="F192" s="80" t="str">
        <f ca="1">IFERROR(__xludf.DUMMYFUNCTION("""COMPUTED_VALUE"""),"error")</f>
        <v>error</v>
      </c>
      <c r="G192" s="78" t="str">
        <f ca="1">IFERROR(__xludf.DUMMYFUNCTION("""COMPUTED_VALUE"""),"9988.HKD")</f>
        <v>9988.HKD</v>
      </c>
      <c r="H192" s="81">
        <f ca="1">IFERROR(__xludf.DUMMYFUNCTION("""COMPUTED_VALUE"""),1)</f>
        <v>1</v>
      </c>
      <c r="I192" s="80" t="str">
        <f ca="1">IFERROR(__xludf.DUMMYFUNCTION("""COMPUTED_VALUE"""),"Order rejected due to wrong account name, code, and not school email")</f>
        <v>Order rejected due to wrong account name, code, and not school email</v>
      </c>
    </row>
    <row r="193" spans="1:9" ht="13" x14ac:dyDescent="0.15">
      <c r="A193" s="5"/>
      <c r="B193" s="82">
        <f ca="1">IFERROR(__xludf.DUMMYFUNCTION("""COMPUTED_VALUE"""),44616.0077232986)</f>
        <v>44616.0077232986</v>
      </c>
      <c r="C193" s="79" t="str">
        <f ca="1">IFERROR(__xludf.DUMMYFUNCTION("""COMPUTED_VALUE"""),"")</f>
        <v/>
      </c>
      <c r="D193" s="80" t="str">
        <f ca="1">IFERROR(__xludf.DUMMYFUNCTION("""COMPUTED_VALUE"""),"")</f>
        <v/>
      </c>
      <c r="E193" s="80" t="str">
        <f ca="1">IFERROR(__xludf.DUMMYFUNCTION("""COMPUTED_VALUE"""),"Stock")</f>
        <v>Stock</v>
      </c>
      <c r="F193" s="80" t="str">
        <f ca="1">IFERROR(__xludf.DUMMYFUNCTION("""COMPUTED_VALUE"""),"error")</f>
        <v>error</v>
      </c>
      <c r="G193" s="83" t="str">
        <f ca="1">IFERROR(__xludf.DUMMYFUNCTION("""COMPUTED_VALUE"""),"3047.HK")</f>
        <v>3047.HK</v>
      </c>
      <c r="H193" s="81">
        <f ca="1">IFERROR(__xludf.DUMMYFUNCTION("""COMPUTED_VALUE"""),5)</f>
        <v>5</v>
      </c>
      <c r="I193" s="80" t="str">
        <f ca="1">IFERROR(__xludf.DUMMYFUNCTION("""COMPUTED_VALUE"""),"Order rejected due to wrong account name, code, and not school email")</f>
        <v>Order rejected due to wrong account name, code, and not school email</v>
      </c>
    </row>
    <row r="194" spans="1:9" ht="13" x14ac:dyDescent="0.15">
      <c r="A194" s="5"/>
      <c r="B194" s="82">
        <f ca="1">IFERROR(__xludf.DUMMYFUNCTION("""COMPUTED_VALUE"""),44616.0139321064)</f>
        <v>44616.013932106398</v>
      </c>
      <c r="C194" s="79" t="str">
        <f ca="1">IFERROR(__xludf.DUMMYFUNCTION("""COMPUTED_VALUE"""),"")</f>
        <v/>
      </c>
      <c r="D194" s="80" t="str">
        <f ca="1">IFERROR(__xludf.DUMMYFUNCTION("""COMPUTED_VALUE"""),"")</f>
        <v/>
      </c>
      <c r="E194" s="80" t="str">
        <f ca="1">IFERROR(__xludf.DUMMYFUNCTION("""COMPUTED_VALUE"""),"Stock")</f>
        <v>Stock</v>
      </c>
      <c r="F194" s="80" t="str">
        <f ca="1">IFERROR(__xludf.DUMMYFUNCTION("""COMPUTED_VALUE"""),"error")</f>
        <v>error</v>
      </c>
      <c r="G194" s="83" t="str">
        <f ca="1">IFERROR(__xludf.DUMMYFUNCTION("""COMPUTED_VALUE"""),"9988.HK")</f>
        <v>9988.HK</v>
      </c>
      <c r="H194" s="81">
        <f ca="1">IFERROR(__xludf.DUMMYFUNCTION("""COMPUTED_VALUE"""),2)</f>
        <v>2</v>
      </c>
      <c r="I194" s="80" t="str">
        <f ca="1">IFERROR(__xludf.DUMMYFUNCTION("""COMPUTED_VALUE"""),"Order rejected due to wrong account name, code, and not school email")</f>
        <v>Order rejected due to wrong account name, code, and not school email</v>
      </c>
    </row>
    <row r="195" spans="1:9" ht="13" x14ac:dyDescent="0.15">
      <c r="A195" s="5"/>
      <c r="B195" s="82">
        <f ca="1">IFERROR(__xludf.DUMMYFUNCTION("""COMPUTED_VALUE"""),44616.0283498495)</f>
        <v>44616.028349849497</v>
      </c>
      <c r="C195" s="79" t="str">
        <f ca="1">IFERROR(__xludf.DUMMYFUNCTION("""COMPUTED_VALUE"""),"")</f>
        <v/>
      </c>
      <c r="D195" s="80" t="str">
        <f ca="1">IFERROR(__xludf.DUMMYFUNCTION("""COMPUTED_VALUE"""),"")</f>
        <v/>
      </c>
      <c r="E195" s="80" t="str">
        <f ca="1">IFERROR(__xludf.DUMMYFUNCTION("""COMPUTED_VALUE"""),"Stock")</f>
        <v>Stock</v>
      </c>
      <c r="F195" s="80" t="str">
        <f ca="1">IFERROR(__xludf.DUMMYFUNCTION("""COMPUTED_VALUE"""),"error")</f>
        <v>error</v>
      </c>
      <c r="G195" s="83" t="str">
        <f ca="1">IFERROR(__xludf.DUMMYFUNCTION("""COMPUTED_VALUE"""),"0941.HK")</f>
        <v>0941.HK</v>
      </c>
      <c r="H195" s="81">
        <f ca="1">IFERROR(__xludf.DUMMYFUNCTION("""COMPUTED_VALUE"""),5)</f>
        <v>5</v>
      </c>
      <c r="I195" s="80" t="str">
        <f ca="1">IFERROR(__xludf.DUMMYFUNCTION("""COMPUTED_VALUE"""),"Order rejected due to wrong account name, code, and not school email")</f>
        <v>Order rejected due to wrong account name, code, and not school email</v>
      </c>
    </row>
    <row r="196" spans="1:9" ht="13" x14ac:dyDescent="0.15">
      <c r="A196" s="5"/>
      <c r="B196" s="82">
        <f ca="1">IFERROR(__xludf.DUMMYFUNCTION("""COMPUTED_VALUE"""),44616.0288285995)</f>
        <v>44616.028828599498</v>
      </c>
      <c r="C196" s="79" t="str">
        <f ca="1">IFERROR(__xludf.DUMMYFUNCTION("""COMPUTED_VALUE"""),"")</f>
        <v/>
      </c>
      <c r="D196" s="80" t="str">
        <f ca="1">IFERROR(__xludf.DUMMYFUNCTION("""COMPUTED_VALUE"""),"")</f>
        <v/>
      </c>
      <c r="E196" s="80" t="str">
        <f ca="1">IFERROR(__xludf.DUMMYFUNCTION("""COMPUTED_VALUE"""),"Stock")</f>
        <v>Stock</v>
      </c>
      <c r="F196" s="80" t="str">
        <f ca="1">IFERROR(__xludf.DUMMYFUNCTION("""COMPUTED_VALUE"""),"error")</f>
        <v>error</v>
      </c>
      <c r="G196" s="83" t="str">
        <f ca="1">IFERROR(__xludf.DUMMYFUNCTION("""COMPUTED_VALUE"""),"3047.HK")</f>
        <v>3047.HK</v>
      </c>
      <c r="H196" s="81">
        <f ca="1">IFERROR(__xludf.DUMMYFUNCTION("""COMPUTED_VALUE"""),5)</f>
        <v>5</v>
      </c>
      <c r="I196" s="80" t="str">
        <f ca="1">IFERROR(__xludf.DUMMYFUNCTION("""COMPUTED_VALUE"""),"Order rejected due to wrong account name, code, and not school email")</f>
        <v>Order rejected due to wrong account name, code, and not school email</v>
      </c>
    </row>
    <row r="197" spans="1:9" ht="13" x14ac:dyDescent="0.15">
      <c r="A197" s="5"/>
      <c r="B197" s="82">
        <f ca="1">IFERROR(__xludf.DUMMYFUNCTION("""COMPUTED_VALUE"""),44616.044585081)</f>
        <v>44616.044585080999</v>
      </c>
      <c r="C197" s="79" t="str">
        <f ca="1">IFERROR(__xludf.DUMMYFUNCTION("""COMPUTED_VALUE"""),"")</f>
        <v/>
      </c>
      <c r="D197" s="80" t="str">
        <f ca="1">IFERROR(__xludf.DUMMYFUNCTION("""COMPUTED_VALUE"""),"")</f>
        <v/>
      </c>
      <c r="E197" s="80" t="str">
        <f ca="1">IFERROR(__xludf.DUMMYFUNCTION("""COMPUTED_VALUE"""),"Stock")</f>
        <v>Stock</v>
      </c>
      <c r="F197" s="80" t="str">
        <f ca="1">IFERROR(__xludf.DUMMYFUNCTION("""COMPUTED_VALUE"""),"error")</f>
        <v>error</v>
      </c>
      <c r="G197" s="78" t="str">
        <f ca="1">IFERROR(__xludf.DUMMYFUNCTION("""COMPUTED_VALUE"""),"SOFI")</f>
        <v>SOFI</v>
      </c>
      <c r="H197" s="81">
        <f ca="1">IFERROR(__xludf.DUMMYFUNCTION("""COMPUTED_VALUE"""),10)</f>
        <v>10</v>
      </c>
      <c r="I197" s="80" t="str">
        <f ca="1">IFERROR(__xludf.DUMMYFUNCTION("""COMPUTED_VALUE"""),"Order rejected due to wrong account name, code, and not school email")</f>
        <v>Order rejected due to wrong account name, code, and not school email</v>
      </c>
    </row>
    <row r="198" spans="1:9" ht="13" x14ac:dyDescent="0.15">
      <c r="A198" s="5"/>
      <c r="B198" s="82">
        <f ca="1">IFERROR(__xludf.DUMMYFUNCTION("""COMPUTED_VALUE"""),44616.155501875)</f>
        <v>44616.155501875</v>
      </c>
      <c r="C198" s="79">
        <f ca="1">IFERROR(__xludf.DUMMYFUNCTION("""COMPUTED_VALUE"""),44615.6666666666)</f>
        <v>44615.666666666599</v>
      </c>
      <c r="D198" s="80" t="str">
        <f ca="1">IFERROR(__xludf.DUMMYFUNCTION("""COMPUTED_VALUE"""),"39857")</f>
        <v>39857</v>
      </c>
      <c r="E198" s="80" t="str">
        <f ca="1">IFERROR(__xludf.DUMMYFUNCTION("""COMPUTED_VALUE"""),"Stock")</f>
        <v>Stock</v>
      </c>
      <c r="F198" s="80" t="str">
        <f ca="1">IFERROR(__xludf.DUMMYFUNCTION("""COMPUTED_VALUE"""),"USD")</f>
        <v>USD</v>
      </c>
      <c r="G198" s="78" t="str">
        <f ca="1">IFERROR(__xludf.DUMMYFUNCTION("""COMPUTED_VALUE"""),"TSLA")</f>
        <v>TSLA</v>
      </c>
      <c r="H198" s="81">
        <f ca="1">IFERROR(__xludf.DUMMYFUNCTION("""COMPUTED_VALUE"""),50)</f>
        <v>50</v>
      </c>
      <c r="I198" s="80"/>
    </row>
    <row r="199" spans="1:9" ht="13" x14ac:dyDescent="0.15">
      <c r="A199" s="5"/>
      <c r="B199" s="82">
        <f ca="1">IFERROR(__xludf.DUMMYFUNCTION("""COMPUTED_VALUE"""),44616.437607581)</f>
        <v>44616.437607581</v>
      </c>
      <c r="C199" s="79">
        <f ca="1">IFERROR(__xludf.DUMMYFUNCTION("""COMPUTED_VALUE"""),44616.6666666666)</f>
        <v>44616.666666666599</v>
      </c>
      <c r="D199" s="80" t="str">
        <f ca="1">IFERROR(__xludf.DUMMYFUNCTION("""COMPUTED_VALUE"""),"46322")</f>
        <v>46322</v>
      </c>
      <c r="E199" s="80" t="str">
        <f ca="1">IFERROR(__xludf.DUMMYFUNCTION("""COMPUTED_VALUE"""),"Stock")</f>
        <v>Stock</v>
      </c>
      <c r="F199" s="80" t="str">
        <f ca="1">IFERROR(__xludf.DUMMYFUNCTION("""COMPUTED_VALUE"""),"HKD")</f>
        <v>HKD</v>
      </c>
      <c r="G199" s="83" t="str">
        <f ca="1">IFERROR(__xludf.DUMMYFUNCTION("""COMPUTED_VALUE"""),"3047.HK")</f>
        <v>3047.HK</v>
      </c>
      <c r="H199" s="81">
        <f ca="1">IFERROR(__xludf.DUMMYFUNCTION("""COMPUTED_VALUE"""),5)</f>
        <v>5</v>
      </c>
      <c r="I199" s="80"/>
    </row>
    <row r="200" spans="1:9" ht="13" x14ac:dyDescent="0.15">
      <c r="A200" s="5"/>
      <c r="B200" s="82">
        <f ca="1">IFERROR(__xludf.DUMMYFUNCTION("""COMPUTED_VALUE"""),44616.4384524768)</f>
        <v>44616.438452476803</v>
      </c>
      <c r="C200" s="79">
        <f ca="1">IFERROR(__xludf.DUMMYFUNCTION("""COMPUTED_VALUE"""),44616.6666666666)</f>
        <v>44616.666666666599</v>
      </c>
      <c r="D200" s="80" t="str">
        <f ca="1">IFERROR(__xludf.DUMMYFUNCTION("""COMPUTED_VALUE"""),"46322")</f>
        <v>46322</v>
      </c>
      <c r="E200" s="80" t="str">
        <f ca="1">IFERROR(__xludf.DUMMYFUNCTION("""COMPUTED_VALUE"""),"Stock")</f>
        <v>Stock</v>
      </c>
      <c r="F200" s="80" t="str">
        <f ca="1">IFERROR(__xludf.DUMMYFUNCTION("""COMPUTED_VALUE"""),"HKD")</f>
        <v>HKD</v>
      </c>
      <c r="G200" s="83" t="str">
        <f ca="1">IFERROR(__xludf.DUMMYFUNCTION("""COMPUTED_VALUE"""),"9988.HK")</f>
        <v>9988.HK</v>
      </c>
      <c r="H200" s="81">
        <f ca="1">IFERROR(__xludf.DUMMYFUNCTION("""COMPUTED_VALUE"""),2)</f>
        <v>2</v>
      </c>
      <c r="I200" s="80"/>
    </row>
    <row r="201" spans="1:9" ht="13" x14ac:dyDescent="0.15">
      <c r="A201" s="5"/>
      <c r="B201" s="82">
        <f ca="1">IFERROR(__xludf.DUMMYFUNCTION("""COMPUTED_VALUE"""),44616.4404634722)</f>
        <v>44616.440463472201</v>
      </c>
      <c r="C201" s="79">
        <f ca="1">IFERROR(__xludf.DUMMYFUNCTION("""COMPUTED_VALUE"""),44616.6666666666)</f>
        <v>44616.666666666599</v>
      </c>
      <c r="D201" s="80" t="str">
        <f ca="1">IFERROR(__xludf.DUMMYFUNCTION("""COMPUTED_VALUE"""),"46322")</f>
        <v>46322</v>
      </c>
      <c r="E201" s="80" t="str">
        <f ca="1">IFERROR(__xludf.DUMMYFUNCTION("""COMPUTED_VALUE"""),"Stock")</f>
        <v>Stock</v>
      </c>
      <c r="F201" s="80" t="str">
        <f ca="1">IFERROR(__xludf.DUMMYFUNCTION("""COMPUTED_VALUE"""),"HKD")</f>
        <v>HKD</v>
      </c>
      <c r="G201" s="83" t="str">
        <f ca="1">IFERROR(__xludf.DUMMYFUNCTION("""COMPUTED_VALUE"""),"0941.HK")</f>
        <v>0941.HK</v>
      </c>
      <c r="H201" s="81">
        <f ca="1">IFERROR(__xludf.DUMMYFUNCTION("""COMPUTED_VALUE"""),2)</f>
        <v>2</v>
      </c>
      <c r="I201" s="80"/>
    </row>
    <row r="202" spans="1:9" ht="13" x14ac:dyDescent="0.15">
      <c r="A202" s="5"/>
      <c r="B202" s="82">
        <f ca="1">IFERROR(__xludf.DUMMYFUNCTION("""COMPUTED_VALUE"""),44616.4595580439)</f>
        <v>44616.459558043898</v>
      </c>
      <c r="C202" s="79">
        <f ca="1">IFERROR(__xludf.DUMMYFUNCTION("""COMPUTED_VALUE"""),44616.6666666666)</f>
        <v>44616.666666666599</v>
      </c>
      <c r="D202" s="80" t="str">
        <f ca="1">IFERROR(__xludf.DUMMYFUNCTION("""COMPUTED_VALUE"""),"36460")</f>
        <v>36460</v>
      </c>
      <c r="E202" s="80" t="str">
        <f ca="1">IFERROR(__xludf.DUMMYFUNCTION("""COMPUTED_VALUE"""),"Stock")</f>
        <v>Stock</v>
      </c>
      <c r="F202" s="80" t="str">
        <f ca="1">IFERROR(__xludf.DUMMYFUNCTION("""COMPUTED_VALUE"""),"USD")</f>
        <v>USD</v>
      </c>
      <c r="G202" s="78" t="str">
        <f ca="1">IFERROR(__xludf.DUMMYFUNCTION("""COMPUTED_VALUE"""),"TSLA")</f>
        <v>TSLA</v>
      </c>
      <c r="H202" s="81">
        <f ca="1">IFERROR(__xludf.DUMMYFUNCTION("""COMPUTED_VALUE"""),100)</f>
        <v>100</v>
      </c>
      <c r="I202" s="80" t="str">
        <f ca="1">IFERROR(__xludf.DUMMYFUNCTION("""COMPUTED_VALUE"""),"Trader input as ""Limit Sell @ 900"" contradicting trade. System correct to 900")</f>
        <v>Trader input as "Limit Sell @ 900" contradicting trade. System correct to 900</v>
      </c>
    </row>
    <row r="203" spans="1:9" ht="13" x14ac:dyDescent="0.15">
      <c r="A203" s="5"/>
      <c r="B203" s="82">
        <f ca="1">IFERROR(__xludf.DUMMYFUNCTION("""COMPUTED_VALUE"""),44616.5377294791)</f>
        <v>44616.537729479103</v>
      </c>
      <c r="C203" s="79">
        <f ca="1">IFERROR(__xludf.DUMMYFUNCTION("""COMPUTED_VALUE"""),44616.625)</f>
        <v>44616.625</v>
      </c>
      <c r="D203" s="80" t="str">
        <f ca="1">IFERROR(__xludf.DUMMYFUNCTION("""COMPUTED_VALUE"""),"76369")</f>
        <v>76369</v>
      </c>
      <c r="E203" s="80" t="str">
        <f ca="1">IFERROR(__xludf.DUMMYFUNCTION("""COMPUTED_VALUE"""),"Stock")</f>
        <v>Stock</v>
      </c>
      <c r="F203" s="80" t="str">
        <f ca="1">IFERROR(__xludf.DUMMYFUNCTION("""COMPUTED_VALUE"""),"CNY")</f>
        <v>CNY</v>
      </c>
      <c r="G203" s="83" t="str">
        <f ca="1">IFERROR(__xludf.DUMMYFUNCTION("""COMPUTED_VALUE"""),"002665.SZ")</f>
        <v>002665.SZ</v>
      </c>
      <c r="H203" s="81">
        <f ca="1">IFERROR(__xludf.DUMMYFUNCTION("""COMPUTED_VALUE"""),1000)</f>
        <v>1000</v>
      </c>
      <c r="I203" s="80"/>
    </row>
    <row r="204" spans="1:9" ht="13" x14ac:dyDescent="0.15">
      <c r="A204" s="5"/>
      <c r="B204" s="82">
        <f ca="1">IFERROR(__xludf.DUMMYFUNCTION("""COMPUTED_VALUE"""),44616.5414932291)</f>
        <v>44616.541493229102</v>
      </c>
      <c r="C204" s="79">
        <f ca="1">IFERROR(__xludf.DUMMYFUNCTION("""COMPUTED_VALUE"""),44616.625)</f>
        <v>44616.625</v>
      </c>
      <c r="D204" s="80" t="str">
        <f ca="1">IFERROR(__xludf.DUMMYFUNCTION("""COMPUTED_VALUE"""),"76369")</f>
        <v>76369</v>
      </c>
      <c r="E204" s="80" t="str">
        <f ca="1">IFERROR(__xludf.DUMMYFUNCTION("""COMPUTED_VALUE"""),"Stock")</f>
        <v>Stock</v>
      </c>
      <c r="F204" s="80" t="str">
        <f ca="1">IFERROR(__xludf.DUMMYFUNCTION("""COMPUTED_VALUE"""),"CNY")</f>
        <v>CNY</v>
      </c>
      <c r="G204" s="83" t="str">
        <f ca="1">IFERROR(__xludf.DUMMYFUNCTION("""COMPUTED_VALUE"""),"000554.SZ")</f>
        <v>000554.SZ</v>
      </c>
      <c r="H204" s="81">
        <f ca="1">IFERROR(__xludf.DUMMYFUNCTION("""COMPUTED_VALUE"""),1000)</f>
        <v>1000</v>
      </c>
      <c r="I204" s="80"/>
    </row>
    <row r="205" spans="1:9" ht="13" x14ac:dyDescent="0.15">
      <c r="A205" s="5"/>
      <c r="B205" s="82">
        <f ca="1">IFERROR(__xludf.DUMMYFUNCTION("""COMPUTED_VALUE"""),44616.5428689351)</f>
        <v>44616.542868935103</v>
      </c>
      <c r="C205" s="79">
        <f ca="1">IFERROR(__xludf.DUMMYFUNCTION("""COMPUTED_VALUE"""),44616.625)</f>
        <v>44616.625</v>
      </c>
      <c r="D205" s="80" t="str">
        <f ca="1">IFERROR(__xludf.DUMMYFUNCTION("""COMPUTED_VALUE"""),"76369")</f>
        <v>76369</v>
      </c>
      <c r="E205" s="80" t="str">
        <f ca="1">IFERROR(__xludf.DUMMYFUNCTION("""COMPUTED_VALUE"""),"Stock")</f>
        <v>Stock</v>
      </c>
      <c r="F205" s="80" t="str">
        <f ca="1">IFERROR(__xludf.DUMMYFUNCTION("""COMPUTED_VALUE"""),"CNY")</f>
        <v>CNY</v>
      </c>
      <c r="G205" s="83" t="str">
        <f ca="1">IFERROR(__xludf.DUMMYFUNCTION("""COMPUTED_VALUE"""),"300945.SZ")</f>
        <v>300945.SZ</v>
      </c>
      <c r="H205" s="81">
        <f ca="1">IFERROR(__xludf.DUMMYFUNCTION("""COMPUTED_VALUE"""),1000)</f>
        <v>1000</v>
      </c>
      <c r="I205" s="80"/>
    </row>
    <row r="206" spans="1:9" ht="13" x14ac:dyDescent="0.15">
      <c r="A206" s="5"/>
      <c r="B206" s="82">
        <f ca="1">IFERROR(__xludf.DUMMYFUNCTION("""COMPUTED_VALUE"""),44616.5524057523)</f>
        <v>44616.5524057523</v>
      </c>
      <c r="C206" s="79">
        <f ca="1">IFERROR(__xludf.DUMMYFUNCTION("""COMPUTED_VALUE"""),44616.625)</f>
        <v>44616.625</v>
      </c>
      <c r="D206" s="80" t="str">
        <f ca="1">IFERROR(__xludf.DUMMYFUNCTION("""COMPUTED_VALUE"""),"76369")</f>
        <v>76369</v>
      </c>
      <c r="E206" s="80" t="str">
        <f ca="1">IFERROR(__xludf.DUMMYFUNCTION("""COMPUTED_VALUE"""),"Stock")</f>
        <v>Stock</v>
      </c>
      <c r="F206" s="80" t="str">
        <f ca="1">IFERROR(__xludf.DUMMYFUNCTION("""COMPUTED_VALUE"""),"CNY")</f>
        <v>CNY</v>
      </c>
      <c r="G206" s="83" t="str">
        <f ca="1">IFERROR(__xludf.DUMMYFUNCTION("""COMPUTED_VALUE"""),"601808.SS")</f>
        <v>601808.SS</v>
      </c>
      <c r="H206" s="81">
        <f ca="1">IFERROR(__xludf.DUMMYFUNCTION("""COMPUTED_VALUE"""),1000)</f>
        <v>1000</v>
      </c>
      <c r="I206" s="80"/>
    </row>
    <row r="207" spans="1:9" ht="13" x14ac:dyDescent="0.15">
      <c r="A207" s="5"/>
      <c r="B207" s="82">
        <f ca="1">IFERROR(__xludf.DUMMYFUNCTION("""COMPUTED_VALUE"""),44616.5622723842)</f>
        <v>44616.562272384203</v>
      </c>
      <c r="C207" s="79">
        <f ca="1">IFERROR(__xludf.DUMMYFUNCTION("""COMPUTED_VALUE"""),44616.625)</f>
        <v>44616.625</v>
      </c>
      <c r="D207" s="80" t="str">
        <f ca="1">IFERROR(__xludf.DUMMYFUNCTION("""COMPUTED_VALUE"""),"76369")</f>
        <v>76369</v>
      </c>
      <c r="E207" s="80" t="str">
        <f ca="1">IFERROR(__xludf.DUMMYFUNCTION("""COMPUTED_VALUE"""),"Stock")</f>
        <v>Stock</v>
      </c>
      <c r="F207" s="80" t="str">
        <f ca="1">IFERROR(__xludf.DUMMYFUNCTION("""COMPUTED_VALUE"""),"CNY")</f>
        <v>CNY</v>
      </c>
      <c r="G207" s="83" t="str">
        <f ca="1">IFERROR(__xludf.DUMMYFUNCTION("""COMPUTED_VALUE"""),"601808.SS")</f>
        <v>601808.SS</v>
      </c>
      <c r="H207" s="81">
        <f ca="1">IFERROR(__xludf.DUMMYFUNCTION("""COMPUTED_VALUE"""),1000)</f>
        <v>1000</v>
      </c>
      <c r="I207" s="80"/>
    </row>
    <row r="208" spans="1:9" ht="13" x14ac:dyDescent="0.15">
      <c r="A208" s="5"/>
      <c r="B208" s="82">
        <f ca="1">IFERROR(__xludf.DUMMYFUNCTION("""COMPUTED_VALUE"""),44616.5821097106)</f>
        <v>44616.582109710602</v>
      </c>
      <c r="C208" s="79">
        <f ca="1">IFERROR(__xludf.DUMMYFUNCTION("""COMPUTED_VALUE"""),44616.625)</f>
        <v>44616.625</v>
      </c>
      <c r="D208" s="80" t="str">
        <f ca="1">IFERROR(__xludf.DUMMYFUNCTION("""COMPUTED_VALUE"""),"76369")</f>
        <v>76369</v>
      </c>
      <c r="E208" s="80" t="str">
        <f ca="1">IFERROR(__xludf.DUMMYFUNCTION("""COMPUTED_VALUE"""),"Stock")</f>
        <v>Stock</v>
      </c>
      <c r="F208" s="80" t="str">
        <f ca="1">IFERROR(__xludf.DUMMYFUNCTION("""COMPUTED_VALUE"""),"CNY")</f>
        <v>CNY</v>
      </c>
      <c r="G208" s="83" t="str">
        <f ca="1">IFERROR(__xludf.DUMMYFUNCTION("""COMPUTED_VALUE"""),"300922.SZ")</f>
        <v>300922.SZ</v>
      </c>
      <c r="H208" s="81">
        <f ca="1">IFERROR(__xludf.DUMMYFUNCTION("""COMPUTED_VALUE"""),1000)</f>
        <v>1000</v>
      </c>
      <c r="I208" s="80"/>
    </row>
    <row r="209" spans="1:9" ht="13" x14ac:dyDescent="0.15">
      <c r="A209" s="5"/>
      <c r="B209" s="82">
        <f ca="1">IFERROR(__xludf.DUMMYFUNCTION("""COMPUTED_VALUE"""),44616.5876341203)</f>
        <v>44616.587634120297</v>
      </c>
      <c r="C209" s="79">
        <f ca="1">IFERROR(__xludf.DUMMYFUNCTION("""COMPUTED_VALUE"""),44616.625)</f>
        <v>44616.625</v>
      </c>
      <c r="D209" s="80" t="str">
        <f ca="1">IFERROR(__xludf.DUMMYFUNCTION("""COMPUTED_VALUE"""),"76369")</f>
        <v>76369</v>
      </c>
      <c r="E209" s="80" t="str">
        <f ca="1">IFERROR(__xludf.DUMMYFUNCTION("""COMPUTED_VALUE"""),"Stock")</f>
        <v>Stock</v>
      </c>
      <c r="F209" s="80" t="str">
        <f ca="1">IFERROR(__xludf.DUMMYFUNCTION("""COMPUTED_VALUE"""),"CNY")</f>
        <v>CNY</v>
      </c>
      <c r="G209" s="83" t="str">
        <f ca="1">IFERROR(__xludf.DUMMYFUNCTION("""COMPUTED_VALUE"""),"300922.SZ")</f>
        <v>300922.SZ</v>
      </c>
      <c r="H209" s="81">
        <f ca="1">IFERROR(__xludf.DUMMYFUNCTION("""COMPUTED_VALUE"""),500)</f>
        <v>500</v>
      </c>
      <c r="I209" s="80"/>
    </row>
    <row r="210" spans="1:9" ht="13" x14ac:dyDescent="0.15">
      <c r="A210" s="5"/>
      <c r="B210" s="82">
        <f ca="1">IFERROR(__xludf.DUMMYFUNCTION("""COMPUTED_VALUE"""),44616.590545706)</f>
        <v>44616.590545706</v>
      </c>
      <c r="C210" s="79" t="str">
        <f ca="1">IFERROR(__xludf.DUMMYFUNCTION("""COMPUTED_VALUE"""),"")</f>
        <v/>
      </c>
      <c r="D210" s="80" t="str">
        <f ca="1">IFERROR(__xludf.DUMMYFUNCTION("""COMPUTED_VALUE"""),"39857")</f>
        <v>39857</v>
      </c>
      <c r="E210" s="80" t="str">
        <f ca="1">IFERROR(__xludf.DUMMYFUNCTION("""COMPUTED_VALUE"""),"Stock")</f>
        <v>Stock</v>
      </c>
      <c r="F210" s="80" t="str">
        <f ca="1">IFERROR(__xludf.DUMMYFUNCTION("""COMPUTED_VALUE"""),"error")</f>
        <v>error</v>
      </c>
      <c r="G210" s="78" t="str">
        <f ca="1">IFERROR(__xludf.DUMMYFUNCTION("""COMPUTED_VALUE"""),"00388")</f>
        <v>00388</v>
      </c>
      <c r="H210" s="81">
        <f ca="1">IFERROR(__xludf.DUMMYFUNCTION("""COMPUTED_VALUE"""),700)</f>
        <v>700</v>
      </c>
      <c r="I210" s="80" t="str">
        <f ca="1">IFERROR(__xludf.DUMMYFUNCTION("""COMPUTED_VALUE"""),"Order rejected due to wrong ticker code. just need to type in  0388.HK")</f>
        <v>Order rejected due to wrong ticker code. just need to type in  0388.HK</v>
      </c>
    </row>
    <row r="211" spans="1:9" ht="13" x14ac:dyDescent="0.15">
      <c r="A211" s="5"/>
      <c r="B211" s="82">
        <f ca="1">IFERROR(__xludf.DUMMYFUNCTION("""COMPUTED_VALUE"""),44616.683576956)</f>
        <v>44616.683576955998</v>
      </c>
      <c r="C211" s="79">
        <f ca="1">IFERROR(__xludf.DUMMYFUNCTION("""COMPUTED_VALUE"""),44616.6666666666)</f>
        <v>44616.666666666599</v>
      </c>
      <c r="D211" s="80" t="str">
        <f ca="1">IFERROR(__xludf.DUMMYFUNCTION("""COMPUTED_VALUE"""),"36460")</f>
        <v>36460</v>
      </c>
      <c r="E211" s="80" t="str">
        <f ca="1">IFERROR(__xludf.DUMMYFUNCTION("""COMPUTED_VALUE"""),"Stock")</f>
        <v>Stock</v>
      </c>
      <c r="F211" s="80" t="str">
        <f ca="1">IFERROR(__xludf.DUMMYFUNCTION("""COMPUTED_VALUE"""),"USD")</f>
        <v>USD</v>
      </c>
      <c r="G211" s="78" t="str">
        <f ca="1">IFERROR(__xludf.DUMMYFUNCTION("""COMPUTED_VALUE"""),"CL=F")</f>
        <v>CL=F</v>
      </c>
      <c r="H211" s="81">
        <f ca="1">IFERROR(__xludf.DUMMYFUNCTION("""COMPUTED_VALUE"""),200)</f>
        <v>200</v>
      </c>
      <c r="I211" s="80" t="str">
        <f ca="1">IFERROR(__xludf.DUMMYFUNCTION("""COMPUTED_VALUE"""),"Trader input as ""Limit Sell @ 120"" contradicting trade. System correct to 120")</f>
        <v>Trader input as "Limit Sell @ 120" contradicting trade. System correct to 120</v>
      </c>
    </row>
    <row r="212" spans="1:9" ht="13" x14ac:dyDescent="0.15">
      <c r="A212" s="5"/>
      <c r="B212" s="82">
        <f ca="1">IFERROR(__xludf.DUMMYFUNCTION("""COMPUTED_VALUE"""),44616.6846247569)</f>
        <v>44616.684624756897</v>
      </c>
      <c r="C212" s="79">
        <f ca="1">IFERROR(__xludf.DUMMYFUNCTION("""COMPUTED_VALUE"""),44616.6666666666)</f>
        <v>44616.666666666599</v>
      </c>
      <c r="D212" s="80" t="str">
        <f ca="1">IFERROR(__xludf.DUMMYFUNCTION("""COMPUTED_VALUE"""),"46220")</f>
        <v>46220</v>
      </c>
      <c r="E212" s="80" t="str">
        <f ca="1">IFERROR(__xludf.DUMMYFUNCTION("""COMPUTED_VALUE"""),"Stock")</f>
        <v>Stock</v>
      </c>
      <c r="F212" s="80" t="str">
        <f ca="1">IFERROR(__xludf.DUMMYFUNCTION("""COMPUTED_VALUE"""),"USD")</f>
        <v>USD</v>
      </c>
      <c r="G212" s="78" t="str">
        <f ca="1">IFERROR(__xludf.DUMMYFUNCTION("""COMPUTED_VALUE"""),"AMZN")</f>
        <v>AMZN</v>
      </c>
      <c r="H212" s="81">
        <f ca="1">IFERROR(__xludf.DUMMYFUNCTION("""COMPUTED_VALUE"""),20)</f>
        <v>20</v>
      </c>
      <c r="I212" s="80"/>
    </row>
    <row r="213" spans="1:9" ht="13" x14ac:dyDescent="0.15">
      <c r="A213" s="5"/>
      <c r="B213" s="82">
        <f ca="1">IFERROR(__xludf.DUMMYFUNCTION("""COMPUTED_VALUE"""),44616.7255171759)</f>
        <v>44616.725517175902</v>
      </c>
      <c r="C213" s="79">
        <f ca="1">IFERROR(__xludf.DUMMYFUNCTION("""COMPUTED_VALUE"""),44617.6666666666)</f>
        <v>44617.666666666599</v>
      </c>
      <c r="D213" s="80" t="str">
        <f ca="1">IFERROR(__xludf.DUMMYFUNCTION("""COMPUTED_VALUE"""),"76848")</f>
        <v>76848</v>
      </c>
      <c r="E213" s="80" t="str">
        <f ca="1">IFERROR(__xludf.DUMMYFUNCTION("""COMPUTED_VALUE"""),"Stock")</f>
        <v>Stock</v>
      </c>
      <c r="F213" s="80" t="str">
        <f ca="1">IFERROR(__xludf.DUMMYFUNCTION("""COMPUTED_VALUE"""),"HKD")</f>
        <v>HKD</v>
      </c>
      <c r="G213" s="83" t="str">
        <f ca="1">IFERROR(__xludf.DUMMYFUNCTION("""COMPUTED_VALUE"""),"1398.HK")</f>
        <v>1398.HK</v>
      </c>
      <c r="H213" s="81">
        <f ca="1">IFERROR(__xludf.DUMMYFUNCTION("""COMPUTED_VALUE"""),1000)</f>
        <v>1000</v>
      </c>
      <c r="I213" s="80"/>
    </row>
    <row r="214" spans="1:9" ht="13" x14ac:dyDescent="0.15">
      <c r="A214" s="5"/>
      <c r="B214" s="82">
        <f ca="1">IFERROR(__xludf.DUMMYFUNCTION("""COMPUTED_VALUE"""),44616.7262198032)</f>
        <v>44616.726219803197</v>
      </c>
      <c r="C214" s="79">
        <f ca="1">IFERROR(__xludf.DUMMYFUNCTION("""COMPUTED_VALUE"""),44617.6666666666)</f>
        <v>44617.666666666599</v>
      </c>
      <c r="D214" s="80" t="str">
        <f ca="1">IFERROR(__xludf.DUMMYFUNCTION("""COMPUTED_VALUE"""),"74356")</f>
        <v>74356</v>
      </c>
      <c r="E214" s="80" t="str">
        <f ca="1">IFERROR(__xludf.DUMMYFUNCTION("""COMPUTED_VALUE"""),"Stock")</f>
        <v>Stock</v>
      </c>
      <c r="F214" s="80" t="str">
        <f ca="1">IFERROR(__xludf.DUMMYFUNCTION("""COMPUTED_VALUE"""),"HKD")</f>
        <v>HKD</v>
      </c>
      <c r="G214" s="83" t="str">
        <f ca="1">IFERROR(__xludf.DUMMYFUNCTION("""COMPUTED_VALUE"""),"1398.HK")</f>
        <v>1398.HK</v>
      </c>
      <c r="H214" s="81">
        <f ca="1">IFERROR(__xludf.DUMMYFUNCTION("""COMPUTED_VALUE"""),1000)</f>
        <v>1000</v>
      </c>
      <c r="I214" s="80"/>
    </row>
    <row r="215" spans="1:9" ht="13" x14ac:dyDescent="0.15">
      <c r="A215" s="5"/>
      <c r="B215" s="82">
        <f ca="1">IFERROR(__xludf.DUMMYFUNCTION("""COMPUTED_VALUE"""),44616.7365010416)</f>
        <v>44616.736501041603</v>
      </c>
      <c r="C215" s="79">
        <f ca="1">IFERROR(__xludf.DUMMYFUNCTION("""COMPUTED_VALUE"""),44616.6666666666)</f>
        <v>44616.666666666599</v>
      </c>
      <c r="D215" s="80" t="str">
        <f ca="1">IFERROR(__xludf.DUMMYFUNCTION("""COMPUTED_VALUE"""),"74356")</f>
        <v>74356</v>
      </c>
      <c r="E215" s="80" t="str">
        <f ca="1">IFERROR(__xludf.DUMMYFUNCTION("""COMPUTED_VALUE"""),"Stock")</f>
        <v>Stock</v>
      </c>
      <c r="F215" s="80" t="str">
        <f ca="1">IFERROR(__xludf.DUMMYFUNCTION("""COMPUTED_VALUE"""),"USD")</f>
        <v>USD</v>
      </c>
      <c r="G215" s="78" t="str">
        <f ca="1">IFERROR(__xludf.DUMMYFUNCTION("""COMPUTED_VALUE"""),"CL=F")</f>
        <v>CL=F</v>
      </c>
      <c r="H215" s="81">
        <f ca="1">IFERROR(__xludf.DUMMYFUNCTION("""COMPUTED_VALUE"""),100)</f>
        <v>100</v>
      </c>
      <c r="I215" s="80"/>
    </row>
    <row r="216" spans="1:9" ht="13" x14ac:dyDescent="0.15">
      <c r="A216" s="5"/>
      <c r="B216" s="82">
        <f ca="1">IFERROR(__xludf.DUMMYFUNCTION("""COMPUTED_VALUE"""),44616.7365448842)</f>
        <v>44616.736544884203</v>
      </c>
      <c r="C216" s="79">
        <f ca="1">IFERROR(__xludf.DUMMYFUNCTION("""COMPUTED_VALUE"""),44616.6666666666)</f>
        <v>44616.666666666599</v>
      </c>
      <c r="D216" s="80" t="str">
        <f ca="1">IFERROR(__xludf.DUMMYFUNCTION("""COMPUTED_VALUE"""),"76848")</f>
        <v>76848</v>
      </c>
      <c r="E216" s="80" t="str">
        <f ca="1">IFERROR(__xludf.DUMMYFUNCTION("""COMPUTED_VALUE"""),"Stock")</f>
        <v>Stock</v>
      </c>
      <c r="F216" s="80" t="str">
        <f ca="1">IFERROR(__xludf.DUMMYFUNCTION("""COMPUTED_VALUE"""),"USD")</f>
        <v>USD</v>
      </c>
      <c r="G216" s="78" t="str">
        <f ca="1">IFERROR(__xludf.DUMMYFUNCTION("""COMPUTED_VALUE"""),"CL=F")</f>
        <v>CL=F</v>
      </c>
      <c r="H216" s="81">
        <f ca="1">IFERROR(__xludf.DUMMYFUNCTION("""COMPUTED_VALUE"""),100)</f>
        <v>100</v>
      </c>
      <c r="I216" s="80"/>
    </row>
    <row r="217" spans="1:9" ht="13" x14ac:dyDescent="0.15">
      <c r="A217" s="5"/>
      <c r="B217" s="82">
        <f ca="1">IFERROR(__xludf.DUMMYFUNCTION("""COMPUTED_VALUE"""),44616.7412780208)</f>
        <v>44616.741278020803</v>
      </c>
      <c r="C217" s="79">
        <f ca="1">IFERROR(__xludf.DUMMYFUNCTION("""COMPUTED_VALUE"""),44616.6666666666)</f>
        <v>44616.666666666599</v>
      </c>
      <c r="D217" s="80" t="str">
        <f ca="1">IFERROR(__xludf.DUMMYFUNCTION("""COMPUTED_VALUE"""),"74356")</f>
        <v>74356</v>
      </c>
      <c r="E217" s="80" t="str">
        <f ca="1">IFERROR(__xludf.DUMMYFUNCTION("""COMPUTED_VALUE"""),"Stock")</f>
        <v>Stock</v>
      </c>
      <c r="F217" s="80" t="str">
        <f ca="1">IFERROR(__xludf.DUMMYFUNCTION("""COMPUTED_VALUE"""),"USD")</f>
        <v>USD</v>
      </c>
      <c r="G217" s="78" t="str">
        <f ca="1">IFERROR(__xludf.DUMMYFUNCTION("""COMPUTED_VALUE"""),"NET")</f>
        <v>NET</v>
      </c>
      <c r="H217" s="81">
        <f ca="1">IFERROR(__xludf.DUMMYFUNCTION("""COMPUTED_VALUE"""),10)</f>
        <v>10</v>
      </c>
      <c r="I217" s="80"/>
    </row>
    <row r="218" spans="1:9" ht="13" x14ac:dyDescent="0.15">
      <c r="A218" s="5"/>
      <c r="B218" s="82">
        <f ca="1">IFERROR(__xludf.DUMMYFUNCTION("""COMPUTED_VALUE"""),44616.7431723611)</f>
        <v>44616.743172361101</v>
      </c>
      <c r="C218" s="79">
        <f ca="1">IFERROR(__xludf.DUMMYFUNCTION("""COMPUTED_VALUE"""),44616.6666666666)</f>
        <v>44616.666666666599</v>
      </c>
      <c r="D218" s="80" t="str">
        <f ca="1">IFERROR(__xludf.DUMMYFUNCTION("""COMPUTED_VALUE"""),"76848")</f>
        <v>76848</v>
      </c>
      <c r="E218" s="80" t="str">
        <f ca="1">IFERROR(__xludf.DUMMYFUNCTION("""COMPUTED_VALUE"""),"Stock")</f>
        <v>Stock</v>
      </c>
      <c r="F218" s="80" t="str">
        <f ca="1">IFERROR(__xludf.DUMMYFUNCTION("""COMPUTED_VALUE"""),"USD")</f>
        <v>USD</v>
      </c>
      <c r="G218" s="78" t="str">
        <f ca="1">IFERROR(__xludf.DUMMYFUNCTION("""COMPUTED_VALUE"""),"NET")</f>
        <v>NET</v>
      </c>
      <c r="H218" s="81">
        <f ca="1">IFERROR(__xludf.DUMMYFUNCTION("""COMPUTED_VALUE"""),10)</f>
        <v>10</v>
      </c>
      <c r="I218" s="80"/>
    </row>
    <row r="219" spans="1:9" ht="13" x14ac:dyDescent="0.15">
      <c r="A219" s="5"/>
      <c r="B219" s="82">
        <f ca="1">IFERROR(__xludf.DUMMYFUNCTION("""COMPUTED_VALUE"""),44616.7966830902)</f>
        <v>44616.796683090201</v>
      </c>
      <c r="C219" s="79">
        <f ca="1">IFERROR(__xludf.DUMMYFUNCTION("""COMPUTED_VALUE"""),44617.625)</f>
        <v>44617.625</v>
      </c>
      <c r="D219" s="80" t="str">
        <f ca="1">IFERROR(__xludf.DUMMYFUNCTION("""COMPUTED_VALUE"""),"74356")</f>
        <v>74356</v>
      </c>
      <c r="E219" s="80" t="str">
        <f ca="1">IFERROR(__xludf.DUMMYFUNCTION("""COMPUTED_VALUE"""),"Stock")</f>
        <v>Stock</v>
      </c>
      <c r="F219" s="80" t="str">
        <f ca="1">IFERROR(__xludf.DUMMYFUNCTION("""COMPUTED_VALUE"""),"CNY")</f>
        <v>CNY</v>
      </c>
      <c r="G219" s="83" t="str">
        <f ca="1">IFERROR(__xludf.DUMMYFUNCTION("""COMPUTED_VALUE"""),"300157.SZ")</f>
        <v>300157.SZ</v>
      </c>
      <c r="H219" s="81">
        <f ca="1">IFERROR(__xludf.DUMMYFUNCTION("""COMPUTED_VALUE"""),500)</f>
        <v>500</v>
      </c>
      <c r="I219" s="80"/>
    </row>
    <row r="220" spans="1:9" ht="13" x14ac:dyDescent="0.15">
      <c r="A220" s="5"/>
      <c r="B220" s="82">
        <f ca="1">IFERROR(__xludf.DUMMYFUNCTION("""COMPUTED_VALUE"""),44616.7973248842)</f>
        <v>44616.797324884203</v>
      </c>
      <c r="C220" s="79">
        <f ca="1">IFERROR(__xludf.DUMMYFUNCTION("""COMPUTED_VALUE"""),44617.625)</f>
        <v>44617.625</v>
      </c>
      <c r="D220" s="80" t="str">
        <f ca="1">IFERROR(__xludf.DUMMYFUNCTION("""COMPUTED_VALUE"""),"76848")</f>
        <v>76848</v>
      </c>
      <c r="E220" s="80" t="str">
        <f ca="1">IFERROR(__xludf.DUMMYFUNCTION("""COMPUTED_VALUE"""),"Stock")</f>
        <v>Stock</v>
      </c>
      <c r="F220" s="80" t="str">
        <f ca="1">IFERROR(__xludf.DUMMYFUNCTION("""COMPUTED_VALUE"""),"CNY")</f>
        <v>CNY</v>
      </c>
      <c r="G220" s="83" t="str">
        <f ca="1">IFERROR(__xludf.DUMMYFUNCTION("""COMPUTED_VALUE"""),"300157.SZ")</f>
        <v>300157.SZ</v>
      </c>
      <c r="H220" s="81">
        <f ca="1">IFERROR(__xludf.DUMMYFUNCTION("""COMPUTED_VALUE"""),500)</f>
        <v>500</v>
      </c>
      <c r="I220" s="80"/>
    </row>
    <row r="221" spans="1:9" ht="13" x14ac:dyDescent="0.15">
      <c r="A221" s="5"/>
      <c r="B221" s="82">
        <f ca="1">IFERROR(__xludf.DUMMYFUNCTION("""COMPUTED_VALUE"""),44616.9222969907)</f>
        <v>44616.922296990699</v>
      </c>
      <c r="C221" s="79">
        <f ca="1">IFERROR(__xludf.DUMMYFUNCTION("""COMPUTED_VALUE"""),44616.6666666666)</f>
        <v>44616.666666666599</v>
      </c>
      <c r="D221" s="80" t="str">
        <f ca="1">IFERROR(__xludf.DUMMYFUNCTION("""COMPUTED_VALUE"""),"32312")</f>
        <v>32312</v>
      </c>
      <c r="E221" s="80" t="str">
        <f ca="1">IFERROR(__xludf.DUMMYFUNCTION("""COMPUTED_VALUE"""),"Stock")</f>
        <v>Stock</v>
      </c>
      <c r="F221" s="80" t="str">
        <f ca="1">IFERROR(__xludf.DUMMYFUNCTION("""COMPUTED_VALUE"""),"USD")</f>
        <v>USD</v>
      </c>
      <c r="G221" s="78" t="str">
        <f ca="1">IFERROR(__xludf.DUMMYFUNCTION("""COMPUTED_VALUE"""),"GOLD")</f>
        <v>GOLD</v>
      </c>
      <c r="H221" s="81">
        <f ca="1">IFERROR(__xludf.DUMMYFUNCTION("""COMPUTED_VALUE"""),888)</f>
        <v>888</v>
      </c>
      <c r="I221" s="80"/>
    </row>
    <row r="222" spans="1:9" ht="13" x14ac:dyDescent="0.15">
      <c r="A222" s="5"/>
      <c r="B222" s="82">
        <f ca="1">IFERROR(__xludf.DUMMYFUNCTION("""COMPUTED_VALUE"""),44616.922393206)</f>
        <v>44616.922393205998</v>
      </c>
      <c r="C222" s="79">
        <f ca="1">IFERROR(__xludf.DUMMYFUNCTION("""COMPUTED_VALUE"""),44616.6666666666)</f>
        <v>44616.666666666599</v>
      </c>
      <c r="D222" s="80" t="str">
        <f ca="1">IFERROR(__xludf.DUMMYFUNCTION("""COMPUTED_VALUE"""),"39608")</f>
        <v>39608</v>
      </c>
      <c r="E222" s="80" t="str">
        <f ca="1">IFERROR(__xludf.DUMMYFUNCTION("""COMPUTED_VALUE"""),"Stock")</f>
        <v>Stock</v>
      </c>
      <c r="F222" s="80" t="str">
        <f ca="1">IFERROR(__xludf.DUMMYFUNCTION("""COMPUTED_VALUE"""),"USD")</f>
        <v>USD</v>
      </c>
      <c r="G222" s="78" t="str">
        <f ca="1">IFERROR(__xludf.DUMMYFUNCTION("""COMPUTED_VALUE"""),"GOLD")</f>
        <v>GOLD</v>
      </c>
      <c r="H222" s="81">
        <f ca="1">IFERROR(__xludf.DUMMYFUNCTION("""COMPUTED_VALUE"""),888)</f>
        <v>888</v>
      </c>
      <c r="I222" s="80"/>
    </row>
    <row r="223" spans="1:9" ht="13" x14ac:dyDescent="0.15">
      <c r="A223" s="5"/>
      <c r="B223" s="82">
        <f ca="1">IFERROR(__xludf.DUMMYFUNCTION("""COMPUTED_VALUE"""),44616.9236384143)</f>
        <v>44616.923638414301</v>
      </c>
      <c r="C223" s="79">
        <f ca="1">IFERROR(__xludf.DUMMYFUNCTION("""COMPUTED_VALUE"""),44616.6666666666)</f>
        <v>44616.666666666599</v>
      </c>
      <c r="D223" s="80" t="str">
        <f ca="1">IFERROR(__xludf.DUMMYFUNCTION("""COMPUTED_VALUE"""),"37400")</f>
        <v>37400</v>
      </c>
      <c r="E223" s="80" t="str">
        <f ca="1">IFERROR(__xludf.DUMMYFUNCTION("""COMPUTED_VALUE"""),"Stock")</f>
        <v>Stock</v>
      </c>
      <c r="F223" s="80" t="str">
        <f ca="1">IFERROR(__xludf.DUMMYFUNCTION("""COMPUTED_VALUE"""),"USD")</f>
        <v>USD</v>
      </c>
      <c r="G223" s="78" t="str">
        <f ca="1">IFERROR(__xludf.DUMMYFUNCTION("""COMPUTED_VALUE"""),"GOLD")</f>
        <v>GOLD</v>
      </c>
      <c r="H223" s="81">
        <f ca="1">IFERROR(__xludf.DUMMYFUNCTION("""COMPUTED_VALUE"""),888)</f>
        <v>888</v>
      </c>
      <c r="I223" s="80"/>
    </row>
    <row r="224" spans="1:9" ht="13" x14ac:dyDescent="0.15">
      <c r="A224" s="5"/>
      <c r="B224" s="82">
        <f ca="1">IFERROR(__xludf.DUMMYFUNCTION("""COMPUTED_VALUE"""),44617.4194021875)</f>
        <v>44617.419402187501</v>
      </c>
      <c r="C224" s="79">
        <f ca="1">IFERROR(__xludf.DUMMYFUNCTION("""COMPUTED_VALUE"""),44617.6666666666)</f>
        <v>44617.666666666599</v>
      </c>
      <c r="D224" s="80" t="str">
        <f ca="1">IFERROR(__xludf.DUMMYFUNCTION("""COMPUTED_VALUE"""),"46322")</f>
        <v>46322</v>
      </c>
      <c r="E224" s="80" t="str">
        <f ca="1">IFERROR(__xludf.DUMMYFUNCTION("""COMPUTED_VALUE"""),"Stock")</f>
        <v>Stock</v>
      </c>
      <c r="F224" s="80" t="str">
        <f ca="1">IFERROR(__xludf.DUMMYFUNCTION("""COMPUTED_VALUE"""),"USD")</f>
        <v>USD</v>
      </c>
      <c r="G224" s="78" t="str">
        <f ca="1">IFERROR(__xludf.DUMMYFUNCTION("""COMPUTED_VALUE"""),"SARK")</f>
        <v>SARK</v>
      </c>
      <c r="H224" s="81">
        <f ca="1">IFERROR(__xludf.DUMMYFUNCTION("""COMPUTED_VALUE"""),200)</f>
        <v>200</v>
      </c>
      <c r="I224" s="80"/>
    </row>
    <row r="225" spans="1:9" ht="13" x14ac:dyDescent="0.15">
      <c r="A225" s="5"/>
      <c r="B225" s="82">
        <f ca="1">IFERROR(__xludf.DUMMYFUNCTION("""COMPUTED_VALUE"""),44617.4300224884)</f>
        <v>44617.430022488399</v>
      </c>
      <c r="C225" s="79">
        <f ca="1">IFERROR(__xludf.DUMMYFUNCTION("""COMPUTED_VALUE"""),44617.625)</f>
        <v>44617.625</v>
      </c>
      <c r="D225" s="80" t="str">
        <f ca="1">IFERROR(__xludf.DUMMYFUNCTION("""COMPUTED_VALUE"""),"76369")</f>
        <v>76369</v>
      </c>
      <c r="E225" s="80" t="str">
        <f ca="1">IFERROR(__xludf.DUMMYFUNCTION("""COMPUTED_VALUE"""),"Stock")</f>
        <v>Stock</v>
      </c>
      <c r="F225" s="80" t="str">
        <f ca="1">IFERROR(__xludf.DUMMYFUNCTION("""COMPUTED_VALUE"""),"CNY")</f>
        <v>CNY</v>
      </c>
      <c r="G225" s="83" t="str">
        <f ca="1">IFERROR(__xludf.DUMMYFUNCTION("""COMPUTED_VALUE"""),"000554.SZ")</f>
        <v>000554.SZ</v>
      </c>
      <c r="H225" s="81">
        <f ca="1">IFERROR(__xludf.DUMMYFUNCTION("""COMPUTED_VALUE"""),1000)</f>
        <v>1000</v>
      </c>
      <c r="I225" s="80"/>
    </row>
    <row r="226" spans="1:9" ht="13" x14ac:dyDescent="0.15">
      <c r="A226" s="5"/>
      <c r="B226" s="82">
        <f ca="1">IFERROR(__xludf.DUMMYFUNCTION("""COMPUTED_VALUE"""),44617.430805081)</f>
        <v>44617.430805081</v>
      </c>
      <c r="C226" s="79">
        <f ca="1">IFERROR(__xludf.DUMMYFUNCTION("""COMPUTED_VALUE"""),44617.625)</f>
        <v>44617.625</v>
      </c>
      <c r="D226" s="80" t="str">
        <f ca="1">IFERROR(__xludf.DUMMYFUNCTION("""COMPUTED_VALUE"""),"76369")</f>
        <v>76369</v>
      </c>
      <c r="E226" s="80" t="str">
        <f ca="1">IFERROR(__xludf.DUMMYFUNCTION("""COMPUTED_VALUE"""),"Stock")</f>
        <v>Stock</v>
      </c>
      <c r="F226" s="80" t="str">
        <f ca="1">IFERROR(__xludf.DUMMYFUNCTION("""COMPUTED_VALUE"""),"CNY")</f>
        <v>CNY</v>
      </c>
      <c r="G226" s="83" t="str">
        <f ca="1">IFERROR(__xludf.DUMMYFUNCTION("""COMPUTED_VALUE"""),"300945.SZ")</f>
        <v>300945.SZ</v>
      </c>
      <c r="H226" s="81">
        <f ca="1">IFERROR(__xludf.DUMMYFUNCTION("""COMPUTED_VALUE"""),1000)</f>
        <v>1000</v>
      </c>
      <c r="I226" s="80"/>
    </row>
    <row r="227" spans="1:9" ht="13" x14ac:dyDescent="0.15">
      <c r="A227" s="5"/>
      <c r="B227" s="82">
        <f ca="1">IFERROR(__xludf.DUMMYFUNCTION("""COMPUTED_VALUE"""),44617.4316108217)</f>
        <v>44617.431610821703</v>
      </c>
      <c r="C227" s="79">
        <f ca="1">IFERROR(__xludf.DUMMYFUNCTION("""COMPUTED_VALUE"""),44617.625)</f>
        <v>44617.625</v>
      </c>
      <c r="D227" s="80" t="str">
        <f ca="1">IFERROR(__xludf.DUMMYFUNCTION("""COMPUTED_VALUE"""),"76369")</f>
        <v>76369</v>
      </c>
      <c r="E227" s="80" t="str">
        <f ca="1">IFERROR(__xludf.DUMMYFUNCTION("""COMPUTED_VALUE"""),"Stock")</f>
        <v>Stock</v>
      </c>
      <c r="F227" s="80" t="str">
        <f ca="1">IFERROR(__xludf.DUMMYFUNCTION("""COMPUTED_VALUE"""),"CNY")</f>
        <v>CNY</v>
      </c>
      <c r="G227" s="83" t="str">
        <f ca="1">IFERROR(__xludf.DUMMYFUNCTION("""COMPUTED_VALUE"""),"601808.SS")</f>
        <v>601808.SS</v>
      </c>
      <c r="H227" s="81">
        <f ca="1">IFERROR(__xludf.DUMMYFUNCTION("""COMPUTED_VALUE"""),1000)</f>
        <v>1000</v>
      </c>
      <c r="I227" s="80"/>
    </row>
    <row r="228" spans="1:9" ht="13" x14ac:dyDescent="0.15">
      <c r="A228" s="5"/>
      <c r="B228" s="82">
        <f ca="1">IFERROR(__xludf.DUMMYFUNCTION("""COMPUTED_VALUE"""),44617.4327743634)</f>
        <v>44617.432774363398</v>
      </c>
      <c r="C228" s="79">
        <f ca="1">IFERROR(__xludf.DUMMYFUNCTION("""COMPUTED_VALUE"""),44617.625)</f>
        <v>44617.625</v>
      </c>
      <c r="D228" s="80" t="str">
        <f ca="1">IFERROR(__xludf.DUMMYFUNCTION("""COMPUTED_VALUE"""),"76369")</f>
        <v>76369</v>
      </c>
      <c r="E228" s="80" t="str">
        <f ca="1">IFERROR(__xludf.DUMMYFUNCTION("""COMPUTED_VALUE"""),"Stock")</f>
        <v>Stock</v>
      </c>
      <c r="F228" s="80" t="str">
        <f ca="1">IFERROR(__xludf.DUMMYFUNCTION("""COMPUTED_VALUE"""),"CNY")</f>
        <v>CNY</v>
      </c>
      <c r="G228" s="83" t="str">
        <f ca="1">IFERROR(__xludf.DUMMYFUNCTION("""COMPUTED_VALUE"""),"300922.SZ")</f>
        <v>300922.SZ</v>
      </c>
      <c r="H228" s="81">
        <f ca="1">IFERROR(__xludf.DUMMYFUNCTION("""COMPUTED_VALUE"""),500)</f>
        <v>500</v>
      </c>
      <c r="I228" s="80"/>
    </row>
    <row r="229" spans="1:9" ht="13" x14ac:dyDescent="0.15">
      <c r="A229" s="5"/>
      <c r="B229" s="82">
        <f ca="1">IFERROR(__xludf.DUMMYFUNCTION("""COMPUTED_VALUE"""),44617.4511692361)</f>
        <v>44617.451169236097</v>
      </c>
      <c r="C229" s="79" t="str">
        <f ca="1">IFERROR(__xludf.DUMMYFUNCTION("""COMPUTED_VALUE"""),"")</f>
        <v/>
      </c>
      <c r="D229" s="80" t="str">
        <f ca="1">IFERROR(__xludf.DUMMYFUNCTION("""COMPUTED_VALUE"""),"39857")</f>
        <v>39857</v>
      </c>
      <c r="E229" s="80" t="str">
        <f ca="1">IFERROR(__xludf.DUMMYFUNCTION("""COMPUTED_VALUE"""),"Stock")</f>
        <v>Stock</v>
      </c>
      <c r="F229" s="80" t="str">
        <f ca="1">IFERROR(__xludf.DUMMYFUNCTION("""COMPUTED_VALUE"""),"error")</f>
        <v>error</v>
      </c>
      <c r="G229" s="78" t="str">
        <f ca="1">IFERROR(__xludf.DUMMYFUNCTION("""COMPUTED_VALUE"""),"03690")</f>
        <v>03690</v>
      </c>
      <c r="H229" s="81">
        <f ca="1">IFERROR(__xludf.DUMMYFUNCTION("""COMPUTED_VALUE"""),1000)</f>
        <v>1000</v>
      </c>
      <c r="I229" s="80" t="str">
        <f ca="1">IFERROR(__xludf.DUMMYFUNCTION("""COMPUTED_VALUE"""),"Order rejected due to wrong ticker code. just need to type in  3690.HK")</f>
        <v>Order rejected due to wrong ticker code. just need to type in  3690.HK</v>
      </c>
    </row>
    <row r="230" spans="1:9" ht="13" x14ac:dyDescent="0.15">
      <c r="A230" s="5"/>
      <c r="B230" s="82">
        <f ca="1">IFERROR(__xludf.DUMMYFUNCTION("""COMPUTED_VALUE"""),44617.5387312963)</f>
        <v>44617.538731296299</v>
      </c>
      <c r="C230" s="79">
        <f ca="1">IFERROR(__xludf.DUMMYFUNCTION("""COMPUTED_VALUE"""),44617.6666666666)</f>
        <v>44617.666666666599</v>
      </c>
      <c r="D230" s="80" t="str">
        <f ca="1">IFERROR(__xludf.DUMMYFUNCTION("""COMPUTED_VALUE"""),"89750")</f>
        <v>89750</v>
      </c>
      <c r="E230" s="80" t="str">
        <f ca="1">IFERROR(__xludf.DUMMYFUNCTION("""COMPUTED_VALUE"""),"Option")</f>
        <v>Option</v>
      </c>
      <c r="F230" s="80" t="str">
        <f ca="1">IFERROR(__xludf.DUMMYFUNCTION("""COMPUTED_VALUE"""),"USD")</f>
        <v>USD</v>
      </c>
      <c r="G230" s="78" t="str">
        <f ca="1">IFERROR(__xludf.DUMMYFUNCTION("""COMPUTED_VALUE"""),"SPXL220318C00080000")</f>
        <v>SPXL220318C00080000</v>
      </c>
      <c r="H230" s="81">
        <f ca="1">IFERROR(__xludf.DUMMYFUNCTION("""COMPUTED_VALUE"""),10)</f>
        <v>10</v>
      </c>
      <c r="I230" s="80"/>
    </row>
    <row r="231" spans="1:9" ht="13" x14ac:dyDescent="0.15">
      <c r="A231" s="5"/>
      <c r="B231" s="82">
        <f ca="1">IFERROR(__xludf.DUMMYFUNCTION("""COMPUTED_VALUE"""),44617.546259375)</f>
        <v>44617.546259374998</v>
      </c>
      <c r="C231" s="79">
        <f ca="1">IFERROR(__xludf.DUMMYFUNCTION("""COMPUTED_VALUE"""),44617.6666666666)</f>
        <v>44617.666666666599</v>
      </c>
      <c r="D231" s="80" t="str">
        <f ca="1">IFERROR(__xludf.DUMMYFUNCTION("""COMPUTED_VALUE"""),"89750")</f>
        <v>89750</v>
      </c>
      <c r="E231" s="80" t="str">
        <f ca="1">IFERROR(__xludf.DUMMYFUNCTION("""COMPUTED_VALUE"""),"Stock")</f>
        <v>Stock</v>
      </c>
      <c r="F231" s="80" t="str">
        <f ca="1">IFERROR(__xludf.DUMMYFUNCTION("""COMPUTED_VALUE"""),"HKD")</f>
        <v>HKD</v>
      </c>
      <c r="G231" s="83" t="str">
        <f ca="1">IFERROR(__xludf.DUMMYFUNCTION("""COMPUTED_VALUE"""),"9698.HK")</f>
        <v>9698.HK</v>
      </c>
      <c r="H231" s="81">
        <f ca="1">IFERROR(__xludf.DUMMYFUNCTION("""COMPUTED_VALUE"""),2000)</f>
        <v>2000</v>
      </c>
      <c r="I231" s="80"/>
    </row>
    <row r="232" spans="1:9" ht="13" x14ac:dyDescent="0.15">
      <c r="A232" s="5"/>
      <c r="B232" s="82">
        <f ca="1">IFERROR(__xludf.DUMMYFUNCTION("""COMPUTED_VALUE"""),44617.54702228)</f>
        <v>44617.54702228</v>
      </c>
      <c r="C232" s="79">
        <f ca="1">IFERROR(__xludf.DUMMYFUNCTION("""COMPUTED_VALUE"""),44617.6666666666)</f>
        <v>44617.666666666599</v>
      </c>
      <c r="D232" s="80" t="str">
        <f ca="1">IFERROR(__xludf.DUMMYFUNCTION("""COMPUTED_VALUE"""),"89750")</f>
        <v>89750</v>
      </c>
      <c r="E232" s="80" t="str">
        <f ca="1">IFERROR(__xludf.DUMMYFUNCTION("""COMPUTED_VALUE"""),"Stock")</f>
        <v>Stock</v>
      </c>
      <c r="F232" s="80" t="str">
        <f ca="1">IFERROR(__xludf.DUMMYFUNCTION("""COMPUTED_VALUE"""),"HKD")</f>
        <v>HKD</v>
      </c>
      <c r="G232" s="83" t="str">
        <f ca="1">IFERROR(__xludf.DUMMYFUNCTION("""COMPUTED_VALUE"""),"6969.HK")</f>
        <v>6969.HK</v>
      </c>
      <c r="H232" s="81">
        <f ca="1">IFERROR(__xludf.DUMMYFUNCTION("""COMPUTED_VALUE"""),2000)</f>
        <v>2000</v>
      </c>
      <c r="I232" s="80"/>
    </row>
    <row r="233" spans="1:9" ht="13" x14ac:dyDescent="0.15">
      <c r="A233" s="5"/>
      <c r="B233" s="82">
        <f ca="1">IFERROR(__xludf.DUMMYFUNCTION("""COMPUTED_VALUE"""),44617.5504474884)</f>
        <v>44617.5504474884</v>
      </c>
      <c r="C233" s="79">
        <f ca="1">IFERROR(__xludf.DUMMYFUNCTION("""COMPUTED_VALUE"""),44617.625)</f>
        <v>44617.625</v>
      </c>
      <c r="D233" s="80" t="str">
        <f ca="1">IFERROR(__xludf.DUMMYFUNCTION("""COMPUTED_VALUE"""),"76369")</f>
        <v>76369</v>
      </c>
      <c r="E233" s="80" t="str">
        <f ca="1">IFERROR(__xludf.DUMMYFUNCTION("""COMPUTED_VALUE"""),"Stock")</f>
        <v>Stock</v>
      </c>
      <c r="F233" s="80" t="str">
        <f ca="1">IFERROR(__xludf.DUMMYFUNCTION("""COMPUTED_VALUE"""),"CNY")</f>
        <v>CNY</v>
      </c>
      <c r="G233" s="83" t="str">
        <f ca="1">IFERROR(__xludf.DUMMYFUNCTION("""COMPUTED_VALUE"""),"603967.SS")</f>
        <v>603967.SS</v>
      </c>
      <c r="H233" s="81">
        <f ca="1">IFERROR(__xludf.DUMMYFUNCTION("""COMPUTED_VALUE"""),500)</f>
        <v>500</v>
      </c>
      <c r="I233" s="80"/>
    </row>
    <row r="234" spans="1:9" ht="13" x14ac:dyDescent="0.15">
      <c r="A234" s="5"/>
      <c r="B234" s="82">
        <f ca="1">IFERROR(__xludf.DUMMYFUNCTION("""COMPUTED_VALUE"""),44617.5887512847)</f>
        <v>44617.588751284697</v>
      </c>
      <c r="C234" s="79">
        <f ca="1">IFERROR(__xludf.DUMMYFUNCTION("""COMPUTED_VALUE"""),44617.6666666666)</f>
        <v>44617.666666666599</v>
      </c>
      <c r="D234" s="80" t="str">
        <f ca="1">IFERROR(__xludf.DUMMYFUNCTION("""COMPUTED_VALUE"""),"76796")</f>
        <v>76796</v>
      </c>
      <c r="E234" s="80" t="str">
        <f ca="1">IFERROR(__xludf.DUMMYFUNCTION("""COMPUTED_VALUE"""),"Stock")</f>
        <v>Stock</v>
      </c>
      <c r="F234" s="80" t="str">
        <f ca="1">IFERROR(__xludf.DUMMYFUNCTION("""COMPUTED_VALUE"""),"USD")</f>
        <v>USD</v>
      </c>
      <c r="G234" s="78" t="str">
        <f ca="1">IFERROR(__xludf.DUMMYFUNCTION("""COMPUTED_VALUE"""),"GOOGL")</f>
        <v>GOOGL</v>
      </c>
      <c r="H234" s="81">
        <f ca="1">IFERROR(__xludf.DUMMYFUNCTION("""COMPUTED_VALUE"""),100)</f>
        <v>100</v>
      </c>
      <c r="I234" s="80"/>
    </row>
    <row r="235" spans="1:9" ht="13" x14ac:dyDescent="0.15">
      <c r="A235" s="5"/>
      <c r="B235" s="82">
        <f ca="1">IFERROR(__xludf.DUMMYFUNCTION("""COMPUTED_VALUE"""),44617.6180019791)</f>
        <v>44617.618001979099</v>
      </c>
      <c r="C235" s="79">
        <f ca="1">IFERROR(__xludf.DUMMYFUNCTION("""COMPUTED_VALUE"""),44617.625)</f>
        <v>44617.625</v>
      </c>
      <c r="D235" s="80" t="str">
        <f ca="1">IFERROR(__xludf.DUMMYFUNCTION("""COMPUTED_VALUE"""),"76369")</f>
        <v>76369</v>
      </c>
      <c r="E235" s="80" t="str">
        <f ca="1">IFERROR(__xludf.DUMMYFUNCTION("""COMPUTED_VALUE"""),"Stock")</f>
        <v>Stock</v>
      </c>
      <c r="F235" s="80" t="str">
        <f ca="1">IFERROR(__xludf.DUMMYFUNCTION("""COMPUTED_VALUE"""),"CNY")</f>
        <v>CNY</v>
      </c>
      <c r="G235" s="83" t="str">
        <f ca="1">IFERROR(__xludf.DUMMYFUNCTION("""COMPUTED_VALUE"""),"300922.SZ")</f>
        <v>300922.SZ</v>
      </c>
      <c r="H235" s="81">
        <f ca="1">IFERROR(__xludf.DUMMYFUNCTION("""COMPUTED_VALUE"""),1000)</f>
        <v>1000</v>
      </c>
      <c r="I235" s="80"/>
    </row>
    <row r="236" spans="1:9" ht="13" x14ac:dyDescent="0.15">
      <c r="A236" s="5"/>
      <c r="B236" s="82">
        <f ca="1">IFERROR(__xludf.DUMMYFUNCTION("""COMPUTED_VALUE"""),44617.7238292592)</f>
        <v>44617.723829259201</v>
      </c>
      <c r="C236" s="79">
        <f ca="1">IFERROR(__xludf.DUMMYFUNCTION("""COMPUTED_VALUE"""),44617.6666666666)</f>
        <v>44617.666666666599</v>
      </c>
      <c r="D236" s="80" t="str">
        <f ca="1">IFERROR(__xludf.DUMMYFUNCTION("""COMPUTED_VALUE"""),"14626")</f>
        <v>14626</v>
      </c>
      <c r="E236" s="80" t="str">
        <f ca="1">IFERROR(__xludf.DUMMYFUNCTION("""COMPUTED_VALUE"""),"Stock")</f>
        <v>Stock</v>
      </c>
      <c r="F236" s="80" t="str">
        <f ca="1">IFERROR(__xludf.DUMMYFUNCTION("""COMPUTED_VALUE"""),"USD")</f>
        <v>USD</v>
      </c>
      <c r="G236" s="78" t="str">
        <f ca="1">IFERROR(__xludf.DUMMYFUNCTION("""COMPUTED_VALUE"""),"AAPL")</f>
        <v>AAPL</v>
      </c>
      <c r="H236" s="81">
        <f ca="1">IFERROR(__xludf.DUMMYFUNCTION("""COMPUTED_VALUE"""),50)</f>
        <v>50</v>
      </c>
      <c r="I236" s="80"/>
    </row>
    <row r="237" spans="1:9" ht="13" x14ac:dyDescent="0.15">
      <c r="A237" s="5"/>
      <c r="B237" s="82">
        <f ca="1">IFERROR(__xludf.DUMMYFUNCTION("""COMPUTED_VALUE"""),44617.7287726967)</f>
        <v>44617.728772696697</v>
      </c>
      <c r="C237" s="79" t="str">
        <f ca="1">IFERROR(__xludf.DUMMYFUNCTION("""COMPUTED_VALUE"""),"")</f>
        <v/>
      </c>
      <c r="D237" s="80" t="str">
        <f ca="1">IFERROR(__xludf.DUMMYFUNCTION("""COMPUTED_VALUE"""),"")</f>
        <v/>
      </c>
      <c r="E237" s="80" t="str">
        <f ca="1">IFERROR(__xludf.DUMMYFUNCTION("""COMPUTED_VALUE"""),"Stock")</f>
        <v>Stock</v>
      </c>
      <c r="F237" s="80" t="str">
        <f ca="1">IFERROR(__xludf.DUMMYFUNCTION("""COMPUTED_VALUE"""),"error")</f>
        <v>error</v>
      </c>
      <c r="G237" s="83" t="str">
        <f ca="1">IFERROR(__xludf.DUMMYFUNCTION("""COMPUTED_VALUE"""),"00700.HK")</f>
        <v>00700.HK</v>
      </c>
      <c r="H237" s="81">
        <f ca="1">IFERROR(__xludf.DUMMYFUNCTION("""COMPUTED_VALUE"""),100)</f>
        <v>100</v>
      </c>
      <c r="I237" s="80" t="str">
        <f ca="1">IFERROR(__xludf.DUMMYFUNCTION("""COMPUTED_VALUE"""),"Wrong email input (non-school email). Also, Trader input as 00700.HK, correct ticker should be 0700.HK")</f>
        <v>Wrong email input (non-school email). Also, Trader input as 00700.HK, correct ticker should be 0700.HK</v>
      </c>
    </row>
    <row r="238" spans="1:9" ht="13" x14ac:dyDescent="0.15">
      <c r="A238" s="5"/>
      <c r="B238" s="82">
        <f ca="1">IFERROR(__xludf.DUMMYFUNCTION("""COMPUTED_VALUE"""),44617.7352086689)</f>
        <v>44617.735208668899</v>
      </c>
      <c r="C238" s="79">
        <f ca="1">IFERROR(__xludf.DUMMYFUNCTION("""COMPUTED_VALUE"""),44617.6666666666)</f>
        <v>44617.666666666599</v>
      </c>
      <c r="D238" s="80" t="str">
        <f ca="1">IFERROR(__xludf.DUMMYFUNCTION("""COMPUTED_VALUE"""),"75965")</f>
        <v>75965</v>
      </c>
      <c r="E238" s="80" t="str">
        <f ca="1">IFERROR(__xludf.DUMMYFUNCTION("""COMPUTED_VALUE"""),"Stock")</f>
        <v>Stock</v>
      </c>
      <c r="F238" s="80" t="str">
        <f ca="1">IFERROR(__xludf.DUMMYFUNCTION("""COMPUTED_VALUE"""),"USD")</f>
        <v>USD</v>
      </c>
      <c r="G238" s="78" t="str">
        <f ca="1">IFERROR(__xludf.DUMMYFUNCTION("""COMPUTED_VALUE"""),"eth-usd")</f>
        <v>eth-usd</v>
      </c>
      <c r="H238" s="81">
        <f ca="1">IFERROR(__xludf.DUMMYFUNCTION("""COMPUTED_VALUE"""),10)</f>
        <v>10</v>
      </c>
      <c r="I238" s="80" t="str">
        <f ca="1">IFERROR(__xludf.DUMMYFUNCTION("""COMPUTED_VALUE"""),"Trader input as ""Limit Sell @ 90 - if Closing @ 100 = Executed price @ 100; if Closing @ 80"". No such function offered. Order rejected due to unclear instruction.")</f>
        <v>Trader input as "Limit Sell @ 90 - if Closing @ 100 = Executed price @ 100; if Closing @ 80". No such function offered. Order rejected due to unclear instruction.</v>
      </c>
    </row>
    <row r="239" spans="1:9" ht="13" x14ac:dyDescent="0.15">
      <c r="A239" s="5"/>
      <c r="B239" s="82">
        <f ca="1">IFERROR(__xludf.DUMMYFUNCTION("""COMPUTED_VALUE"""),44617.7447974999)</f>
        <v>44617.744797499901</v>
      </c>
      <c r="C239" s="79">
        <f ca="1">IFERROR(__xludf.DUMMYFUNCTION("""COMPUTED_VALUE"""),44617.6666666666)</f>
        <v>44617.666666666599</v>
      </c>
      <c r="D239" s="80" t="str">
        <f ca="1">IFERROR(__xludf.DUMMYFUNCTION("""COMPUTED_VALUE"""),"14626")</f>
        <v>14626</v>
      </c>
      <c r="E239" s="80" t="str">
        <f ca="1">IFERROR(__xludf.DUMMYFUNCTION("""COMPUTED_VALUE"""),"Stock")</f>
        <v>Stock</v>
      </c>
      <c r="F239" s="80" t="str">
        <f ca="1">IFERROR(__xludf.DUMMYFUNCTION("""COMPUTED_VALUE"""),"USD")</f>
        <v>USD</v>
      </c>
      <c r="G239" s="78" t="str">
        <f ca="1">IFERROR(__xludf.DUMMYFUNCTION("""COMPUTED_VALUE"""),"TSLA")</f>
        <v>TSLA</v>
      </c>
      <c r="H239" s="81">
        <f ca="1">IFERROR(__xludf.DUMMYFUNCTION("""COMPUTED_VALUE"""),50)</f>
        <v>50</v>
      </c>
      <c r="I239" s="80"/>
    </row>
    <row r="240" spans="1:9" ht="13" x14ac:dyDescent="0.15">
      <c r="A240" s="5"/>
      <c r="B240" s="82">
        <f ca="1">IFERROR(__xludf.DUMMYFUNCTION("""COMPUTED_VALUE"""),44617.7498978588)</f>
        <v>44617.749897858797</v>
      </c>
      <c r="C240" s="79" t="str">
        <f ca="1">IFERROR(__xludf.DUMMYFUNCTION("""COMPUTED_VALUE"""),"")</f>
        <v/>
      </c>
      <c r="D240" s="80" t="str">
        <f ca="1">IFERROR(__xludf.DUMMYFUNCTION("""COMPUTED_VALUE"""),"14626")</f>
        <v>14626</v>
      </c>
      <c r="E240" s="80" t="str">
        <f ca="1">IFERROR(__xludf.DUMMYFUNCTION("""COMPUTED_VALUE"""),"Option")</f>
        <v>Option</v>
      </c>
      <c r="F240" s="80" t="str">
        <f ca="1">IFERROR(__xludf.DUMMYFUNCTION("""COMPUTED_VALUE"""),"error")</f>
        <v>error</v>
      </c>
      <c r="G240" s="83" t="str">
        <f ca="1">IFERROR(__xludf.DUMMYFUNCTION("""COMPUTED_VALUE"""),"00700.HK")</f>
        <v>00700.HK</v>
      </c>
      <c r="H240" s="81">
        <f ca="1">IFERROR(__xludf.DUMMYFUNCTION("""COMPUTED_VALUE"""),3)</f>
        <v>3</v>
      </c>
      <c r="I240" s="80" t="str">
        <f ca="1">IFERROR(__xludf.DUMMYFUNCTION("""COMPUTED_VALUE"""),"Trader input as option as asset class for a stock. Order is rejected.")</f>
        <v>Trader input as option as asset class for a stock. Order is rejected.</v>
      </c>
    </row>
    <row r="241" spans="1:9" ht="13" x14ac:dyDescent="0.15">
      <c r="A241" s="5"/>
      <c r="B241" s="82">
        <f ca="1">IFERROR(__xludf.DUMMYFUNCTION("""COMPUTED_VALUE"""),44617.7566140856)</f>
        <v>44617.7566140856</v>
      </c>
      <c r="C241" s="79">
        <f ca="1">IFERROR(__xludf.DUMMYFUNCTION("""COMPUTED_VALUE"""),44617.6666666666)</f>
        <v>44617.666666666599</v>
      </c>
      <c r="D241" s="80" t="str">
        <f ca="1">IFERROR(__xludf.DUMMYFUNCTION("""COMPUTED_VALUE"""),"89750")</f>
        <v>89750</v>
      </c>
      <c r="E241" s="80" t="str">
        <f ca="1">IFERROR(__xludf.DUMMYFUNCTION("""COMPUTED_VALUE"""),"Option")</f>
        <v>Option</v>
      </c>
      <c r="F241" s="80" t="str">
        <f ca="1">IFERROR(__xludf.DUMMYFUNCTION("""COMPUTED_VALUE"""),"USD")</f>
        <v>USD</v>
      </c>
      <c r="G241" s="78" t="str">
        <f ca="1">IFERROR(__xludf.DUMMYFUNCTION("""COMPUTED_VALUE"""),"FTCH220318P00017500")</f>
        <v>FTCH220318P00017500</v>
      </c>
      <c r="H241" s="81">
        <f ca="1">IFERROR(__xludf.DUMMYFUNCTION("""COMPUTED_VALUE"""),50)</f>
        <v>50</v>
      </c>
      <c r="I241" s="80"/>
    </row>
    <row r="242" spans="1:9" ht="13" x14ac:dyDescent="0.15">
      <c r="A242" s="5"/>
      <c r="B242" s="82">
        <f ca="1">IFERROR(__xludf.DUMMYFUNCTION("""COMPUTED_VALUE"""),44617.7703433217)</f>
        <v>44617.770343321703</v>
      </c>
      <c r="C242" s="79">
        <f ca="1">IFERROR(__xludf.DUMMYFUNCTION("""COMPUTED_VALUE"""),44617.6666666666)</f>
        <v>44617.666666666599</v>
      </c>
      <c r="D242" s="80" t="str">
        <f ca="1">IFERROR(__xludf.DUMMYFUNCTION("""COMPUTED_VALUE"""),"89750")</f>
        <v>89750</v>
      </c>
      <c r="E242" s="80" t="str">
        <f ca="1">IFERROR(__xludf.DUMMYFUNCTION("""COMPUTED_VALUE"""),"Stock")</f>
        <v>Stock</v>
      </c>
      <c r="F242" s="80" t="str">
        <f ca="1">IFERROR(__xludf.DUMMYFUNCTION("""COMPUTED_VALUE"""),"USD")</f>
        <v>USD</v>
      </c>
      <c r="G242" s="78" t="str">
        <f ca="1">IFERROR(__xludf.DUMMYFUNCTION("""COMPUTED_VALUE"""),"SOFI")</f>
        <v>SOFI</v>
      </c>
      <c r="H242" s="81">
        <f ca="1">IFERROR(__xludf.DUMMYFUNCTION("""COMPUTED_VALUE"""),30)</f>
        <v>30</v>
      </c>
      <c r="I242" s="80"/>
    </row>
    <row r="243" spans="1:9" ht="13" x14ac:dyDescent="0.15">
      <c r="A243" s="5"/>
      <c r="B243" s="82">
        <f ca="1">IFERROR(__xludf.DUMMYFUNCTION("""COMPUTED_VALUE"""),44617.7705791782)</f>
        <v>44617.770579178199</v>
      </c>
      <c r="C243" s="79">
        <f ca="1">IFERROR(__xludf.DUMMYFUNCTION("""COMPUTED_VALUE"""),44617.6666666666)</f>
        <v>44617.666666666599</v>
      </c>
      <c r="D243" s="80" t="str">
        <f ca="1">IFERROR(__xludf.DUMMYFUNCTION("""COMPUTED_VALUE"""),"89750")</f>
        <v>89750</v>
      </c>
      <c r="E243" s="80" t="str">
        <f ca="1">IFERROR(__xludf.DUMMYFUNCTION("""COMPUTED_VALUE"""),"Stock")</f>
        <v>Stock</v>
      </c>
      <c r="F243" s="80" t="str">
        <f ca="1">IFERROR(__xludf.DUMMYFUNCTION("""COMPUTED_VALUE"""),"USD")</f>
        <v>USD</v>
      </c>
      <c r="G243" s="78" t="str">
        <f ca="1">IFERROR(__xludf.DUMMYFUNCTION("""COMPUTED_VALUE"""),"NU")</f>
        <v>NU</v>
      </c>
      <c r="H243" s="81">
        <f ca="1">IFERROR(__xludf.DUMMYFUNCTION("""COMPUTED_VALUE"""),70)</f>
        <v>70</v>
      </c>
      <c r="I243" s="80"/>
    </row>
    <row r="244" spans="1:9" ht="13" x14ac:dyDescent="0.15">
      <c r="A244" s="5"/>
      <c r="B244" s="82">
        <f ca="1">IFERROR(__xludf.DUMMYFUNCTION("""COMPUTED_VALUE"""),44617.7711711458)</f>
        <v>44617.771171145803</v>
      </c>
      <c r="C244" s="79">
        <f ca="1">IFERROR(__xludf.DUMMYFUNCTION("""COMPUTED_VALUE"""),44617.6666666666)</f>
        <v>44617.666666666599</v>
      </c>
      <c r="D244" s="80" t="str">
        <f ca="1">IFERROR(__xludf.DUMMYFUNCTION("""COMPUTED_VALUE"""),"89750")</f>
        <v>89750</v>
      </c>
      <c r="E244" s="80" t="str">
        <f ca="1">IFERROR(__xludf.DUMMYFUNCTION("""COMPUTED_VALUE"""),"Stock")</f>
        <v>Stock</v>
      </c>
      <c r="F244" s="80" t="str">
        <f ca="1">IFERROR(__xludf.DUMMYFUNCTION("""COMPUTED_VALUE"""),"USD")</f>
        <v>USD</v>
      </c>
      <c r="G244" s="78" t="str">
        <f ca="1">IFERROR(__xludf.DUMMYFUNCTION("""COMPUTED_VALUE"""),"YINN")</f>
        <v>YINN</v>
      </c>
      <c r="H244" s="81">
        <f ca="1">IFERROR(__xludf.DUMMYFUNCTION("""COMPUTED_VALUE"""),50)</f>
        <v>50</v>
      </c>
      <c r="I244" s="80"/>
    </row>
    <row r="245" spans="1:9" ht="13" x14ac:dyDescent="0.15">
      <c r="A245" s="5"/>
      <c r="B245" s="82">
        <f ca="1">IFERROR(__xludf.DUMMYFUNCTION("""COMPUTED_VALUE"""),44618.0473485879)</f>
        <v>44618.047348587897</v>
      </c>
      <c r="C245" s="79">
        <f ca="1">IFERROR(__xludf.DUMMYFUNCTION("""COMPUTED_VALUE"""),44617.6666666666)</f>
        <v>44617.666666666599</v>
      </c>
      <c r="D245" s="80" t="str">
        <f ca="1">IFERROR(__xludf.DUMMYFUNCTION("""COMPUTED_VALUE"""),"89750")</f>
        <v>89750</v>
      </c>
      <c r="E245" s="80" t="str">
        <f ca="1">IFERROR(__xludf.DUMMYFUNCTION("""COMPUTED_VALUE"""),"Option")</f>
        <v>Option</v>
      </c>
      <c r="F245" s="80" t="str">
        <f ca="1">IFERROR(__xludf.DUMMYFUNCTION("""COMPUTED_VALUE"""),"USD")</f>
        <v>USD</v>
      </c>
      <c r="G245" s="78" t="str">
        <f ca="1">IFERROR(__xludf.DUMMYFUNCTION("""COMPUTED_VALUE"""),"FTCH220318P17500")</f>
        <v>FTCH220318P17500</v>
      </c>
      <c r="H245" s="81">
        <f ca="1">IFERROR(__xludf.DUMMYFUNCTION("""COMPUTED_VALUE"""),100)</f>
        <v>100</v>
      </c>
      <c r="I245" s="80" t="str">
        <f ca="1">IFERROR(__xludf.DUMMYFUNCTION("""COMPUTED_VALUE"""),"Wrong ticker symbol")</f>
        <v>Wrong ticker symbol</v>
      </c>
    </row>
    <row r="246" spans="1:9" ht="13" x14ac:dyDescent="0.15">
      <c r="A246" s="5"/>
      <c r="B246" s="82">
        <f ca="1">IFERROR(__xludf.DUMMYFUNCTION("""COMPUTED_VALUE"""),44618.1142179513)</f>
        <v>44618.114217951297</v>
      </c>
      <c r="C246" s="79">
        <f ca="1">IFERROR(__xludf.DUMMYFUNCTION("""COMPUTED_VALUE"""),44617.6666666666)</f>
        <v>44617.666666666599</v>
      </c>
      <c r="D246" s="80" t="str">
        <f ca="1">IFERROR(__xludf.DUMMYFUNCTION("""COMPUTED_VALUE"""),"39857")</f>
        <v>39857</v>
      </c>
      <c r="E246" s="80" t="str">
        <f ca="1">IFERROR(__xludf.DUMMYFUNCTION("""COMPUTED_VALUE"""),"Stock")</f>
        <v>Stock</v>
      </c>
      <c r="F246" s="80" t="str">
        <f ca="1">IFERROR(__xludf.DUMMYFUNCTION("""COMPUTED_VALUE"""),"USD")</f>
        <v>USD</v>
      </c>
      <c r="G246" s="78" t="str">
        <f ca="1">IFERROR(__xludf.DUMMYFUNCTION("""COMPUTED_VALUE"""),"DIS")</f>
        <v>DIS</v>
      </c>
      <c r="H246" s="81">
        <f ca="1">IFERROR(__xludf.DUMMYFUNCTION("""COMPUTED_VALUE"""),500)</f>
        <v>500</v>
      </c>
      <c r="I246" s="80"/>
    </row>
    <row r="247" spans="1:9" ht="13" x14ac:dyDescent="0.15">
      <c r="A247" s="5"/>
      <c r="B247" s="82">
        <f ca="1">IFERROR(__xludf.DUMMYFUNCTION("""COMPUTED_VALUE"""),44618.115787037)</f>
        <v>44618.115787037001</v>
      </c>
      <c r="C247" s="79">
        <f ca="1">IFERROR(__xludf.DUMMYFUNCTION("""COMPUTED_VALUE"""),44617.6666666666)</f>
        <v>44617.666666666599</v>
      </c>
      <c r="D247" s="80" t="str">
        <f ca="1">IFERROR(__xludf.DUMMYFUNCTION("""COMPUTED_VALUE"""),"46220")</f>
        <v>46220</v>
      </c>
      <c r="E247" s="80" t="str">
        <f ca="1">IFERROR(__xludf.DUMMYFUNCTION("""COMPUTED_VALUE"""),"Stock")</f>
        <v>Stock</v>
      </c>
      <c r="F247" s="80" t="str">
        <f ca="1">IFERROR(__xludf.DUMMYFUNCTION("""COMPUTED_VALUE"""),"USD")</f>
        <v>USD</v>
      </c>
      <c r="G247" s="78" t="str">
        <f ca="1">IFERROR(__xludf.DUMMYFUNCTION("""COMPUTED_VALUE"""),"NFLX")</f>
        <v>NFLX</v>
      </c>
      <c r="H247" s="81">
        <f ca="1">IFERROR(__xludf.DUMMYFUNCTION("""COMPUTED_VALUE"""),20)</f>
        <v>20</v>
      </c>
      <c r="I247" s="80"/>
    </row>
    <row r="248" spans="1:9" ht="13" x14ac:dyDescent="0.15">
      <c r="A248" s="5"/>
      <c r="B248" s="82">
        <f ca="1">IFERROR(__xludf.DUMMYFUNCTION("""COMPUTED_VALUE"""),44618.1250781134)</f>
        <v>44618.1250781134</v>
      </c>
      <c r="C248" s="79">
        <f ca="1">IFERROR(__xludf.DUMMYFUNCTION("""COMPUTED_VALUE"""),44617.6666666666)</f>
        <v>44617.666666666599</v>
      </c>
      <c r="D248" s="80" t="str">
        <f ca="1">IFERROR(__xludf.DUMMYFUNCTION("""COMPUTED_VALUE"""),"39857")</f>
        <v>39857</v>
      </c>
      <c r="E248" s="80" t="str">
        <f ca="1">IFERROR(__xludf.DUMMYFUNCTION("""COMPUTED_VALUE"""),"Stock")</f>
        <v>Stock</v>
      </c>
      <c r="F248" s="80" t="str">
        <f ca="1">IFERROR(__xludf.DUMMYFUNCTION("""COMPUTED_VALUE"""),"USD")</f>
        <v>USD</v>
      </c>
      <c r="G248" s="78" t="str">
        <f ca="1">IFERROR(__xludf.DUMMYFUNCTION("""COMPUTED_VALUE"""),"TSLA")</f>
        <v>TSLA</v>
      </c>
      <c r="H248" s="81">
        <f ca="1">IFERROR(__xludf.DUMMYFUNCTION("""COMPUTED_VALUE"""),50)</f>
        <v>50</v>
      </c>
      <c r="I248" s="80"/>
    </row>
    <row r="249" spans="1:9" ht="13" x14ac:dyDescent="0.15">
      <c r="A249" s="5"/>
      <c r="B249" s="82">
        <f ca="1">IFERROR(__xludf.DUMMYFUNCTION("""COMPUTED_VALUE"""),44618.7863999305)</f>
        <v>44618.786399930497</v>
      </c>
      <c r="C249" s="79" t="str">
        <f ca="1">IFERROR(__xludf.DUMMYFUNCTION("""COMPUTED_VALUE"""),"")</f>
        <v/>
      </c>
      <c r="D249" s="80" t="str">
        <f ca="1">IFERROR(__xludf.DUMMYFUNCTION("""COMPUTED_VALUE"""),"76796")</f>
        <v>76796</v>
      </c>
      <c r="E249" s="80" t="str">
        <f ca="1">IFERROR(__xludf.DUMMYFUNCTION("""COMPUTED_VALUE"""),"Stock")</f>
        <v>Stock</v>
      </c>
      <c r="F249" s="80" t="str">
        <f ca="1">IFERROR(__xludf.DUMMYFUNCTION("""COMPUTED_VALUE"""),"error")</f>
        <v>error</v>
      </c>
      <c r="G249" s="78" t="str">
        <f ca="1">IFERROR(__xludf.DUMMYFUNCTION("""COMPUTED_VALUE"""),"ISPO")</f>
        <v>ISPO</v>
      </c>
      <c r="H249" s="81" t="str">
        <f ca="1">IFERROR(__xludf.DUMMYFUNCTION("""COMPUTED_VALUE"""),"all")</f>
        <v>all</v>
      </c>
      <c r="I249" s="80" t="str">
        <f ca="1">IFERROR(__xludf.DUMMYFUNCTION("""COMPUTED_VALUE"""),"Trade Quantity has to be in number format. ""all"" will be rejected by the system.")</f>
        <v>Trade Quantity has to be in number format. "all" will be rejected by the system.</v>
      </c>
    </row>
    <row r="250" spans="1:9" ht="13" x14ac:dyDescent="0.15">
      <c r="A250" s="5"/>
      <c r="B250" s="82">
        <f ca="1">IFERROR(__xludf.DUMMYFUNCTION("""COMPUTED_VALUE"""),44618.7868162152)</f>
        <v>44618.786816215201</v>
      </c>
      <c r="C250" s="79" t="str">
        <f ca="1">IFERROR(__xludf.DUMMYFUNCTION("""COMPUTED_VALUE"""),"")</f>
        <v/>
      </c>
      <c r="D250" s="80" t="str">
        <f ca="1">IFERROR(__xludf.DUMMYFUNCTION("""COMPUTED_VALUE"""),"76796")</f>
        <v>76796</v>
      </c>
      <c r="E250" s="80" t="str">
        <f ca="1">IFERROR(__xludf.DUMMYFUNCTION("""COMPUTED_VALUE"""),"Stock")</f>
        <v>Stock</v>
      </c>
      <c r="F250" s="80" t="str">
        <f ca="1">IFERROR(__xludf.DUMMYFUNCTION("""COMPUTED_VALUE"""),"error")</f>
        <v>error</v>
      </c>
      <c r="G250" s="78" t="str">
        <f ca="1">IFERROR(__xludf.DUMMYFUNCTION("""COMPUTED_VALUE"""),"NVDA")</f>
        <v>NVDA</v>
      </c>
      <c r="H250" s="81" t="str">
        <f ca="1">IFERROR(__xludf.DUMMYFUNCTION("""COMPUTED_VALUE"""),"all")</f>
        <v>all</v>
      </c>
      <c r="I250" s="80" t="str">
        <f ca="1">IFERROR(__xludf.DUMMYFUNCTION("""COMPUTED_VALUE"""),"Trade Quantity has to be in number format. ""all"" will be rejected by the system.")</f>
        <v>Trade Quantity has to be in number format. "all" will be rejected by the system.</v>
      </c>
    </row>
    <row r="251" spans="1:9" ht="13" x14ac:dyDescent="0.15">
      <c r="A251" s="5"/>
      <c r="B251" s="82">
        <f ca="1">IFERROR(__xludf.DUMMYFUNCTION("""COMPUTED_VALUE"""),44618.9871603587)</f>
        <v>44618.987160358702</v>
      </c>
      <c r="C251" s="79">
        <f ca="1">IFERROR(__xludf.DUMMYFUNCTION("""COMPUTED_VALUE"""),44619.6666666666)</f>
        <v>44619.666666666599</v>
      </c>
      <c r="D251" s="80" t="str">
        <f ca="1">IFERROR(__xludf.DUMMYFUNCTION("""COMPUTED_VALUE"""),"37934")</f>
        <v>37934</v>
      </c>
      <c r="E251" s="80" t="str">
        <f ca="1">IFERROR(__xludf.DUMMYFUNCTION("""COMPUTED_VALUE"""),"Stock")</f>
        <v>Stock</v>
      </c>
      <c r="F251" s="80" t="str">
        <f ca="1">IFERROR(__xludf.DUMMYFUNCTION("""COMPUTED_VALUE"""),"HKD")</f>
        <v>HKD</v>
      </c>
      <c r="G251" s="83" t="str">
        <f ca="1">IFERROR(__xludf.DUMMYFUNCTION("""COMPUTED_VALUE"""),"9626.HK")</f>
        <v>9626.HK</v>
      </c>
      <c r="H251" s="81">
        <f ca="1">IFERROR(__xludf.DUMMYFUNCTION("""COMPUTED_VALUE"""),50)</f>
        <v>50</v>
      </c>
      <c r="I251" s="80"/>
    </row>
    <row r="252" spans="1:9" ht="13" x14ac:dyDescent="0.15">
      <c r="A252" s="5"/>
      <c r="B252" s="82">
        <f ca="1">IFERROR(__xludf.DUMMYFUNCTION("""COMPUTED_VALUE"""),44618.9910941782)</f>
        <v>44618.9910941782</v>
      </c>
      <c r="C252" s="79">
        <f ca="1">IFERROR(__xludf.DUMMYFUNCTION("""COMPUTED_VALUE"""),44619.6666666666)</f>
        <v>44619.666666666599</v>
      </c>
      <c r="D252" s="80" t="str">
        <f ca="1">IFERROR(__xludf.DUMMYFUNCTION("""COMPUTED_VALUE"""),"37934")</f>
        <v>37934</v>
      </c>
      <c r="E252" s="80" t="str">
        <f ca="1">IFERROR(__xludf.DUMMYFUNCTION("""COMPUTED_VALUE"""),"Stock")</f>
        <v>Stock</v>
      </c>
      <c r="F252" s="80" t="str">
        <f ca="1">IFERROR(__xludf.DUMMYFUNCTION("""COMPUTED_VALUE"""),"HKD")</f>
        <v>HKD</v>
      </c>
      <c r="G252" s="83" t="str">
        <f ca="1">IFERROR(__xludf.DUMMYFUNCTION("""COMPUTED_VALUE"""),"9888.HK")</f>
        <v>9888.HK</v>
      </c>
      <c r="H252" s="81">
        <f ca="1">IFERROR(__xludf.DUMMYFUNCTION("""COMPUTED_VALUE"""),600)</f>
        <v>600</v>
      </c>
      <c r="I252" s="80"/>
    </row>
    <row r="253" spans="1:9" ht="13" x14ac:dyDescent="0.15">
      <c r="A253" s="5"/>
      <c r="B253" s="82">
        <f ca="1">IFERROR(__xludf.DUMMYFUNCTION("""COMPUTED_VALUE"""),44618.9932919328)</f>
        <v>44618.993291932798</v>
      </c>
      <c r="C253" s="79">
        <f ca="1">IFERROR(__xludf.DUMMYFUNCTION("""COMPUTED_VALUE"""),44619.6666666666)</f>
        <v>44619.666666666599</v>
      </c>
      <c r="D253" s="80" t="str">
        <f ca="1">IFERROR(__xludf.DUMMYFUNCTION("""COMPUTED_VALUE"""),"37934")</f>
        <v>37934</v>
      </c>
      <c r="E253" s="80" t="str">
        <f ca="1">IFERROR(__xludf.DUMMYFUNCTION("""COMPUTED_VALUE"""),"Stock")</f>
        <v>Stock</v>
      </c>
      <c r="F253" s="80" t="str">
        <f ca="1">IFERROR(__xludf.DUMMYFUNCTION("""COMPUTED_VALUE"""),"HKD")</f>
        <v>HKD</v>
      </c>
      <c r="G253" s="83" t="str">
        <f ca="1">IFERROR(__xludf.DUMMYFUNCTION("""COMPUTED_VALUE"""),"9626.HK")</f>
        <v>9626.HK</v>
      </c>
      <c r="H253" s="81">
        <f ca="1">IFERROR(__xludf.DUMMYFUNCTION("""COMPUTED_VALUE"""),450)</f>
        <v>450</v>
      </c>
      <c r="I253" s="80"/>
    </row>
    <row r="254" spans="1:9" ht="13" x14ac:dyDescent="0.15">
      <c r="A254" s="5"/>
      <c r="B254" s="82">
        <f ca="1">IFERROR(__xludf.DUMMYFUNCTION("""COMPUTED_VALUE"""),44618.9961306018)</f>
        <v>44618.996130601801</v>
      </c>
      <c r="C254" s="79">
        <f ca="1">IFERROR(__xludf.DUMMYFUNCTION("""COMPUTED_VALUE"""),44619.6666666666)</f>
        <v>44619.666666666599</v>
      </c>
      <c r="D254" s="80" t="str">
        <f ca="1">IFERROR(__xludf.DUMMYFUNCTION("""COMPUTED_VALUE"""),"37934")</f>
        <v>37934</v>
      </c>
      <c r="E254" s="80" t="str">
        <f ca="1">IFERROR(__xludf.DUMMYFUNCTION("""COMPUTED_VALUE"""),"Stock")</f>
        <v>Stock</v>
      </c>
      <c r="F254" s="80" t="str">
        <f ca="1">IFERROR(__xludf.DUMMYFUNCTION("""COMPUTED_VALUE"""),"HKD")</f>
        <v>HKD</v>
      </c>
      <c r="G254" s="83" t="str">
        <f ca="1">IFERROR(__xludf.DUMMYFUNCTION("""COMPUTED_VALUE"""),"9988.HK")</f>
        <v>9988.HK</v>
      </c>
      <c r="H254" s="81">
        <f ca="1">IFERROR(__xludf.DUMMYFUNCTION("""COMPUTED_VALUE"""),900)</f>
        <v>900</v>
      </c>
      <c r="I254" s="80"/>
    </row>
    <row r="255" spans="1:9" ht="13" x14ac:dyDescent="0.15">
      <c r="A255" s="5"/>
      <c r="B255" s="82">
        <f ca="1">IFERROR(__xludf.DUMMYFUNCTION("""COMPUTED_VALUE"""),44619.7083774305)</f>
        <v>44619.708377430499</v>
      </c>
      <c r="C255" s="79" t="str">
        <f ca="1">IFERROR(__xludf.DUMMYFUNCTION("""COMPUTED_VALUE"""),"")</f>
        <v/>
      </c>
      <c r="D255" s="80" t="str">
        <f ca="1">IFERROR(__xludf.DUMMYFUNCTION("""COMPUTED_VALUE"""),"77936")</f>
        <v>77936</v>
      </c>
      <c r="E255" s="80" t="str">
        <f ca="1">IFERROR(__xludf.DUMMYFUNCTION("""COMPUTED_VALUE"""),"Stock")</f>
        <v>Stock</v>
      </c>
      <c r="F255" s="80" t="str">
        <f ca="1">IFERROR(__xludf.DUMMYFUNCTION("""COMPUTED_VALUE"""),"error")</f>
        <v>error</v>
      </c>
      <c r="G255" s="78" t="str">
        <f ca="1">IFERROR(__xludf.DUMMYFUNCTION("""COMPUTED_VALUE"""),"0700")</f>
        <v>0700</v>
      </c>
      <c r="H255" s="81">
        <f ca="1">IFERROR(__xludf.DUMMYFUNCTION("""COMPUTED_VALUE"""),200)</f>
        <v>200</v>
      </c>
      <c r="I255" s="80" t="str">
        <f ca="1">IFERROR(__xludf.DUMMYFUNCTION("""COMPUTED_VALUE"""),"Order rejected due to wrong ticker code. just need to type in 0700.HK")</f>
        <v>Order rejected due to wrong ticker code. just need to type in 0700.HK</v>
      </c>
    </row>
    <row r="256" spans="1:9" ht="13" x14ac:dyDescent="0.15">
      <c r="A256" s="5"/>
      <c r="B256" s="82">
        <f ca="1">IFERROR(__xludf.DUMMYFUNCTION("""COMPUTED_VALUE"""),44619.7323212037)</f>
        <v>44619.732321203701</v>
      </c>
      <c r="C256" s="79" t="str">
        <f ca="1">IFERROR(__xludf.DUMMYFUNCTION("""COMPUTED_VALUE"""),"")</f>
        <v/>
      </c>
      <c r="D256" s="80" t="str">
        <f ca="1">IFERROR(__xludf.DUMMYFUNCTION("""COMPUTED_VALUE"""),"37922")</f>
        <v>37922</v>
      </c>
      <c r="E256" s="80" t="str">
        <f ca="1">IFERROR(__xludf.DUMMYFUNCTION("""COMPUTED_VALUE"""),"Stock")</f>
        <v>Stock</v>
      </c>
      <c r="F256" s="80" t="str">
        <f ca="1">IFERROR(__xludf.DUMMYFUNCTION("""COMPUTED_VALUE"""),"error")</f>
        <v>error</v>
      </c>
      <c r="G256" s="78" t="str">
        <f ca="1">IFERROR(__xludf.DUMMYFUNCTION("""COMPUTED_VALUE"""),"09999")</f>
        <v>09999</v>
      </c>
      <c r="H256" s="81">
        <f ca="1">IFERROR(__xludf.DUMMYFUNCTION("""COMPUTED_VALUE"""),1)</f>
        <v>1</v>
      </c>
      <c r="I256" s="80" t="str">
        <f ca="1">IFERROR(__xludf.DUMMYFUNCTION("""COMPUTED_VALUE"""),"Order rejected due to wrong ticker code. just need to type in 9999.HK")</f>
        <v>Order rejected due to wrong ticker code. just need to type in 9999.HK</v>
      </c>
    </row>
    <row r="257" spans="1:9" ht="13" x14ac:dyDescent="0.15">
      <c r="A257" s="5"/>
      <c r="B257" s="82">
        <f ca="1">IFERROR(__xludf.DUMMYFUNCTION("""COMPUTED_VALUE"""),44619.8312419097)</f>
        <v>44619.831241909698</v>
      </c>
      <c r="C257" s="79">
        <f ca="1">IFERROR(__xludf.DUMMYFUNCTION("""COMPUTED_VALUE"""),44619.6666666666)</f>
        <v>44619.666666666599</v>
      </c>
      <c r="D257" s="80" t="str">
        <f ca="1">IFERROR(__xludf.DUMMYFUNCTION("""COMPUTED_VALUE"""),"46322")</f>
        <v>46322</v>
      </c>
      <c r="E257" s="80" t="str">
        <f ca="1">IFERROR(__xludf.DUMMYFUNCTION("""COMPUTED_VALUE"""),"Stock")</f>
        <v>Stock</v>
      </c>
      <c r="F257" s="80" t="str">
        <f ca="1">IFERROR(__xludf.DUMMYFUNCTION("""COMPUTED_VALUE"""),"USD")</f>
        <v>USD</v>
      </c>
      <c r="G257" s="78" t="str">
        <f ca="1">IFERROR(__xludf.DUMMYFUNCTION("""COMPUTED_VALUE"""),"ARKK")</f>
        <v>ARKK</v>
      </c>
      <c r="H257" s="81">
        <f ca="1">IFERROR(__xludf.DUMMYFUNCTION("""COMPUTED_VALUE"""),200)</f>
        <v>200</v>
      </c>
      <c r="I257" s="80"/>
    </row>
    <row r="258" spans="1:9" ht="13" x14ac:dyDescent="0.15">
      <c r="A258" s="5"/>
      <c r="B258" s="82">
        <f ca="1">IFERROR(__xludf.DUMMYFUNCTION("""COMPUTED_VALUE"""),44620.2908552777)</f>
        <v>44620.290855277701</v>
      </c>
      <c r="C258" s="79" t="str">
        <f ca="1">IFERROR(__xludf.DUMMYFUNCTION("""COMPUTED_VALUE"""),"")</f>
        <v/>
      </c>
      <c r="D258" s="80" t="str">
        <f ca="1">IFERROR(__xludf.DUMMYFUNCTION("""COMPUTED_VALUE"""),"24442")</f>
        <v>24442</v>
      </c>
      <c r="E258" s="80" t="str">
        <f ca="1">IFERROR(__xludf.DUMMYFUNCTION("""COMPUTED_VALUE"""),"Stock")</f>
        <v>Stock</v>
      </c>
      <c r="F258" s="80" t="str">
        <f ca="1">IFERROR(__xludf.DUMMYFUNCTION("""COMPUTED_VALUE"""),"error")</f>
        <v>error</v>
      </c>
      <c r="G258" s="78" t="str">
        <f ca="1">IFERROR(__xludf.DUMMYFUNCTION("""COMPUTED_VALUE"""),"005930.KRX")</f>
        <v>005930.KRX</v>
      </c>
      <c r="H258" s="81">
        <f ca="1">IFERROR(__xludf.DUMMYFUNCTION("""COMPUTED_VALUE"""),100)</f>
        <v>100</v>
      </c>
      <c r="I258" s="80" t="str">
        <f ca="1">IFERROR(__xludf.DUMMYFUNCTION("""COMPUTED_VALUE"""),"Order rejected due to wrong ticker code. just need to type in 005930.KS")</f>
        <v>Order rejected due to wrong ticker code. just need to type in 005930.KS</v>
      </c>
    </row>
    <row r="259" spans="1:9" ht="13" x14ac:dyDescent="0.15">
      <c r="A259" s="5"/>
      <c r="B259" s="82">
        <f ca="1">IFERROR(__xludf.DUMMYFUNCTION("""COMPUTED_VALUE"""),44620.2946968634)</f>
        <v>44620.294696863399</v>
      </c>
      <c r="C259" s="79">
        <f ca="1">IFERROR(__xludf.DUMMYFUNCTION("""COMPUTED_VALUE"""),44620.6458333333)</f>
        <v>44620.645833333299</v>
      </c>
      <c r="D259" s="80" t="str">
        <f ca="1">IFERROR(__xludf.DUMMYFUNCTION("""COMPUTED_VALUE"""),"24442")</f>
        <v>24442</v>
      </c>
      <c r="E259" s="80" t="str">
        <f ca="1">IFERROR(__xludf.DUMMYFUNCTION("""COMPUTED_VALUE"""),"Stock")</f>
        <v>Stock</v>
      </c>
      <c r="F259" s="80" t="str">
        <f ca="1">IFERROR(__xludf.DUMMYFUNCTION("""COMPUTED_VALUE"""),"KRW")</f>
        <v>KRW</v>
      </c>
      <c r="G259" s="78" t="str">
        <f ca="1">IFERROR(__xludf.DUMMYFUNCTION("""COMPUTED_VALUE"""),"005930.KS")</f>
        <v>005930.KS</v>
      </c>
      <c r="H259" s="81">
        <f ca="1">IFERROR(__xludf.DUMMYFUNCTION("""COMPUTED_VALUE"""),100)</f>
        <v>100</v>
      </c>
      <c r="I259" s="80"/>
    </row>
    <row r="260" spans="1:9" ht="13" x14ac:dyDescent="0.15">
      <c r="A260" s="5"/>
      <c r="B260" s="82">
        <f ca="1">IFERROR(__xludf.DUMMYFUNCTION("""COMPUTED_VALUE"""),44620.3860908796)</f>
        <v>44620.386090879598</v>
      </c>
      <c r="C260" s="79">
        <f ca="1">IFERROR(__xludf.DUMMYFUNCTION("""COMPUTED_VALUE"""),44620.625)</f>
        <v>44620.625</v>
      </c>
      <c r="D260" s="80" t="str">
        <f ca="1">IFERROR(__xludf.DUMMYFUNCTION("""COMPUTED_VALUE"""),"76369")</f>
        <v>76369</v>
      </c>
      <c r="E260" s="80" t="str">
        <f ca="1">IFERROR(__xludf.DUMMYFUNCTION("""COMPUTED_VALUE"""),"Stock")</f>
        <v>Stock</v>
      </c>
      <c r="F260" s="80" t="str">
        <f ca="1">IFERROR(__xludf.DUMMYFUNCTION("""COMPUTED_VALUE"""),"CNY")</f>
        <v>CNY</v>
      </c>
      <c r="G260" s="83" t="str">
        <f ca="1">IFERROR(__xludf.DUMMYFUNCTION("""COMPUTED_VALUE"""),"002665.SZ")</f>
        <v>002665.SZ</v>
      </c>
      <c r="H260" s="81">
        <f ca="1">IFERROR(__xludf.DUMMYFUNCTION("""COMPUTED_VALUE"""),1000)</f>
        <v>1000</v>
      </c>
      <c r="I260" s="80"/>
    </row>
    <row r="261" spans="1:9" ht="13" x14ac:dyDescent="0.15">
      <c r="A261" s="5"/>
      <c r="B261" s="82">
        <f ca="1">IFERROR(__xludf.DUMMYFUNCTION("""COMPUTED_VALUE"""),44620.3878853935)</f>
        <v>44620.387885393502</v>
      </c>
      <c r="C261" s="79">
        <f ca="1">IFERROR(__xludf.DUMMYFUNCTION("""COMPUTED_VALUE"""),44620.625)</f>
        <v>44620.625</v>
      </c>
      <c r="D261" s="80" t="str">
        <f ca="1">IFERROR(__xludf.DUMMYFUNCTION("""COMPUTED_VALUE"""),"76369")</f>
        <v>76369</v>
      </c>
      <c r="E261" s="80" t="str">
        <f ca="1">IFERROR(__xludf.DUMMYFUNCTION("""COMPUTED_VALUE"""),"Stock")</f>
        <v>Stock</v>
      </c>
      <c r="F261" s="80" t="str">
        <f ca="1">IFERROR(__xludf.DUMMYFUNCTION("""COMPUTED_VALUE"""),"CNY")</f>
        <v>CNY</v>
      </c>
      <c r="G261" s="83" t="str">
        <f ca="1">IFERROR(__xludf.DUMMYFUNCTION("""COMPUTED_VALUE"""),"603967.SS")</f>
        <v>603967.SS</v>
      </c>
      <c r="H261" s="81">
        <f ca="1">IFERROR(__xludf.DUMMYFUNCTION("""COMPUTED_VALUE"""),500)</f>
        <v>500</v>
      </c>
      <c r="I261" s="80"/>
    </row>
    <row r="262" spans="1:9" ht="13" x14ac:dyDescent="0.15">
      <c r="A262" s="5"/>
      <c r="B262" s="82">
        <f ca="1">IFERROR(__xludf.DUMMYFUNCTION("""COMPUTED_VALUE"""),44620.423707199)</f>
        <v>44620.423707198999</v>
      </c>
      <c r="C262" s="79">
        <f ca="1">IFERROR(__xludf.DUMMYFUNCTION("""COMPUTED_VALUE"""),44620.6666666666)</f>
        <v>44620.666666666599</v>
      </c>
      <c r="D262" s="80" t="str">
        <f ca="1">IFERROR(__xludf.DUMMYFUNCTION("""COMPUTED_VALUE"""),"36460")</f>
        <v>36460</v>
      </c>
      <c r="E262" s="80" t="str">
        <f ca="1">IFERROR(__xludf.DUMMYFUNCTION("""COMPUTED_VALUE"""),"Stock")</f>
        <v>Stock</v>
      </c>
      <c r="F262" s="80" t="str">
        <f ca="1">IFERROR(__xludf.DUMMYFUNCTION("""COMPUTED_VALUE"""),"USD")</f>
        <v>USD</v>
      </c>
      <c r="G262" s="78" t="str">
        <f ca="1">IFERROR(__xludf.DUMMYFUNCTION("""COMPUTED_VALUE"""),"TSLA")</f>
        <v>TSLA</v>
      </c>
      <c r="H262" s="81">
        <f ca="1">IFERROR(__xludf.DUMMYFUNCTION("""COMPUTED_VALUE"""),80)</f>
        <v>80</v>
      </c>
      <c r="I262" s="80"/>
    </row>
    <row r="263" spans="1:9" ht="13" x14ac:dyDescent="0.15">
      <c r="A263" s="5"/>
      <c r="B263" s="82">
        <f ca="1">IFERROR(__xludf.DUMMYFUNCTION("""COMPUTED_VALUE"""),44620.4666763425)</f>
        <v>44620.466676342498</v>
      </c>
      <c r="C263" s="79" t="str">
        <f ca="1">IFERROR(__xludf.DUMMYFUNCTION("""COMPUTED_VALUE"""),"")</f>
        <v/>
      </c>
      <c r="D263" s="80" t="str">
        <f ca="1">IFERROR(__xludf.DUMMYFUNCTION("""COMPUTED_VALUE"""),"14626")</f>
        <v>14626</v>
      </c>
      <c r="E263" s="80" t="str">
        <f ca="1">IFERROR(__xludf.DUMMYFUNCTION("""COMPUTED_VALUE"""),"Bond")</f>
        <v>Bond</v>
      </c>
      <c r="F263" s="80" t="str">
        <f ca="1">IFERROR(__xludf.DUMMYFUNCTION("""COMPUTED_VALUE"""),"error")</f>
        <v>error</v>
      </c>
      <c r="G263" s="78" t="str">
        <f ca="1">IFERROR(__xludf.DUMMYFUNCTION("""COMPUTED_VALUE"""),"GC=F")</f>
        <v>GC=F</v>
      </c>
      <c r="H263" s="81">
        <f ca="1">IFERROR(__xludf.DUMMYFUNCTION("""COMPUTED_VALUE"""),5)</f>
        <v>5</v>
      </c>
      <c r="I263" s="80" t="str">
        <f ca="1">IFERROR(__xludf.DUMMYFUNCTION("""COMPUTED_VALUE"""),"Order rejected due to wrong asset class. Input as stock ticker, but asset class is bond.")</f>
        <v>Order rejected due to wrong asset class. Input as stock ticker, but asset class is bond.</v>
      </c>
    </row>
    <row r="264" spans="1:9" ht="13" x14ac:dyDescent="0.15">
      <c r="A264" s="5"/>
      <c r="B264" s="82">
        <f ca="1">IFERROR(__xludf.DUMMYFUNCTION("""COMPUTED_VALUE"""),44620.4697057754)</f>
        <v>44620.469705775402</v>
      </c>
      <c r="C264" s="79" t="str">
        <f ca="1">IFERROR(__xludf.DUMMYFUNCTION("""COMPUTED_VALUE"""),"")</f>
        <v/>
      </c>
      <c r="D264" s="80" t="str">
        <f ca="1">IFERROR(__xludf.DUMMYFUNCTION("""COMPUTED_VALUE"""),"14626")</f>
        <v>14626</v>
      </c>
      <c r="E264" s="80" t="str">
        <f ca="1">IFERROR(__xludf.DUMMYFUNCTION("""COMPUTED_VALUE"""),"Bond")</f>
        <v>Bond</v>
      </c>
      <c r="F264" s="80" t="str">
        <f ca="1">IFERROR(__xludf.DUMMYFUNCTION("""COMPUTED_VALUE"""),"error")</f>
        <v>error</v>
      </c>
      <c r="G264" s="78" t="str">
        <f ca="1">IFERROR(__xludf.DUMMYFUNCTION("""COMPUTED_VALUE"""),"(^FTSE)")</f>
        <v>(^FTSE)</v>
      </c>
      <c r="H264" s="81">
        <f ca="1">IFERROR(__xludf.DUMMYFUNCTION("""COMPUTED_VALUE"""),4)</f>
        <v>4</v>
      </c>
      <c r="I264" s="80" t="str">
        <f ca="1">IFERROR(__xludf.DUMMYFUNCTION("""COMPUTED_VALUE"""),"Order rejected due to wrong asset class. Input as stock ticker, but asset class is bond.")</f>
        <v>Order rejected due to wrong asset class. Input as stock ticker, but asset class is bond.</v>
      </c>
    </row>
    <row r="265" spans="1:9" ht="13" x14ac:dyDescent="0.15">
      <c r="A265" s="5"/>
      <c r="B265" s="82">
        <f ca="1">IFERROR(__xludf.DUMMYFUNCTION("""COMPUTED_VALUE"""),44620.4905934722)</f>
        <v>44620.490593472197</v>
      </c>
      <c r="C265" s="79">
        <f ca="1">IFERROR(__xludf.DUMMYFUNCTION("""COMPUTED_VALUE"""),44620.6666666666)</f>
        <v>44620.666666666599</v>
      </c>
      <c r="D265" s="80" t="str">
        <f ca="1">IFERROR(__xludf.DUMMYFUNCTION("""COMPUTED_VALUE"""),"14626")</f>
        <v>14626</v>
      </c>
      <c r="E265" s="80" t="str">
        <f ca="1">IFERROR(__xludf.DUMMYFUNCTION("""COMPUTED_VALUE"""),"Stock")</f>
        <v>Stock</v>
      </c>
      <c r="F265" s="80" t="str">
        <f ca="1">IFERROR(__xludf.DUMMYFUNCTION("""COMPUTED_VALUE"""),"USD")</f>
        <v>USD</v>
      </c>
      <c r="G265" s="78" t="str">
        <f ca="1">IFERROR(__xludf.DUMMYFUNCTION("""COMPUTED_VALUE"""),"TSLA")</f>
        <v>TSLA</v>
      </c>
      <c r="H265" s="81">
        <f ca="1">IFERROR(__xludf.DUMMYFUNCTION("""COMPUTED_VALUE"""),18)</f>
        <v>18</v>
      </c>
      <c r="I265" s="80"/>
    </row>
    <row r="266" spans="1:9" ht="13" x14ac:dyDescent="0.15">
      <c r="A266" s="5"/>
      <c r="B266" s="82">
        <f ca="1">IFERROR(__xludf.DUMMYFUNCTION("""COMPUTED_VALUE"""),44620.6748202777)</f>
        <v>44620.674820277702</v>
      </c>
      <c r="C266" s="79" t="str">
        <f ca="1">IFERROR(__xludf.DUMMYFUNCTION("""COMPUTED_VALUE"""),"")</f>
        <v/>
      </c>
      <c r="D266" s="80" t="str">
        <f ca="1">IFERROR(__xludf.DUMMYFUNCTION("""COMPUTED_VALUE"""),"45962")</f>
        <v>45962</v>
      </c>
      <c r="E266" s="80" t="str">
        <f ca="1">IFERROR(__xludf.DUMMYFUNCTION("""COMPUTED_VALUE"""),"Stock")</f>
        <v>Stock</v>
      </c>
      <c r="F266" s="80" t="str">
        <f ca="1">IFERROR(__xludf.DUMMYFUNCTION("""COMPUTED_VALUE"""),"error")</f>
        <v>error</v>
      </c>
      <c r="G266" s="83" t="str">
        <f ca="1">IFERROR(__xludf.DUMMYFUNCTION("""COMPUTED_VALUE"""),"00700.hk")</f>
        <v>00700.hk</v>
      </c>
      <c r="H266" s="81">
        <f ca="1">IFERROR(__xludf.DUMMYFUNCTION("""COMPUTED_VALUE"""),1000)</f>
        <v>1000</v>
      </c>
      <c r="I266" s="80" t="str">
        <f ca="1">IFERROR(__xludf.DUMMYFUNCTION("""COMPUTED_VALUE"""),"Order rejected due to wrong ticker code. just need to type in 0700.HK")</f>
        <v>Order rejected due to wrong ticker code. just need to type in 0700.HK</v>
      </c>
    </row>
    <row r="267" spans="1:9" ht="13" x14ac:dyDescent="0.15">
      <c r="A267" s="5"/>
      <c r="B267" s="82">
        <f ca="1">IFERROR(__xludf.DUMMYFUNCTION("""COMPUTED_VALUE"""),44620.6793416203)</f>
        <v>44620.6793416203</v>
      </c>
      <c r="C267" s="79">
        <f ca="1">IFERROR(__xludf.DUMMYFUNCTION("""COMPUTED_VALUE"""),44621.6666666666)</f>
        <v>44621.666666666599</v>
      </c>
      <c r="D267" s="80" t="str">
        <f ca="1">IFERROR(__xludf.DUMMYFUNCTION("""COMPUTED_VALUE"""),"45962")</f>
        <v>45962</v>
      </c>
      <c r="E267" s="80" t="str">
        <f ca="1">IFERROR(__xludf.DUMMYFUNCTION("""COMPUTED_VALUE"""),"Stock")</f>
        <v>Stock</v>
      </c>
      <c r="F267" s="80" t="str">
        <f ca="1">IFERROR(__xludf.DUMMYFUNCTION("""COMPUTED_VALUE"""),"HKD")</f>
        <v>HKD</v>
      </c>
      <c r="G267" s="83" t="str">
        <f ca="1">IFERROR(__xludf.DUMMYFUNCTION("""COMPUTED_VALUE"""),"0700.HK")</f>
        <v>0700.HK</v>
      </c>
      <c r="H267" s="81">
        <f ca="1">IFERROR(__xludf.DUMMYFUNCTION("""COMPUTED_VALUE"""),1000)</f>
        <v>1000</v>
      </c>
      <c r="I267" s="80"/>
    </row>
    <row r="268" spans="1:9" ht="13" x14ac:dyDescent="0.15">
      <c r="A268" s="5"/>
      <c r="B268" s="82">
        <f ca="1">IFERROR(__xludf.DUMMYFUNCTION("""COMPUTED_VALUE"""),44620.7010995601)</f>
        <v>44620.701099560101</v>
      </c>
      <c r="C268" s="79" t="str">
        <f ca="1">IFERROR(__xludf.DUMMYFUNCTION("""COMPUTED_VALUE"""),"")</f>
        <v/>
      </c>
      <c r="D268" s="80" t="str">
        <f ca="1">IFERROR(__xludf.DUMMYFUNCTION("""COMPUTED_VALUE"""),"")</f>
        <v/>
      </c>
      <c r="E268" s="80" t="str">
        <f ca="1">IFERROR(__xludf.DUMMYFUNCTION("""COMPUTED_VALUE"""),"Stock")</f>
        <v>Stock</v>
      </c>
      <c r="F268" s="80" t="str">
        <f ca="1">IFERROR(__xludf.DUMMYFUNCTION("""COMPUTED_VALUE"""),"error")</f>
        <v>error</v>
      </c>
      <c r="G268" s="78">
        <f ca="1">IFERROR(__xludf.DUMMYFUNCTION("""COMPUTED_VALUE"""),600519)</f>
        <v>600519</v>
      </c>
      <c r="H268" s="81">
        <f ca="1">IFERROR(__xludf.DUMMYFUNCTION("""COMPUTED_VALUE"""),1000)</f>
        <v>1000</v>
      </c>
      <c r="I268" s="80" t="str">
        <f ca="1">IFERROR(__xludf.DUMMYFUNCTION("""COMPUTED_VALUE"""),"Order rejected due to wrong account/ school email code. Please input your correct email address.")</f>
        <v>Order rejected due to wrong account/ school email code. Please input your correct email address.</v>
      </c>
    </row>
    <row r="269" spans="1:9" ht="13" x14ac:dyDescent="0.15">
      <c r="A269" s="5"/>
      <c r="B269" s="82">
        <f ca="1">IFERROR(__xludf.DUMMYFUNCTION("""COMPUTED_VALUE"""),44620.7156040625)</f>
        <v>44620.715604062498</v>
      </c>
      <c r="C269" s="79" t="str">
        <f ca="1">IFERROR(__xludf.DUMMYFUNCTION("""COMPUTED_VALUE"""),"")</f>
        <v/>
      </c>
      <c r="D269" s="80" t="str">
        <f ca="1">IFERROR(__xludf.DUMMYFUNCTION("""COMPUTED_VALUE"""),"")</f>
        <v/>
      </c>
      <c r="E269" s="80" t="str">
        <f ca="1">IFERROR(__xludf.DUMMYFUNCTION("""COMPUTED_VALUE"""),"Stock")</f>
        <v>Stock</v>
      </c>
      <c r="F269" s="80" t="str">
        <f ca="1">IFERROR(__xludf.DUMMYFUNCTION("""COMPUTED_VALUE"""),"error")</f>
        <v>error</v>
      </c>
      <c r="G269" s="83" t="str">
        <f ca="1">IFERROR(__xludf.DUMMYFUNCTION("""COMPUTED_VALUE"""),"600519.SS")</f>
        <v>600519.SS</v>
      </c>
      <c r="H269" s="81">
        <f ca="1">IFERROR(__xludf.DUMMYFUNCTION("""COMPUTED_VALUE"""),50)</f>
        <v>50</v>
      </c>
      <c r="I269" s="80" t="str">
        <f ca="1">IFERROR(__xludf.DUMMYFUNCTION("""COMPUTED_VALUE"""),"Order rejected due to wrong account/ school email code. Please input your correct email address.")</f>
        <v>Order rejected due to wrong account/ school email code. Please input your correct email address.</v>
      </c>
    </row>
    <row r="270" spans="1:9" ht="13" x14ac:dyDescent="0.15">
      <c r="A270" s="5"/>
      <c r="B270" s="82">
        <f ca="1">IFERROR(__xludf.DUMMYFUNCTION("""COMPUTED_VALUE"""),44620.9965124305)</f>
        <v>44620.996512430502</v>
      </c>
      <c r="C270" s="79">
        <f ca="1">IFERROR(__xludf.DUMMYFUNCTION("""COMPUTED_VALUE"""),44620.6666666666)</f>
        <v>44620.666666666599</v>
      </c>
      <c r="D270" s="80" t="str">
        <f ca="1">IFERROR(__xludf.DUMMYFUNCTION("""COMPUTED_VALUE"""),"89750")</f>
        <v>89750</v>
      </c>
      <c r="E270" s="80" t="str">
        <f ca="1">IFERROR(__xludf.DUMMYFUNCTION("""COMPUTED_VALUE"""),"Stock")</f>
        <v>Stock</v>
      </c>
      <c r="F270" s="80" t="str">
        <f ca="1">IFERROR(__xludf.DUMMYFUNCTION("""COMPUTED_VALUE"""),"USD")</f>
        <v>USD</v>
      </c>
      <c r="G270" s="78" t="str">
        <f ca="1">IFERROR(__xludf.DUMMYFUNCTION("""COMPUTED_VALUE"""),"SOXL")</f>
        <v>SOXL</v>
      </c>
      <c r="H270" s="81">
        <f ca="1">IFERROR(__xludf.DUMMYFUNCTION("""COMPUTED_VALUE"""),20)</f>
        <v>20</v>
      </c>
      <c r="I270" s="80"/>
    </row>
    <row r="271" spans="1:9" ht="13" x14ac:dyDescent="0.15">
      <c r="A271" s="5"/>
      <c r="B271" s="82">
        <f ca="1">IFERROR(__xludf.DUMMYFUNCTION("""COMPUTED_VALUE"""),44621.0462686111)</f>
        <v>44621.046268611099</v>
      </c>
      <c r="C271" s="79">
        <f ca="1">IFERROR(__xludf.DUMMYFUNCTION("""COMPUTED_VALUE"""),44620.6666666666)</f>
        <v>44620.666666666599</v>
      </c>
      <c r="D271" s="80" t="str">
        <f ca="1">IFERROR(__xludf.DUMMYFUNCTION("""COMPUTED_VALUE"""),"89750")</f>
        <v>89750</v>
      </c>
      <c r="E271" s="80" t="str">
        <f ca="1">IFERROR(__xludf.DUMMYFUNCTION("""COMPUTED_VALUE"""),"Stock")</f>
        <v>Stock</v>
      </c>
      <c r="F271" s="80" t="str">
        <f ca="1">IFERROR(__xludf.DUMMYFUNCTION("""COMPUTED_VALUE"""),"USD")</f>
        <v>USD</v>
      </c>
      <c r="G271" s="78" t="str">
        <f ca="1">IFERROR(__xludf.DUMMYFUNCTION("""COMPUTED_VALUE"""),"SBRCY")</f>
        <v>SBRCY</v>
      </c>
      <c r="H271" s="81">
        <f ca="1">IFERROR(__xludf.DUMMYFUNCTION("""COMPUTED_VALUE"""),5000)</f>
        <v>5000</v>
      </c>
      <c r="I271" s="80"/>
    </row>
    <row r="272" spans="1:9" ht="13" x14ac:dyDescent="0.15">
      <c r="A272" s="5"/>
      <c r="B272" s="82">
        <f ca="1">IFERROR(__xludf.DUMMYFUNCTION("""COMPUTED_VALUE"""),44621.046745162)</f>
        <v>44621.046745161999</v>
      </c>
      <c r="C272" s="79">
        <f ca="1">IFERROR(__xludf.DUMMYFUNCTION("""COMPUTED_VALUE"""),44620.6666666666)</f>
        <v>44620.666666666599</v>
      </c>
      <c r="D272" s="80" t="str">
        <f ca="1">IFERROR(__xludf.DUMMYFUNCTION("""COMPUTED_VALUE"""),"89750")</f>
        <v>89750</v>
      </c>
      <c r="E272" s="80" t="str">
        <f ca="1">IFERROR(__xludf.DUMMYFUNCTION("""COMPUTED_VALUE"""),"Option")</f>
        <v>Option</v>
      </c>
      <c r="F272" s="80" t="str">
        <f ca="1">IFERROR(__xludf.DUMMYFUNCTION("""COMPUTED_VALUE"""),"USD")</f>
        <v>USD</v>
      </c>
      <c r="G272" s="78" t="str">
        <f ca="1">IFERROR(__xludf.DUMMYFUNCTION("""COMPUTED_VALUE"""),"FTCH220318P00017500")</f>
        <v>FTCH220318P00017500</v>
      </c>
      <c r="H272" s="81">
        <f ca="1">IFERROR(__xludf.DUMMYFUNCTION("""COMPUTED_VALUE"""),50)</f>
        <v>50</v>
      </c>
      <c r="I272" s="80"/>
    </row>
    <row r="273" spans="1:9" ht="13" x14ac:dyDescent="0.15">
      <c r="A273" s="5"/>
      <c r="B273" s="82">
        <f ca="1">IFERROR(__xludf.DUMMYFUNCTION("""COMPUTED_VALUE"""),44621.0559671296)</f>
        <v>44621.0559671296</v>
      </c>
      <c r="C273" s="79">
        <f ca="1">IFERROR(__xludf.DUMMYFUNCTION("""COMPUTED_VALUE"""),44620.6666666666)</f>
        <v>44620.666666666599</v>
      </c>
      <c r="D273" s="80" t="str">
        <f ca="1">IFERROR(__xludf.DUMMYFUNCTION("""COMPUTED_VALUE"""),"89750")</f>
        <v>89750</v>
      </c>
      <c r="E273" s="80" t="str">
        <f ca="1">IFERROR(__xludf.DUMMYFUNCTION("""COMPUTED_VALUE"""),"Option")</f>
        <v>Option</v>
      </c>
      <c r="F273" s="80" t="str">
        <f ca="1">IFERROR(__xludf.DUMMYFUNCTION("""COMPUTED_VALUE"""),"USD")</f>
        <v>USD</v>
      </c>
      <c r="G273" s="78" t="str">
        <f ca="1">IFERROR(__xludf.DUMMYFUNCTION("""COMPUTED_VALUE"""),"SPXL220318C00080000")</f>
        <v>SPXL220318C00080000</v>
      </c>
      <c r="H273" s="81">
        <f ca="1">IFERROR(__xludf.DUMMYFUNCTION("""COMPUTED_VALUE"""),2)</f>
        <v>2</v>
      </c>
      <c r="I273" s="80"/>
    </row>
    <row r="274" spans="1:9" ht="13" x14ac:dyDescent="0.15">
      <c r="A274" s="5"/>
      <c r="B274" s="82">
        <f ca="1">IFERROR(__xludf.DUMMYFUNCTION("""COMPUTED_VALUE"""),44621.109633831)</f>
        <v>44621.109633831002</v>
      </c>
      <c r="C274" s="79">
        <f ca="1">IFERROR(__xludf.DUMMYFUNCTION("""COMPUTED_VALUE"""),44620.6666666666)</f>
        <v>44620.666666666599</v>
      </c>
      <c r="D274" s="80" t="str">
        <f ca="1">IFERROR(__xludf.DUMMYFUNCTION("""COMPUTED_VALUE"""),"39857")</f>
        <v>39857</v>
      </c>
      <c r="E274" s="80" t="str">
        <f ca="1">IFERROR(__xludf.DUMMYFUNCTION("""COMPUTED_VALUE"""),"Stock")</f>
        <v>Stock</v>
      </c>
      <c r="F274" s="80" t="str">
        <f ca="1">IFERROR(__xludf.DUMMYFUNCTION("""COMPUTED_VALUE"""),"USD")</f>
        <v>USD</v>
      </c>
      <c r="G274" s="78" t="str">
        <f ca="1">IFERROR(__xludf.DUMMYFUNCTION("""COMPUTED_VALUE"""),"TSLA")</f>
        <v>TSLA</v>
      </c>
      <c r="H274" s="81">
        <f ca="1">IFERROR(__xludf.DUMMYFUNCTION("""COMPUTED_VALUE"""),60)</f>
        <v>60</v>
      </c>
      <c r="I274" s="80"/>
    </row>
    <row r="275" spans="1:9" ht="13" x14ac:dyDescent="0.15">
      <c r="A275" s="5"/>
      <c r="B275" s="82">
        <f ca="1">IFERROR(__xludf.DUMMYFUNCTION("""COMPUTED_VALUE"""),44621.3696315856)</f>
        <v>44621.3696315856</v>
      </c>
      <c r="C275" s="79">
        <f ca="1">IFERROR(__xludf.DUMMYFUNCTION("""COMPUTED_VALUE"""),44621.625)</f>
        <v>44621.625</v>
      </c>
      <c r="D275" s="80" t="str">
        <f ca="1">IFERROR(__xludf.DUMMYFUNCTION("""COMPUTED_VALUE"""),"74641")</f>
        <v>74641</v>
      </c>
      <c r="E275" s="80" t="str">
        <f ca="1">IFERROR(__xludf.DUMMYFUNCTION("""COMPUTED_VALUE"""),"Stock")</f>
        <v>Stock</v>
      </c>
      <c r="F275" s="80" t="str">
        <f ca="1">IFERROR(__xludf.DUMMYFUNCTION("""COMPUTED_VALUE"""),"CNY")</f>
        <v>CNY</v>
      </c>
      <c r="G275" s="83" t="str">
        <f ca="1">IFERROR(__xludf.DUMMYFUNCTION("""COMPUTED_VALUE"""),"002475.SZ")</f>
        <v>002475.SZ</v>
      </c>
      <c r="H275" s="81">
        <f ca="1">IFERROR(__xludf.DUMMYFUNCTION("""COMPUTED_VALUE"""),500)</f>
        <v>500</v>
      </c>
      <c r="I275" s="80"/>
    </row>
    <row r="276" spans="1:9" ht="13" x14ac:dyDescent="0.15">
      <c r="A276" s="5"/>
      <c r="B276" s="82">
        <f ca="1">IFERROR(__xludf.DUMMYFUNCTION("""COMPUTED_VALUE"""),44621.409548993)</f>
        <v>44621.409548992997</v>
      </c>
      <c r="C276" s="79">
        <f ca="1">IFERROR(__xludf.DUMMYFUNCTION("""COMPUTED_VALUE"""),44621.6666666666)</f>
        <v>44621.666666666599</v>
      </c>
      <c r="D276" s="80" t="str">
        <f ca="1">IFERROR(__xludf.DUMMYFUNCTION("""COMPUTED_VALUE"""),"82124")</f>
        <v>82124</v>
      </c>
      <c r="E276" s="80" t="str">
        <f ca="1">IFERROR(__xludf.DUMMYFUNCTION("""COMPUTED_VALUE"""),"Stock")</f>
        <v>Stock</v>
      </c>
      <c r="F276" s="80" t="str">
        <f ca="1">IFERROR(__xludf.DUMMYFUNCTION("""COMPUTED_VALUE"""),"HKD")</f>
        <v>HKD</v>
      </c>
      <c r="G276" s="83" t="str">
        <f ca="1">IFERROR(__xludf.DUMMYFUNCTION("""COMPUTED_VALUE"""),"9988.HK")</f>
        <v>9988.HK</v>
      </c>
      <c r="H276" s="81">
        <f ca="1">IFERROR(__xludf.DUMMYFUNCTION("""COMPUTED_VALUE"""),300)</f>
        <v>300</v>
      </c>
      <c r="I276" s="80"/>
    </row>
    <row r="277" spans="1:9" ht="13" x14ac:dyDescent="0.15">
      <c r="A277" s="5"/>
      <c r="B277" s="82">
        <f ca="1">IFERROR(__xludf.DUMMYFUNCTION("""COMPUTED_VALUE"""),44621.4656110648)</f>
        <v>44621.465611064799</v>
      </c>
      <c r="C277" s="79">
        <f ca="1">IFERROR(__xludf.DUMMYFUNCTION("""COMPUTED_VALUE"""),44621.6666666666)</f>
        <v>44621.666666666599</v>
      </c>
      <c r="D277" s="80" t="str">
        <f ca="1">IFERROR(__xludf.DUMMYFUNCTION("""COMPUTED_VALUE"""),"82124")</f>
        <v>82124</v>
      </c>
      <c r="E277" s="80" t="str">
        <f ca="1">IFERROR(__xludf.DUMMYFUNCTION("""COMPUTED_VALUE"""),"Stock")</f>
        <v>Stock</v>
      </c>
      <c r="F277" s="80" t="str">
        <f ca="1">IFERROR(__xludf.DUMMYFUNCTION("""COMPUTED_VALUE"""),"HKD")</f>
        <v>HKD</v>
      </c>
      <c r="G277" s="83" t="str">
        <f ca="1">IFERROR(__xludf.DUMMYFUNCTION("""COMPUTED_VALUE"""),"2800.HK")</f>
        <v>2800.HK</v>
      </c>
      <c r="H277" s="81">
        <f ca="1">IFERROR(__xludf.DUMMYFUNCTION("""COMPUTED_VALUE"""),2000)</f>
        <v>2000</v>
      </c>
      <c r="I277" s="80"/>
    </row>
    <row r="278" spans="1:9" ht="13" x14ac:dyDescent="0.15">
      <c r="A278" s="5"/>
      <c r="B278" s="82">
        <f ca="1">IFERROR(__xludf.DUMMYFUNCTION("""COMPUTED_VALUE"""),44621.4857655439)</f>
        <v>44621.485765543897</v>
      </c>
      <c r="C278" s="79">
        <f ca="1">IFERROR(__xludf.DUMMYFUNCTION("""COMPUTED_VALUE"""),44621.6666666666)</f>
        <v>44621.666666666599</v>
      </c>
      <c r="D278" s="80" t="str">
        <f ca="1">IFERROR(__xludf.DUMMYFUNCTION("""COMPUTED_VALUE"""),"14626")</f>
        <v>14626</v>
      </c>
      <c r="E278" s="80" t="str">
        <f ca="1">IFERROR(__xludf.DUMMYFUNCTION("""COMPUTED_VALUE"""),"Stock")</f>
        <v>Stock</v>
      </c>
      <c r="F278" s="80" t="str">
        <f ca="1">IFERROR(__xludf.DUMMYFUNCTION("""COMPUTED_VALUE"""),"USD")</f>
        <v>USD</v>
      </c>
      <c r="G278" s="78" t="str">
        <f ca="1">IFERROR(__xludf.DUMMYFUNCTION("""COMPUTED_VALUE"""),"GC=F")</f>
        <v>GC=F</v>
      </c>
      <c r="H278" s="81">
        <f ca="1">IFERROR(__xludf.DUMMYFUNCTION("""COMPUTED_VALUE"""),10)</f>
        <v>10</v>
      </c>
      <c r="I278" s="80"/>
    </row>
    <row r="279" spans="1:9" ht="13" x14ac:dyDescent="0.15">
      <c r="A279" s="5"/>
      <c r="B279" s="82">
        <f ca="1">IFERROR(__xludf.DUMMYFUNCTION("""COMPUTED_VALUE"""),44621.4871765046)</f>
        <v>44621.487176504597</v>
      </c>
      <c r="C279" s="79" t="str">
        <f ca="1">IFERROR(__xludf.DUMMYFUNCTION("""COMPUTED_VALUE"""),"")</f>
        <v/>
      </c>
      <c r="D279" s="80" t="str">
        <f ca="1">IFERROR(__xludf.DUMMYFUNCTION("""COMPUTED_VALUE"""),"14626")</f>
        <v>14626</v>
      </c>
      <c r="E279" s="80" t="str">
        <f ca="1">IFERROR(__xludf.DUMMYFUNCTION("""COMPUTED_VALUE"""),"Stock")</f>
        <v>Stock</v>
      </c>
      <c r="F279" s="80" t="str">
        <f ca="1">IFERROR(__xludf.DUMMYFUNCTION("""COMPUTED_VALUE"""),"error")</f>
        <v>error</v>
      </c>
      <c r="G279" s="78" t="str">
        <f ca="1">IFERROR(__xludf.DUMMYFUNCTION("""COMPUTED_VALUE"""),"(^FTSE)")</f>
        <v>(^FTSE)</v>
      </c>
      <c r="H279" s="81">
        <f ca="1">IFERROR(__xludf.DUMMYFUNCTION("""COMPUTED_VALUE"""),10)</f>
        <v>10</v>
      </c>
      <c r="I279" s="80" t="str">
        <f ca="1">IFERROR(__xludf.DUMMYFUNCTION("""COMPUTED_VALUE"""),"Order rejected due to wrong ticker code. just need to type in ^FTSE, without the bracket")</f>
        <v>Order rejected due to wrong ticker code. just need to type in ^FTSE, without the bracket</v>
      </c>
    </row>
    <row r="280" spans="1:9" ht="13" x14ac:dyDescent="0.15">
      <c r="A280" s="5"/>
      <c r="B280" s="82">
        <f ca="1">IFERROR(__xludf.DUMMYFUNCTION("""COMPUTED_VALUE"""),44621.5309037847)</f>
        <v>44621.530903784696</v>
      </c>
      <c r="C280" s="79">
        <f ca="1">IFERROR(__xludf.DUMMYFUNCTION("""COMPUTED_VALUE"""),44621.6666666666)</f>
        <v>44621.666666666599</v>
      </c>
      <c r="D280" s="80" t="str">
        <f ca="1">IFERROR(__xludf.DUMMYFUNCTION("""COMPUTED_VALUE"""),"89750")</f>
        <v>89750</v>
      </c>
      <c r="E280" s="80" t="str">
        <f ca="1">IFERROR(__xludf.DUMMYFUNCTION("""COMPUTED_VALUE"""),"Option")</f>
        <v>Option</v>
      </c>
      <c r="F280" s="80" t="str">
        <f ca="1">IFERROR(__xludf.DUMMYFUNCTION("""COMPUTED_VALUE"""),"USD")</f>
        <v>USD</v>
      </c>
      <c r="G280" s="78" t="str">
        <f ca="1">IFERROR(__xludf.DUMMYFUNCTION("""COMPUTED_VALUE"""),"SPXL220318C00080000")</f>
        <v>SPXL220318C00080000</v>
      </c>
      <c r="H280" s="81">
        <f ca="1">IFERROR(__xludf.DUMMYFUNCTION("""COMPUTED_VALUE"""),6)</f>
        <v>6</v>
      </c>
      <c r="I280" s="80"/>
    </row>
    <row r="281" spans="1:9" ht="13" x14ac:dyDescent="0.15">
      <c r="A281" s="5"/>
      <c r="B281" s="82">
        <f ca="1">IFERROR(__xludf.DUMMYFUNCTION("""COMPUTED_VALUE"""),44621.9556888425)</f>
        <v>44621.9556888425</v>
      </c>
      <c r="C281" s="79">
        <f ca="1">IFERROR(__xludf.DUMMYFUNCTION("""COMPUTED_VALUE"""),44621.6666666666)</f>
        <v>44621.666666666599</v>
      </c>
      <c r="D281" s="80" t="str">
        <f ca="1">IFERROR(__xludf.DUMMYFUNCTION("""COMPUTED_VALUE"""),"76975")</f>
        <v>76975</v>
      </c>
      <c r="E281" s="80" t="str">
        <f ca="1">IFERROR(__xludf.DUMMYFUNCTION("""COMPUTED_VALUE"""),"Stock")</f>
        <v>Stock</v>
      </c>
      <c r="F281" s="80" t="str">
        <f ca="1">IFERROR(__xludf.DUMMYFUNCTION("""COMPUTED_VALUE"""),"USD")</f>
        <v>USD</v>
      </c>
      <c r="G281" s="78" t="str">
        <f ca="1">IFERROR(__xludf.DUMMYFUNCTION("""COMPUTED_VALUE"""),"JD")</f>
        <v>JD</v>
      </c>
      <c r="H281" s="81">
        <f ca="1">IFERROR(__xludf.DUMMYFUNCTION("""COMPUTED_VALUE"""),120)</f>
        <v>120</v>
      </c>
      <c r="I281" s="80"/>
    </row>
    <row r="282" spans="1:9" ht="13" x14ac:dyDescent="0.15">
      <c r="A282" s="5"/>
      <c r="B282" s="82">
        <f ca="1">IFERROR(__xludf.DUMMYFUNCTION("""COMPUTED_VALUE"""),44622.1050158217)</f>
        <v>44622.105015821697</v>
      </c>
      <c r="C282" s="79">
        <f ca="1">IFERROR(__xludf.DUMMYFUNCTION("""COMPUTED_VALUE"""),44621.6666666666)</f>
        <v>44621.666666666599</v>
      </c>
      <c r="D282" s="80" t="str">
        <f ca="1">IFERROR(__xludf.DUMMYFUNCTION("""COMPUTED_VALUE"""),"46975")</f>
        <v>46975</v>
      </c>
      <c r="E282" s="80" t="str">
        <f ca="1">IFERROR(__xludf.DUMMYFUNCTION("""COMPUTED_VALUE"""),"Stock")</f>
        <v>Stock</v>
      </c>
      <c r="F282" s="80" t="str">
        <f ca="1">IFERROR(__xludf.DUMMYFUNCTION("""COMPUTED_VALUE"""),"USD")</f>
        <v>USD</v>
      </c>
      <c r="G282" s="78" t="str">
        <f ca="1">IFERROR(__xludf.DUMMYFUNCTION("""COMPUTED_VALUE"""),"AAPL")</f>
        <v>AAPL</v>
      </c>
      <c r="H282" s="81">
        <f ca="1">IFERROR(__xludf.DUMMYFUNCTION("""COMPUTED_VALUE"""),100)</f>
        <v>100</v>
      </c>
      <c r="I282" s="80"/>
    </row>
    <row r="283" spans="1:9" ht="13" x14ac:dyDescent="0.15">
      <c r="A283" s="5"/>
      <c r="B283" s="82">
        <f ca="1">IFERROR(__xludf.DUMMYFUNCTION("""COMPUTED_VALUE"""),44622.1560893634)</f>
        <v>44622.156089363401</v>
      </c>
      <c r="C283" s="79">
        <f ca="1">IFERROR(__xludf.DUMMYFUNCTION("""COMPUTED_VALUE"""),44621.6666666666)</f>
        <v>44621.666666666599</v>
      </c>
      <c r="D283" s="80" t="str">
        <f ca="1">IFERROR(__xludf.DUMMYFUNCTION("""COMPUTED_VALUE"""),"89750")</f>
        <v>89750</v>
      </c>
      <c r="E283" s="80" t="str">
        <f ca="1">IFERROR(__xludf.DUMMYFUNCTION("""COMPUTED_VALUE"""),"Stock")</f>
        <v>Stock</v>
      </c>
      <c r="F283" s="80" t="str">
        <f ca="1">IFERROR(__xludf.DUMMYFUNCTION("""COMPUTED_VALUE"""),"USD")</f>
        <v>USD</v>
      </c>
      <c r="G283" s="78" t="str">
        <f ca="1">IFERROR(__xludf.DUMMYFUNCTION("""COMPUTED_VALUE"""),"SOFI")</f>
        <v>SOFI</v>
      </c>
      <c r="H283" s="81">
        <f ca="1">IFERROR(__xludf.DUMMYFUNCTION("""COMPUTED_VALUE"""),100)</f>
        <v>100</v>
      </c>
      <c r="I283" s="80"/>
    </row>
    <row r="284" spans="1:9" ht="13" x14ac:dyDescent="0.15">
      <c r="A284" s="5"/>
      <c r="B284" s="82">
        <f ca="1">IFERROR(__xludf.DUMMYFUNCTION("""COMPUTED_VALUE"""),44622.1564658912)</f>
        <v>44622.156465891203</v>
      </c>
      <c r="C284" s="79">
        <f ca="1">IFERROR(__xludf.DUMMYFUNCTION("""COMPUTED_VALUE"""),44621.6666666666)</f>
        <v>44621.666666666599</v>
      </c>
      <c r="D284" s="80" t="str">
        <f ca="1">IFERROR(__xludf.DUMMYFUNCTION("""COMPUTED_VALUE"""),"89750")</f>
        <v>89750</v>
      </c>
      <c r="E284" s="80" t="str">
        <f ca="1">IFERROR(__xludf.DUMMYFUNCTION("""COMPUTED_VALUE"""),"Stock")</f>
        <v>Stock</v>
      </c>
      <c r="F284" s="80" t="str">
        <f ca="1">IFERROR(__xludf.DUMMYFUNCTION("""COMPUTED_VALUE"""),"USD")</f>
        <v>USD</v>
      </c>
      <c r="G284" s="78" t="str">
        <f ca="1">IFERROR(__xludf.DUMMYFUNCTION("""COMPUTED_VALUE"""),"NU")</f>
        <v>NU</v>
      </c>
      <c r="H284" s="81">
        <f ca="1">IFERROR(__xludf.DUMMYFUNCTION("""COMPUTED_VALUE"""),90)</f>
        <v>90</v>
      </c>
      <c r="I284" s="80"/>
    </row>
    <row r="285" spans="1:9" ht="13" x14ac:dyDescent="0.15">
      <c r="A285" s="5"/>
      <c r="B285" s="82">
        <f ca="1">IFERROR(__xludf.DUMMYFUNCTION("""COMPUTED_VALUE"""),44622.158814155)</f>
        <v>44622.158814155002</v>
      </c>
      <c r="C285" s="79">
        <f ca="1">IFERROR(__xludf.DUMMYFUNCTION("""COMPUTED_VALUE"""),44621.6666666666)</f>
        <v>44621.666666666599</v>
      </c>
      <c r="D285" s="80" t="str">
        <f ca="1">IFERROR(__xludf.DUMMYFUNCTION("""COMPUTED_VALUE"""),"89750")</f>
        <v>89750</v>
      </c>
      <c r="E285" s="80" t="str">
        <f ca="1">IFERROR(__xludf.DUMMYFUNCTION("""COMPUTED_VALUE"""),"Option")</f>
        <v>Option</v>
      </c>
      <c r="F285" s="80" t="str">
        <f ca="1">IFERROR(__xludf.DUMMYFUNCTION("""COMPUTED_VALUE"""),"USD")</f>
        <v>USD</v>
      </c>
      <c r="G285" s="78" t="str">
        <f ca="1">IFERROR(__xludf.DUMMYFUNCTION("""COMPUTED_VALUE"""),"FTCH220318P00017500")</f>
        <v>FTCH220318P00017500</v>
      </c>
      <c r="H285" s="81">
        <f ca="1">IFERROR(__xludf.DUMMYFUNCTION("""COMPUTED_VALUE"""),100)</f>
        <v>100</v>
      </c>
      <c r="I285" s="80"/>
    </row>
    <row r="286" spans="1:9" ht="13" x14ac:dyDescent="0.15">
      <c r="A286" s="5"/>
      <c r="B286" s="82">
        <f ca="1">IFERROR(__xludf.DUMMYFUNCTION("""COMPUTED_VALUE"""),44622.1822170486)</f>
        <v>44622.182217048598</v>
      </c>
      <c r="C286" s="79">
        <f ca="1">IFERROR(__xludf.DUMMYFUNCTION("""COMPUTED_VALUE"""),44622.6666666666)</f>
        <v>44622.666666666599</v>
      </c>
      <c r="D286" s="80" t="str">
        <f ca="1">IFERROR(__xludf.DUMMYFUNCTION("""COMPUTED_VALUE"""),"89750")</f>
        <v>89750</v>
      </c>
      <c r="E286" s="80" t="str">
        <f ca="1">IFERROR(__xludf.DUMMYFUNCTION("""COMPUTED_VALUE"""),"Stock")</f>
        <v>Stock</v>
      </c>
      <c r="F286" s="80" t="str">
        <f ca="1">IFERROR(__xludf.DUMMYFUNCTION("""COMPUTED_VALUE"""),"USD")</f>
        <v>USD</v>
      </c>
      <c r="G286" s="78" t="str">
        <f ca="1">IFERROR(__xludf.DUMMYFUNCTION("""COMPUTED_VALUE"""),"SOXL")</f>
        <v>SOXL</v>
      </c>
      <c r="H286" s="81">
        <f ca="1">IFERROR(__xludf.DUMMYFUNCTION("""COMPUTED_VALUE"""),100)</f>
        <v>100</v>
      </c>
      <c r="I286" s="80"/>
    </row>
    <row r="287" spans="1:9" ht="13" x14ac:dyDescent="0.15">
      <c r="A287" s="5"/>
      <c r="B287" s="82">
        <f ca="1">IFERROR(__xludf.DUMMYFUNCTION("""COMPUTED_VALUE"""),44622.5924362384)</f>
        <v>44622.592436238403</v>
      </c>
      <c r="C287" s="79">
        <f ca="1">IFERROR(__xludf.DUMMYFUNCTION("""COMPUTED_VALUE"""),44622.6666666666)</f>
        <v>44622.666666666599</v>
      </c>
      <c r="D287" s="80" t="str">
        <f ca="1">IFERROR(__xludf.DUMMYFUNCTION("""COMPUTED_VALUE"""),"89750")</f>
        <v>89750</v>
      </c>
      <c r="E287" s="80" t="str">
        <f ca="1">IFERROR(__xludf.DUMMYFUNCTION("""COMPUTED_VALUE"""),"Stock")</f>
        <v>Stock</v>
      </c>
      <c r="F287" s="80" t="str">
        <f ca="1">IFERROR(__xludf.DUMMYFUNCTION("""COMPUTED_VALUE"""),"USD")</f>
        <v>USD</v>
      </c>
      <c r="G287" s="83" t="str">
        <f ca="1">IFERROR(__xludf.DUMMYFUNCTION("""COMPUTED_VALUE"""),"9988.HK")</f>
        <v>9988.HK</v>
      </c>
      <c r="H287" s="81">
        <f ca="1">IFERROR(__xludf.DUMMYFUNCTION("""COMPUTED_VALUE"""),1000)</f>
        <v>1000</v>
      </c>
      <c r="I287" s="80"/>
    </row>
    <row r="288" spans="1:9" ht="13" x14ac:dyDescent="0.15">
      <c r="A288" s="5"/>
      <c r="B288" s="82">
        <f ca="1">IFERROR(__xludf.DUMMYFUNCTION("""COMPUTED_VALUE"""),44622.6216724768)</f>
        <v>44622.621672476802</v>
      </c>
      <c r="C288" s="79" t="str">
        <f ca="1">IFERROR(__xludf.DUMMYFUNCTION("""COMPUTED_VALUE"""),"")</f>
        <v/>
      </c>
      <c r="D288" s="80" t="str">
        <f ca="1">IFERROR(__xludf.DUMMYFUNCTION("""COMPUTED_VALUE"""),"39776")</f>
        <v>39776</v>
      </c>
      <c r="E288" s="80" t="str">
        <f ca="1">IFERROR(__xludf.DUMMYFUNCTION("""COMPUTED_VALUE"""),"Stock")</f>
        <v>Stock</v>
      </c>
      <c r="F288" s="80" t="str">
        <f ca="1">IFERROR(__xludf.DUMMYFUNCTION("""COMPUTED_VALUE"""),"error")</f>
        <v>error</v>
      </c>
      <c r="G288" s="78" t="str">
        <f ca="1">IFERROR(__xludf.DUMMYFUNCTION("""COMPUTED_VALUE"""),"03382")</f>
        <v>03382</v>
      </c>
      <c r="H288" s="81">
        <f ca="1">IFERROR(__xludf.DUMMYFUNCTION("""COMPUTED_VALUE"""),10000)</f>
        <v>10000</v>
      </c>
      <c r="I288" s="80" t="str">
        <f ca="1">IFERROR(__xludf.DUMMYFUNCTION("""COMPUTED_VALUE"""),"Order rejected due to wrong ticker code. just need to type in 3382.HK")</f>
        <v>Order rejected due to wrong ticker code. just need to type in 3382.HK</v>
      </c>
    </row>
    <row r="289" spans="1:9" ht="13" x14ac:dyDescent="0.15">
      <c r="A289" s="5"/>
      <c r="B289" s="82">
        <f ca="1">IFERROR(__xludf.DUMMYFUNCTION("""COMPUTED_VALUE"""),44622.623947905)</f>
        <v>44622.623947904998</v>
      </c>
      <c r="C289" s="79" t="str">
        <f ca="1">IFERROR(__xludf.DUMMYFUNCTION("""COMPUTED_VALUE"""),"")</f>
        <v/>
      </c>
      <c r="D289" s="80" t="str">
        <f ca="1">IFERROR(__xludf.DUMMYFUNCTION("""COMPUTED_VALUE"""),"39776")</f>
        <v>39776</v>
      </c>
      <c r="E289" s="80" t="str">
        <f ca="1">IFERROR(__xludf.DUMMYFUNCTION("""COMPUTED_VALUE"""),"Stock")</f>
        <v>Stock</v>
      </c>
      <c r="F289" s="80" t="str">
        <f ca="1">IFERROR(__xludf.DUMMYFUNCTION("""COMPUTED_VALUE"""),"error")</f>
        <v>error</v>
      </c>
      <c r="G289" s="78" t="str">
        <f ca="1">IFERROR(__xludf.DUMMYFUNCTION("""COMPUTED_VALUE"""),"01898")</f>
        <v>01898</v>
      </c>
      <c r="H289" s="81">
        <f ca="1">IFERROR(__xludf.DUMMYFUNCTION("""COMPUTED_VALUE"""),8000)</f>
        <v>8000</v>
      </c>
      <c r="I289" s="80" t="str">
        <f ca="1">IFERROR(__xludf.DUMMYFUNCTION("""COMPUTED_VALUE"""),"Order rejected due to wrong ticker code. just need to type in 1898.HK")</f>
        <v>Order rejected due to wrong ticker code. just need to type in 1898.HK</v>
      </c>
    </row>
    <row r="290" spans="1:9" ht="13" x14ac:dyDescent="0.15">
      <c r="A290" s="5"/>
      <c r="B290" s="82">
        <f ca="1">IFERROR(__xludf.DUMMYFUNCTION("""COMPUTED_VALUE"""),44622.6799076736)</f>
        <v>44622.679907673599</v>
      </c>
      <c r="C290" s="79">
        <f ca="1">IFERROR(__xludf.DUMMYFUNCTION("""COMPUTED_VALUE"""),44623.6666666666)</f>
        <v>44623.666666666599</v>
      </c>
      <c r="D290" s="80" t="str">
        <f ca="1">IFERROR(__xludf.DUMMYFUNCTION("""COMPUTED_VALUE"""),"76975")</f>
        <v>76975</v>
      </c>
      <c r="E290" s="80" t="str">
        <f ca="1">IFERROR(__xludf.DUMMYFUNCTION("""COMPUTED_VALUE"""),"Stock")</f>
        <v>Stock</v>
      </c>
      <c r="F290" s="80" t="str">
        <f ca="1">IFERROR(__xludf.DUMMYFUNCTION("""COMPUTED_VALUE"""),"HKD")</f>
        <v>HKD</v>
      </c>
      <c r="G290" s="83" t="str">
        <f ca="1">IFERROR(__xludf.DUMMYFUNCTION("""COMPUTED_VALUE"""),"0700.HK")</f>
        <v>0700.HK</v>
      </c>
      <c r="H290" s="81">
        <f ca="1">IFERROR(__xludf.DUMMYFUNCTION("""COMPUTED_VALUE"""),120)</f>
        <v>120</v>
      </c>
      <c r="I290" s="80"/>
    </row>
    <row r="291" spans="1:9" ht="13" x14ac:dyDescent="0.15">
      <c r="A291" s="5"/>
      <c r="B291" s="82">
        <f ca="1">IFERROR(__xludf.DUMMYFUNCTION("""COMPUTED_VALUE"""),44622.7731654166)</f>
        <v>44622.773165416598</v>
      </c>
      <c r="C291" s="79">
        <f ca="1">IFERROR(__xludf.DUMMYFUNCTION("""COMPUTED_VALUE"""),44622.6666666666)</f>
        <v>44622.666666666599</v>
      </c>
      <c r="D291" s="80" t="str">
        <f ca="1">IFERROR(__xludf.DUMMYFUNCTION("""COMPUTED_VALUE"""),"79521")</f>
        <v>79521</v>
      </c>
      <c r="E291" s="80" t="str">
        <f ca="1">IFERROR(__xludf.DUMMYFUNCTION("""COMPUTED_VALUE"""),"Stock")</f>
        <v>Stock</v>
      </c>
      <c r="F291" s="80" t="str">
        <f ca="1">IFERROR(__xludf.DUMMYFUNCTION("""COMPUTED_VALUE"""),"USD")</f>
        <v>USD</v>
      </c>
      <c r="G291" s="78" t="str">
        <f ca="1">IFERROR(__xludf.DUMMYFUNCTION("""COMPUTED_VALUE"""),"AAPL")</f>
        <v>AAPL</v>
      </c>
      <c r="H291" s="81">
        <f ca="1">IFERROR(__xludf.DUMMYFUNCTION("""COMPUTED_VALUE"""),10)</f>
        <v>10</v>
      </c>
      <c r="I291" s="80"/>
    </row>
    <row r="292" spans="1:9" ht="13" x14ac:dyDescent="0.15">
      <c r="A292" s="5"/>
      <c r="B292" s="82">
        <f ca="1">IFERROR(__xludf.DUMMYFUNCTION("""COMPUTED_VALUE"""),44623.0607391319)</f>
        <v>44623.060739131899</v>
      </c>
      <c r="C292" s="79">
        <f ca="1">IFERROR(__xludf.DUMMYFUNCTION("""COMPUTED_VALUE"""),44622.6666666666)</f>
        <v>44622.666666666599</v>
      </c>
      <c r="D292" s="80" t="str">
        <f ca="1">IFERROR(__xludf.DUMMYFUNCTION("""COMPUTED_VALUE"""),"46322")</f>
        <v>46322</v>
      </c>
      <c r="E292" s="80" t="str">
        <f ca="1">IFERROR(__xludf.DUMMYFUNCTION("""COMPUTED_VALUE"""),"Stock")</f>
        <v>Stock</v>
      </c>
      <c r="F292" s="80" t="str">
        <f ca="1">IFERROR(__xludf.DUMMYFUNCTION("""COMPUTED_VALUE"""),"USD")</f>
        <v>USD</v>
      </c>
      <c r="G292" s="78" t="str">
        <f ca="1">IFERROR(__xludf.DUMMYFUNCTION("""COMPUTED_VALUE"""),"ARKK")</f>
        <v>ARKK</v>
      </c>
      <c r="H292" s="81">
        <f ca="1">IFERROR(__xludf.DUMMYFUNCTION("""COMPUTED_VALUE"""),200)</f>
        <v>200</v>
      </c>
      <c r="I292" s="80"/>
    </row>
    <row r="293" spans="1:9" ht="13" x14ac:dyDescent="0.15">
      <c r="A293" s="5"/>
      <c r="B293" s="82">
        <f ca="1">IFERROR(__xludf.DUMMYFUNCTION("""COMPUTED_VALUE"""),44623.0635516782)</f>
        <v>44623.063551678199</v>
      </c>
      <c r="C293" s="79">
        <f ca="1">IFERROR(__xludf.DUMMYFUNCTION("""COMPUTED_VALUE"""),44622.6666666666)</f>
        <v>44622.666666666599</v>
      </c>
      <c r="D293" s="80" t="str">
        <f ca="1">IFERROR(__xludf.DUMMYFUNCTION("""COMPUTED_VALUE"""),"89750")</f>
        <v>89750</v>
      </c>
      <c r="E293" s="80" t="str">
        <f ca="1">IFERROR(__xludf.DUMMYFUNCTION("""COMPUTED_VALUE"""),"Option")</f>
        <v>Option</v>
      </c>
      <c r="F293" s="80" t="str">
        <f ca="1">IFERROR(__xludf.DUMMYFUNCTION("""COMPUTED_VALUE"""),"USD")</f>
        <v>USD</v>
      </c>
      <c r="G293" s="78" t="str">
        <f ca="1">IFERROR(__xludf.DUMMYFUNCTION("""COMPUTED_VALUE"""),"SPXL220318C00080000")</f>
        <v>SPXL220318C00080000</v>
      </c>
      <c r="H293" s="81">
        <f ca="1">IFERROR(__xludf.DUMMYFUNCTION("""COMPUTED_VALUE"""),2)</f>
        <v>2</v>
      </c>
      <c r="I293" s="80"/>
    </row>
    <row r="294" spans="1:9" ht="13" x14ac:dyDescent="0.15">
      <c r="A294" s="5"/>
      <c r="B294" s="82">
        <f ca="1">IFERROR(__xludf.DUMMYFUNCTION("""COMPUTED_VALUE"""),44623.1039955671)</f>
        <v>44623.1039955671</v>
      </c>
      <c r="C294" s="79">
        <f ca="1">IFERROR(__xludf.DUMMYFUNCTION("""COMPUTED_VALUE"""),44622.6666666666)</f>
        <v>44622.666666666599</v>
      </c>
      <c r="D294" s="80" t="str">
        <f ca="1">IFERROR(__xludf.DUMMYFUNCTION("""COMPUTED_VALUE"""),"89750")</f>
        <v>89750</v>
      </c>
      <c r="E294" s="80" t="str">
        <f ca="1">IFERROR(__xludf.DUMMYFUNCTION("""COMPUTED_VALUE"""),"Stock")</f>
        <v>Stock</v>
      </c>
      <c r="F294" s="80" t="str">
        <f ca="1">IFERROR(__xludf.DUMMYFUNCTION("""COMPUTED_VALUE"""),"USD")</f>
        <v>USD</v>
      </c>
      <c r="G294" s="78" t="str">
        <f ca="1">IFERROR(__xludf.DUMMYFUNCTION("""COMPUTED_VALUE"""),"SOXL")</f>
        <v>SOXL</v>
      </c>
      <c r="H294" s="81">
        <f ca="1">IFERROR(__xludf.DUMMYFUNCTION("""COMPUTED_VALUE"""),100)</f>
        <v>100</v>
      </c>
      <c r="I294" s="80"/>
    </row>
    <row r="295" spans="1:9" ht="13" x14ac:dyDescent="0.15">
      <c r="A295" s="5"/>
      <c r="B295" s="82">
        <f ca="1">IFERROR(__xludf.DUMMYFUNCTION("""COMPUTED_VALUE"""),44623.4173433796)</f>
        <v>44623.417343379602</v>
      </c>
      <c r="C295" s="79">
        <f ca="1">IFERROR(__xludf.DUMMYFUNCTION("""COMPUTED_VALUE"""),44623.6666666666)</f>
        <v>44623.666666666599</v>
      </c>
      <c r="D295" s="80" t="str">
        <f ca="1">IFERROR(__xludf.DUMMYFUNCTION("""COMPUTED_VALUE"""),"82124")</f>
        <v>82124</v>
      </c>
      <c r="E295" s="80" t="str">
        <f ca="1">IFERROR(__xludf.DUMMYFUNCTION("""COMPUTED_VALUE"""),"Stock")</f>
        <v>Stock</v>
      </c>
      <c r="F295" s="80" t="str">
        <f ca="1">IFERROR(__xludf.DUMMYFUNCTION("""COMPUTED_VALUE"""),"HKD")</f>
        <v>HKD</v>
      </c>
      <c r="G295" s="83" t="str">
        <f ca="1">IFERROR(__xludf.DUMMYFUNCTION("""COMPUTED_VALUE"""),"9988.HK")</f>
        <v>9988.HK</v>
      </c>
      <c r="H295" s="81">
        <f ca="1">IFERROR(__xludf.DUMMYFUNCTION("""COMPUTED_VALUE"""),300)</f>
        <v>300</v>
      </c>
      <c r="I295" s="80"/>
    </row>
    <row r="296" spans="1:9" ht="13" x14ac:dyDescent="0.15">
      <c r="A296" s="5"/>
      <c r="B296" s="82">
        <f ca="1">IFERROR(__xludf.DUMMYFUNCTION("""COMPUTED_VALUE"""),44623.4186163425)</f>
        <v>44623.418616342497</v>
      </c>
      <c r="C296" s="79">
        <f ca="1">IFERROR(__xludf.DUMMYFUNCTION("""COMPUTED_VALUE"""),44623.6666666666)</f>
        <v>44623.666666666599</v>
      </c>
      <c r="D296" s="80" t="str">
        <f ca="1">IFERROR(__xludf.DUMMYFUNCTION("""COMPUTED_VALUE"""),"82124")</f>
        <v>82124</v>
      </c>
      <c r="E296" s="80" t="str">
        <f ca="1">IFERROR(__xludf.DUMMYFUNCTION("""COMPUTED_VALUE"""),"Stock")</f>
        <v>Stock</v>
      </c>
      <c r="F296" s="80" t="str">
        <f ca="1">IFERROR(__xludf.DUMMYFUNCTION("""COMPUTED_VALUE"""),"HKD")</f>
        <v>HKD</v>
      </c>
      <c r="G296" s="83" t="str">
        <f ca="1">IFERROR(__xludf.DUMMYFUNCTION("""COMPUTED_VALUE"""),"2800.HK")</f>
        <v>2800.HK</v>
      </c>
      <c r="H296" s="81">
        <f ca="1">IFERROR(__xludf.DUMMYFUNCTION("""COMPUTED_VALUE"""),2000)</f>
        <v>2000</v>
      </c>
      <c r="I296" s="80"/>
    </row>
    <row r="297" spans="1:9" ht="13" x14ac:dyDescent="0.15">
      <c r="A297" s="5"/>
      <c r="B297" s="82">
        <f ca="1">IFERROR(__xludf.DUMMYFUNCTION("""COMPUTED_VALUE"""),44623.4738741435)</f>
        <v>44623.473874143499</v>
      </c>
      <c r="C297" s="79" t="str">
        <f ca="1">IFERROR(__xludf.DUMMYFUNCTION("""COMPUTED_VALUE"""),"")</f>
        <v/>
      </c>
      <c r="D297" s="80" t="str">
        <f ca="1">IFERROR(__xludf.DUMMYFUNCTION("""COMPUTED_VALUE"""),"79521")</f>
        <v>79521</v>
      </c>
      <c r="E297" s="80" t="str">
        <f ca="1">IFERROR(__xludf.DUMMYFUNCTION("""COMPUTED_VALUE"""),"Stock")</f>
        <v>Stock</v>
      </c>
      <c r="F297" s="80" t="str">
        <f ca="1">IFERROR(__xludf.DUMMYFUNCTION("""COMPUTED_VALUE"""),"error")</f>
        <v>error</v>
      </c>
      <c r="G297" s="78">
        <f ca="1">IFERROR(__xludf.DUMMYFUNCTION("""COMPUTED_VALUE"""),600036)</f>
        <v>600036</v>
      </c>
      <c r="H297" s="81">
        <f ca="1">IFERROR(__xludf.DUMMYFUNCTION("""COMPUTED_VALUE"""),1000)</f>
        <v>1000</v>
      </c>
      <c r="I297" s="80" t="str">
        <f ca="1">IFERROR(__xludf.DUMMYFUNCTION("""COMPUTED_VALUE"""),"Order rejected due to wrong ticker code. just need to type in 600036.SH")</f>
        <v>Order rejected due to wrong ticker code. just need to type in 600036.SH</v>
      </c>
    </row>
    <row r="298" spans="1:9" ht="13" x14ac:dyDescent="0.15">
      <c r="A298" s="5"/>
      <c r="B298" s="82">
        <f ca="1">IFERROR(__xludf.DUMMYFUNCTION("""COMPUTED_VALUE"""),44623.5314046296)</f>
        <v>44623.531404629597</v>
      </c>
      <c r="C298" s="79">
        <f ca="1">IFERROR(__xludf.DUMMYFUNCTION("""COMPUTED_VALUE"""),44623.6666666666)</f>
        <v>44623.666666666599</v>
      </c>
      <c r="D298" s="80" t="str">
        <f ca="1">IFERROR(__xludf.DUMMYFUNCTION("""COMPUTED_VALUE"""),"39776")</f>
        <v>39776</v>
      </c>
      <c r="E298" s="80" t="str">
        <f ca="1">IFERROR(__xludf.DUMMYFUNCTION("""COMPUTED_VALUE"""),"Stock")</f>
        <v>Stock</v>
      </c>
      <c r="F298" s="80" t="str">
        <f ca="1">IFERROR(__xludf.DUMMYFUNCTION("""COMPUTED_VALUE"""),"HKD")</f>
        <v>HKD</v>
      </c>
      <c r="G298" s="83" t="str">
        <f ca="1">IFERROR(__xludf.DUMMYFUNCTION("""COMPUTED_VALUE"""),"3800.hk")</f>
        <v>3800.hk</v>
      </c>
      <c r="H298" s="81">
        <f ca="1">IFERROR(__xludf.DUMMYFUNCTION("""COMPUTED_VALUE"""),15000)</f>
        <v>15000</v>
      </c>
      <c r="I298" s="80"/>
    </row>
    <row r="299" spans="1:9" ht="13" x14ac:dyDescent="0.15">
      <c r="A299" s="5"/>
      <c r="B299" s="82">
        <f ca="1">IFERROR(__xludf.DUMMYFUNCTION("""COMPUTED_VALUE"""),44623.5331304745)</f>
        <v>44623.533130474498</v>
      </c>
      <c r="C299" s="79">
        <f ca="1">IFERROR(__xludf.DUMMYFUNCTION("""COMPUTED_VALUE"""),44623.6666666666)</f>
        <v>44623.666666666599</v>
      </c>
      <c r="D299" s="80" t="str">
        <f ca="1">IFERROR(__xludf.DUMMYFUNCTION("""COMPUTED_VALUE"""),"39776")</f>
        <v>39776</v>
      </c>
      <c r="E299" s="80" t="str">
        <f ca="1">IFERROR(__xludf.DUMMYFUNCTION("""COMPUTED_VALUE"""),"Stock")</f>
        <v>Stock</v>
      </c>
      <c r="F299" s="80" t="str">
        <f ca="1">IFERROR(__xludf.DUMMYFUNCTION("""COMPUTED_VALUE"""),"HKD")</f>
        <v>HKD</v>
      </c>
      <c r="G299" s="83" t="str">
        <f ca="1">IFERROR(__xludf.DUMMYFUNCTION("""COMPUTED_VALUE"""),"1208.HK")</f>
        <v>1208.HK</v>
      </c>
      <c r="H299" s="81">
        <f ca="1">IFERROR(__xludf.DUMMYFUNCTION("""COMPUTED_VALUE"""),10000)</f>
        <v>10000</v>
      </c>
      <c r="I299" s="80"/>
    </row>
    <row r="300" spans="1:9" ht="13" x14ac:dyDescent="0.15">
      <c r="A300" s="5"/>
      <c r="B300" s="82">
        <f ca="1">IFERROR(__xludf.DUMMYFUNCTION("""COMPUTED_VALUE"""),44623.5646883217)</f>
        <v>44623.564688321698</v>
      </c>
      <c r="C300" s="79" t="str">
        <f ca="1">IFERROR(__xludf.DUMMYFUNCTION("""COMPUTED_VALUE"""),"")</f>
        <v/>
      </c>
      <c r="D300" s="80" t="str">
        <f ca="1">IFERROR(__xludf.DUMMYFUNCTION("""COMPUTED_VALUE"""),"79521")</f>
        <v>79521</v>
      </c>
      <c r="E300" s="80" t="str">
        <f ca="1">IFERROR(__xludf.DUMMYFUNCTION("""COMPUTED_VALUE"""),"Stock")</f>
        <v>Stock</v>
      </c>
      <c r="F300" s="80" t="str">
        <f ca="1">IFERROR(__xludf.DUMMYFUNCTION("""COMPUTED_VALUE"""),"error")</f>
        <v>error</v>
      </c>
      <c r="G300" s="78" t="str">
        <f ca="1">IFERROR(__xludf.DUMMYFUNCTION("""COMPUTED_VALUE"""),"002207")</f>
        <v>002207</v>
      </c>
      <c r="H300" s="81">
        <f ca="1">IFERROR(__xludf.DUMMYFUNCTION("""COMPUTED_VALUE"""),10000)</f>
        <v>10000</v>
      </c>
      <c r="I300" s="80" t="str">
        <f ca="1">IFERROR(__xludf.DUMMYFUNCTION("""COMPUTED_VALUE"""),"Order rejected due to wrong ticker code. just need to type in 2207.HK")</f>
        <v>Order rejected due to wrong ticker code. just need to type in 2207.HK</v>
      </c>
    </row>
    <row r="301" spans="1:9" ht="13" x14ac:dyDescent="0.15">
      <c r="A301" s="5"/>
      <c r="B301" s="82">
        <f ca="1">IFERROR(__xludf.DUMMYFUNCTION("""COMPUTED_VALUE"""),44623.5930687268)</f>
        <v>44623.593068726797</v>
      </c>
      <c r="C301" s="79">
        <f ca="1">IFERROR(__xludf.DUMMYFUNCTION("""COMPUTED_VALUE"""),44623.6666666666)</f>
        <v>44623.666666666599</v>
      </c>
      <c r="D301" s="80" t="str">
        <f ca="1">IFERROR(__xludf.DUMMYFUNCTION("""COMPUTED_VALUE"""),"39776")</f>
        <v>39776</v>
      </c>
      <c r="E301" s="80" t="str">
        <f ca="1">IFERROR(__xludf.DUMMYFUNCTION("""COMPUTED_VALUE"""),"Stock")</f>
        <v>Stock</v>
      </c>
      <c r="F301" s="80" t="str">
        <f ca="1">IFERROR(__xludf.DUMMYFUNCTION("""COMPUTED_VALUE"""),"HKD")</f>
        <v>HKD</v>
      </c>
      <c r="G301" s="83" t="str">
        <f ca="1">IFERROR(__xludf.DUMMYFUNCTION("""COMPUTED_VALUE"""),"3800.HK")</f>
        <v>3800.HK</v>
      </c>
      <c r="H301" s="81">
        <f ca="1">IFERROR(__xludf.DUMMYFUNCTION("""COMPUTED_VALUE"""),12000)</f>
        <v>12000</v>
      </c>
      <c r="I301" s="80"/>
    </row>
    <row r="302" spans="1:9" ht="13" x14ac:dyDescent="0.15">
      <c r="A302" s="5"/>
      <c r="B302" s="82">
        <f ca="1">IFERROR(__xludf.DUMMYFUNCTION("""COMPUTED_VALUE"""),44623.6115256944)</f>
        <v>44623.611525694403</v>
      </c>
      <c r="C302" s="79">
        <f ca="1">IFERROR(__xludf.DUMMYFUNCTION("""COMPUTED_VALUE"""),44623.6666666666)</f>
        <v>44623.666666666599</v>
      </c>
      <c r="D302" s="80" t="str">
        <f ca="1">IFERROR(__xludf.DUMMYFUNCTION("""COMPUTED_VALUE"""),"38209")</f>
        <v>38209</v>
      </c>
      <c r="E302" s="80" t="str">
        <f ca="1">IFERROR(__xludf.DUMMYFUNCTION("""COMPUTED_VALUE"""),"Stock")</f>
        <v>Stock</v>
      </c>
      <c r="F302" s="80" t="str">
        <f ca="1">IFERROR(__xludf.DUMMYFUNCTION("""COMPUTED_VALUE"""),"HKD")</f>
        <v>HKD</v>
      </c>
      <c r="G302" s="83" t="str">
        <f ca="1">IFERROR(__xludf.DUMMYFUNCTION("""COMPUTED_VALUE"""),"1810.HK")</f>
        <v>1810.HK</v>
      </c>
      <c r="H302" s="81">
        <f ca="1">IFERROR(__xludf.DUMMYFUNCTION("""COMPUTED_VALUE"""),1000)</f>
        <v>1000</v>
      </c>
      <c r="I302" s="80"/>
    </row>
    <row r="303" spans="1:9" ht="13" x14ac:dyDescent="0.15">
      <c r="A303" s="5"/>
      <c r="B303" s="82">
        <f ca="1">IFERROR(__xludf.DUMMYFUNCTION("""COMPUTED_VALUE"""),44623.6149592129)</f>
        <v>44623.6149592129</v>
      </c>
      <c r="C303" s="79">
        <f ca="1">IFERROR(__xludf.DUMMYFUNCTION("""COMPUTED_VALUE"""),44623.6666666666)</f>
        <v>44623.666666666599</v>
      </c>
      <c r="D303" s="80" t="str">
        <f ca="1">IFERROR(__xludf.DUMMYFUNCTION("""COMPUTED_VALUE"""),"39776")</f>
        <v>39776</v>
      </c>
      <c r="E303" s="80" t="str">
        <f ca="1">IFERROR(__xludf.DUMMYFUNCTION("""COMPUTED_VALUE"""),"Stock")</f>
        <v>Stock</v>
      </c>
      <c r="F303" s="80" t="str">
        <f ca="1">IFERROR(__xludf.DUMMYFUNCTION("""COMPUTED_VALUE"""),"HKD")</f>
        <v>HKD</v>
      </c>
      <c r="G303" s="83" t="str">
        <f ca="1">IFERROR(__xludf.DUMMYFUNCTION("""COMPUTED_VALUE"""),"3800.HK")</f>
        <v>3800.HK</v>
      </c>
      <c r="H303" s="81">
        <f ca="1">IFERROR(__xludf.DUMMYFUNCTION("""COMPUTED_VALUE"""),5000)</f>
        <v>5000</v>
      </c>
      <c r="I303" s="80"/>
    </row>
    <row r="304" spans="1:9" ht="13" x14ac:dyDescent="0.15">
      <c r="A304" s="5"/>
      <c r="B304" s="82">
        <f ca="1">IFERROR(__xludf.DUMMYFUNCTION("""COMPUTED_VALUE"""),44623.9178367361)</f>
        <v>44623.917836736102</v>
      </c>
      <c r="C304" s="79">
        <f ca="1">IFERROR(__xludf.DUMMYFUNCTION("""COMPUTED_VALUE"""),44623.6666666666)</f>
        <v>44623.666666666599</v>
      </c>
      <c r="D304" s="80" t="str">
        <f ca="1">IFERROR(__xludf.DUMMYFUNCTION("""COMPUTED_VALUE"""),"39608")</f>
        <v>39608</v>
      </c>
      <c r="E304" s="80" t="str">
        <f ca="1">IFERROR(__xludf.DUMMYFUNCTION("""COMPUTED_VALUE"""),"Stock")</f>
        <v>Stock</v>
      </c>
      <c r="F304" s="80" t="str">
        <f ca="1">IFERROR(__xludf.DUMMYFUNCTION("""COMPUTED_VALUE"""),"USD")</f>
        <v>USD</v>
      </c>
      <c r="G304" s="78" t="str">
        <f ca="1">IFERROR(__xludf.DUMMYFUNCTION("""COMPUTED_VALUE"""),"GOLD")</f>
        <v>GOLD</v>
      </c>
      <c r="H304" s="81">
        <f ca="1">IFERROR(__xludf.DUMMYFUNCTION("""COMPUTED_VALUE"""),388)</f>
        <v>388</v>
      </c>
      <c r="I304" s="80"/>
    </row>
    <row r="305" spans="1:9" ht="13" x14ac:dyDescent="0.15">
      <c r="A305" s="5"/>
      <c r="B305" s="82">
        <f ca="1">IFERROR(__xludf.DUMMYFUNCTION("""COMPUTED_VALUE"""),44623.9179502662)</f>
        <v>44623.917950266201</v>
      </c>
      <c r="C305" s="79">
        <f ca="1">IFERROR(__xludf.DUMMYFUNCTION("""COMPUTED_VALUE"""),44623.6666666666)</f>
        <v>44623.666666666599</v>
      </c>
      <c r="D305" s="80" t="str">
        <f ca="1">IFERROR(__xludf.DUMMYFUNCTION("""COMPUTED_VALUE"""),"32312")</f>
        <v>32312</v>
      </c>
      <c r="E305" s="80" t="str">
        <f ca="1">IFERROR(__xludf.DUMMYFUNCTION("""COMPUTED_VALUE"""),"Stock")</f>
        <v>Stock</v>
      </c>
      <c r="F305" s="80" t="str">
        <f ca="1">IFERROR(__xludf.DUMMYFUNCTION("""COMPUTED_VALUE"""),"USD")</f>
        <v>USD</v>
      </c>
      <c r="G305" s="78" t="str">
        <f ca="1">IFERROR(__xludf.DUMMYFUNCTION("""COMPUTED_VALUE"""),"GOLD")</f>
        <v>GOLD</v>
      </c>
      <c r="H305" s="81">
        <f ca="1">IFERROR(__xludf.DUMMYFUNCTION("""COMPUTED_VALUE"""),388)</f>
        <v>388</v>
      </c>
      <c r="I305" s="80"/>
    </row>
    <row r="306" spans="1:9" ht="13" x14ac:dyDescent="0.15">
      <c r="A306" s="5"/>
      <c r="B306" s="82">
        <f ca="1">IFERROR(__xludf.DUMMYFUNCTION("""COMPUTED_VALUE"""),44623.9179664351)</f>
        <v>44623.917966435103</v>
      </c>
      <c r="C306" s="79">
        <f ca="1">IFERROR(__xludf.DUMMYFUNCTION("""COMPUTED_VALUE"""),44623.6666666666)</f>
        <v>44623.666666666599</v>
      </c>
      <c r="D306" s="80" t="str">
        <f ca="1">IFERROR(__xludf.DUMMYFUNCTION("""COMPUTED_VALUE"""),"37400")</f>
        <v>37400</v>
      </c>
      <c r="E306" s="80" t="str">
        <f ca="1">IFERROR(__xludf.DUMMYFUNCTION("""COMPUTED_VALUE"""),"Stock")</f>
        <v>Stock</v>
      </c>
      <c r="F306" s="80" t="str">
        <f ca="1">IFERROR(__xludf.DUMMYFUNCTION("""COMPUTED_VALUE"""),"USD")</f>
        <v>USD</v>
      </c>
      <c r="G306" s="78" t="str">
        <f ca="1">IFERROR(__xludf.DUMMYFUNCTION("""COMPUTED_VALUE"""),"GOLD")</f>
        <v>GOLD</v>
      </c>
      <c r="H306" s="81">
        <f ca="1">IFERROR(__xludf.DUMMYFUNCTION("""COMPUTED_VALUE"""),388)</f>
        <v>388</v>
      </c>
      <c r="I306" s="80"/>
    </row>
    <row r="307" spans="1:9" ht="13" x14ac:dyDescent="0.15">
      <c r="A307" s="5"/>
      <c r="B307" s="82">
        <f ca="1">IFERROR(__xludf.DUMMYFUNCTION("""COMPUTED_VALUE"""),44624.0486192129)</f>
        <v>44624.048619212903</v>
      </c>
      <c r="C307" s="79">
        <f ca="1">IFERROR(__xludf.DUMMYFUNCTION("""COMPUTED_VALUE"""),44623.6666666666)</f>
        <v>44623.666666666599</v>
      </c>
      <c r="D307" s="80" t="str">
        <f ca="1">IFERROR(__xludf.DUMMYFUNCTION("""COMPUTED_VALUE"""),"89750")</f>
        <v>89750</v>
      </c>
      <c r="E307" s="80" t="str">
        <f ca="1">IFERROR(__xludf.DUMMYFUNCTION("""COMPUTED_VALUE"""),"Option")</f>
        <v>Option</v>
      </c>
      <c r="F307" s="80" t="str">
        <f ca="1">IFERROR(__xludf.DUMMYFUNCTION("""COMPUTED_VALUE"""),"USD")</f>
        <v>USD</v>
      </c>
      <c r="G307" s="78" t="str">
        <f ca="1">IFERROR(__xludf.DUMMYFUNCTION("""COMPUTED_VALUE"""),"TQQQ220311P00057500")</f>
        <v>TQQQ220311P00057500</v>
      </c>
      <c r="H307" s="81">
        <f ca="1">IFERROR(__xludf.DUMMYFUNCTION("""COMPUTED_VALUE"""),10)</f>
        <v>10</v>
      </c>
      <c r="I307" s="80"/>
    </row>
    <row r="308" spans="1:9" ht="13" x14ac:dyDescent="0.15">
      <c r="A308" s="5"/>
      <c r="B308" s="82">
        <f ca="1">IFERROR(__xludf.DUMMYFUNCTION("""COMPUTED_VALUE"""),44624.0499640277)</f>
        <v>44624.049964027698</v>
      </c>
      <c r="C308" s="79">
        <f ca="1">IFERROR(__xludf.DUMMYFUNCTION("""COMPUTED_VALUE"""),44623.6666666666)</f>
        <v>44623.666666666599</v>
      </c>
      <c r="D308" s="80" t="str">
        <f ca="1">IFERROR(__xludf.DUMMYFUNCTION("""COMPUTED_VALUE"""),"89750")</f>
        <v>89750</v>
      </c>
      <c r="E308" s="80" t="str">
        <f ca="1">IFERROR(__xludf.DUMMYFUNCTION("""COMPUTED_VALUE"""),"Option")</f>
        <v>Option</v>
      </c>
      <c r="F308" s="80" t="str">
        <f ca="1">IFERROR(__xludf.DUMMYFUNCTION("""COMPUTED_VALUE"""),"USD")</f>
        <v>USD</v>
      </c>
      <c r="G308" s="78" t="str">
        <f ca="1">IFERROR(__xludf.DUMMYFUNCTION("""COMPUTED_VALUE"""),"RLX220414C00005000")</f>
        <v>RLX220414C00005000</v>
      </c>
      <c r="H308" s="81">
        <f ca="1">IFERROR(__xludf.DUMMYFUNCTION("""COMPUTED_VALUE"""),1000)</f>
        <v>1000</v>
      </c>
      <c r="I308" s="80"/>
    </row>
    <row r="309" spans="1:9" ht="13" x14ac:dyDescent="0.15">
      <c r="A309" s="5"/>
      <c r="B309" s="82">
        <f ca="1">IFERROR(__xludf.DUMMYFUNCTION("""COMPUTED_VALUE"""),44624.0634515046)</f>
        <v>44624.063451504597</v>
      </c>
      <c r="C309" s="79">
        <f ca="1">IFERROR(__xludf.DUMMYFUNCTION("""COMPUTED_VALUE"""),44623.6666666666)</f>
        <v>44623.666666666599</v>
      </c>
      <c r="D309" s="80" t="str">
        <f ca="1">IFERROR(__xludf.DUMMYFUNCTION("""COMPUTED_VALUE"""),"89750")</f>
        <v>89750</v>
      </c>
      <c r="E309" s="80" t="str">
        <f ca="1">IFERROR(__xludf.DUMMYFUNCTION("""COMPUTED_VALUE"""),"Option")</f>
        <v>Option</v>
      </c>
      <c r="F309" s="80" t="str">
        <f ca="1">IFERROR(__xludf.DUMMYFUNCTION("""COMPUTED_VALUE"""),"USD")</f>
        <v>USD</v>
      </c>
      <c r="G309" s="78" t="str">
        <f ca="1">IFERROR(__xludf.DUMMYFUNCTION("""COMPUTED_VALUE"""),"TQQQ220311P00057500")</f>
        <v>TQQQ220311P00057500</v>
      </c>
      <c r="H309" s="81">
        <f ca="1">IFERROR(__xludf.DUMMYFUNCTION("""COMPUTED_VALUE"""),10)</f>
        <v>10</v>
      </c>
      <c r="I309" s="80"/>
    </row>
    <row r="310" spans="1:9" ht="13" x14ac:dyDescent="0.15">
      <c r="A310" s="5"/>
      <c r="B310" s="82">
        <f ca="1">IFERROR(__xludf.DUMMYFUNCTION("""COMPUTED_VALUE"""),44624.0867054398)</f>
        <v>44624.086705439797</v>
      </c>
      <c r="C310" s="79">
        <f ca="1">IFERROR(__xludf.DUMMYFUNCTION("""COMPUTED_VALUE"""),44623.6666666666)</f>
        <v>44623.666666666599</v>
      </c>
      <c r="D310" s="80" t="str">
        <f ca="1">IFERROR(__xludf.DUMMYFUNCTION("""COMPUTED_VALUE"""),"89750")</f>
        <v>89750</v>
      </c>
      <c r="E310" s="80" t="str">
        <f ca="1">IFERROR(__xludf.DUMMYFUNCTION("""COMPUTED_VALUE"""),"Stock")</f>
        <v>Stock</v>
      </c>
      <c r="F310" s="80" t="str">
        <f ca="1">IFERROR(__xludf.DUMMYFUNCTION("""COMPUTED_VALUE"""),"USD")</f>
        <v>USD</v>
      </c>
      <c r="G310" s="78" t="str">
        <f ca="1">IFERROR(__xludf.DUMMYFUNCTION("""COMPUTED_VALUE"""),"TCEHY")</f>
        <v>TCEHY</v>
      </c>
      <c r="H310" s="81">
        <f ca="1">IFERROR(__xludf.DUMMYFUNCTION("""COMPUTED_VALUE"""),50)</f>
        <v>50</v>
      </c>
      <c r="I310" s="80"/>
    </row>
    <row r="311" spans="1:9" ht="13" x14ac:dyDescent="0.15">
      <c r="A311" s="5"/>
      <c r="B311" s="82">
        <f ca="1">IFERROR(__xludf.DUMMYFUNCTION("""COMPUTED_VALUE"""),44624.4566832638)</f>
        <v>44624.456683263801</v>
      </c>
      <c r="C311" s="79">
        <f ca="1">IFERROR(__xludf.DUMMYFUNCTION("""COMPUTED_VALUE"""),44624.6666666666)</f>
        <v>44624.666666666599</v>
      </c>
      <c r="D311" s="80" t="str">
        <f ca="1">IFERROR(__xludf.DUMMYFUNCTION("""COMPUTED_VALUE"""),"38209")</f>
        <v>38209</v>
      </c>
      <c r="E311" s="80" t="str">
        <f ca="1">IFERROR(__xludf.DUMMYFUNCTION("""COMPUTED_VALUE"""),"Stock")</f>
        <v>Stock</v>
      </c>
      <c r="F311" s="80" t="str">
        <f ca="1">IFERROR(__xludf.DUMMYFUNCTION("""COMPUTED_VALUE"""),"HKD")</f>
        <v>HKD</v>
      </c>
      <c r="G311" s="83" t="str">
        <f ca="1">IFERROR(__xludf.DUMMYFUNCTION("""COMPUTED_VALUE"""),"9988.HK")</f>
        <v>9988.HK</v>
      </c>
      <c r="H311" s="81">
        <f ca="1">IFERROR(__xludf.DUMMYFUNCTION("""COMPUTED_VALUE"""),200)</f>
        <v>200</v>
      </c>
      <c r="I311" s="80"/>
    </row>
    <row r="312" spans="1:9" ht="13" x14ac:dyDescent="0.15">
      <c r="A312" s="5"/>
      <c r="B312" s="82">
        <f ca="1">IFERROR(__xludf.DUMMYFUNCTION("""COMPUTED_VALUE"""),44624.4577590856)</f>
        <v>44624.457759085599</v>
      </c>
      <c r="C312" s="79">
        <f ca="1">IFERROR(__xludf.DUMMYFUNCTION("""COMPUTED_VALUE"""),44624.6666666666)</f>
        <v>44624.666666666599</v>
      </c>
      <c r="D312" s="80" t="str">
        <f ca="1">IFERROR(__xludf.DUMMYFUNCTION("""COMPUTED_VALUE"""),"38209")</f>
        <v>38209</v>
      </c>
      <c r="E312" s="80" t="str">
        <f ca="1">IFERROR(__xludf.DUMMYFUNCTION("""COMPUTED_VALUE"""),"Stock")</f>
        <v>Stock</v>
      </c>
      <c r="F312" s="80" t="str">
        <f ca="1">IFERROR(__xludf.DUMMYFUNCTION("""COMPUTED_VALUE"""),"HKD")</f>
        <v>HKD</v>
      </c>
      <c r="G312" s="83" t="str">
        <f ca="1">IFERROR(__xludf.DUMMYFUNCTION("""COMPUTED_VALUE"""),"1024.HK")</f>
        <v>1024.HK</v>
      </c>
      <c r="H312" s="81">
        <f ca="1">IFERROR(__xludf.DUMMYFUNCTION("""COMPUTED_VALUE"""),200)</f>
        <v>200</v>
      </c>
      <c r="I312" s="80"/>
    </row>
    <row r="313" spans="1:9" ht="13" x14ac:dyDescent="0.15">
      <c r="A313" s="5"/>
      <c r="B313" s="82">
        <f ca="1">IFERROR(__xludf.DUMMYFUNCTION("""COMPUTED_VALUE"""),44624.4585927083)</f>
        <v>44624.458592708303</v>
      </c>
      <c r="C313" s="79">
        <f ca="1">IFERROR(__xludf.DUMMYFUNCTION("""COMPUTED_VALUE"""),44624.6666666666)</f>
        <v>44624.666666666599</v>
      </c>
      <c r="D313" s="80" t="str">
        <f ca="1">IFERROR(__xludf.DUMMYFUNCTION("""COMPUTED_VALUE"""),"38209")</f>
        <v>38209</v>
      </c>
      <c r="E313" s="80" t="str">
        <f ca="1">IFERROR(__xludf.DUMMYFUNCTION("""COMPUTED_VALUE"""),"Stock")</f>
        <v>Stock</v>
      </c>
      <c r="F313" s="80" t="str">
        <f ca="1">IFERROR(__xludf.DUMMYFUNCTION("""COMPUTED_VALUE"""),"HKD")</f>
        <v>HKD</v>
      </c>
      <c r="G313" s="83" t="str">
        <f ca="1">IFERROR(__xludf.DUMMYFUNCTION("""COMPUTED_VALUE"""),"1810.HK")</f>
        <v>1810.HK</v>
      </c>
      <c r="H313" s="81">
        <f ca="1">IFERROR(__xludf.DUMMYFUNCTION("""COMPUTED_VALUE"""),1000)</f>
        <v>1000</v>
      </c>
      <c r="I313" s="80"/>
    </row>
    <row r="314" spans="1:9" ht="13" x14ac:dyDescent="0.15">
      <c r="A314" s="5"/>
      <c r="B314" s="82">
        <f ca="1">IFERROR(__xludf.DUMMYFUNCTION("""COMPUTED_VALUE"""),44624.6383703125)</f>
        <v>44624.638370312503</v>
      </c>
      <c r="C314" s="79">
        <f ca="1">IFERROR(__xludf.DUMMYFUNCTION("""COMPUTED_VALUE"""),44624.6666666666)</f>
        <v>44624.666666666599</v>
      </c>
      <c r="D314" s="80" t="str">
        <f ca="1">IFERROR(__xludf.DUMMYFUNCTION("""COMPUTED_VALUE"""),"82124")</f>
        <v>82124</v>
      </c>
      <c r="E314" s="80" t="str">
        <f ca="1">IFERROR(__xludf.DUMMYFUNCTION("""COMPUTED_VALUE"""),"Stock")</f>
        <v>Stock</v>
      </c>
      <c r="F314" s="80" t="str">
        <f ca="1">IFERROR(__xludf.DUMMYFUNCTION("""COMPUTED_VALUE"""),"HKD")</f>
        <v>HKD</v>
      </c>
      <c r="G314" s="83" t="str">
        <f ca="1">IFERROR(__xludf.DUMMYFUNCTION("""COMPUTED_VALUE"""),"0700.HK")</f>
        <v>0700.HK</v>
      </c>
      <c r="H314" s="81">
        <f ca="1">IFERROR(__xludf.DUMMYFUNCTION("""COMPUTED_VALUE"""),100)</f>
        <v>100</v>
      </c>
      <c r="I314" s="80"/>
    </row>
    <row r="315" spans="1:9" ht="13" x14ac:dyDescent="0.15">
      <c r="A315" s="5"/>
      <c r="B315" s="82">
        <f ca="1">IFERROR(__xludf.DUMMYFUNCTION("""COMPUTED_VALUE"""),44624.6397873726)</f>
        <v>44624.639787372602</v>
      </c>
      <c r="C315" s="79">
        <f ca="1">IFERROR(__xludf.DUMMYFUNCTION("""COMPUTED_VALUE"""),44624.6666666666)</f>
        <v>44624.666666666599</v>
      </c>
      <c r="D315" s="80" t="str">
        <f ca="1">IFERROR(__xludf.DUMMYFUNCTION("""COMPUTED_VALUE"""),"46220")</f>
        <v>46220</v>
      </c>
      <c r="E315" s="80" t="str">
        <f ca="1">IFERROR(__xludf.DUMMYFUNCTION("""COMPUTED_VALUE"""),"Stock")</f>
        <v>Stock</v>
      </c>
      <c r="F315" s="80" t="str">
        <f ca="1">IFERROR(__xludf.DUMMYFUNCTION("""COMPUTED_VALUE"""),"HKD")</f>
        <v>HKD</v>
      </c>
      <c r="G315" s="83" t="str">
        <f ca="1">IFERROR(__xludf.DUMMYFUNCTION("""COMPUTED_VALUE"""),"9988.HK")</f>
        <v>9988.HK</v>
      </c>
      <c r="H315" s="81">
        <f ca="1">IFERROR(__xludf.DUMMYFUNCTION("""COMPUTED_VALUE"""),2000)</f>
        <v>2000</v>
      </c>
      <c r="I315" s="80"/>
    </row>
    <row r="316" spans="1:9" ht="13" x14ac:dyDescent="0.15">
      <c r="A316" s="5"/>
      <c r="B316" s="82">
        <f ca="1">IFERROR(__xludf.DUMMYFUNCTION("""COMPUTED_VALUE"""),44624.6790411574)</f>
        <v>44624.679041157397</v>
      </c>
      <c r="C316" s="79" t="str">
        <f ca="1">IFERROR(__xludf.DUMMYFUNCTION("""COMPUTED_VALUE"""),"")</f>
        <v/>
      </c>
      <c r="D316" s="80" t="str">
        <f ca="1">IFERROR(__xludf.DUMMYFUNCTION("""COMPUTED_VALUE"""),"75369")</f>
        <v>75369</v>
      </c>
      <c r="E316" s="80" t="str">
        <f ca="1">IFERROR(__xludf.DUMMYFUNCTION("""COMPUTED_VALUE"""),"Bond")</f>
        <v>Bond</v>
      </c>
      <c r="F316" s="80" t="str">
        <f ca="1">IFERROR(__xludf.DUMMYFUNCTION("""COMPUTED_VALUE"""),"error")</f>
        <v>error</v>
      </c>
      <c r="G316" s="78" t="str">
        <f ca="1">IFERROR(__xludf.DUMMYFUNCTION("""COMPUTED_VALUE"""),"0700")</f>
        <v>0700</v>
      </c>
      <c r="H316" s="81"/>
      <c r="I316" s="80" t="str">
        <f ca="1">IFERROR(__xludf.DUMMYFUNCTION("""COMPUTED_VALUE"""),"Order Rejected due to wrong password and wrong ticker. Please go to https://www.bondsupermart.com/bsm/general-search/tencent , there are 18 tencent bonds. Limit price you set, 409.4, is a stock price, not a bond price. ")</f>
        <v xml:space="preserve">Order Rejected due to wrong password and wrong ticker. Please go to https://www.bondsupermart.com/bsm/general-search/tencent , there are 18 tencent bonds. Limit price you set, 409.4, is a stock price, not a bond price. </v>
      </c>
    </row>
    <row r="317" spans="1:9" ht="13" x14ac:dyDescent="0.15">
      <c r="A317" s="5"/>
      <c r="B317" s="82">
        <f ca="1">IFERROR(__xludf.DUMMYFUNCTION("""COMPUTED_VALUE"""),44624.6936727199)</f>
        <v>44624.693672719899</v>
      </c>
      <c r="C317" s="79" t="str">
        <f ca="1">IFERROR(__xludf.DUMMYFUNCTION("""COMPUTED_VALUE"""),"")</f>
        <v/>
      </c>
      <c r="D317" s="80" t="str">
        <f ca="1">IFERROR(__xludf.DUMMYFUNCTION("""COMPUTED_VALUE"""),"")</f>
        <v/>
      </c>
      <c r="E317" s="80" t="str">
        <f ca="1">IFERROR(__xludf.DUMMYFUNCTION("""COMPUTED_VALUE"""),"Stock")</f>
        <v>Stock</v>
      </c>
      <c r="F317" s="80" t="str">
        <f ca="1">IFERROR(__xludf.DUMMYFUNCTION("""COMPUTED_VALUE"""),"error")</f>
        <v>error</v>
      </c>
      <c r="G317" s="83" t="str">
        <f ca="1">IFERROR(__xludf.DUMMYFUNCTION("""COMPUTED_VALUE"""),"0001.HK")</f>
        <v>0001.HK</v>
      </c>
      <c r="H317" s="81">
        <f ca="1">IFERROR(__xludf.DUMMYFUNCTION("""COMPUTED_VALUE"""),3)</f>
        <v>3</v>
      </c>
      <c r="I317" s="80" t="str">
        <f ca="1">IFERROR(__xludf.DUMMYFUNCTION("""COMPUTED_VALUE"""),"Order Rejected due to non school email, please put in sXXXXXXX@hkmu.edu.hk")</f>
        <v>Order Rejected due to non school email, please put in sXXXXXXX@hkmu.edu.hk</v>
      </c>
    </row>
    <row r="318" spans="1:9" ht="13" x14ac:dyDescent="0.15">
      <c r="A318" s="5"/>
      <c r="B318" s="82">
        <f ca="1">IFERROR(__xludf.DUMMYFUNCTION("""COMPUTED_VALUE"""),44624.7045559143)</f>
        <v>44624.704555914301</v>
      </c>
      <c r="C318" s="79" t="str">
        <f ca="1">IFERROR(__xludf.DUMMYFUNCTION("""COMPUTED_VALUE"""),"")</f>
        <v/>
      </c>
      <c r="D318" s="80" t="str">
        <f ca="1">IFERROR(__xludf.DUMMYFUNCTION("""COMPUTED_VALUE"""),"")</f>
        <v/>
      </c>
      <c r="E318" s="80" t="str">
        <f ca="1">IFERROR(__xludf.DUMMYFUNCTION("""COMPUTED_VALUE"""),"Stock")</f>
        <v>Stock</v>
      </c>
      <c r="F318" s="80" t="str">
        <f ca="1">IFERROR(__xludf.DUMMYFUNCTION("""COMPUTED_VALUE"""),"error")</f>
        <v>error</v>
      </c>
      <c r="G318" s="83" t="str">
        <f ca="1">IFERROR(__xludf.DUMMYFUNCTION("""COMPUTED_VALUE"""),"0151.HK")</f>
        <v>0151.HK</v>
      </c>
      <c r="H318" s="81">
        <f ca="1">IFERROR(__xludf.DUMMYFUNCTION("""COMPUTED_VALUE"""),4)</f>
        <v>4</v>
      </c>
      <c r="I318" s="80" t="str">
        <f ca="1">IFERROR(__xludf.DUMMYFUNCTION("""COMPUTED_VALUE"""),"Order Rejected due to non school email, please put in sXXXXXXX@hkmu.edu.hk")</f>
        <v>Order Rejected due to non school email, please put in sXXXXXXX@hkmu.edu.hk</v>
      </c>
    </row>
    <row r="319" spans="1:9" ht="13" x14ac:dyDescent="0.15">
      <c r="A319" s="5"/>
      <c r="B319" s="82">
        <f ca="1">IFERROR(__xludf.DUMMYFUNCTION("""COMPUTED_VALUE"""),44624.7903420486)</f>
        <v>44624.790342048604</v>
      </c>
      <c r="C319" s="79">
        <f ca="1">IFERROR(__xludf.DUMMYFUNCTION("""COMPUTED_VALUE"""),44624.6666666666)</f>
        <v>44624.666666666599</v>
      </c>
      <c r="D319" s="80" t="str">
        <f ca="1">IFERROR(__xludf.DUMMYFUNCTION("""COMPUTED_VALUE"""),"74356")</f>
        <v>74356</v>
      </c>
      <c r="E319" s="80" t="str">
        <f ca="1">IFERROR(__xludf.DUMMYFUNCTION("""COMPUTED_VALUE"""),"Stock")</f>
        <v>Stock</v>
      </c>
      <c r="F319" s="80" t="str">
        <f ca="1">IFERROR(__xludf.DUMMYFUNCTION("""COMPUTED_VALUE"""),"USD")</f>
        <v>USD</v>
      </c>
      <c r="G319" s="78" t="str">
        <f ca="1">IFERROR(__xludf.DUMMYFUNCTION("""COMPUTED_VALUE"""),"NET")</f>
        <v>NET</v>
      </c>
      <c r="H319" s="81">
        <f ca="1">IFERROR(__xludf.DUMMYFUNCTION("""COMPUTED_VALUE"""),10)</f>
        <v>10</v>
      </c>
      <c r="I319" s="80"/>
    </row>
    <row r="320" spans="1:9" ht="13" x14ac:dyDescent="0.15">
      <c r="A320" s="5"/>
      <c r="B320" s="82">
        <f ca="1">IFERROR(__xludf.DUMMYFUNCTION("""COMPUTED_VALUE"""),44624.7944771064)</f>
        <v>44624.794477106399</v>
      </c>
      <c r="C320" s="79">
        <f ca="1">IFERROR(__xludf.DUMMYFUNCTION("""COMPUTED_VALUE"""),44624.6666666666)</f>
        <v>44624.666666666599</v>
      </c>
      <c r="D320" s="80" t="str">
        <f ca="1">IFERROR(__xludf.DUMMYFUNCTION("""COMPUTED_VALUE"""),"74356")</f>
        <v>74356</v>
      </c>
      <c r="E320" s="80" t="str">
        <f ca="1">IFERROR(__xludf.DUMMYFUNCTION("""COMPUTED_VALUE"""),"Stock")</f>
        <v>Stock</v>
      </c>
      <c r="F320" s="80" t="str">
        <f ca="1">IFERROR(__xludf.DUMMYFUNCTION("""COMPUTED_VALUE"""),"USD")</f>
        <v>USD</v>
      </c>
      <c r="G320" s="78" t="str">
        <f ca="1">IFERROR(__xludf.DUMMYFUNCTION("""COMPUTED_VALUE"""),"AMAT")</f>
        <v>AMAT</v>
      </c>
      <c r="H320" s="81">
        <f ca="1">IFERROR(__xludf.DUMMYFUNCTION("""COMPUTED_VALUE"""),50)</f>
        <v>50</v>
      </c>
      <c r="I320" s="80"/>
    </row>
    <row r="321" spans="1:9" ht="13" x14ac:dyDescent="0.15">
      <c r="A321" s="5"/>
      <c r="B321" s="82">
        <f ca="1">IFERROR(__xludf.DUMMYFUNCTION("""COMPUTED_VALUE"""),44624.7971742129)</f>
        <v>44624.797174212901</v>
      </c>
      <c r="C321" s="79">
        <f ca="1">IFERROR(__xludf.DUMMYFUNCTION("""COMPUTED_VALUE"""),44624.6666666666)</f>
        <v>44624.666666666599</v>
      </c>
      <c r="D321" s="80" t="str">
        <f ca="1">IFERROR(__xludf.DUMMYFUNCTION("""COMPUTED_VALUE"""),"76848")</f>
        <v>76848</v>
      </c>
      <c r="E321" s="80" t="str">
        <f ca="1">IFERROR(__xludf.DUMMYFUNCTION("""COMPUTED_VALUE"""),"Stock")</f>
        <v>Stock</v>
      </c>
      <c r="F321" s="80" t="str">
        <f ca="1">IFERROR(__xludf.DUMMYFUNCTION("""COMPUTED_VALUE"""),"USD")</f>
        <v>USD</v>
      </c>
      <c r="G321" s="78" t="str">
        <f ca="1">IFERROR(__xludf.DUMMYFUNCTION("""COMPUTED_VALUE"""),"AMAT")</f>
        <v>AMAT</v>
      </c>
      <c r="H321" s="81">
        <f ca="1">IFERROR(__xludf.DUMMYFUNCTION("""COMPUTED_VALUE"""),50)</f>
        <v>50</v>
      </c>
      <c r="I321" s="80"/>
    </row>
    <row r="322" spans="1:9" ht="13" x14ac:dyDescent="0.15">
      <c r="A322" s="5"/>
      <c r="B322" s="82">
        <f ca="1">IFERROR(__xludf.DUMMYFUNCTION("""COMPUTED_VALUE"""),44624.803866331)</f>
        <v>44624.803866331</v>
      </c>
      <c r="C322" s="79">
        <f ca="1">IFERROR(__xludf.DUMMYFUNCTION("""COMPUTED_VALUE"""),44624.6666666666)</f>
        <v>44624.666666666599</v>
      </c>
      <c r="D322" s="80" t="str">
        <f ca="1">IFERROR(__xludf.DUMMYFUNCTION("""COMPUTED_VALUE"""),"74356")</f>
        <v>74356</v>
      </c>
      <c r="E322" s="80" t="str">
        <f ca="1">IFERROR(__xludf.DUMMYFUNCTION("""COMPUTED_VALUE"""),"Stock")</f>
        <v>Stock</v>
      </c>
      <c r="F322" s="80" t="str">
        <f ca="1">IFERROR(__xludf.DUMMYFUNCTION("""COMPUTED_VALUE"""),"USD")</f>
        <v>USD</v>
      </c>
      <c r="G322" s="78" t="str">
        <f ca="1">IFERROR(__xludf.DUMMYFUNCTION("""COMPUTED_VALUE"""),"BRK-B")</f>
        <v>BRK-B</v>
      </c>
      <c r="H322" s="81">
        <f ca="1">IFERROR(__xludf.DUMMYFUNCTION("""COMPUTED_VALUE"""),40)</f>
        <v>40</v>
      </c>
      <c r="I322" s="80"/>
    </row>
    <row r="323" spans="1:9" ht="13" x14ac:dyDescent="0.15">
      <c r="A323" s="5"/>
      <c r="B323" s="82">
        <f ca="1">IFERROR(__xludf.DUMMYFUNCTION("""COMPUTED_VALUE"""),44624.8046531134)</f>
        <v>44624.804653113402</v>
      </c>
      <c r="C323" s="79">
        <f ca="1">IFERROR(__xludf.DUMMYFUNCTION("""COMPUTED_VALUE"""),44624.6666666666)</f>
        <v>44624.666666666599</v>
      </c>
      <c r="D323" s="80" t="str">
        <f ca="1">IFERROR(__xludf.DUMMYFUNCTION("""COMPUTED_VALUE"""),"76848")</f>
        <v>76848</v>
      </c>
      <c r="E323" s="80" t="str">
        <f ca="1">IFERROR(__xludf.DUMMYFUNCTION("""COMPUTED_VALUE"""),"Stock")</f>
        <v>Stock</v>
      </c>
      <c r="F323" s="80" t="str">
        <f ca="1">IFERROR(__xludf.DUMMYFUNCTION("""COMPUTED_VALUE"""),"USD")</f>
        <v>USD</v>
      </c>
      <c r="G323" s="78" t="str">
        <f ca="1">IFERROR(__xludf.DUMMYFUNCTION("""COMPUTED_VALUE"""),"BRK-B")</f>
        <v>BRK-B</v>
      </c>
      <c r="H323" s="81">
        <f ca="1">IFERROR(__xludf.DUMMYFUNCTION("""COMPUTED_VALUE"""),40)</f>
        <v>40</v>
      </c>
      <c r="I323" s="80"/>
    </row>
    <row r="324" spans="1:9" ht="13" x14ac:dyDescent="0.15">
      <c r="A324" s="5"/>
      <c r="B324" s="82">
        <f ca="1">IFERROR(__xludf.DUMMYFUNCTION("""COMPUTED_VALUE"""),44624.9133868865)</f>
        <v>44624.913386886503</v>
      </c>
      <c r="C324" s="79">
        <f ca="1">IFERROR(__xludf.DUMMYFUNCTION("""COMPUTED_VALUE"""),44624.6666666666)</f>
        <v>44624.666666666599</v>
      </c>
      <c r="D324" s="80" t="str">
        <f ca="1">IFERROR(__xludf.DUMMYFUNCTION("""COMPUTED_VALUE"""),"37400")</f>
        <v>37400</v>
      </c>
      <c r="E324" s="80" t="str">
        <f ca="1">IFERROR(__xludf.DUMMYFUNCTION("""COMPUTED_VALUE"""),"Stock")</f>
        <v>Stock</v>
      </c>
      <c r="F324" s="80" t="str">
        <f ca="1">IFERROR(__xludf.DUMMYFUNCTION("""COMPUTED_VALUE"""),"USD")</f>
        <v>USD</v>
      </c>
      <c r="G324" s="78" t="str">
        <f ca="1">IFERROR(__xludf.DUMMYFUNCTION("""COMPUTED_VALUE"""),"TSLA")</f>
        <v>TSLA</v>
      </c>
      <c r="H324" s="81">
        <f ca="1">IFERROR(__xludf.DUMMYFUNCTION("""COMPUTED_VALUE"""),18)</f>
        <v>18</v>
      </c>
      <c r="I324" s="80"/>
    </row>
    <row r="325" spans="1:9" ht="13" x14ac:dyDescent="0.15">
      <c r="A325" s="5"/>
      <c r="B325" s="82">
        <f ca="1">IFERROR(__xludf.DUMMYFUNCTION("""COMPUTED_VALUE"""),44624.9137383564)</f>
        <v>44624.913738356401</v>
      </c>
      <c r="C325" s="79">
        <f ca="1">IFERROR(__xludf.DUMMYFUNCTION("""COMPUTED_VALUE"""),44624.6666666666)</f>
        <v>44624.666666666599</v>
      </c>
      <c r="D325" s="80" t="str">
        <f ca="1">IFERROR(__xludf.DUMMYFUNCTION("""COMPUTED_VALUE"""),"39608")</f>
        <v>39608</v>
      </c>
      <c r="E325" s="80" t="str">
        <f ca="1">IFERROR(__xludf.DUMMYFUNCTION("""COMPUTED_VALUE"""),"Stock")</f>
        <v>Stock</v>
      </c>
      <c r="F325" s="80" t="str">
        <f ca="1">IFERROR(__xludf.DUMMYFUNCTION("""COMPUTED_VALUE"""),"USD")</f>
        <v>USD</v>
      </c>
      <c r="G325" s="78" t="str">
        <f ca="1">IFERROR(__xludf.DUMMYFUNCTION("""COMPUTED_VALUE"""),"TSLA")</f>
        <v>TSLA</v>
      </c>
      <c r="H325" s="81">
        <f ca="1">IFERROR(__xludf.DUMMYFUNCTION("""COMPUTED_VALUE"""),18)</f>
        <v>18</v>
      </c>
      <c r="I325" s="80"/>
    </row>
    <row r="326" spans="1:9" ht="13" x14ac:dyDescent="0.15">
      <c r="A326" s="5"/>
      <c r="B326" s="82">
        <f ca="1">IFERROR(__xludf.DUMMYFUNCTION("""COMPUTED_VALUE"""),44624.9159730439)</f>
        <v>44624.915973043899</v>
      </c>
      <c r="C326" s="79">
        <f ca="1">IFERROR(__xludf.DUMMYFUNCTION("""COMPUTED_VALUE"""),44624.6666666666)</f>
        <v>44624.666666666599</v>
      </c>
      <c r="D326" s="80" t="str">
        <f ca="1">IFERROR(__xludf.DUMMYFUNCTION("""COMPUTED_VALUE"""),"32312")</f>
        <v>32312</v>
      </c>
      <c r="E326" s="80" t="str">
        <f ca="1">IFERROR(__xludf.DUMMYFUNCTION("""COMPUTED_VALUE"""),"Stock")</f>
        <v>Stock</v>
      </c>
      <c r="F326" s="80" t="str">
        <f ca="1">IFERROR(__xludf.DUMMYFUNCTION("""COMPUTED_VALUE"""),"USD")</f>
        <v>USD</v>
      </c>
      <c r="G326" s="78" t="str">
        <f ca="1">IFERROR(__xludf.DUMMYFUNCTION("""COMPUTED_VALUE"""),"TSLA")</f>
        <v>TSLA</v>
      </c>
      <c r="H326" s="81">
        <f ca="1">IFERROR(__xludf.DUMMYFUNCTION("""COMPUTED_VALUE"""),18)</f>
        <v>18</v>
      </c>
      <c r="I326" s="80"/>
    </row>
    <row r="327" spans="1:9" ht="13" x14ac:dyDescent="0.15">
      <c r="A327" s="5"/>
      <c r="B327" s="82">
        <f ca="1">IFERROR(__xludf.DUMMYFUNCTION("""COMPUTED_VALUE"""),44625.0374860763)</f>
        <v>44625.037486076297</v>
      </c>
      <c r="C327" s="79">
        <f ca="1">IFERROR(__xludf.DUMMYFUNCTION("""COMPUTED_VALUE"""),44624.6666666666)</f>
        <v>44624.666666666599</v>
      </c>
      <c r="D327" s="80" t="str">
        <f ca="1">IFERROR(__xludf.DUMMYFUNCTION("""COMPUTED_VALUE"""),"89750")</f>
        <v>89750</v>
      </c>
      <c r="E327" s="80" t="str">
        <f ca="1">IFERROR(__xludf.DUMMYFUNCTION("""COMPUTED_VALUE"""),"Option")</f>
        <v>Option</v>
      </c>
      <c r="F327" s="80" t="str">
        <f ca="1">IFERROR(__xludf.DUMMYFUNCTION("""COMPUTED_VALUE"""),"USD")</f>
        <v>USD</v>
      </c>
      <c r="G327" s="78" t="str">
        <f ca="1">IFERROR(__xludf.DUMMYFUNCTION("""COMPUTED_VALUE"""),"TQQQ220311P00057500")</f>
        <v>TQQQ220311P00057500</v>
      </c>
      <c r="H327" s="81">
        <f ca="1">IFERROR(__xludf.DUMMYFUNCTION("""COMPUTED_VALUE"""),10)</f>
        <v>10</v>
      </c>
      <c r="I327" s="80"/>
    </row>
    <row r="328" spans="1:9" ht="13" x14ac:dyDescent="0.15">
      <c r="A328" s="5"/>
      <c r="B328" s="82">
        <f ca="1">IFERROR(__xludf.DUMMYFUNCTION("""COMPUTED_VALUE"""),44625.0776971064)</f>
        <v>44625.077697106397</v>
      </c>
      <c r="C328" s="79">
        <f ca="1">IFERROR(__xludf.DUMMYFUNCTION("""COMPUTED_VALUE"""),44624.6666666666)</f>
        <v>44624.666666666599</v>
      </c>
      <c r="D328" s="80" t="str">
        <f ca="1">IFERROR(__xludf.DUMMYFUNCTION("""COMPUTED_VALUE"""),"89750")</f>
        <v>89750</v>
      </c>
      <c r="E328" s="80" t="str">
        <f ca="1">IFERROR(__xludf.DUMMYFUNCTION("""COMPUTED_VALUE"""),"Option")</f>
        <v>Option</v>
      </c>
      <c r="F328" s="80" t="str">
        <f ca="1">IFERROR(__xludf.DUMMYFUNCTION("""COMPUTED_VALUE"""),"USD")</f>
        <v>USD</v>
      </c>
      <c r="G328" s="78" t="str">
        <f ca="1">IFERROR(__xludf.DUMMYFUNCTION("""COMPUTED_VALUE"""),"MARA220401P00016000")</f>
        <v>MARA220401P00016000</v>
      </c>
      <c r="H328" s="81">
        <f ca="1">IFERROR(__xludf.DUMMYFUNCTION("""COMPUTED_VALUE"""),100)</f>
        <v>100</v>
      </c>
      <c r="I328" s="80"/>
    </row>
    <row r="329" spans="1:9" ht="13" x14ac:dyDescent="0.15">
      <c r="A329" s="5"/>
      <c r="B329" s="82">
        <f ca="1">IFERROR(__xludf.DUMMYFUNCTION("""COMPUTED_VALUE"""),44625.0843601273)</f>
        <v>44625.084360127301</v>
      </c>
      <c r="C329" s="78"/>
      <c r="D329" s="80"/>
      <c r="E329" s="80" t="str">
        <f ca="1">IFERROR(__xludf.DUMMYFUNCTION("""COMPUTED_VALUE"""),"Stock")</f>
        <v>Stock</v>
      </c>
      <c r="F329" s="80" t="str">
        <f ca="1">IFERROR(__xludf.DUMMYFUNCTION("""COMPUTED_VALUE"""),"error")</f>
        <v>error</v>
      </c>
      <c r="G329" s="78" t="str">
        <f ca="1">IFERROR(__xludf.DUMMYFUNCTION("""COMPUTED_VALUE"""),"XLK")</f>
        <v>XLK</v>
      </c>
      <c r="H329" s="81"/>
      <c r="I329" s="80" t="str">
        <f ca="1">IFERROR(__xludf.DUMMYFUNCTION("""COMPUTED_VALUE"""),"Order Rejected due to wrong school email address (input gmail instead)")</f>
        <v>Order Rejected due to wrong school email address (input gmail instead)</v>
      </c>
    </row>
    <row r="330" spans="1:9" ht="13" x14ac:dyDescent="0.15">
      <c r="A330" s="5"/>
      <c r="B330" s="82">
        <f ca="1">IFERROR(__xludf.DUMMYFUNCTION("""COMPUTED_VALUE"""),44625.0937194097)</f>
        <v>44625.093719409699</v>
      </c>
      <c r="C330" s="79">
        <f ca="1">IFERROR(__xludf.DUMMYFUNCTION("""COMPUTED_VALUE"""),44624.6666666666)</f>
        <v>44624.666666666599</v>
      </c>
      <c r="D330" s="80" t="str">
        <f ca="1">IFERROR(__xludf.DUMMYFUNCTION("""COMPUTED_VALUE"""),"89750")</f>
        <v>89750</v>
      </c>
      <c r="E330" s="80" t="str">
        <f ca="1">IFERROR(__xludf.DUMMYFUNCTION("""COMPUTED_VALUE"""),"Option")</f>
        <v>Option</v>
      </c>
      <c r="F330" s="80" t="str">
        <f ca="1">IFERROR(__xludf.DUMMYFUNCTION("""COMPUTED_VALUE"""),"USD")</f>
        <v>USD</v>
      </c>
      <c r="G330" s="78" t="str">
        <f ca="1">IFERROR(__xludf.DUMMYFUNCTION("""COMPUTED_VALUE"""),"NU220414C00009000")</f>
        <v>NU220414C00009000</v>
      </c>
      <c r="H330" s="81">
        <f ca="1">IFERROR(__xludf.DUMMYFUNCTION("""COMPUTED_VALUE"""),200)</f>
        <v>200</v>
      </c>
      <c r="I330" s="80"/>
    </row>
    <row r="331" spans="1:9" ht="13" x14ac:dyDescent="0.15">
      <c r="A331" s="5"/>
      <c r="B331" s="82">
        <f ca="1">IFERROR(__xludf.DUMMYFUNCTION("""COMPUTED_VALUE"""),44625.4815320138)</f>
        <v>44625.4815320138</v>
      </c>
      <c r="C331" s="79">
        <f ca="1">IFERROR(__xludf.DUMMYFUNCTION("""COMPUTED_VALUE"""),44627.6666666666)</f>
        <v>44627.666666666599</v>
      </c>
      <c r="D331" s="80" t="str">
        <f ca="1">IFERROR(__xludf.DUMMYFUNCTION("""COMPUTED_VALUE"""),"24442")</f>
        <v>24442</v>
      </c>
      <c r="E331" s="80" t="str">
        <f ca="1">IFERROR(__xludf.DUMMYFUNCTION("""COMPUTED_VALUE"""),"Stock")</f>
        <v>Stock</v>
      </c>
      <c r="F331" s="80" t="str">
        <f ca="1">IFERROR(__xludf.DUMMYFUNCTION("""COMPUTED_VALUE"""),"USD")</f>
        <v>USD</v>
      </c>
      <c r="G331" s="78" t="str">
        <f ca="1">IFERROR(__xludf.DUMMYFUNCTION("""COMPUTED_VALUE"""),"XLK")</f>
        <v>XLK</v>
      </c>
      <c r="H331" s="81">
        <f ca="1">IFERROR(__xludf.DUMMYFUNCTION("""COMPUTED_VALUE"""),100)</f>
        <v>100</v>
      </c>
      <c r="I331" s="80"/>
    </row>
    <row r="332" spans="1:9" ht="13" x14ac:dyDescent="0.15">
      <c r="A332" s="5"/>
      <c r="B332" s="82">
        <f ca="1">IFERROR(__xludf.DUMMYFUNCTION("""COMPUTED_VALUE"""),44626.6037453935)</f>
        <v>44626.603745393499</v>
      </c>
      <c r="C332" s="79">
        <f ca="1">IFERROR(__xludf.DUMMYFUNCTION("""COMPUTED_VALUE"""),44627.6666666666)</f>
        <v>44627.666666666599</v>
      </c>
      <c r="D332" s="80" t="str">
        <f ca="1">IFERROR(__xludf.DUMMYFUNCTION("""COMPUTED_VALUE"""),"76369")</f>
        <v>76369</v>
      </c>
      <c r="E332" s="80" t="str">
        <f ca="1">IFERROR(__xludf.DUMMYFUNCTION("""COMPUTED_VALUE"""),"Stock")</f>
        <v>Stock</v>
      </c>
      <c r="F332" s="80" t="str">
        <f ca="1">IFERROR(__xludf.DUMMYFUNCTION("""COMPUTED_VALUE"""),"CNY")</f>
        <v>CNY</v>
      </c>
      <c r="G332" s="83" t="str">
        <f ca="1">IFERROR(__xludf.DUMMYFUNCTION("""COMPUTED_VALUE"""),"603963.SS")</f>
        <v>603963.SS</v>
      </c>
      <c r="H332" s="81">
        <f ca="1">IFERROR(__xludf.DUMMYFUNCTION("""COMPUTED_VALUE"""),1000)</f>
        <v>1000</v>
      </c>
      <c r="I332" s="80"/>
    </row>
    <row r="333" spans="1:9" ht="13" x14ac:dyDescent="0.15">
      <c r="A333" s="5"/>
      <c r="B333" s="82">
        <f ca="1">IFERROR(__xludf.DUMMYFUNCTION("""COMPUTED_VALUE"""),44626.6882201157)</f>
        <v>44626.688220115699</v>
      </c>
      <c r="C333" s="79">
        <f ca="1">IFERROR(__xludf.DUMMYFUNCTION("""COMPUTED_VALUE"""),44627.6666666666)</f>
        <v>44627.666666666599</v>
      </c>
      <c r="D333" s="80" t="str">
        <f ca="1">IFERROR(__xludf.DUMMYFUNCTION("""COMPUTED_VALUE"""),"73879")</f>
        <v>73879</v>
      </c>
      <c r="E333" s="80" t="str">
        <f ca="1">IFERROR(__xludf.DUMMYFUNCTION("""COMPUTED_VALUE"""),"Stock")</f>
        <v>Stock</v>
      </c>
      <c r="F333" s="80" t="str">
        <f ca="1">IFERROR(__xludf.DUMMYFUNCTION("""COMPUTED_VALUE"""),"HKD")</f>
        <v>HKD</v>
      </c>
      <c r="G333" s="83" t="str">
        <f ca="1">IFERROR(__xludf.DUMMYFUNCTION("""COMPUTED_VALUE"""),"0700.HK")</f>
        <v>0700.HK</v>
      </c>
      <c r="H333" s="81">
        <f ca="1">IFERROR(__xludf.DUMMYFUNCTION("""COMPUTED_VALUE"""),248)</f>
        <v>248</v>
      </c>
      <c r="I333" s="80"/>
    </row>
    <row r="334" spans="1:9" ht="13" x14ac:dyDescent="0.15">
      <c r="A334" s="5"/>
      <c r="B334" s="82">
        <f ca="1">IFERROR(__xludf.DUMMYFUNCTION("""COMPUTED_VALUE"""),44627.1190922569)</f>
        <v>44627.1190922569</v>
      </c>
      <c r="C334" s="79" t="str">
        <f ca="1">IFERROR(__xludf.DUMMYFUNCTION("""COMPUTED_VALUE"""),"")</f>
        <v/>
      </c>
      <c r="D334" s="80" t="str">
        <f ca="1">IFERROR(__xludf.DUMMYFUNCTION("""COMPUTED_VALUE"""),"")</f>
        <v/>
      </c>
      <c r="E334" s="80" t="str">
        <f ca="1">IFERROR(__xludf.DUMMYFUNCTION("""COMPUTED_VALUE"""),"Stock")</f>
        <v>Stock</v>
      </c>
      <c r="F334" s="80" t="str">
        <f ca="1">IFERROR(__xludf.DUMMYFUNCTION("""COMPUTED_VALUE"""),"error")</f>
        <v>error</v>
      </c>
      <c r="G334" s="83" t="str">
        <f ca="1">IFERROR(__xludf.DUMMYFUNCTION("""COMPUTED_VALUE"""),"0151.HK")</f>
        <v>0151.HK</v>
      </c>
      <c r="H334" s="81">
        <f ca="1">IFERROR(__xludf.DUMMYFUNCTION("""COMPUTED_VALUE"""),10000)</f>
        <v>10000</v>
      </c>
      <c r="I334" s="80" t="str">
        <f ca="1">IFERROR(__xludf.DUMMYFUNCTION("""COMPUTED_VALUE"""),"Order Rejected due to wrong school email address: should be @hkmu, not @muhk")</f>
        <v>Order Rejected due to wrong school email address: should be @hkmu, not @muhk</v>
      </c>
    </row>
    <row r="335" spans="1:9" ht="13" x14ac:dyDescent="0.15">
      <c r="A335" s="5"/>
      <c r="B335" s="82">
        <f ca="1">IFERROR(__xludf.DUMMYFUNCTION("""COMPUTED_VALUE"""),44627.1208057986)</f>
        <v>44627.1208057986</v>
      </c>
      <c r="C335" s="79" t="str">
        <f ca="1">IFERROR(__xludf.DUMMYFUNCTION("""COMPUTED_VALUE"""),"")</f>
        <v/>
      </c>
      <c r="D335" s="80" t="str">
        <f ca="1">IFERROR(__xludf.DUMMYFUNCTION("""COMPUTED_VALUE"""),"")</f>
        <v/>
      </c>
      <c r="E335" s="80" t="str">
        <f ca="1">IFERROR(__xludf.DUMMYFUNCTION("""COMPUTED_VALUE"""),"Stock")</f>
        <v>Stock</v>
      </c>
      <c r="F335" s="80" t="str">
        <f ca="1">IFERROR(__xludf.DUMMYFUNCTION("""COMPUTED_VALUE"""),"error")</f>
        <v>error</v>
      </c>
      <c r="G335" s="83" t="str">
        <f ca="1">IFERROR(__xludf.DUMMYFUNCTION("""COMPUTED_VALUE"""),"0001.HK")</f>
        <v>0001.HK</v>
      </c>
      <c r="H335" s="81">
        <f ca="1">IFERROR(__xludf.DUMMYFUNCTION("""COMPUTED_VALUE"""),1500)</f>
        <v>1500</v>
      </c>
      <c r="I335" s="80" t="str">
        <f ca="1">IFERROR(__xludf.DUMMYFUNCTION("""COMPUTED_VALUE"""),"Order Rejected due to wrong school email address: should be @hkmu, not @muhk")</f>
        <v>Order Rejected due to wrong school email address: should be @hkmu, not @muhk</v>
      </c>
    </row>
    <row r="336" spans="1:9" ht="13" x14ac:dyDescent="0.15">
      <c r="A336" s="5"/>
      <c r="B336" s="82">
        <f ca="1">IFERROR(__xludf.DUMMYFUNCTION("""COMPUTED_VALUE"""),44627.1232859143)</f>
        <v>44627.123285914298</v>
      </c>
      <c r="C336" s="79">
        <f ca="1">IFERROR(__xludf.DUMMYFUNCTION("""COMPUTED_VALUE"""),44627.6666666666)</f>
        <v>44627.666666666599</v>
      </c>
      <c r="D336" s="80" t="str">
        <f ca="1">IFERROR(__xludf.DUMMYFUNCTION("""COMPUTED_VALUE"""),"46763")</f>
        <v>46763</v>
      </c>
      <c r="E336" s="80" t="str">
        <f ca="1">IFERROR(__xludf.DUMMYFUNCTION("""COMPUTED_VALUE"""),"Stock")</f>
        <v>Stock</v>
      </c>
      <c r="F336" s="80" t="str">
        <f ca="1">IFERROR(__xludf.DUMMYFUNCTION("""COMPUTED_VALUE"""),"HKD")</f>
        <v>HKD</v>
      </c>
      <c r="G336" s="83" t="str">
        <f ca="1">IFERROR(__xludf.DUMMYFUNCTION("""COMPUTED_VALUE"""),"0151.HK")</f>
        <v>0151.HK</v>
      </c>
      <c r="H336" s="81">
        <f ca="1">IFERROR(__xludf.DUMMYFUNCTION("""COMPUTED_VALUE"""),10000)</f>
        <v>10000</v>
      </c>
      <c r="I336" s="80"/>
    </row>
    <row r="337" spans="1:9" ht="13" x14ac:dyDescent="0.15">
      <c r="A337" s="5"/>
      <c r="B337" s="82">
        <f ca="1">IFERROR(__xludf.DUMMYFUNCTION("""COMPUTED_VALUE"""),44627.1238296064)</f>
        <v>44627.123829606397</v>
      </c>
      <c r="C337" s="79">
        <f ca="1">IFERROR(__xludf.DUMMYFUNCTION("""COMPUTED_VALUE"""),44627.6666666666)</f>
        <v>44627.666666666599</v>
      </c>
      <c r="D337" s="80" t="str">
        <f ca="1">IFERROR(__xludf.DUMMYFUNCTION("""COMPUTED_VALUE"""),"46763")</f>
        <v>46763</v>
      </c>
      <c r="E337" s="80" t="str">
        <f ca="1">IFERROR(__xludf.DUMMYFUNCTION("""COMPUTED_VALUE"""),"Stock")</f>
        <v>Stock</v>
      </c>
      <c r="F337" s="80" t="str">
        <f ca="1">IFERROR(__xludf.DUMMYFUNCTION("""COMPUTED_VALUE"""),"HKD")</f>
        <v>HKD</v>
      </c>
      <c r="G337" s="83" t="str">
        <f ca="1">IFERROR(__xludf.DUMMYFUNCTION("""COMPUTED_VALUE"""),"0001.HK")</f>
        <v>0001.HK</v>
      </c>
      <c r="H337" s="81">
        <f ca="1">IFERROR(__xludf.DUMMYFUNCTION("""COMPUTED_VALUE"""),1500)</f>
        <v>1500</v>
      </c>
      <c r="I337" s="80"/>
    </row>
    <row r="338" spans="1:9" ht="13" x14ac:dyDescent="0.15">
      <c r="A338" s="5"/>
      <c r="B338" s="82">
        <f ca="1">IFERROR(__xludf.DUMMYFUNCTION("""COMPUTED_VALUE"""),44627.4519672916)</f>
        <v>44627.451967291599</v>
      </c>
      <c r="C338" s="79">
        <f ca="1">IFERROR(__xludf.DUMMYFUNCTION("""COMPUTED_VALUE"""),44627.625)</f>
        <v>44627.625</v>
      </c>
      <c r="D338" s="80" t="str">
        <f ca="1">IFERROR(__xludf.DUMMYFUNCTION("""COMPUTED_VALUE"""),"79521")</f>
        <v>79521</v>
      </c>
      <c r="E338" s="80" t="str">
        <f ca="1">IFERROR(__xludf.DUMMYFUNCTION("""COMPUTED_VALUE"""),"Stock")</f>
        <v>Stock</v>
      </c>
      <c r="F338" s="80" t="str">
        <f ca="1">IFERROR(__xludf.DUMMYFUNCTION("""COMPUTED_VALUE"""),"CNY")</f>
        <v>CNY</v>
      </c>
      <c r="G338" s="83" t="str">
        <f ca="1">IFERROR(__xludf.DUMMYFUNCTION("""COMPUTED_VALUE"""),"000950.SZ")</f>
        <v>000950.SZ</v>
      </c>
      <c r="H338" s="81">
        <f ca="1">IFERROR(__xludf.DUMMYFUNCTION("""COMPUTED_VALUE"""),32500)</f>
        <v>32500</v>
      </c>
      <c r="I338" s="80"/>
    </row>
    <row r="339" spans="1:9" ht="13" x14ac:dyDescent="0.15">
      <c r="A339" s="5"/>
      <c r="B339" s="82">
        <f ca="1">IFERROR(__xludf.DUMMYFUNCTION("""COMPUTED_VALUE"""),44627.4777951388)</f>
        <v>44627.477795138802</v>
      </c>
      <c r="C339" s="79">
        <f ca="1">IFERROR(__xludf.DUMMYFUNCTION("""COMPUTED_VALUE"""),44627.625)</f>
        <v>44627.625</v>
      </c>
      <c r="D339" s="80" t="str">
        <f ca="1">IFERROR(__xludf.DUMMYFUNCTION("""COMPUTED_VALUE"""),"79521")</f>
        <v>79521</v>
      </c>
      <c r="E339" s="80" t="str">
        <f ca="1">IFERROR(__xludf.DUMMYFUNCTION("""COMPUTED_VALUE"""),"Stock")</f>
        <v>Stock</v>
      </c>
      <c r="F339" s="80" t="str">
        <f ca="1">IFERROR(__xludf.DUMMYFUNCTION("""COMPUTED_VALUE"""),"CNY")</f>
        <v>CNY</v>
      </c>
      <c r="G339" s="83" t="str">
        <f ca="1">IFERROR(__xludf.DUMMYFUNCTION("""COMPUTED_VALUE"""),"600661.SS")</f>
        <v>600661.SS</v>
      </c>
      <c r="H339" s="81">
        <f ca="1">IFERROR(__xludf.DUMMYFUNCTION("""COMPUTED_VALUE"""),15000)</f>
        <v>15000</v>
      </c>
      <c r="I339" s="80"/>
    </row>
    <row r="340" spans="1:9" ht="13" x14ac:dyDescent="0.15">
      <c r="A340" s="5"/>
      <c r="B340" s="82">
        <f ca="1">IFERROR(__xludf.DUMMYFUNCTION("""COMPUTED_VALUE"""),44627.501655787)</f>
        <v>44627.501655786997</v>
      </c>
      <c r="C340" s="79" t="str">
        <f ca="1">IFERROR(__xludf.DUMMYFUNCTION("""COMPUTED_VALUE"""),"")</f>
        <v/>
      </c>
      <c r="D340" s="80" t="str">
        <f ca="1">IFERROR(__xludf.DUMMYFUNCTION("""COMPUTED_VALUE"""),"77936")</f>
        <v>77936</v>
      </c>
      <c r="E340" s="80" t="str">
        <f ca="1">IFERROR(__xludf.DUMMYFUNCTION("""COMPUTED_VALUE"""),"Stock")</f>
        <v>Stock</v>
      </c>
      <c r="F340" s="80" t="str">
        <f ca="1">IFERROR(__xludf.DUMMYFUNCTION("""COMPUTED_VALUE"""),"error")</f>
        <v>error</v>
      </c>
      <c r="G340" s="78" t="str">
        <f ca="1">IFERROR(__xludf.DUMMYFUNCTION("""COMPUTED_VALUE"""),"09988")</f>
        <v>09988</v>
      </c>
      <c r="H340" s="81">
        <f ca="1">IFERROR(__xludf.DUMMYFUNCTION("""COMPUTED_VALUE"""),1000)</f>
        <v>1000</v>
      </c>
      <c r="I340" s="80" t="str">
        <f ca="1">IFERROR(__xludf.DUMMYFUNCTION("""COMPUTED_VALUE"""),"Order Rejected due to wrong ticker code. Not 09988, correct code is : 9988.HK")</f>
        <v>Order Rejected due to wrong ticker code. Not 09988, correct code is : 9988.HK</v>
      </c>
    </row>
    <row r="341" spans="1:9" ht="13" x14ac:dyDescent="0.15">
      <c r="A341" s="5"/>
      <c r="B341" s="82">
        <f ca="1">IFERROR(__xludf.DUMMYFUNCTION("""COMPUTED_VALUE"""),44627.5792643981)</f>
        <v>44627.579264398097</v>
      </c>
      <c r="C341" s="79">
        <f ca="1">IFERROR(__xludf.DUMMYFUNCTION("""COMPUTED_VALUE"""),44627.6666666666)</f>
        <v>44627.666666666599</v>
      </c>
      <c r="D341" s="80" t="str">
        <f ca="1">IFERROR(__xludf.DUMMYFUNCTION("""COMPUTED_VALUE"""),"38209")</f>
        <v>38209</v>
      </c>
      <c r="E341" s="80" t="str">
        <f ca="1">IFERROR(__xludf.DUMMYFUNCTION("""COMPUTED_VALUE"""),"Stock")</f>
        <v>Stock</v>
      </c>
      <c r="F341" s="80" t="str">
        <f ca="1">IFERROR(__xludf.DUMMYFUNCTION("""COMPUTED_VALUE"""),"HKD")</f>
        <v>HKD</v>
      </c>
      <c r="G341" s="83" t="str">
        <f ca="1">IFERROR(__xludf.DUMMYFUNCTION("""COMPUTED_VALUE"""),"9988.Hk")</f>
        <v>9988.Hk</v>
      </c>
      <c r="H341" s="81">
        <f ca="1">IFERROR(__xludf.DUMMYFUNCTION("""COMPUTED_VALUE"""),100)</f>
        <v>100</v>
      </c>
      <c r="I341" s="80"/>
    </row>
    <row r="342" spans="1:9" ht="13" x14ac:dyDescent="0.15">
      <c r="A342" s="5"/>
      <c r="B342" s="82">
        <f ca="1">IFERROR(__xludf.DUMMYFUNCTION("""COMPUTED_VALUE"""),44627.5800966203)</f>
        <v>44627.580096620302</v>
      </c>
      <c r="C342" s="79">
        <f ca="1">IFERROR(__xludf.DUMMYFUNCTION("""COMPUTED_VALUE"""),44627.6666666666)</f>
        <v>44627.666666666599</v>
      </c>
      <c r="D342" s="80" t="str">
        <f ca="1">IFERROR(__xludf.DUMMYFUNCTION("""COMPUTED_VALUE"""),"38209")</f>
        <v>38209</v>
      </c>
      <c r="E342" s="80" t="str">
        <f ca="1">IFERROR(__xludf.DUMMYFUNCTION("""COMPUTED_VALUE"""),"Stock")</f>
        <v>Stock</v>
      </c>
      <c r="F342" s="80" t="str">
        <f ca="1">IFERROR(__xludf.DUMMYFUNCTION("""COMPUTED_VALUE"""),"HKD")</f>
        <v>HKD</v>
      </c>
      <c r="G342" s="83" t="str">
        <f ca="1">IFERROR(__xludf.DUMMYFUNCTION("""COMPUTED_VALUE"""),"1024.HK")</f>
        <v>1024.HK</v>
      </c>
      <c r="H342" s="81">
        <f ca="1">IFERROR(__xludf.DUMMYFUNCTION("""COMPUTED_VALUE"""),200)</f>
        <v>200</v>
      </c>
      <c r="I342" s="80"/>
    </row>
    <row r="343" spans="1:9" ht="13" x14ac:dyDescent="0.15">
      <c r="A343" s="5"/>
      <c r="B343" s="82">
        <f ca="1">IFERROR(__xludf.DUMMYFUNCTION("""COMPUTED_VALUE"""),44627.5849377893)</f>
        <v>44627.584937789303</v>
      </c>
      <c r="C343" s="79">
        <f ca="1">IFERROR(__xludf.DUMMYFUNCTION("""COMPUTED_VALUE"""),44627.6666666666)</f>
        <v>44627.666666666599</v>
      </c>
      <c r="D343" s="80" t="str">
        <f ca="1">IFERROR(__xludf.DUMMYFUNCTION("""COMPUTED_VALUE"""),"38209")</f>
        <v>38209</v>
      </c>
      <c r="E343" s="80" t="str">
        <f ca="1">IFERROR(__xludf.DUMMYFUNCTION("""COMPUTED_VALUE"""),"Stock")</f>
        <v>Stock</v>
      </c>
      <c r="F343" s="80" t="str">
        <f ca="1">IFERROR(__xludf.DUMMYFUNCTION("""COMPUTED_VALUE"""),"HKD")</f>
        <v>HKD</v>
      </c>
      <c r="G343" s="83" t="str">
        <f ca="1">IFERROR(__xludf.DUMMYFUNCTION("""COMPUTED_VALUE"""),"1810.HK")</f>
        <v>1810.HK</v>
      </c>
      <c r="H343" s="81">
        <f ca="1">IFERROR(__xludf.DUMMYFUNCTION("""COMPUTED_VALUE"""),1000)</f>
        <v>1000</v>
      </c>
      <c r="I343" s="80"/>
    </row>
    <row r="344" spans="1:9" ht="13" x14ac:dyDescent="0.15">
      <c r="A344" s="5"/>
      <c r="B344" s="82">
        <f ca="1">IFERROR(__xludf.DUMMYFUNCTION("""COMPUTED_VALUE"""),44627.6037325578)</f>
        <v>44627.6037325578</v>
      </c>
      <c r="C344" s="79">
        <f ca="1">IFERROR(__xludf.DUMMYFUNCTION("""COMPUTED_VALUE"""),44627.6666666666)</f>
        <v>44627.666666666599</v>
      </c>
      <c r="D344" s="80" t="str">
        <f ca="1">IFERROR(__xludf.DUMMYFUNCTION("""COMPUTED_VALUE"""),"73879")</f>
        <v>73879</v>
      </c>
      <c r="E344" s="80" t="str">
        <f ca="1">IFERROR(__xludf.DUMMYFUNCTION("""COMPUTED_VALUE"""),"Stock")</f>
        <v>Stock</v>
      </c>
      <c r="F344" s="80" t="str">
        <f ca="1">IFERROR(__xludf.DUMMYFUNCTION("""COMPUTED_VALUE"""),"HKD")</f>
        <v>HKD</v>
      </c>
      <c r="G344" s="83" t="str">
        <f ca="1">IFERROR(__xludf.DUMMYFUNCTION("""COMPUTED_VALUE"""),"3690.HK")</f>
        <v>3690.HK</v>
      </c>
      <c r="H344" s="81">
        <f ca="1">IFERROR(__xludf.DUMMYFUNCTION("""COMPUTED_VALUE"""),666)</f>
        <v>666</v>
      </c>
      <c r="I344" s="80"/>
    </row>
    <row r="345" spans="1:9" ht="13" x14ac:dyDescent="0.15">
      <c r="A345" s="5"/>
      <c r="B345" s="82">
        <f ca="1">IFERROR(__xludf.DUMMYFUNCTION("""COMPUTED_VALUE"""),44627.6083729513)</f>
        <v>44627.608372951297</v>
      </c>
      <c r="C345" s="79">
        <f ca="1">IFERROR(__xludf.DUMMYFUNCTION("""COMPUTED_VALUE"""),44627.6666666666)</f>
        <v>44627.666666666599</v>
      </c>
      <c r="D345" s="80" t="str">
        <f ca="1">IFERROR(__xludf.DUMMYFUNCTION("""COMPUTED_VALUE"""),"77729")</f>
        <v>77729</v>
      </c>
      <c r="E345" s="80" t="str">
        <f ca="1">IFERROR(__xludf.DUMMYFUNCTION("""COMPUTED_VALUE"""),"Stock")</f>
        <v>Stock</v>
      </c>
      <c r="F345" s="80" t="str">
        <f ca="1">IFERROR(__xludf.DUMMYFUNCTION("""COMPUTED_VALUE"""),"HKD")</f>
        <v>HKD</v>
      </c>
      <c r="G345" s="83" t="str">
        <f ca="1">IFERROR(__xludf.DUMMYFUNCTION("""COMPUTED_VALUE"""),"0700.HK")</f>
        <v>0700.HK</v>
      </c>
      <c r="H345" s="81">
        <f ca="1">IFERROR(__xludf.DUMMYFUNCTION("""COMPUTED_VALUE"""),250)</f>
        <v>250</v>
      </c>
      <c r="I345" s="80"/>
    </row>
    <row r="346" spans="1:9" ht="13" x14ac:dyDescent="0.15">
      <c r="A346" s="5"/>
      <c r="B346" s="82">
        <f ca="1">IFERROR(__xludf.DUMMYFUNCTION("""COMPUTED_VALUE"""),44627.6100429398)</f>
        <v>44627.610042939799</v>
      </c>
      <c r="C346" s="79">
        <f ca="1">IFERROR(__xludf.DUMMYFUNCTION("""COMPUTED_VALUE"""),44627.6666666666)</f>
        <v>44627.666666666599</v>
      </c>
      <c r="D346" s="80" t="str">
        <f ca="1">IFERROR(__xludf.DUMMYFUNCTION("""COMPUTED_VALUE"""),"77729")</f>
        <v>77729</v>
      </c>
      <c r="E346" s="80" t="str">
        <f ca="1">IFERROR(__xludf.DUMMYFUNCTION("""COMPUTED_VALUE"""),"Stock")</f>
        <v>Stock</v>
      </c>
      <c r="F346" s="80" t="str">
        <f ca="1">IFERROR(__xludf.DUMMYFUNCTION("""COMPUTED_VALUE"""),"HKD")</f>
        <v>HKD</v>
      </c>
      <c r="G346" s="83" t="str">
        <f ca="1">IFERROR(__xludf.DUMMYFUNCTION("""COMPUTED_VALUE"""),"3690.HK")</f>
        <v>3690.HK</v>
      </c>
      <c r="H346" s="81">
        <f ca="1">IFERROR(__xludf.DUMMYFUNCTION("""COMPUTED_VALUE"""),300)</f>
        <v>300</v>
      </c>
      <c r="I346" s="80"/>
    </row>
    <row r="347" spans="1:9" ht="13" x14ac:dyDescent="0.15">
      <c r="A347" s="5"/>
      <c r="B347" s="82">
        <f ca="1">IFERROR(__xludf.DUMMYFUNCTION("""COMPUTED_VALUE"""),44627.6257618171)</f>
        <v>44627.6257618171</v>
      </c>
      <c r="C347" s="79">
        <f ca="1">IFERROR(__xludf.DUMMYFUNCTION("""COMPUTED_VALUE"""),44627.6666666666)</f>
        <v>44627.666666666599</v>
      </c>
      <c r="D347" s="80" t="str">
        <f ca="1">IFERROR(__xludf.DUMMYFUNCTION("""COMPUTED_VALUE"""),"82124")</f>
        <v>82124</v>
      </c>
      <c r="E347" s="80" t="str">
        <f ca="1">IFERROR(__xludf.DUMMYFUNCTION("""COMPUTED_VALUE"""),"Stock")</f>
        <v>Stock</v>
      </c>
      <c r="F347" s="80" t="str">
        <f ca="1">IFERROR(__xludf.DUMMYFUNCTION("""COMPUTED_VALUE"""),"HKD")</f>
        <v>HKD</v>
      </c>
      <c r="G347" s="83" t="str">
        <f ca="1">IFERROR(__xludf.DUMMYFUNCTION("""COMPUTED_VALUE"""),"2800.HK")</f>
        <v>2800.HK</v>
      </c>
      <c r="H347" s="81">
        <f ca="1">IFERROR(__xludf.DUMMYFUNCTION("""COMPUTED_VALUE"""),2000)</f>
        <v>2000</v>
      </c>
      <c r="I347" s="80"/>
    </row>
    <row r="348" spans="1:9" ht="13" x14ac:dyDescent="0.15">
      <c r="A348" s="5"/>
      <c r="B348" s="82">
        <f ca="1">IFERROR(__xludf.DUMMYFUNCTION("""COMPUTED_VALUE"""),44627.6587019791)</f>
        <v>44627.658701979097</v>
      </c>
      <c r="C348" s="79">
        <f ca="1">IFERROR(__xludf.DUMMYFUNCTION("""COMPUTED_VALUE"""),44628.625)</f>
        <v>44628.625</v>
      </c>
      <c r="D348" s="80" t="str">
        <f ca="1">IFERROR(__xludf.DUMMYFUNCTION("""COMPUTED_VALUE"""),"76369")</f>
        <v>76369</v>
      </c>
      <c r="E348" s="80" t="str">
        <f ca="1">IFERROR(__xludf.DUMMYFUNCTION("""COMPUTED_VALUE"""),"Stock")</f>
        <v>Stock</v>
      </c>
      <c r="F348" s="80" t="str">
        <f ca="1">IFERROR(__xludf.DUMMYFUNCTION("""COMPUTED_VALUE"""),"CNY")</f>
        <v>CNY</v>
      </c>
      <c r="G348" s="83" t="str">
        <f ca="1">IFERROR(__xludf.DUMMYFUNCTION("""COMPUTED_VALUE"""),"603963.SS")</f>
        <v>603963.SS</v>
      </c>
      <c r="H348" s="81">
        <f ca="1">IFERROR(__xludf.DUMMYFUNCTION("""COMPUTED_VALUE"""),900)</f>
        <v>900</v>
      </c>
      <c r="I348" s="80"/>
    </row>
    <row r="349" spans="1:9" ht="13" x14ac:dyDescent="0.15">
      <c r="A349" s="5"/>
      <c r="B349" s="82">
        <f ca="1">IFERROR(__xludf.DUMMYFUNCTION("""COMPUTED_VALUE"""),44627.6868367129)</f>
        <v>44627.686836712899</v>
      </c>
      <c r="C349" s="79" t="str">
        <f ca="1">IFERROR(__xludf.DUMMYFUNCTION("""COMPUTED_VALUE"""),"")</f>
        <v/>
      </c>
      <c r="D349" s="80" t="str">
        <f ca="1">IFERROR(__xludf.DUMMYFUNCTION("""COMPUTED_VALUE"""),"77936")</f>
        <v>77936</v>
      </c>
      <c r="E349" s="80" t="str">
        <f ca="1">IFERROR(__xludf.DUMMYFUNCTION("""COMPUTED_VALUE"""),"Stock")</f>
        <v>Stock</v>
      </c>
      <c r="F349" s="80" t="str">
        <f ca="1">IFERROR(__xludf.DUMMYFUNCTION("""COMPUTED_VALUE"""),"error")</f>
        <v>error</v>
      </c>
      <c r="G349" s="83" t="str">
        <f ca="1">IFERROR(__xludf.DUMMYFUNCTION("""COMPUTED_VALUE"""),"00700.HK")</f>
        <v>00700.HK</v>
      </c>
      <c r="H349" s="81">
        <f ca="1">IFERROR(__xludf.DUMMYFUNCTION("""COMPUTED_VALUE"""),200)</f>
        <v>200</v>
      </c>
      <c r="I349" s="80" t="str">
        <f ca="1">IFERROR(__xludf.DUMMYFUNCTION("""COMPUTED_VALUE"""),"Order Rejected due to wrong ticker code. Not 00700.HK, correct code is just 4 digits for HK: 0700.HK")</f>
        <v>Order Rejected due to wrong ticker code. Not 00700.HK, correct code is just 4 digits for HK: 0700.HK</v>
      </c>
    </row>
    <row r="350" spans="1:9" ht="13" x14ac:dyDescent="0.15">
      <c r="A350" s="5"/>
      <c r="B350" s="82">
        <f ca="1">IFERROR(__xludf.DUMMYFUNCTION("""COMPUTED_VALUE"""),44627.6874152314)</f>
        <v>44627.687415231398</v>
      </c>
      <c r="C350" s="79" t="str">
        <f ca="1">IFERROR(__xludf.DUMMYFUNCTION("""COMPUTED_VALUE"""),"")</f>
        <v/>
      </c>
      <c r="D350" s="80" t="str">
        <f ca="1">IFERROR(__xludf.DUMMYFUNCTION("""COMPUTED_VALUE"""),"77936")</f>
        <v>77936</v>
      </c>
      <c r="E350" s="80" t="str">
        <f ca="1">IFERROR(__xludf.DUMMYFUNCTION("""COMPUTED_VALUE"""),"Stock")</f>
        <v>Stock</v>
      </c>
      <c r="F350" s="80" t="str">
        <f ca="1">IFERROR(__xludf.DUMMYFUNCTION("""COMPUTED_VALUE"""),"error")</f>
        <v>error</v>
      </c>
      <c r="G350" s="83" t="str">
        <f ca="1">IFERROR(__xludf.DUMMYFUNCTION("""COMPUTED_VALUE"""),"09988.HK")</f>
        <v>09988.HK</v>
      </c>
      <c r="H350" s="81">
        <f ca="1">IFERROR(__xludf.DUMMYFUNCTION("""COMPUTED_VALUE"""),100)</f>
        <v>100</v>
      </c>
      <c r="I350" s="80" t="str">
        <f ca="1">IFERROR(__xludf.DUMMYFUNCTION("""COMPUTED_VALUE"""),"Order Rejected due to wrong ticker code. Not 09988.HK, correct code is just 4 digits for HK: 9988.HK")</f>
        <v>Order Rejected due to wrong ticker code. Not 09988.HK, correct code is just 4 digits for HK: 9988.HK</v>
      </c>
    </row>
    <row r="351" spans="1:9" ht="13" x14ac:dyDescent="0.15">
      <c r="A351" s="5"/>
      <c r="B351" s="82">
        <f ca="1">IFERROR(__xludf.DUMMYFUNCTION("""COMPUTED_VALUE"""),44627.7222578472)</f>
        <v>44627.722257847199</v>
      </c>
      <c r="C351" s="79" t="str">
        <f ca="1">IFERROR(__xludf.DUMMYFUNCTION("""COMPUTED_VALUE"""),"")</f>
        <v/>
      </c>
      <c r="D351" s="80" t="str">
        <f ca="1">IFERROR(__xludf.DUMMYFUNCTION("""COMPUTED_VALUE"""),"")</f>
        <v/>
      </c>
      <c r="E351" s="80" t="str">
        <f ca="1">IFERROR(__xludf.DUMMYFUNCTION("""COMPUTED_VALUE"""),"Stock")</f>
        <v>Stock</v>
      </c>
      <c r="F351" s="80" t="str">
        <f ca="1">IFERROR(__xludf.DUMMYFUNCTION("""COMPUTED_VALUE"""),"error")</f>
        <v>error</v>
      </c>
      <c r="G351" s="83" t="str">
        <f ca="1">IFERROR(__xludf.DUMMYFUNCTION("""COMPUTED_VALUE"""),"0700.hk")</f>
        <v>0700.hk</v>
      </c>
      <c r="H351" s="81" t="str">
        <f ca="1">IFERROR(__xludf.DUMMYFUNCTION("""COMPUTED_VALUE"""),"50 x $392.4 per share=$19620")</f>
        <v>50 x $392.4 per share=$19620</v>
      </c>
      <c r="I351" s="80" t="str">
        <f ca="1">IFERROR(__xludf.DUMMYFUNCTION("""COMPUTED_VALUE"""),"Order Rejected due to wrong instruction. Only Number is expected in the limit price setup.")</f>
        <v>Order Rejected due to wrong instruction. Only Number is expected in the limit price setup.</v>
      </c>
    </row>
    <row r="352" spans="1:9" ht="13" x14ac:dyDescent="0.15">
      <c r="A352" s="5"/>
      <c r="B352" s="82">
        <f ca="1">IFERROR(__xludf.DUMMYFUNCTION("""COMPUTED_VALUE"""),44627.8325393171)</f>
        <v>44627.832539317104</v>
      </c>
      <c r="C352" s="79">
        <f ca="1">IFERROR(__xludf.DUMMYFUNCTION("""COMPUTED_VALUE"""),44628.6666666666)</f>
        <v>44628.666666666599</v>
      </c>
      <c r="D352" s="80" t="str">
        <f ca="1">IFERROR(__xludf.DUMMYFUNCTION("""COMPUTED_VALUE"""),"46322")</f>
        <v>46322</v>
      </c>
      <c r="E352" s="80" t="str">
        <f ca="1">IFERROR(__xludf.DUMMYFUNCTION("""COMPUTED_VALUE"""),"Stock")</f>
        <v>Stock</v>
      </c>
      <c r="F352" s="80" t="str">
        <f ca="1">IFERROR(__xludf.DUMMYFUNCTION("""COMPUTED_VALUE"""),"HKD")</f>
        <v>HKD</v>
      </c>
      <c r="G352" s="83" t="str">
        <f ca="1">IFERROR(__xludf.DUMMYFUNCTION("""COMPUTED_VALUE"""),"3047.HK")</f>
        <v>3047.HK</v>
      </c>
      <c r="H352" s="81">
        <f ca="1">IFERROR(__xludf.DUMMYFUNCTION("""COMPUTED_VALUE"""),5)</f>
        <v>5</v>
      </c>
      <c r="I352" s="80"/>
    </row>
    <row r="353" spans="1:9" ht="13" x14ac:dyDescent="0.15">
      <c r="A353" s="5"/>
      <c r="B353" s="82">
        <f ca="1">IFERROR(__xludf.DUMMYFUNCTION("""COMPUTED_VALUE"""),44627.8346579513)</f>
        <v>44627.834657951302</v>
      </c>
      <c r="C353" s="79">
        <f ca="1">IFERROR(__xludf.DUMMYFUNCTION("""COMPUTED_VALUE"""),44628.6666666666)</f>
        <v>44628.666666666599</v>
      </c>
      <c r="D353" s="80" t="str">
        <f ca="1">IFERROR(__xludf.DUMMYFUNCTION("""COMPUTED_VALUE"""),"46322")</f>
        <v>46322</v>
      </c>
      <c r="E353" s="80" t="str">
        <f ca="1">IFERROR(__xludf.DUMMYFUNCTION("""COMPUTED_VALUE"""),"Stock")</f>
        <v>Stock</v>
      </c>
      <c r="F353" s="80" t="str">
        <f ca="1">IFERROR(__xludf.DUMMYFUNCTION("""COMPUTED_VALUE"""),"HKD")</f>
        <v>HKD</v>
      </c>
      <c r="G353" s="83" t="str">
        <f ca="1">IFERROR(__xludf.DUMMYFUNCTION("""COMPUTED_VALUE"""),"9988.HK")</f>
        <v>9988.HK</v>
      </c>
      <c r="H353" s="81">
        <f ca="1">IFERROR(__xludf.DUMMYFUNCTION("""COMPUTED_VALUE"""),10000)</f>
        <v>10000</v>
      </c>
      <c r="I353" s="80"/>
    </row>
    <row r="354" spans="1:9" ht="13" x14ac:dyDescent="0.15">
      <c r="A354" s="5"/>
      <c r="B354" s="82">
        <f ca="1">IFERROR(__xludf.DUMMYFUNCTION("""COMPUTED_VALUE"""),44627.8893474884)</f>
        <v>44627.889347488403</v>
      </c>
      <c r="C354" s="79">
        <f ca="1">IFERROR(__xludf.DUMMYFUNCTION("""COMPUTED_VALUE"""),44627.6666666666)</f>
        <v>44627.666666666599</v>
      </c>
      <c r="D354" s="80" t="str">
        <f ca="1">IFERROR(__xludf.DUMMYFUNCTION("""COMPUTED_VALUE"""),"35577")</f>
        <v>35577</v>
      </c>
      <c r="E354" s="80" t="str">
        <f ca="1">IFERROR(__xludf.DUMMYFUNCTION("""COMPUTED_VALUE"""),"Stock")</f>
        <v>Stock</v>
      </c>
      <c r="F354" s="80" t="str">
        <f ca="1">IFERROR(__xludf.DUMMYFUNCTION("""COMPUTED_VALUE"""),"USD")</f>
        <v>USD</v>
      </c>
      <c r="G354" s="78" t="str">
        <f ca="1">IFERROR(__xludf.DUMMYFUNCTION("""COMPUTED_VALUE"""),"AAPL")</f>
        <v>AAPL</v>
      </c>
      <c r="H354" s="81">
        <f ca="1">IFERROR(__xludf.DUMMYFUNCTION("""COMPUTED_VALUE"""),11)</f>
        <v>11</v>
      </c>
      <c r="I354" s="80"/>
    </row>
    <row r="355" spans="1:9" ht="13" x14ac:dyDescent="0.15">
      <c r="A355" s="5"/>
      <c r="B355" s="82">
        <f ca="1">IFERROR(__xludf.DUMMYFUNCTION("""COMPUTED_VALUE"""),44627.89065353)</f>
        <v>44627.890653529998</v>
      </c>
      <c r="C355" s="79">
        <f ca="1">IFERROR(__xludf.DUMMYFUNCTION("""COMPUTED_VALUE"""),44627.6666666666)</f>
        <v>44627.666666666599</v>
      </c>
      <c r="D355" s="80" t="str">
        <f ca="1">IFERROR(__xludf.DUMMYFUNCTION("""COMPUTED_VALUE"""),"35577")</f>
        <v>35577</v>
      </c>
      <c r="E355" s="80" t="str">
        <f ca="1">IFERROR(__xludf.DUMMYFUNCTION("""COMPUTED_VALUE"""),"Stock")</f>
        <v>Stock</v>
      </c>
      <c r="F355" s="80" t="str">
        <f ca="1">IFERROR(__xludf.DUMMYFUNCTION("""COMPUTED_VALUE"""),"USD")</f>
        <v>USD</v>
      </c>
      <c r="G355" s="78" t="str">
        <f ca="1">IFERROR(__xludf.DUMMYFUNCTION("""COMPUTED_VALUE"""),"WMT")</f>
        <v>WMT</v>
      </c>
      <c r="H355" s="81">
        <f ca="1">IFERROR(__xludf.DUMMYFUNCTION("""COMPUTED_VALUE"""),13)</f>
        <v>13</v>
      </c>
      <c r="I355" s="80"/>
    </row>
    <row r="356" spans="1:9" ht="13" x14ac:dyDescent="0.15">
      <c r="A356" s="5"/>
      <c r="B356" s="82">
        <f ca="1">IFERROR(__xludf.DUMMYFUNCTION("""COMPUTED_VALUE"""),44627.9422717476)</f>
        <v>44627.942271747597</v>
      </c>
      <c r="C356" s="79">
        <f ca="1">IFERROR(__xludf.DUMMYFUNCTION("""COMPUTED_VALUE"""),44627.6666666666)</f>
        <v>44627.666666666599</v>
      </c>
      <c r="D356" s="80" t="str">
        <f ca="1">IFERROR(__xludf.DUMMYFUNCTION("""COMPUTED_VALUE"""),"46322")</f>
        <v>46322</v>
      </c>
      <c r="E356" s="80" t="str">
        <f ca="1">IFERROR(__xludf.DUMMYFUNCTION("""COMPUTED_VALUE"""),"Stock")</f>
        <v>Stock</v>
      </c>
      <c r="F356" s="80" t="str">
        <f ca="1">IFERROR(__xludf.DUMMYFUNCTION("""COMPUTED_VALUE"""),"USD")</f>
        <v>USD</v>
      </c>
      <c r="G356" s="78" t="str">
        <f ca="1">IFERROR(__xludf.DUMMYFUNCTION("""COMPUTED_VALUE"""),"SARK")</f>
        <v>SARK</v>
      </c>
      <c r="H356" s="81">
        <f ca="1">IFERROR(__xludf.DUMMYFUNCTION("""COMPUTED_VALUE"""),300)</f>
        <v>300</v>
      </c>
      <c r="I356" s="80"/>
    </row>
    <row r="357" spans="1:9" ht="13" x14ac:dyDescent="0.15">
      <c r="A357" s="5"/>
      <c r="B357" s="82">
        <f ca="1">IFERROR(__xludf.DUMMYFUNCTION("""COMPUTED_VALUE"""),44627.9899556828)</f>
        <v>44627.989955682802</v>
      </c>
      <c r="C357" s="79">
        <f ca="1">IFERROR(__xludf.DUMMYFUNCTION("""COMPUTED_VALUE"""),44628.6666666666)</f>
        <v>44628.666666666599</v>
      </c>
      <c r="D357" s="80" t="str">
        <f ca="1">IFERROR(__xludf.DUMMYFUNCTION("""COMPUTED_VALUE"""),"46763")</f>
        <v>46763</v>
      </c>
      <c r="E357" s="80" t="str">
        <f ca="1">IFERROR(__xludf.DUMMYFUNCTION("""COMPUTED_VALUE"""),"Stock")</f>
        <v>Stock</v>
      </c>
      <c r="F357" s="80" t="str">
        <f ca="1">IFERROR(__xludf.DUMMYFUNCTION("""COMPUTED_VALUE"""),"HKD")</f>
        <v>HKD</v>
      </c>
      <c r="G357" s="83" t="str">
        <f ca="1">IFERROR(__xludf.DUMMYFUNCTION("""COMPUTED_VALUE"""),"0151.HK")</f>
        <v>0151.HK</v>
      </c>
      <c r="H357" s="81">
        <f ca="1">IFERROR(__xludf.DUMMYFUNCTION("""COMPUTED_VALUE"""),10000)</f>
        <v>10000</v>
      </c>
      <c r="I357" s="80"/>
    </row>
    <row r="358" spans="1:9" ht="13" x14ac:dyDescent="0.15">
      <c r="A358" s="5"/>
      <c r="B358" s="82">
        <f ca="1">IFERROR(__xludf.DUMMYFUNCTION("""COMPUTED_VALUE"""),44628.0424402546)</f>
        <v>44628.042440254598</v>
      </c>
      <c r="C358" s="79">
        <f ca="1">IFERROR(__xludf.DUMMYFUNCTION("""COMPUTED_VALUE"""),44627.6666666666)</f>
        <v>44627.666666666599</v>
      </c>
      <c r="D358" s="80" t="str">
        <f ca="1">IFERROR(__xludf.DUMMYFUNCTION("""COMPUTED_VALUE"""),"89750")</f>
        <v>89750</v>
      </c>
      <c r="E358" s="80" t="str">
        <f ca="1">IFERROR(__xludf.DUMMYFUNCTION("""COMPUTED_VALUE"""),"Option")</f>
        <v>Option</v>
      </c>
      <c r="F358" s="80" t="str">
        <f ca="1">IFERROR(__xludf.DUMMYFUNCTION("""COMPUTED_VALUE"""),"USD")</f>
        <v>USD</v>
      </c>
      <c r="G358" s="78" t="str">
        <f ca="1">IFERROR(__xludf.DUMMYFUNCTION("""COMPUTED_VALUE"""),"MARA220401P00016000")</f>
        <v>MARA220401P00016000</v>
      </c>
      <c r="H358" s="81">
        <f ca="1">IFERROR(__xludf.DUMMYFUNCTION("""COMPUTED_VALUE"""),100)</f>
        <v>100</v>
      </c>
      <c r="I358" s="80"/>
    </row>
    <row r="359" spans="1:9" ht="13" x14ac:dyDescent="0.15">
      <c r="A359" s="5"/>
      <c r="B359" s="82">
        <f ca="1">IFERROR(__xludf.DUMMYFUNCTION("""COMPUTED_VALUE"""),44628.0451255439)</f>
        <v>44628.045125543897</v>
      </c>
      <c r="C359" s="79">
        <f ca="1">IFERROR(__xludf.DUMMYFUNCTION("""COMPUTED_VALUE"""),44627.6666666666)</f>
        <v>44627.666666666599</v>
      </c>
      <c r="D359" s="80" t="str">
        <f ca="1">IFERROR(__xludf.DUMMYFUNCTION("""COMPUTED_VALUE"""),"89750")</f>
        <v>89750</v>
      </c>
      <c r="E359" s="80" t="str">
        <f ca="1">IFERROR(__xludf.DUMMYFUNCTION("""COMPUTED_VALUE"""),"Option")</f>
        <v>Option</v>
      </c>
      <c r="F359" s="80" t="str">
        <f ca="1">IFERROR(__xludf.DUMMYFUNCTION("""COMPUTED_VALUE"""),"USD")</f>
        <v>USD</v>
      </c>
      <c r="G359" s="78" t="str">
        <f ca="1">IFERROR(__xludf.DUMMYFUNCTION("""COMPUTED_VALUE"""),"NU220414C00009000")</f>
        <v>NU220414C00009000</v>
      </c>
      <c r="H359" s="81">
        <f ca="1">IFERROR(__xludf.DUMMYFUNCTION("""COMPUTED_VALUE"""),200)</f>
        <v>200</v>
      </c>
      <c r="I359" s="80"/>
    </row>
    <row r="360" spans="1:9" ht="13" x14ac:dyDescent="0.15">
      <c r="A360" s="5"/>
      <c r="B360" s="82">
        <f ca="1">IFERROR(__xludf.DUMMYFUNCTION("""COMPUTED_VALUE"""),44628.046091574)</f>
        <v>44628.046091573997</v>
      </c>
      <c r="C360" s="79">
        <f ca="1">IFERROR(__xludf.DUMMYFUNCTION("""COMPUTED_VALUE"""),44627.6666666666)</f>
        <v>44627.666666666599</v>
      </c>
      <c r="D360" s="80" t="str">
        <f ca="1">IFERROR(__xludf.DUMMYFUNCTION("""COMPUTED_VALUE"""),"89750")</f>
        <v>89750</v>
      </c>
      <c r="E360" s="80" t="str">
        <f ca="1">IFERROR(__xludf.DUMMYFUNCTION("""COMPUTED_VALUE"""),"Option")</f>
        <v>Option</v>
      </c>
      <c r="F360" s="80" t="str">
        <f ca="1">IFERROR(__xludf.DUMMYFUNCTION("""COMPUTED_VALUE"""),"USD")</f>
        <v>USD</v>
      </c>
      <c r="G360" s="78" t="str">
        <f ca="1">IFERROR(__xludf.DUMMYFUNCTION("""COMPUTED_VALUE"""),"RLX220414C00005000")</f>
        <v>RLX220414C00005000</v>
      </c>
      <c r="H360" s="81">
        <f ca="1">IFERROR(__xludf.DUMMYFUNCTION("""COMPUTED_VALUE"""),1000)</f>
        <v>1000</v>
      </c>
      <c r="I360" s="80"/>
    </row>
    <row r="361" spans="1:9" ht="13" x14ac:dyDescent="0.15">
      <c r="A361" s="5"/>
      <c r="B361" s="82">
        <f ca="1">IFERROR(__xludf.DUMMYFUNCTION("""COMPUTED_VALUE"""),44628.0474725463)</f>
        <v>44628.047472546299</v>
      </c>
      <c r="C361" s="79">
        <f ca="1">IFERROR(__xludf.DUMMYFUNCTION("""COMPUTED_VALUE"""),44627.6666666666)</f>
        <v>44627.666666666599</v>
      </c>
      <c r="D361" s="80" t="str">
        <f ca="1">IFERROR(__xludf.DUMMYFUNCTION("""COMPUTED_VALUE"""),"89750")</f>
        <v>89750</v>
      </c>
      <c r="E361" s="80" t="str">
        <f ca="1">IFERROR(__xludf.DUMMYFUNCTION("""COMPUTED_VALUE"""),"Stock")</f>
        <v>Stock</v>
      </c>
      <c r="F361" s="80" t="str">
        <f ca="1">IFERROR(__xludf.DUMMYFUNCTION("""COMPUTED_VALUE"""),"USD")</f>
        <v>USD</v>
      </c>
      <c r="G361" s="78" t="str">
        <f ca="1">IFERROR(__xludf.DUMMYFUNCTION("""COMPUTED_VALUE"""),"YINN")</f>
        <v>YINN</v>
      </c>
      <c r="H361" s="81">
        <f ca="1">IFERROR(__xludf.DUMMYFUNCTION("""COMPUTED_VALUE"""),100)</f>
        <v>100</v>
      </c>
      <c r="I361" s="80"/>
    </row>
    <row r="362" spans="1:9" ht="13" x14ac:dyDescent="0.15">
      <c r="A362" s="5"/>
      <c r="B362" s="82">
        <f ca="1">IFERROR(__xludf.DUMMYFUNCTION("""COMPUTED_VALUE"""),44628.4572259953)</f>
        <v>44628.457225995298</v>
      </c>
      <c r="C362" s="79">
        <f ca="1">IFERROR(__xludf.DUMMYFUNCTION("""COMPUTED_VALUE"""),44628.6666666666)</f>
        <v>44628.666666666599</v>
      </c>
      <c r="D362" s="80" t="str">
        <f ca="1">IFERROR(__xludf.DUMMYFUNCTION("""COMPUTED_VALUE"""),"35577")</f>
        <v>35577</v>
      </c>
      <c r="E362" s="80" t="str">
        <f ca="1">IFERROR(__xludf.DUMMYFUNCTION("""COMPUTED_VALUE"""),"Stock")</f>
        <v>Stock</v>
      </c>
      <c r="F362" s="80" t="str">
        <f ca="1">IFERROR(__xludf.DUMMYFUNCTION("""COMPUTED_VALUE"""),"USD")</f>
        <v>USD</v>
      </c>
      <c r="G362" s="78" t="str">
        <f ca="1">IFERROR(__xludf.DUMMYFUNCTION("""COMPUTED_VALUE"""),"WMT")</f>
        <v>WMT</v>
      </c>
      <c r="H362" s="81">
        <f ca="1">IFERROR(__xludf.DUMMYFUNCTION("""COMPUTED_VALUE"""),13)</f>
        <v>13</v>
      </c>
      <c r="I362" s="80"/>
    </row>
    <row r="363" spans="1:9" ht="13" x14ac:dyDescent="0.15">
      <c r="A363" s="5"/>
      <c r="B363" s="82">
        <f ca="1">IFERROR(__xludf.DUMMYFUNCTION("""COMPUTED_VALUE"""),44628.5740619791)</f>
        <v>44628.574061979103</v>
      </c>
      <c r="C363" s="79" t="str">
        <f ca="1">IFERROR(__xludf.DUMMYFUNCTION("""COMPUTED_VALUE"""),"")</f>
        <v/>
      </c>
      <c r="D363" s="80" t="str">
        <f ca="1">IFERROR(__xludf.DUMMYFUNCTION("""COMPUTED_VALUE"""),"76857")</f>
        <v>76857</v>
      </c>
      <c r="E363" s="80" t="str">
        <f ca="1">IFERROR(__xludf.DUMMYFUNCTION("""COMPUTED_VALUE"""),"Stock")</f>
        <v>Stock</v>
      </c>
      <c r="F363" s="80" t="str">
        <f ca="1">IFERROR(__xludf.DUMMYFUNCTION("""COMPUTED_VALUE"""),"error")</f>
        <v>error</v>
      </c>
      <c r="G363" s="83" t="str">
        <f ca="1">IFERROR(__xludf.DUMMYFUNCTION("""COMPUTED_VALUE"""),"1772.HK")</f>
        <v>1772.HK</v>
      </c>
      <c r="H363" s="81">
        <f ca="1">IFERROR(__xludf.DUMMYFUNCTION("""COMPUTED_VALUE"""),470)</f>
        <v>470</v>
      </c>
      <c r="I363" s="80" t="str">
        <f ca="1">IFERROR(__xludf.DUMMYFUNCTION("""COMPUTED_VALUE"""),"Order Rejected due to unauthorized trader. Please contact William for further instruction.")</f>
        <v>Order Rejected due to unauthorized trader. Please contact William for further instruction.</v>
      </c>
    </row>
    <row r="364" spans="1:9" ht="13" x14ac:dyDescent="0.15">
      <c r="A364" s="5"/>
      <c r="B364" s="82">
        <f ca="1">IFERROR(__xludf.DUMMYFUNCTION("""COMPUTED_VALUE"""),44628.5810600463)</f>
        <v>44628.581060046301</v>
      </c>
      <c r="C364" s="79">
        <f ca="1">IFERROR(__xludf.DUMMYFUNCTION("""COMPUTED_VALUE"""),44628.6666666666)</f>
        <v>44628.666666666599</v>
      </c>
      <c r="D364" s="80" t="str">
        <f ca="1">IFERROR(__xludf.DUMMYFUNCTION("""COMPUTED_VALUE"""),"76975")</f>
        <v>76975</v>
      </c>
      <c r="E364" s="80" t="str">
        <f ca="1">IFERROR(__xludf.DUMMYFUNCTION("""COMPUTED_VALUE"""),"Stock")</f>
        <v>Stock</v>
      </c>
      <c r="F364" s="80" t="str">
        <f ca="1">IFERROR(__xludf.DUMMYFUNCTION("""COMPUTED_VALUE"""),"USD")</f>
        <v>USD</v>
      </c>
      <c r="G364" s="83" t="str">
        <f ca="1">IFERROR(__xludf.DUMMYFUNCTION("""COMPUTED_VALUE"""),"0700.HK")</f>
        <v>0700.HK</v>
      </c>
      <c r="H364" s="81">
        <f ca="1">IFERROR(__xludf.DUMMYFUNCTION("""COMPUTED_VALUE"""),260)</f>
        <v>260</v>
      </c>
      <c r="I364" s="80"/>
    </row>
    <row r="365" spans="1:9" ht="13" x14ac:dyDescent="0.15">
      <c r="A365" s="5"/>
      <c r="B365" s="82">
        <f ca="1">IFERROR(__xludf.DUMMYFUNCTION("""COMPUTED_VALUE"""),44628.7373835648)</f>
        <v>44628.737383564803</v>
      </c>
      <c r="C365" s="79">
        <f ca="1">IFERROR(__xludf.DUMMYFUNCTION("""COMPUTED_VALUE"""),44628.6666666666)</f>
        <v>44628.666666666599</v>
      </c>
      <c r="D365" s="80" t="str">
        <f ca="1">IFERROR(__xludf.DUMMYFUNCTION("""COMPUTED_VALUE"""),"46876")</f>
        <v>46876</v>
      </c>
      <c r="E365" s="80" t="str">
        <f ca="1">IFERROR(__xludf.DUMMYFUNCTION("""COMPUTED_VALUE"""),"Stock")</f>
        <v>Stock</v>
      </c>
      <c r="F365" s="80" t="str">
        <f ca="1">IFERROR(__xludf.DUMMYFUNCTION("""COMPUTED_VALUE"""),"USD")</f>
        <v>USD</v>
      </c>
      <c r="G365" s="78" t="str">
        <f ca="1">IFERROR(__xludf.DUMMYFUNCTION("""COMPUTED_VALUE"""),"FSR")</f>
        <v>FSR</v>
      </c>
      <c r="H365" s="81">
        <f ca="1">IFERROR(__xludf.DUMMYFUNCTION("""COMPUTED_VALUE"""),40000)</f>
        <v>40000</v>
      </c>
      <c r="I365" s="80"/>
    </row>
    <row r="366" spans="1:9" ht="13" x14ac:dyDescent="0.15">
      <c r="A366" s="5"/>
      <c r="B366" s="82">
        <f ca="1">IFERROR(__xludf.DUMMYFUNCTION("""COMPUTED_VALUE"""),44628.7669979398)</f>
        <v>44628.766997939798</v>
      </c>
      <c r="C366" s="79" t="str">
        <f ca="1">IFERROR(__xludf.DUMMYFUNCTION("""COMPUTED_VALUE"""),"")</f>
        <v/>
      </c>
      <c r="D366" s="80" t="str">
        <f ca="1">IFERROR(__xludf.DUMMYFUNCTION("""COMPUTED_VALUE"""),"14626")</f>
        <v>14626</v>
      </c>
      <c r="E366" s="80" t="str">
        <f ca="1">IFERROR(__xludf.DUMMYFUNCTION("""COMPUTED_VALUE"""),"Stock")</f>
        <v>Stock</v>
      </c>
      <c r="F366" s="80" t="str">
        <f ca="1">IFERROR(__xludf.DUMMYFUNCTION("""COMPUTED_VALUE"""),"error")</f>
        <v>error</v>
      </c>
      <c r="G366" s="78" t="str">
        <f ca="1">IFERROR(__xludf.DUMMYFUNCTION("""COMPUTED_VALUE"""),"CL=F")</f>
        <v>CL=F</v>
      </c>
      <c r="H366" s="81">
        <f ca="1">IFERROR(__xludf.DUMMYFUNCTION("""COMPUTED_VALUE"""),100)</f>
        <v>100</v>
      </c>
      <c r="I366" s="80" t="str">
        <f ca="1">IFERROR(__xludf.DUMMYFUNCTION("""COMPUTED_VALUE"""),"Order Rejected due to wrong password. Your password last 2 digits were incorrect.")</f>
        <v>Order Rejected due to wrong password. Your password last 2 digits were incorrect.</v>
      </c>
    </row>
    <row r="367" spans="1:9" ht="13" x14ac:dyDescent="0.15">
      <c r="A367" s="5"/>
      <c r="B367" s="82">
        <f ca="1">IFERROR(__xludf.DUMMYFUNCTION("""COMPUTED_VALUE"""),44628.7734359837)</f>
        <v>44628.773435983698</v>
      </c>
      <c r="C367" s="79" t="str">
        <f ca="1">IFERROR(__xludf.DUMMYFUNCTION("""COMPUTED_VALUE"""),"")</f>
        <v/>
      </c>
      <c r="D367" s="80" t="str">
        <f ca="1">IFERROR(__xludf.DUMMYFUNCTION("""COMPUTED_VALUE"""),"14626")</f>
        <v>14626</v>
      </c>
      <c r="E367" s="80" t="str">
        <f ca="1">IFERROR(__xludf.DUMMYFUNCTION("""COMPUTED_VALUE"""),"Stock")</f>
        <v>Stock</v>
      </c>
      <c r="F367" s="80" t="str">
        <f ca="1">IFERROR(__xludf.DUMMYFUNCTION("""COMPUTED_VALUE"""),"error")</f>
        <v>error</v>
      </c>
      <c r="G367" s="78" t="str">
        <f ca="1">IFERROR(__xludf.DUMMYFUNCTION("""COMPUTED_VALUE"""),"SI=F")</f>
        <v>SI=F</v>
      </c>
      <c r="H367" s="81">
        <f ca="1">IFERROR(__xludf.DUMMYFUNCTION("""COMPUTED_VALUE"""),100)</f>
        <v>100</v>
      </c>
      <c r="I367" s="80" t="str">
        <f ca="1">IFERROR(__xludf.DUMMYFUNCTION("""COMPUTED_VALUE"""),"Order Rejected due to wrong password. Your password last 2 digits were incorrect.")</f>
        <v>Order Rejected due to wrong password. Your password last 2 digits were incorrect.</v>
      </c>
    </row>
    <row r="368" spans="1:9" ht="13" x14ac:dyDescent="0.15">
      <c r="A368" s="5"/>
      <c r="B368" s="82">
        <f ca="1">IFERROR(__xludf.DUMMYFUNCTION("""COMPUTED_VALUE"""),44628.8499400694)</f>
        <v>44628.849940069398</v>
      </c>
      <c r="C368" s="79" t="str">
        <f ca="1">IFERROR(__xludf.DUMMYFUNCTION("""COMPUTED_VALUE"""),"")</f>
        <v/>
      </c>
      <c r="D368" s="80" t="str">
        <f ca="1">IFERROR(__xludf.DUMMYFUNCTION("""COMPUTED_VALUE"""),"89845")</f>
        <v>89845</v>
      </c>
      <c r="E368" s="80" t="str">
        <f ca="1">IFERROR(__xludf.DUMMYFUNCTION("""COMPUTED_VALUE"""),"Stock")</f>
        <v>Stock</v>
      </c>
      <c r="F368" s="80" t="str">
        <f ca="1">IFERROR(__xludf.DUMMYFUNCTION("""COMPUTED_VALUE"""),"error")</f>
        <v>error</v>
      </c>
      <c r="G368" s="78" t="str">
        <f ca="1">IFERROR(__xludf.DUMMYFUNCTION("""COMPUTED_VALUE"""),"nysearca: USO")</f>
        <v>nysearca: USO</v>
      </c>
      <c r="H368" s="81">
        <f ca="1">IFERROR(__xludf.DUMMYFUNCTION("""COMPUTED_VALUE"""),100)</f>
        <v>100</v>
      </c>
      <c r="I368" s="80" t="str">
        <f ca="1">IFERROR(__xludf.DUMMYFUNCTION("""COMPUTED_VALUE"""),"Order Rejected due to wrong ticker and instruction. Ticker should be USO only for US Oil index. And Only Number is expected in the limit price setup. Just type in 70. Input instruction is not a system-readable language.")</f>
        <v>Order Rejected due to wrong ticker and instruction. Ticker should be USO only for US Oil index. And Only Number is expected in the limit price setup. Just type in 70. Input instruction is not a system-readable language.</v>
      </c>
    </row>
    <row r="369" spans="1:9" ht="13" x14ac:dyDescent="0.15">
      <c r="A369" s="5"/>
      <c r="B369" s="82">
        <f ca="1">IFERROR(__xludf.DUMMYFUNCTION("""COMPUTED_VALUE"""),44628.9088424421)</f>
        <v>44628.908842442099</v>
      </c>
      <c r="C369" s="79" t="str">
        <f ca="1">IFERROR(__xludf.DUMMYFUNCTION("""COMPUTED_VALUE"""),"")</f>
        <v/>
      </c>
      <c r="D369" s="80" t="str">
        <f ca="1">IFERROR(__xludf.DUMMYFUNCTION("""COMPUTED_VALUE"""),"")</f>
        <v/>
      </c>
      <c r="E369" s="80" t="str">
        <f ca="1">IFERROR(__xludf.DUMMYFUNCTION("""COMPUTED_VALUE"""),"Stock")</f>
        <v>Stock</v>
      </c>
      <c r="F369" s="80" t="str">
        <f ca="1">IFERROR(__xludf.DUMMYFUNCTION("""COMPUTED_VALUE"""),"error")</f>
        <v>error</v>
      </c>
      <c r="G369" s="78" t="str">
        <f ca="1">IFERROR(__xludf.DUMMYFUNCTION("""COMPUTED_VALUE"""),"nysearca: USO")</f>
        <v>nysearca: USO</v>
      </c>
      <c r="H369" s="81">
        <f ca="1">IFERROR(__xludf.DUMMYFUNCTION("""COMPUTED_VALUE"""),100)</f>
        <v>100</v>
      </c>
      <c r="I369" s="80" t="str">
        <f ca="1">IFERROR(__xludf.DUMMYFUNCTION("""COMPUTED_VALUE"""),"Order Rejected due to wrong school email address, wrong ticker. Non school email address, Non student identitified. Ticker should be USO only for US Oil index.")</f>
        <v>Order Rejected due to wrong school email address, wrong ticker. Non school email address, Non student identitified. Ticker should be USO only for US Oil index.</v>
      </c>
    </row>
    <row r="370" spans="1:9" ht="13" x14ac:dyDescent="0.15">
      <c r="A370" s="5"/>
      <c r="B370" s="82">
        <f ca="1">IFERROR(__xludf.DUMMYFUNCTION("""COMPUTED_VALUE"""),44628.9182957523)</f>
        <v>44628.918295752301</v>
      </c>
      <c r="C370" s="79">
        <f ca="1">IFERROR(__xludf.DUMMYFUNCTION("""COMPUTED_VALUE"""),44628.6666666666)</f>
        <v>44628.666666666599</v>
      </c>
      <c r="D370" s="80" t="str">
        <f ca="1">IFERROR(__xludf.DUMMYFUNCTION("""COMPUTED_VALUE"""),"24442")</f>
        <v>24442</v>
      </c>
      <c r="E370" s="80" t="str">
        <f ca="1">IFERROR(__xludf.DUMMYFUNCTION("""COMPUTED_VALUE"""),"Stock")</f>
        <v>Stock</v>
      </c>
      <c r="F370" s="80" t="str">
        <f ca="1">IFERROR(__xludf.DUMMYFUNCTION("""COMPUTED_VALUE"""),"USD")</f>
        <v>USD</v>
      </c>
      <c r="G370" s="78" t="str">
        <f ca="1">IFERROR(__xludf.DUMMYFUNCTION("""COMPUTED_VALUE"""),"XLK")</f>
        <v>XLK</v>
      </c>
      <c r="H370" s="81">
        <f ca="1">IFERROR(__xludf.DUMMYFUNCTION("""COMPUTED_VALUE"""),100)</f>
        <v>100</v>
      </c>
      <c r="I370" s="80"/>
    </row>
    <row r="371" spans="1:9" ht="13" x14ac:dyDescent="0.15">
      <c r="A371" s="5"/>
      <c r="B371" s="82">
        <f ca="1">IFERROR(__xludf.DUMMYFUNCTION("""COMPUTED_VALUE"""),44628.9332667476)</f>
        <v>44628.933266747597</v>
      </c>
      <c r="C371" s="79">
        <f ca="1">IFERROR(__xludf.DUMMYFUNCTION("""COMPUTED_VALUE"""),44628.6666666666)</f>
        <v>44628.666666666599</v>
      </c>
      <c r="D371" s="80" t="str">
        <f ca="1">IFERROR(__xludf.DUMMYFUNCTION("""COMPUTED_VALUE"""),"45969")</f>
        <v>45969</v>
      </c>
      <c r="E371" s="80" t="str">
        <f ca="1">IFERROR(__xludf.DUMMYFUNCTION("""COMPUTED_VALUE"""),"Option")</f>
        <v>Option</v>
      </c>
      <c r="F371" s="80" t="str">
        <f ca="1">IFERROR(__xludf.DUMMYFUNCTION("""COMPUTED_VALUE"""),"USD")</f>
        <v>USD</v>
      </c>
      <c r="G371" s="78" t="str">
        <f ca="1">IFERROR(__xludf.DUMMYFUNCTION("""COMPUTED_VALUE"""),"BILI220318P00040000")</f>
        <v>BILI220318P00040000</v>
      </c>
      <c r="H371" s="81">
        <f ca="1">IFERROR(__xludf.DUMMYFUNCTION("""COMPUTED_VALUE"""),7)</f>
        <v>7</v>
      </c>
      <c r="I371" s="80"/>
    </row>
    <row r="372" spans="1:9" ht="13" x14ac:dyDescent="0.15">
      <c r="A372" s="5"/>
      <c r="B372" s="82">
        <f ca="1">IFERROR(__xludf.DUMMYFUNCTION("""COMPUTED_VALUE"""),44628.9342461921)</f>
        <v>44628.934246192097</v>
      </c>
      <c r="C372" s="79">
        <f ca="1">IFERROR(__xludf.DUMMYFUNCTION("""COMPUTED_VALUE"""),44628.6666666666)</f>
        <v>44628.666666666599</v>
      </c>
      <c r="D372" s="80" t="str">
        <f ca="1">IFERROR(__xludf.DUMMYFUNCTION("""COMPUTED_VALUE"""),"45969")</f>
        <v>45969</v>
      </c>
      <c r="E372" s="80" t="str">
        <f ca="1">IFERROR(__xludf.DUMMYFUNCTION("""COMPUTED_VALUE"""),"Option")</f>
        <v>Option</v>
      </c>
      <c r="F372" s="80" t="str">
        <f ca="1">IFERROR(__xludf.DUMMYFUNCTION("""COMPUTED_VALUE"""),"USD")</f>
        <v>USD</v>
      </c>
      <c r="G372" s="78" t="str">
        <f ca="1">IFERROR(__xludf.DUMMYFUNCTION("""COMPUTED_VALUE"""),"FB220325P00210000")</f>
        <v>FB220325P00210000</v>
      </c>
      <c r="H372" s="81">
        <f ca="1">IFERROR(__xludf.DUMMYFUNCTION("""COMPUTED_VALUE"""),16)</f>
        <v>16</v>
      </c>
      <c r="I372" s="80"/>
    </row>
    <row r="373" spans="1:9" ht="13" x14ac:dyDescent="0.15">
      <c r="A373" s="5"/>
      <c r="B373" s="82">
        <f ca="1">IFERROR(__xludf.DUMMYFUNCTION("""COMPUTED_VALUE"""),44628.9849686111)</f>
        <v>44628.984968611097</v>
      </c>
      <c r="C373" s="79">
        <f ca="1">IFERROR(__xludf.DUMMYFUNCTION("""COMPUTED_VALUE"""),44628.6666666666)</f>
        <v>44628.666666666599</v>
      </c>
      <c r="D373" s="80" t="str">
        <f ca="1">IFERROR(__xludf.DUMMYFUNCTION("""COMPUTED_VALUE"""),"40318")</f>
        <v>40318</v>
      </c>
      <c r="E373" s="80" t="str">
        <f ca="1">IFERROR(__xludf.DUMMYFUNCTION("""COMPUTED_VALUE"""),"Stock")</f>
        <v>Stock</v>
      </c>
      <c r="F373" s="80" t="str">
        <f ca="1">IFERROR(__xludf.DUMMYFUNCTION("""COMPUTED_VALUE"""),"USD")</f>
        <v>USD</v>
      </c>
      <c r="G373" s="78" t="str">
        <f ca="1">IFERROR(__xludf.DUMMYFUNCTION("""COMPUTED_VALUE"""),"AAPL")</f>
        <v>AAPL</v>
      </c>
      <c r="H373" s="81" t="str">
        <f ca="1">IFERROR(__xludf.DUMMYFUNCTION("""COMPUTED_VALUE"""),"40 shares")</f>
        <v>40 shares</v>
      </c>
      <c r="I373" s="80" t="str">
        <f ca="1">IFERROR(__xludf.DUMMYFUNCTION("""COMPUTED_VALUE"""),"Order rejected due to non numeric symbol in quantity and limit price. Just put in numbers will be sufficient.")</f>
        <v>Order rejected due to non numeric symbol in quantity and limit price. Just put in numbers will be sufficient.</v>
      </c>
    </row>
    <row r="374" spans="1:9" ht="13" x14ac:dyDescent="0.15">
      <c r="A374" s="5"/>
      <c r="B374" s="82">
        <f ca="1">IFERROR(__xludf.DUMMYFUNCTION("""COMPUTED_VALUE"""),44628.9966281018)</f>
        <v>44628.996628101799</v>
      </c>
      <c r="C374" s="79">
        <f ca="1">IFERROR(__xludf.DUMMYFUNCTION("""COMPUTED_VALUE"""),44628.6666666666)</f>
        <v>44628.666666666599</v>
      </c>
      <c r="D374" s="80" t="str">
        <f ca="1">IFERROR(__xludf.DUMMYFUNCTION("""COMPUTED_VALUE"""),"89750")</f>
        <v>89750</v>
      </c>
      <c r="E374" s="80" t="str">
        <f ca="1">IFERROR(__xludf.DUMMYFUNCTION("""COMPUTED_VALUE"""),"Option")</f>
        <v>Option</v>
      </c>
      <c r="F374" s="80" t="str">
        <f ca="1">IFERROR(__xludf.DUMMYFUNCTION("""COMPUTED_VALUE"""),"USD")</f>
        <v>USD</v>
      </c>
      <c r="G374" s="78" t="str">
        <f ca="1">IFERROR(__xludf.DUMMYFUNCTION("""COMPUTED_VALUE"""),"NU220318C00005000")</f>
        <v>NU220318C00005000</v>
      </c>
      <c r="H374" s="81">
        <f ca="1">IFERROR(__xludf.DUMMYFUNCTION("""COMPUTED_VALUE"""),100)</f>
        <v>100</v>
      </c>
      <c r="I374" s="80"/>
    </row>
    <row r="375" spans="1:9" ht="13" x14ac:dyDescent="0.15">
      <c r="A375" s="5"/>
      <c r="B375" s="82">
        <f ca="1">IFERROR(__xludf.DUMMYFUNCTION("""COMPUTED_VALUE"""),44629.0106518171)</f>
        <v>44629.010651817101</v>
      </c>
      <c r="C375" s="79">
        <f ca="1">IFERROR(__xludf.DUMMYFUNCTION("""COMPUTED_VALUE"""),44628.6666666666)</f>
        <v>44628.666666666599</v>
      </c>
      <c r="D375" s="80" t="str">
        <f ca="1">IFERROR(__xludf.DUMMYFUNCTION("""COMPUTED_VALUE"""),"79521")</f>
        <v>79521</v>
      </c>
      <c r="E375" s="80" t="str">
        <f ca="1">IFERROR(__xludf.DUMMYFUNCTION("""COMPUTED_VALUE"""),"Stock")</f>
        <v>Stock</v>
      </c>
      <c r="F375" s="80" t="str">
        <f ca="1">IFERROR(__xludf.DUMMYFUNCTION("""COMPUTED_VALUE"""),"USD")</f>
        <v>USD</v>
      </c>
      <c r="G375" s="78" t="str">
        <f ca="1">IFERROR(__xludf.DUMMYFUNCTION("""COMPUTED_VALUE"""),"AAPL")</f>
        <v>AAPL</v>
      </c>
      <c r="H375" s="81">
        <f ca="1">IFERROR(__xludf.DUMMYFUNCTION("""COMPUTED_VALUE"""),290)</f>
        <v>290</v>
      </c>
      <c r="I375" s="80"/>
    </row>
    <row r="376" spans="1:9" ht="13" x14ac:dyDescent="0.15">
      <c r="A376" s="5"/>
      <c r="B376" s="82">
        <f ca="1">IFERROR(__xludf.DUMMYFUNCTION("""COMPUTED_VALUE"""),44629.0491739699)</f>
        <v>44629.049173969899</v>
      </c>
      <c r="C376" s="79">
        <f ca="1">IFERROR(__xludf.DUMMYFUNCTION("""COMPUTED_VALUE"""),44628.6666666666)</f>
        <v>44628.666666666599</v>
      </c>
      <c r="D376" s="80" t="str">
        <f ca="1">IFERROR(__xludf.DUMMYFUNCTION("""COMPUTED_VALUE"""),"")</f>
        <v/>
      </c>
      <c r="E376" s="80" t="str">
        <f ca="1">IFERROR(__xludf.DUMMYFUNCTION("""COMPUTED_VALUE"""),"Stock")</f>
        <v>Stock</v>
      </c>
      <c r="F376" s="80" t="str">
        <f ca="1">IFERROR(__xludf.DUMMYFUNCTION("""COMPUTED_VALUE"""),"USD")</f>
        <v>USD</v>
      </c>
      <c r="G376" s="83" t="str">
        <f ca="1">IFERROR(__xludf.DUMMYFUNCTION("""COMPUTED_VALUE"""),"9988.hk")</f>
        <v>9988.hk</v>
      </c>
      <c r="H376" s="81">
        <f ca="1">IFERROR(__xludf.DUMMYFUNCTION("""COMPUTED_VALUE"""),300)</f>
        <v>300</v>
      </c>
      <c r="I376" s="80" t="str">
        <f ca="1">IFERROR(__xludf.DUMMYFUNCTION("""COMPUTED_VALUE"""),"Order rejected due to non school email address. Only accept @hkmu.edu.hk")</f>
        <v>Order rejected due to non school email address. Only accept @hkmu.edu.hk</v>
      </c>
    </row>
    <row r="377" spans="1:9" ht="13" x14ac:dyDescent="0.15">
      <c r="A377" s="5"/>
      <c r="B377" s="82">
        <f ca="1">IFERROR(__xludf.DUMMYFUNCTION("""COMPUTED_VALUE"""),44629.0552698032)</f>
        <v>44629.055269803197</v>
      </c>
      <c r="C377" s="79">
        <f ca="1">IFERROR(__xludf.DUMMYFUNCTION("""COMPUTED_VALUE"""),44628.6666666666)</f>
        <v>44628.666666666599</v>
      </c>
      <c r="D377" s="80" t="str">
        <f ca="1">IFERROR(__xludf.DUMMYFUNCTION("""COMPUTED_VALUE"""),"46322")</f>
        <v>46322</v>
      </c>
      <c r="E377" s="80" t="str">
        <f ca="1">IFERROR(__xludf.DUMMYFUNCTION("""COMPUTED_VALUE"""),"Stock")</f>
        <v>Stock</v>
      </c>
      <c r="F377" s="80" t="str">
        <f ca="1">IFERROR(__xludf.DUMMYFUNCTION("""COMPUTED_VALUE"""),"USD")</f>
        <v>USD</v>
      </c>
      <c r="G377" s="78" t="str">
        <f ca="1">IFERROR(__xludf.DUMMYFUNCTION("""COMPUTED_VALUE"""),"NET")</f>
        <v>NET</v>
      </c>
      <c r="H377" s="81">
        <f ca="1">IFERROR(__xludf.DUMMYFUNCTION("""COMPUTED_VALUE"""),200)</f>
        <v>200</v>
      </c>
      <c r="I377" s="80"/>
    </row>
    <row r="378" spans="1:9" ht="13" x14ac:dyDescent="0.15">
      <c r="A378" s="5"/>
      <c r="B378" s="82">
        <f ca="1">IFERROR(__xludf.DUMMYFUNCTION("""COMPUTED_VALUE"""),44629.0574435995)</f>
        <v>44629.0574435995</v>
      </c>
      <c r="C378" s="79">
        <f ca="1">IFERROR(__xludf.DUMMYFUNCTION("""COMPUTED_VALUE"""),44628.6666666666)</f>
        <v>44628.666666666599</v>
      </c>
      <c r="D378" s="80" t="str">
        <f ca="1">IFERROR(__xludf.DUMMYFUNCTION("""COMPUTED_VALUE"""),"46322")</f>
        <v>46322</v>
      </c>
      <c r="E378" s="80" t="str">
        <f ca="1">IFERROR(__xludf.DUMMYFUNCTION("""COMPUTED_VALUE"""),"Stock")</f>
        <v>Stock</v>
      </c>
      <c r="F378" s="80" t="str">
        <f ca="1">IFERROR(__xludf.DUMMYFUNCTION("""COMPUTED_VALUE"""),"USD")</f>
        <v>USD</v>
      </c>
      <c r="G378" s="83" t="str">
        <f ca="1">IFERROR(__xludf.DUMMYFUNCTION("""COMPUTED_VALUE"""),"9988.HK")</f>
        <v>9988.HK</v>
      </c>
      <c r="H378" s="81">
        <f ca="1">IFERROR(__xludf.DUMMYFUNCTION("""COMPUTED_VALUE"""),300)</f>
        <v>300</v>
      </c>
      <c r="I378" s="80"/>
    </row>
    <row r="379" spans="1:9" ht="13" x14ac:dyDescent="0.15">
      <c r="A379" s="5"/>
      <c r="B379" s="82">
        <f ca="1">IFERROR(__xludf.DUMMYFUNCTION("""COMPUTED_VALUE"""),44629.4245730208)</f>
        <v>44629.424573020799</v>
      </c>
      <c r="C379" s="79">
        <f ca="1">IFERROR(__xludf.DUMMYFUNCTION("""COMPUTED_VALUE"""),44629.6666666666)</f>
        <v>44629.666666666599</v>
      </c>
      <c r="D379" s="80" t="str">
        <f ca="1">IFERROR(__xludf.DUMMYFUNCTION("""COMPUTED_VALUE"""),"38209")</f>
        <v>38209</v>
      </c>
      <c r="E379" s="80" t="str">
        <f ca="1">IFERROR(__xludf.DUMMYFUNCTION("""COMPUTED_VALUE"""),"Stock")</f>
        <v>Stock</v>
      </c>
      <c r="F379" s="80" t="str">
        <f ca="1">IFERROR(__xludf.DUMMYFUNCTION("""COMPUTED_VALUE"""),"HKD")</f>
        <v>HKD</v>
      </c>
      <c r="G379" s="83" t="str">
        <f ca="1">IFERROR(__xludf.DUMMYFUNCTION("""COMPUTED_VALUE"""),"6680.HK")</f>
        <v>6680.HK</v>
      </c>
      <c r="H379" s="81">
        <f ca="1">IFERROR(__xludf.DUMMYFUNCTION("""COMPUTED_VALUE"""),1000)</f>
        <v>1000</v>
      </c>
      <c r="I379" s="80"/>
    </row>
    <row r="380" spans="1:9" ht="13" x14ac:dyDescent="0.15">
      <c r="A380" s="5"/>
      <c r="B380" s="82">
        <f ca="1">IFERROR(__xludf.DUMMYFUNCTION("""COMPUTED_VALUE"""),44629.426166655)</f>
        <v>44629.426166655001</v>
      </c>
      <c r="C380" s="79">
        <f ca="1">IFERROR(__xludf.DUMMYFUNCTION("""COMPUTED_VALUE"""),44629.6666666666)</f>
        <v>44629.666666666599</v>
      </c>
      <c r="D380" s="80" t="str">
        <f ca="1">IFERROR(__xludf.DUMMYFUNCTION("""COMPUTED_VALUE"""),"38209")</f>
        <v>38209</v>
      </c>
      <c r="E380" s="80" t="str">
        <f ca="1">IFERROR(__xludf.DUMMYFUNCTION("""COMPUTED_VALUE"""),"Stock")</f>
        <v>Stock</v>
      </c>
      <c r="F380" s="80" t="str">
        <f ca="1">IFERROR(__xludf.DUMMYFUNCTION("""COMPUTED_VALUE"""),"HKD")</f>
        <v>HKD</v>
      </c>
      <c r="G380" s="83" t="str">
        <f ca="1">IFERROR(__xludf.DUMMYFUNCTION("""COMPUTED_VALUE"""),"9988.HK")</f>
        <v>9988.HK</v>
      </c>
      <c r="H380" s="81">
        <f ca="1">IFERROR(__xludf.DUMMYFUNCTION("""COMPUTED_VALUE"""),300)</f>
        <v>300</v>
      </c>
      <c r="I380" s="80"/>
    </row>
    <row r="381" spans="1:9" ht="13" x14ac:dyDescent="0.15">
      <c r="A381" s="5"/>
      <c r="B381" s="82">
        <f ca="1">IFERROR(__xludf.DUMMYFUNCTION("""COMPUTED_VALUE"""),44629.4270666088)</f>
        <v>44629.427066608798</v>
      </c>
      <c r="C381" s="79">
        <f ca="1">IFERROR(__xludf.DUMMYFUNCTION("""COMPUTED_VALUE"""),44629.6666666666)</f>
        <v>44629.666666666599</v>
      </c>
      <c r="D381" s="80" t="str">
        <f ca="1">IFERROR(__xludf.DUMMYFUNCTION("""COMPUTED_VALUE"""),"38209")</f>
        <v>38209</v>
      </c>
      <c r="E381" s="80" t="str">
        <f ca="1">IFERROR(__xludf.DUMMYFUNCTION("""COMPUTED_VALUE"""),"Stock")</f>
        <v>Stock</v>
      </c>
      <c r="F381" s="80" t="str">
        <f ca="1">IFERROR(__xludf.DUMMYFUNCTION("""COMPUTED_VALUE"""),"HKD")</f>
        <v>HKD</v>
      </c>
      <c r="G381" s="83" t="str">
        <f ca="1">IFERROR(__xludf.DUMMYFUNCTION("""COMPUTED_VALUE"""),"1024.HK")</f>
        <v>1024.HK</v>
      </c>
      <c r="H381" s="81">
        <f ca="1">IFERROR(__xludf.DUMMYFUNCTION("""COMPUTED_VALUE"""),400)</f>
        <v>400</v>
      </c>
      <c r="I381" s="80"/>
    </row>
    <row r="382" spans="1:9" ht="13" x14ac:dyDescent="0.15">
      <c r="A382" s="5"/>
      <c r="B382" s="82">
        <f ca="1">IFERROR(__xludf.DUMMYFUNCTION("""COMPUTED_VALUE"""),44629.4278159606)</f>
        <v>44629.427815960596</v>
      </c>
      <c r="C382" s="79">
        <f ca="1">IFERROR(__xludf.DUMMYFUNCTION("""COMPUTED_VALUE"""),44629.6666666666)</f>
        <v>44629.666666666599</v>
      </c>
      <c r="D382" s="80" t="str">
        <f ca="1">IFERROR(__xludf.DUMMYFUNCTION("""COMPUTED_VALUE"""),"38209")</f>
        <v>38209</v>
      </c>
      <c r="E382" s="80" t="str">
        <f ca="1">IFERROR(__xludf.DUMMYFUNCTION("""COMPUTED_VALUE"""),"Stock")</f>
        <v>Stock</v>
      </c>
      <c r="F382" s="80" t="str">
        <f ca="1">IFERROR(__xludf.DUMMYFUNCTION("""COMPUTED_VALUE"""),"HKD")</f>
        <v>HKD</v>
      </c>
      <c r="G382" s="83" t="str">
        <f ca="1">IFERROR(__xludf.DUMMYFUNCTION("""COMPUTED_VALUE"""),"1810.HK")</f>
        <v>1810.HK</v>
      </c>
      <c r="H382" s="81">
        <f ca="1">IFERROR(__xludf.DUMMYFUNCTION("""COMPUTED_VALUE"""),2000)</f>
        <v>2000</v>
      </c>
      <c r="I382" s="80"/>
    </row>
    <row r="383" spans="1:9" ht="13" x14ac:dyDescent="0.15">
      <c r="A383" s="5"/>
      <c r="B383" s="82">
        <f ca="1">IFERROR(__xludf.DUMMYFUNCTION("""COMPUTED_VALUE"""),44629.4749262384)</f>
        <v>44629.474926238399</v>
      </c>
      <c r="C383" s="79">
        <f ca="1">IFERROR(__xludf.DUMMYFUNCTION("""COMPUTED_VALUE"""),44629.6666666666)</f>
        <v>44629.666666666599</v>
      </c>
      <c r="D383" s="80" t="str">
        <f ca="1">IFERROR(__xludf.DUMMYFUNCTION("""COMPUTED_VALUE"""),"69930")</f>
        <v>69930</v>
      </c>
      <c r="E383" s="80" t="str">
        <f ca="1">IFERROR(__xludf.DUMMYFUNCTION("""COMPUTED_VALUE"""),"Stock")</f>
        <v>Stock</v>
      </c>
      <c r="F383" s="80" t="str">
        <f ca="1">IFERROR(__xludf.DUMMYFUNCTION("""COMPUTED_VALUE"""),"HKD")</f>
        <v>HKD</v>
      </c>
      <c r="G383" s="83" t="str">
        <f ca="1">IFERROR(__xludf.DUMMYFUNCTION("""COMPUTED_VALUE"""),"2318.HK")</f>
        <v>2318.HK</v>
      </c>
      <c r="H383" s="81">
        <f ca="1">IFERROR(__xludf.DUMMYFUNCTION("""COMPUTED_VALUE"""),50)</f>
        <v>50</v>
      </c>
      <c r="I383" s="80"/>
    </row>
    <row r="384" spans="1:9" ht="13" x14ac:dyDescent="0.15">
      <c r="A384" s="5"/>
      <c r="B384" s="82">
        <f ca="1">IFERROR(__xludf.DUMMYFUNCTION("""COMPUTED_VALUE"""),44629.8598804282)</f>
        <v>44629.859880428201</v>
      </c>
      <c r="C384" s="79">
        <f ca="1">IFERROR(__xludf.DUMMYFUNCTION("""COMPUTED_VALUE"""),44629.6666666666)</f>
        <v>44629.666666666599</v>
      </c>
      <c r="D384" s="80" t="str">
        <f ca="1">IFERROR(__xludf.DUMMYFUNCTION("""COMPUTED_VALUE"""),"39608")</f>
        <v>39608</v>
      </c>
      <c r="E384" s="80" t="str">
        <f ca="1">IFERROR(__xludf.DUMMYFUNCTION("""COMPUTED_VALUE"""),"Stock")</f>
        <v>Stock</v>
      </c>
      <c r="F384" s="80" t="str">
        <f ca="1">IFERROR(__xludf.DUMMYFUNCTION("""COMPUTED_VALUE"""),"USD")</f>
        <v>USD</v>
      </c>
      <c r="G384" s="78" t="str">
        <f ca="1">IFERROR(__xludf.DUMMYFUNCTION("""COMPUTED_VALUE"""),"ANPDY")</f>
        <v>ANPDY</v>
      </c>
      <c r="H384" s="81">
        <f ca="1">IFERROR(__xludf.DUMMYFUNCTION("""COMPUTED_VALUE"""),30)</f>
        <v>30</v>
      </c>
      <c r="I384" s="80"/>
    </row>
    <row r="385" spans="1:9" ht="13" x14ac:dyDescent="0.15">
      <c r="A385" s="5"/>
      <c r="B385" s="82">
        <f ca="1">IFERROR(__xludf.DUMMYFUNCTION("""COMPUTED_VALUE"""),44629.8669454861)</f>
        <v>44629.866945486101</v>
      </c>
      <c r="C385" s="79">
        <f ca="1">IFERROR(__xludf.DUMMYFUNCTION("""COMPUTED_VALUE"""),44629.6666666666)</f>
        <v>44629.666666666599</v>
      </c>
      <c r="D385" s="80" t="str">
        <f ca="1">IFERROR(__xludf.DUMMYFUNCTION("""COMPUTED_VALUE"""),"32312")</f>
        <v>32312</v>
      </c>
      <c r="E385" s="80" t="str">
        <f ca="1">IFERROR(__xludf.DUMMYFUNCTION("""COMPUTED_VALUE"""),"Stock")</f>
        <v>Stock</v>
      </c>
      <c r="F385" s="80" t="str">
        <f ca="1">IFERROR(__xludf.DUMMYFUNCTION("""COMPUTED_VALUE"""),"USD")</f>
        <v>USD</v>
      </c>
      <c r="G385" s="78" t="str">
        <f ca="1">IFERROR(__xludf.DUMMYFUNCTION("""COMPUTED_VALUE"""),"ANPDY")</f>
        <v>ANPDY</v>
      </c>
      <c r="H385" s="81">
        <f ca="1">IFERROR(__xludf.DUMMYFUNCTION("""COMPUTED_VALUE"""),30)</f>
        <v>30</v>
      </c>
      <c r="I385" s="80"/>
    </row>
    <row r="386" spans="1:9" ht="13" x14ac:dyDescent="0.15">
      <c r="A386" s="5"/>
      <c r="B386" s="82">
        <f ca="1">IFERROR(__xludf.DUMMYFUNCTION("""COMPUTED_VALUE"""),44629.8705730439)</f>
        <v>44629.870573043903</v>
      </c>
      <c r="C386" s="79">
        <f ca="1">IFERROR(__xludf.DUMMYFUNCTION("""COMPUTED_VALUE"""),44629.6666666666)</f>
        <v>44629.666666666599</v>
      </c>
      <c r="D386" s="80" t="str">
        <f ca="1">IFERROR(__xludf.DUMMYFUNCTION("""COMPUTED_VALUE"""),"37400")</f>
        <v>37400</v>
      </c>
      <c r="E386" s="80" t="str">
        <f ca="1">IFERROR(__xludf.DUMMYFUNCTION("""COMPUTED_VALUE"""),"Stock")</f>
        <v>Stock</v>
      </c>
      <c r="F386" s="80" t="str">
        <f ca="1">IFERROR(__xludf.DUMMYFUNCTION("""COMPUTED_VALUE"""),"USD")</f>
        <v>USD</v>
      </c>
      <c r="G386" s="78" t="str">
        <f ca="1">IFERROR(__xludf.DUMMYFUNCTION("""COMPUTED_VALUE"""),"ANPDY")</f>
        <v>ANPDY</v>
      </c>
      <c r="H386" s="81">
        <f ca="1">IFERROR(__xludf.DUMMYFUNCTION("""COMPUTED_VALUE"""),30)</f>
        <v>30</v>
      </c>
      <c r="I386" s="80"/>
    </row>
    <row r="387" spans="1:9" ht="13" x14ac:dyDescent="0.15">
      <c r="A387" s="5"/>
      <c r="B387" s="82">
        <f ca="1">IFERROR(__xludf.DUMMYFUNCTION("""COMPUTED_VALUE"""),44629.9634873379)</f>
        <v>44629.963487337896</v>
      </c>
      <c r="C387" s="79">
        <f ca="1">IFERROR(__xludf.DUMMYFUNCTION("""COMPUTED_VALUE"""),44629.6666666666)</f>
        <v>44629.666666666599</v>
      </c>
      <c r="D387" s="80" t="str">
        <f ca="1">IFERROR(__xludf.DUMMYFUNCTION("""COMPUTED_VALUE"""),"40318")</f>
        <v>40318</v>
      </c>
      <c r="E387" s="80" t="str">
        <f ca="1">IFERROR(__xludf.DUMMYFUNCTION("""COMPUTED_VALUE"""),"Stock")</f>
        <v>Stock</v>
      </c>
      <c r="F387" s="80" t="str">
        <f ca="1">IFERROR(__xludf.DUMMYFUNCTION("""COMPUTED_VALUE"""),"USD")</f>
        <v>USD</v>
      </c>
      <c r="G387" s="78" t="str">
        <f ca="1">IFERROR(__xludf.DUMMYFUNCTION("""COMPUTED_VALUE"""),"AAPL")</f>
        <v>AAPL</v>
      </c>
      <c r="H387" s="81">
        <f ca="1">IFERROR(__xludf.DUMMYFUNCTION("""COMPUTED_VALUE"""),80)</f>
        <v>80</v>
      </c>
      <c r="I387" s="80"/>
    </row>
    <row r="388" spans="1:9" ht="13" x14ac:dyDescent="0.15">
      <c r="A388" s="5"/>
      <c r="B388" s="82">
        <f ca="1">IFERROR(__xludf.DUMMYFUNCTION("""COMPUTED_VALUE"""),44629.9651407523)</f>
        <v>44629.965140752298</v>
      </c>
      <c r="C388" s="79">
        <f ca="1">IFERROR(__xludf.DUMMYFUNCTION("""COMPUTED_VALUE"""),44629.6666666666)</f>
        <v>44629.666666666599</v>
      </c>
      <c r="D388" s="80" t="str">
        <f ca="1">IFERROR(__xludf.DUMMYFUNCTION("""COMPUTED_VALUE"""),"40318")</f>
        <v>40318</v>
      </c>
      <c r="E388" s="80" t="str">
        <f ca="1">IFERROR(__xludf.DUMMYFUNCTION("""COMPUTED_VALUE"""),"Stock")</f>
        <v>Stock</v>
      </c>
      <c r="F388" s="80" t="str">
        <f ca="1">IFERROR(__xludf.DUMMYFUNCTION("""COMPUTED_VALUE"""),"USD")</f>
        <v>USD</v>
      </c>
      <c r="G388" s="78" t="str">
        <f ca="1">IFERROR(__xludf.DUMMYFUNCTION("""COMPUTED_VALUE"""),"LMT")</f>
        <v>LMT</v>
      </c>
      <c r="H388" s="81">
        <f ca="1">IFERROR(__xludf.DUMMYFUNCTION("""COMPUTED_VALUE"""),20)</f>
        <v>20</v>
      </c>
      <c r="I388" s="80"/>
    </row>
    <row r="389" spans="1:9" ht="13" x14ac:dyDescent="0.15">
      <c r="A389" s="5"/>
      <c r="B389" s="82">
        <f ca="1">IFERROR(__xludf.DUMMYFUNCTION("""COMPUTED_VALUE"""),44629.9665430902)</f>
        <v>44629.966543090202</v>
      </c>
      <c r="C389" s="79">
        <f ca="1">IFERROR(__xludf.DUMMYFUNCTION("""COMPUTED_VALUE"""),44629.6666666666)</f>
        <v>44629.666666666599</v>
      </c>
      <c r="D389" s="80" t="str">
        <f ca="1">IFERROR(__xludf.DUMMYFUNCTION("""COMPUTED_VALUE"""),"40318")</f>
        <v>40318</v>
      </c>
      <c r="E389" s="80" t="str">
        <f ca="1">IFERROR(__xludf.DUMMYFUNCTION("""COMPUTED_VALUE"""),"Stock")</f>
        <v>Stock</v>
      </c>
      <c r="F389" s="80" t="str">
        <f ca="1">IFERROR(__xludf.DUMMYFUNCTION("""COMPUTED_VALUE"""),"USD")</f>
        <v>USD</v>
      </c>
      <c r="G389" s="78" t="str">
        <f ca="1">IFERROR(__xludf.DUMMYFUNCTION("""COMPUTED_VALUE"""),"ABNB")</f>
        <v>ABNB</v>
      </c>
      <c r="H389" s="81">
        <f ca="1">IFERROR(__xludf.DUMMYFUNCTION("""COMPUTED_VALUE"""),60)</f>
        <v>60</v>
      </c>
      <c r="I389" s="80"/>
    </row>
    <row r="390" spans="1:9" ht="13" x14ac:dyDescent="0.15">
      <c r="A390" s="5"/>
      <c r="B390" s="82">
        <f ca="1">IFERROR(__xludf.DUMMYFUNCTION("""COMPUTED_VALUE"""),44630.4031620023)</f>
        <v>44630.403162002302</v>
      </c>
      <c r="C390" s="79">
        <f ca="1">IFERROR(__xludf.DUMMYFUNCTION("""COMPUTED_VALUE"""),44630.6666666666)</f>
        <v>44630.666666666599</v>
      </c>
      <c r="D390" s="80" t="str">
        <f ca="1">IFERROR(__xludf.DUMMYFUNCTION("""COMPUTED_VALUE"""),"38209")</f>
        <v>38209</v>
      </c>
      <c r="E390" s="80" t="str">
        <f ca="1">IFERROR(__xludf.DUMMYFUNCTION("""COMPUTED_VALUE"""),"Stock")</f>
        <v>Stock</v>
      </c>
      <c r="F390" s="80" t="str">
        <f ca="1">IFERROR(__xludf.DUMMYFUNCTION("""COMPUTED_VALUE"""),"HKD")</f>
        <v>HKD</v>
      </c>
      <c r="G390" s="83" t="str">
        <f ca="1">IFERROR(__xludf.DUMMYFUNCTION("""COMPUTED_VALUE"""),"1024.HK")</f>
        <v>1024.HK</v>
      </c>
      <c r="H390" s="81">
        <f ca="1">IFERROR(__xludf.DUMMYFUNCTION("""COMPUTED_VALUE"""),800)</f>
        <v>800</v>
      </c>
      <c r="I390" s="80"/>
    </row>
    <row r="391" spans="1:9" ht="13" x14ac:dyDescent="0.15">
      <c r="A391" s="5"/>
      <c r="B391" s="82">
        <f ca="1">IFERROR(__xludf.DUMMYFUNCTION("""COMPUTED_VALUE"""),44630.4242663657)</f>
        <v>44630.424266365699</v>
      </c>
      <c r="C391" s="79">
        <f ca="1">IFERROR(__xludf.DUMMYFUNCTION("""COMPUTED_VALUE"""),44630.6666666666)</f>
        <v>44630.666666666599</v>
      </c>
      <c r="D391" s="80" t="str">
        <f ca="1">IFERROR(__xludf.DUMMYFUNCTION("""COMPUTED_VALUE"""),"38209")</f>
        <v>38209</v>
      </c>
      <c r="E391" s="80" t="str">
        <f ca="1">IFERROR(__xludf.DUMMYFUNCTION("""COMPUTED_VALUE"""),"Stock")</f>
        <v>Stock</v>
      </c>
      <c r="F391" s="80" t="str">
        <f ca="1">IFERROR(__xludf.DUMMYFUNCTION("""COMPUTED_VALUE"""),"HKD")</f>
        <v>HKD</v>
      </c>
      <c r="G391" s="83" t="str">
        <f ca="1">IFERROR(__xludf.DUMMYFUNCTION("""COMPUTED_VALUE"""),"1024.HK")</f>
        <v>1024.HK</v>
      </c>
      <c r="H391" s="81">
        <f ca="1">IFERROR(__xludf.DUMMYFUNCTION("""COMPUTED_VALUE"""),1600)</f>
        <v>1600</v>
      </c>
      <c r="I391" s="80"/>
    </row>
    <row r="392" spans="1:9" ht="13" x14ac:dyDescent="0.15">
      <c r="A392" s="5"/>
      <c r="B392" s="82">
        <f ca="1">IFERROR(__xludf.DUMMYFUNCTION("""COMPUTED_VALUE"""),44630.4253394791)</f>
        <v>44630.425339479101</v>
      </c>
      <c r="C392" s="79">
        <f ca="1">IFERROR(__xludf.DUMMYFUNCTION("""COMPUTED_VALUE"""),44630.6666666666)</f>
        <v>44630.666666666599</v>
      </c>
      <c r="D392" s="80" t="str">
        <f ca="1">IFERROR(__xludf.DUMMYFUNCTION("""COMPUTED_VALUE"""),"38209")</f>
        <v>38209</v>
      </c>
      <c r="E392" s="80" t="str">
        <f ca="1">IFERROR(__xludf.DUMMYFUNCTION("""COMPUTED_VALUE"""),"Stock")</f>
        <v>Stock</v>
      </c>
      <c r="F392" s="80" t="str">
        <f ca="1">IFERROR(__xludf.DUMMYFUNCTION("""COMPUTED_VALUE"""),"HKD")</f>
        <v>HKD</v>
      </c>
      <c r="G392" s="83" t="str">
        <f ca="1">IFERROR(__xludf.DUMMYFUNCTION("""COMPUTED_VALUE"""),"1024.HK")</f>
        <v>1024.HK</v>
      </c>
      <c r="H392" s="81">
        <f ca="1">IFERROR(__xludf.DUMMYFUNCTION("""COMPUTED_VALUE"""),1600)</f>
        <v>1600</v>
      </c>
      <c r="I392" s="80"/>
    </row>
    <row r="393" spans="1:9" ht="13" x14ac:dyDescent="0.15">
      <c r="A393" s="5"/>
      <c r="B393" s="82">
        <f ca="1">IFERROR(__xludf.DUMMYFUNCTION("""COMPUTED_VALUE"""),44630.427482905)</f>
        <v>44630.427482904997</v>
      </c>
      <c r="C393" s="79">
        <f ca="1">IFERROR(__xludf.DUMMYFUNCTION("""COMPUTED_VALUE"""),44630.6666666666)</f>
        <v>44630.666666666599</v>
      </c>
      <c r="D393" s="80" t="str">
        <f ca="1">IFERROR(__xludf.DUMMYFUNCTION("""COMPUTED_VALUE"""),"38209")</f>
        <v>38209</v>
      </c>
      <c r="E393" s="80" t="str">
        <f ca="1">IFERROR(__xludf.DUMMYFUNCTION("""COMPUTED_VALUE"""),"Stock")</f>
        <v>Stock</v>
      </c>
      <c r="F393" s="80" t="str">
        <f ca="1">IFERROR(__xludf.DUMMYFUNCTION("""COMPUTED_VALUE"""),"HKD")</f>
        <v>HKD</v>
      </c>
      <c r="G393" s="83" t="str">
        <f ca="1">IFERROR(__xludf.DUMMYFUNCTION("""COMPUTED_VALUE"""),"1024.HK")</f>
        <v>1024.HK</v>
      </c>
      <c r="H393" s="81">
        <f ca="1">IFERROR(__xludf.DUMMYFUNCTION("""COMPUTED_VALUE"""),1600)</f>
        <v>1600</v>
      </c>
      <c r="I393" s="80"/>
    </row>
    <row r="394" spans="1:9" ht="13" x14ac:dyDescent="0.15">
      <c r="A394" s="5"/>
      <c r="B394" s="82">
        <f ca="1">IFERROR(__xludf.DUMMYFUNCTION("""COMPUTED_VALUE"""),44630.4369060995)</f>
        <v>44630.436906099501</v>
      </c>
      <c r="C394" s="79">
        <f ca="1">IFERROR(__xludf.DUMMYFUNCTION("""COMPUTED_VALUE"""),44630.6666666666)</f>
        <v>44630.666666666599</v>
      </c>
      <c r="D394" s="80" t="str">
        <f ca="1">IFERROR(__xludf.DUMMYFUNCTION("""COMPUTED_VALUE"""),"38209")</f>
        <v>38209</v>
      </c>
      <c r="E394" s="80" t="str">
        <f ca="1">IFERROR(__xludf.DUMMYFUNCTION("""COMPUTED_VALUE"""),"Stock")</f>
        <v>Stock</v>
      </c>
      <c r="F394" s="80" t="str">
        <f ca="1">IFERROR(__xludf.DUMMYFUNCTION("""COMPUTED_VALUE"""),"HKD")</f>
        <v>HKD</v>
      </c>
      <c r="G394" s="83" t="str">
        <f ca="1">IFERROR(__xludf.DUMMYFUNCTION("""COMPUTED_VALUE"""),"9988.HK")</f>
        <v>9988.HK</v>
      </c>
      <c r="H394" s="81">
        <f ca="1">IFERROR(__xludf.DUMMYFUNCTION("""COMPUTED_VALUE"""),600)</f>
        <v>600</v>
      </c>
      <c r="I394" s="80"/>
    </row>
    <row r="395" spans="1:9" ht="13" x14ac:dyDescent="0.15">
      <c r="A395" s="5"/>
      <c r="B395" s="82">
        <f ca="1">IFERROR(__xludf.DUMMYFUNCTION("""COMPUTED_VALUE"""),44630.4465880902)</f>
        <v>44630.446588090199</v>
      </c>
      <c r="C395" s="79">
        <f ca="1">IFERROR(__xludf.DUMMYFUNCTION("""COMPUTED_VALUE"""),44630.6666666666)</f>
        <v>44630.666666666599</v>
      </c>
      <c r="D395" s="80" t="str">
        <f ca="1">IFERROR(__xludf.DUMMYFUNCTION("""COMPUTED_VALUE"""),"38209")</f>
        <v>38209</v>
      </c>
      <c r="E395" s="80" t="str">
        <f ca="1">IFERROR(__xludf.DUMMYFUNCTION("""COMPUTED_VALUE"""),"Stock")</f>
        <v>Stock</v>
      </c>
      <c r="F395" s="80" t="str">
        <f ca="1">IFERROR(__xludf.DUMMYFUNCTION("""COMPUTED_VALUE"""),"HKD")</f>
        <v>HKD</v>
      </c>
      <c r="G395" s="83" t="str">
        <f ca="1">IFERROR(__xludf.DUMMYFUNCTION("""COMPUTED_VALUE"""),"6680.HK")</f>
        <v>6680.HK</v>
      </c>
      <c r="H395" s="81">
        <f ca="1">IFERROR(__xludf.DUMMYFUNCTION("""COMPUTED_VALUE"""),1000)</f>
        <v>1000</v>
      </c>
      <c r="I395" s="80"/>
    </row>
    <row r="396" spans="1:9" ht="13" x14ac:dyDescent="0.15">
      <c r="A396" s="5"/>
      <c r="B396" s="82">
        <f ca="1">IFERROR(__xludf.DUMMYFUNCTION("""COMPUTED_VALUE"""),44630.4598187963)</f>
        <v>44630.459818796298</v>
      </c>
      <c r="C396" s="79" t="str">
        <f ca="1">IFERROR(__xludf.DUMMYFUNCTION("""COMPUTED_VALUE"""),"")</f>
        <v/>
      </c>
      <c r="D396" s="80" t="str">
        <f ca="1">IFERROR(__xludf.DUMMYFUNCTION("""COMPUTED_VALUE"""),"")</f>
        <v/>
      </c>
      <c r="E396" s="80" t="str">
        <f ca="1">IFERROR(__xludf.DUMMYFUNCTION("""COMPUTED_VALUE"""),"Stock")</f>
        <v>Stock</v>
      </c>
      <c r="F396" s="80" t="str">
        <f ca="1">IFERROR(__xludf.DUMMYFUNCTION("""COMPUTED_VALUE"""),"error")</f>
        <v>error</v>
      </c>
      <c r="G396" s="83" t="str">
        <f ca="1">IFERROR(__xludf.DUMMYFUNCTION("""COMPUTED_VALUE"""),"1024.hk")</f>
        <v>1024.hk</v>
      </c>
      <c r="H396" s="81">
        <f ca="1">IFERROR(__xludf.DUMMYFUNCTION("""COMPUTED_VALUE"""),200)</f>
        <v>200</v>
      </c>
      <c r="I396" s="80" t="str">
        <f ca="1">IFERROR(__xludf.DUMMYFUNCTION("""COMPUTED_VALUE"""),"Order rejected due to non school email address. Only accept @hkmu.edu.hk")</f>
        <v>Order rejected due to non school email address. Only accept @hkmu.edu.hk</v>
      </c>
    </row>
    <row r="397" spans="1:9" ht="13" x14ac:dyDescent="0.15">
      <c r="A397" s="5"/>
      <c r="B397" s="82">
        <f ca="1">IFERROR(__xludf.DUMMYFUNCTION("""COMPUTED_VALUE"""),44630.4731343634)</f>
        <v>44630.473134363398</v>
      </c>
      <c r="C397" s="79" t="str">
        <f ca="1">IFERROR(__xludf.DUMMYFUNCTION("""COMPUTED_VALUE"""),"")</f>
        <v/>
      </c>
      <c r="D397" s="80" t="str">
        <f ca="1">IFERROR(__xludf.DUMMYFUNCTION("""COMPUTED_VALUE"""),"")</f>
        <v/>
      </c>
      <c r="E397" s="80" t="str">
        <f ca="1">IFERROR(__xludf.DUMMYFUNCTION("""COMPUTED_VALUE"""),"Stock")</f>
        <v>Stock</v>
      </c>
      <c r="F397" s="80" t="str">
        <f ca="1">IFERROR(__xludf.DUMMYFUNCTION("""COMPUTED_VALUE"""),"error")</f>
        <v>error</v>
      </c>
      <c r="G397" s="83" t="str">
        <f ca="1">IFERROR(__xludf.DUMMYFUNCTION("""COMPUTED_VALUE"""),"9988.HK")</f>
        <v>9988.HK</v>
      </c>
      <c r="H397" s="81">
        <f ca="1">IFERROR(__xludf.DUMMYFUNCTION("""COMPUTED_VALUE"""),200)</f>
        <v>200</v>
      </c>
      <c r="I397" s="80" t="str">
        <f ca="1">IFERROR(__xludf.DUMMYFUNCTION("""COMPUTED_VALUE"""),"Order rejected due to non school email address. Only accept @hkmu.edu.hk")</f>
        <v>Order rejected due to non school email address. Only accept @hkmu.edu.hk</v>
      </c>
    </row>
    <row r="398" spans="1:9" ht="13" x14ac:dyDescent="0.15">
      <c r="A398" s="5"/>
      <c r="B398" s="82">
        <f ca="1">IFERROR(__xludf.DUMMYFUNCTION("""COMPUTED_VALUE"""),44630.478169618)</f>
        <v>44630.478169618</v>
      </c>
      <c r="C398" s="79" t="str">
        <f ca="1">IFERROR(__xludf.DUMMYFUNCTION("""COMPUTED_VALUE"""),"")</f>
        <v/>
      </c>
      <c r="D398" s="80" t="str">
        <f ca="1">IFERROR(__xludf.DUMMYFUNCTION("""COMPUTED_VALUE"""),"")</f>
        <v/>
      </c>
      <c r="E398" s="80" t="str">
        <f ca="1">IFERROR(__xludf.DUMMYFUNCTION("""COMPUTED_VALUE"""),"Stock")</f>
        <v>Stock</v>
      </c>
      <c r="F398" s="80" t="str">
        <f ca="1">IFERROR(__xludf.DUMMYFUNCTION("""COMPUTED_VALUE"""),"error")</f>
        <v>error</v>
      </c>
      <c r="G398" s="83" t="str">
        <f ca="1">IFERROR(__xludf.DUMMYFUNCTION("""COMPUTED_VALUE"""),"1024.HK")</f>
        <v>1024.HK</v>
      </c>
      <c r="H398" s="81">
        <f ca="1">IFERROR(__xludf.DUMMYFUNCTION("""COMPUTED_VALUE"""),1800)</f>
        <v>1800</v>
      </c>
      <c r="I398" s="80" t="str">
        <f ca="1">IFERROR(__xludf.DUMMYFUNCTION("""COMPUTED_VALUE"""),"Order rejected due to non school email address. Only accept @hkmu.edu.hk")</f>
        <v>Order rejected due to non school email address. Only accept @hkmu.edu.hk</v>
      </c>
    </row>
    <row r="399" spans="1:9" ht="13" x14ac:dyDescent="0.15">
      <c r="A399" s="5"/>
      <c r="B399" s="82">
        <f ca="1">IFERROR(__xludf.DUMMYFUNCTION("""COMPUTED_VALUE"""),44630.4789069328)</f>
        <v>44630.478906932804</v>
      </c>
      <c r="C399" s="79" t="str">
        <f ca="1">IFERROR(__xludf.DUMMYFUNCTION("""COMPUTED_VALUE"""),"")</f>
        <v/>
      </c>
      <c r="D399" s="80" t="str">
        <f ca="1">IFERROR(__xludf.DUMMYFUNCTION("""COMPUTED_VALUE"""),"")</f>
        <v/>
      </c>
      <c r="E399" s="80" t="str">
        <f ca="1">IFERROR(__xludf.DUMMYFUNCTION("""COMPUTED_VALUE"""),"Stock")</f>
        <v>Stock</v>
      </c>
      <c r="F399" s="80" t="str">
        <f ca="1">IFERROR(__xludf.DUMMYFUNCTION("""COMPUTED_VALUE"""),"error")</f>
        <v>error</v>
      </c>
      <c r="G399" s="83" t="str">
        <f ca="1">IFERROR(__xludf.DUMMYFUNCTION("""COMPUTED_VALUE"""),"9988.HK")</f>
        <v>9988.HK</v>
      </c>
      <c r="H399" s="81">
        <f ca="1">IFERROR(__xludf.DUMMYFUNCTION("""COMPUTED_VALUE"""),1800)</f>
        <v>1800</v>
      </c>
      <c r="I399" s="80" t="str">
        <f ca="1">IFERROR(__xludf.DUMMYFUNCTION("""COMPUTED_VALUE"""),"Order rejected due to non school email address. Only accept @hkmu.edu.hk")</f>
        <v>Order rejected due to non school email address. Only accept @hkmu.edu.hk</v>
      </c>
    </row>
    <row r="400" spans="1:9" ht="13" x14ac:dyDescent="0.15">
      <c r="A400" s="5"/>
      <c r="B400" s="82">
        <f ca="1">IFERROR(__xludf.DUMMYFUNCTION("""COMPUTED_VALUE"""),44630.483446875)</f>
        <v>44630.483446874998</v>
      </c>
      <c r="C400" s="79">
        <f ca="1">IFERROR(__xludf.DUMMYFUNCTION("""COMPUTED_VALUE"""),44630.6666666666)</f>
        <v>44630.666666666599</v>
      </c>
      <c r="D400" s="80" t="str">
        <f ca="1">IFERROR(__xludf.DUMMYFUNCTION("""COMPUTED_VALUE"""),"75288")</f>
        <v>75288</v>
      </c>
      <c r="E400" s="80" t="str">
        <f ca="1">IFERROR(__xludf.DUMMYFUNCTION("""COMPUTED_VALUE"""),"Stock")</f>
        <v>Stock</v>
      </c>
      <c r="F400" s="80" t="str">
        <f ca="1">IFERROR(__xludf.DUMMYFUNCTION("""COMPUTED_VALUE"""),"HKD")</f>
        <v>HKD</v>
      </c>
      <c r="G400" s="83" t="str">
        <f ca="1">IFERROR(__xludf.DUMMYFUNCTION("""COMPUTED_VALUE"""),"3800.HK")</f>
        <v>3800.HK</v>
      </c>
      <c r="H400" s="81">
        <f ca="1">IFERROR(__xludf.DUMMYFUNCTION("""COMPUTED_VALUE"""),3473)</f>
        <v>3473</v>
      </c>
      <c r="I400" s="80"/>
    </row>
    <row r="401" spans="1:9" ht="13" x14ac:dyDescent="0.15">
      <c r="A401" s="5"/>
      <c r="B401" s="82">
        <f ca="1">IFERROR(__xludf.DUMMYFUNCTION("""COMPUTED_VALUE"""),44630.5043603703)</f>
        <v>44630.504360370302</v>
      </c>
      <c r="C401" s="79" t="str">
        <f ca="1">IFERROR(__xludf.DUMMYFUNCTION("""COMPUTED_VALUE"""),"")</f>
        <v/>
      </c>
      <c r="D401" s="80" t="str">
        <f ca="1">IFERROR(__xludf.DUMMYFUNCTION("""COMPUTED_VALUE"""),"38307")</f>
        <v>38307</v>
      </c>
      <c r="E401" s="80" t="str">
        <f ca="1">IFERROR(__xludf.DUMMYFUNCTION("""COMPUTED_VALUE"""),"Stock")</f>
        <v>Stock</v>
      </c>
      <c r="F401" s="80" t="str">
        <f ca="1">IFERROR(__xludf.DUMMYFUNCTION("""COMPUTED_VALUE"""),"error")</f>
        <v>error</v>
      </c>
      <c r="G401" s="78">
        <f ca="1">IFERROR(__xludf.DUMMYFUNCTION("""COMPUTED_VALUE"""),300750)</f>
        <v>300750</v>
      </c>
      <c r="H401" s="81">
        <f ca="1">IFERROR(__xludf.DUMMYFUNCTION("""COMPUTED_VALUE"""),200)</f>
        <v>200</v>
      </c>
      <c r="I401" s="80" t="str">
        <f ca="1">IFERROR(__xludf.DUMMYFUNCTION("""COMPUTED_VALUE"""),"Order rejected due to non-numeric limit price, and wrong ticker code. Should be 300750.SZ ")</f>
        <v xml:space="preserve">Order rejected due to non-numeric limit price, and wrong ticker code. Should be 300750.SZ </v>
      </c>
    </row>
    <row r="402" spans="1:9" ht="13" x14ac:dyDescent="0.15">
      <c r="A402" s="5"/>
      <c r="B402" s="82">
        <f ca="1">IFERROR(__xludf.DUMMYFUNCTION("""COMPUTED_VALUE"""),44630.5093564699)</f>
        <v>44630.509356469898</v>
      </c>
      <c r="C402" s="79" t="str">
        <f ca="1">IFERROR(__xludf.DUMMYFUNCTION("""COMPUTED_VALUE"""),"")</f>
        <v/>
      </c>
      <c r="D402" s="80" t="str">
        <f ca="1">IFERROR(__xludf.DUMMYFUNCTION("""COMPUTED_VALUE"""),"38307")</f>
        <v>38307</v>
      </c>
      <c r="E402" s="80" t="str">
        <f ca="1">IFERROR(__xludf.DUMMYFUNCTION("""COMPUTED_VALUE"""),"Option")</f>
        <v>Option</v>
      </c>
      <c r="F402" s="80" t="str">
        <f ca="1">IFERROR(__xludf.DUMMYFUNCTION("""COMPUTED_VALUE"""),"error")</f>
        <v>error</v>
      </c>
      <c r="G402" s="78" t="str">
        <f ca="1">IFERROR(__xludf.DUMMYFUNCTION("""COMPUTED_VALUE"""),"BRNOW")</f>
        <v>BRNOW</v>
      </c>
      <c r="H402" s="81">
        <f ca="1">IFERROR(__xludf.DUMMYFUNCTION("""COMPUTED_VALUE"""),200)</f>
        <v>200</v>
      </c>
      <c r="I402" s="80" t="str">
        <f ca="1">IFERROR(__xludf.DUMMYFUNCTION("""COMPUTED_VALUE"""),"Order rejected due to inconsistent asset class. Option or stock. BRNOW is not a stock nor a option ticker from Yahoo Finance database.")</f>
        <v>Order rejected due to inconsistent asset class. Option or stock. BRNOW is not a stock nor a option ticker from Yahoo Finance database.</v>
      </c>
    </row>
    <row r="403" spans="1:9" ht="13" x14ac:dyDescent="0.15">
      <c r="A403" s="5"/>
      <c r="B403" s="82">
        <f ca="1">IFERROR(__xludf.DUMMYFUNCTION("""COMPUTED_VALUE"""),44630.5164510069)</f>
        <v>44630.516451006901</v>
      </c>
      <c r="C403" s="79">
        <f ca="1">IFERROR(__xludf.DUMMYFUNCTION("""COMPUTED_VALUE"""),44630.6666666666)</f>
        <v>44630.666666666599</v>
      </c>
      <c r="D403" s="80" t="str">
        <f ca="1">IFERROR(__xludf.DUMMYFUNCTION("""COMPUTED_VALUE"""),"82124")</f>
        <v>82124</v>
      </c>
      <c r="E403" s="80" t="str">
        <f ca="1">IFERROR(__xludf.DUMMYFUNCTION("""COMPUTED_VALUE"""),"Stock")</f>
        <v>Stock</v>
      </c>
      <c r="F403" s="80" t="str">
        <f ca="1">IFERROR(__xludf.DUMMYFUNCTION("""COMPUTED_VALUE"""),"HKD")</f>
        <v>HKD</v>
      </c>
      <c r="G403" s="83" t="str">
        <f ca="1">IFERROR(__xludf.DUMMYFUNCTION("""COMPUTED_VALUE"""),"0388.HK")</f>
        <v>0388.HK</v>
      </c>
      <c r="H403" s="81">
        <f ca="1">IFERROR(__xludf.DUMMYFUNCTION("""COMPUTED_VALUE"""),200)</f>
        <v>200</v>
      </c>
      <c r="I403" s="80"/>
    </row>
    <row r="404" spans="1:9" ht="13" x14ac:dyDescent="0.15">
      <c r="A404" s="5"/>
      <c r="B404" s="82">
        <f ca="1">IFERROR(__xludf.DUMMYFUNCTION("""COMPUTED_VALUE"""),44630.5171228009)</f>
        <v>44630.517122800899</v>
      </c>
      <c r="C404" s="79" t="str">
        <f ca="1">IFERROR(__xludf.DUMMYFUNCTION("""COMPUTED_VALUE"""),"")</f>
        <v/>
      </c>
      <c r="D404" s="80" t="str">
        <f ca="1">IFERROR(__xludf.DUMMYFUNCTION("""COMPUTED_VALUE"""),"38307")</f>
        <v>38307</v>
      </c>
      <c r="E404" s="80" t="str">
        <f ca="1">IFERROR(__xludf.DUMMYFUNCTION("""COMPUTED_VALUE"""),"Time Deposit")</f>
        <v>Time Deposit</v>
      </c>
      <c r="F404" s="80" t="str">
        <f ca="1">IFERROR(__xludf.DUMMYFUNCTION("""COMPUTED_VALUE"""),"error")</f>
        <v>error</v>
      </c>
      <c r="G404" s="78" t="str">
        <f ca="1">IFERROR(__xludf.DUMMYFUNCTION("""COMPUTED_VALUE"""),"004201")</f>
        <v>004201</v>
      </c>
      <c r="H404" s="81" t="str">
        <f ca="1">IFERROR(__xludf.DUMMYFUNCTION("""COMPUTED_VALUE"""),"0.25m=2.2400%(7day annual)")</f>
        <v>0.25m=2.2400%(7day annual)</v>
      </c>
      <c r="I404" s="80" t="str">
        <f ca="1">IFERROR(__xludf.DUMMYFUNCTION("""COMPUTED_VALUE"""),"Order rejected due to invalid ticker code. For time deposite, ticker code accepted either 1m or 3m, and no limit price.")</f>
        <v>Order rejected due to invalid ticker code. For time deposite, ticker code accepted either 1m or 3m, and no limit price.</v>
      </c>
    </row>
    <row r="405" spans="1:9" ht="13" x14ac:dyDescent="0.15">
      <c r="A405" s="5"/>
      <c r="B405" s="82">
        <f ca="1">IFERROR(__xludf.DUMMYFUNCTION("""COMPUTED_VALUE"""),44630.5904724768)</f>
        <v>44630.590472476797</v>
      </c>
      <c r="C405" s="79">
        <f ca="1">IFERROR(__xludf.DUMMYFUNCTION("""COMPUTED_VALUE"""),44630.6666666666)</f>
        <v>44630.666666666599</v>
      </c>
      <c r="D405" s="80" t="str">
        <f ca="1">IFERROR(__xludf.DUMMYFUNCTION("""COMPUTED_VALUE"""),"77936")</f>
        <v>77936</v>
      </c>
      <c r="E405" s="80" t="str">
        <f ca="1">IFERROR(__xludf.DUMMYFUNCTION("""COMPUTED_VALUE"""),"Stock")</f>
        <v>Stock</v>
      </c>
      <c r="F405" s="80" t="str">
        <f ca="1">IFERROR(__xludf.DUMMYFUNCTION("""COMPUTED_VALUE"""),"HKD")</f>
        <v>HKD</v>
      </c>
      <c r="G405" s="83" t="str">
        <f ca="1">IFERROR(__xludf.DUMMYFUNCTION("""COMPUTED_VALUE"""),"9988.HK")</f>
        <v>9988.HK</v>
      </c>
      <c r="H405" s="81">
        <f ca="1">IFERROR(__xludf.DUMMYFUNCTION("""COMPUTED_VALUE"""),200)</f>
        <v>200</v>
      </c>
      <c r="I405" s="80"/>
    </row>
    <row r="406" spans="1:9" ht="13" x14ac:dyDescent="0.15">
      <c r="A406" s="5"/>
      <c r="B406" s="82">
        <f ca="1">IFERROR(__xludf.DUMMYFUNCTION("""COMPUTED_VALUE"""),44630.5958223726)</f>
        <v>44630.595822372597</v>
      </c>
      <c r="C406" s="79">
        <f ca="1">IFERROR(__xludf.DUMMYFUNCTION("""COMPUTED_VALUE"""),44630.6666666666)</f>
        <v>44630.666666666599</v>
      </c>
      <c r="D406" s="80" t="str">
        <f ca="1">IFERROR(__xludf.DUMMYFUNCTION("""COMPUTED_VALUE"""),"77936")</f>
        <v>77936</v>
      </c>
      <c r="E406" s="80" t="str">
        <f ca="1">IFERROR(__xludf.DUMMYFUNCTION("""COMPUTED_VALUE"""),"Stock")</f>
        <v>Stock</v>
      </c>
      <c r="F406" s="80" t="str">
        <f ca="1">IFERROR(__xludf.DUMMYFUNCTION("""COMPUTED_VALUE"""),"HKD")</f>
        <v>HKD</v>
      </c>
      <c r="G406" s="83" t="str">
        <f ca="1">IFERROR(__xludf.DUMMYFUNCTION("""COMPUTED_VALUE"""),"9626.HK")</f>
        <v>9626.HK</v>
      </c>
      <c r="H406" s="81">
        <f ca="1">IFERROR(__xludf.DUMMYFUNCTION("""COMPUTED_VALUE"""),1000)</f>
        <v>1000</v>
      </c>
      <c r="I406" s="80"/>
    </row>
    <row r="407" spans="1:9" ht="13" x14ac:dyDescent="0.15">
      <c r="A407" s="5"/>
      <c r="B407" s="82">
        <f ca="1">IFERROR(__xludf.DUMMYFUNCTION("""COMPUTED_VALUE"""),44630.6047751967)</f>
        <v>44630.604775196698</v>
      </c>
      <c r="C407" s="79">
        <f ca="1">IFERROR(__xludf.DUMMYFUNCTION("""COMPUTED_VALUE"""),44630.6666666666)</f>
        <v>44630.666666666599</v>
      </c>
      <c r="D407" s="80" t="str">
        <f ca="1">IFERROR(__xludf.DUMMYFUNCTION("""COMPUTED_VALUE"""),"89750")</f>
        <v>89750</v>
      </c>
      <c r="E407" s="80" t="str">
        <f ca="1">IFERROR(__xludf.DUMMYFUNCTION("""COMPUTED_VALUE"""),"Stock")</f>
        <v>Stock</v>
      </c>
      <c r="F407" s="80" t="str">
        <f ca="1">IFERROR(__xludf.DUMMYFUNCTION("""COMPUTED_VALUE"""),"HKD")</f>
        <v>HKD</v>
      </c>
      <c r="G407" s="83" t="str">
        <f ca="1">IFERROR(__xludf.DUMMYFUNCTION("""COMPUTED_VALUE"""),"9988.HK")</f>
        <v>9988.HK</v>
      </c>
      <c r="H407" s="81">
        <f ca="1">IFERROR(__xludf.DUMMYFUNCTION("""COMPUTED_VALUE"""),1000)</f>
        <v>1000</v>
      </c>
      <c r="I407" s="80"/>
    </row>
    <row r="408" spans="1:9" ht="13" x14ac:dyDescent="0.15">
      <c r="A408" s="5"/>
      <c r="B408" s="82">
        <f ca="1">IFERROR(__xludf.DUMMYFUNCTION("""COMPUTED_VALUE"""),44630.6121250694)</f>
        <v>44630.612125069398</v>
      </c>
      <c r="C408" s="79">
        <f ca="1">IFERROR(__xludf.DUMMYFUNCTION("""COMPUTED_VALUE"""),44630.6666666666)</f>
        <v>44630.666666666599</v>
      </c>
      <c r="D408" s="80" t="str">
        <f ca="1">IFERROR(__xludf.DUMMYFUNCTION("""COMPUTED_VALUE"""),"76369")</f>
        <v>76369</v>
      </c>
      <c r="E408" s="80" t="str">
        <f ca="1">IFERROR(__xludf.DUMMYFUNCTION("""COMPUTED_VALUE"""),"Stock")</f>
        <v>Stock</v>
      </c>
      <c r="F408" s="80" t="str">
        <f ca="1">IFERROR(__xludf.DUMMYFUNCTION("""COMPUTED_VALUE"""),"HKD")</f>
        <v>HKD</v>
      </c>
      <c r="G408" s="83" t="str">
        <f ca="1">IFERROR(__xludf.DUMMYFUNCTION("""COMPUTED_VALUE"""),"603963.SS")</f>
        <v>603963.SS</v>
      </c>
      <c r="H408" s="81">
        <f ca="1">IFERROR(__xludf.DUMMYFUNCTION("""COMPUTED_VALUE"""),1000)</f>
        <v>1000</v>
      </c>
      <c r="I408" s="80"/>
    </row>
    <row r="409" spans="1:9" ht="13" x14ac:dyDescent="0.15">
      <c r="A409" s="5"/>
      <c r="B409" s="82">
        <f ca="1">IFERROR(__xludf.DUMMYFUNCTION("""COMPUTED_VALUE"""),44630.690440081)</f>
        <v>44630.690440081002</v>
      </c>
      <c r="C409" s="79">
        <f ca="1">IFERROR(__xludf.DUMMYFUNCTION("""COMPUTED_VALUE"""),44630.6666666666)</f>
        <v>44630.666666666599</v>
      </c>
      <c r="D409" s="80" t="str">
        <f ca="1">IFERROR(__xludf.DUMMYFUNCTION("""COMPUTED_VALUE"""),"74356")</f>
        <v>74356</v>
      </c>
      <c r="E409" s="80" t="str">
        <f ca="1">IFERROR(__xludf.DUMMYFUNCTION("""COMPUTED_VALUE"""),"Stock")</f>
        <v>Stock</v>
      </c>
      <c r="F409" s="80" t="str">
        <f ca="1">IFERROR(__xludf.DUMMYFUNCTION("""COMPUTED_VALUE"""),"USD")</f>
        <v>USD</v>
      </c>
      <c r="G409" s="78" t="str">
        <f ca="1">IFERROR(__xludf.DUMMYFUNCTION("""COMPUTED_VALUE"""),"BRK-B")</f>
        <v>BRK-B</v>
      </c>
      <c r="H409" s="81">
        <f ca="1">IFERROR(__xludf.DUMMYFUNCTION("""COMPUTED_VALUE"""),40)</f>
        <v>40</v>
      </c>
      <c r="I409" s="80"/>
    </row>
    <row r="410" spans="1:9" ht="13" x14ac:dyDescent="0.15">
      <c r="A410" s="5"/>
      <c r="B410" s="82">
        <f ca="1">IFERROR(__xludf.DUMMYFUNCTION("""COMPUTED_VALUE"""),44630.6940171412)</f>
        <v>44630.694017141199</v>
      </c>
      <c r="C410" s="79">
        <f ca="1">IFERROR(__xludf.DUMMYFUNCTION("""COMPUTED_VALUE"""),44630.6666666666)</f>
        <v>44630.666666666599</v>
      </c>
      <c r="D410" s="80" t="str">
        <f ca="1">IFERROR(__xludf.DUMMYFUNCTION("""COMPUTED_VALUE"""),"76848")</f>
        <v>76848</v>
      </c>
      <c r="E410" s="80" t="str">
        <f ca="1">IFERROR(__xludf.DUMMYFUNCTION("""COMPUTED_VALUE"""),"Stock")</f>
        <v>Stock</v>
      </c>
      <c r="F410" s="80" t="str">
        <f ca="1">IFERROR(__xludf.DUMMYFUNCTION("""COMPUTED_VALUE"""),"USD")</f>
        <v>USD</v>
      </c>
      <c r="G410" s="78" t="str">
        <f ca="1">IFERROR(__xludf.DUMMYFUNCTION("""COMPUTED_VALUE"""),"BRK-B")</f>
        <v>BRK-B</v>
      </c>
      <c r="H410" s="81">
        <f ca="1">IFERROR(__xludf.DUMMYFUNCTION("""COMPUTED_VALUE"""),40)</f>
        <v>40</v>
      </c>
      <c r="I410" s="80"/>
    </row>
    <row r="411" spans="1:9" ht="13" x14ac:dyDescent="0.15">
      <c r="A411" s="5"/>
      <c r="B411" s="82">
        <f ca="1">IFERROR(__xludf.DUMMYFUNCTION("""COMPUTED_VALUE"""),44630.6969728935)</f>
        <v>44630.6969728935</v>
      </c>
      <c r="C411" s="79">
        <f ca="1">IFERROR(__xludf.DUMMYFUNCTION("""COMPUTED_VALUE"""),44630.6666666666)</f>
        <v>44630.666666666599</v>
      </c>
      <c r="D411" s="80" t="str">
        <f ca="1">IFERROR(__xludf.DUMMYFUNCTION("""COMPUTED_VALUE"""),"74356")</f>
        <v>74356</v>
      </c>
      <c r="E411" s="80" t="str">
        <f ca="1">IFERROR(__xludf.DUMMYFUNCTION("""COMPUTED_VALUE"""),"Stock")</f>
        <v>Stock</v>
      </c>
      <c r="F411" s="80" t="str">
        <f ca="1">IFERROR(__xludf.DUMMYFUNCTION("""COMPUTED_VALUE"""),"USD")</f>
        <v>USD</v>
      </c>
      <c r="G411" s="78" t="str">
        <f ca="1">IFERROR(__xludf.DUMMYFUNCTION("""COMPUTED_VALUE"""),"CL=F")</f>
        <v>CL=F</v>
      </c>
      <c r="H411" s="81">
        <f ca="1">IFERROR(__xludf.DUMMYFUNCTION("""COMPUTED_VALUE"""),100)</f>
        <v>100</v>
      </c>
      <c r="I411" s="80"/>
    </row>
    <row r="412" spans="1:9" ht="13" x14ac:dyDescent="0.15">
      <c r="A412" s="5"/>
      <c r="B412" s="82">
        <f ca="1">IFERROR(__xludf.DUMMYFUNCTION("""COMPUTED_VALUE"""),44630.6980491319)</f>
        <v>44630.698049131897</v>
      </c>
      <c r="C412" s="79">
        <f ca="1">IFERROR(__xludf.DUMMYFUNCTION("""COMPUTED_VALUE"""),44630.6666666666)</f>
        <v>44630.666666666599</v>
      </c>
      <c r="D412" s="80" t="str">
        <f ca="1">IFERROR(__xludf.DUMMYFUNCTION("""COMPUTED_VALUE"""),"76848")</f>
        <v>76848</v>
      </c>
      <c r="E412" s="80" t="str">
        <f ca="1">IFERROR(__xludf.DUMMYFUNCTION("""COMPUTED_VALUE"""),"Stock")</f>
        <v>Stock</v>
      </c>
      <c r="F412" s="80" t="str">
        <f ca="1">IFERROR(__xludf.DUMMYFUNCTION("""COMPUTED_VALUE"""),"USD")</f>
        <v>USD</v>
      </c>
      <c r="G412" s="78" t="str">
        <f ca="1">IFERROR(__xludf.DUMMYFUNCTION("""COMPUTED_VALUE"""),"CL=F")</f>
        <v>CL=F</v>
      </c>
      <c r="H412" s="81">
        <f ca="1">IFERROR(__xludf.DUMMYFUNCTION("""COMPUTED_VALUE"""),100)</f>
        <v>100</v>
      </c>
      <c r="I412" s="80"/>
    </row>
    <row r="413" spans="1:9" ht="13" x14ac:dyDescent="0.15">
      <c r="A413" s="5"/>
      <c r="B413" s="82">
        <f ca="1">IFERROR(__xludf.DUMMYFUNCTION("""COMPUTED_VALUE"""),44630.7368720949)</f>
        <v>44630.736872094902</v>
      </c>
      <c r="C413" s="79">
        <f ca="1">IFERROR(__xludf.DUMMYFUNCTION("""COMPUTED_VALUE"""),44630.6666666666)</f>
        <v>44630.666666666599</v>
      </c>
      <c r="D413" s="80" t="str">
        <f ca="1">IFERROR(__xludf.DUMMYFUNCTION("""COMPUTED_VALUE"""),"76848")</f>
        <v>76848</v>
      </c>
      <c r="E413" s="80" t="str">
        <f ca="1">IFERROR(__xludf.DUMMYFUNCTION("""COMPUTED_VALUE"""),"Stock")</f>
        <v>Stock</v>
      </c>
      <c r="F413" s="80" t="str">
        <f ca="1">IFERROR(__xludf.DUMMYFUNCTION("""COMPUTED_VALUE"""),"USD")</f>
        <v>USD</v>
      </c>
      <c r="G413" s="78" t="str">
        <f ca="1">IFERROR(__xludf.DUMMYFUNCTION("""COMPUTED_VALUE"""),"AAPL")</f>
        <v>AAPL</v>
      </c>
      <c r="H413" s="81">
        <f ca="1">IFERROR(__xludf.DUMMYFUNCTION("""COMPUTED_VALUE"""),20)</f>
        <v>20</v>
      </c>
      <c r="I413" s="80"/>
    </row>
    <row r="414" spans="1:9" ht="13" x14ac:dyDescent="0.15">
      <c r="A414" s="5"/>
      <c r="B414" s="82">
        <f ca="1">IFERROR(__xludf.DUMMYFUNCTION("""COMPUTED_VALUE"""),44630.7369844791)</f>
        <v>44630.736984479103</v>
      </c>
      <c r="C414" s="79">
        <f ca="1">IFERROR(__xludf.DUMMYFUNCTION("""COMPUTED_VALUE"""),44630.6666666666)</f>
        <v>44630.666666666599</v>
      </c>
      <c r="D414" s="80" t="str">
        <f ca="1">IFERROR(__xludf.DUMMYFUNCTION("""COMPUTED_VALUE"""),"74356")</f>
        <v>74356</v>
      </c>
      <c r="E414" s="80" t="str">
        <f ca="1">IFERROR(__xludf.DUMMYFUNCTION("""COMPUTED_VALUE"""),"Stock")</f>
        <v>Stock</v>
      </c>
      <c r="F414" s="80" t="str">
        <f ca="1">IFERROR(__xludf.DUMMYFUNCTION("""COMPUTED_VALUE"""),"USD")</f>
        <v>USD</v>
      </c>
      <c r="G414" s="78" t="str">
        <f ca="1">IFERROR(__xludf.DUMMYFUNCTION("""COMPUTED_VALUE"""),"AAPL")</f>
        <v>AAPL</v>
      </c>
      <c r="H414" s="81">
        <f ca="1">IFERROR(__xludf.DUMMYFUNCTION("""COMPUTED_VALUE"""),20)</f>
        <v>20</v>
      </c>
      <c r="I414" s="80"/>
    </row>
    <row r="415" spans="1:9" ht="13" x14ac:dyDescent="0.15">
      <c r="A415" s="5"/>
      <c r="B415" s="82">
        <f ca="1">IFERROR(__xludf.DUMMYFUNCTION("""COMPUTED_VALUE"""),44631.1079257986)</f>
        <v>44631.107925798598</v>
      </c>
      <c r="C415" s="79">
        <f ca="1">IFERROR(__xludf.DUMMYFUNCTION("""COMPUTED_VALUE"""),44630.6666666666)</f>
        <v>44630.666666666599</v>
      </c>
      <c r="D415" s="80" t="str">
        <f ca="1">IFERROR(__xludf.DUMMYFUNCTION("""COMPUTED_VALUE"""),"89750")</f>
        <v>89750</v>
      </c>
      <c r="E415" s="80" t="str">
        <f ca="1">IFERROR(__xludf.DUMMYFUNCTION("""COMPUTED_VALUE"""),"Option")</f>
        <v>Option</v>
      </c>
      <c r="F415" s="80" t="str">
        <f ca="1">IFERROR(__xludf.DUMMYFUNCTION("""COMPUTED_VALUE"""),"USD")</f>
        <v>USD</v>
      </c>
      <c r="G415" s="78" t="str">
        <f ca="1">IFERROR(__xludf.DUMMYFUNCTION("""COMPUTED_VALUE"""),"NU220318C00005000")</f>
        <v>NU220318C00005000</v>
      </c>
      <c r="H415" s="81">
        <f ca="1">IFERROR(__xludf.DUMMYFUNCTION("""COMPUTED_VALUE"""),100)</f>
        <v>100</v>
      </c>
      <c r="I415" s="80"/>
    </row>
    <row r="416" spans="1:9" ht="13" x14ac:dyDescent="0.15">
      <c r="A416" s="5"/>
      <c r="B416" s="82">
        <f ca="1">IFERROR(__xludf.DUMMYFUNCTION("""COMPUTED_VALUE"""),44631.1260225347)</f>
        <v>44631.1260225347</v>
      </c>
      <c r="C416" s="79">
        <f ca="1">IFERROR(__xludf.DUMMYFUNCTION("""COMPUTED_VALUE"""),44630.6666666666)</f>
        <v>44630.666666666599</v>
      </c>
      <c r="D416" s="80" t="str">
        <f ca="1">IFERROR(__xludf.DUMMYFUNCTION("""COMPUTED_VALUE"""),"89750")</f>
        <v>89750</v>
      </c>
      <c r="E416" s="80" t="str">
        <f ca="1">IFERROR(__xludf.DUMMYFUNCTION("""COMPUTED_VALUE"""),"Option")</f>
        <v>Option</v>
      </c>
      <c r="F416" s="80" t="str">
        <f ca="1">IFERROR(__xludf.DUMMYFUNCTION("""COMPUTED_VALUE"""),"USD")</f>
        <v>USD</v>
      </c>
      <c r="G416" s="78" t="str">
        <f ca="1">IFERROR(__xludf.DUMMYFUNCTION("""COMPUTED_VALUE"""),"TQQQ220408P00056000")</f>
        <v>TQQQ220408P00056000</v>
      </c>
      <c r="H416" s="81">
        <f ca="1">IFERROR(__xludf.DUMMYFUNCTION("""COMPUTED_VALUE"""),20)</f>
        <v>20</v>
      </c>
      <c r="I416" s="80"/>
    </row>
    <row r="417" spans="1:9" ht="13" x14ac:dyDescent="0.15">
      <c r="A417" s="5"/>
      <c r="B417" s="82">
        <f ca="1">IFERROR(__xludf.DUMMYFUNCTION("""COMPUTED_VALUE"""),44631.4589086458)</f>
        <v>44631.4589086458</v>
      </c>
      <c r="C417" s="79">
        <f ca="1">IFERROR(__xludf.DUMMYFUNCTION("""COMPUTED_VALUE"""),44631.6666666666)</f>
        <v>44631.666666666599</v>
      </c>
      <c r="D417" s="80" t="str">
        <f ca="1">IFERROR(__xludf.DUMMYFUNCTION("""COMPUTED_VALUE"""),"82124")</f>
        <v>82124</v>
      </c>
      <c r="E417" s="80" t="str">
        <f ca="1">IFERROR(__xludf.DUMMYFUNCTION("""COMPUTED_VALUE"""),"Stock")</f>
        <v>Stock</v>
      </c>
      <c r="F417" s="80" t="str">
        <f ca="1">IFERROR(__xludf.DUMMYFUNCTION("""COMPUTED_VALUE"""),"HKD")</f>
        <v>HKD</v>
      </c>
      <c r="G417" s="83" t="str">
        <f ca="1">IFERROR(__xludf.DUMMYFUNCTION("""COMPUTED_VALUE"""),"9988.HK")</f>
        <v>9988.HK</v>
      </c>
      <c r="H417" s="81">
        <f ca="1">IFERROR(__xludf.DUMMYFUNCTION("""COMPUTED_VALUE"""),500)</f>
        <v>500</v>
      </c>
      <c r="I417" s="80"/>
    </row>
    <row r="418" spans="1:9" ht="13" x14ac:dyDescent="0.15">
      <c r="A418" s="5"/>
      <c r="B418" s="82">
        <f ca="1">IFERROR(__xludf.DUMMYFUNCTION("""COMPUTED_VALUE"""),44631.6734585763)</f>
        <v>44631.673458576297</v>
      </c>
      <c r="C418" s="79">
        <f ca="1">IFERROR(__xludf.DUMMYFUNCTION("""COMPUTED_VALUE"""),44634.6666666666)</f>
        <v>44634.666666666599</v>
      </c>
      <c r="D418" s="80" t="str">
        <f ca="1">IFERROR(__xludf.DUMMYFUNCTION("""COMPUTED_VALUE"""),"46763")</f>
        <v>46763</v>
      </c>
      <c r="E418" s="80" t="str">
        <f ca="1">IFERROR(__xludf.DUMMYFUNCTION("""COMPUTED_VALUE"""),"Stock")</f>
        <v>Stock</v>
      </c>
      <c r="F418" s="80" t="str">
        <f ca="1">IFERROR(__xludf.DUMMYFUNCTION("""COMPUTED_VALUE"""),"HKD")</f>
        <v>HKD</v>
      </c>
      <c r="G418" s="83" t="str">
        <f ca="1">IFERROR(__xludf.DUMMYFUNCTION("""COMPUTED_VALUE"""),"0151.HK")</f>
        <v>0151.HK</v>
      </c>
      <c r="H418" s="81">
        <f ca="1">IFERROR(__xludf.DUMMYFUNCTION("""COMPUTED_VALUE"""),10000)</f>
        <v>10000</v>
      </c>
      <c r="I418" s="80"/>
    </row>
    <row r="419" spans="1:9" ht="13" x14ac:dyDescent="0.15">
      <c r="A419" s="5"/>
      <c r="B419" s="82">
        <f ca="1">IFERROR(__xludf.DUMMYFUNCTION("""COMPUTED_VALUE"""),44631.6844812615)</f>
        <v>44631.684481261502</v>
      </c>
      <c r="C419" s="79">
        <f ca="1">IFERROR(__xludf.DUMMYFUNCTION("""COMPUTED_VALUE"""),44634.6666666666)</f>
        <v>44634.666666666599</v>
      </c>
      <c r="D419" s="80" t="str">
        <f ca="1">IFERROR(__xludf.DUMMYFUNCTION("""COMPUTED_VALUE"""),"77603")</f>
        <v>77603</v>
      </c>
      <c r="E419" s="80" t="str">
        <f ca="1">IFERROR(__xludf.DUMMYFUNCTION("""COMPUTED_VALUE"""),"Stock")</f>
        <v>Stock</v>
      </c>
      <c r="F419" s="80" t="str">
        <f ca="1">IFERROR(__xludf.DUMMYFUNCTION("""COMPUTED_VALUE"""),"HKD")</f>
        <v>HKD</v>
      </c>
      <c r="G419" s="83" t="str">
        <f ca="1">IFERROR(__xludf.DUMMYFUNCTION("""COMPUTED_VALUE"""),"1024.HK")</f>
        <v>1024.HK</v>
      </c>
      <c r="H419" s="81">
        <f ca="1">IFERROR(__xludf.DUMMYFUNCTION("""COMPUTED_VALUE"""),7000)</f>
        <v>7000</v>
      </c>
      <c r="I419" s="80"/>
    </row>
    <row r="420" spans="1:9" ht="13" x14ac:dyDescent="0.15">
      <c r="A420" s="5"/>
      <c r="B420" s="82">
        <f ca="1">IFERROR(__xludf.DUMMYFUNCTION("""COMPUTED_VALUE"""),44631.6899816666)</f>
        <v>44631.689981666597</v>
      </c>
      <c r="C420" s="79">
        <f ca="1">IFERROR(__xludf.DUMMYFUNCTION("""COMPUTED_VALUE"""),44631.6666666666)</f>
        <v>44631.666666666599</v>
      </c>
      <c r="D420" s="80" t="str">
        <f ca="1">IFERROR(__xludf.DUMMYFUNCTION("""COMPUTED_VALUE"""),"39441")</f>
        <v>39441</v>
      </c>
      <c r="E420" s="80" t="str">
        <f ca="1">IFERROR(__xludf.DUMMYFUNCTION("""COMPUTED_VALUE"""),"Stock")</f>
        <v>Stock</v>
      </c>
      <c r="F420" s="80" t="str">
        <f ca="1">IFERROR(__xludf.DUMMYFUNCTION("""COMPUTED_VALUE"""),"USD")</f>
        <v>USD</v>
      </c>
      <c r="G420" s="78" t="str">
        <f ca="1">IFERROR(__xludf.DUMMYFUNCTION("""COMPUTED_VALUE"""),"GOOG")</f>
        <v>GOOG</v>
      </c>
      <c r="H420" s="81">
        <f ca="1">IFERROR(__xludf.DUMMYFUNCTION("""COMPUTED_VALUE"""),5)</f>
        <v>5</v>
      </c>
      <c r="I420" s="80"/>
    </row>
    <row r="421" spans="1:9" ht="13" x14ac:dyDescent="0.15">
      <c r="A421" s="5"/>
      <c r="B421" s="82">
        <f ca="1">IFERROR(__xludf.DUMMYFUNCTION("""COMPUTED_VALUE"""),44631.7000315162)</f>
        <v>44631.7000315162</v>
      </c>
      <c r="C421" s="79">
        <f ca="1">IFERROR(__xludf.DUMMYFUNCTION("""COMPUTED_VALUE"""),44631.6666666666)</f>
        <v>44631.666666666599</v>
      </c>
      <c r="D421" s="80" t="str">
        <f ca="1">IFERROR(__xludf.DUMMYFUNCTION("""COMPUTED_VALUE"""),"39441")</f>
        <v>39441</v>
      </c>
      <c r="E421" s="80" t="str">
        <f ca="1">IFERROR(__xludf.DUMMYFUNCTION("""COMPUTED_VALUE"""),"Stock")</f>
        <v>Stock</v>
      </c>
      <c r="F421" s="80" t="str">
        <f ca="1">IFERROR(__xludf.DUMMYFUNCTION("""COMPUTED_VALUE"""),"USD")</f>
        <v>USD</v>
      </c>
      <c r="G421" s="78" t="str">
        <f ca="1">IFERROR(__xludf.DUMMYFUNCTION("""COMPUTED_VALUE"""),"BABA")</f>
        <v>BABA</v>
      </c>
      <c r="H421" s="81">
        <f ca="1">IFERROR(__xludf.DUMMYFUNCTION("""COMPUTED_VALUE"""),100)</f>
        <v>100</v>
      </c>
      <c r="I421" s="80"/>
    </row>
    <row r="422" spans="1:9" ht="13" x14ac:dyDescent="0.15">
      <c r="A422" s="5"/>
      <c r="B422" s="82">
        <f ca="1">IFERROR(__xludf.DUMMYFUNCTION("""COMPUTED_VALUE"""),44631.7022609027)</f>
        <v>44631.702260902697</v>
      </c>
      <c r="C422" s="79">
        <f ca="1">IFERROR(__xludf.DUMMYFUNCTION("""COMPUTED_VALUE"""),44631.6666666666)</f>
        <v>44631.666666666599</v>
      </c>
      <c r="D422" s="80" t="str">
        <f ca="1">IFERROR(__xludf.DUMMYFUNCTION("""COMPUTED_VALUE"""),"39441")</f>
        <v>39441</v>
      </c>
      <c r="E422" s="80" t="str">
        <f ca="1">IFERROR(__xludf.DUMMYFUNCTION("""COMPUTED_VALUE"""),"Stock")</f>
        <v>Stock</v>
      </c>
      <c r="F422" s="80" t="str">
        <f ca="1">IFERROR(__xludf.DUMMYFUNCTION("""COMPUTED_VALUE"""),"USD")</f>
        <v>USD</v>
      </c>
      <c r="G422" s="78" t="str">
        <f ca="1">IFERROR(__xludf.DUMMYFUNCTION("""COMPUTED_VALUE"""),"CL=F")</f>
        <v>CL=F</v>
      </c>
      <c r="H422" s="81">
        <f ca="1">IFERROR(__xludf.DUMMYFUNCTION("""COMPUTED_VALUE"""),20)</f>
        <v>20</v>
      </c>
      <c r="I422" s="80"/>
    </row>
    <row r="423" spans="1:9" ht="13" x14ac:dyDescent="0.15">
      <c r="A423" s="5"/>
      <c r="B423" s="82">
        <f ca="1">IFERROR(__xludf.DUMMYFUNCTION("""COMPUTED_VALUE"""),44631.7918461689)</f>
        <v>44631.791846168897</v>
      </c>
      <c r="C423" s="79">
        <f ca="1">IFERROR(__xludf.DUMMYFUNCTION("""COMPUTED_VALUE"""),44631.6666666666)</f>
        <v>44631.666666666599</v>
      </c>
      <c r="D423" s="80" t="str">
        <f ca="1">IFERROR(__xludf.DUMMYFUNCTION("""COMPUTED_VALUE"""),"76369")</f>
        <v>76369</v>
      </c>
      <c r="E423" s="80" t="str">
        <f ca="1">IFERROR(__xludf.DUMMYFUNCTION("""COMPUTED_VALUE"""),"Stock")</f>
        <v>Stock</v>
      </c>
      <c r="F423" s="80" t="str">
        <f ca="1">IFERROR(__xludf.DUMMYFUNCTION("""COMPUTED_VALUE"""),"USD")</f>
        <v>USD</v>
      </c>
      <c r="G423" s="78" t="str">
        <f ca="1">IFERROR(__xludf.DUMMYFUNCTION("""COMPUTED_VALUE"""),"GC=F")</f>
        <v>GC=F</v>
      </c>
      <c r="H423" s="81">
        <f ca="1">IFERROR(__xludf.DUMMYFUNCTION("""COMPUTED_VALUE"""),5)</f>
        <v>5</v>
      </c>
      <c r="I423" s="80"/>
    </row>
    <row r="424" spans="1:9" ht="13" x14ac:dyDescent="0.15">
      <c r="A424" s="5"/>
      <c r="B424" s="82">
        <f ca="1">IFERROR(__xludf.DUMMYFUNCTION("""COMPUTED_VALUE"""),44631.9527125231)</f>
        <v>44631.952712523103</v>
      </c>
      <c r="C424" s="79">
        <f ca="1">IFERROR(__xludf.DUMMYFUNCTION("""COMPUTED_VALUE"""),44631.6666666666)</f>
        <v>44631.666666666599</v>
      </c>
      <c r="D424" s="80" t="str">
        <f ca="1">IFERROR(__xludf.DUMMYFUNCTION("""COMPUTED_VALUE"""),"45969")</f>
        <v>45969</v>
      </c>
      <c r="E424" s="80" t="str">
        <f ca="1">IFERROR(__xludf.DUMMYFUNCTION("""COMPUTED_VALUE"""),"Option")</f>
        <v>Option</v>
      </c>
      <c r="F424" s="80" t="str">
        <f ca="1">IFERROR(__xludf.DUMMYFUNCTION("""COMPUTED_VALUE"""),"USD")</f>
        <v>USD</v>
      </c>
      <c r="G424" s="78" t="str">
        <f ca="1">IFERROR(__xludf.DUMMYFUNCTION("""COMPUTED_VALUE"""),"BILI220401P00020000")</f>
        <v>BILI220401P00020000</v>
      </c>
      <c r="H424" s="81">
        <f ca="1">IFERROR(__xludf.DUMMYFUNCTION("""COMPUTED_VALUE"""),30)</f>
        <v>30</v>
      </c>
      <c r="I424" s="80"/>
    </row>
    <row r="425" spans="1:9" ht="13" x14ac:dyDescent="0.15">
      <c r="A425" s="5"/>
      <c r="B425" s="82">
        <f ca="1">IFERROR(__xludf.DUMMYFUNCTION("""COMPUTED_VALUE"""),44633.9002231828)</f>
        <v>44633.900223182798</v>
      </c>
      <c r="C425" s="79">
        <f ca="1">IFERROR(__xludf.DUMMYFUNCTION("""COMPUTED_VALUE"""),44634.6666666666)</f>
        <v>44634.666666666599</v>
      </c>
      <c r="D425" s="80" t="str">
        <f ca="1">IFERROR(__xludf.DUMMYFUNCTION("""COMPUTED_VALUE"""),"37934")</f>
        <v>37934</v>
      </c>
      <c r="E425" s="80" t="str">
        <f ca="1">IFERROR(__xludf.DUMMYFUNCTION("""COMPUTED_VALUE"""),"Stock")</f>
        <v>Stock</v>
      </c>
      <c r="F425" s="80" t="str">
        <f ca="1">IFERROR(__xludf.DUMMYFUNCTION("""COMPUTED_VALUE"""),"USD")</f>
        <v>USD</v>
      </c>
      <c r="G425" s="78" t="str">
        <f ca="1">IFERROR(__xludf.DUMMYFUNCTION("""COMPUTED_VALUE"""),"TSLA")</f>
        <v>TSLA</v>
      </c>
      <c r="H425" s="81">
        <f ca="1">IFERROR(__xludf.DUMMYFUNCTION("""COMPUTED_VALUE"""),20)</f>
        <v>20</v>
      </c>
      <c r="I425" s="80"/>
    </row>
    <row r="426" spans="1:9" ht="13" x14ac:dyDescent="0.15">
      <c r="A426" s="5"/>
      <c r="B426" s="82">
        <f ca="1">IFERROR(__xludf.DUMMYFUNCTION("""COMPUTED_VALUE"""),44634.4908156134)</f>
        <v>44634.490815613397</v>
      </c>
      <c r="C426" s="79" t="str">
        <f ca="1">IFERROR(__xludf.DUMMYFUNCTION("""COMPUTED_VALUE"""),"")</f>
        <v/>
      </c>
      <c r="D426" s="80" t="str">
        <f ca="1">IFERROR(__xludf.DUMMYFUNCTION("""COMPUTED_VALUE"""),"75415")</f>
        <v>75415</v>
      </c>
      <c r="E426" s="80" t="str">
        <f ca="1">IFERROR(__xludf.DUMMYFUNCTION("""COMPUTED_VALUE"""),"Stock")</f>
        <v>Stock</v>
      </c>
      <c r="F426" s="80" t="str">
        <f ca="1">IFERROR(__xludf.DUMMYFUNCTION("""COMPUTED_VALUE"""),"error")</f>
        <v>error</v>
      </c>
      <c r="G426" s="78" t="str">
        <f ca="1">IFERROR(__xludf.DUMMYFUNCTION("""COMPUTED_VALUE"""),"PAYTM")</f>
        <v>PAYTM</v>
      </c>
      <c r="H426" s="81">
        <f ca="1">IFERROR(__xludf.DUMMYFUNCTION("""COMPUTED_VALUE"""),750)</f>
        <v>750</v>
      </c>
      <c r="I426" s="80" t="str">
        <f ca="1">IFERROR(__xludf.DUMMYFUNCTION("""COMPUTED_VALUE"""),"Order rejected due to wrong ticker code.")</f>
        <v>Order rejected due to wrong ticker code.</v>
      </c>
    </row>
    <row r="427" spans="1:9" ht="13" x14ac:dyDescent="0.15">
      <c r="A427" s="5"/>
      <c r="B427" s="82">
        <f ca="1">IFERROR(__xludf.DUMMYFUNCTION("""COMPUTED_VALUE"""),44634.4923320833)</f>
        <v>44634.492332083297</v>
      </c>
      <c r="C427" s="79">
        <f ca="1">IFERROR(__xludf.DUMMYFUNCTION("""COMPUTED_VALUE"""),44634.6666666666)</f>
        <v>44634.666666666599</v>
      </c>
      <c r="D427" s="80" t="str">
        <f ca="1">IFERROR(__xludf.DUMMYFUNCTION("""COMPUTED_VALUE"""),"75415")</f>
        <v>75415</v>
      </c>
      <c r="E427" s="80" t="str">
        <f ca="1">IFERROR(__xludf.DUMMYFUNCTION("""COMPUTED_VALUE"""),"Stock")</f>
        <v>Stock</v>
      </c>
      <c r="F427" s="80" t="str">
        <f ca="1">IFERROR(__xludf.DUMMYFUNCTION("""COMPUTED_VALUE"""),"USD")</f>
        <v>USD</v>
      </c>
      <c r="G427" s="78" t="str">
        <f ca="1">IFERROR(__xludf.DUMMYFUNCTION("""COMPUTED_VALUE"""),"MSFT")</f>
        <v>MSFT</v>
      </c>
      <c r="H427" s="81">
        <f ca="1">IFERROR(__xludf.DUMMYFUNCTION("""COMPUTED_VALUE"""),100)</f>
        <v>100</v>
      </c>
      <c r="I427" s="80"/>
    </row>
    <row r="428" spans="1:9" ht="13" x14ac:dyDescent="0.15">
      <c r="A428" s="5"/>
      <c r="B428" s="82">
        <f ca="1">IFERROR(__xludf.DUMMYFUNCTION("""COMPUTED_VALUE"""),44634.5363699189)</f>
        <v>44634.536369918897</v>
      </c>
      <c r="C428" s="79">
        <f ca="1">IFERROR(__xludf.DUMMYFUNCTION("""COMPUTED_VALUE"""),44634.6666666666)</f>
        <v>44634.666666666599</v>
      </c>
      <c r="D428" s="80" t="str">
        <f ca="1">IFERROR(__xludf.DUMMYFUNCTION("""COMPUTED_VALUE"""),"38209")</f>
        <v>38209</v>
      </c>
      <c r="E428" s="80" t="str">
        <f ca="1">IFERROR(__xludf.DUMMYFUNCTION("""COMPUTED_VALUE"""),"Stock")</f>
        <v>Stock</v>
      </c>
      <c r="F428" s="80" t="str">
        <f ca="1">IFERROR(__xludf.DUMMYFUNCTION("""COMPUTED_VALUE"""),"HKD")</f>
        <v>HKD</v>
      </c>
      <c r="G428" s="83" t="str">
        <f ca="1">IFERROR(__xludf.DUMMYFUNCTION("""COMPUTED_VALUE"""),"1024.HK")</f>
        <v>1024.HK</v>
      </c>
      <c r="H428" s="81">
        <f ca="1">IFERROR(__xludf.DUMMYFUNCTION("""COMPUTED_VALUE"""),1600)</f>
        <v>1600</v>
      </c>
      <c r="I428" s="80"/>
    </row>
    <row r="429" spans="1:9" ht="13" x14ac:dyDescent="0.15">
      <c r="A429" s="5"/>
      <c r="B429" s="82">
        <f ca="1">IFERROR(__xludf.DUMMYFUNCTION("""COMPUTED_VALUE"""),44634.5370128472)</f>
        <v>44634.537012847199</v>
      </c>
      <c r="C429" s="79">
        <f ca="1">IFERROR(__xludf.DUMMYFUNCTION("""COMPUTED_VALUE"""),44634.6666666666)</f>
        <v>44634.666666666599</v>
      </c>
      <c r="D429" s="80" t="str">
        <f ca="1">IFERROR(__xludf.DUMMYFUNCTION("""COMPUTED_VALUE"""),"38209")</f>
        <v>38209</v>
      </c>
      <c r="E429" s="80" t="str">
        <f ca="1">IFERROR(__xludf.DUMMYFUNCTION("""COMPUTED_VALUE"""),"Stock")</f>
        <v>Stock</v>
      </c>
      <c r="F429" s="80" t="str">
        <f ca="1">IFERROR(__xludf.DUMMYFUNCTION("""COMPUTED_VALUE"""),"HKD")</f>
        <v>HKD</v>
      </c>
      <c r="G429" s="83" t="str">
        <f ca="1">IFERROR(__xludf.DUMMYFUNCTION("""COMPUTED_VALUE"""),"9988.HK")</f>
        <v>9988.HK</v>
      </c>
      <c r="H429" s="81">
        <f ca="1">IFERROR(__xludf.DUMMYFUNCTION("""COMPUTED_VALUE"""),600)</f>
        <v>600</v>
      </c>
      <c r="I429" s="80"/>
    </row>
    <row r="430" spans="1:9" ht="13" x14ac:dyDescent="0.15">
      <c r="A430" s="5"/>
      <c r="B430" s="82">
        <f ca="1">IFERROR(__xludf.DUMMYFUNCTION("""COMPUTED_VALUE"""),44634.5600151736)</f>
        <v>44634.5600151736</v>
      </c>
      <c r="C430" s="79" t="str">
        <f ca="1">IFERROR(__xludf.DUMMYFUNCTION("""COMPUTED_VALUE"""),"")</f>
        <v/>
      </c>
      <c r="D430" s="80" t="str">
        <f ca="1">IFERROR(__xludf.DUMMYFUNCTION("""COMPUTED_VALUE"""),"")</f>
        <v/>
      </c>
      <c r="E430" s="80" t="str">
        <f ca="1">IFERROR(__xludf.DUMMYFUNCTION("""COMPUTED_VALUE"""),"Stock")</f>
        <v>Stock</v>
      </c>
      <c r="F430" s="80" t="str">
        <f ca="1">IFERROR(__xludf.DUMMYFUNCTION("""COMPUTED_VALUE"""),"error")</f>
        <v>error</v>
      </c>
      <c r="G430" s="83" t="str">
        <f ca="1">IFERROR(__xludf.DUMMYFUNCTION("""COMPUTED_VALUE"""),"1024.HK")</f>
        <v>1024.HK</v>
      </c>
      <c r="H430" s="81">
        <f ca="1">IFERROR(__xludf.DUMMYFUNCTION("""COMPUTED_VALUE"""),4000)</f>
        <v>4000</v>
      </c>
      <c r="I430" s="80" t="str">
        <f ca="1">IFERROR(__xludf.DUMMYFUNCTION("""COMPUTED_VALUE"""),"Order rejected due to non-school email account")</f>
        <v>Order rejected due to non-school email account</v>
      </c>
    </row>
    <row r="431" spans="1:9" ht="13" x14ac:dyDescent="0.15">
      <c r="A431" s="5"/>
      <c r="B431" s="82">
        <f ca="1">IFERROR(__xludf.DUMMYFUNCTION("""COMPUTED_VALUE"""),44634.5710064236)</f>
        <v>44634.571006423597</v>
      </c>
      <c r="C431" s="79">
        <f ca="1">IFERROR(__xludf.DUMMYFUNCTION("""COMPUTED_VALUE"""),44634.6666666666)</f>
        <v>44634.666666666599</v>
      </c>
      <c r="D431" s="80" t="str">
        <f ca="1">IFERROR(__xludf.DUMMYFUNCTION("""COMPUTED_VALUE"""),"89750")</f>
        <v>89750</v>
      </c>
      <c r="E431" s="80" t="str">
        <f ca="1">IFERROR(__xludf.DUMMYFUNCTION("""COMPUTED_VALUE"""),"Stock")</f>
        <v>Stock</v>
      </c>
      <c r="F431" s="80" t="str">
        <f ca="1">IFERROR(__xludf.DUMMYFUNCTION("""COMPUTED_VALUE"""),"HKD")</f>
        <v>HKD</v>
      </c>
      <c r="G431" s="83" t="str">
        <f ca="1">IFERROR(__xludf.DUMMYFUNCTION("""COMPUTED_VALUE"""),"3690.HK")</f>
        <v>3690.HK</v>
      </c>
      <c r="H431" s="81">
        <f ca="1">IFERROR(__xludf.DUMMYFUNCTION("""COMPUTED_VALUE"""),500)</f>
        <v>500</v>
      </c>
      <c r="I431" s="80"/>
    </row>
    <row r="432" spans="1:9" ht="13" x14ac:dyDescent="0.15">
      <c r="A432" s="5"/>
      <c r="B432" s="82">
        <f ca="1">IFERROR(__xludf.DUMMYFUNCTION("""COMPUTED_VALUE"""),44634.5724399421)</f>
        <v>44634.572439942101</v>
      </c>
      <c r="C432" s="79">
        <f ca="1">IFERROR(__xludf.DUMMYFUNCTION("""COMPUTED_VALUE"""),44634.6666666666)</f>
        <v>44634.666666666599</v>
      </c>
      <c r="D432" s="80" t="str">
        <f ca="1">IFERROR(__xludf.DUMMYFUNCTION("""COMPUTED_VALUE"""),"89750")</f>
        <v>89750</v>
      </c>
      <c r="E432" s="80" t="str">
        <f ca="1">IFERROR(__xludf.DUMMYFUNCTION("""COMPUTED_VALUE"""),"Stock")</f>
        <v>Stock</v>
      </c>
      <c r="F432" s="80" t="str">
        <f ca="1">IFERROR(__xludf.DUMMYFUNCTION("""COMPUTED_VALUE"""),"HKD")</f>
        <v>HKD</v>
      </c>
      <c r="G432" s="83" t="str">
        <f ca="1">IFERROR(__xludf.DUMMYFUNCTION("""COMPUTED_VALUE"""),"0708.HK")</f>
        <v>0708.HK</v>
      </c>
      <c r="H432" s="81">
        <f ca="1">IFERROR(__xludf.DUMMYFUNCTION("""COMPUTED_VALUE"""),20000)</f>
        <v>20000</v>
      </c>
      <c r="I432" s="80"/>
    </row>
    <row r="433" spans="1:9" ht="13" x14ac:dyDescent="0.15">
      <c r="A433" s="5"/>
      <c r="B433" s="82">
        <f ca="1">IFERROR(__xludf.DUMMYFUNCTION("""COMPUTED_VALUE"""),44634.5861951504)</f>
        <v>44634.586195150398</v>
      </c>
      <c r="C433" s="79" t="str">
        <f ca="1">IFERROR(__xludf.DUMMYFUNCTION("""COMPUTED_VALUE"""),"")</f>
        <v/>
      </c>
      <c r="D433" s="80" t="str">
        <f ca="1">IFERROR(__xludf.DUMMYFUNCTION("""COMPUTED_VALUE"""),"56118")</f>
        <v>56118</v>
      </c>
      <c r="E433" s="80" t="str">
        <f ca="1">IFERROR(__xludf.DUMMYFUNCTION("""COMPUTED_VALUE"""),"Stock")</f>
        <v>Stock</v>
      </c>
      <c r="F433" s="80" t="str">
        <f ca="1">IFERROR(__xludf.DUMMYFUNCTION("""COMPUTED_VALUE"""),"error")</f>
        <v>error</v>
      </c>
      <c r="G433" s="78">
        <f ca="1">IFERROR(__xludf.DUMMYFUNCTION("""COMPUTED_VALUE"""),56118)</f>
        <v>56118</v>
      </c>
      <c r="H433" s="81">
        <f ca="1">IFERROR(__xludf.DUMMYFUNCTION("""COMPUTED_VALUE"""),2638)</f>
        <v>2638</v>
      </c>
      <c r="I433" s="80" t="str">
        <f ca="1">IFERROR(__xludf.DUMMYFUNCTION("""COMPUTED_VALUE"""),"Order rejected due to wrong ticker code.")</f>
        <v>Order rejected due to wrong ticker code.</v>
      </c>
    </row>
    <row r="434" spans="1:9" ht="13" x14ac:dyDescent="0.15">
      <c r="A434" s="5"/>
      <c r="B434" s="82">
        <f ca="1">IFERROR(__xludf.DUMMYFUNCTION("""COMPUTED_VALUE"""),44634.5878918055)</f>
        <v>44634.587891805502</v>
      </c>
      <c r="C434" s="79" t="str">
        <f ca="1">IFERROR(__xludf.DUMMYFUNCTION("""COMPUTED_VALUE"""),"")</f>
        <v/>
      </c>
      <c r="D434" s="80" t="str">
        <f ca="1">IFERROR(__xludf.DUMMYFUNCTION("""COMPUTED_VALUE"""),"56118")</f>
        <v>56118</v>
      </c>
      <c r="E434" s="80" t="str">
        <f ca="1">IFERROR(__xludf.DUMMYFUNCTION("""COMPUTED_VALUE"""),"Stock")</f>
        <v>Stock</v>
      </c>
      <c r="F434" s="80" t="str">
        <f ca="1">IFERROR(__xludf.DUMMYFUNCTION("""COMPUTED_VALUE"""),"error")</f>
        <v>error</v>
      </c>
      <c r="G434" s="78">
        <f ca="1">IFERROR(__xludf.DUMMYFUNCTION("""COMPUTED_VALUE"""),2638)</f>
        <v>2638</v>
      </c>
      <c r="H434" s="81">
        <f ca="1">IFERROR(__xludf.DUMMYFUNCTION("""COMPUTED_VALUE"""),200)</f>
        <v>200</v>
      </c>
      <c r="I434" s="80" t="str">
        <f ca="1">IFERROR(__xludf.DUMMYFUNCTION("""COMPUTED_VALUE"""),"Order rejected due to wrong ticker code.")</f>
        <v>Order rejected due to wrong ticker code.</v>
      </c>
    </row>
    <row r="435" spans="1:9" ht="13" x14ac:dyDescent="0.15">
      <c r="A435" s="5"/>
      <c r="B435" s="82">
        <f ca="1">IFERROR(__xludf.DUMMYFUNCTION("""COMPUTED_VALUE"""),44634.5985920486)</f>
        <v>44634.598592048598</v>
      </c>
      <c r="C435" s="79">
        <f ca="1">IFERROR(__xludf.DUMMYFUNCTION("""COMPUTED_VALUE"""),44634.6666666666)</f>
        <v>44634.666666666599</v>
      </c>
      <c r="D435" s="80" t="str">
        <f ca="1">IFERROR(__xludf.DUMMYFUNCTION("""COMPUTED_VALUE"""),"46699")</f>
        <v>46699</v>
      </c>
      <c r="E435" s="80" t="str">
        <f ca="1">IFERROR(__xludf.DUMMYFUNCTION("""COMPUTED_VALUE"""),"Stock")</f>
        <v>Stock</v>
      </c>
      <c r="F435" s="80" t="str">
        <f ca="1">IFERROR(__xludf.DUMMYFUNCTION("""COMPUTED_VALUE"""),"USD")</f>
        <v>USD</v>
      </c>
      <c r="G435" s="78" t="str">
        <f ca="1">IFERROR(__xludf.DUMMYFUNCTION("""COMPUTED_VALUE"""),"KO")</f>
        <v>KO</v>
      </c>
      <c r="H435" s="81">
        <f ca="1">IFERROR(__xludf.DUMMYFUNCTION("""COMPUTED_VALUE"""),5)</f>
        <v>5</v>
      </c>
      <c r="I435" s="80" t="str">
        <f ca="1">IFERROR(__xludf.DUMMYFUNCTION("""COMPUTED_VALUE"""),"Order rejected due to wrong password.")</f>
        <v>Order rejected due to wrong password.</v>
      </c>
    </row>
    <row r="436" spans="1:9" ht="13" x14ac:dyDescent="0.15">
      <c r="A436" s="5"/>
      <c r="B436" s="82">
        <f ca="1">IFERROR(__xludf.DUMMYFUNCTION("""COMPUTED_VALUE"""),44634.5986251273)</f>
        <v>44634.598625127299</v>
      </c>
      <c r="C436" s="79">
        <f ca="1">IFERROR(__xludf.DUMMYFUNCTION("""COMPUTED_VALUE"""),44634.6666666666)</f>
        <v>44634.666666666599</v>
      </c>
      <c r="D436" s="80" t="str">
        <f ca="1">IFERROR(__xludf.DUMMYFUNCTION("""COMPUTED_VALUE"""),"46876")</f>
        <v>46876</v>
      </c>
      <c r="E436" s="80" t="str">
        <f ca="1">IFERROR(__xludf.DUMMYFUNCTION("""COMPUTED_VALUE"""),"Stock")</f>
        <v>Stock</v>
      </c>
      <c r="F436" s="80" t="str">
        <f ca="1">IFERROR(__xludf.DUMMYFUNCTION("""COMPUTED_VALUE"""),"HKD")</f>
        <v>HKD</v>
      </c>
      <c r="G436" s="83" t="str">
        <f ca="1">IFERROR(__xludf.DUMMYFUNCTION("""COMPUTED_VALUE"""),"1898.HK")</f>
        <v>1898.HK</v>
      </c>
      <c r="H436" s="81">
        <f ca="1">IFERROR(__xludf.DUMMYFUNCTION("""COMPUTED_VALUE"""),55000)</f>
        <v>55000</v>
      </c>
      <c r="I436" s="80"/>
    </row>
    <row r="437" spans="1:9" ht="13" x14ac:dyDescent="0.15">
      <c r="A437" s="5"/>
      <c r="B437" s="82">
        <f ca="1">IFERROR(__xludf.DUMMYFUNCTION("""COMPUTED_VALUE"""),44634.5992071643)</f>
        <v>44634.599207164298</v>
      </c>
      <c r="C437" s="79" t="str">
        <f ca="1">IFERROR(__xludf.DUMMYFUNCTION("""COMPUTED_VALUE"""),"")</f>
        <v/>
      </c>
      <c r="D437" s="80" t="str">
        <f ca="1">IFERROR(__xludf.DUMMYFUNCTION("""COMPUTED_VALUE"""),"40105")</f>
        <v>40105</v>
      </c>
      <c r="E437" s="80" t="str">
        <f ca="1">IFERROR(__xludf.DUMMYFUNCTION("""COMPUTED_VALUE"""),"Stock")</f>
        <v>Stock</v>
      </c>
      <c r="F437" s="80" t="str">
        <f ca="1">IFERROR(__xludf.DUMMYFUNCTION("""COMPUTED_VALUE"""),"error")</f>
        <v>error</v>
      </c>
      <c r="G437" s="78" t="str">
        <f ca="1">IFERROR(__xludf.DUMMYFUNCTION("""COMPUTED_VALUE"""),"S&amp;P 500")</f>
        <v>S&amp;P 500</v>
      </c>
      <c r="H437" s="81">
        <f ca="1">IFERROR(__xludf.DUMMYFUNCTION("""COMPUTED_VALUE"""),10)</f>
        <v>10</v>
      </c>
      <c r="I437" s="80" t="str">
        <f ca="1">IFERROR(__xludf.DUMMYFUNCTION("""COMPUTED_VALUE"""),"Order rejected due to wrong ticker code.")</f>
        <v>Order rejected due to wrong ticker code.</v>
      </c>
    </row>
    <row r="438" spans="1:9" ht="13" x14ac:dyDescent="0.15">
      <c r="A438" s="5"/>
      <c r="B438" s="82">
        <f ca="1">IFERROR(__xludf.DUMMYFUNCTION("""COMPUTED_VALUE"""),44634.600096655)</f>
        <v>44634.600096654998</v>
      </c>
      <c r="C438" s="79">
        <f ca="1">IFERROR(__xludf.DUMMYFUNCTION("""COMPUTED_VALUE"""),44634.6666666666)</f>
        <v>44634.666666666599</v>
      </c>
      <c r="D438" s="80" t="str">
        <f ca="1">IFERROR(__xludf.DUMMYFUNCTION("""COMPUTED_VALUE"""),"36903")</f>
        <v>36903</v>
      </c>
      <c r="E438" s="80" t="str">
        <f ca="1">IFERROR(__xludf.DUMMYFUNCTION("""COMPUTED_VALUE"""),"Stock")</f>
        <v>Stock</v>
      </c>
      <c r="F438" s="80" t="str">
        <f ca="1">IFERROR(__xludf.DUMMYFUNCTION("""COMPUTED_VALUE"""),"HKD")</f>
        <v>HKD</v>
      </c>
      <c r="G438" s="83" t="str">
        <f ca="1">IFERROR(__xludf.DUMMYFUNCTION("""COMPUTED_VALUE"""),"0388.HK")</f>
        <v>0388.HK</v>
      </c>
      <c r="H438" s="81">
        <f ca="1">IFERROR(__xludf.DUMMYFUNCTION("""COMPUTED_VALUE"""),100)</f>
        <v>100</v>
      </c>
      <c r="I438" s="80"/>
    </row>
    <row r="439" spans="1:9" ht="13" x14ac:dyDescent="0.15">
      <c r="A439" s="5"/>
      <c r="B439" s="82">
        <f ca="1">IFERROR(__xludf.DUMMYFUNCTION("""COMPUTED_VALUE"""),44634.6028417939)</f>
        <v>44634.602841793901</v>
      </c>
      <c r="C439" s="79">
        <f ca="1">IFERROR(__xludf.DUMMYFUNCTION("""COMPUTED_VALUE"""),44634.6666666666)</f>
        <v>44634.666666666599</v>
      </c>
      <c r="D439" s="80" t="str">
        <f ca="1">IFERROR(__xludf.DUMMYFUNCTION("""COMPUTED_VALUE"""),"46220")</f>
        <v>46220</v>
      </c>
      <c r="E439" s="80" t="str">
        <f ca="1">IFERROR(__xludf.DUMMYFUNCTION("""COMPUTED_VALUE"""),"Stock")</f>
        <v>Stock</v>
      </c>
      <c r="F439" s="80" t="str">
        <f ca="1">IFERROR(__xludf.DUMMYFUNCTION("""COMPUTED_VALUE"""),"USD")</f>
        <v>USD</v>
      </c>
      <c r="G439" s="78" t="str">
        <f ca="1">IFERROR(__xludf.DUMMYFUNCTION("""COMPUTED_VALUE"""),"GC=F")</f>
        <v>GC=F</v>
      </c>
      <c r="H439" s="81">
        <f ca="1">IFERROR(__xludf.DUMMYFUNCTION("""COMPUTED_VALUE"""),10)</f>
        <v>10</v>
      </c>
      <c r="I439" s="80"/>
    </row>
    <row r="440" spans="1:9" ht="13" x14ac:dyDescent="0.15">
      <c r="A440" s="5"/>
      <c r="B440" s="82">
        <f ca="1">IFERROR(__xludf.DUMMYFUNCTION("""COMPUTED_VALUE"""),44634.6130451504)</f>
        <v>44634.6130451504</v>
      </c>
      <c r="C440" s="79" t="str">
        <f ca="1">IFERROR(__xludf.DUMMYFUNCTION("""COMPUTED_VALUE"""),"")</f>
        <v/>
      </c>
      <c r="D440" s="80" t="str">
        <f ca="1">IFERROR(__xludf.DUMMYFUNCTION("""COMPUTED_VALUE"""),"39494")</f>
        <v>39494</v>
      </c>
      <c r="E440" s="80" t="str">
        <f ca="1">IFERROR(__xludf.DUMMYFUNCTION("""COMPUTED_VALUE"""),"Stock")</f>
        <v>Stock</v>
      </c>
      <c r="F440" s="80" t="str">
        <f ca="1">IFERROR(__xludf.DUMMYFUNCTION("""COMPUTED_VALUE"""),"error")</f>
        <v>error</v>
      </c>
      <c r="G440" s="78" t="str">
        <f ca="1">IFERROR(__xludf.DUMMYFUNCTION("""COMPUTED_VALUE"""),"SONY")</f>
        <v>SONY</v>
      </c>
      <c r="H440" s="81" t="str">
        <f ca="1">IFERROR(__xludf.DUMMYFUNCTION("""COMPUTED_VALUE"""),"all")</f>
        <v>all</v>
      </c>
      <c r="I440" s="80" t="str">
        <f ca="1">IFERROR(__xludf.DUMMYFUNCTION("""COMPUTED_VALUE"""),"Order rejected due to wrong quantity. Has to be a number, not ""ALL"".")</f>
        <v>Order rejected due to wrong quantity. Has to be a number, not "ALL".</v>
      </c>
    </row>
    <row r="441" spans="1:9" ht="13" x14ac:dyDescent="0.15">
      <c r="A441" s="5"/>
      <c r="B441" s="82">
        <f ca="1">IFERROR(__xludf.DUMMYFUNCTION("""COMPUTED_VALUE"""),44634.6134093981)</f>
        <v>44634.613409398102</v>
      </c>
      <c r="C441" s="79" t="str">
        <f ca="1">IFERROR(__xludf.DUMMYFUNCTION("""COMPUTED_VALUE"""),"")</f>
        <v/>
      </c>
      <c r="D441" s="80" t="str">
        <f ca="1">IFERROR(__xludf.DUMMYFUNCTION("""COMPUTED_VALUE"""),"39494")</f>
        <v>39494</v>
      </c>
      <c r="E441" s="80" t="str">
        <f ca="1">IFERROR(__xludf.DUMMYFUNCTION("""COMPUTED_VALUE"""),"Stock")</f>
        <v>Stock</v>
      </c>
      <c r="F441" s="80" t="str">
        <f ca="1">IFERROR(__xludf.DUMMYFUNCTION("""COMPUTED_VALUE"""),"error")</f>
        <v>error</v>
      </c>
      <c r="G441" s="78" t="str">
        <f ca="1">IFERROR(__xludf.DUMMYFUNCTION("""COMPUTED_VALUE"""),"MSFT")</f>
        <v>MSFT</v>
      </c>
      <c r="H441" s="81" t="str">
        <f ca="1">IFERROR(__xludf.DUMMYFUNCTION("""COMPUTED_VALUE"""),"all")</f>
        <v>all</v>
      </c>
      <c r="I441" s="80" t="str">
        <f ca="1">IFERROR(__xludf.DUMMYFUNCTION("""COMPUTED_VALUE"""),"Order rejected due to wrong quantity. Has to be a number, not ""ALL"".")</f>
        <v>Order rejected due to wrong quantity. Has to be a number, not "ALL".</v>
      </c>
    </row>
    <row r="442" spans="1:9" ht="13" x14ac:dyDescent="0.15">
      <c r="A442" s="5"/>
      <c r="B442" s="82">
        <f ca="1">IFERROR(__xludf.DUMMYFUNCTION("""COMPUTED_VALUE"""),44634.613757581)</f>
        <v>44634.613757580999</v>
      </c>
      <c r="C442" s="79" t="str">
        <f ca="1">IFERROR(__xludf.DUMMYFUNCTION("""COMPUTED_VALUE"""),"")</f>
        <v/>
      </c>
      <c r="D442" s="80" t="str">
        <f ca="1">IFERROR(__xludf.DUMMYFUNCTION("""COMPUTED_VALUE"""),"39494")</f>
        <v>39494</v>
      </c>
      <c r="E442" s="80" t="str">
        <f ca="1">IFERROR(__xludf.DUMMYFUNCTION("""COMPUTED_VALUE"""),"Stock")</f>
        <v>Stock</v>
      </c>
      <c r="F442" s="80" t="str">
        <f ca="1">IFERROR(__xludf.DUMMYFUNCTION("""COMPUTED_VALUE"""),"error")</f>
        <v>error</v>
      </c>
      <c r="G442" s="78" t="str">
        <f ca="1">IFERROR(__xludf.DUMMYFUNCTION("""COMPUTED_VALUE"""),"NTDOY")</f>
        <v>NTDOY</v>
      </c>
      <c r="H442" s="81" t="str">
        <f ca="1">IFERROR(__xludf.DUMMYFUNCTION("""COMPUTED_VALUE"""),"all")</f>
        <v>all</v>
      </c>
      <c r="I442" s="80" t="str">
        <f ca="1">IFERROR(__xludf.DUMMYFUNCTION("""COMPUTED_VALUE"""),"Order rejected due to wrong quantity. Has to be a number, not ""ALL"".")</f>
        <v>Order rejected due to wrong quantity. Has to be a number, not "ALL".</v>
      </c>
    </row>
    <row r="443" spans="1:9" ht="13" x14ac:dyDescent="0.15">
      <c r="A443" s="5"/>
      <c r="B443" s="82">
        <f ca="1">IFERROR(__xludf.DUMMYFUNCTION("""COMPUTED_VALUE"""),44634.6163617592)</f>
        <v>44634.616361759203</v>
      </c>
      <c r="C443" s="79" t="str">
        <f ca="1">IFERROR(__xludf.DUMMYFUNCTION("""COMPUTED_VALUE"""),"")</f>
        <v/>
      </c>
      <c r="D443" s="80" t="str">
        <f ca="1">IFERROR(__xludf.DUMMYFUNCTION("""COMPUTED_VALUE"""),"38307")</f>
        <v>38307</v>
      </c>
      <c r="E443" s="80" t="str">
        <f ca="1">IFERROR(__xludf.DUMMYFUNCTION("""COMPUTED_VALUE"""),"Stock")</f>
        <v>Stock</v>
      </c>
      <c r="F443" s="80" t="str">
        <f ca="1">IFERROR(__xludf.DUMMYFUNCTION("""COMPUTED_VALUE"""),"error")</f>
        <v>error</v>
      </c>
      <c r="G443" s="78" t="str">
        <f ca="1">IFERROR(__xludf.DUMMYFUNCTION("""COMPUTED_VALUE"""),"000999")</f>
        <v>000999</v>
      </c>
      <c r="H443" s="81">
        <f ca="1">IFERROR(__xludf.DUMMYFUNCTION("""COMPUTED_VALUE"""),2000)</f>
        <v>2000</v>
      </c>
      <c r="I443" s="80" t="str">
        <f ca="1">IFERROR(__xludf.DUMMYFUNCTION("""COMPUTED_VALUE"""),"Order rejected due to wrong ticker code.")</f>
        <v>Order rejected due to wrong ticker code.</v>
      </c>
    </row>
    <row r="444" spans="1:9" ht="13" x14ac:dyDescent="0.15">
      <c r="A444" s="5"/>
      <c r="B444" s="82">
        <f ca="1">IFERROR(__xludf.DUMMYFUNCTION("""COMPUTED_VALUE"""),44634.6173739699)</f>
        <v>44634.617373969901</v>
      </c>
      <c r="C444" s="79" t="str">
        <f ca="1">IFERROR(__xludf.DUMMYFUNCTION("""COMPUTED_VALUE"""),"")</f>
        <v/>
      </c>
      <c r="D444" s="80" t="str">
        <f ca="1">IFERROR(__xludf.DUMMYFUNCTION("""COMPUTED_VALUE"""),"38307")</f>
        <v>38307</v>
      </c>
      <c r="E444" s="80" t="str">
        <f ca="1">IFERROR(__xludf.DUMMYFUNCTION("""COMPUTED_VALUE"""),"Stock")</f>
        <v>Stock</v>
      </c>
      <c r="F444" s="80" t="str">
        <f ca="1">IFERROR(__xludf.DUMMYFUNCTION("""COMPUTED_VALUE"""),"error")</f>
        <v>error</v>
      </c>
      <c r="G444" s="78" t="str">
        <f ca="1">IFERROR(__xludf.DUMMYFUNCTION("""COMPUTED_VALUE"""),"002104")</f>
        <v>002104</v>
      </c>
      <c r="H444" s="81">
        <f ca="1">IFERROR(__xludf.DUMMYFUNCTION("""COMPUTED_VALUE"""),2000)</f>
        <v>2000</v>
      </c>
      <c r="I444" s="80" t="str">
        <f ca="1">IFERROR(__xludf.DUMMYFUNCTION("""COMPUTED_VALUE"""),"Order rejected due to wrong ticker code.")</f>
        <v>Order rejected due to wrong ticker code.</v>
      </c>
    </row>
    <row r="445" spans="1:9" ht="13" x14ac:dyDescent="0.15">
      <c r="A445" s="5"/>
      <c r="B445" s="82">
        <f ca="1">IFERROR(__xludf.DUMMYFUNCTION("""COMPUTED_VALUE"""),44634.621428206)</f>
        <v>44634.621428206003</v>
      </c>
      <c r="C445" s="79" t="str">
        <f ca="1">IFERROR(__xludf.DUMMYFUNCTION("""COMPUTED_VALUE"""),"")</f>
        <v/>
      </c>
      <c r="D445" s="80" t="str">
        <f ca="1">IFERROR(__xludf.DUMMYFUNCTION("""COMPUTED_VALUE"""),"38307")</f>
        <v>38307</v>
      </c>
      <c r="E445" s="80" t="str">
        <f ca="1">IFERROR(__xludf.DUMMYFUNCTION("""COMPUTED_VALUE"""),"Stock")</f>
        <v>Stock</v>
      </c>
      <c r="F445" s="80" t="str">
        <f ca="1">IFERROR(__xludf.DUMMYFUNCTION("""COMPUTED_VALUE"""),"error")</f>
        <v>error</v>
      </c>
      <c r="G445" s="78" t="str">
        <f ca="1">IFERROR(__xludf.DUMMYFUNCTION("""COMPUTED_VALUE"""),"HK0981")</f>
        <v>HK0981</v>
      </c>
      <c r="H445" s="81">
        <f ca="1">IFERROR(__xludf.DUMMYFUNCTION("""COMPUTED_VALUE"""),2000)</f>
        <v>2000</v>
      </c>
      <c r="I445" s="80" t="str">
        <f ca="1">IFERROR(__xludf.DUMMYFUNCTION("""COMPUTED_VALUE"""),"Order rejected due to wrong ticker code.")</f>
        <v>Order rejected due to wrong ticker code.</v>
      </c>
    </row>
    <row r="446" spans="1:9" ht="13" x14ac:dyDescent="0.15">
      <c r="A446" s="5"/>
      <c r="B446" s="82">
        <f ca="1">IFERROR(__xludf.DUMMYFUNCTION("""COMPUTED_VALUE"""),44634.6235163773)</f>
        <v>44634.623516377302</v>
      </c>
      <c r="C446" s="79" t="str">
        <f ca="1">IFERROR(__xludf.DUMMYFUNCTION("""COMPUTED_VALUE"""),"")</f>
        <v/>
      </c>
      <c r="D446" s="80" t="str">
        <f ca="1">IFERROR(__xludf.DUMMYFUNCTION("""COMPUTED_VALUE"""),"38307")</f>
        <v>38307</v>
      </c>
      <c r="E446" s="80" t="str">
        <f ca="1">IFERROR(__xludf.DUMMYFUNCTION("""COMPUTED_VALUE"""),"Stock")</f>
        <v>Stock</v>
      </c>
      <c r="F446" s="80" t="str">
        <f ca="1">IFERROR(__xludf.DUMMYFUNCTION("""COMPUTED_VALUE"""),"error")</f>
        <v>error</v>
      </c>
      <c r="G446" s="78" t="str">
        <f ca="1">IFERROR(__xludf.DUMMYFUNCTION("""COMPUTED_VALUE"""),"002603")</f>
        <v>002603</v>
      </c>
      <c r="H446" s="81">
        <f ca="1">IFERROR(__xludf.DUMMYFUNCTION("""COMPUTED_VALUE"""),3000)</f>
        <v>3000</v>
      </c>
      <c r="I446" s="80" t="str">
        <f ca="1">IFERROR(__xludf.DUMMYFUNCTION("""COMPUTED_VALUE"""),"Order rejected due to wrong ticker code.")</f>
        <v>Order rejected due to wrong ticker code.</v>
      </c>
    </row>
    <row r="447" spans="1:9" ht="13" x14ac:dyDescent="0.15">
      <c r="A447" s="5"/>
      <c r="B447" s="82">
        <f ca="1">IFERROR(__xludf.DUMMYFUNCTION("""COMPUTED_VALUE"""),44634.6251927662)</f>
        <v>44634.625192766202</v>
      </c>
      <c r="C447" s="79">
        <f ca="1">IFERROR(__xludf.DUMMYFUNCTION("""COMPUTED_VALUE"""),44634.6666666666)</f>
        <v>44634.666666666599</v>
      </c>
      <c r="D447" s="80" t="str">
        <f ca="1">IFERROR(__xludf.DUMMYFUNCTION("""COMPUTED_VALUE"""),"38307")</f>
        <v>38307</v>
      </c>
      <c r="E447" s="80" t="str">
        <f ca="1">IFERROR(__xludf.DUMMYFUNCTION("""COMPUTED_VALUE"""),"Stock")</f>
        <v>Stock</v>
      </c>
      <c r="F447" s="80" t="str">
        <f ca="1">IFERROR(__xludf.DUMMYFUNCTION("""COMPUTED_VALUE"""),"USD")</f>
        <v>USD</v>
      </c>
      <c r="G447" s="78" t="str">
        <f ca="1">IFERROR(__xludf.DUMMYFUNCTION("""COMPUTED_VALUE"""),"PFE")</f>
        <v>PFE</v>
      </c>
      <c r="H447" s="81">
        <f ca="1">IFERROR(__xludf.DUMMYFUNCTION("""COMPUTED_VALUE"""),500)</f>
        <v>500</v>
      </c>
      <c r="I447" s="80"/>
    </row>
    <row r="448" spans="1:9" ht="13" x14ac:dyDescent="0.15">
      <c r="A448" s="5"/>
      <c r="B448" s="82">
        <f ca="1">IFERROR(__xludf.DUMMYFUNCTION("""COMPUTED_VALUE"""),44634.6278713194)</f>
        <v>44634.627871319397</v>
      </c>
      <c r="C448" s="79" t="str">
        <f ca="1">IFERROR(__xludf.DUMMYFUNCTION("""COMPUTED_VALUE"""),"")</f>
        <v/>
      </c>
      <c r="D448" s="80" t="str">
        <f ca="1">IFERROR(__xludf.DUMMYFUNCTION("""COMPUTED_VALUE"""),"38307")</f>
        <v>38307</v>
      </c>
      <c r="E448" s="80" t="str">
        <f ca="1">IFERROR(__xludf.DUMMYFUNCTION("""COMPUTED_VALUE"""),"Stock")</f>
        <v>Stock</v>
      </c>
      <c r="F448" s="80" t="str">
        <f ca="1">IFERROR(__xludf.DUMMYFUNCTION("""COMPUTED_VALUE"""),"error")</f>
        <v>error</v>
      </c>
      <c r="G448" s="78">
        <f ca="1">IFERROR(__xludf.DUMMYFUNCTION("""COMPUTED_VALUE"""),688575)</f>
        <v>688575</v>
      </c>
      <c r="H448" s="81">
        <f ca="1">IFERROR(__xludf.DUMMYFUNCTION("""COMPUTED_VALUE"""),1500)</f>
        <v>1500</v>
      </c>
      <c r="I448" s="80" t="str">
        <f ca="1">IFERROR(__xludf.DUMMYFUNCTION("""COMPUTED_VALUE"""),"Order rejected due to wrong ticker code.")</f>
        <v>Order rejected due to wrong ticker code.</v>
      </c>
    </row>
    <row r="449" spans="1:9" ht="13" x14ac:dyDescent="0.15">
      <c r="A449" s="5"/>
      <c r="B449" s="82">
        <f ca="1">IFERROR(__xludf.DUMMYFUNCTION("""COMPUTED_VALUE"""),44634.6456836226)</f>
        <v>44634.645683622599</v>
      </c>
      <c r="C449" s="79">
        <f ca="1">IFERROR(__xludf.DUMMYFUNCTION("""COMPUTED_VALUE"""),44634.6666666666)</f>
        <v>44634.666666666599</v>
      </c>
      <c r="D449" s="80" t="str">
        <f ca="1">IFERROR(__xludf.DUMMYFUNCTION("""COMPUTED_VALUE"""),"75415")</f>
        <v>75415</v>
      </c>
      <c r="E449" s="80" t="str">
        <f ca="1">IFERROR(__xludf.DUMMYFUNCTION("""COMPUTED_VALUE"""),"Stock")</f>
        <v>Stock</v>
      </c>
      <c r="F449" s="80" t="str">
        <f ca="1">IFERROR(__xludf.DUMMYFUNCTION("""COMPUTED_VALUE"""),"USD")</f>
        <v>USD</v>
      </c>
      <c r="G449" s="78" t="str">
        <f ca="1">IFERROR(__xludf.DUMMYFUNCTION("""COMPUTED_VALUE"""),"GBTC")</f>
        <v>GBTC</v>
      </c>
      <c r="H449" s="81">
        <f ca="1">IFERROR(__xludf.DUMMYFUNCTION("""COMPUTED_VALUE"""),415)</f>
        <v>415</v>
      </c>
      <c r="I449" s="80"/>
    </row>
    <row r="450" spans="1:9" ht="13" x14ac:dyDescent="0.15">
      <c r="A450" s="5"/>
      <c r="B450" s="82">
        <f ca="1">IFERROR(__xludf.DUMMYFUNCTION("""COMPUTED_VALUE"""),44634.6482234027)</f>
        <v>44634.648223402699</v>
      </c>
      <c r="C450" s="79">
        <f ca="1">IFERROR(__xludf.DUMMYFUNCTION("""COMPUTED_VALUE"""),44634.6666666666)</f>
        <v>44634.666666666599</v>
      </c>
      <c r="D450" s="80" t="str">
        <f ca="1">IFERROR(__xludf.DUMMYFUNCTION("""COMPUTED_VALUE"""),"75415")</f>
        <v>75415</v>
      </c>
      <c r="E450" s="80" t="str">
        <f ca="1">IFERROR(__xludf.DUMMYFUNCTION("""COMPUTED_VALUE"""),"Stock")</f>
        <v>Stock</v>
      </c>
      <c r="F450" s="80" t="str">
        <f ca="1">IFERROR(__xludf.DUMMYFUNCTION("""COMPUTED_VALUE"""),"USD")</f>
        <v>USD</v>
      </c>
      <c r="G450" s="78" t="str">
        <f ca="1">IFERROR(__xludf.DUMMYFUNCTION("""COMPUTED_VALUE"""),"f")</f>
        <v>f</v>
      </c>
      <c r="H450" s="81">
        <f ca="1">IFERROR(__xludf.DUMMYFUNCTION("""COMPUTED_VALUE"""),2850)</f>
        <v>2850</v>
      </c>
      <c r="I450" s="80"/>
    </row>
    <row r="451" spans="1:9" ht="13" x14ac:dyDescent="0.15">
      <c r="A451" s="5"/>
      <c r="B451" s="82">
        <f ca="1">IFERROR(__xludf.DUMMYFUNCTION("""COMPUTED_VALUE"""),44634.6661235995)</f>
        <v>44634.666123599498</v>
      </c>
      <c r="C451" s="79">
        <f ca="1">IFERROR(__xludf.DUMMYFUNCTION("""COMPUTED_VALUE"""),44634.6666666666)</f>
        <v>44634.666666666599</v>
      </c>
      <c r="D451" s="80" t="str">
        <f ca="1">IFERROR(__xludf.DUMMYFUNCTION("""COMPUTED_VALUE"""),"46975")</f>
        <v>46975</v>
      </c>
      <c r="E451" s="80" t="str">
        <f ca="1">IFERROR(__xludf.DUMMYFUNCTION("""COMPUTED_VALUE"""),"Stock")</f>
        <v>Stock</v>
      </c>
      <c r="F451" s="80" t="str">
        <f ca="1">IFERROR(__xludf.DUMMYFUNCTION("""COMPUTED_VALUE"""),"HKD")</f>
        <v>HKD</v>
      </c>
      <c r="G451" s="83" t="str">
        <f ca="1">IFERROR(__xludf.DUMMYFUNCTION("""COMPUTED_VALUE"""),"6862.HK")</f>
        <v>6862.HK</v>
      </c>
      <c r="H451" s="81">
        <f ca="1">IFERROR(__xludf.DUMMYFUNCTION("""COMPUTED_VALUE"""),100)</f>
        <v>100</v>
      </c>
      <c r="I451" s="80"/>
    </row>
    <row r="452" spans="1:9" ht="13" x14ac:dyDescent="0.15">
      <c r="A452" s="5"/>
      <c r="B452" s="82">
        <f ca="1">IFERROR(__xludf.DUMMYFUNCTION("""COMPUTED_VALUE"""),44634.6896230439)</f>
        <v>44634.689623043902</v>
      </c>
      <c r="C452" s="79">
        <f ca="1">IFERROR(__xludf.DUMMYFUNCTION("""COMPUTED_VALUE"""),44634.6666666666)</f>
        <v>44634.666666666599</v>
      </c>
      <c r="D452" s="80" t="str">
        <f ca="1">IFERROR(__xludf.DUMMYFUNCTION("""COMPUTED_VALUE"""),"89750")</f>
        <v>89750</v>
      </c>
      <c r="E452" s="80" t="str">
        <f ca="1">IFERROR(__xludf.DUMMYFUNCTION("""COMPUTED_VALUE"""),"Stock")</f>
        <v>Stock</v>
      </c>
      <c r="F452" s="80" t="str">
        <f ca="1">IFERROR(__xludf.DUMMYFUNCTION("""COMPUTED_VALUE"""),"USD")</f>
        <v>USD</v>
      </c>
      <c r="G452" s="78" t="str">
        <f ca="1">IFERROR(__xludf.DUMMYFUNCTION("""COMPUTED_VALUE"""),"TCEHY")</f>
        <v>TCEHY</v>
      </c>
      <c r="H452" s="81">
        <f ca="1">IFERROR(__xludf.DUMMYFUNCTION("""COMPUTED_VALUE"""),100)</f>
        <v>100</v>
      </c>
      <c r="I452" s="80"/>
    </row>
    <row r="453" spans="1:9" ht="13" x14ac:dyDescent="0.15">
      <c r="A453" s="5"/>
      <c r="B453" s="82">
        <f ca="1">IFERROR(__xludf.DUMMYFUNCTION("""COMPUTED_VALUE"""),44634.7090407407)</f>
        <v>44634.709040740701</v>
      </c>
      <c r="C453" s="79">
        <f ca="1">IFERROR(__xludf.DUMMYFUNCTION("""COMPUTED_VALUE"""),44634.6666666666)</f>
        <v>44634.666666666599</v>
      </c>
      <c r="D453" s="80" t="str">
        <f ca="1">IFERROR(__xludf.DUMMYFUNCTION("""COMPUTED_VALUE"""),"39441")</f>
        <v>39441</v>
      </c>
      <c r="E453" s="80" t="str">
        <f ca="1">IFERROR(__xludf.DUMMYFUNCTION("""COMPUTED_VALUE"""),"Stock")</f>
        <v>Stock</v>
      </c>
      <c r="F453" s="80" t="str">
        <f ca="1">IFERROR(__xludf.DUMMYFUNCTION("""COMPUTED_VALUE"""),"USD")</f>
        <v>USD</v>
      </c>
      <c r="G453" s="78" t="str">
        <f ca="1">IFERROR(__xludf.DUMMYFUNCTION("""COMPUTED_VALUE"""),"AMZN")</f>
        <v>AMZN</v>
      </c>
      <c r="H453" s="81">
        <f ca="1">IFERROR(__xludf.DUMMYFUNCTION("""COMPUTED_VALUE"""),5)</f>
        <v>5</v>
      </c>
      <c r="I453" s="80"/>
    </row>
    <row r="454" spans="1:9" ht="13" x14ac:dyDescent="0.15">
      <c r="A454" s="5"/>
      <c r="B454" s="82">
        <f ca="1">IFERROR(__xludf.DUMMYFUNCTION("""COMPUTED_VALUE"""),44634.7106278472)</f>
        <v>44634.710627847198</v>
      </c>
      <c r="C454" s="79">
        <f ca="1">IFERROR(__xludf.DUMMYFUNCTION("""COMPUTED_VALUE"""),44634.6666666666)</f>
        <v>44634.666666666599</v>
      </c>
      <c r="D454" s="80" t="str">
        <f ca="1">IFERROR(__xludf.DUMMYFUNCTION("""COMPUTED_VALUE"""),"39441")</f>
        <v>39441</v>
      </c>
      <c r="E454" s="80" t="str">
        <f ca="1">IFERROR(__xludf.DUMMYFUNCTION("""COMPUTED_VALUE"""),"Stock")</f>
        <v>Stock</v>
      </c>
      <c r="F454" s="80" t="str">
        <f ca="1">IFERROR(__xludf.DUMMYFUNCTION("""COMPUTED_VALUE"""),"USD")</f>
        <v>USD</v>
      </c>
      <c r="G454" s="78" t="str">
        <f ca="1">IFERROR(__xludf.DUMMYFUNCTION("""COMPUTED_VALUE"""),"BABA")</f>
        <v>BABA</v>
      </c>
      <c r="H454" s="81">
        <f ca="1">IFERROR(__xludf.DUMMYFUNCTION("""COMPUTED_VALUE"""),20)</f>
        <v>20</v>
      </c>
      <c r="I454" s="80"/>
    </row>
    <row r="455" spans="1:9" ht="13" x14ac:dyDescent="0.15">
      <c r="A455" s="5"/>
      <c r="B455" s="82">
        <f ca="1">IFERROR(__xludf.DUMMYFUNCTION("""COMPUTED_VALUE"""),44634.7161679629)</f>
        <v>44634.716167962899</v>
      </c>
      <c r="C455" s="79">
        <f ca="1">IFERROR(__xludf.DUMMYFUNCTION("""COMPUTED_VALUE"""),44635.6666666666)</f>
        <v>44635.666666666599</v>
      </c>
      <c r="D455" s="80" t="str">
        <f ca="1">IFERROR(__xludf.DUMMYFUNCTION("""COMPUTED_VALUE"""),"39441")</f>
        <v>39441</v>
      </c>
      <c r="E455" s="80" t="str">
        <f ca="1">IFERROR(__xludf.DUMMYFUNCTION("""COMPUTED_VALUE"""),"Stock")</f>
        <v>Stock</v>
      </c>
      <c r="F455" s="80" t="str">
        <f ca="1">IFERROR(__xludf.DUMMYFUNCTION("""COMPUTED_VALUE"""),"HKD")</f>
        <v>HKD</v>
      </c>
      <c r="G455" s="83" t="str">
        <f ca="1">IFERROR(__xludf.DUMMYFUNCTION("""COMPUTED_VALUE"""),"0070.HK")</f>
        <v>0070.HK</v>
      </c>
      <c r="H455" s="81">
        <f ca="1">IFERROR(__xludf.DUMMYFUNCTION("""COMPUTED_VALUE"""),100)</f>
        <v>100</v>
      </c>
      <c r="I455" s="80"/>
    </row>
    <row r="456" spans="1:9" ht="13" x14ac:dyDescent="0.15">
      <c r="A456" s="5"/>
      <c r="B456" s="82">
        <f ca="1">IFERROR(__xludf.DUMMYFUNCTION("""COMPUTED_VALUE"""),44634.7475615393)</f>
        <v>44634.747561539298</v>
      </c>
      <c r="C456" s="79" t="str">
        <f ca="1">IFERROR(__xludf.DUMMYFUNCTION("""COMPUTED_VALUE"""),"")</f>
        <v/>
      </c>
      <c r="D456" s="80" t="str">
        <f ca="1">IFERROR(__xludf.DUMMYFUNCTION("""COMPUTED_VALUE"""),"75369")</f>
        <v>75369</v>
      </c>
      <c r="E456" s="80" t="str">
        <f ca="1">IFERROR(__xludf.DUMMYFUNCTION("""COMPUTED_VALUE"""),"Stock")</f>
        <v>Stock</v>
      </c>
      <c r="F456" s="80" t="str">
        <f ca="1">IFERROR(__xludf.DUMMYFUNCTION("""COMPUTED_VALUE"""),"error")</f>
        <v>error</v>
      </c>
      <c r="G456" s="78">
        <f ca="1">IFERROR(__xludf.DUMMYFUNCTION("""COMPUTED_VALUE"""),2809)</f>
        <v>2809</v>
      </c>
      <c r="H456" s="81">
        <f ca="1">IFERROR(__xludf.DUMMYFUNCTION("""COMPUTED_VALUE"""),100)</f>
        <v>100</v>
      </c>
      <c r="I456" s="80" t="str">
        <f ca="1">IFERROR(__xludf.DUMMYFUNCTION("""COMPUTED_VALUE"""),"Order rejected due to wrong ticker code and wrong password.")</f>
        <v>Order rejected due to wrong ticker code and wrong password.</v>
      </c>
    </row>
    <row r="457" spans="1:9" ht="13" x14ac:dyDescent="0.15">
      <c r="A457" s="5"/>
      <c r="B457" s="82">
        <f ca="1">IFERROR(__xludf.DUMMYFUNCTION("""COMPUTED_VALUE"""),44634.8084589467)</f>
        <v>44634.808458946703</v>
      </c>
      <c r="C457" s="79" t="str">
        <f ca="1">IFERROR(__xludf.DUMMYFUNCTION("""COMPUTED_VALUE"""),"")</f>
        <v/>
      </c>
      <c r="D457" s="80" t="str">
        <f ca="1">IFERROR(__xludf.DUMMYFUNCTION("""COMPUTED_VALUE"""),"56118")</f>
        <v>56118</v>
      </c>
      <c r="E457" s="80" t="str">
        <f ca="1">IFERROR(__xludf.DUMMYFUNCTION("""COMPUTED_VALUE"""),"Stock")</f>
        <v>Stock</v>
      </c>
      <c r="F457" s="80" t="str">
        <f ca="1">IFERROR(__xludf.DUMMYFUNCTION("""COMPUTED_VALUE"""),"error")</f>
        <v>error</v>
      </c>
      <c r="G457" s="78">
        <f ca="1">IFERROR(__xludf.DUMMYFUNCTION("""COMPUTED_VALUE"""),2638)</f>
        <v>2638</v>
      </c>
      <c r="H457" s="81">
        <f ca="1">IFERROR(__xludf.DUMMYFUNCTION("""COMPUTED_VALUE"""),4000)</f>
        <v>4000</v>
      </c>
      <c r="I457" s="80" t="str">
        <f ca="1">IFERROR(__xludf.DUMMYFUNCTION("""COMPUTED_VALUE"""),"Order rejected due to wrong ticker code and also the non-number input in Limit Order Box.")</f>
        <v>Order rejected due to wrong ticker code and also the non-number input in Limit Order Box.</v>
      </c>
    </row>
    <row r="458" spans="1:9" ht="13" x14ac:dyDescent="0.15">
      <c r="A458" s="5"/>
      <c r="B458" s="82">
        <f ca="1">IFERROR(__xludf.DUMMYFUNCTION("""COMPUTED_VALUE"""),44634.8208662731)</f>
        <v>44634.820866273098</v>
      </c>
      <c r="C458" s="79">
        <f ca="1">IFERROR(__xludf.DUMMYFUNCTION("""COMPUTED_VALUE"""),44635.6666666666)</f>
        <v>44635.666666666599</v>
      </c>
      <c r="D458" s="80" t="str">
        <f ca="1">IFERROR(__xludf.DUMMYFUNCTION("""COMPUTED_VALUE"""),"46600")</f>
        <v>46600</v>
      </c>
      <c r="E458" s="80" t="str">
        <f ca="1">IFERROR(__xludf.DUMMYFUNCTION("""COMPUTED_VALUE"""),"Stock")</f>
        <v>Stock</v>
      </c>
      <c r="F458" s="80" t="str">
        <f ca="1">IFERROR(__xludf.DUMMYFUNCTION("""COMPUTED_VALUE"""),"HKD")</f>
        <v>HKD</v>
      </c>
      <c r="G458" s="83" t="str">
        <f ca="1">IFERROR(__xludf.DUMMYFUNCTION("""COMPUTED_VALUE"""),"0700.HK")</f>
        <v>0700.HK</v>
      </c>
      <c r="H458" s="81">
        <f ca="1">IFERROR(__xludf.DUMMYFUNCTION("""COMPUTED_VALUE"""),200)</f>
        <v>200</v>
      </c>
      <c r="I458" s="80"/>
    </row>
    <row r="459" spans="1:9" ht="13" x14ac:dyDescent="0.15">
      <c r="A459" s="5"/>
      <c r="B459" s="82">
        <f ca="1">IFERROR(__xludf.DUMMYFUNCTION("""COMPUTED_VALUE"""),44634.8478439814)</f>
        <v>44634.847843981399</v>
      </c>
      <c r="C459" s="79">
        <f ca="1">IFERROR(__xludf.DUMMYFUNCTION("""COMPUTED_VALUE"""),44634.6666666666)</f>
        <v>44634.666666666599</v>
      </c>
      <c r="D459" s="80" t="str">
        <f ca="1">IFERROR(__xludf.DUMMYFUNCTION("""COMPUTED_VALUE"""),"82533")</f>
        <v>82533</v>
      </c>
      <c r="E459" s="80" t="str">
        <f ca="1">IFERROR(__xludf.DUMMYFUNCTION("""COMPUTED_VALUE"""),"Stock")</f>
        <v>Stock</v>
      </c>
      <c r="F459" s="80" t="str">
        <f ca="1">IFERROR(__xludf.DUMMYFUNCTION("""COMPUTED_VALUE"""),"USD")</f>
        <v>USD</v>
      </c>
      <c r="G459" s="78" t="str">
        <f ca="1">IFERROR(__xludf.DUMMYFUNCTION("""COMPUTED_VALUE"""),"BITO")</f>
        <v>BITO</v>
      </c>
      <c r="H459" s="81">
        <f ca="1">IFERROR(__xludf.DUMMYFUNCTION("""COMPUTED_VALUE"""),1000)</f>
        <v>1000</v>
      </c>
      <c r="I459" s="80"/>
    </row>
    <row r="460" spans="1:9" ht="13" x14ac:dyDescent="0.15">
      <c r="A460" s="5"/>
      <c r="B460" s="82">
        <f ca="1">IFERROR(__xludf.DUMMYFUNCTION("""COMPUTED_VALUE"""),44634.9041642129)</f>
        <v>44634.904164212901</v>
      </c>
      <c r="C460" s="79">
        <f ca="1">IFERROR(__xludf.DUMMYFUNCTION("""COMPUTED_VALUE"""),44634.6666666666)</f>
        <v>44634.666666666599</v>
      </c>
      <c r="D460" s="80" t="str">
        <f ca="1">IFERROR(__xludf.DUMMYFUNCTION("""COMPUTED_VALUE"""),"38307")</f>
        <v>38307</v>
      </c>
      <c r="E460" s="80" t="str">
        <f ca="1">IFERROR(__xludf.DUMMYFUNCTION("""COMPUTED_VALUE"""),"Stock")</f>
        <v>Stock</v>
      </c>
      <c r="F460" s="80" t="str">
        <f ca="1">IFERROR(__xludf.DUMMYFUNCTION("""COMPUTED_VALUE"""),"USD")</f>
        <v>USD</v>
      </c>
      <c r="G460" s="78" t="str">
        <f ca="1">IFERROR(__xludf.DUMMYFUNCTION("""COMPUTED_VALUE"""),"PFE")</f>
        <v>PFE</v>
      </c>
      <c r="H460" s="81">
        <f ca="1">IFERROR(__xludf.DUMMYFUNCTION("""COMPUTED_VALUE"""),500)</f>
        <v>500</v>
      </c>
      <c r="I460" s="80"/>
    </row>
    <row r="461" spans="1:9" ht="13" x14ac:dyDescent="0.15">
      <c r="A461" s="5"/>
      <c r="B461" s="82">
        <f ca="1">IFERROR(__xludf.DUMMYFUNCTION("""COMPUTED_VALUE"""),44634.9056569097)</f>
        <v>44634.905656909701</v>
      </c>
      <c r="C461" s="79">
        <f ca="1">IFERROR(__xludf.DUMMYFUNCTION("""COMPUTED_VALUE"""),44634.6666666666)</f>
        <v>44634.666666666599</v>
      </c>
      <c r="D461" s="80" t="str">
        <f ca="1">IFERROR(__xludf.DUMMYFUNCTION("""COMPUTED_VALUE"""),"82533")</f>
        <v>82533</v>
      </c>
      <c r="E461" s="80" t="str">
        <f ca="1">IFERROR(__xludf.DUMMYFUNCTION("""COMPUTED_VALUE"""),"Option")</f>
        <v>Option</v>
      </c>
      <c r="F461" s="80" t="str">
        <f ca="1">IFERROR(__xludf.DUMMYFUNCTION("""COMPUTED_VALUE"""),"USD")</f>
        <v>USD</v>
      </c>
      <c r="G461" s="78" t="str">
        <f ca="1">IFERROR(__xludf.DUMMYFUNCTION("""COMPUTED_VALUE"""),"TSLA220318C00005000")</f>
        <v>TSLA220318C00005000</v>
      </c>
      <c r="H461" s="81">
        <f ca="1">IFERROR(__xludf.DUMMYFUNCTION("""COMPUTED_VALUE"""),15)</f>
        <v>15</v>
      </c>
      <c r="I461" s="80"/>
    </row>
    <row r="462" spans="1:9" ht="13" x14ac:dyDescent="0.15">
      <c r="A462" s="5"/>
      <c r="B462" s="82">
        <f ca="1">IFERROR(__xludf.DUMMYFUNCTION("""COMPUTED_VALUE"""),44634.9085263541)</f>
        <v>44634.908526354098</v>
      </c>
      <c r="C462" s="79">
        <f ca="1">IFERROR(__xludf.DUMMYFUNCTION("""COMPUTED_VALUE"""),44634.6666666666)</f>
        <v>44634.666666666599</v>
      </c>
      <c r="D462" s="80" t="str">
        <f ca="1">IFERROR(__xludf.DUMMYFUNCTION("""COMPUTED_VALUE"""),"38307")</f>
        <v>38307</v>
      </c>
      <c r="E462" s="80" t="str">
        <f ca="1">IFERROR(__xludf.DUMMYFUNCTION("""COMPUTED_VALUE"""),"Stock")</f>
        <v>Stock</v>
      </c>
      <c r="F462" s="80" t="str">
        <f ca="1">IFERROR(__xludf.DUMMYFUNCTION("""COMPUTED_VALUE"""),"USD")</f>
        <v>USD</v>
      </c>
      <c r="G462" s="78" t="str">
        <f ca="1">IFERROR(__xludf.DUMMYFUNCTION("""COMPUTED_VALUE"""),"NVAX")</f>
        <v>NVAX</v>
      </c>
      <c r="H462" s="81">
        <f ca="1">IFERROR(__xludf.DUMMYFUNCTION("""COMPUTED_VALUE"""),300)</f>
        <v>300</v>
      </c>
      <c r="I462" s="80"/>
    </row>
    <row r="463" spans="1:9" ht="13" x14ac:dyDescent="0.15">
      <c r="A463" s="5"/>
      <c r="B463" s="82">
        <f ca="1">IFERROR(__xludf.DUMMYFUNCTION("""COMPUTED_VALUE"""),44635.0005322453)</f>
        <v>44635.0005322453</v>
      </c>
      <c r="C463" s="79">
        <f ca="1">IFERROR(__xludf.DUMMYFUNCTION("""COMPUTED_VALUE"""),44634.6666666666)</f>
        <v>44634.666666666599</v>
      </c>
      <c r="D463" s="80" t="str">
        <f ca="1">IFERROR(__xludf.DUMMYFUNCTION("""COMPUTED_VALUE"""),"46322")</f>
        <v>46322</v>
      </c>
      <c r="E463" s="80" t="str">
        <f ca="1">IFERROR(__xludf.DUMMYFUNCTION("""COMPUTED_VALUE"""),"Stock")</f>
        <v>Stock</v>
      </c>
      <c r="F463" s="80" t="str">
        <f ca="1">IFERROR(__xludf.DUMMYFUNCTION("""COMPUTED_VALUE"""),"USD")</f>
        <v>USD</v>
      </c>
      <c r="G463" s="78" t="str">
        <f ca="1">IFERROR(__xludf.DUMMYFUNCTION("""COMPUTED_VALUE"""),"SARK")</f>
        <v>SARK</v>
      </c>
      <c r="H463" s="81">
        <f ca="1">IFERROR(__xludf.DUMMYFUNCTION("""COMPUTED_VALUE"""),1000)</f>
        <v>1000</v>
      </c>
      <c r="I463" s="80"/>
    </row>
    <row r="464" spans="1:9" ht="13" x14ac:dyDescent="0.15">
      <c r="A464" s="5"/>
      <c r="B464" s="82">
        <f ca="1">IFERROR(__xludf.DUMMYFUNCTION("""COMPUTED_VALUE"""),44635.0027706018)</f>
        <v>44635.002770601801</v>
      </c>
      <c r="C464" s="79">
        <f ca="1">IFERROR(__xludf.DUMMYFUNCTION("""COMPUTED_VALUE"""),44634.6666666666)</f>
        <v>44634.666666666599</v>
      </c>
      <c r="D464" s="80" t="str">
        <f ca="1">IFERROR(__xludf.DUMMYFUNCTION("""COMPUTED_VALUE"""),"24442")</f>
        <v>24442</v>
      </c>
      <c r="E464" s="80" t="str">
        <f ca="1">IFERROR(__xludf.DUMMYFUNCTION("""COMPUTED_VALUE"""),"Stock")</f>
        <v>Stock</v>
      </c>
      <c r="F464" s="80" t="str">
        <f ca="1">IFERROR(__xludf.DUMMYFUNCTION("""COMPUTED_VALUE"""),"USD")</f>
        <v>USD</v>
      </c>
      <c r="G464" s="78" t="str">
        <f ca="1">IFERROR(__xludf.DUMMYFUNCTION("""COMPUTED_VALUE"""),"XLRE")</f>
        <v>XLRE</v>
      </c>
      <c r="H464" s="81">
        <f ca="1">IFERROR(__xludf.DUMMYFUNCTION("""COMPUTED_VALUE"""),159)</f>
        <v>159</v>
      </c>
      <c r="I464" s="80"/>
    </row>
    <row r="465" spans="1:9" ht="13" x14ac:dyDescent="0.15">
      <c r="A465" s="5"/>
      <c r="B465" s="82">
        <f ca="1">IFERROR(__xludf.DUMMYFUNCTION("""COMPUTED_VALUE"""),44635.0035923958)</f>
        <v>44635.003592395798</v>
      </c>
      <c r="C465" s="79">
        <f ca="1">IFERROR(__xludf.DUMMYFUNCTION("""COMPUTED_VALUE"""),44634.6666666666)</f>
        <v>44634.666666666599</v>
      </c>
      <c r="D465" s="80" t="str">
        <f ca="1">IFERROR(__xludf.DUMMYFUNCTION("""COMPUTED_VALUE"""),"24442")</f>
        <v>24442</v>
      </c>
      <c r="E465" s="80" t="str">
        <f ca="1">IFERROR(__xludf.DUMMYFUNCTION("""COMPUTED_VALUE"""),"Stock")</f>
        <v>Stock</v>
      </c>
      <c r="F465" s="80" t="str">
        <f ca="1">IFERROR(__xludf.DUMMYFUNCTION("""COMPUTED_VALUE"""),"USD")</f>
        <v>USD</v>
      </c>
      <c r="G465" s="78" t="str">
        <f ca="1">IFERROR(__xludf.DUMMYFUNCTION("""COMPUTED_VALUE"""),"XLU")</f>
        <v>XLU</v>
      </c>
      <c r="H465" s="81">
        <f ca="1">IFERROR(__xludf.DUMMYFUNCTION("""COMPUTED_VALUE"""),112)</f>
        <v>112</v>
      </c>
      <c r="I465" s="80"/>
    </row>
    <row r="466" spans="1:9" ht="13" x14ac:dyDescent="0.15">
      <c r="A466" s="5"/>
      <c r="B466" s="82">
        <f ca="1">IFERROR(__xludf.DUMMYFUNCTION("""COMPUTED_VALUE"""),44635.0047356018)</f>
        <v>44635.004735601797</v>
      </c>
      <c r="C466" s="79">
        <f ca="1">IFERROR(__xludf.DUMMYFUNCTION("""COMPUTED_VALUE"""),44634.6666666666)</f>
        <v>44634.666666666599</v>
      </c>
      <c r="D466" s="80" t="str">
        <f ca="1">IFERROR(__xludf.DUMMYFUNCTION("""COMPUTED_VALUE"""),"24442")</f>
        <v>24442</v>
      </c>
      <c r="E466" s="80" t="str">
        <f ca="1">IFERROR(__xludf.DUMMYFUNCTION("""COMPUTED_VALUE"""),"Stock")</f>
        <v>Stock</v>
      </c>
      <c r="F466" s="80" t="str">
        <f ca="1">IFERROR(__xludf.DUMMYFUNCTION("""COMPUTED_VALUE"""),"USD")</f>
        <v>USD</v>
      </c>
      <c r="G466" s="78" t="str">
        <f ca="1">IFERROR(__xludf.DUMMYFUNCTION("""COMPUTED_VALUE"""),"XLP")</f>
        <v>XLP</v>
      </c>
      <c r="H466" s="81">
        <f ca="1">IFERROR(__xludf.DUMMYFUNCTION("""COMPUTED_VALUE"""),190)</f>
        <v>190</v>
      </c>
      <c r="I466" s="80"/>
    </row>
    <row r="467" spans="1:9" ht="13" x14ac:dyDescent="0.15">
      <c r="A467" s="5"/>
      <c r="B467" s="82">
        <f ca="1">IFERROR(__xludf.DUMMYFUNCTION("""COMPUTED_VALUE"""),44635.0054212731)</f>
        <v>44635.005421273097</v>
      </c>
      <c r="C467" s="79">
        <f ca="1">IFERROR(__xludf.DUMMYFUNCTION("""COMPUTED_VALUE"""),44634.6666666666)</f>
        <v>44634.666666666599</v>
      </c>
      <c r="D467" s="80" t="str">
        <f ca="1">IFERROR(__xludf.DUMMYFUNCTION("""COMPUTED_VALUE"""),"24442")</f>
        <v>24442</v>
      </c>
      <c r="E467" s="80" t="str">
        <f ca="1">IFERROR(__xludf.DUMMYFUNCTION("""COMPUTED_VALUE"""),"Stock")</f>
        <v>Stock</v>
      </c>
      <c r="F467" s="80" t="str">
        <f ca="1">IFERROR(__xludf.DUMMYFUNCTION("""COMPUTED_VALUE"""),"USD")</f>
        <v>USD</v>
      </c>
      <c r="G467" s="78" t="str">
        <f ca="1">IFERROR(__xludf.DUMMYFUNCTION("""COMPUTED_VALUE"""),"XLE")</f>
        <v>XLE</v>
      </c>
      <c r="H467" s="81">
        <f ca="1">IFERROR(__xludf.DUMMYFUNCTION("""COMPUTED_VALUE"""),19)</f>
        <v>19</v>
      </c>
      <c r="I467" s="80"/>
    </row>
    <row r="468" spans="1:9" ht="13" x14ac:dyDescent="0.15">
      <c r="A468" s="5"/>
      <c r="B468" s="82">
        <f ca="1">IFERROR(__xludf.DUMMYFUNCTION("""COMPUTED_VALUE"""),44635.0063737152)</f>
        <v>44635.006373715201</v>
      </c>
      <c r="C468" s="79">
        <f ca="1">IFERROR(__xludf.DUMMYFUNCTION("""COMPUTED_VALUE"""),44634.6666666666)</f>
        <v>44634.666666666599</v>
      </c>
      <c r="D468" s="80" t="str">
        <f ca="1">IFERROR(__xludf.DUMMYFUNCTION("""COMPUTED_VALUE"""),"24442")</f>
        <v>24442</v>
      </c>
      <c r="E468" s="80" t="str">
        <f ca="1">IFERROR(__xludf.DUMMYFUNCTION("""COMPUTED_VALUE"""),"Stock")</f>
        <v>Stock</v>
      </c>
      <c r="F468" s="80" t="str">
        <f ca="1">IFERROR(__xludf.DUMMYFUNCTION("""COMPUTED_VALUE"""),"USD")</f>
        <v>USD</v>
      </c>
      <c r="G468" s="78" t="str">
        <f ca="1">IFERROR(__xludf.DUMMYFUNCTION("""COMPUTED_VALUE"""),"XLF")</f>
        <v>XLF</v>
      </c>
      <c r="H468" s="81">
        <f ca="1">IFERROR(__xludf.DUMMYFUNCTION("""COMPUTED_VALUE"""),70)</f>
        <v>70</v>
      </c>
      <c r="I468" s="80"/>
    </row>
    <row r="469" spans="1:9" ht="13" x14ac:dyDescent="0.15">
      <c r="A469" s="5"/>
      <c r="B469" s="82">
        <f ca="1">IFERROR(__xludf.DUMMYFUNCTION("""COMPUTED_VALUE"""),44635.0072895023)</f>
        <v>44635.007289502297</v>
      </c>
      <c r="C469" s="79">
        <f ca="1">IFERROR(__xludf.DUMMYFUNCTION("""COMPUTED_VALUE"""),44634.6666666666)</f>
        <v>44634.666666666599</v>
      </c>
      <c r="D469" s="80" t="str">
        <f ca="1">IFERROR(__xludf.DUMMYFUNCTION("""COMPUTED_VALUE"""),"24442")</f>
        <v>24442</v>
      </c>
      <c r="E469" s="80" t="str">
        <f ca="1">IFERROR(__xludf.DUMMYFUNCTION("""COMPUTED_VALUE"""),"Stock")</f>
        <v>Stock</v>
      </c>
      <c r="F469" s="80" t="str">
        <f ca="1">IFERROR(__xludf.DUMMYFUNCTION("""COMPUTED_VALUE"""),"USD")</f>
        <v>USD</v>
      </c>
      <c r="G469" s="78" t="str">
        <f ca="1">IFERROR(__xludf.DUMMYFUNCTION("""COMPUTED_VALUE"""),"XLB")</f>
        <v>XLB</v>
      </c>
      <c r="H469" s="81">
        <f ca="1">IFERROR(__xludf.DUMMYFUNCTION("""COMPUTED_VALUE"""),45)</f>
        <v>45</v>
      </c>
      <c r="I469" s="80"/>
    </row>
    <row r="470" spans="1:9" ht="13" x14ac:dyDescent="0.15">
      <c r="A470" s="5"/>
      <c r="B470" s="82">
        <f ca="1">IFERROR(__xludf.DUMMYFUNCTION("""COMPUTED_VALUE"""),44635.0082473726)</f>
        <v>44635.0082473726</v>
      </c>
      <c r="C470" s="79">
        <f ca="1">IFERROR(__xludf.DUMMYFUNCTION("""COMPUTED_VALUE"""),44634.6666666666)</f>
        <v>44634.666666666599</v>
      </c>
      <c r="D470" s="80" t="str">
        <f ca="1">IFERROR(__xludf.DUMMYFUNCTION("""COMPUTED_VALUE"""),"24442")</f>
        <v>24442</v>
      </c>
      <c r="E470" s="80" t="str">
        <f ca="1">IFERROR(__xludf.DUMMYFUNCTION("""COMPUTED_VALUE"""),"Stock")</f>
        <v>Stock</v>
      </c>
      <c r="F470" s="80" t="str">
        <f ca="1">IFERROR(__xludf.DUMMYFUNCTION("""COMPUTED_VALUE"""),"USD")</f>
        <v>USD</v>
      </c>
      <c r="G470" s="78" t="str">
        <f ca="1">IFERROR(__xludf.DUMMYFUNCTION("""COMPUTED_VALUE"""),"XLY")</f>
        <v>XLY</v>
      </c>
      <c r="H470" s="81">
        <f ca="1">IFERROR(__xludf.DUMMYFUNCTION("""COMPUTED_VALUE"""),26)</f>
        <v>26</v>
      </c>
      <c r="I470" s="80"/>
    </row>
    <row r="471" spans="1:9" ht="13" x14ac:dyDescent="0.15">
      <c r="A471" s="5"/>
      <c r="B471" s="82">
        <f ca="1">IFERROR(__xludf.DUMMYFUNCTION("""COMPUTED_VALUE"""),44635.009274618)</f>
        <v>44635.009274618002</v>
      </c>
      <c r="C471" s="79">
        <f ca="1">IFERROR(__xludf.DUMMYFUNCTION("""COMPUTED_VALUE"""),44634.6666666666)</f>
        <v>44634.666666666599</v>
      </c>
      <c r="D471" s="80" t="str">
        <f ca="1">IFERROR(__xludf.DUMMYFUNCTION("""COMPUTED_VALUE"""),"24442")</f>
        <v>24442</v>
      </c>
      <c r="E471" s="80" t="str">
        <f ca="1">IFERROR(__xludf.DUMMYFUNCTION("""COMPUTED_VALUE"""),"Stock")</f>
        <v>Stock</v>
      </c>
      <c r="F471" s="80" t="str">
        <f ca="1">IFERROR(__xludf.DUMMYFUNCTION("""COMPUTED_VALUE"""),"USD")</f>
        <v>USD</v>
      </c>
      <c r="G471" s="78" t="str">
        <f ca="1">IFERROR(__xludf.DUMMYFUNCTION("""COMPUTED_VALUE"""),"XLC")</f>
        <v>XLC</v>
      </c>
      <c r="H471" s="81">
        <f ca="1">IFERROR(__xludf.DUMMYFUNCTION("""COMPUTED_VALUE"""),72)</f>
        <v>72</v>
      </c>
      <c r="I471" s="80"/>
    </row>
    <row r="472" spans="1:9" ht="13" x14ac:dyDescent="0.15">
      <c r="A472" s="5"/>
      <c r="B472" s="82">
        <f ca="1">IFERROR(__xludf.DUMMYFUNCTION("""COMPUTED_VALUE"""),44635.0101328703)</f>
        <v>44635.010132870302</v>
      </c>
      <c r="C472" s="79">
        <f ca="1">IFERROR(__xludf.DUMMYFUNCTION("""COMPUTED_VALUE"""),44634.6666666666)</f>
        <v>44634.666666666599</v>
      </c>
      <c r="D472" s="80" t="str">
        <f ca="1">IFERROR(__xludf.DUMMYFUNCTION("""COMPUTED_VALUE"""),"24442")</f>
        <v>24442</v>
      </c>
      <c r="E472" s="80" t="str">
        <f ca="1">IFERROR(__xludf.DUMMYFUNCTION("""COMPUTED_VALUE"""),"Stock")</f>
        <v>Stock</v>
      </c>
      <c r="F472" s="80" t="str">
        <f ca="1">IFERROR(__xludf.DUMMYFUNCTION("""COMPUTED_VALUE"""),"USD")</f>
        <v>USD</v>
      </c>
      <c r="G472" s="78" t="str">
        <f ca="1">IFERROR(__xludf.DUMMYFUNCTION("""COMPUTED_VALUE"""),"XLK")</f>
        <v>XLK</v>
      </c>
      <c r="H472" s="81">
        <f ca="1">IFERROR(__xludf.DUMMYFUNCTION("""COMPUTED_VALUE"""),39)</f>
        <v>39</v>
      </c>
      <c r="I472" s="80"/>
    </row>
    <row r="473" spans="1:9" ht="13" x14ac:dyDescent="0.15">
      <c r="A473" s="5"/>
      <c r="B473" s="82">
        <f ca="1">IFERROR(__xludf.DUMMYFUNCTION("""COMPUTED_VALUE"""),44635.0117455092)</f>
        <v>44635.011745509197</v>
      </c>
      <c r="C473" s="79">
        <f ca="1">IFERROR(__xludf.DUMMYFUNCTION("""COMPUTED_VALUE"""),44634.6666666666)</f>
        <v>44634.666666666599</v>
      </c>
      <c r="D473" s="80" t="str">
        <f ca="1">IFERROR(__xludf.DUMMYFUNCTION("""COMPUTED_VALUE"""),"24442")</f>
        <v>24442</v>
      </c>
      <c r="E473" s="80" t="str">
        <f ca="1">IFERROR(__xludf.DUMMYFUNCTION("""COMPUTED_VALUE"""),"Stock")</f>
        <v>Stock</v>
      </c>
      <c r="F473" s="80" t="str">
        <f ca="1">IFERROR(__xludf.DUMMYFUNCTION("""COMPUTED_VALUE"""),"USD")</f>
        <v>USD</v>
      </c>
      <c r="G473" s="78" t="str">
        <f ca="1">IFERROR(__xludf.DUMMYFUNCTION("""COMPUTED_VALUE"""),"XLI")</f>
        <v>XLI</v>
      </c>
      <c r="H473" s="81">
        <f ca="1">IFERROR(__xludf.DUMMYFUNCTION("""COMPUTED_VALUE"""),59)</f>
        <v>59</v>
      </c>
      <c r="I473" s="80"/>
    </row>
    <row r="474" spans="1:9" ht="13" x14ac:dyDescent="0.15">
      <c r="A474" s="5"/>
      <c r="B474" s="82">
        <f ca="1">IFERROR(__xludf.DUMMYFUNCTION("""COMPUTED_VALUE"""),44635.0126509143)</f>
        <v>44635.012650914301</v>
      </c>
      <c r="C474" s="79">
        <f ca="1">IFERROR(__xludf.DUMMYFUNCTION("""COMPUTED_VALUE"""),44634.6666666666)</f>
        <v>44634.666666666599</v>
      </c>
      <c r="D474" s="80" t="str">
        <f ca="1">IFERROR(__xludf.DUMMYFUNCTION("""COMPUTED_VALUE"""),"24442")</f>
        <v>24442</v>
      </c>
      <c r="E474" s="80" t="str">
        <f ca="1">IFERROR(__xludf.DUMMYFUNCTION("""COMPUTED_VALUE"""),"Stock")</f>
        <v>Stock</v>
      </c>
      <c r="F474" s="80" t="str">
        <f ca="1">IFERROR(__xludf.DUMMYFUNCTION("""COMPUTED_VALUE"""),"USD")</f>
        <v>USD</v>
      </c>
      <c r="G474" s="78" t="str">
        <f ca="1">IFERROR(__xludf.DUMMYFUNCTION("""COMPUTED_VALUE"""),"XLV")</f>
        <v>XLV</v>
      </c>
      <c r="H474" s="81">
        <f ca="1">IFERROR(__xludf.DUMMYFUNCTION("""COMPUTED_VALUE"""),48)</f>
        <v>48</v>
      </c>
      <c r="I474" s="80"/>
    </row>
    <row r="475" spans="1:9" ht="13" x14ac:dyDescent="0.15">
      <c r="A475" s="5"/>
      <c r="B475" s="82">
        <f ca="1">IFERROR(__xludf.DUMMYFUNCTION("""COMPUTED_VALUE"""),44635.0317810069)</f>
        <v>44635.031781006903</v>
      </c>
      <c r="C475" s="79">
        <f ca="1">IFERROR(__xludf.DUMMYFUNCTION("""COMPUTED_VALUE"""),44634.6666666666)</f>
        <v>44634.666666666599</v>
      </c>
      <c r="D475" s="80" t="str">
        <f ca="1">IFERROR(__xludf.DUMMYFUNCTION("""COMPUTED_VALUE"""),"24442")</f>
        <v>24442</v>
      </c>
      <c r="E475" s="80" t="str">
        <f ca="1">IFERROR(__xludf.DUMMYFUNCTION("""COMPUTED_VALUE"""),"Stock")</f>
        <v>Stock</v>
      </c>
      <c r="F475" s="80" t="str">
        <f ca="1">IFERROR(__xludf.DUMMYFUNCTION("""COMPUTED_VALUE"""),"USD")</f>
        <v>USD</v>
      </c>
      <c r="G475" s="78" t="str">
        <f ca="1">IFERROR(__xludf.DUMMYFUNCTION("""COMPUTED_VALUE"""),"XLV")</f>
        <v>XLV</v>
      </c>
      <c r="H475" s="81">
        <f ca="1">IFERROR(__xludf.DUMMYFUNCTION("""COMPUTED_VALUE"""),48)</f>
        <v>48</v>
      </c>
      <c r="I475" s="80"/>
    </row>
    <row r="476" spans="1:9" ht="13" x14ac:dyDescent="0.15">
      <c r="A476" s="5"/>
      <c r="B476" s="82">
        <f ca="1">IFERROR(__xludf.DUMMYFUNCTION("""COMPUTED_VALUE"""),44635.0772729282)</f>
        <v>44635.077272928203</v>
      </c>
      <c r="C476" s="79">
        <f ca="1">IFERROR(__xludf.DUMMYFUNCTION("""COMPUTED_VALUE"""),44634.6666666666)</f>
        <v>44634.666666666599</v>
      </c>
      <c r="D476" s="80" t="str">
        <f ca="1">IFERROR(__xludf.DUMMYFUNCTION("""COMPUTED_VALUE"""),"46322")</f>
        <v>46322</v>
      </c>
      <c r="E476" s="80" t="str">
        <f ca="1">IFERROR(__xludf.DUMMYFUNCTION("""COMPUTED_VALUE"""),"Stock")</f>
        <v>Stock</v>
      </c>
      <c r="F476" s="80" t="str">
        <f ca="1">IFERROR(__xludf.DUMMYFUNCTION("""COMPUTED_VALUE"""),"USD")</f>
        <v>USD</v>
      </c>
      <c r="G476" s="78" t="str">
        <f ca="1">IFERROR(__xludf.DUMMYFUNCTION("""COMPUTED_VALUE"""),"SARK")</f>
        <v>SARK</v>
      </c>
      <c r="H476" s="81">
        <f ca="1">IFERROR(__xludf.DUMMYFUNCTION("""COMPUTED_VALUE"""),800)</f>
        <v>800</v>
      </c>
      <c r="I476" s="80"/>
    </row>
    <row r="477" spans="1:9" ht="13" x14ac:dyDescent="0.15">
      <c r="A477" s="5"/>
      <c r="B477" s="82">
        <f ca="1">IFERROR(__xludf.DUMMYFUNCTION("""COMPUTED_VALUE"""),44635.4024452199)</f>
        <v>44635.402445219901</v>
      </c>
      <c r="C477" s="79" t="str">
        <f ca="1">IFERROR(__xludf.DUMMYFUNCTION("""COMPUTED_VALUE"""),"")</f>
        <v/>
      </c>
      <c r="D477" s="80" t="str">
        <f ca="1">IFERROR(__xludf.DUMMYFUNCTION("""COMPUTED_VALUE"""),"38093")</f>
        <v>38093</v>
      </c>
      <c r="E477" s="80" t="str">
        <f ca="1">IFERROR(__xludf.DUMMYFUNCTION("""COMPUTED_VALUE"""),"Stock")</f>
        <v>Stock</v>
      </c>
      <c r="F477" s="80" t="str">
        <f ca="1">IFERROR(__xludf.DUMMYFUNCTION("""COMPUTED_VALUE"""),"error")</f>
        <v>error</v>
      </c>
      <c r="G477" s="78">
        <f ca="1">IFERROR(__xludf.DUMMYFUNCTION("""COMPUTED_VALUE"""),2331)</f>
        <v>2331</v>
      </c>
      <c r="H477" s="81">
        <f ca="1">IFERROR(__xludf.DUMMYFUNCTION("""COMPUTED_VALUE"""),3000)</f>
        <v>3000</v>
      </c>
      <c r="I477" s="80" t="str">
        <f ca="1">IFERROR(__xludf.DUMMYFUNCTION("""COMPUTED_VALUE"""),"Order rejected due to wrong ticker code and non-school email address.")</f>
        <v>Order rejected due to wrong ticker code and non-school email address.</v>
      </c>
    </row>
    <row r="478" spans="1:9" ht="13" x14ac:dyDescent="0.15">
      <c r="A478" s="5"/>
      <c r="B478" s="82">
        <f ca="1">IFERROR(__xludf.DUMMYFUNCTION("""COMPUTED_VALUE"""),44635.4055187384)</f>
        <v>44635.4055187384</v>
      </c>
      <c r="C478" s="79" t="str">
        <f ca="1">IFERROR(__xludf.DUMMYFUNCTION("""COMPUTED_VALUE"""),"")</f>
        <v/>
      </c>
      <c r="D478" s="80" t="str">
        <f ca="1">IFERROR(__xludf.DUMMYFUNCTION("""COMPUTED_VALUE"""),"38093")</f>
        <v>38093</v>
      </c>
      <c r="E478" s="80" t="str">
        <f ca="1">IFERROR(__xludf.DUMMYFUNCTION("""COMPUTED_VALUE"""),"Stock")</f>
        <v>Stock</v>
      </c>
      <c r="F478" s="80" t="str">
        <f ca="1">IFERROR(__xludf.DUMMYFUNCTION("""COMPUTED_VALUE"""),"error")</f>
        <v>error</v>
      </c>
      <c r="G478" s="78">
        <f ca="1">IFERROR(__xludf.DUMMYFUNCTION("""COMPUTED_VALUE"""),2331)</f>
        <v>2331</v>
      </c>
      <c r="H478" s="81">
        <f ca="1">IFERROR(__xludf.DUMMYFUNCTION("""COMPUTED_VALUE"""),500)</f>
        <v>500</v>
      </c>
      <c r="I478" s="80" t="str">
        <f ca="1">IFERROR(__xludf.DUMMYFUNCTION("""COMPUTED_VALUE"""),"Order rejected due to wrong ticker code and non-school email address.")</f>
        <v>Order rejected due to wrong ticker code and non-school email address.</v>
      </c>
    </row>
    <row r="479" spans="1:9" ht="13" x14ac:dyDescent="0.15">
      <c r="A479" s="5"/>
      <c r="B479" s="82">
        <f ca="1">IFERROR(__xludf.DUMMYFUNCTION("""COMPUTED_VALUE"""),44635.4380023726)</f>
        <v>44635.438002372597</v>
      </c>
      <c r="C479" s="79">
        <f ca="1">IFERROR(__xludf.DUMMYFUNCTION("""COMPUTED_VALUE"""),44635.625)</f>
        <v>44635.625</v>
      </c>
      <c r="D479" s="80" t="str">
        <f ca="1">IFERROR(__xludf.DUMMYFUNCTION("""COMPUTED_VALUE"""),"38307")</f>
        <v>38307</v>
      </c>
      <c r="E479" s="80" t="str">
        <f ca="1">IFERROR(__xludf.DUMMYFUNCTION("""COMPUTED_VALUE"""),"Stock")</f>
        <v>Stock</v>
      </c>
      <c r="F479" s="80" t="str">
        <f ca="1">IFERROR(__xludf.DUMMYFUNCTION("""COMPUTED_VALUE"""),"CNY")</f>
        <v>CNY</v>
      </c>
      <c r="G479" s="83" t="str">
        <f ca="1">IFERROR(__xludf.DUMMYFUNCTION("""COMPUTED_VALUE"""),"603939.SS")</f>
        <v>603939.SS</v>
      </c>
      <c r="H479" s="81">
        <f ca="1">IFERROR(__xludf.DUMMYFUNCTION("""COMPUTED_VALUE"""),700)</f>
        <v>700</v>
      </c>
      <c r="I479" s="80"/>
    </row>
    <row r="480" spans="1:9" ht="13" x14ac:dyDescent="0.15">
      <c r="A480" s="5"/>
      <c r="B480" s="82">
        <f ca="1">IFERROR(__xludf.DUMMYFUNCTION("""COMPUTED_VALUE"""),44635.4398216319)</f>
        <v>44635.439821631902</v>
      </c>
      <c r="C480" s="79">
        <f ca="1">IFERROR(__xludf.DUMMYFUNCTION("""COMPUTED_VALUE"""),44635.625)</f>
        <v>44635.625</v>
      </c>
      <c r="D480" s="80" t="str">
        <f ca="1">IFERROR(__xludf.DUMMYFUNCTION("""COMPUTED_VALUE"""),"38307")</f>
        <v>38307</v>
      </c>
      <c r="E480" s="80" t="str">
        <f ca="1">IFERROR(__xludf.DUMMYFUNCTION("""COMPUTED_VALUE"""),"Stock")</f>
        <v>Stock</v>
      </c>
      <c r="F480" s="80" t="str">
        <f ca="1">IFERROR(__xludf.DUMMYFUNCTION("""COMPUTED_VALUE"""),"CNY")</f>
        <v>CNY</v>
      </c>
      <c r="G480" s="83" t="str">
        <f ca="1">IFERROR(__xludf.DUMMYFUNCTION("""COMPUTED_VALUE"""),"603392.SS")</f>
        <v>603392.SS</v>
      </c>
      <c r="H480" s="81">
        <f ca="1">IFERROR(__xludf.DUMMYFUNCTION("""COMPUTED_VALUE"""),1000)</f>
        <v>1000</v>
      </c>
      <c r="I480" s="80"/>
    </row>
    <row r="481" spans="1:9" ht="13" x14ac:dyDescent="0.15">
      <c r="A481" s="5"/>
      <c r="B481" s="82">
        <f ca="1">IFERROR(__xludf.DUMMYFUNCTION("""COMPUTED_VALUE"""),44635.4418249421)</f>
        <v>44635.4418249421</v>
      </c>
      <c r="C481" s="79" t="str">
        <f ca="1">IFERROR(__xludf.DUMMYFUNCTION("""COMPUTED_VALUE"""),"")</f>
        <v/>
      </c>
      <c r="D481" s="80" t="str">
        <f ca="1">IFERROR(__xludf.DUMMYFUNCTION("""COMPUTED_VALUE"""),"37198")</f>
        <v>37198</v>
      </c>
      <c r="E481" s="80" t="str">
        <f ca="1">IFERROR(__xludf.DUMMYFUNCTION("""COMPUTED_VALUE"""),"Bond")</f>
        <v>Bond</v>
      </c>
      <c r="F481" s="80" t="str">
        <f ca="1">IFERROR(__xludf.DUMMYFUNCTION("""COMPUTED_VALUE"""),"error")</f>
        <v>error</v>
      </c>
      <c r="G481" s="78" t="str">
        <f ca="1">IFERROR(__xludf.DUMMYFUNCTION("""COMPUTED_VALUE"""),"^FVX")</f>
        <v>^FVX</v>
      </c>
      <c r="H481" s="81">
        <f ca="1">IFERROR(__xludf.DUMMYFUNCTION("""COMPUTED_VALUE"""),3)</f>
        <v>3</v>
      </c>
      <c r="I481" s="80" t="str">
        <f ca="1">IFERROR(__xludf.DUMMYFUNCTION("""COMPUTED_VALUE"""),"Order rejected due to wrong ticker code. ^FVX is not a bond ticker code.")</f>
        <v>Order rejected due to wrong ticker code. ^FVX is not a bond ticker code.</v>
      </c>
    </row>
    <row r="482" spans="1:9" ht="13" x14ac:dyDescent="0.15">
      <c r="A482" s="5"/>
      <c r="B482" s="82">
        <f ca="1">IFERROR(__xludf.DUMMYFUNCTION("""COMPUTED_VALUE"""),44635.5331636689)</f>
        <v>44635.533163668901</v>
      </c>
      <c r="C482" s="79" t="str">
        <f ca="1">IFERROR(__xludf.DUMMYFUNCTION("""COMPUTED_VALUE"""),"")</f>
        <v/>
      </c>
      <c r="D482" s="80" t="str">
        <f ca="1">IFERROR(__xludf.DUMMYFUNCTION("""COMPUTED_VALUE"""),"56118")</f>
        <v>56118</v>
      </c>
      <c r="E482" s="80" t="str">
        <f ca="1">IFERROR(__xludf.DUMMYFUNCTION("""COMPUTED_VALUE"""),"Stock")</f>
        <v>Stock</v>
      </c>
      <c r="F482" s="80" t="str">
        <f ca="1">IFERROR(__xludf.DUMMYFUNCTION("""COMPUTED_VALUE"""),"error")</f>
        <v>error</v>
      </c>
      <c r="G482" s="78" t="str">
        <f ca="1">IFERROR(__xludf.DUMMYFUNCTION("""COMPUTED_VALUE"""),"HSI")</f>
        <v>HSI</v>
      </c>
      <c r="H482" s="81">
        <f ca="1">IFERROR(__xludf.DUMMYFUNCTION("""COMPUTED_VALUE"""),20)</f>
        <v>20</v>
      </c>
      <c r="I482" s="80" t="str">
        <f ca="1">IFERROR(__xludf.DUMMYFUNCTION("""COMPUTED_VALUE"""),"Order rejected due to wrong ticker code. HSI is not a ticker code and limit price should include only number, no non-numeric character.")</f>
        <v>Order rejected due to wrong ticker code. HSI is not a ticker code and limit price should include only number, no non-numeric character.</v>
      </c>
    </row>
    <row r="483" spans="1:9" ht="13" x14ac:dyDescent="0.15">
      <c r="A483" s="5"/>
      <c r="B483" s="82">
        <f ca="1">IFERROR(__xludf.DUMMYFUNCTION("""COMPUTED_VALUE"""),44635.5403487384)</f>
        <v>44635.540348738403</v>
      </c>
      <c r="C483" s="79" t="str">
        <f ca="1">IFERROR(__xludf.DUMMYFUNCTION("""COMPUTED_VALUE"""),"")</f>
        <v/>
      </c>
      <c r="D483" s="80" t="str">
        <f ca="1">IFERROR(__xludf.DUMMYFUNCTION("""COMPUTED_VALUE"""),"56118")</f>
        <v>56118</v>
      </c>
      <c r="E483" s="80" t="str">
        <f ca="1">IFERROR(__xludf.DUMMYFUNCTION("""COMPUTED_VALUE"""),"Option")</f>
        <v>Option</v>
      </c>
      <c r="F483" s="80" t="str">
        <f ca="1">IFERROR(__xludf.DUMMYFUNCTION("""COMPUTED_VALUE"""),"error")</f>
        <v>error</v>
      </c>
      <c r="G483" s="78" t="str">
        <f ca="1">IFERROR(__xludf.DUMMYFUNCTION("""COMPUTED_VALUE"""),"HSL")</f>
        <v>HSL</v>
      </c>
      <c r="H483" s="81">
        <f ca="1">IFERROR(__xludf.DUMMYFUNCTION("""COMPUTED_VALUE"""),2)</f>
        <v>2</v>
      </c>
      <c r="I483" s="80" t="str">
        <f ca="1">IFERROR(__xludf.DUMMYFUNCTION("""COMPUTED_VALUE"""),"Order rejected due to wrong ticker code. HSL is not an option ticker code.")</f>
        <v>Order rejected due to wrong ticker code. HSL is not an option ticker code.</v>
      </c>
    </row>
    <row r="484" spans="1:9" ht="13" x14ac:dyDescent="0.15">
      <c r="A484" s="5"/>
      <c r="B484" s="82">
        <f ca="1">IFERROR(__xludf.DUMMYFUNCTION("""COMPUTED_VALUE"""),44635.5427238425)</f>
        <v>44635.542723842504</v>
      </c>
      <c r="C484" s="79" t="str">
        <f ca="1">IFERROR(__xludf.DUMMYFUNCTION("""COMPUTED_VALUE"""),"")</f>
        <v/>
      </c>
      <c r="D484" s="80" t="str">
        <f ca="1">IFERROR(__xludf.DUMMYFUNCTION("""COMPUTED_VALUE"""),"56118")</f>
        <v>56118</v>
      </c>
      <c r="E484" s="80" t="str">
        <f ca="1">IFERROR(__xludf.DUMMYFUNCTION("""COMPUTED_VALUE"""),"Stock")</f>
        <v>Stock</v>
      </c>
      <c r="F484" s="80" t="str">
        <f ca="1">IFERROR(__xludf.DUMMYFUNCTION("""COMPUTED_VALUE"""),"error")</f>
        <v>error</v>
      </c>
      <c r="G484" s="78" t="str">
        <f ca="1">IFERROR(__xludf.DUMMYFUNCTION("""COMPUTED_VALUE"""),"HSI")</f>
        <v>HSI</v>
      </c>
      <c r="H484" s="81">
        <f ca="1">IFERROR(__xludf.DUMMYFUNCTION("""COMPUTED_VALUE"""),2)</f>
        <v>2</v>
      </c>
      <c r="I484" s="80" t="str">
        <f ca="1">IFERROR(__xludf.DUMMYFUNCTION("""COMPUTED_VALUE"""),"Order rejected due to wrong ticker code. HSI is not a ticker code.")</f>
        <v>Order rejected due to wrong ticker code. HSI is not a ticker code.</v>
      </c>
    </row>
    <row r="485" spans="1:9" ht="13" x14ac:dyDescent="0.15">
      <c r="A485" s="5"/>
      <c r="B485" s="82">
        <f ca="1">IFERROR(__xludf.DUMMYFUNCTION("""COMPUTED_VALUE"""),44635.5566742592)</f>
        <v>44635.556674259198</v>
      </c>
      <c r="C485" s="79">
        <f ca="1">IFERROR(__xludf.DUMMYFUNCTION("""COMPUTED_VALUE"""),44635.6666666666)</f>
        <v>44635.666666666599</v>
      </c>
      <c r="D485" s="80" t="str">
        <f ca="1">IFERROR(__xludf.DUMMYFUNCTION("""COMPUTED_VALUE"""),"56118")</f>
        <v>56118</v>
      </c>
      <c r="E485" s="80" t="str">
        <f ca="1">IFERROR(__xludf.DUMMYFUNCTION("""COMPUTED_VALUE"""),"Stock")</f>
        <v>Stock</v>
      </c>
      <c r="F485" s="80" t="str">
        <f ca="1">IFERROR(__xludf.DUMMYFUNCTION("""COMPUTED_VALUE"""),"USD")</f>
        <v>USD</v>
      </c>
      <c r="G485" s="78" t="str">
        <f ca="1">IFERROR(__xludf.DUMMYFUNCTION("""COMPUTED_VALUE"""),"LMT")</f>
        <v>LMT</v>
      </c>
      <c r="H485" s="81">
        <f ca="1">IFERROR(__xludf.DUMMYFUNCTION("""COMPUTED_VALUE"""),20)</f>
        <v>20</v>
      </c>
      <c r="I485" s="80"/>
    </row>
    <row r="486" spans="1:9" ht="13" x14ac:dyDescent="0.15">
      <c r="A486" s="5"/>
      <c r="B486" s="82">
        <f ca="1">IFERROR(__xludf.DUMMYFUNCTION("""COMPUTED_VALUE"""),44635.5622930671)</f>
        <v>44635.562293067102</v>
      </c>
      <c r="C486" s="79">
        <f ca="1">IFERROR(__xludf.DUMMYFUNCTION("""COMPUTED_VALUE"""),44635.6666666666)</f>
        <v>44635.666666666599</v>
      </c>
      <c r="D486" s="80" t="str">
        <f ca="1">IFERROR(__xludf.DUMMYFUNCTION("""COMPUTED_VALUE"""),"56118")</f>
        <v>56118</v>
      </c>
      <c r="E486" s="80" t="str">
        <f ca="1">IFERROR(__xludf.DUMMYFUNCTION("""COMPUTED_VALUE"""),"Stock")</f>
        <v>Stock</v>
      </c>
      <c r="F486" s="80" t="str">
        <f ca="1">IFERROR(__xludf.DUMMYFUNCTION("""COMPUTED_VALUE"""),"USD")</f>
        <v>USD</v>
      </c>
      <c r="G486" s="78" t="str">
        <f ca="1">IFERROR(__xludf.DUMMYFUNCTION("""COMPUTED_VALUE"""),"PFE")</f>
        <v>PFE</v>
      </c>
      <c r="H486" s="81">
        <f ca="1">IFERROR(__xludf.DUMMYFUNCTION("""COMPUTED_VALUE"""),500)</f>
        <v>500</v>
      </c>
      <c r="I486" s="80"/>
    </row>
    <row r="487" spans="1:9" ht="13" x14ac:dyDescent="0.15">
      <c r="A487" s="5"/>
      <c r="B487" s="82">
        <f ca="1">IFERROR(__xludf.DUMMYFUNCTION("""COMPUTED_VALUE"""),44635.5686204282)</f>
        <v>44635.568620428203</v>
      </c>
      <c r="C487" s="79">
        <f ca="1">IFERROR(__xludf.DUMMYFUNCTION("""COMPUTED_VALUE"""),44635.6666666666)</f>
        <v>44635.666666666599</v>
      </c>
      <c r="D487" s="80" t="str">
        <f ca="1">IFERROR(__xludf.DUMMYFUNCTION("""COMPUTED_VALUE"""),"56118")</f>
        <v>56118</v>
      </c>
      <c r="E487" s="80" t="str">
        <f ca="1">IFERROR(__xludf.DUMMYFUNCTION("""COMPUTED_VALUE"""),"Stock")</f>
        <v>Stock</v>
      </c>
      <c r="F487" s="80" t="str">
        <f ca="1">IFERROR(__xludf.DUMMYFUNCTION("""COMPUTED_VALUE"""),"HKD")</f>
        <v>HKD</v>
      </c>
      <c r="G487" s="83" t="str">
        <f ca="1">IFERROR(__xludf.DUMMYFUNCTION("""COMPUTED_VALUE"""),"3339.HK")</f>
        <v>3339.HK</v>
      </c>
      <c r="H487" s="81">
        <f ca="1">IFERROR(__xludf.DUMMYFUNCTION("""COMPUTED_VALUE"""),100000)</f>
        <v>100000</v>
      </c>
      <c r="I487" s="80"/>
    </row>
    <row r="488" spans="1:9" ht="13" x14ac:dyDescent="0.15">
      <c r="A488" s="5"/>
      <c r="B488" s="82">
        <f ca="1">IFERROR(__xludf.DUMMYFUNCTION("""COMPUTED_VALUE"""),44635.6069606134)</f>
        <v>44635.606960613397</v>
      </c>
      <c r="C488" s="79">
        <f ca="1">IFERROR(__xludf.DUMMYFUNCTION("""COMPUTED_VALUE"""),44635.6666666666)</f>
        <v>44635.666666666599</v>
      </c>
      <c r="D488" s="80" t="str">
        <f ca="1">IFERROR(__xludf.DUMMYFUNCTION("""COMPUTED_VALUE"""),"38209")</f>
        <v>38209</v>
      </c>
      <c r="E488" s="80" t="str">
        <f ca="1">IFERROR(__xludf.DUMMYFUNCTION("""COMPUTED_VALUE"""),"Stock")</f>
        <v>Stock</v>
      </c>
      <c r="F488" s="80" t="str">
        <f ca="1">IFERROR(__xludf.DUMMYFUNCTION("""COMPUTED_VALUE"""),"HKD")</f>
        <v>HKD</v>
      </c>
      <c r="G488" s="83" t="str">
        <f ca="1">IFERROR(__xludf.DUMMYFUNCTION("""COMPUTED_VALUE"""),"9988.HK")</f>
        <v>9988.HK</v>
      </c>
      <c r="H488" s="81">
        <f ca="1">IFERROR(__xludf.DUMMYFUNCTION("""COMPUTED_VALUE"""),1000)</f>
        <v>1000</v>
      </c>
      <c r="I488" s="80"/>
    </row>
    <row r="489" spans="1:9" ht="13" x14ac:dyDescent="0.15">
      <c r="A489" s="5"/>
      <c r="B489" s="82">
        <f ca="1">IFERROR(__xludf.DUMMYFUNCTION("""COMPUTED_VALUE"""),44635.6073613426)</f>
        <v>44635.607361342598</v>
      </c>
      <c r="C489" s="79">
        <f ca="1">IFERROR(__xludf.DUMMYFUNCTION("""COMPUTED_VALUE"""),44635.6666666666)</f>
        <v>44635.666666666599</v>
      </c>
      <c r="D489" s="80" t="str">
        <f ca="1">IFERROR(__xludf.DUMMYFUNCTION("""COMPUTED_VALUE"""),"76369")</f>
        <v>76369</v>
      </c>
      <c r="E489" s="80" t="str">
        <f ca="1">IFERROR(__xludf.DUMMYFUNCTION("""COMPUTED_VALUE"""),"Stock")</f>
        <v>Stock</v>
      </c>
      <c r="F489" s="80" t="str">
        <f ca="1">IFERROR(__xludf.DUMMYFUNCTION("""COMPUTED_VALUE"""),"HKD")</f>
        <v>HKD</v>
      </c>
      <c r="G489" s="83" t="str">
        <f ca="1">IFERROR(__xludf.DUMMYFUNCTION("""COMPUTED_VALUE"""),"603538.SS")</f>
        <v>603538.SS</v>
      </c>
      <c r="H489" s="81">
        <f ca="1">IFERROR(__xludf.DUMMYFUNCTION("""COMPUTED_VALUE"""),500)</f>
        <v>500</v>
      </c>
      <c r="I489" s="80"/>
    </row>
    <row r="490" spans="1:9" ht="13" x14ac:dyDescent="0.15">
      <c r="A490" s="5"/>
      <c r="B490" s="82">
        <f ca="1">IFERROR(__xludf.DUMMYFUNCTION("""COMPUTED_VALUE"""),44635.6086992824)</f>
        <v>44635.608699282398</v>
      </c>
      <c r="C490" s="79">
        <f ca="1">IFERROR(__xludf.DUMMYFUNCTION("""COMPUTED_VALUE"""),44635.6666666666)</f>
        <v>44635.666666666599</v>
      </c>
      <c r="D490" s="80" t="str">
        <f ca="1">IFERROR(__xludf.DUMMYFUNCTION("""COMPUTED_VALUE"""),"38209")</f>
        <v>38209</v>
      </c>
      <c r="E490" s="80" t="str">
        <f ca="1">IFERROR(__xludf.DUMMYFUNCTION("""COMPUTED_VALUE"""),"Stock")</f>
        <v>Stock</v>
      </c>
      <c r="F490" s="80" t="str">
        <f ca="1">IFERROR(__xludf.DUMMYFUNCTION("""COMPUTED_VALUE"""),"HKD")</f>
        <v>HKD</v>
      </c>
      <c r="G490" s="83" t="str">
        <f ca="1">IFERROR(__xludf.DUMMYFUNCTION("""COMPUTED_VALUE"""),"6862.HK")</f>
        <v>6862.HK</v>
      </c>
      <c r="H490" s="81">
        <f ca="1">IFERROR(__xludf.DUMMYFUNCTION("""COMPUTED_VALUE"""),2500)</f>
        <v>2500</v>
      </c>
      <c r="I490" s="80"/>
    </row>
    <row r="491" spans="1:9" ht="13" x14ac:dyDescent="0.15">
      <c r="A491" s="5"/>
      <c r="B491" s="82">
        <f ca="1">IFERROR(__xludf.DUMMYFUNCTION("""COMPUTED_VALUE"""),44635.6097345833)</f>
        <v>44635.609734583297</v>
      </c>
      <c r="C491" s="79">
        <f ca="1">IFERROR(__xludf.DUMMYFUNCTION("""COMPUTED_VALUE"""),44635.6666666666)</f>
        <v>44635.666666666599</v>
      </c>
      <c r="D491" s="80" t="str">
        <f ca="1">IFERROR(__xludf.DUMMYFUNCTION("""COMPUTED_VALUE"""),"76369")</f>
        <v>76369</v>
      </c>
      <c r="E491" s="80" t="str">
        <f ca="1">IFERROR(__xludf.DUMMYFUNCTION("""COMPUTED_VALUE"""),"Stock")</f>
        <v>Stock</v>
      </c>
      <c r="F491" s="80" t="str">
        <f ca="1">IFERROR(__xludf.DUMMYFUNCTION("""COMPUTED_VALUE"""),"HKD")</f>
        <v>HKD</v>
      </c>
      <c r="G491" s="83" t="str">
        <f ca="1">IFERROR(__xludf.DUMMYFUNCTION("""COMPUTED_VALUE"""),"688076.SS")</f>
        <v>688076.SS</v>
      </c>
      <c r="H491" s="81">
        <f ca="1">IFERROR(__xludf.DUMMYFUNCTION("""COMPUTED_VALUE"""),500)</f>
        <v>500</v>
      </c>
      <c r="I491" s="80"/>
    </row>
    <row r="492" spans="1:9" ht="13" x14ac:dyDescent="0.15">
      <c r="A492" s="5"/>
      <c r="B492" s="82">
        <f ca="1">IFERROR(__xludf.DUMMYFUNCTION("""COMPUTED_VALUE"""),44635.6104033564)</f>
        <v>44635.610403356397</v>
      </c>
      <c r="C492" s="79">
        <f ca="1">IFERROR(__xludf.DUMMYFUNCTION("""COMPUTED_VALUE"""),44635.6666666666)</f>
        <v>44635.666666666599</v>
      </c>
      <c r="D492" s="80" t="str">
        <f ca="1">IFERROR(__xludf.DUMMYFUNCTION("""COMPUTED_VALUE"""),"38209")</f>
        <v>38209</v>
      </c>
      <c r="E492" s="80" t="str">
        <f ca="1">IFERROR(__xludf.DUMMYFUNCTION("""COMPUTED_VALUE"""),"Stock")</f>
        <v>Stock</v>
      </c>
      <c r="F492" s="80" t="str">
        <f ca="1">IFERROR(__xludf.DUMMYFUNCTION("""COMPUTED_VALUE"""),"HKD")</f>
        <v>HKD</v>
      </c>
      <c r="G492" s="83" t="str">
        <f ca="1">IFERROR(__xludf.DUMMYFUNCTION("""COMPUTED_VALUE"""),"600519.SS")</f>
        <v>600519.SS</v>
      </c>
      <c r="H492" s="81">
        <f ca="1">IFERROR(__xludf.DUMMYFUNCTION("""COMPUTED_VALUE"""),100)</f>
        <v>100</v>
      </c>
      <c r="I492" s="80"/>
    </row>
    <row r="493" spans="1:9" ht="13" x14ac:dyDescent="0.15">
      <c r="A493" s="5"/>
      <c r="B493" s="82">
        <f ca="1">IFERROR(__xludf.DUMMYFUNCTION("""COMPUTED_VALUE"""),44635.6588483564)</f>
        <v>44635.658848356397</v>
      </c>
      <c r="C493" s="79">
        <f ca="1">IFERROR(__xludf.DUMMYFUNCTION("""COMPUTED_VALUE"""),44635.6666666666)</f>
        <v>44635.666666666599</v>
      </c>
      <c r="D493" s="80" t="str">
        <f ca="1">IFERROR(__xludf.DUMMYFUNCTION("""COMPUTED_VALUE"""),"46975")</f>
        <v>46975</v>
      </c>
      <c r="E493" s="80" t="str">
        <f ca="1">IFERROR(__xludf.DUMMYFUNCTION("""COMPUTED_VALUE"""),"Stock")</f>
        <v>Stock</v>
      </c>
      <c r="F493" s="80" t="str">
        <f ca="1">IFERROR(__xludf.DUMMYFUNCTION("""COMPUTED_VALUE"""),"HKD")</f>
        <v>HKD</v>
      </c>
      <c r="G493" s="83" t="str">
        <f ca="1">IFERROR(__xludf.DUMMYFUNCTION("""COMPUTED_VALUE"""),"0700.HK")</f>
        <v>0700.HK</v>
      </c>
      <c r="H493" s="81">
        <f ca="1">IFERROR(__xludf.DUMMYFUNCTION("""COMPUTED_VALUE"""),100)</f>
        <v>100</v>
      </c>
      <c r="I493" s="80"/>
    </row>
    <row r="494" spans="1:9" ht="13" x14ac:dyDescent="0.15">
      <c r="A494" s="5"/>
      <c r="B494" s="82">
        <f ca="1">IFERROR(__xludf.DUMMYFUNCTION("""COMPUTED_VALUE"""),44635.6640217592)</f>
        <v>44635.664021759199</v>
      </c>
      <c r="C494" s="79" t="str">
        <f ca="1">IFERROR(__xludf.DUMMYFUNCTION("""COMPUTED_VALUE"""),"")</f>
        <v/>
      </c>
      <c r="D494" s="80" t="str">
        <f ca="1">IFERROR(__xludf.DUMMYFUNCTION("""COMPUTED_VALUE"""),"46972")</f>
        <v>46972</v>
      </c>
      <c r="E494" s="80" t="str">
        <f ca="1">IFERROR(__xludf.DUMMYFUNCTION("""COMPUTED_VALUE"""),"Stock")</f>
        <v>Stock</v>
      </c>
      <c r="F494" s="80" t="str">
        <f ca="1">IFERROR(__xludf.DUMMYFUNCTION("""COMPUTED_VALUE"""),"error")</f>
        <v>error</v>
      </c>
      <c r="G494" s="83" t="str">
        <f ca="1">IFERROR(__xludf.DUMMYFUNCTION("""COMPUTED_VALUE"""),"6862.HK")</f>
        <v>6862.HK</v>
      </c>
      <c r="H494" s="81">
        <f ca="1">IFERROR(__xludf.DUMMYFUNCTION("""COMPUTED_VALUE"""),100)</f>
        <v>100</v>
      </c>
      <c r="I494" s="80" t="str">
        <f ca="1">IFERROR(__xludf.DUMMYFUNCTION("""COMPUTED_VALUE"""),"Order rejected due to wrong account - account does not exists. 46972.")</f>
        <v>Order rejected due to wrong account - account does not exists. 46972.</v>
      </c>
    </row>
    <row r="495" spans="1:9" ht="13" x14ac:dyDescent="0.15">
      <c r="A495" s="5"/>
      <c r="B495" s="82">
        <f ca="1">IFERROR(__xludf.DUMMYFUNCTION("""COMPUTED_VALUE"""),44635.6988805671)</f>
        <v>44635.698880567099</v>
      </c>
      <c r="C495" s="79" t="str">
        <f ca="1">IFERROR(__xludf.DUMMYFUNCTION("""COMPUTED_VALUE"""),"")</f>
        <v/>
      </c>
      <c r="D495" s="80" t="str">
        <f ca="1">IFERROR(__xludf.DUMMYFUNCTION("""COMPUTED_VALUE"""),"")</f>
        <v/>
      </c>
      <c r="E495" s="80" t="str">
        <f ca="1">IFERROR(__xludf.DUMMYFUNCTION("""COMPUTED_VALUE"""),"Stock")</f>
        <v>Stock</v>
      </c>
      <c r="F495" s="80" t="str">
        <f ca="1">IFERROR(__xludf.DUMMYFUNCTION("""COMPUTED_VALUE"""),"error")</f>
        <v>error</v>
      </c>
      <c r="G495" s="83" t="str">
        <f ca="1">IFERROR(__xludf.DUMMYFUNCTION("""COMPUTED_VALUE"""),"01024.HK")</f>
        <v>01024.HK</v>
      </c>
      <c r="H495" s="81">
        <f ca="1">IFERROR(__xludf.DUMMYFUNCTION("""COMPUTED_VALUE"""),4000)</f>
        <v>4000</v>
      </c>
      <c r="I495" s="80" t="str">
        <f ca="1">IFERROR(__xludf.DUMMYFUNCTION("""COMPUTED_VALUE"""),"Order rejected due to wrong account, wrong ticker code - Non school email account. Ticker code is NOT 01024.HK, should be 1024.HK")</f>
        <v>Order rejected due to wrong account, wrong ticker code - Non school email account. Ticker code is NOT 01024.HK, should be 1024.HK</v>
      </c>
    </row>
    <row r="496" spans="1:9" ht="13" x14ac:dyDescent="0.15">
      <c r="A496" s="5"/>
      <c r="B496" s="82">
        <f ca="1">IFERROR(__xludf.DUMMYFUNCTION("""COMPUTED_VALUE"""),44635.828685081)</f>
        <v>44635.828685080996</v>
      </c>
      <c r="C496" s="79">
        <f ca="1">IFERROR(__xludf.DUMMYFUNCTION("""COMPUTED_VALUE"""),44635.6666666666)</f>
        <v>44635.666666666599</v>
      </c>
      <c r="D496" s="80" t="str">
        <f ca="1">IFERROR(__xludf.DUMMYFUNCTION("""COMPUTED_VALUE"""),"39441")</f>
        <v>39441</v>
      </c>
      <c r="E496" s="80" t="str">
        <f ca="1">IFERROR(__xludf.DUMMYFUNCTION("""COMPUTED_VALUE"""),"Stock")</f>
        <v>Stock</v>
      </c>
      <c r="F496" s="80" t="str">
        <f ca="1">IFERROR(__xludf.DUMMYFUNCTION("""COMPUTED_VALUE"""),"USD")</f>
        <v>USD</v>
      </c>
      <c r="G496" s="78" t="str">
        <f ca="1">IFERROR(__xludf.DUMMYFUNCTION("""COMPUTED_VALUE"""),"BABA")</f>
        <v>BABA</v>
      </c>
      <c r="H496" s="81">
        <f ca="1">IFERROR(__xludf.DUMMYFUNCTION("""COMPUTED_VALUE"""),200)</f>
        <v>200</v>
      </c>
      <c r="I496" s="80"/>
    </row>
    <row r="497" spans="1:9" ht="13" x14ac:dyDescent="0.15">
      <c r="A497" s="5"/>
      <c r="B497" s="82">
        <f ca="1">IFERROR(__xludf.DUMMYFUNCTION("""COMPUTED_VALUE"""),44635.8596930439)</f>
        <v>44635.859693043902</v>
      </c>
      <c r="C497" s="79">
        <f ca="1">IFERROR(__xludf.DUMMYFUNCTION("""COMPUTED_VALUE"""),44636.6666666666)</f>
        <v>44636.666666666599</v>
      </c>
      <c r="D497" s="80" t="str">
        <f ca="1">IFERROR(__xludf.DUMMYFUNCTION("""COMPUTED_VALUE"""),"37922")</f>
        <v>37922</v>
      </c>
      <c r="E497" s="80" t="str">
        <f ca="1">IFERROR(__xludf.DUMMYFUNCTION("""COMPUTED_VALUE"""),"Stock")</f>
        <v>Stock</v>
      </c>
      <c r="F497" s="80" t="str">
        <f ca="1">IFERROR(__xludf.DUMMYFUNCTION("""COMPUTED_VALUE"""),"HKD")</f>
        <v>HKD</v>
      </c>
      <c r="G497" s="83" t="str">
        <f ca="1">IFERROR(__xludf.DUMMYFUNCTION("""COMPUTED_VALUE"""),"0700.hk")</f>
        <v>0700.hk</v>
      </c>
      <c r="H497" s="81">
        <f ca="1">IFERROR(__xludf.DUMMYFUNCTION("""COMPUTED_VALUE"""),1)</f>
        <v>1</v>
      </c>
      <c r="I497" s="80"/>
    </row>
    <row r="498" spans="1:9" ht="13" x14ac:dyDescent="0.15">
      <c r="A498" s="5"/>
      <c r="B498" s="82">
        <f ca="1">IFERROR(__xludf.DUMMYFUNCTION("""COMPUTED_VALUE"""),44635.8822248263)</f>
        <v>44635.882224826302</v>
      </c>
      <c r="C498" s="79">
        <f ca="1">IFERROR(__xludf.DUMMYFUNCTION("""COMPUTED_VALUE"""),44635.6666666666)</f>
        <v>44635.666666666599</v>
      </c>
      <c r="D498" s="80" t="str">
        <f ca="1">IFERROR(__xludf.DUMMYFUNCTION("""COMPUTED_VALUE"""),"38209")</f>
        <v>38209</v>
      </c>
      <c r="E498" s="80" t="str">
        <f ca="1">IFERROR(__xludf.DUMMYFUNCTION("""COMPUTED_VALUE"""),"Stock")</f>
        <v>Stock</v>
      </c>
      <c r="F498" s="80" t="str">
        <f ca="1">IFERROR(__xludf.DUMMYFUNCTION("""COMPUTED_VALUE"""),"USD")</f>
        <v>USD</v>
      </c>
      <c r="G498" s="78" t="str">
        <f ca="1">IFERROR(__xludf.DUMMYFUNCTION("""COMPUTED_VALUE"""),"XLV")</f>
        <v>XLV</v>
      </c>
      <c r="H498" s="81">
        <f ca="1">IFERROR(__xludf.DUMMYFUNCTION("""COMPUTED_VALUE"""),200)</f>
        <v>200</v>
      </c>
      <c r="I498" s="80"/>
    </row>
    <row r="499" spans="1:9" ht="13" x14ac:dyDescent="0.15">
      <c r="A499" s="5"/>
      <c r="B499" s="82">
        <f ca="1">IFERROR(__xludf.DUMMYFUNCTION("""COMPUTED_VALUE"""),44635.8845865162)</f>
        <v>44635.8845865162</v>
      </c>
      <c r="C499" s="79">
        <f ca="1">IFERROR(__xludf.DUMMYFUNCTION("""COMPUTED_VALUE"""),44635.6666666666)</f>
        <v>44635.666666666599</v>
      </c>
      <c r="D499" s="80" t="str">
        <f ca="1">IFERROR(__xludf.DUMMYFUNCTION("""COMPUTED_VALUE"""),"74356")</f>
        <v>74356</v>
      </c>
      <c r="E499" s="80" t="str">
        <f ca="1">IFERROR(__xludf.DUMMYFUNCTION("""COMPUTED_VALUE"""),"Stock")</f>
        <v>Stock</v>
      </c>
      <c r="F499" s="80" t="str">
        <f ca="1">IFERROR(__xludf.DUMMYFUNCTION("""COMPUTED_VALUE"""),"USD")</f>
        <v>USD</v>
      </c>
      <c r="G499" s="78" t="str">
        <f ca="1">IFERROR(__xludf.DUMMYFUNCTION("""COMPUTED_VALUE"""),"CL=F")</f>
        <v>CL=F</v>
      </c>
      <c r="H499" s="81">
        <f ca="1">IFERROR(__xludf.DUMMYFUNCTION("""COMPUTED_VALUE"""),200)</f>
        <v>200</v>
      </c>
      <c r="I499" s="80"/>
    </row>
    <row r="500" spans="1:9" ht="13" x14ac:dyDescent="0.15">
      <c r="A500" s="5"/>
      <c r="B500" s="82">
        <f ca="1">IFERROR(__xludf.DUMMYFUNCTION("""COMPUTED_VALUE"""),44635.8858348379)</f>
        <v>44635.8858348379</v>
      </c>
      <c r="C500" s="79">
        <f ca="1">IFERROR(__xludf.DUMMYFUNCTION("""COMPUTED_VALUE"""),44635.6666666666)</f>
        <v>44635.666666666599</v>
      </c>
      <c r="D500" s="80" t="str">
        <f ca="1">IFERROR(__xludf.DUMMYFUNCTION("""COMPUTED_VALUE"""),"74356")</f>
        <v>74356</v>
      </c>
      <c r="E500" s="80" t="str">
        <f ca="1">IFERROR(__xludf.DUMMYFUNCTION("""COMPUTED_VALUE"""),"Stock")</f>
        <v>Stock</v>
      </c>
      <c r="F500" s="80" t="str">
        <f ca="1">IFERROR(__xludf.DUMMYFUNCTION("""COMPUTED_VALUE"""),"USD")</f>
        <v>USD</v>
      </c>
      <c r="G500" s="78" t="str">
        <f ca="1">IFERROR(__xludf.DUMMYFUNCTION("""COMPUTED_VALUE"""),"AAPL")</f>
        <v>AAPL</v>
      </c>
      <c r="H500" s="81">
        <f ca="1">IFERROR(__xludf.DUMMYFUNCTION("""COMPUTED_VALUE"""),20)</f>
        <v>20</v>
      </c>
      <c r="I500" s="80"/>
    </row>
    <row r="501" spans="1:9" ht="13" x14ac:dyDescent="0.15">
      <c r="A501" s="5"/>
      <c r="B501" s="82">
        <f ca="1">IFERROR(__xludf.DUMMYFUNCTION("""COMPUTED_VALUE"""),44635.8890729166)</f>
        <v>44635.889072916601</v>
      </c>
      <c r="C501" s="79">
        <f ca="1">IFERROR(__xludf.DUMMYFUNCTION("""COMPUTED_VALUE"""),44635.6666666666)</f>
        <v>44635.666666666599</v>
      </c>
      <c r="D501" s="80" t="str">
        <f ca="1">IFERROR(__xludf.DUMMYFUNCTION("""COMPUTED_VALUE"""),"74356")</f>
        <v>74356</v>
      </c>
      <c r="E501" s="80" t="str">
        <f ca="1">IFERROR(__xludf.DUMMYFUNCTION("""COMPUTED_VALUE"""),"Stock")</f>
        <v>Stock</v>
      </c>
      <c r="F501" s="80" t="str">
        <f ca="1">IFERROR(__xludf.DUMMYFUNCTION("""COMPUTED_VALUE"""),"USD")</f>
        <v>USD</v>
      </c>
      <c r="G501" s="78" t="str">
        <f ca="1">IFERROR(__xludf.DUMMYFUNCTION("""COMPUTED_VALUE"""),"AMAT")</f>
        <v>AMAT</v>
      </c>
      <c r="H501" s="81">
        <f ca="1">IFERROR(__xludf.DUMMYFUNCTION("""COMPUTED_VALUE"""),50)</f>
        <v>50</v>
      </c>
      <c r="I501" s="80"/>
    </row>
    <row r="502" spans="1:9" ht="13" x14ac:dyDescent="0.15">
      <c r="A502" s="5"/>
      <c r="B502" s="82">
        <f ca="1">IFERROR(__xludf.DUMMYFUNCTION("""COMPUTED_VALUE"""),44635.8992362731)</f>
        <v>44635.899236273101</v>
      </c>
      <c r="C502" s="79">
        <f ca="1">IFERROR(__xludf.DUMMYFUNCTION("""COMPUTED_VALUE"""),44635.6666666666)</f>
        <v>44635.666666666599</v>
      </c>
      <c r="D502" s="80" t="str">
        <f ca="1">IFERROR(__xludf.DUMMYFUNCTION("""COMPUTED_VALUE"""),"76848")</f>
        <v>76848</v>
      </c>
      <c r="E502" s="80" t="str">
        <f ca="1">IFERROR(__xludf.DUMMYFUNCTION("""COMPUTED_VALUE"""),"Stock")</f>
        <v>Stock</v>
      </c>
      <c r="F502" s="80" t="str">
        <f ca="1">IFERROR(__xludf.DUMMYFUNCTION("""COMPUTED_VALUE"""),"USD")</f>
        <v>USD</v>
      </c>
      <c r="G502" s="78" t="str">
        <f ca="1">IFERROR(__xludf.DUMMYFUNCTION("""COMPUTED_VALUE"""),"CL=F")</f>
        <v>CL=F</v>
      </c>
      <c r="H502" s="81">
        <f ca="1">IFERROR(__xludf.DUMMYFUNCTION("""COMPUTED_VALUE"""),200)</f>
        <v>200</v>
      </c>
      <c r="I502" s="80"/>
    </row>
    <row r="503" spans="1:9" ht="13" x14ac:dyDescent="0.15">
      <c r="A503" s="5"/>
      <c r="B503" s="82">
        <f ca="1">IFERROR(__xludf.DUMMYFUNCTION("""COMPUTED_VALUE"""),44635.9054116203)</f>
        <v>44635.905411620297</v>
      </c>
      <c r="C503" s="79">
        <f ca="1">IFERROR(__xludf.DUMMYFUNCTION("""COMPUTED_VALUE"""),44636.6666666666)</f>
        <v>44636.666666666599</v>
      </c>
      <c r="D503" s="80" t="str">
        <f ca="1">IFERROR(__xludf.DUMMYFUNCTION("""COMPUTED_VALUE"""),"39441")</f>
        <v>39441</v>
      </c>
      <c r="E503" s="80" t="str">
        <f ca="1">IFERROR(__xludf.DUMMYFUNCTION("""COMPUTED_VALUE"""),"Stock")</f>
        <v>Stock</v>
      </c>
      <c r="F503" s="80" t="str">
        <f ca="1">IFERROR(__xludf.DUMMYFUNCTION("""COMPUTED_VALUE"""),"HKD")</f>
        <v>HKD</v>
      </c>
      <c r="G503" s="83" t="str">
        <f ca="1">IFERROR(__xludf.DUMMYFUNCTION("""COMPUTED_VALUE"""),"0700.HK")</f>
        <v>0700.HK</v>
      </c>
      <c r="H503" s="81">
        <f ca="1">IFERROR(__xludf.DUMMYFUNCTION("""COMPUTED_VALUE"""),10)</f>
        <v>10</v>
      </c>
      <c r="I503" s="80"/>
    </row>
    <row r="504" spans="1:9" ht="13" x14ac:dyDescent="0.15">
      <c r="A504" s="5"/>
      <c r="B504" s="82">
        <f ca="1">IFERROR(__xludf.DUMMYFUNCTION("""COMPUTED_VALUE"""),44635.908623206)</f>
        <v>44635.908623206</v>
      </c>
      <c r="C504" s="79">
        <f ca="1">IFERROR(__xludf.DUMMYFUNCTION("""COMPUTED_VALUE"""),44635.6666666666)</f>
        <v>44635.666666666599</v>
      </c>
      <c r="D504" s="80" t="str">
        <f ca="1">IFERROR(__xludf.DUMMYFUNCTION("""COMPUTED_VALUE"""),"74356")</f>
        <v>74356</v>
      </c>
      <c r="E504" s="80" t="str">
        <f ca="1">IFERROR(__xludf.DUMMYFUNCTION("""COMPUTED_VALUE"""),"Stock")</f>
        <v>Stock</v>
      </c>
      <c r="F504" s="80" t="str">
        <f ca="1">IFERROR(__xludf.DUMMYFUNCTION("""COMPUTED_VALUE"""),"USD")</f>
        <v>USD</v>
      </c>
      <c r="G504" s="78" t="str">
        <f ca="1">IFERROR(__xludf.DUMMYFUNCTION("""COMPUTED_VALUE"""),"NET")</f>
        <v>NET</v>
      </c>
      <c r="H504" s="81">
        <f ca="1">IFERROR(__xludf.DUMMYFUNCTION("""COMPUTED_VALUE"""),10)</f>
        <v>10</v>
      </c>
      <c r="I504" s="80"/>
    </row>
    <row r="505" spans="1:9" ht="13" x14ac:dyDescent="0.15">
      <c r="A505" s="5"/>
      <c r="B505" s="82">
        <f ca="1">IFERROR(__xludf.DUMMYFUNCTION("""COMPUTED_VALUE"""),44635.9096778819)</f>
        <v>44635.9096778819</v>
      </c>
      <c r="C505" s="79">
        <f ca="1">IFERROR(__xludf.DUMMYFUNCTION("""COMPUTED_VALUE"""),44635.6666666666)</f>
        <v>44635.666666666599</v>
      </c>
      <c r="D505" s="80" t="str">
        <f ca="1">IFERROR(__xludf.DUMMYFUNCTION("""COMPUTED_VALUE"""),"74356")</f>
        <v>74356</v>
      </c>
      <c r="E505" s="80" t="str">
        <f ca="1">IFERROR(__xludf.DUMMYFUNCTION("""COMPUTED_VALUE"""),"Stock")</f>
        <v>Stock</v>
      </c>
      <c r="F505" s="80" t="str">
        <f ca="1">IFERROR(__xludf.DUMMYFUNCTION("""COMPUTED_VALUE"""),"USD")</f>
        <v>USD</v>
      </c>
      <c r="G505" s="78" t="str">
        <f ca="1">IFERROR(__xludf.DUMMYFUNCTION("""COMPUTED_VALUE"""),"BRK-B")</f>
        <v>BRK-B</v>
      </c>
      <c r="H505" s="81">
        <f ca="1">IFERROR(__xludf.DUMMYFUNCTION("""COMPUTED_VALUE"""),100)</f>
        <v>100</v>
      </c>
      <c r="I505" s="80"/>
    </row>
    <row r="506" spans="1:9" ht="13" x14ac:dyDescent="0.15">
      <c r="A506" s="5"/>
      <c r="B506" s="82">
        <f ca="1">IFERROR(__xludf.DUMMYFUNCTION("""COMPUTED_VALUE"""),44635.9786278703)</f>
        <v>44635.978627870303</v>
      </c>
      <c r="C506" s="79">
        <f ca="1">IFERROR(__xludf.DUMMYFUNCTION("""COMPUTED_VALUE"""),44635.6666666666)</f>
        <v>44635.666666666599</v>
      </c>
      <c r="D506" s="80" t="str">
        <f ca="1">IFERROR(__xludf.DUMMYFUNCTION("""COMPUTED_VALUE"""),"89750")</f>
        <v>89750</v>
      </c>
      <c r="E506" s="80" t="str">
        <f ca="1">IFERROR(__xludf.DUMMYFUNCTION("""COMPUTED_VALUE"""),"Option")</f>
        <v>Option</v>
      </c>
      <c r="F506" s="80" t="str">
        <f ca="1">IFERROR(__xludf.DUMMYFUNCTION("""COMPUTED_VALUE"""),"USD")</f>
        <v>USD</v>
      </c>
      <c r="G506" s="78" t="str">
        <f ca="1">IFERROR(__xludf.DUMMYFUNCTION("""COMPUTED_VALUE"""),"TQQQ220408P00056000")</f>
        <v>TQQQ220408P00056000</v>
      </c>
      <c r="H506" s="81">
        <f ca="1">IFERROR(__xludf.DUMMYFUNCTION("""COMPUTED_VALUE"""),20)</f>
        <v>20</v>
      </c>
      <c r="I506" s="80"/>
    </row>
    <row r="507" spans="1:9" ht="13" x14ac:dyDescent="0.15">
      <c r="A507" s="5"/>
      <c r="B507" s="82">
        <f ca="1">IFERROR(__xludf.DUMMYFUNCTION("""COMPUTED_VALUE"""),44635.9825249074)</f>
        <v>44635.982524907398</v>
      </c>
      <c r="C507" s="79">
        <f ca="1">IFERROR(__xludf.DUMMYFUNCTION("""COMPUTED_VALUE"""),44636.6666666666)</f>
        <v>44636.666666666599</v>
      </c>
      <c r="D507" s="80" t="str">
        <f ca="1">IFERROR(__xludf.DUMMYFUNCTION("""COMPUTED_VALUE"""),"76848")</f>
        <v>76848</v>
      </c>
      <c r="E507" s="80" t="str">
        <f ca="1">IFERROR(__xludf.DUMMYFUNCTION("""COMPUTED_VALUE"""),"Stock")</f>
        <v>Stock</v>
      </c>
      <c r="F507" s="80" t="str">
        <f ca="1">IFERROR(__xludf.DUMMYFUNCTION("""COMPUTED_VALUE"""),"HKD")</f>
        <v>HKD</v>
      </c>
      <c r="G507" s="83" t="str">
        <f ca="1">IFERROR(__xludf.DUMMYFUNCTION("""COMPUTED_VALUE"""),"1398.HK")</f>
        <v>1398.HK</v>
      </c>
      <c r="H507" s="81">
        <f ca="1">IFERROR(__xludf.DUMMYFUNCTION("""COMPUTED_VALUE"""),750)</f>
        <v>750</v>
      </c>
      <c r="I507" s="80"/>
    </row>
    <row r="508" spans="1:9" ht="13" x14ac:dyDescent="0.15">
      <c r="A508" s="5"/>
      <c r="B508" s="82">
        <f ca="1">IFERROR(__xludf.DUMMYFUNCTION("""COMPUTED_VALUE"""),44635.98442375)</f>
        <v>44635.98442375</v>
      </c>
      <c r="C508" s="79">
        <f ca="1">IFERROR(__xludf.DUMMYFUNCTION("""COMPUTED_VALUE"""),44636.6666666666)</f>
        <v>44636.666666666599</v>
      </c>
      <c r="D508" s="80" t="str">
        <f ca="1">IFERROR(__xludf.DUMMYFUNCTION("""COMPUTED_VALUE"""),"74356")</f>
        <v>74356</v>
      </c>
      <c r="E508" s="80" t="str">
        <f ca="1">IFERROR(__xludf.DUMMYFUNCTION("""COMPUTED_VALUE"""),"Stock")</f>
        <v>Stock</v>
      </c>
      <c r="F508" s="80" t="str">
        <f ca="1">IFERROR(__xludf.DUMMYFUNCTION("""COMPUTED_VALUE"""),"HKD")</f>
        <v>HKD</v>
      </c>
      <c r="G508" s="83" t="str">
        <f ca="1">IFERROR(__xludf.DUMMYFUNCTION("""COMPUTED_VALUE"""),"1398.HK")</f>
        <v>1398.HK</v>
      </c>
      <c r="H508" s="81">
        <f ca="1">IFERROR(__xludf.DUMMYFUNCTION("""COMPUTED_VALUE"""),750)</f>
        <v>750</v>
      </c>
      <c r="I508" s="80"/>
    </row>
    <row r="509" spans="1:9" ht="13" x14ac:dyDescent="0.15">
      <c r="A509" s="5"/>
      <c r="B509" s="82">
        <f ca="1">IFERROR(__xludf.DUMMYFUNCTION("""COMPUTED_VALUE"""),44636.0238476388)</f>
        <v>44636.023847638797</v>
      </c>
      <c r="C509" s="79">
        <f ca="1">IFERROR(__xludf.DUMMYFUNCTION("""COMPUTED_VALUE"""),44635.6666666666)</f>
        <v>44635.666666666599</v>
      </c>
      <c r="D509" s="80" t="str">
        <f ca="1">IFERROR(__xludf.DUMMYFUNCTION("""COMPUTED_VALUE"""),"76848")</f>
        <v>76848</v>
      </c>
      <c r="E509" s="80" t="str">
        <f ca="1">IFERROR(__xludf.DUMMYFUNCTION("""COMPUTED_VALUE"""),"Stock")</f>
        <v>Stock</v>
      </c>
      <c r="F509" s="80" t="str">
        <f ca="1">IFERROR(__xludf.DUMMYFUNCTION("""COMPUTED_VALUE"""),"USD")</f>
        <v>USD</v>
      </c>
      <c r="G509" s="78" t="str">
        <f ca="1">IFERROR(__xludf.DUMMYFUNCTION("""COMPUTED_VALUE"""),"IXHL")</f>
        <v>IXHL</v>
      </c>
      <c r="H509" s="81">
        <f ca="1">IFERROR(__xludf.DUMMYFUNCTION("""COMPUTED_VALUE"""),1000)</f>
        <v>1000</v>
      </c>
      <c r="I509" s="80"/>
    </row>
    <row r="510" spans="1:9" ht="13" x14ac:dyDescent="0.15">
      <c r="A510" s="5"/>
      <c r="B510" s="82">
        <f ca="1">IFERROR(__xludf.DUMMYFUNCTION("""COMPUTED_VALUE"""),44636.0250061921)</f>
        <v>44636.025006192103</v>
      </c>
      <c r="C510" s="79">
        <f ca="1">IFERROR(__xludf.DUMMYFUNCTION("""COMPUTED_VALUE"""),44635.6666666666)</f>
        <v>44635.666666666599</v>
      </c>
      <c r="D510" s="80" t="str">
        <f ca="1">IFERROR(__xludf.DUMMYFUNCTION("""COMPUTED_VALUE"""),"74356")</f>
        <v>74356</v>
      </c>
      <c r="E510" s="80" t="str">
        <f ca="1">IFERROR(__xludf.DUMMYFUNCTION("""COMPUTED_VALUE"""),"Stock")</f>
        <v>Stock</v>
      </c>
      <c r="F510" s="80" t="str">
        <f ca="1">IFERROR(__xludf.DUMMYFUNCTION("""COMPUTED_VALUE"""),"USD")</f>
        <v>USD</v>
      </c>
      <c r="G510" s="78" t="str">
        <f ca="1">IFERROR(__xludf.DUMMYFUNCTION("""COMPUTED_VALUE"""),"IXHL")</f>
        <v>IXHL</v>
      </c>
      <c r="H510" s="81">
        <f ca="1">IFERROR(__xludf.DUMMYFUNCTION("""COMPUTED_VALUE"""),1000)</f>
        <v>1000</v>
      </c>
      <c r="I510" s="80"/>
    </row>
    <row r="511" spans="1:9" ht="13" x14ac:dyDescent="0.15">
      <c r="A511" s="5"/>
      <c r="B511" s="82">
        <f ca="1">IFERROR(__xludf.DUMMYFUNCTION("""COMPUTED_VALUE"""),44636.0344429398)</f>
        <v>44636.034442939803</v>
      </c>
      <c r="C511" s="79">
        <f ca="1">IFERROR(__xludf.DUMMYFUNCTION("""COMPUTED_VALUE"""),44635.6666666666)</f>
        <v>44635.666666666599</v>
      </c>
      <c r="D511" s="80" t="str">
        <f ca="1">IFERROR(__xludf.DUMMYFUNCTION("""COMPUTED_VALUE"""),"89750")</f>
        <v>89750</v>
      </c>
      <c r="E511" s="80" t="str">
        <f ca="1">IFERROR(__xludf.DUMMYFUNCTION("""COMPUTED_VALUE"""),"Option")</f>
        <v>Option</v>
      </c>
      <c r="F511" s="80" t="str">
        <f ca="1">IFERROR(__xludf.DUMMYFUNCTION("""COMPUTED_VALUE"""),"USD")</f>
        <v>USD</v>
      </c>
      <c r="G511" s="78" t="str">
        <f ca="1">IFERROR(__xludf.DUMMYFUNCTION("""COMPUTED_VALUE"""),"OXY220318P00065000")</f>
        <v>OXY220318P00065000</v>
      </c>
      <c r="H511" s="81">
        <f ca="1">IFERROR(__xludf.DUMMYFUNCTION("""COMPUTED_VALUE"""),2)</f>
        <v>2</v>
      </c>
      <c r="I511" s="80"/>
    </row>
    <row r="512" spans="1:9" ht="13" x14ac:dyDescent="0.15">
      <c r="A512" s="5"/>
      <c r="B512" s="82">
        <f ca="1">IFERROR(__xludf.DUMMYFUNCTION("""COMPUTED_VALUE"""),44636.0384909722)</f>
        <v>44636.038490972198</v>
      </c>
      <c r="C512" s="79">
        <f ca="1">IFERROR(__xludf.DUMMYFUNCTION("""COMPUTED_VALUE"""),44635.6666666666)</f>
        <v>44635.666666666599</v>
      </c>
      <c r="D512" s="80" t="str">
        <f ca="1">IFERROR(__xludf.DUMMYFUNCTION("""COMPUTED_VALUE"""),"89750")</f>
        <v>89750</v>
      </c>
      <c r="E512" s="80" t="str">
        <f ca="1">IFERROR(__xludf.DUMMYFUNCTION("""COMPUTED_VALUE"""),"Stock")</f>
        <v>Stock</v>
      </c>
      <c r="F512" s="80" t="str">
        <f ca="1">IFERROR(__xludf.DUMMYFUNCTION("""COMPUTED_VALUE"""),"USD")</f>
        <v>USD</v>
      </c>
      <c r="G512" s="78" t="str">
        <f ca="1">IFERROR(__xludf.DUMMYFUNCTION("""COMPUTED_VALUE"""),"SBRCY")</f>
        <v>SBRCY</v>
      </c>
      <c r="H512" s="81">
        <f ca="1">IFERROR(__xludf.DUMMYFUNCTION("""COMPUTED_VALUE"""),5000)</f>
        <v>5000</v>
      </c>
      <c r="I512" s="80"/>
    </row>
    <row r="513" spans="1:9" ht="13" x14ac:dyDescent="0.15">
      <c r="A513" s="5"/>
      <c r="B513" s="82">
        <f ca="1">IFERROR(__xludf.DUMMYFUNCTION("""COMPUTED_VALUE"""),44636.0404120023)</f>
        <v>44636.040412002301</v>
      </c>
      <c r="C513" s="79">
        <f ca="1">IFERROR(__xludf.DUMMYFUNCTION("""COMPUTED_VALUE"""),44635.6666666666)</f>
        <v>44635.666666666599</v>
      </c>
      <c r="D513" s="80" t="str">
        <f ca="1">IFERROR(__xludf.DUMMYFUNCTION("""COMPUTED_VALUE"""),"89750")</f>
        <v>89750</v>
      </c>
      <c r="E513" s="80" t="str">
        <f ca="1">IFERROR(__xludf.DUMMYFUNCTION("""COMPUTED_VALUE"""),"Option")</f>
        <v>Option</v>
      </c>
      <c r="F513" s="80" t="str">
        <f ca="1">IFERROR(__xludf.DUMMYFUNCTION("""COMPUTED_VALUE"""),"USD")</f>
        <v>USD</v>
      </c>
      <c r="G513" s="78" t="str">
        <f ca="1">IFERROR(__xludf.DUMMYFUNCTION("""COMPUTED_VALUE"""),"NU220414C00006000")</f>
        <v>NU220414C00006000</v>
      </c>
      <c r="H513" s="81">
        <f ca="1">IFERROR(__xludf.DUMMYFUNCTION("""COMPUTED_VALUE"""),2)</f>
        <v>2</v>
      </c>
      <c r="I513" s="80"/>
    </row>
    <row r="514" spans="1:9" ht="13" x14ac:dyDescent="0.15">
      <c r="A514" s="5"/>
      <c r="B514" s="82">
        <f ca="1">IFERROR(__xludf.DUMMYFUNCTION("""COMPUTED_VALUE"""),44636.3831572685)</f>
        <v>44636.383157268501</v>
      </c>
      <c r="C514" s="79" t="str">
        <f ca="1">IFERROR(__xludf.DUMMYFUNCTION("""COMPUTED_VALUE"""),"")</f>
        <v/>
      </c>
      <c r="D514" s="80" t="str">
        <f ca="1">IFERROR(__xludf.DUMMYFUNCTION("""COMPUTED_VALUE"""),"89845")</f>
        <v>89845</v>
      </c>
      <c r="E514" s="80" t="str">
        <f ca="1">IFERROR(__xludf.DUMMYFUNCTION("""COMPUTED_VALUE"""),"Stock")</f>
        <v>Stock</v>
      </c>
      <c r="F514" s="80" t="str">
        <f ca="1">IFERROR(__xludf.DUMMYFUNCTION("""COMPUTED_VALUE"""),"error")</f>
        <v>error</v>
      </c>
      <c r="G514" s="78" t="str">
        <f ca="1">IFERROR(__xludf.DUMMYFUNCTION("""COMPUTED_VALUE"""),"ASML")</f>
        <v>ASML</v>
      </c>
      <c r="H514" s="81">
        <f ca="1">IFERROR(__xludf.DUMMYFUNCTION("""COMPUTED_VALUE"""),200)</f>
        <v>200</v>
      </c>
      <c r="I514" s="80" t="str">
        <f ca="1">IFERROR(__xludf.DUMMYFUNCTION("""COMPUTED_VALUE"""),"Order rejected due to non-numeric character in limit price box. Only numbers are allowed.")</f>
        <v>Order rejected due to non-numeric character in limit price box. Only numbers are allowed.</v>
      </c>
    </row>
    <row r="515" spans="1:9" ht="13" x14ac:dyDescent="0.15">
      <c r="A515" s="5"/>
      <c r="B515" s="82">
        <f ca="1">IFERROR(__xludf.DUMMYFUNCTION("""COMPUTED_VALUE"""),44636.4137770717)</f>
        <v>44636.413777071699</v>
      </c>
      <c r="C515" s="79">
        <f ca="1">IFERROR(__xludf.DUMMYFUNCTION("""COMPUTED_VALUE"""),44636.6666666666)</f>
        <v>44636.666666666599</v>
      </c>
      <c r="D515" s="80" t="str">
        <f ca="1">IFERROR(__xludf.DUMMYFUNCTION("""COMPUTED_VALUE"""),"56118")</f>
        <v>56118</v>
      </c>
      <c r="E515" s="80" t="str">
        <f ca="1">IFERROR(__xludf.DUMMYFUNCTION("""COMPUTED_VALUE"""),"Stock")</f>
        <v>Stock</v>
      </c>
      <c r="F515" s="80" t="str">
        <f ca="1">IFERROR(__xludf.DUMMYFUNCTION("""COMPUTED_VALUE"""),"USD")</f>
        <v>USD</v>
      </c>
      <c r="G515" s="78" t="str">
        <f ca="1">IFERROR(__xludf.DUMMYFUNCTION("""COMPUTED_VALUE"""),"PFE")</f>
        <v>PFE</v>
      </c>
      <c r="H515" s="81">
        <f ca="1">IFERROR(__xludf.DUMMYFUNCTION("""COMPUTED_VALUE"""),500)</f>
        <v>500</v>
      </c>
      <c r="I515" s="80"/>
    </row>
    <row r="516" spans="1:9" ht="13" x14ac:dyDescent="0.15">
      <c r="A516" s="5"/>
      <c r="B516" s="82">
        <f ca="1">IFERROR(__xludf.DUMMYFUNCTION("""COMPUTED_VALUE"""),44636.4268044791)</f>
        <v>44636.426804479102</v>
      </c>
      <c r="C516" s="79">
        <f ca="1">IFERROR(__xludf.DUMMYFUNCTION("""COMPUTED_VALUE"""),44636.6666666666)</f>
        <v>44636.666666666599</v>
      </c>
      <c r="D516" s="80" t="str">
        <f ca="1">IFERROR(__xludf.DUMMYFUNCTION("""COMPUTED_VALUE"""),"59656")</f>
        <v>59656</v>
      </c>
      <c r="E516" s="80" t="str">
        <f ca="1">IFERROR(__xludf.DUMMYFUNCTION("""COMPUTED_VALUE"""),"Stock")</f>
        <v>Stock</v>
      </c>
      <c r="F516" s="80" t="str">
        <f ca="1">IFERROR(__xludf.DUMMYFUNCTION("""COMPUTED_VALUE"""),"USD")</f>
        <v>USD</v>
      </c>
      <c r="G516" s="78" t="str">
        <f ca="1">IFERROR(__xludf.DUMMYFUNCTION("""COMPUTED_VALUE"""),"aapl")</f>
        <v>aapl</v>
      </c>
      <c r="H516" s="81">
        <f ca="1">IFERROR(__xludf.DUMMYFUNCTION("""COMPUTED_VALUE"""),100)</f>
        <v>100</v>
      </c>
      <c r="I516" s="80"/>
    </row>
    <row r="517" spans="1:9" ht="13" x14ac:dyDescent="0.15">
      <c r="A517" s="5"/>
      <c r="B517" s="82">
        <f ca="1">IFERROR(__xludf.DUMMYFUNCTION("""COMPUTED_VALUE"""),44636.43003853)</f>
        <v>44636.430038530001</v>
      </c>
      <c r="C517" s="79">
        <f ca="1">IFERROR(__xludf.DUMMYFUNCTION("""COMPUTED_VALUE"""),44636.6666666666)</f>
        <v>44636.666666666599</v>
      </c>
      <c r="D517" s="80" t="str">
        <f ca="1">IFERROR(__xludf.DUMMYFUNCTION("""COMPUTED_VALUE"""),"75965")</f>
        <v>75965</v>
      </c>
      <c r="E517" s="80" t="str">
        <f ca="1">IFERROR(__xludf.DUMMYFUNCTION("""COMPUTED_VALUE"""),"Stock")</f>
        <v>Stock</v>
      </c>
      <c r="F517" s="80" t="str">
        <f ca="1">IFERROR(__xludf.DUMMYFUNCTION("""COMPUTED_VALUE"""),"USD")</f>
        <v>USD</v>
      </c>
      <c r="G517" s="78" t="str">
        <f ca="1">IFERROR(__xludf.DUMMYFUNCTION("""COMPUTED_VALUE"""),"TSLA")</f>
        <v>TSLA</v>
      </c>
      <c r="H517" s="81">
        <f ca="1">IFERROR(__xludf.DUMMYFUNCTION("""COMPUTED_VALUE"""),50)</f>
        <v>50</v>
      </c>
      <c r="I517" s="80"/>
    </row>
    <row r="518" spans="1:9" ht="13" x14ac:dyDescent="0.15">
      <c r="A518" s="5"/>
      <c r="B518" s="82">
        <f ca="1">IFERROR(__xludf.DUMMYFUNCTION("""COMPUTED_VALUE"""),44636.4332356481)</f>
        <v>44636.433235648103</v>
      </c>
      <c r="C518" s="79">
        <f ca="1">IFERROR(__xludf.DUMMYFUNCTION("""COMPUTED_VALUE"""),44636.6666666666)</f>
        <v>44636.666666666599</v>
      </c>
      <c r="D518" s="80" t="str">
        <f ca="1">IFERROR(__xludf.DUMMYFUNCTION("""COMPUTED_VALUE"""),"75965")</f>
        <v>75965</v>
      </c>
      <c r="E518" s="80" t="str">
        <f ca="1">IFERROR(__xludf.DUMMYFUNCTION("""COMPUTED_VALUE"""),"Stock")</f>
        <v>Stock</v>
      </c>
      <c r="F518" s="80" t="str">
        <f ca="1">IFERROR(__xludf.DUMMYFUNCTION("""COMPUTED_VALUE"""),"USD")</f>
        <v>USD</v>
      </c>
      <c r="G518" s="78" t="str">
        <f ca="1">IFERROR(__xludf.DUMMYFUNCTION("""COMPUTED_VALUE"""),"ES=F")</f>
        <v>ES=F</v>
      </c>
      <c r="H518" s="81">
        <f ca="1">IFERROR(__xludf.DUMMYFUNCTION("""COMPUTED_VALUE"""),100)</f>
        <v>100</v>
      </c>
      <c r="I518" s="80"/>
    </row>
    <row r="519" spans="1:9" ht="13" x14ac:dyDescent="0.15">
      <c r="A519" s="5"/>
      <c r="B519" s="82">
        <f ca="1">IFERROR(__xludf.DUMMYFUNCTION("""COMPUTED_VALUE"""),44636.4556693634)</f>
        <v>44636.4556693634</v>
      </c>
      <c r="C519" s="79">
        <f ca="1">IFERROR(__xludf.DUMMYFUNCTION("""COMPUTED_VALUE"""),44636.6666666666)</f>
        <v>44636.666666666599</v>
      </c>
      <c r="D519" s="80" t="str">
        <f ca="1">IFERROR(__xludf.DUMMYFUNCTION("""COMPUTED_VALUE"""),"76369")</f>
        <v>76369</v>
      </c>
      <c r="E519" s="80" t="str">
        <f ca="1">IFERROR(__xludf.DUMMYFUNCTION("""COMPUTED_VALUE"""),"Stock")</f>
        <v>Stock</v>
      </c>
      <c r="F519" s="80" t="str">
        <f ca="1">IFERROR(__xludf.DUMMYFUNCTION("""COMPUTED_VALUE"""),"USD")</f>
        <v>USD</v>
      </c>
      <c r="G519" s="78" t="str">
        <f ca="1">IFERROR(__xludf.DUMMYFUNCTION("""COMPUTED_VALUE"""),"GC=F")</f>
        <v>GC=F</v>
      </c>
      <c r="H519" s="81">
        <f ca="1">IFERROR(__xludf.DUMMYFUNCTION("""COMPUTED_VALUE"""),5)</f>
        <v>5</v>
      </c>
      <c r="I519" s="80"/>
    </row>
    <row r="520" spans="1:9" ht="13" x14ac:dyDescent="0.15">
      <c r="A520" s="5"/>
      <c r="B520" s="82">
        <f ca="1">IFERROR(__xludf.DUMMYFUNCTION("""COMPUTED_VALUE"""),44636.5018211805)</f>
        <v>44636.5018211805</v>
      </c>
      <c r="C520" s="79" t="str">
        <f ca="1">IFERROR(__xludf.DUMMYFUNCTION("""COMPUTED_VALUE"""),"")</f>
        <v/>
      </c>
      <c r="D520" s="80" t="str">
        <f ca="1">IFERROR(__xludf.DUMMYFUNCTION("""COMPUTED_VALUE"""),"75965")</f>
        <v>75965</v>
      </c>
      <c r="E520" s="80" t="str">
        <f ca="1">IFERROR(__xludf.DUMMYFUNCTION("""COMPUTED_VALUE"""),"Stock")</f>
        <v>Stock</v>
      </c>
      <c r="F520" s="80" t="str">
        <f ca="1">IFERROR(__xludf.DUMMYFUNCTION("""COMPUTED_VALUE"""),"error")</f>
        <v>error</v>
      </c>
      <c r="G520" s="78" t="str">
        <f ca="1">IFERROR(__xludf.DUMMYFUNCTION("""COMPUTED_VALUE"""),"AAPL")</f>
        <v>AAPL</v>
      </c>
      <c r="H520" s="81">
        <f ca="1">IFERROR(__xludf.DUMMYFUNCTION("""COMPUTED_VALUE"""),1)</f>
        <v>1</v>
      </c>
      <c r="I520" s="80" t="str">
        <f ca="1">IFERROR(__xludf.DUMMYFUNCTION("""COMPUTED_VALUE"""),"Order rejected due to password error")</f>
        <v>Order rejected due to password error</v>
      </c>
    </row>
    <row r="521" spans="1:9" ht="13" x14ac:dyDescent="0.15">
      <c r="A521" s="5"/>
      <c r="B521" s="82">
        <f ca="1">IFERROR(__xludf.DUMMYFUNCTION("""COMPUTED_VALUE"""),44636.508404456)</f>
        <v>44636.508404455999</v>
      </c>
      <c r="C521" s="79">
        <f ca="1">IFERROR(__xludf.DUMMYFUNCTION("""COMPUTED_VALUE"""),44636.6666666666)</f>
        <v>44636.666666666599</v>
      </c>
      <c r="D521" s="80" t="str">
        <f ca="1">IFERROR(__xludf.DUMMYFUNCTION("""COMPUTED_VALUE"""),"39441")</f>
        <v>39441</v>
      </c>
      <c r="E521" s="80" t="str">
        <f ca="1">IFERROR(__xludf.DUMMYFUNCTION("""COMPUTED_VALUE"""),"Stock")</f>
        <v>Stock</v>
      </c>
      <c r="F521" s="80" t="str">
        <f ca="1">IFERROR(__xludf.DUMMYFUNCTION("""COMPUTED_VALUE"""),"USD")</f>
        <v>USD</v>
      </c>
      <c r="G521" s="78" t="str">
        <f ca="1">IFERROR(__xludf.DUMMYFUNCTION("""COMPUTED_VALUE"""),"BABA")</f>
        <v>BABA</v>
      </c>
      <c r="H521" s="81">
        <f ca="1">IFERROR(__xludf.DUMMYFUNCTION("""COMPUTED_VALUE"""),200)</f>
        <v>200</v>
      </c>
      <c r="I521" s="80"/>
    </row>
    <row r="522" spans="1:9" ht="13" x14ac:dyDescent="0.15">
      <c r="A522" s="5"/>
      <c r="B522" s="82">
        <f ca="1">IFERROR(__xludf.DUMMYFUNCTION("""COMPUTED_VALUE"""),44636.5105383796)</f>
        <v>44636.510538379604</v>
      </c>
      <c r="C522" s="79">
        <f ca="1">IFERROR(__xludf.DUMMYFUNCTION("""COMPUTED_VALUE"""),44636.6666666666)</f>
        <v>44636.666666666599</v>
      </c>
      <c r="D522" s="80" t="str">
        <f ca="1">IFERROR(__xludf.DUMMYFUNCTION("""COMPUTED_VALUE"""),"39441")</f>
        <v>39441</v>
      </c>
      <c r="E522" s="80" t="str">
        <f ca="1">IFERROR(__xludf.DUMMYFUNCTION("""COMPUTED_VALUE"""),"Stock")</f>
        <v>Stock</v>
      </c>
      <c r="F522" s="80" t="str">
        <f ca="1">IFERROR(__xludf.DUMMYFUNCTION("""COMPUTED_VALUE"""),"HKD")</f>
        <v>HKD</v>
      </c>
      <c r="G522" s="83" t="str">
        <f ca="1">IFERROR(__xludf.DUMMYFUNCTION("""COMPUTED_VALUE"""),"0700.HK")</f>
        <v>0700.HK</v>
      </c>
      <c r="H522" s="81">
        <f ca="1">IFERROR(__xludf.DUMMYFUNCTION("""COMPUTED_VALUE"""),20)</f>
        <v>20</v>
      </c>
      <c r="I522" s="80"/>
    </row>
    <row r="523" spans="1:9" ht="13" x14ac:dyDescent="0.15">
      <c r="A523" s="5"/>
      <c r="B523" s="82">
        <f ca="1">IFERROR(__xludf.DUMMYFUNCTION("""COMPUTED_VALUE"""),44636.6078229861)</f>
        <v>44636.607822986101</v>
      </c>
      <c r="C523" s="79">
        <f ca="1">IFERROR(__xludf.DUMMYFUNCTION("""COMPUTED_VALUE"""),44636.6666666666)</f>
        <v>44636.666666666599</v>
      </c>
      <c r="D523" s="80" t="str">
        <f ca="1">IFERROR(__xludf.DUMMYFUNCTION("""COMPUTED_VALUE"""),"39704")</f>
        <v>39704</v>
      </c>
      <c r="E523" s="80" t="str">
        <f ca="1">IFERROR(__xludf.DUMMYFUNCTION("""COMPUTED_VALUE"""),"Stock")</f>
        <v>Stock</v>
      </c>
      <c r="F523" s="80" t="str">
        <f ca="1">IFERROR(__xludf.DUMMYFUNCTION("""COMPUTED_VALUE"""),"USD")</f>
        <v>USD</v>
      </c>
      <c r="G523" s="78" t="str">
        <f ca="1">IFERROR(__xludf.DUMMYFUNCTION("""COMPUTED_VALUE"""),"AEP")</f>
        <v>AEP</v>
      </c>
      <c r="H523" s="81">
        <f ca="1">IFERROR(__xludf.DUMMYFUNCTION("""COMPUTED_VALUE"""),100)</f>
        <v>100</v>
      </c>
      <c r="I523" s="80"/>
    </row>
    <row r="524" spans="1:9" ht="13" x14ac:dyDescent="0.15">
      <c r="A524" s="5"/>
      <c r="B524" s="82">
        <f ca="1">IFERROR(__xludf.DUMMYFUNCTION("""COMPUTED_VALUE"""),44636.607958368)</f>
        <v>44636.607958367997</v>
      </c>
      <c r="C524" s="79">
        <f ca="1">IFERROR(__xludf.DUMMYFUNCTION("""COMPUTED_VALUE"""),44636.6666666666)</f>
        <v>44636.666666666599</v>
      </c>
      <c r="D524" s="80" t="str">
        <f ca="1">IFERROR(__xludf.DUMMYFUNCTION("""COMPUTED_VALUE"""),"38209")</f>
        <v>38209</v>
      </c>
      <c r="E524" s="80" t="str">
        <f ca="1">IFERROR(__xludf.DUMMYFUNCTION("""COMPUTED_VALUE"""),"Stock")</f>
        <v>Stock</v>
      </c>
      <c r="F524" s="80" t="str">
        <f ca="1">IFERROR(__xludf.DUMMYFUNCTION("""COMPUTED_VALUE"""),"HKD")</f>
        <v>HKD</v>
      </c>
      <c r="G524" s="83" t="str">
        <f ca="1">IFERROR(__xludf.DUMMYFUNCTION("""COMPUTED_VALUE"""),"1810.HK")</f>
        <v>1810.HK</v>
      </c>
      <c r="H524" s="81">
        <f ca="1">IFERROR(__xludf.DUMMYFUNCTION("""COMPUTED_VALUE"""),3000)</f>
        <v>3000</v>
      </c>
      <c r="I524" s="80"/>
    </row>
    <row r="525" spans="1:9" ht="13" x14ac:dyDescent="0.15">
      <c r="A525" s="5"/>
      <c r="B525" s="82">
        <f ca="1">IFERROR(__xludf.DUMMYFUNCTION("""COMPUTED_VALUE"""),44636.6122748263)</f>
        <v>44636.612274826301</v>
      </c>
      <c r="C525" s="79">
        <f ca="1">IFERROR(__xludf.DUMMYFUNCTION("""COMPUTED_VALUE"""),44636.6666666666)</f>
        <v>44636.666666666599</v>
      </c>
      <c r="D525" s="80" t="str">
        <f ca="1">IFERROR(__xludf.DUMMYFUNCTION("""COMPUTED_VALUE"""),"45962")</f>
        <v>45962</v>
      </c>
      <c r="E525" s="80" t="str">
        <f ca="1">IFERROR(__xludf.DUMMYFUNCTION("""COMPUTED_VALUE"""),"Stock")</f>
        <v>Stock</v>
      </c>
      <c r="F525" s="80" t="str">
        <f ca="1">IFERROR(__xludf.DUMMYFUNCTION("""COMPUTED_VALUE"""),"HKD")</f>
        <v>HKD</v>
      </c>
      <c r="G525" s="83" t="str">
        <f ca="1">IFERROR(__xludf.DUMMYFUNCTION("""COMPUTED_VALUE"""),"0700.hk")</f>
        <v>0700.hk</v>
      </c>
      <c r="H525" s="81">
        <f ca="1">IFERROR(__xludf.DUMMYFUNCTION("""COMPUTED_VALUE"""),200)</f>
        <v>200</v>
      </c>
      <c r="I525" s="80"/>
    </row>
    <row r="526" spans="1:9" ht="13" x14ac:dyDescent="0.15">
      <c r="A526" s="5"/>
      <c r="B526" s="82">
        <f ca="1">IFERROR(__xludf.DUMMYFUNCTION("""COMPUTED_VALUE"""),44636.620332037)</f>
        <v>44636.620332036997</v>
      </c>
      <c r="C526" s="79">
        <f ca="1">IFERROR(__xludf.DUMMYFUNCTION("""COMPUTED_VALUE"""),44636.6666666666)</f>
        <v>44636.666666666599</v>
      </c>
      <c r="D526" s="80" t="str">
        <f ca="1">IFERROR(__xludf.DUMMYFUNCTION("""COMPUTED_VALUE"""),"38381")</f>
        <v>38381</v>
      </c>
      <c r="E526" s="80" t="str">
        <f ca="1">IFERROR(__xludf.DUMMYFUNCTION("""COMPUTED_VALUE"""),"Stock")</f>
        <v>Stock</v>
      </c>
      <c r="F526" s="80" t="str">
        <f ca="1">IFERROR(__xludf.DUMMYFUNCTION("""COMPUTED_VALUE"""),"USD")</f>
        <v>USD</v>
      </c>
      <c r="G526" s="78" t="str">
        <f ca="1">IFERROR(__xludf.DUMMYFUNCTION("""COMPUTED_VALUE"""),"BZ=F")</f>
        <v>BZ=F</v>
      </c>
      <c r="H526" s="81">
        <f ca="1">IFERROR(__xludf.DUMMYFUNCTION("""COMPUTED_VALUE"""),200)</f>
        <v>200</v>
      </c>
      <c r="I526" s="80"/>
    </row>
    <row r="527" spans="1:9" ht="13" x14ac:dyDescent="0.15">
      <c r="A527" s="5"/>
      <c r="B527" s="82">
        <f ca="1">IFERROR(__xludf.DUMMYFUNCTION("""COMPUTED_VALUE"""),44636.6213311921)</f>
        <v>44636.621331192102</v>
      </c>
      <c r="C527" s="79">
        <f ca="1">IFERROR(__xludf.DUMMYFUNCTION("""COMPUTED_VALUE"""),44636.6666666666)</f>
        <v>44636.666666666599</v>
      </c>
      <c r="D527" s="80" t="str">
        <f ca="1">IFERROR(__xludf.DUMMYFUNCTION("""COMPUTED_VALUE"""),"38381")</f>
        <v>38381</v>
      </c>
      <c r="E527" s="80" t="str">
        <f ca="1">IFERROR(__xludf.DUMMYFUNCTION("""COMPUTED_VALUE"""),"Stock")</f>
        <v>Stock</v>
      </c>
      <c r="F527" s="80" t="str">
        <f ca="1">IFERROR(__xludf.DUMMYFUNCTION("""COMPUTED_VALUE"""),"USD")</f>
        <v>USD</v>
      </c>
      <c r="G527" s="78" t="str">
        <f ca="1">IFERROR(__xludf.DUMMYFUNCTION("""COMPUTED_VALUE"""),"AAPL")</f>
        <v>AAPL</v>
      </c>
      <c r="H527" s="81">
        <f ca="1">IFERROR(__xludf.DUMMYFUNCTION("""COMPUTED_VALUE"""),300)</f>
        <v>300</v>
      </c>
      <c r="I527" s="80"/>
    </row>
    <row r="528" spans="1:9" ht="13" x14ac:dyDescent="0.15">
      <c r="A528" s="5"/>
      <c r="B528" s="82">
        <f ca="1">IFERROR(__xludf.DUMMYFUNCTION("""COMPUTED_VALUE"""),44636.6361847453)</f>
        <v>44636.636184745301</v>
      </c>
      <c r="C528" s="79">
        <f ca="1">IFERROR(__xludf.DUMMYFUNCTION("""COMPUTED_VALUE"""),44636.6666666666)</f>
        <v>44636.666666666599</v>
      </c>
      <c r="D528" s="80" t="str">
        <f ca="1">IFERROR(__xludf.DUMMYFUNCTION("""COMPUTED_VALUE"""),"77936")</f>
        <v>77936</v>
      </c>
      <c r="E528" s="80" t="str">
        <f ca="1">IFERROR(__xludf.DUMMYFUNCTION("""COMPUTED_VALUE"""),"Stock")</f>
        <v>Stock</v>
      </c>
      <c r="F528" s="80" t="str">
        <f ca="1">IFERROR(__xludf.DUMMYFUNCTION("""COMPUTED_VALUE"""),"HKD")</f>
        <v>HKD</v>
      </c>
      <c r="G528" s="83" t="str">
        <f ca="1">IFERROR(__xludf.DUMMYFUNCTION("""COMPUTED_VALUE"""),"6078.HK")</f>
        <v>6078.HK</v>
      </c>
      <c r="H528" s="81">
        <f ca="1">IFERROR(__xludf.DUMMYFUNCTION("""COMPUTED_VALUE"""),1000)</f>
        <v>1000</v>
      </c>
      <c r="I528" s="80"/>
    </row>
    <row r="529" spans="1:9" ht="13" x14ac:dyDescent="0.15">
      <c r="A529" s="5"/>
      <c r="B529" s="82">
        <f ca="1">IFERROR(__xludf.DUMMYFUNCTION("""COMPUTED_VALUE"""),44636.6371196643)</f>
        <v>44636.637119664301</v>
      </c>
      <c r="C529" s="79">
        <f ca="1">IFERROR(__xludf.DUMMYFUNCTION("""COMPUTED_VALUE"""),44636.6666666666)</f>
        <v>44636.666666666599</v>
      </c>
      <c r="D529" s="80" t="str">
        <f ca="1">IFERROR(__xludf.DUMMYFUNCTION("""COMPUTED_VALUE"""),"77936")</f>
        <v>77936</v>
      </c>
      <c r="E529" s="80" t="str">
        <f ca="1">IFERROR(__xludf.DUMMYFUNCTION("""COMPUTED_VALUE"""),"Stock")</f>
        <v>Stock</v>
      </c>
      <c r="F529" s="80" t="str">
        <f ca="1">IFERROR(__xludf.DUMMYFUNCTION("""COMPUTED_VALUE"""),"HKD")</f>
        <v>HKD</v>
      </c>
      <c r="G529" s="83" t="str">
        <f ca="1">IFERROR(__xludf.DUMMYFUNCTION("""COMPUTED_VALUE"""),"3690.HK")</f>
        <v>3690.HK</v>
      </c>
      <c r="H529" s="81">
        <f ca="1">IFERROR(__xludf.DUMMYFUNCTION("""COMPUTED_VALUE"""),500)</f>
        <v>500</v>
      </c>
      <c r="I529" s="80"/>
    </row>
    <row r="530" spans="1:9" ht="13" x14ac:dyDescent="0.15">
      <c r="A530" s="5"/>
      <c r="B530" s="82">
        <f ca="1">IFERROR(__xludf.DUMMYFUNCTION("""COMPUTED_VALUE"""),44636.6641282754)</f>
        <v>44636.664128275399</v>
      </c>
      <c r="C530" s="79">
        <f ca="1">IFERROR(__xludf.DUMMYFUNCTION("""COMPUTED_VALUE"""),44636.6666666666)</f>
        <v>44636.666666666599</v>
      </c>
      <c r="D530" s="80" t="str">
        <f ca="1">IFERROR(__xludf.DUMMYFUNCTION("""COMPUTED_VALUE"""),"46975")</f>
        <v>46975</v>
      </c>
      <c r="E530" s="80" t="str">
        <f ca="1">IFERROR(__xludf.DUMMYFUNCTION("""COMPUTED_VALUE"""),"Stock")</f>
        <v>Stock</v>
      </c>
      <c r="F530" s="80" t="str">
        <f ca="1">IFERROR(__xludf.DUMMYFUNCTION("""COMPUTED_VALUE"""),"HKD")</f>
        <v>HKD</v>
      </c>
      <c r="G530" s="83" t="str">
        <f ca="1">IFERROR(__xludf.DUMMYFUNCTION("""COMPUTED_VALUE"""),"0700.HK")</f>
        <v>0700.HK</v>
      </c>
      <c r="H530" s="81">
        <f ca="1">IFERROR(__xludf.DUMMYFUNCTION("""COMPUTED_VALUE"""),200)</f>
        <v>200</v>
      </c>
      <c r="I530" s="80"/>
    </row>
    <row r="531" spans="1:9" ht="13" x14ac:dyDescent="0.15">
      <c r="A531" s="5"/>
      <c r="B531" s="82">
        <f ca="1">IFERROR(__xludf.DUMMYFUNCTION("""COMPUTED_VALUE"""),44636.6646255208)</f>
        <v>44636.664625520803</v>
      </c>
      <c r="C531" s="79">
        <f ca="1">IFERROR(__xludf.DUMMYFUNCTION("""COMPUTED_VALUE"""),44636.6666666666)</f>
        <v>44636.666666666599</v>
      </c>
      <c r="D531" s="80" t="str">
        <f ca="1">IFERROR(__xludf.DUMMYFUNCTION("""COMPUTED_VALUE"""),"46975")</f>
        <v>46975</v>
      </c>
      <c r="E531" s="80" t="str">
        <f ca="1">IFERROR(__xludf.DUMMYFUNCTION("""COMPUTED_VALUE"""),"Stock")</f>
        <v>Stock</v>
      </c>
      <c r="F531" s="80" t="str">
        <f ca="1">IFERROR(__xludf.DUMMYFUNCTION("""COMPUTED_VALUE"""),"HKD")</f>
        <v>HKD</v>
      </c>
      <c r="G531" s="83" t="str">
        <f ca="1">IFERROR(__xludf.DUMMYFUNCTION("""COMPUTED_VALUE"""),"6862.HK")</f>
        <v>6862.HK</v>
      </c>
      <c r="H531" s="81">
        <f ca="1">IFERROR(__xludf.DUMMYFUNCTION("""COMPUTED_VALUE"""),200)</f>
        <v>200</v>
      </c>
      <c r="I531" s="80"/>
    </row>
    <row r="532" spans="1:9" ht="13" x14ac:dyDescent="0.15">
      <c r="A532" s="5"/>
      <c r="B532" s="82">
        <f ca="1">IFERROR(__xludf.DUMMYFUNCTION("""COMPUTED_VALUE"""),44636.6663122569)</f>
        <v>44636.666312256901</v>
      </c>
      <c r="C532" s="79">
        <f ca="1">IFERROR(__xludf.DUMMYFUNCTION("""COMPUTED_VALUE"""),44636.6666666666)</f>
        <v>44636.666666666599</v>
      </c>
      <c r="D532" s="80" t="str">
        <f ca="1">IFERROR(__xludf.DUMMYFUNCTION("""COMPUTED_VALUE"""),"89750")</f>
        <v>89750</v>
      </c>
      <c r="E532" s="80" t="str">
        <f ca="1">IFERROR(__xludf.DUMMYFUNCTION("""COMPUTED_VALUE"""),"Stock")</f>
        <v>Stock</v>
      </c>
      <c r="F532" s="80" t="str">
        <f ca="1">IFERROR(__xludf.DUMMYFUNCTION("""COMPUTED_VALUE"""),"HKD")</f>
        <v>HKD</v>
      </c>
      <c r="G532" s="83" t="str">
        <f ca="1">IFERROR(__xludf.DUMMYFUNCTION("""COMPUTED_VALUE"""),"3833.HK")</f>
        <v>3833.HK</v>
      </c>
      <c r="H532" s="81">
        <f ca="1">IFERROR(__xludf.DUMMYFUNCTION("""COMPUTED_VALUE"""),100000)</f>
        <v>100000</v>
      </c>
      <c r="I532" s="80"/>
    </row>
    <row r="533" spans="1:9" ht="13" x14ac:dyDescent="0.15">
      <c r="A533" s="5"/>
      <c r="B533" s="82">
        <f ca="1">IFERROR(__xludf.DUMMYFUNCTION("""COMPUTED_VALUE"""),44636.7368657291)</f>
        <v>44636.736865729101</v>
      </c>
      <c r="C533" s="79">
        <f ca="1">IFERROR(__xludf.DUMMYFUNCTION("""COMPUTED_VALUE"""),44637.6666666666)</f>
        <v>44637.666666666599</v>
      </c>
      <c r="D533" s="80" t="str">
        <f ca="1">IFERROR(__xludf.DUMMYFUNCTION("""COMPUTED_VALUE"""),"95516")</f>
        <v>95516</v>
      </c>
      <c r="E533" s="80" t="str">
        <f ca="1">IFERROR(__xludf.DUMMYFUNCTION("""COMPUTED_VALUE"""),"Stock")</f>
        <v>Stock</v>
      </c>
      <c r="F533" s="80" t="str">
        <f ca="1">IFERROR(__xludf.DUMMYFUNCTION("""COMPUTED_VALUE"""),"HKD")</f>
        <v>HKD</v>
      </c>
      <c r="G533" s="83" t="str">
        <f ca="1">IFERROR(__xludf.DUMMYFUNCTION("""COMPUTED_VALUE"""),"0968.HK")</f>
        <v>0968.HK</v>
      </c>
      <c r="H533" s="81">
        <f ca="1">IFERROR(__xludf.DUMMYFUNCTION("""COMPUTED_VALUE"""),10000)</f>
        <v>10000</v>
      </c>
      <c r="I533" s="80"/>
    </row>
    <row r="534" spans="1:9" ht="13" x14ac:dyDescent="0.15">
      <c r="A534" s="5"/>
      <c r="B534" s="82">
        <f ca="1">IFERROR(__xludf.DUMMYFUNCTION("""COMPUTED_VALUE"""),44636.7388159953)</f>
        <v>44636.738815995297</v>
      </c>
      <c r="C534" s="79" t="str">
        <f ca="1">IFERROR(__xludf.DUMMYFUNCTION("""COMPUTED_VALUE"""),"")</f>
        <v/>
      </c>
      <c r="D534" s="80" t="str">
        <f ca="1">IFERROR(__xludf.DUMMYFUNCTION("""COMPUTED_VALUE"""),"95516")</f>
        <v>95516</v>
      </c>
      <c r="E534" s="80" t="str">
        <f ca="1">IFERROR(__xludf.DUMMYFUNCTION("""COMPUTED_VALUE"""),"Stock")</f>
        <v>Stock</v>
      </c>
      <c r="F534" s="80" t="str">
        <f ca="1">IFERROR(__xludf.DUMMYFUNCTION("""COMPUTED_VALUE"""),"error")</f>
        <v>error</v>
      </c>
      <c r="G534" s="83" t="str">
        <f ca="1">IFERROR(__xludf.DUMMYFUNCTION("""COMPUTED_VALUE"""),"0189.HK")</f>
        <v>0189.HK</v>
      </c>
      <c r="H534" s="81">
        <f ca="1">IFERROR(__xludf.DUMMYFUNCTION("""COMPUTED_VALUE"""),10000)</f>
        <v>10000</v>
      </c>
      <c r="I534" s="80" t="str">
        <f ca="1">IFERROR(__xludf.DUMMYFUNCTION("""COMPUTED_VALUE"""),"Order rejected due to 2nd password input wrong")</f>
        <v>Order rejected due to 2nd password input wrong</v>
      </c>
    </row>
    <row r="535" spans="1:9" ht="13" x14ac:dyDescent="0.15">
      <c r="A535" s="5"/>
      <c r="B535" s="82">
        <f ca="1">IFERROR(__xludf.DUMMYFUNCTION("""COMPUTED_VALUE"""),44636.7408418518)</f>
        <v>44636.740841851803</v>
      </c>
      <c r="C535" s="79">
        <f ca="1">IFERROR(__xludf.DUMMYFUNCTION("""COMPUTED_VALUE"""),44637.6666666666)</f>
        <v>44637.666666666599</v>
      </c>
      <c r="D535" s="80" t="str">
        <f ca="1">IFERROR(__xludf.DUMMYFUNCTION("""COMPUTED_VALUE"""),"95516")</f>
        <v>95516</v>
      </c>
      <c r="E535" s="80" t="str">
        <f ca="1">IFERROR(__xludf.DUMMYFUNCTION("""COMPUTED_VALUE"""),"Stock")</f>
        <v>Stock</v>
      </c>
      <c r="F535" s="80" t="str">
        <f ca="1">IFERROR(__xludf.DUMMYFUNCTION("""COMPUTED_VALUE"""),"HKD")</f>
        <v>HKD</v>
      </c>
      <c r="G535" s="83" t="str">
        <f ca="1">IFERROR(__xludf.DUMMYFUNCTION("""COMPUTED_VALUE"""),"3800.HK")</f>
        <v>3800.HK</v>
      </c>
      <c r="H535" s="81">
        <f ca="1">IFERROR(__xludf.DUMMYFUNCTION("""COMPUTED_VALUE"""),10000)</f>
        <v>10000</v>
      </c>
      <c r="I535" s="80"/>
    </row>
    <row r="536" spans="1:9" ht="13" x14ac:dyDescent="0.15">
      <c r="A536" s="5"/>
      <c r="B536" s="82">
        <f ca="1">IFERROR(__xludf.DUMMYFUNCTION("""COMPUTED_VALUE"""),44636.7415766782)</f>
        <v>44636.7415766782</v>
      </c>
      <c r="C536" s="79">
        <f ca="1">IFERROR(__xludf.DUMMYFUNCTION("""COMPUTED_VALUE"""),44637.6666666666)</f>
        <v>44637.666666666599</v>
      </c>
      <c r="D536" s="80" t="str">
        <f ca="1">IFERROR(__xludf.DUMMYFUNCTION("""COMPUTED_VALUE"""),"95516")</f>
        <v>95516</v>
      </c>
      <c r="E536" s="80" t="str">
        <f ca="1">IFERROR(__xludf.DUMMYFUNCTION("""COMPUTED_VALUE"""),"Stock")</f>
        <v>Stock</v>
      </c>
      <c r="F536" s="80" t="str">
        <f ca="1">IFERROR(__xludf.DUMMYFUNCTION("""COMPUTED_VALUE"""),"HKD")</f>
        <v>HKD</v>
      </c>
      <c r="G536" s="83" t="str">
        <f ca="1">IFERROR(__xludf.DUMMYFUNCTION("""COMPUTED_VALUE"""),"0175.HK")</f>
        <v>0175.HK</v>
      </c>
      <c r="H536" s="81">
        <f ca="1">IFERROR(__xludf.DUMMYFUNCTION("""COMPUTED_VALUE"""),5000)</f>
        <v>5000</v>
      </c>
      <c r="I536" s="80"/>
    </row>
    <row r="537" spans="1:9" ht="13" x14ac:dyDescent="0.15">
      <c r="A537" s="5"/>
      <c r="B537" s="82">
        <f ca="1">IFERROR(__xludf.DUMMYFUNCTION("""COMPUTED_VALUE"""),44636.7443488541)</f>
        <v>44636.744348854103</v>
      </c>
      <c r="C537" s="79">
        <f ca="1">IFERROR(__xludf.DUMMYFUNCTION("""COMPUTED_VALUE"""),44637.6666666666)</f>
        <v>44637.666666666599</v>
      </c>
      <c r="D537" s="80" t="str">
        <f ca="1">IFERROR(__xludf.DUMMYFUNCTION("""COMPUTED_VALUE"""),"95516")</f>
        <v>95516</v>
      </c>
      <c r="E537" s="80" t="str">
        <f ca="1">IFERROR(__xludf.DUMMYFUNCTION("""COMPUTED_VALUE"""),"Stock")</f>
        <v>Stock</v>
      </c>
      <c r="F537" s="80" t="str">
        <f ca="1">IFERROR(__xludf.DUMMYFUNCTION("""COMPUTED_VALUE"""),"HKD")</f>
        <v>HKD</v>
      </c>
      <c r="G537" s="83" t="str">
        <f ca="1">IFERROR(__xludf.DUMMYFUNCTION("""COMPUTED_VALUE"""),"9988.HK")</f>
        <v>9988.HK</v>
      </c>
      <c r="H537" s="81">
        <f ca="1">IFERROR(__xludf.DUMMYFUNCTION("""COMPUTED_VALUE"""),500)</f>
        <v>500</v>
      </c>
      <c r="I537" s="80"/>
    </row>
    <row r="538" spans="1:9" ht="13" x14ac:dyDescent="0.15">
      <c r="A538" s="5"/>
      <c r="B538" s="82">
        <f ca="1">IFERROR(__xludf.DUMMYFUNCTION("""COMPUTED_VALUE"""),44636.7454848148)</f>
        <v>44636.745484814797</v>
      </c>
      <c r="C538" s="79">
        <f ca="1">IFERROR(__xludf.DUMMYFUNCTION("""COMPUTED_VALUE"""),44637.6666666666)</f>
        <v>44637.666666666599</v>
      </c>
      <c r="D538" s="80" t="str">
        <f ca="1">IFERROR(__xludf.DUMMYFUNCTION("""COMPUTED_VALUE"""),"95516")</f>
        <v>95516</v>
      </c>
      <c r="E538" s="80" t="str">
        <f ca="1">IFERROR(__xludf.DUMMYFUNCTION("""COMPUTED_VALUE"""),"Stock")</f>
        <v>Stock</v>
      </c>
      <c r="F538" s="80" t="str">
        <f ca="1">IFERROR(__xludf.DUMMYFUNCTION("""COMPUTED_VALUE"""),"HKD")</f>
        <v>HKD</v>
      </c>
      <c r="G538" s="83" t="str">
        <f ca="1">IFERROR(__xludf.DUMMYFUNCTION("""COMPUTED_VALUE"""),"9999.HK")</f>
        <v>9999.HK</v>
      </c>
      <c r="H538" s="81">
        <f ca="1">IFERROR(__xludf.DUMMYFUNCTION("""COMPUTED_VALUE"""),500)</f>
        <v>500</v>
      </c>
      <c r="I538" s="80"/>
    </row>
    <row r="539" spans="1:9" ht="13" x14ac:dyDescent="0.15">
      <c r="A539" s="5"/>
      <c r="B539" s="82">
        <f ca="1">IFERROR(__xludf.DUMMYFUNCTION("""COMPUTED_VALUE"""),44637.3257919097)</f>
        <v>44637.325791909701</v>
      </c>
      <c r="C539" s="79" t="str">
        <f ca="1">IFERROR(__xludf.DUMMYFUNCTION("""COMPUTED_VALUE"""),"")</f>
        <v/>
      </c>
      <c r="D539" s="80" t="str">
        <f ca="1">IFERROR(__xludf.DUMMYFUNCTION("""COMPUTED_VALUE"""),"")</f>
        <v/>
      </c>
      <c r="E539" s="80" t="str">
        <f ca="1">IFERROR(__xludf.DUMMYFUNCTION("""COMPUTED_VALUE"""),"Stock")</f>
        <v>Stock</v>
      </c>
      <c r="F539" s="80" t="str">
        <f ca="1">IFERROR(__xludf.DUMMYFUNCTION("""COMPUTED_VALUE"""),"error")</f>
        <v>error</v>
      </c>
      <c r="G539" s="78" t="str">
        <f ca="1">IFERROR(__xludf.DUMMYFUNCTION("""COMPUTED_VALUE"""),"TEST")</f>
        <v>TEST</v>
      </c>
      <c r="H539" s="81">
        <f ca="1">IFERROR(__xludf.DUMMYFUNCTION("""COMPUTED_VALUE"""),1)</f>
        <v>1</v>
      </c>
      <c r="I539" s="80" t="str">
        <f ca="1">IFERROR(__xludf.DUMMYFUNCTION("""COMPUTED_VALUE"""),"OrderTESTING")</f>
        <v>OrderTESTING</v>
      </c>
    </row>
    <row r="540" spans="1:9" ht="13" x14ac:dyDescent="0.15">
      <c r="A540" s="5"/>
      <c r="B540" s="82">
        <f ca="1">IFERROR(__xludf.DUMMYFUNCTION("""COMPUTED_VALUE"""),44637.3954849768)</f>
        <v>44637.395484976798</v>
      </c>
      <c r="C540" s="79" t="str">
        <f ca="1">IFERROR(__xludf.DUMMYFUNCTION("""COMPUTED_VALUE"""),"")</f>
        <v/>
      </c>
      <c r="D540" s="80" t="str">
        <f ca="1">IFERROR(__xludf.DUMMYFUNCTION("""COMPUTED_VALUE"""),"38093")</f>
        <v>38093</v>
      </c>
      <c r="E540" s="80" t="str">
        <f ca="1">IFERROR(__xludf.DUMMYFUNCTION("""COMPUTED_VALUE"""),"Stock")</f>
        <v>Stock</v>
      </c>
      <c r="F540" s="80" t="str">
        <f ca="1">IFERROR(__xludf.DUMMYFUNCTION("""COMPUTED_VALUE"""),"error")</f>
        <v>error</v>
      </c>
      <c r="G540" s="78">
        <f ca="1">IFERROR(__xludf.DUMMYFUNCTION("""COMPUTED_VALUE"""),2331)</f>
        <v>2331</v>
      </c>
      <c r="H540" s="81">
        <f ca="1">IFERROR(__xludf.DUMMYFUNCTION("""COMPUTED_VALUE"""),2000)</f>
        <v>2000</v>
      </c>
      <c r="I540" s="80" t="str">
        <f ca="1">IFERROR(__xludf.DUMMYFUNCTION("""COMPUTED_VALUE"""),"Order rejected due to wrong school email account and wrong ticker code. Should be 2331.HK, not 2331 only.")</f>
        <v>Order rejected due to wrong school email account and wrong ticker code. Should be 2331.HK, not 2331 only.</v>
      </c>
    </row>
    <row r="541" spans="1:9" ht="13" x14ac:dyDescent="0.15">
      <c r="A541" s="5"/>
      <c r="B541" s="82">
        <f ca="1">IFERROR(__xludf.DUMMYFUNCTION("""COMPUTED_VALUE"""),44637.39588603)</f>
        <v>44637.395886029997</v>
      </c>
      <c r="C541" s="79" t="str">
        <f ca="1">IFERROR(__xludf.DUMMYFUNCTION("""COMPUTED_VALUE"""),"")</f>
        <v/>
      </c>
      <c r="D541" s="80" t="str">
        <f ca="1">IFERROR(__xludf.DUMMYFUNCTION("""COMPUTED_VALUE"""),"")</f>
        <v/>
      </c>
      <c r="E541" s="80" t="str">
        <f ca="1">IFERROR(__xludf.DUMMYFUNCTION("""COMPUTED_VALUE"""),"Stock")</f>
        <v>Stock</v>
      </c>
      <c r="F541" s="80" t="str">
        <f ca="1">IFERROR(__xludf.DUMMYFUNCTION("""COMPUTED_VALUE"""),"error")</f>
        <v>error</v>
      </c>
      <c r="G541" s="78" t="str">
        <f ca="1">IFERROR(__xludf.DUMMYFUNCTION("""COMPUTED_VALUE"""),"NIO")</f>
        <v>NIO</v>
      </c>
      <c r="H541" s="81">
        <f ca="1">IFERROR(__xludf.DUMMYFUNCTION("""COMPUTED_VALUE"""),1000)</f>
        <v>1000</v>
      </c>
      <c r="I541" s="80" t="str">
        <f ca="1">IFERROR(__xludf.DUMMYFUNCTION("""COMPUTED_VALUE"""),"Order rejected due to non school account. Also, system detects non number character in Limit price input.")</f>
        <v>Order rejected due to non school account. Also, system detects non number character in Limit price input.</v>
      </c>
    </row>
    <row r="542" spans="1:9" ht="13" x14ac:dyDescent="0.15">
      <c r="A542" s="5"/>
      <c r="B542" s="82">
        <f ca="1">IFERROR(__xludf.DUMMYFUNCTION("""COMPUTED_VALUE"""),44637.4026701736)</f>
        <v>44637.4026701736</v>
      </c>
      <c r="C542" s="79" t="str">
        <f ca="1">IFERROR(__xludf.DUMMYFUNCTION("""COMPUTED_VALUE"""),"")</f>
        <v/>
      </c>
      <c r="D542" s="80" t="str">
        <f ca="1">IFERROR(__xludf.DUMMYFUNCTION("""COMPUTED_VALUE"""),"35702")</f>
        <v>35702</v>
      </c>
      <c r="E542" s="80" t="str">
        <f ca="1">IFERROR(__xludf.DUMMYFUNCTION("""COMPUTED_VALUE"""),"Stock")</f>
        <v>Stock</v>
      </c>
      <c r="F542" s="80" t="str">
        <f ca="1">IFERROR(__xludf.DUMMYFUNCTION("""COMPUTED_VALUE"""),"error")</f>
        <v>error</v>
      </c>
      <c r="G542" s="78" t="str">
        <f ca="1">IFERROR(__xludf.DUMMYFUNCTION("""COMPUTED_VALUE"""),"TME")</f>
        <v>TME</v>
      </c>
      <c r="H542" s="81">
        <f ca="1">IFERROR(__xludf.DUMMYFUNCTION("""COMPUTED_VALUE"""),1000)</f>
        <v>1000</v>
      </c>
      <c r="I542" s="80" t="str">
        <f ca="1">IFERROR(__xludf.DUMMYFUNCTION("""COMPUTED_VALUE"""),"Order rejected due to non number character in Limit price input.")</f>
        <v>Order rejected due to non number character in Limit price input.</v>
      </c>
    </row>
    <row r="543" spans="1:9" ht="13" x14ac:dyDescent="0.15">
      <c r="A543" s="5"/>
      <c r="B543" s="82">
        <f ca="1">IFERROR(__xludf.DUMMYFUNCTION("""COMPUTED_VALUE"""),44637.4049837731)</f>
        <v>44637.4049837731</v>
      </c>
      <c r="C543" s="79">
        <f ca="1">IFERROR(__xludf.DUMMYFUNCTION("""COMPUTED_VALUE"""),44637.625)</f>
        <v>44637.625</v>
      </c>
      <c r="D543" s="80" t="str">
        <f ca="1">IFERROR(__xludf.DUMMYFUNCTION("""COMPUTED_VALUE"""),"79521")</f>
        <v>79521</v>
      </c>
      <c r="E543" s="80" t="str">
        <f ca="1">IFERROR(__xludf.DUMMYFUNCTION("""COMPUTED_VALUE"""),"Stock")</f>
        <v>Stock</v>
      </c>
      <c r="F543" s="80" t="str">
        <f ca="1">IFERROR(__xludf.DUMMYFUNCTION("""COMPUTED_VALUE"""),"CNY")</f>
        <v>CNY</v>
      </c>
      <c r="G543" s="83" t="str">
        <f ca="1">IFERROR(__xludf.DUMMYFUNCTION("""COMPUTED_VALUE"""),"000950.SZ")</f>
        <v>000950.SZ</v>
      </c>
      <c r="H543" s="81">
        <f ca="1">IFERROR(__xludf.DUMMYFUNCTION("""COMPUTED_VALUE"""),32500)</f>
        <v>32500</v>
      </c>
      <c r="I543" s="80"/>
    </row>
    <row r="544" spans="1:9" ht="13" x14ac:dyDescent="0.15">
      <c r="A544" s="5"/>
      <c r="B544" s="82">
        <f ca="1">IFERROR(__xludf.DUMMYFUNCTION("""COMPUTED_VALUE"""),44637.4057489814)</f>
        <v>44637.4057489814</v>
      </c>
      <c r="C544" s="79">
        <f ca="1">IFERROR(__xludf.DUMMYFUNCTION("""COMPUTED_VALUE"""),44637.625)</f>
        <v>44637.625</v>
      </c>
      <c r="D544" s="80" t="str">
        <f ca="1">IFERROR(__xludf.DUMMYFUNCTION("""COMPUTED_VALUE"""),"79521")</f>
        <v>79521</v>
      </c>
      <c r="E544" s="80" t="str">
        <f ca="1">IFERROR(__xludf.DUMMYFUNCTION("""COMPUTED_VALUE"""),"Stock")</f>
        <v>Stock</v>
      </c>
      <c r="F544" s="80" t="str">
        <f ca="1">IFERROR(__xludf.DUMMYFUNCTION("""COMPUTED_VALUE"""),"CNY")</f>
        <v>CNY</v>
      </c>
      <c r="G544" s="83" t="str">
        <f ca="1">IFERROR(__xludf.DUMMYFUNCTION("""COMPUTED_VALUE"""),"600661.SS")</f>
        <v>600661.SS</v>
      </c>
      <c r="H544" s="81">
        <f ca="1">IFERROR(__xludf.DUMMYFUNCTION("""COMPUTED_VALUE"""),15000)</f>
        <v>15000</v>
      </c>
      <c r="I544" s="80"/>
    </row>
    <row r="545" spans="1:9" ht="13" x14ac:dyDescent="0.15">
      <c r="A545" s="5"/>
      <c r="B545" s="82">
        <f ca="1">IFERROR(__xludf.DUMMYFUNCTION("""COMPUTED_VALUE"""),44637.409520787)</f>
        <v>44637.409520786998</v>
      </c>
      <c r="C545" s="79" t="str">
        <f ca="1">IFERROR(__xludf.DUMMYFUNCTION("""COMPUTED_VALUE"""),"")</f>
        <v/>
      </c>
      <c r="D545" s="80" t="str">
        <f ca="1">IFERROR(__xludf.DUMMYFUNCTION("""COMPUTED_VALUE"""),"35702")</f>
        <v>35702</v>
      </c>
      <c r="E545" s="80" t="str">
        <f ca="1">IFERROR(__xludf.DUMMYFUNCTION("""COMPUTED_VALUE"""),"Stock")</f>
        <v>Stock</v>
      </c>
      <c r="F545" s="80" t="str">
        <f ca="1">IFERROR(__xludf.DUMMYFUNCTION("""COMPUTED_VALUE"""),"error")</f>
        <v>error</v>
      </c>
      <c r="G545" s="78" t="str">
        <f ca="1">IFERROR(__xludf.DUMMYFUNCTION("""COMPUTED_VALUE"""),"NIO")</f>
        <v>NIO</v>
      </c>
      <c r="H545" s="81">
        <f ca="1">IFERROR(__xludf.DUMMYFUNCTION("""COMPUTED_VALUE"""),1000)</f>
        <v>1000</v>
      </c>
      <c r="I545" s="80" t="str">
        <f ca="1">IFERROR(__xludf.DUMMYFUNCTION("""COMPUTED_VALUE"""),"Order rejected due to non number character in Limit price input.")</f>
        <v>Order rejected due to non number character in Limit price input.</v>
      </c>
    </row>
    <row r="546" spans="1:9" ht="13" x14ac:dyDescent="0.15">
      <c r="A546" s="5"/>
      <c r="B546" s="82">
        <f ca="1">IFERROR(__xludf.DUMMYFUNCTION("""COMPUTED_VALUE"""),44637.4105720949)</f>
        <v>44637.410572094901</v>
      </c>
      <c r="C546" s="79" t="str">
        <f ca="1">IFERROR(__xludf.DUMMYFUNCTION("""COMPUTED_VALUE"""),"")</f>
        <v/>
      </c>
      <c r="D546" s="80" t="str">
        <f ca="1">IFERROR(__xludf.DUMMYFUNCTION("""COMPUTED_VALUE"""),"37198")</f>
        <v>37198</v>
      </c>
      <c r="E546" s="80" t="str">
        <f ca="1">IFERROR(__xludf.DUMMYFUNCTION("""COMPUTED_VALUE"""),"Stock")</f>
        <v>Stock</v>
      </c>
      <c r="F546" s="80" t="str">
        <f ca="1">IFERROR(__xludf.DUMMYFUNCTION("""COMPUTED_VALUE"""),"error")</f>
        <v>error</v>
      </c>
      <c r="G546" s="78" t="str">
        <f ca="1">IFERROR(__xludf.DUMMYFUNCTION("""COMPUTED_VALUE"""),"TME")</f>
        <v>TME</v>
      </c>
      <c r="H546" s="81">
        <f ca="1">IFERROR(__xludf.DUMMYFUNCTION("""COMPUTED_VALUE"""),20)</f>
        <v>20</v>
      </c>
      <c r="I546" s="80" t="str">
        <f ca="1">IFERROR(__xludf.DUMMYFUNCTION("""COMPUTED_VALUE"""),"Order rejected due to non number character in Limit price input.")</f>
        <v>Order rejected due to non number character in Limit price input.</v>
      </c>
    </row>
    <row r="547" spans="1:9" ht="13" x14ac:dyDescent="0.15">
      <c r="A547" s="5"/>
      <c r="B547" s="82">
        <f ca="1">IFERROR(__xludf.DUMMYFUNCTION("""COMPUTED_VALUE"""),44637.4517124421)</f>
        <v>44637.451712442104</v>
      </c>
      <c r="C547" s="79" t="str">
        <f ca="1">IFERROR(__xludf.DUMMYFUNCTION("""COMPUTED_VALUE"""),"")</f>
        <v/>
      </c>
      <c r="D547" s="80" t="str">
        <f ca="1">IFERROR(__xludf.DUMMYFUNCTION("""COMPUTED_VALUE"""),"37198")</f>
        <v>37198</v>
      </c>
      <c r="E547" s="80" t="str">
        <f ca="1">IFERROR(__xludf.DUMMYFUNCTION("""COMPUTED_VALUE"""),"Stock")</f>
        <v>Stock</v>
      </c>
      <c r="F547" s="80" t="str">
        <f ca="1">IFERROR(__xludf.DUMMYFUNCTION("""COMPUTED_VALUE"""),"error")</f>
        <v>error</v>
      </c>
      <c r="G547" s="78" t="str">
        <f ca="1">IFERROR(__xludf.DUMMYFUNCTION("""COMPUTED_VALUE"""),"BNTX")</f>
        <v>BNTX</v>
      </c>
      <c r="H547" s="81">
        <f ca="1">IFERROR(__xludf.DUMMYFUNCTION("""COMPUTED_VALUE"""),30)</f>
        <v>30</v>
      </c>
      <c r="I547" s="80" t="str">
        <f ca="1">IFERROR(__xludf.DUMMYFUNCTION("""COMPUTED_VALUE"""),"Order rejected due to non number character in Limit price input.")</f>
        <v>Order rejected due to non number character in Limit price input.</v>
      </c>
    </row>
    <row r="548" spans="1:9" ht="13" x14ac:dyDescent="0.15">
      <c r="A548" s="5"/>
      <c r="B548" s="82">
        <f ca="1">IFERROR(__xludf.DUMMYFUNCTION("""COMPUTED_VALUE"""),44637.4633463541)</f>
        <v>44637.463346354103</v>
      </c>
      <c r="C548" s="79">
        <f ca="1">IFERROR(__xludf.DUMMYFUNCTION("""COMPUTED_VALUE"""),44637.6666666666)</f>
        <v>44637.666666666599</v>
      </c>
      <c r="D548" s="80" t="str">
        <f ca="1">IFERROR(__xludf.DUMMYFUNCTION("""COMPUTED_VALUE"""),"37198")</f>
        <v>37198</v>
      </c>
      <c r="E548" s="80" t="str">
        <f ca="1">IFERROR(__xludf.DUMMYFUNCTION("""COMPUTED_VALUE"""),"Stock")</f>
        <v>Stock</v>
      </c>
      <c r="F548" s="80" t="str">
        <f ca="1">IFERROR(__xludf.DUMMYFUNCTION("""COMPUTED_VALUE"""),"USD")</f>
        <v>USD</v>
      </c>
      <c r="G548" s="78" t="str">
        <f ca="1">IFERROR(__xludf.DUMMYFUNCTION("""COMPUTED_VALUE"""),"TME")</f>
        <v>TME</v>
      </c>
      <c r="H548" s="81">
        <f ca="1">IFERROR(__xludf.DUMMYFUNCTION("""COMPUTED_VALUE"""),200)</f>
        <v>200</v>
      </c>
      <c r="I548" s="80"/>
    </row>
    <row r="549" spans="1:9" ht="13" x14ac:dyDescent="0.15">
      <c r="A549" s="5"/>
      <c r="B549" s="82">
        <f ca="1">IFERROR(__xludf.DUMMYFUNCTION("""COMPUTED_VALUE"""),44637.4834054629)</f>
        <v>44637.483405462903</v>
      </c>
      <c r="C549" s="79">
        <f ca="1">IFERROR(__xludf.DUMMYFUNCTION("""COMPUTED_VALUE"""),44637.6666666666)</f>
        <v>44637.666666666599</v>
      </c>
      <c r="D549" s="80" t="str">
        <f ca="1">IFERROR(__xludf.DUMMYFUNCTION("""COMPUTED_VALUE"""),"37198")</f>
        <v>37198</v>
      </c>
      <c r="E549" s="80" t="str">
        <f ca="1">IFERROR(__xludf.DUMMYFUNCTION("""COMPUTED_VALUE"""),"Stock")</f>
        <v>Stock</v>
      </c>
      <c r="F549" s="80" t="str">
        <f ca="1">IFERROR(__xludf.DUMMYFUNCTION("""COMPUTED_VALUE"""),"USD")</f>
        <v>USD</v>
      </c>
      <c r="G549" s="78" t="str">
        <f ca="1">IFERROR(__xludf.DUMMYFUNCTION("""COMPUTED_VALUE"""),"BNTX")</f>
        <v>BNTX</v>
      </c>
      <c r="H549" s="81">
        <f ca="1">IFERROR(__xludf.DUMMYFUNCTION("""COMPUTED_VALUE"""),20)</f>
        <v>20</v>
      </c>
      <c r="I549" s="80"/>
    </row>
    <row r="550" spans="1:9" ht="13" x14ac:dyDescent="0.15">
      <c r="A550" s="5"/>
      <c r="B550" s="82">
        <f ca="1">IFERROR(__xludf.DUMMYFUNCTION("""COMPUTED_VALUE"""),44637.5128890162)</f>
        <v>44637.512889016201</v>
      </c>
      <c r="C550" s="79">
        <f ca="1">IFERROR(__xludf.DUMMYFUNCTION("""COMPUTED_VALUE"""),44637.6666666666)</f>
        <v>44637.666666666599</v>
      </c>
      <c r="D550" s="80" t="str">
        <f ca="1">IFERROR(__xludf.DUMMYFUNCTION("""COMPUTED_VALUE"""),"40318")</f>
        <v>40318</v>
      </c>
      <c r="E550" s="80" t="str">
        <f ca="1">IFERROR(__xludf.DUMMYFUNCTION("""COMPUTED_VALUE"""),"Stock")</f>
        <v>Stock</v>
      </c>
      <c r="F550" s="80" t="str">
        <f ca="1">IFERROR(__xludf.DUMMYFUNCTION("""COMPUTED_VALUE"""),"USD")</f>
        <v>USD</v>
      </c>
      <c r="G550" s="78" t="str">
        <f ca="1">IFERROR(__xludf.DUMMYFUNCTION("""COMPUTED_VALUE"""),"AAPL")</f>
        <v>AAPL</v>
      </c>
      <c r="H550" s="81">
        <f ca="1">IFERROR(__xludf.DUMMYFUNCTION("""COMPUTED_VALUE"""),80)</f>
        <v>80</v>
      </c>
      <c r="I550" s="80"/>
    </row>
    <row r="551" spans="1:9" ht="13" x14ac:dyDescent="0.15">
      <c r="A551" s="5"/>
      <c r="B551" s="82">
        <f ca="1">IFERROR(__xludf.DUMMYFUNCTION("""COMPUTED_VALUE"""),44637.5279699884)</f>
        <v>44637.527969988398</v>
      </c>
      <c r="C551" s="79">
        <f ca="1">IFERROR(__xludf.DUMMYFUNCTION("""COMPUTED_VALUE"""),44637.6666666666)</f>
        <v>44637.666666666599</v>
      </c>
      <c r="D551" s="80" t="str">
        <f ca="1">IFERROR(__xludf.DUMMYFUNCTION("""COMPUTED_VALUE"""),"76369")</f>
        <v>76369</v>
      </c>
      <c r="E551" s="80" t="str">
        <f ca="1">IFERROR(__xludf.DUMMYFUNCTION("""COMPUTED_VALUE"""),"Stock")</f>
        <v>Stock</v>
      </c>
      <c r="F551" s="80" t="str">
        <f ca="1">IFERROR(__xludf.DUMMYFUNCTION("""COMPUTED_VALUE"""),"USD")</f>
        <v>USD</v>
      </c>
      <c r="G551" s="78" t="str">
        <f ca="1">IFERROR(__xludf.DUMMYFUNCTION("""COMPUTED_VALUE"""),"GC=F")</f>
        <v>GC=F</v>
      </c>
      <c r="H551" s="81">
        <f ca="1">IFERROR(__xludf.DUMMYFUNCTION("""COMPUTED_VALUE"""),5)</f>
        <v>5</v>
      </c>
      <c r="I551" s="80"/>
    </row>
    <row r="552" spans="1:9" ht="13" x14ac:dyDescent="0.15">
      <c r="A552" s="5"/>
      <c r="B552" s="82">
        <f ca="1">IFERROR(__xludf.DUMMYFUNCTION("""COMPUTED_VALUE"""),44637.5751762731)</f>
        <v>44637.575176273102</v>
      </c>
      <c r="C552" s="79">
        <f ca="1">IFERROR(__xludf.DUMMYFUNCTION("""COMPUTED_VALUE"""),44637.6666666666)</f>
        <v>44637.666666666599</v>
      </c>
      <c r="D552" s="80" t="str">
        <f ca="1">IFERROR(__xludf.DUMMYFUNCTION("""COMPUTED_VALUE"""),"38209")</f>
        <v>38209</v>
      </c>
      <c r="E552" s="80" t="str">
        <f ca="1">IFERROR(__xludf.DUMMYFUNCTION("""COMPUTED_VALUE"""),"Stock")</f>
        <v>Stock</v>
      </c>
      <c r="F552" s="80" t="str">
        <f ca="1">IFERROR(__xludf.DUMMYFUNCTION("""COMPUTED_VALUE"""),"HKD")</f>
        <v>HKD</v>
      </c>
      <c r="G552" s="83" t="str">
        <f ca="1">IFERROR(__xludf.DUMMYFUNCTION("""COMPUTED_VALUE"""),"9988.HK")</f>
        <v>9988.HK</v>
      </c>
      <c r="H552" s="81">
        <f ca="1">IFERROR(__xludf.DUMMYFUNCTION("""COMPUTED_VALUE"""),1000)</f>
        <v>1000</v>
      </c>
      <c r="I552" s="80"/>
    </row>
    <row r="553" spans="1:9" ht="13" x14ac:dyDescent="0.15">
      <c r="A553" s="5"/>
      <c r="B553" s="82">
        <f ca="1">IFERROR(__xludf.DUMMYFUNCTION("""COMPUTED_VALUE"""),44637.5818184374)</f>
        <v>44637.5818184374</v>
      </c>
      <c r="C553" s="79" t="str">
        <f ca="1">IFERROR(__xludf.DUMMYFUNCTION("""COMPUTED_VALUE"""),"")</f>
        <v/>
      </c>
      <c r="D553" s="80" t="str">
        <f ca="1">IFERROR(__xludf.DUMMYFUNCTION("""COMPUTED_VALUE"""),"")</f>
        <v/>
      </c>
      <c r="E553" s="80" t="str">
        <f ca="1">IFERROR(__xludf.DUMMYFUNCTION("""COMPUTED_VALUE"""),"Stock")</f>
        <v>Stock</v>
      </c>
      <c r="F553" s="80" t="str">
        <f ca="1">IFERROR(__xludf.DUMMYFUNCTION("""COMPUTED_VALUE"""),"error")</f>
        <v>error</v>
      </c>
      <c r="G553" s="83" t="str">
        <f ca="1">IFERROR(__xludf.DUMMYFUNCTION("""COMPUTED_VALUE"""),"600519.SS")</f>
        <v>600519.SS</v>
      </c>
      <c r="H553" s="81">
        <f ca="1">IFERROR(__xludf.DUMMYFUNCTION("""COMPUTED_VALUE"""),50)</f>
        <v>50</v>
      </c>
      <c r="I553" s="80" t="str">
        <f ca="1">IFERROR(__xludf.DUMMYFUNCTION("""COMPUTED_VALUE"""),"Order rejected due to non school email address")</f>
        <v>Order rejected due to non school email address</v>
      </c>
    </row>
    <row r="554" spans="1:9" ht="13" x14ac:dyDescent="0.15">
      <c r="A554" s="5"/>
      <c r="B554" s="82">
        <f ca="1">IFERROR(__xludf.DUMMYFUNCTION("""COMPUTED_VALUE"""),44637.5864619675)</f>
        <v>44637.586461967498</v>
      </c>
      <c r="C554" s="79">
        <f ca="1">IFERROR(__xludf.DUMMYFUNCTION("""COMPUTED_VALUE"""),44637.6666666666)</f>
        <v>44637.666666666599</v>
      </c>
      <c r="D554" s="80" t="str">
        <f ca="1">IFERROR(__xludf.DUMMYFUNCTION("""COMPUTED_VALUE"""),"46600")</f>
        <v>46600</v>
      </c>
      <c r="E554" s="80" t="str">
        <f ca="1">IFERROR(__xludf.DUMMYFUNCTION("""COMPUTED_VALUE"""),"Stock")</f>
        <v>Stock</v>
      </c>
      <c r="F554" s="80" t="str">
        <f ca="1">IFERROR(__xludf.DUMMYFUNCTION("""COMPUTED_VALUE"""),"HKD")</f>
        <v>HKD</v>
      </c>
      <c r="G554" s="83" t="str">
        <f ca="1">IFERROR(__xludf.DUMMYFUNCTION("""COMPUTED_VALUE"""),"0700.HK")</f>
        <v>0700.HK</v>
      </c>
      <c r="H554" s="81">
        <f ca="1">IFERROR(__xludf.DUMMYFUNCTION("""COMPUTED_VALUE"""),50)</f>
        <v>50</v>
      </c>
      <c r="I554" s="80"/>
    </row>
    <row r="555" spans="1:9" ht="13" x14ac:dyDescent="0.15">
      <c r="A555" s="5"/>
      <c r="B555" s="82">
        <f ca="1">IFERROR(__xludf.DUMMYFUNCTION("""COMPUTED_VALUE"""),44637.5936589351)</f>
        <v>44637.593658935097</v>
      </c>
      <c r="C555" s="79">
        <f ca="1">IFERROR(__xludf.DUMMYFUNCTION("""COMPUTED_VALUE"""),44637.6666666666)</f>
        <v>44637.666666666599</v>
      </c>
      <c r="D555" s="80" t="str">
        <f ca="1">IFERROR(__xludf.DUMMYFUNCTION("""COMPUTED_VALUE"""),"14626")</f>
        <v>14626</v>
      </c>
      <c r="E555" s="80" t="str">
        <f ca="1">IFERROR(__xludf.DUMMYFUNCTION("""COMPUTED_VALUE"""),"Stock")</f>
        <v>Stock</v>
      </c>
      <c r="F555" s="80" t="str">
        <f ca="1">IFERROR(__xludf.DUMMYFUNCTION("""COMPUTED_VALUE"""),"USD")</f>
        <v>USD</v>
      </c>
      <c r="G555" s="78" t="str">
        <f ca="1">IFERROR(__xludf.DUMMYFUNCTION("""COMPUTED_VALUE"""),"CL=F")</f>
        <v>CL=F</v>
      </c>
      <c r="H555" s="81">
        <f ca="1">IFERROR(__xludf.DUMMYFUNCTION("""COMPUTED_VALUE"""),100)</f>
        <v>100</v>
      </c>
      <c r="I555" s="80"/>
    </row>
    <row r="556" spans="1:9" ht="13" x14ac:dyDescent="0.15">
      <c r="A556" s="5"/>
      <c r="B556" s="82">
        <f ca="1">IFERROR(__xludf.DUMMYFUNCTION("""COMPUTED_VALUE"""),44637.5941603703)</f>
        <v>44637.594160370303</v>
      </c>
      <c r="C556" s="79">
        <f ca="1">IFERROR(__xludf.DUMMYFUNCTION("""COMPUTED_VALUE"""),44637.6666666666)</f>
        <v>44637.666666666599</v>
      </c>
      <c r="D556" s="80" t="str">
        <f ca="1">IFERROR(__xludf.DUMMYFUNCTION("""COMPUTED_VALUE"""),"14626")</f>
        <v>14626</v>
      </c>
      <c r="E556" s="80" t="str">
        <f ca="1">IFERROR(__xludf.DUMMYFUNCTION("""COMPUTED_VALUE"""),"Stock")</f>
        <v>Stock</v>
      </c>
      <c r="F556" s="80" t="str">
        <f ca="1">IFERROR(__xludf.DUMMYFUNCTION("""COMPUTED_VALUE"""),"USD")</f>
        <v>USD</v>
      </c>
      <c r="G556" s="78" t="str">
        <f ca="1">IFERROR(__xludf.DUMMYFUNCTION("""COMPUTED_VALUE"""),"SI=F")</f>
        <v>SI=F</v>
      </c>
      <c r="H556" s="81">
        <f ca="1">IFERROR(__xludf.DUMMYFUNCTION("""COMPUTED_VALUE"""),100)</f>
        <v>100</v>
      </c>
      <c r="I556" s="80"/>
    </row>
    <row r="557" spans="1:9" ht="13" x14ac:dyDescent="0.15">
      <c r="A557" s="5"/>
      <c r="B557" s="82">
        <f ca="1">IFERROR(__xludf.DUMMYFUNCTION("""COMPUTED_VALUE"""),44637.6090449652)</f>
        <v>44637.609044965197</v>
      </c>
      <c r="C557" s="79">
        <f ca="1">IFERROR(__xludf.DUMMYFUNCTION("""COMPUTED_VALUE"""),44637.6666666666)</f>
        <v>44637.666666666599</v>
      </c>
      <c r="D557" s="80" t="str">
        <f ca="1">IFERROR(__xludf.DUMMYFUNCTION("""COMPUTED_VALUE"""),"75288")</f>
        <v>75288</v>
      </c>
      <c r="E557" s="80" t="str">
        <f ca="1">IFERROR(__xludf.DUMMYFUNCTION("""COMPUTED_VALUE"""),"Stock")</f>
        <v>Stock</v>
      </c>
      <c r="F557" s="80" t="str">
        <f ca="1">IFERROR(__xludf.DUMMYFUNCTION("""COMPUTED_VALUE"""),"HKD")</f>
        <v>HKD</v>
      </c>
      <c r="G557" s="83" t="str">
        <f ca="1">IFERROR(__xludf.DUMMYFUNCTION("""COMPUTED_VALUE"""),"0700.HK")</f>
        <v>0700.HK</v>
      </c>
      <c r="H557" s="81">
        <f ca="1">IFERROR(__xludf.DUMMYFUNCTION("""COMPUTED_VALUE"""),210)</f>
        <v>210</v>
      </c>
      <c r="I557" s="80"/>
    </row>
    <row r="558" spans="1:9" ht="13" x14ac:dyDescent="0.15">
      <c r="A558" s="5"/>
      <c r="B558" s="82">
        <f ca="1">IFERROR(__xludf.DUMMYFUNCTION("""COMPUTED_VALUE"""),44637.6636554976)</f>
        <v>44637.663655497599</v>
      </c>
      <c r="C558" s="79">
        <f ca="1">IFERROR(__xludf.DUMMYFUNCTION("""COMPUTED_VALUE"""),44637.6666666666)</f>
        <v>44637.666666666599</v>
      </c>
      <c r="D558" s="80" t="str">
        <f ca="1">IFERROR(__xludf.DUMMYFUNCTION("""COMPUTED_VALUE"""),"38381")</f>
        <v>38381</v>
      </c>
      <c r="E558" s="80" t="str">
        <f ca="1">IFERROR(__xludf.DUMMYFUNCTION("""COMPUTED_VALUE"""),"Stock")</f>
        <v>Stock</v>
      </c>
      <c r="F558" s="80" t="str">
        <f ca="1">IFERROR(__xludf.DUMMYFUNCTION("""COMPUTED_VALUE"""),"HKD")</f>
        <v>HKD</v>
      </c>
      <c r="G558" s="83" t="str">
        <f ca="1">IFERROR(__xludf.DUMMYFUNCTION("""COMPUTED_VALUE"""),"3988.HK")</f>
        <v>3988.HK</v>
      </c>
      <c r="H558" s="81">
        <f ca="1">IFERROR(__xludf.DUMMYFUNCTION("""COMPUTED_VALUE"""),300)</f>
        <v>300</v>
      </c>
      <c r="I558" s="80"/>
    </row>
    <row r="559" spans="1:9" ht="13" x14ac:dyDescent="0.15">
      <c r="A559" s="5"/>
      <c r="B559" s="82">
        <f ca="1">IFERROR(__xludf.DUMMYFUNCTION("""COMPUTED_VALUE"""),44637.6647601736)</f>
        <v>44637.664760173597</v>
      </c>
      <c r="C559" s="79">
        <f ca="1">IFERROR(__xludf.DUMMYFUNCTION("""COMPUTED_VALUE"""),44637.6666666666)</f>
        <v>44637.666666666599</v>
      </c>
      <c r="D559" s="80" t="str">
        <f ca="1">IFERROR(__xludf.DUMMYFUNCTION("""COMPUTED_VALUE"""),"38381")</f>
        <v>38381</v>
      </c>
      <c r="E559" s="80" t="str">
        <f ca="1">IFERROR(__xludf.DUMMYFUNCTION("""COMPUTED_VALUE"""),"Stock")</f>
        <v>Stock</v>
      </c>
      <c r="F559" s="80" t="str">
        <f ca="1">IFERROR(__xludf.DUMMYFUNCTION("""COMPUTED_VALUE"""),"USD")</f>
        <v>USD</v>
      </c>
      <c r="G559" s="78" t="str">
        <f ca="1">IFERROR(__xludf.DUMMYFUNCTION("""COMPUTED_VALUE"""),"JPM")</f>
        <v>JPM</v>
      </c>
      <c r="H559" s="81">
        <f ca="1">IFERROR(__xludf.DUMMYFUNCTION("""COMPUTED_VALUE"""),300)</f>
        <v>300</v>
      </c>
      <c r="I559" s="80"/>
    </row>
    <row r="560" spans="1:9" ht="13" x14ac:dyDescent="0.15">
      <c r="A560" s="5"/>
      <c r="B560" s="82">
        <f ca="1">IFERROR(__xludf.DUMMYFUNCTION("""COMPUTED_VALUE"""),44637.6910152662)</f>
        <v>44637.691015266202</v>
      </c>
      <c r="C560" s="79">
        <f ca="1">IFERROR(__xludf.DUMMYFUNCTION("""COMPUTED_VALUE"""),44637.6666666666)</f>
        <v>44637.666666666599</v>
      </c>
      <c r="D560" s="80" t="str">
        <f ca="1">IFERROR(__xludf.DUMMYFUNCTION("""COMPUTED_VALUE"""),"39441")</f>
        <v>39441</v>
      </c>
      <c r="E560" s="80" t="str">
        <f ca="1">IFERROR(__xludf.DUMMYFUNCTION("""COMPUTED_VALUE"""),"Stock")</f>
        <v>Stock</v>
      </c>
      <c r="F560" s="80" t="str">
        <f ca="1">IFERROR(__xludf.DUMMYFUNCTION("""COMPUTED_VALUE"""),"USD")</f>
        <v>USD</v>
      </c>
      <c r="G560" s="78" t="str">
        <f ca="1">IFERROR(__xludf.DUMMYFUNCTION("""COMPUTED_VALUE"""),"BABA")</f>
        <v>BABA</v>
      </c>
      <c r="H560" s="81">
        <f ca="1">IFERROR(__xludf.DUMMYFUNCTION("""COMPUTED_VALUE"""),100)</f>
        <v>100</v>
      </c>
      <c r="I560" s="80"/>
    </row>
    <row r="561" spans="1:9" ht="13" x14ac:dyDescent="0.15">
      <c r="A561" s="5"/>
      <c r="B561" s="82">
        <f ca="1">IFERROR(__xludf.DUMMYFUNCTION("""COMPUTED_VALUE"""),44637.7527427662)</f>
        <v>44637.752742766199</v>
      </c>
      <c r="C561" s="79">
        <f ca="1">IFERROR(__xludf.DUMMYFUNCTION("""COMPUTED_VALUE"""),44638.6666666666)</f>
        <v>44638.666666666599</v>
      </c>
      <c r="D561" s="80" t="str">
        <f ca="1">IFERROR(__xludf.DUMMYFUNCTION("""COMPUTED_VALUE"""),"46600")</f>
        <v>46600</v>
      </c>
      <c r="E561" s="80" t="str">
        <f ca="1">IFERROR(__xludf.DUMMYFUNCTION("""COMPUTED_VALUE"""),"Stock")</f>
        <v>Stock</v>
      </c>
      <c r="F561" s="80" t="str">
        <f ca="1">IFERROR(__xludf.DUMMYFUNCTION("""COMPUTED_VALUE"""),"HKD")</f>
        <v>HKD</v>
      </c>
      <c r="G561" s="83" t="str">
        <f ca="1">IFERROR(__xludf.DUMMYFUNCTION("""COMPUTED_VALUE"""),"9988.HK")</f>
        <v>9988.HK</v>
      </c>
      <c r="H561" s="81">
        <f ca="1">IFERROR(__xludf.DUMMYFUNCTION("""COMPUTED_VALUE"""),30)</f>
        <v>30</v>
      </c>
      <c r="I561" s="80"/>
    </row>
    <row r="562" spans="1:9" ht="13" x14ac:dyDescent="0.15">
      <c r="A562" s="5"/>
      <c r="B562" s="82">
        <f ca="1">IFERROR(__xludf.DUMMYFUNCTION("""COMPUTED_VALUE"""),44637.819935162)</f>
        <v>44637.819935161999</v>
      </c>
      <c r="C562" s="79">
        <f ca="1">IFERROR(__xludf.DUMMYFUNCTION("""COMPUTED_VALUE"""),44638.6666666666)</f>
        <v>44638.666666666599</v>
      </c>
      <c r="D562" s="80" t="str">
        <f ca="1">IFERROR(__xludf.DUMMYFUNCTION("""COMPUTED_VALUE"""),"76369")</f>
        <v>76369</v>
      </c>
      <c r="E562" s="80" t="str">
        <f ca="1">IFERROR(__xludf.DUMMYFUNCTION("""COMPUTED_VALUE"""),"Stock")</f>
        <v>Stock</v>
      </c>
      <c r="F562" s="80" t="str">
        <f ca="1">IFERROR(__xludf.DUMMYFUNCTION("""COMPUTED_VALUE"""),"HKD")</f>
        <v>HKD</v>
      </c>
      <c r="G562" s="83" t="str">
        <f ca="1">IFERROR(__xludf.DUMMYFUNCTION("""COMPUTED_VALUE"""),"0700.HK")</f>
        <v>0700.HK</v>
      </c>
      <c r="H562" s="81">
        <f ca="1">IFERROR(__xludf.DUMMYFUNCTION("""COMPUTED_VALUE"""),50)</f>
        <v>50</v>
      </c>
      <c r="I562" s="80"/>
    </row>
    <row r="563" spans="1:9" ht="13" x14ac:dyDescent="0.15">
      <c r="A563" s="5"/>
      <c r="B563" s="82">
        <f ca="1">IFERROR(__xludf.DUMMYFUNCTION("""COMPUTED_VALUE"""),44637.8207052083)</f>
        <v>44637.820705208302</v>
      </c>
      <c r="C563" s="79">
        <f ca="1">IFERROR(__xludf.DUMMYFUNCTION("""COMPUTED_VALUE"""),44638.6666666666)</f>
        <v>44638.666666666599</v>
      </c>
      <c r="D563" s="80" t="str">
        <f ca="1">IFERROR(__xludf.DUMMYFUNCTION("""COMPUTED_VALUE"""),"76369")</f>
        <v>76369</v>
      </c>
      <c r="E563" s="80" t="str">
        <f ca="1">IFERROR(__xludf.DUMMYFUNCTION("""COMPUTED_VALUE"""),"Stock")</f>
        <v>Stock</v>
      </c>
      <c r="F563" s="80" t="str">
        <f ca="1">IFERROR(__xludf.DUMMYFUNCTION("""COMPUTED_VALUE"""),"HKD")</f>
        <v>HKD</v>
      </c>
      <c r="G563" s="83" t="str">
        <f ca="1">IFERROR(__xludf.DUMMYFUNCTION("""COMPUTED_VALUE"""),"9988.HK")</f>
        <v>9988.HK</v>
      </c>
      <c r="H563" s="81">
        <f ca="1">IFERROR(__xludf.DUMMYFUNCTION("""COMPUTED_VALUE"""),50)</f>
        <v>50</v>
      </c>
      <c r="I563" s="80"/>
    </row>
    <row r="564" spans="1:9" ht="13" x14ac:dyDescent="0.15">
      <c r="A564" s="5"/>
      <c r="B564" s="82">
        <f ca="1">IFERROR(__xludf.DUMMYFUNCTION("""COMPUTED_VALUE"""),44637.8374376041)</f>
        <v>44637.837437604103</v>
      </c>
      <c r="C564" s="79">
        <f ca="1">IFERROR(__xludf.DUMMYFUNCTION("""COMPUTED_VALUE"""),44638.625)</f>
        <v>44638.625</v>
      </c>
      <c r="D564" s="80" t="str">
        <f ca="1">IFERROR(__xludf.DUMMYFUNCTION("""COMPUTED_VALUE"""),"76369")</f>
        <v>76369</v>
      </c>
      <c r="E564" s="80" t="str">
        <f ca="1">IFERROR(__xludf.DUMMYFUNCTION("""COMPUTED_VALUE"""),"Stock")</f>
        <v>Stock</v>
      </c>
      <c r="F564" s="80" t="str">
        <f ca="1">IFERROR(__xludf.DUMMYFUNCTION("""COMPUTED_VALUE"""),"CNY")</f>
        <v>CNY</v>
      </c>
      <c r="G564" s="83" t="str">
        <f ca="1">IFERROR(__xludf.DUMMYFUNCTION("""COMPUTED_VALUE"""),"002670.SZ")</f>
        <v>002670.SZ</v>
      </c>
      <c r="H564" s="81">
        <f ca="1">IFERROR(__xludf.DUMMYFUNCTION("""COMPUTED_VALUE"""),500)</f>
        <v>500</v>
      </c>
      <c r="I564" s="80"/>
    </row>
    <row r="565" spans="1:9" ht="13" x14ac:dyDescent="0.15">
      <c r="A565" s="5"/>
      <c r="B565" s="82">
        <f ca="1">IFERROR(__xludf.DUMMYFUNCTION("""COMPUTED_VALUE"""),44637.9509513541)</f>
        <v>44637.950951354098</v>
      </c>
      <c r="C565" s="79">
        <f ca="1">IFERROR(__xludf.DUMMYFUNCTION("""COMPUTED_VALUE"""),44637.6666666666)</f>
        <v>44637.666666666599</v>
      </c>
      <c r="D565" s="80" t="str">
        <f ca="1">IFERROR(__xludf.DUMMYFUNCTION("""COMPUTED_VALUE"""),"56118")</f>
        <v>56118</v>
      </c>
      <c r="E565" s="80" t="str">
        <f ca="1">IFERROR(__xludf.DUMMYFUNCTION("""COMPUTED_VALUE"""),"Stock")</f>
        <v>Stock</v>
      </c>
      <c r="F565" s="80" t="str">
        <f ca="1">IFERROR(__xludf.DUMMYFUNCTION("""COMPUTED_VALUE"""),"USD")</f>
        <v>USD</v>
      </c>
      <c r="G565" s="78" t="str">
        <f ca="1">IFERROR(__xludf.DUMMYFUNCTION("""COMPUTED_VALUE"""),"SOFI")</f>
        <v>SOFI</v>
      </c>
      <c r="H565" s="81">
        <f ca="1">IFERROR(__xludf.DUMMYFUNCTION("""COMPUTED_VALUE"""),200)</f>
        <v>200</v>
      </c>
      <c r="I565" s="80"/>
    </row>
    <row r="566" spans="1:9" ht="13" x14ac:dyDescent="0.15">
      <c r="A566" s="5"/>
      <c r="B566" s="82">
        <f ca="1">IFERROR(__xludf.DUMMYFUNCTION("""COMPUTED_VALUE"""),44637.9533627083)</f>
        <v>44637.9533627083</v>
      </c>
      <c r="C566" s="79">
        <f ca="1">IFERROR(__xludf.DUMMYFUNCTION("""COMPUTED_VALUE"""),44637.6666666666)</f>
        <v>44637.666666666599</v>
      </c>
      <c r="D566" s="80" t="str">
        <f ca="1">IFERROR(__xludf.DUMMYFUNCTION("""COMPUTED_VALUE"""),"76848")</f>
        <v>76848</v>
      </c>
      <c r="E566" s="80" t="str">
        <f ca="1">IFERROR(__xludf.DUMMYFUNCTION("""COMPUTED_VALUE"""),"Stock")</f>
        <v>Stock</v>
      </c>
      <c r="F566" s="80" t="str">
        <f ca="1">IFERROR(__xludf.DUMMYFUNCTION("""COMPUTED_VALUE"""),"USD")</f>
        <v>USD</v>
      </c>
      <c r="G566" s="78" t="str">
        <f ca="1">IFERROR(__xludf.DUMMYFUNCTION("""COMPUTED_VALUE"""),"IXHL")</f>
        <v>IXHL</v>
      </c>
      <c r="H566" s="81">
        <f ca="1">IFERROR(__xludf.DUMMYFUNCTION("""COMPUTED_VALUE"""),1000)</f>
        <v>1000</v>
      </c>
      <c r="I566" s="80"/>
    </row>
    <row r="567" spans="1:9" ht="13" x14ac:dyDescent="0.15">
      <c r="A567" s="5"/>
      <c r="B567" s="82">
        <f ca="1">IFERROR(__xludf.DUMMYFUNCTION("""COMPUTED_VALUE"""),44637.9537586458)</f>
        <v>44637.953758645803</v>
      </c>
      <c r="C567" s="79" t="str">
        <f ca="1">IFERROR(__xludf.DUMMYFUNCTION("""COMPUTED_VALUE"""),"")</f>
        <v/>
      </c>
      <c r="D567" s="80" t="str">
        <f ca="1">IFERROR(__xludf.DUMMYFUNCTION("""COMPUTED_VALUE"""),"73456")</f>
        <v>73456</v>
      </c>
      <c r="E567" s="80" t="str">
        <f ca="1">IFERROR(__xludf.DUMMYFUNCTION("""COMPUTED_VALUE"""),"Stock")</f>
        <v>Stock</v>
      </c>
      <c r="F567" s="80" t="str">
        <f ca="1">IFERROR(__xludf.DUMMYFUNCTION("""COMPUTED_VALUE"""),"error")</f>
        <v>error</v>
      </c>
      <c r="G567" s="78" t="str">
        <f ca="1">IFERROR(__xludf.DUMMYFUNCTION("""COMPUTED_VALUE"""),"IXHL")</f>
        <v>IXHL</v>
      </c>
      <c r="H567" s="81">
        <f ca="1">IFERROR(__xludf.DUMMYFUNCTION("""COMPUTED_VALUE"""),1000)</f>
        <v>1000</v>
      </c>
      <c r="I567" s="80" t="str">
        <f ca="1">IFERROR(__xludf.DUMMYFUNCTION("""COMPUTED_VALUE"""),"Order rejected. Account non-exists.")</f>
        <v>Order rejected. Account non-exists.</v>
      </c>
    </row>
    <row r="568" spans="1:9" ht="13" x14ac:dyDescent="0.15">
      <c r="A568" s="5"/>
      <c r="B568" s="82">
        <f ca="1">IFERROR(__xludf.DUMMYFUNCTION("""COMPUTED_VALUE"""),44637.9806451041)</f>
        <v>44637.9806451041</v>
      </c>
      <c r="C568" s="79" t="str">
        <f ca="1">IFERROR(__xludf.DUMMYFUNCTION("""COMPUTED_VALUE"""),"")</f>
        <v/>
      </c>
      <c r="D568" s="80" t="str">
        <f ca="1">IFERROR(__xludf.DUMMYFUNCTION("""COMPUTED_VALUE"""),"36252")</f>
        <v>36252</v>
      </c>
      <c r="E568" s="80" t="str">
        <f ca="1">IFERROR(__xludf.DUMMYFUNCTION("""COMPUTED_VALUE"""),"Stock")</f>
        <v>Stock</v>
      </c>
      <c r="F568" s="80" t="str">
        <f ca="1">IFERROR(__xludf.DUMMYFUNCTION("""COMPUTED_VALUE"""),"error")</f>
        <v>error</v>
      </c>
      <c r="G568" s="78" t="str">
        <f ca="1">IFERROR(__xludf.DUMMYFUNCTION("""COMPUTED_VALUE"""),"00386")</f>
        <v>00386</v>
      </c>
      <c r="H568" s="81">
        <f ca="1">IFERROR(__xludf.DUMMYFUNCTION("""COMPUTED_VALUE"""),50000)</f>
        <v>50000</v>
      </c>
      <c r="I568" s="80" t="str">
        <f ca="1">IFERROR(__xludf.DUMMYFUNCTION("""COMPUTED_VALUE"""),"Order rejected due to non-numerica characters in limit price input.")</f>
        <v>Order rejected due to non-numerica characters in limit price input.</v>
      </c>
    </row>
    <row r="569" spans="1:9" ht="13" x14ac:dyDescent="0.15">
      <c r="A569" s="5"/>
      <c r="B569" s="82">
        <f ca="1">IFERROR(__xludf.DUMMYFUNCTION("""COMPUTED_VALUE"""),44637.9837011574)</f>
        <v>44637.983701157398</v>
      </c>
      <c r="C569" s="79" t="str">
        <f ca="1">IFERROR(__xludf.DUMMYFUNCTION("""COMPUTED_VALUE"""),"")</f>
        <v/>
      </c>
      <c r="D569" s="80" t="str">
        <f ca="1">IFERROR(__xludf.DUMMYFUNCTION("""COMPUTED_VALUE"""),"36252")</f>
        <v>36252</v>
      </c>
      <c r="E569" s="80" t="str">
        <f ca="1">IFERROR(__xludf.DUMMYFUNCTION("""COMPUTED_VALUE"""),"Stock")</f>
        <v>Stock</v>
      </c>
      <c r="F569" s="80" t="str">
        <f ca="1">IFERROR(__xludf.DUMMYFUNCTION("""COMPUTED_VALUE"""),"error")</f>
        <v>error</v>
      </c>
      <c r="G569" s="83" t="str">
        <f ca="1">IFERROR(__xludf.DUMMYFUNCTION("""COMPUTED_VALUE"""),"02607.hk")</f>
        <v>02607.hk</v>
      </c>
      <c r="H569" s="81">
        <f ca="1">IFERROR(__xludf.DUMMYFUNCTION("""COMPUTED_VALUE"""),10000)</f>
        <v>10000</v>
      </c>
      <c r="I569" s="80" t="str">
        <f ca="1">IFERROR(__xludf.DUMMYFUNCTION("""COMPUTED_VALUE"""),"Order rejected due to non-numerica characters in limit price input.")</f>
        <v>Order rejected due to non-numerica characters in limit price input.</v>
      </c>
    </row>
    <row r="570" spans="1:9" ht="13" x14ac:dyDescent="0.15">
      <c r="A570" s="5"/>
      <c r="B570" s="82">
        <f ca="1">IFERROR(__xludf.DUMMYFUNCTION("""COMPUTED_VALUE"""),44638.0300684027)</f>
        <v>44638.030068402702</v>
      </c>
      <c r="C570" s="79">
        <f ca="1">IFERROR(__xludf.DUMMYFUNCTION("""COMPUTED_VALUE"""),44637.6666666666)</f>
        <v>44637.666666666599</v>
      </c>
      <c r="D570" s="80" t="str">
        <f ca="1">IFERROR(__xludf.DUMMYFUNCTION("""COMPUTED_VALUE"""),"89750")</f>
        <v>89750</v>
      </c>
      <c r="E570" s="80" t="str">
        <f ca="1">IFERROR(__xludf.DUMMYFUNCTION("""COMPUTED_VALUE"""),"Option")</f>
        <v>Option</v>
      </c>
      <c r="F570" s="80" t="str">
        <f ca="1">IFERROR(__xludf.DUMMYFUNCTION("""COMPUTED_VALUE"""),"USD")</f>
        <v>USD</v>
      </c>
      <c r="G570" s="78" t="str">
        <f ca="1">IFERROR(__xludf.DUMMYFUNCTION("""COMPUTED_VALUE"""),"OXY220318P00065000")</f>
        <v>OXY220318P00065000</v>
      </c>
      <c r="H570" s="81">
        <f ca="1">IFERROR(__xludf.DUMMYFUNCTION("""COMPUTED_VALUE"""),2)</f>
        <v>2</v>
      </c>
      <c r="I570" s="80"/>
    </row>
    <row r="571" spans="1:9" ht="13" x14ac:dyDescent="0.15">
      <c r="A571" s="5"/>
      <c r="B571" s="82">
        <f ca="1">IFERROR(__xludf.DUMMYFUNCTION("""COMPUTED_VALUE"""),44638.3745833333)</f>
        <v>44638.374583333301</v>
      </c>
      <c r="C571" s="79">
        <f ca="1">IFERROR(__xludf.DUMMYFUNCTION("""COMPUTED_VALUE"""),44638.6666666666)</f>
        <v>44638.666666666599</v>
      </c>
      <c r="D571" s="80" t="str">
        <f ca="1">IFERROR(__xludf.DUMMYFUNCTION("""COMPUTED_VALUE"""),"46876")</f>
        <v>46876</v>
      </c>
      <c r="E571" s="80" t="str">
        <f ca="1">IFERROR(__xludf.DUMMYFUNCTION("""COMPUTED_VALUE"""),"Stock")</f>
        <v>Stock</v>
      </c>
      <c r="F571" s="80" t="str">
        <f ca="1">IFERROR(__xludf.DUMMYFUNCTION("""COMPUTED_VALUE"""),"HKD")</f>
        <v>HKD</v>
      </c>
      <c r="G571" s="83" t="str">
        <f ca="1">IFERROR(__xludf.DUMMYFUNCTION("""COMPUTED_VALUE"""),"9988.HK")</f>
        <v>9988.HK</v>
      </c>
      <c r="H571" s="81">
        <f ca="1">IFERROR(__xludf.DUMMYFUNCTION("""COMPUTED_VALUE"""),1000)</f>
        <v>1000</v>
      </c>
      <c r="I571" s="80"/>
    </row>
    <row r="572" spans="1:9" ht="13" x14ac:dyDescent="0.15">
      <c r="A572" s="5"/>
      <c r="B572" s="82">
        <f ca="1">IFERROR(__xludf.DUMMYFUNCTION("""COMPUTED_VALUE"""),44638.4015725578)</f>
        <v>44638.401572557799</v>
      </c>
      <c r="C572" s="79">
        <f ca="1">IFERROR(__xludf.DUMMYFUNCTION("""COMPUTED_VALUE"""),44638.6666666666)</f>
        <v>44638.666666666599</v>
      </c>
      <c r="D572" s="80" t="str">
        <f ca="1">IFERROR(__xludf.DUMMYFUNCTION("""COMPUTED_VALUE"""),"37198")</f>
        <v>37198</v>
      </c>
      <c r="E572" s="80" t="str">
        <f ca="1">IFERROR(__xludf.DUMMYFUNCTION("""COMPUTED_VALUE"""),"Stock")</f>
        <v>Stock</v>
      </c>
      <c r="F572" s="80" t="str">
        <f ca="1">IFERROR(__xludf.DUMMYFUNCTION("""COMPUTED_VALUE"""),"USD")</f>
        <v>USD</v>
      </c>
      <c r="G572" s="78" t="str">
        <f ca="1">IFERROR(__xludf.DUMMYFUNCTION("""COMPUTED_VALUE"""),"BNTX")</f>
        <v>BNTX</v>
      </c>
      <c r="H572" s="81">
        <f ca="1">IFERROR(__xludf.DUMMYFUNCTION("""COMPUTED_VALUE"""),20)</f>
        <v>20</v>
      </c>
      <c r="I572" s="80"/>
    </row>
    <row r="573" spans="1:9" ht="13" x14ac:dyDescent="0.15">
      <c r="A573" s="5"/>
      <c r="B573" s="82">
        <f ca="1">IFERROR(__xludf.DUMMYFUNCTION("""COMPUTED_VALUE"""),44638.4060976967)</f>
        <v>44638.406097696701</v>
      </c>
      <c r="C573" s="79">
        <f ca="1">IFERROR(__xludf.DUMMYFUNCTION("""COMPUTED_VALUE"""),44638.6666666666)</f>
        <v>44638.666666666599</v>
      </c>
      <c r="D573" s="80" t="str">
        <f ca="1">IFERROR(__xludf.DUMMYFUNCTION("""COMPUTED_VALUE"""),"37198")</f>
        <v>37198</v>
      </c>
      <c r="E573" s="80" t="str">
        <f ca="1">IFERROR(__xludf.DUMMYFUNCTION("""COMPUTED_VALUE"""),"Stock")</f>
        <v>Stock</v>
      </c>
      <c r="F573" s="80" t="str">
        <f ca="1">IFERROR(__xludf.DUMMYFUNCTION("""COMPUTED_VALUE"""),"USD")</f>
        <v>USD</v>
      </c>
      <c r="G573" s="78" t="str">
        <f ca="1">IFERROR(__xludf.DUMMYFUNCTION("""COMPUTED_VALUE"""),"DVN")</f>
        <v>DVN</v>
      </c>
      <c r="H573" s="81">
        <f ca="1">IFERROR(__xludf.DUMMYFUNCTION("""COMPUTED_VALUE"""),50)</f>
        <v>50</v>
      </c>
      <c r="I573" s="80"/>
    </row>
    <row r="574" spans="1:9" ht="13" x14ac:dyDescent="0.15">
      <c r="A574" s="5"/>
      <c r="B574" s="82">
        <f ca="1">IFERROR(__xludf.DUMMYFUNCTION("""COMPUTED_VALUE"""),44638.4147590046)</f>
        <v>44638.414759004598</v>
      </c>
      <c r="C574" s="79">
        <f ca="1">IFERROR(__xludf.DUMMYFUNCTION("""COMPUTED_VALUE"""),44638.6666666666)</f>
        <v>44638.666666666599</v>
      </c>
      <c r="D574" s="80" t="str">
        <f ca="1">IFERROR(__xludf.DUMMYFUNCTION("""COMPUTED_VALUE"""),"37198")</f>
        <v>37198</v>
      </c>
      <c r="E574" s="80" t="str">
        <f ca="1">IFERROR(__xludf.DUMMYFUNCTION("""COMPUTED_VALUE"""),"Stock")</f>
        <v>Stock</v>
      </c>
      <c r="F574" s="80" t="str">
        <f ca="1">IFERROR(__xludf.DUMMYFUNCTION("""COMPUTED_VALUE"""),"USD")</f>
        <v>USD</v>
      </c>
      <c r="G574" s="78" t="str">
        <f ca="1">IFERROR(__xludf.DUMMYFUNCTION("""COMPUTED_VALUE"""),"CL=F")</f>
        <v>CL=F</v>
      </c>
      <c r="H574" s="81">
        <f ca="1">IFERROR(__xludf.DUMMYFUNCTION("""COMPUTED_VALUE"""),50)</f>
        <v>50</v>
      </c>
      <c r="I574" s="80"/>
    </row>
    <row r="575" spans="1:9" ht="13" x14ac:dyDescent="0.15">
      <c r="A575" s="5"/>
      <c r="B575" s="82">
        <f ca="1">IFERROR(__xludf.DUMMYFUNCTION("""COMPUTED_VALUE"""),44638.4163292476)</f>
        <v>44638.416329247601</v>
      </c>
      <c r="C575" s="79">
        <f ca="1">IFERROR(__xludf.DUMMYFUNCTION("""COMPUTED_VALUE"""),44638.6666666666)</f>
        <v>44638.666666666599</v>
      </c>
      <c r="D575" s="80" t="str">
        <f ca="1">IFERROR(__xludf.DUMMYFUNCTION("""COMPUTED_VALUE"""),"14626")</f>
        <v>14626</v>
      </c>
      <c r="E575" s="80" t="str">
        <f ca="1">IFERROR(__xludf.DUMMYFUNCTION("""COMPUTED_VALUE"""),"Stock")</f>
        <v>Stock</v>
      </c>
      <c r="F575" s="80" t="str">
        <f ca="1">IFERROR(__xludf.DUMMYFUNCTION("""COMPUTED_VALUE"""),"USD")</f>
        <v>USD</v>
      </c>
      <c r="G575" s="78" t="str">
        <f ca="1">IFERROR(__xludf.DUMMYFUNCTION("""COMPUTED_VALUE"""),"OXY")</f>
        <v>OXY</v>
      </c>
      <c r="H575" s="81">
        <f ca="1">IFERROR(__xludf.DUMMYFUNCTION("""COMPUTED_VALUE"""),100)</f>
        <v>100</v>
      </c>
      <c r="I575" s="80"/>
    </row>
    <row r="576" spans="1:9" ht="13" x14ac:dyDescent="0.15">
      <c r="A576" s="5"/>
      <c r="B576" s="82">
        <f ca="1">IFERROR(__xludf.DUMMYFUNCTION("""COMPUTED_VALUE"""),44638.418605081)</f>
        <v>44638.418605081002</v>
      </c>
      <c r="C576" s="79">
        <f ca="1">IFERROR(__xludf.DUMMYFUNCTION("""COMPUTED_VALUE"""),44638.6666666666)</f>
        <v>44638.666666666599</v>
      </c>
      <c r="D576" s="80" t="str">
        <f ca="1">IFERROR(__xludf.DUMMYFUNCTION("""COMPUTED_VALUE"""),"79521")</f>
        <v>79521</v>
      </c>
      <c r="E576" s="80" t="str">
        <f ca="1">IFERROR(__xludf.DUMMYFUNCTION("""COMPUTED_VALUE"""),"Stock")</f>
        <v>Stock</v>
      </c>
      <c r="F576" s="80" t="str">
        <f ca="1">IFERROR(__xludf.DUMMYFUNCTION("""COMPUTED_VALUE"""),"HKD")</f>
        <v>HKD</v>
      </c>
      <c r="G576" s="83" t="str">
        <f ca="1">IFERROR(__xludf.DUMMYFUNCTION("""COMPUTED_VALUE"""),"0700.HK")</f>
        <v>0700.HK</v>
      </c>
      <c r="H576" s="81">
        <f ca="1">IFERROR(__xludf.DUMMYFUNCTION("""COMPUTED_VALUE"""),1000)</f>
        <v>1000</v>
      </c>
      <c r="I576" s="80"/>
    </row>
    <row r="577" spans="1:9" ht="13" x14ac:dyDescent="0.15">
      <c r="A577" s="5"/>
      <c r="B577" s="82">
        <f ca="1">IFERROR(__xludf.DUMMYFUNCTION("""COMPUTED_VALUE"""),44638.4669380671)</f>
        <v>44638.466938067097</v>
      </c>
      <c r="C577" s="79">
        <f ca="1">IFERROR(__xludf.DUMMYFUNCTION("""COMPUTED_VALUE"""),44638.625)</f>
        <v>44638.625</v>
      </c>
      <c r="D577" s="80" t="str">
        <f ca="1">IFERROR(__xludf.DUMMYFUNCTION("""COMPUTED_VALUE"""),"79521")</f>
        <v>79521</v>
      </c>
      <c r="E577" s="80" t="str">
        <f ca="1">IFERROR(__xludf.DUMMYFUNCTION("""COMPUTED_VALUE"""),"Stock")</f>
        <v>Stock</v>
      </c>
      <c r="F577" s="80" t="str">
        <f ca="1">IFERROR(__xludf.DUMMYFUNCTION("""COMPUTED_VALUE"""),"CNY")</f>
        <v>CNY</v>
      </c>
      <c r="G577" s="83" t="str">
        <f ca="1">IFERROR(__xludf.DUMMYFUNCTION("""COMPUTED_VALUE"""),"001896.SZ")</f>
        <v>001896.SZ</v>
      </c>
      <c r="H577" s="81">
        <f ca="1">IFERROR(__xludf.DUMMYFUNCTION("""COMPUTED_VALUE"""),10000)</f>
        <v>10000</v>
      </c>
      <c r="I577" s="80"/>
    </row>
    <row r="578" spans="1:9" ht="13" x14ac:dyDescent="0.15">
      <c r="A578" s="5"/>
      <c r="B578" s="82">
        <f ca="1">IFERROR(__xludf.DUMMYFUNCTION("""COMPUTED_VALUE"""),44638.5786296643)</f>
        <v>44638.578629664298</v>
      </c>
      <c r="C578" s="79">
        <f ca="1">IFERROR(__xludf.DUMMYFUNCTION("""COMPUTED_VALUE"""),44638.6666666666)</f>
        <v>44638.666666666599</v>
      </c>
      <c r="D578" s="80" t="str">
        <f ca="1">IFERROR(__xludf.DUMMYFUNCTION("""COMPUTED_VALUE"""),"46600")</f>
        <v>46600</v>
      </c>
      <c r="E578" s="80" t="str">
        <f ca="1">IFERROR(__xludf.DUMMYFUNCTION("""COMPUTED_VALUE"""),"Stock")</f>
        <v>Stock</v>
      </c>
      <c r="F578" s="80" t="str">
        <f ca="1">IFERROR(__xludf.DUMMYFUNCTION("""COMPUTED_VALUE"""),"HKD")</f>
        <v>HKD</v>
      </c>
      <c r="G578" s="83" t="str">
        <f ca="1">IFERROR(__xludf.DUMMYFUNCTION("""COMPUTED_VALUE"""),"0700.HK")</f>
        <v>0700.HK</v>
      </c>
      <c r="H578" s="81">
        <f ca="1">IFERROR(__xludf.DUMMYFUNCTION("""COMPUTED_VALUE"""),50)</f>
        <v>50</v>
      </c>
      <c r="I578" s="80"/>
    </row>
    <row r="579" spans="1:9" ht="13" x14ac:dyDescent="0.15">
      <c r="A579" s="5"/>
      <c r="B579" s="82">
        <f ca="1">IFERROR(__xludf.DUMMYFUNCTION("""COMPUTED_VALUE"""),44638.6080607986)</f>
        <v>44638.6080607986</v>
      </c>
      <c r="C579" s="79">
        <f ca="1">IFERROR(__xludf.DUMMYFUNCTION("""COMPUTED_VALUE"""),44638.6666666666)</f>
        <v>44638.666666666599</v>
      </c>
      <c r="D579" s="80" t="str">
        <f ca="1">IFERROR(__xludf.DUMMYFUNCTION("""COMPUTED_VALUE"""),"37649")</f>
        <v>37649</v>
      </c>
      <c r="E579" s="80" t="str">
        <f ca="1">IFERROR(__xludf.DUMMYFUNCTION("""COMPUTED_VALUE"""),"Stock")</f>
        <v>Stock</v>
      </c>
      <c r="F579" s="80" t="str">
        <f ca="1">IFERROR(__xludf.DUMMYFUNCTION("""COMPUTED_VALUE"""),"HKD")</f>
        <v>HKD</v>
      </c>
      <c r="G579" s="83" t="str">
        <f ca="1">IFERROR(__xludf.DUMMYFUNCTION("""COMPUTED_VALUE"""),"1109.HK")</f>
        <v>1109.HK</v>
      </c>
      <c r="H579" s="81">
        <f ca="1">IFERROR(__xludf.DUMMYFUNCTION("""COMPUTED_VALUE"""),4000)</f>
        <v>4000</v>
      </c>
      <c r="I579" s="80"/>
    </row>
    <row r="580" spans="1:9" ht="13" x14ac:dyDescent="0.15">
      <c r="A580" s="5"/>
      <c r="B580" s="82">
        <f ca="1">IFERROR(__xludf.DUMMYFUNCTION("""COMPUTED_VALUE"""),44638.6099184722)</f>
        <v>44638.609918472197</v>
      </c>
      <c r="C580" s="79">
        <f ca="1">IFERROR(__xludf.DUMMYFUNCTION("""COMPUTED_VALUE"""),44638.6666666666)</f>
        <v>44638.666666666599</v>
      </c>
      <c r="D580" s="80" t="str">
        <f ca="1">IFERROR(__xludf.DUMMYFUNCTION("""COMPUTED_VALUE"""),"39776")</f>
        <v>39776</v>
      </c>
      <c r="E580" s="80" t="str">
        <f ca="1">IFERROR(__xludf.DUMMYFUNCTION("""COMPUTED_VALUE"""),"Stock")</f>
        <v>Stock</v>
      </c>
      <c r="F580" s="80" t="str">
        <f ca="1">IFERROR(__xludf.DUMMYFUNCTION("""COMPUTED_VALUE"""),"HKD")</f>
        <v>HKD</v>
      </c>
      <c r="G580" s="83" t="str">
        <f ca="1">IFERROR(__xludf.DUMMYFUNCTION("""COMPUTED_VALUE"""),"3800.HK")</f>
        <v>3800.HK</v>
      </c>
      <c r="H580" s="81">
        <f ca="1">IFERROR(__xludf.DUMMYFUNCTION("""COMPUTED_VALUE"""),10000)</f>
        <v>10000</v>
      </c>
      <c r="I580" s="80"/>
    </row>
    <row r="581" spans="1:9" ht="13" x14ac:dyDescent="0.15">
      <c r="A581" s="5"/>
      <c r="B581" s="82">
        <f ca="1">IFERROR(__xludf.DUMMYFUNCTION("""COMPUTED_VALUE"""),44638.6135868981)</f>
        <v>44638.6135868981</v>
      </c>
      <c r="C581" s="79">
        <f ca="1">IFERROR(__xludf.DUMMYFUNCTION("""COMPUTED_VALUE"""),44638.625)</f>
        <v>44638.625</v>
      </c>
      <c r="D581" s="80" t="str">
        <f ca="1">IFERROR(__xludf.DUMMYFUNCTION("""COMPUTED_VALUE"""),"38209")</f>
        <v>38209</v>
      </c>
      <c r="E581" s="80" t="str">
        <f ca="1">IFERROR(__xludf.DUMMYFUNCTION("""COMPUTED_VALUE"""),"Stock")</f>
        <v>Stock</v>
      </c>
      <c r="F581" s="80" t="str">
        <f ca="1">IFERROR(__xludf.DUMMYFUNCTION("""COMPUTED_VALUE"""),"CNY")</f>
        <v>CNY</v>
      </c>
      <c r="G581" s="83" t="str">
        <f ca="1">IFERROR(__xludf.DUMMYFUNCTION("""COMPUTED_VALUE"""),"600519.SS")</f>
        <v>600519.SS</v>
      </c>
      <c r="H581" s="81">
        <f ca="1">IFERROR(__xludf.DUMMYFUNCTION("""COMPUTED_VALUE"""),100)</f>
        <v>100</v>
      </c>
      <c r="I581" s="80"/>
    </row>
    <row r="582" spans="1:9" ht="13" x14ac:dyDescent="0.15">
      <c r="A582" s="5"/>
      <c r="B582" s="82">
        <f ca="1">IFERROR(__xludf.DUMMYFUNCTION("""COMPUTED_VALUE"""),44638.6755693287)</f>
        <v>44638.675569328698</v>
      </c>
      <c r="C582" s="79">
        <f ca="1">IFERROR(__xludf.DUMMYFUNCTION("""COMPUTED_VALUE"""),44638.6666666666)</f>
        <v>44638.666666666599</v>
      </c>
      <c r="D582" s="80" t="str">
        <f ca="1">IFERROR(__xludf.DUMMYFUNCTION("""COMPUTED_VALUE"""),"89845")</f>
        <v>89845</v>
      </c>
      <c r="E582" s="80" t="str">
        <f ca="1">IFERROR(__xludf.DUMMYFUNCTION("""COMPUTED_VALUE"""),"Stock")</f>
        <v>Stock</v>
      </c>
      <c r="F582" s="80" t="str">
        <f ca="1">IFERROR(__xludf.DUMMYFUNCTION("""COMPUTED_VALUE"""),"USD")</f>
        <v>USD</v>
      </c>
      <c r="G582" s="78" t="str">
        <f ca="1">IFERROR(__xludf.DUMMYFUNCTION("""COMPUTED_VALUE"""),"ASML")</f>
        <v>ASML</v>
      </c>
      <c r="H582" s="81">
        <f ca="1">IFERROR(__xludf.DUMMYFUNCTION("""COMPUTED_VALUE"""),200)</f>
        <v>200</v>
      </c>
      <c r="I582" s="80"/>
    </row>
    <row r="583" spans="1:9" ht="13" x14ac:dyDescent="0.15">
      <c r="A583" s="5"/>
      <c r="B583" s="82">
        <f ca="1">IFERROR(__xludf.DUMMYFUNCTION("""COMPUTED_VALUE"""),44638.6758251273)</f>
        <v>44638.675825127299</v>
      </c>
      <c r="C583" s="79">
        <f ca="1">IFERROR(__xludf.DUMMYFUNCTION("""COMPUTED_VALUE"""),44641)</f>
        <v>44641</v>
      </c>
      <c r="D583" s="80" t="str">
        <f ca="1">IFERROR(__xludf.DUMMYFUNCTION("""COMPUTED_VALUE"""),"75597")</f>
        <v>75597</v>
      </c>
      <c r="E583" s="80" t="str">
        <f ca="1">IFERROR(__xludf.DUMMYFUNCTION("""COMPUTED_VALUE"""),"Stock")</f>
        <v>Stock</v>
      </c>
      <c r="F583" s="80" t="str">
        <f ca="1">IFERROR(__xludf.DUMMYFUNCTION("""COMPUTED_VALUE"""),"CNY")</f>
        <v>CNY</v>
      </c>
      <c r="G583" s="83" t="str">
        <f ca="1">IFERROR(__xludf.DUMMYFUNCTION("""COMPUTED_VALUE"""),"600519.SS")</f>
        <v>600519.SS</v>
      </c>
      <c r="H583" s="81">
        <f ca="1">IFERROR(__xludf.DUMMYFUNCTION("""COMPUTED_VALUE"""),50)</f>
        <v>50</v>
      </c>
      <c r="I583" s="80"/>
    </row>
    <row r="584" spans="1:9" ht="13" x14ac:dyDescent="0.15">
      <c r="A584" s="5"/>
      <c r="B584" s="82">
        <f ca="1">IFERROR(__xludf.DUMMYFUNCTION("""COMPUTED_VALUE"""),44638.677857581)</f>
        <v>44638.677857581002</v>
      </c>
      <c r="C584" s="79">
        <f ca="1">IFERROR(__xludf.DUMMYFUNCTION("""COMPUTED_VALUE"""),44638.6666666666)</f>
        <v>44638.666666666599</v>
      </c>
      <c r="D584" s="80" t="str">
        <f ca="1">IFERROR(__xludf.DUMMYFUNCTION("""COMPUTED_VALUE"""),"89845")</f>
        <v>89845</v>
      </c>
      <c r="E584" s="80" t="str">
        <f ca="1">IFERROR(__xludf.DUMMYFUNCTION("""COMPUTED_VALUE"""),"Stock")</f>
        <v>Stock</v>
      </c>
      <c r="F584" s="80" t="str">
        <f ca="1">IFERROR(__xludf.DUMMYFUNCTION("""COMPUTED_VALUE"""),"USD")</f>
        <v>USD</v>
      </c>
      <c r="G584" s="78" t="str">
        <f ca="1">IFERROR(__xludf.DUMMYFUNCTION("""COMPUTED_VALUE"""),"ASML")</f>
        <v>ASML</v>
      </c>
      <c r="H584" s="81">
        <f ca="1">IFERROR(__xludf.DUMMYFUNCTION("""COMPUTED_VALUE"""),200)</f>
        <v>200</v>
      </c>
      <c r="I584" s="80"/>
    </row>
    <row r="585" spans="1:9" ht="13" x14ac:dyDescent="0.15">
      <c r="A585" s="5"/>
      <c r="B585" s="82">
        <f ca="1">IFERROR(__xludf.DUMMYFUNCTION("""COMPUTED_VALUE"""),44638.6877971643)</f>
        <v>44638.687797164297</v>
      </c>
      <c r="C585" s="79">
        <f ca="1">IFERROR(__xludf.DUMMYFUNCTION("""COMPUTED_VALUE"""),44638.6666666666)</f>
        <v>44638.666666666599</v>
      </c>
      <c r="D585" s="80" t="str">
        <f ca="1">IFERROR(__xludf.DUMMYFUNCTION("""COMPUTED_VALUE"""),"39441")</f>
        <v>39441</v>
      </c>
      <c r="E585" s="80" t="str">
        <f ca="1">IFERROR(__xludf.DUMMYFUNCTION("""COMPUTED_VALUE"""),"Stock")</f>
        <v>Stock</v>
      </c>
      <c r="F585" s="80" t="str">
        <f ca="1">IFERROR(__xludf.DUMMYFUNCTION("""COMPUTED_VALUE"""),"USD")</f>
        <v>USD</v>
      </c>
      <c r="G585" s="78" t="str">
        <f ca="1">IFERROR(__xludf.DUMMYFUNCTION("""COMPUTED_VALUE"""),"AMZN")</f>
        <v>AMZN</v>
      </c>
      <c r="H585" s="81">
        <f ca="1">IFERROR(__xludf.DUMMYFUNCTION("""COMPUTED_VALUE"""),11)</f>
        <v>11</v>
      </c>
      <c r="I585" s="80"/>
    </row>
    <row r="586" spans="1:9" ht="13" x14ac:dyDescent="0.15">
      <c r="A586" s="5"/>
      <c r="B586" s="82">
        <f ca="1">IFERROR(__xludf.DUMMYFUNCTION("""COMPUTED_VALUE"""),44638.6973860995)</f>
        <v>44638.697386099499</v>
      </c>
      <c r="C586" s="79" t="str">
        <f ca="1">IFERROR(__xludf.DUMMYFUNCTION("""COMPUTED_VALUE"""),"")</f>
        <v/>
      </c>
      <c r="D586" s="80" t="str">
        <f ca="1">IFERROR(__xludf.DUMMYFUNCTION("""COMPUTED_VALUE"""),"36252")</f>
        <v>36252</v>
      </c>
      <c r="E586" s="80" t="str">
        <f ca="1">IFERROR(__xludf.DUMMYFUNCTION("""COMPUTED_VALUE"""),"Stock")</f>
        <v>Stock</v>
      </c>
      <c r="F586" s="80" t="str">
        <f ca="1">IFERROR(__xludf.DUMMYFUNCTION("""COMPUTED_VALUE"""),"error")</f>
        <v>error</v>
      </c>
      <c r="G586" s="83" t="str">
        <f ca="1">IFERROR(__xludf.DUMMYFUNCTION("""COMPUTED_VALUE"""),"00386.hk")</f>
        <v>00386.hk</v>
      </c>
      <c r="H586" s="81">
        <f ca="1">IFERROR(__xludf.DUMMYFUNCTION("""COMPUTED_VALUE"""),50000)</f>
        <v>50000</v>
      </c>
      <c r="I586" s="80" t="str">
        <f ca="1">IFERROR(__xludf.DUMMYFUNCTION("""COMPUTED_VALUE"""),"Rejected due to wrong ticker code.")</f>
        <v>Rejected due to wrong ticker code.</v>
      </c>
    </row>
    <row r="587" spans="1:9" ht="13" x14ac:dyDescent="0.15">
      <c r="A587" s="5"/>
      <c r="B587" s="82">
        <f ca="1">IFERROR(__xludf.DUMMYFUNCTION("""COMPUTED_VALUE"""),44638.6973893287)</f>
        <v>44638.6973893287</v>
      </c>
      <c r="C587" s="79">
        <f ca="1">IFERROR(__xludf.DUMMYFUNCTION("""COMPUTED_VALUE"""),44638.6666666666)</f>
        <v>44638.666666666599</v>
      </c>
      <c r="D587" s="80" t="str">
        <f ca="1">IFERROR(__xludf.DUMMYFUNCTION("""COMPUTED_VALUE"""),"89845")</f>
        <v>89845</v>
      </c>
      <c r="E587" s="80" t="str">
        <f ca="1">IFERROR(__xludf.DUMMYFUNCTION("""COMPUTED_VALUE"""),"Stock")</f>
        <v>Stock</v>
      </c>
      <c r="F587" s="80" t="str">
        <f ca="1">IFERROR(__xludf.DUMMYFUNCTION("""COMPUTED_VALUE"""),"USD")</f>
        <v>USD</v>
      </c>
      <c r="G587" s="78" t="str">
        <f ca="1">IFERROR(__xludf.DUMMYFUNCTION("""COMPUTED_VALUE"""),"ASML")</f>
        <v>ASML</v>
      </c>
      <c r="H587" s="81">
        <f ca="1">IFERROR(__xludf.DUMMYFUNCTION("""COMPUTED_VALUE"""),200)</f>
        <v>200</v>
      </c>
      <c r="I587" s="80"/>
    </row>
    <row r="588" spans="1:9" ht="13" x14ac:dyDescent="0.15">
      <c r="A588" s="5"/>
      <c r="B588" s="82">
        <f ca="1">IFERROR(__xludf.DUMMYFUNCTION("""COMPUTED_VALUE"""),44638.6989359143)</f>
        <v>44638.698935914297</v>
      </c>
      <c r="C588" s="79">
        <f ca="1">IFERROR(__xludf.DUMMYFUNCTION("""COMPUTED_VALUE"""),44641)</f>
        <v>44641</v>
      </c>
      <c r="D588" s="80" t="str">
        <f ca="1">IFERROR(__xludf.DUMMYFUNCTION("""COMPUTED_VALUE"""),"39441")</f>
        <v>39441</v>
      </c>
      <c r="E588" s="80" t="str">
        <f ca="1">IFERROR(__xludf.DUMMYFUNCTION("""COMPUTED_VALUE"""),"Stock")</f>
        <v>Stock</v>
      </c>
      <c r="F588" s="80" t="str">
        <f ca="1">IFERROR(__xludf.DUMMYFUNCTION("""COMPUTED_VALUE"""),"HKD")</f>
        <v>HKD</v>
      </c>
      <c r="G588" s="83" t="str">
        <f ca="1">IFERROR(__xludf.DUMMYFUNCTION("""COMPUTED_VALUE"""),"0700.HK")</f>
        <v>0700.HK</v>
      </c>
      <c r="H588" s="81">
        <f ca="1">IFERROR(__xludf.DUMMYFUNCTION("""COMPUTED_VALUE"""),10)</f>
        <v>10</v>
      </c>
      <c r="I588" s="80"/>
    </row>
    <row r="589" spans="1:9" ht="13" x14ac:dyDescent="0.15">
      <c r="A589" s="5"/>
      <c r="B589" s="82">
        <f ca="1">IFERROR(__xludf.DUMMYFUNCTION("""COMPUTED_VALUE"""),44638.7046978125)</f>
        <v>44638.7046978125</v>
      </c>
      <c r="C589" s="79" t="str">
        <f ca="1">IFERROR(__xludf.DUMMYFUNCTION("""COMPUTED_VALUE"""),"")</f>
        <v/>
      </c>
      <c r="D589" s="80" t="str">
        <f ca="1">IFERROR(__xludf.DUMMYFUNCTION("""COMPUTED_VALUE"""),"36252")</f>
        <v>36252</v>
      </c>
      <c r="E589" s="80" t="str">
        <f ca="1">IFERROR(__xludf.DUMMYFUNCTION("""COMPUTED_VALUE"""),"Stock")</f>
        <v>Stock</v>
      </c>
      <c r="F589" s="80" t="str">
        <f ca="1">IFERROR(__xludf.DUMMYFUNCTION("""COMPUTED_VALUE"""),"error")</f>
        <v>error</v>
      </c>
      <c r="G589" s="83" t="str">
        <f ca="1">IFERROR(__xludf.DUMMYFUNCTION("""COMPUTED_VALUE"""),"02607.hk")</f>
        <v>02607.hk</v>
      </c>
      <c r="H589" s="81">
        <f ca="1">IFERROR(__xludf.DUMMYFUNCTION("""COMPUTED_VALUE"""),10500)</f>
        <v>10500</v>
      </c>
      <c r="I589" s="80" t="str">
        <f ca="1">IFERROR(__xludf.DUMMYFUNCTION("""COMPUTED_VALUE"""),"Rejected due to wrong ticker code.")</f>
        <v>Rejected due to wrong ticker code.</v>
      </c>
    </row>
    <row r="590" spans="1:9" ht="13" x14ac:dyDescent="0.15">
      <c r="A590" s="5"/>
      <c r="B590" s="82">
        <f ca="1">IFERROR(__xludf.DUMMYFUNCTION("""COMPUTED_VALUE"""),44638.7047284259)</f>
        <v>44638.704728425902</v>
      </c>
      <c r="C590" s="79">
        <f ca="1">IFERROR(__xludf.DUMMYFUNCTION("""COMPUTED_VALUE"""),44638.6666666666)</f>
        <v>44638.666666666599</v>
      </c>
      <c r="D590" s="80" t="str">
        <f ca="1">IFERROR(__xludf.DUMMYFUNCTION("""COMPUTED_VALUE"""),"39441")</f>
        <v>39441</v>
      </c>
      <c r="E590" s="80" t="str">
        <f ca="1">IFERROR(__xludf.DUMMYFUNCTION("""COMPUTED_VALUE"""),"Stock")</f>
        <v>Stock</v>
      </c>
      <c r="F590" s="80" t="str">
        <f ca="1">IFERROR(__xludf.DUMMYFUNCTION("""COMPUTED_VALUE"""),"USD")</f>
        <v>USD</v>
      </c>
      <c r="G590" s="78" t="str">
        <f ca="1">IFERROR(__xludf.DUMMYFUNCTION("""COMPUTED_VALUE"""),"GC=F")</f>
        <v>GC=F</v>
      </c>
      <c r="H590" s="81">
        <f ca="1">IFERROR(__xludf.DUMMYFUNCTION("""COMPUTED_VALUE"""),10)</f>
        <v>10</v>
      </c>
      <c r="I590" s="80"/>
    </row>
    <row r="591" spans="1:9" ht="13" x14ac:dyDescent="0.15">
      <c r="A591" s="5"/>
      <c r="B591" s="82">
        <f ca="1">IFERROR(__xludf.DUMMYFUNCTION("""COMPUTED_VALUE"""),44638.7074870949)</f>
        <v>44638.7074870949</v>
      </c>
      <c r="C591" s="79">
        <f ca="1">IFERROR(__xludf.DUMMYFUNCTION("""COMPUTED_VALUE"""),44641)</f>
        <v>44641</v>
      </c>
      <c r="D591" s="80" t="str">
        <f ca="1">IFERROR(__xludf.DUMMYFUNCTION("""COMPUTED_VALUE"""),"46600")</f>
        <v>46600</v>
      </c>
      <c r="E591" s="80" t="str">
        <f ca="1">IFERROR(__xludf.DUMMYFUNCTION("""COMPUTED_VALUE"""),"Stock")</f>
        <v>Stock</v>
      </c>
      <c r="F591" s="80" t="str">
        <f ca="1">IFERROR(__xludf.DUMMYFUNCTION("""COMPUTED_VALUE"""),"HKD")</f>
        <v>HKD</v>
      </c>
      <c r="G591" s="83" t="str">
        <f ca="1">IFERROR(__xludf.DUMMYFUNCTION("""COMPUTED_VALUE"""),"9988.HK")</f>
        <v>9988.HK</v>
      </c>
      <c r="H591" s="81">
        <f ca="1">IFERROR(__xludf.DUMMYFUNCTION("""COMPUTED_VALUE"""),100)</f>
        <v>100</v>
      </c>
      <c r="I591" s="80"/>
    </row>
    <row r="592" spans="1:9" ht="13" x14ac:dyDescent="0.15">
      <c r="A592" s="5"/>
      <c r="B592" s="82">
        <f ca="1">IFERROR(__xludf.DUMMYFUNCTION("""COMPUTED_VALUE"""),44638.7136302199)</f>
        <v>44638.7136302199</v>
      </c>
      <c r="C592" s="79">
        <f ca="1">IFERROR(__xludf.DUMMYFUNCTION("""COMPUTED_VALUE"""),44638.6666666666)</f>
        <v>44638.666666666599</v>
      </c>
      <c r="D592" s="80" t="str">
        <f ca="1">IFERROR(__xludf.DUMMYFUNCTION("""COMPUTED_VALUE"""),"14626")</f>
        <v>14626</v>
      </c>
      <c r="E592" s="80" t="str">
        <f ca="1">IFERROR(__xludf.DUMMYFUNCTION("""COMPUTED_VALUE"""),"Stock")</f>
        <v>Stock</v>
      </c>
      <c r="F592" s="80" t="str">
        <f ca="1">IFERROR(__xludf.DUMMYFUNCTION("""COMPUTED_VALUE"""),"USD")</f>
        <v>USD</v>
      </c>
      <c r="G592" s="78" t="str">
        <f ca="1">IFERROR(__xludf.DUMMYFUNCTION("""COMPUTED_VALUE"""),"ABBV")</f>
        <v>ABBV</v>
      </c>
      <c r="H592" s="81">
        <f ca="1">IFERROR(__xludf.DUMMYFUNCTION("""COMPUTED_VALUE"""),500)</f>
        <v>500</v>
      </c>
      <c r="I592" s="80"/>
    </row>
    <row r="593" spans="1:9" ht="13" x14ac:dyDescent="0.15">
      <c r="A593" s="5"/>
      <c r="B593" s="82">
        <f ca="1">IFERROR(__xludf.DUMMYFUNCTION("""COMPUTED_VALUE"""),44638.7171757407)</f>
        <v>44638.717175740698</v>
      </c>
      <c r="C593" s="79">
        <f ca="1">IFERROR(__xludf.DUMMYFUNCTION("""COMPUTED_VALUE"""),44638.6666666666)</f>
        <v>44638.666666666599</v>
      </c>
      <c r="D593" s="80" t="str">
        <f ca="1">IFERROR(__xludf.DUMMYFUNCTION("""COMPUTED_VALUE"""),"14626")</f>
        <v>14626</v>
      </c>
      <c r="E593" s="80" t="str">
        <f ca="1">IFERROR(__xludf.DUMMYFUNCTION("""COMPUTED_VALUE"""),"Stock")</f>
        <v>Stock</v>
      </c>
      <c r="F593" s="80" t="str">
        <f ca="1">IFERROR(__xludf.DUMMYFUNCTION("""COMPUTED_VALUE"""),"USD")</f>
        <v>USD</v>
      </c>
      <c r="G593" s="78" t="str">
        <f ca="1">IFERROR(__xludf.DUMMYFUNCTION("""COMPUTED_VALUE"""),"AAPL")</f>
        <v>AAPL</v>
      </c>
      <c r="H593" s="81">
        <f ca="1">IFERROR(__xludf.DUMMYFUNCTION("""COMPUTED_VALUE"""),1000)</f>
        <v>1000</v>
      </c>
      <c r="I593" s="80"/>
    </row>
    <row r="594" spans="1:9" ht="13" x14ac:dyDescent="0.15">
      <c r="A594" s="5"/>
      <c r="B594" s="82">
        <f ca="1">IFERROR(__xludf.DUMMYFUNCTION("""COMPUTED_VALUE"""),44638.7194765393)</f>
        <v>44638.7194765393</v>
      </c>
      <c r="C594" s="79">
        <f ca="1">IFERROR(__xludf.DUMMYFUNCTION("""COMPUTED_VALUE"""),44638.6666666666)</f>
        <v>44638.666666666599</v>
      </c>
      <c r="D594" s="80" t="str">
        <f ca="1">IFERROR(__xludf.DUMMYFUNCTION("""COMPUTED_VALUE"""),"14626")</f>
        <v>14626</v>
      </c>
      <c r="E594" s="80" t="str">
        <f ca="1">IFERROR(__xludf.DUMMYFUNCTION("""COMPUTED_VALUE"""),"Stock")</f>
        <v>Stock</v>
      </c>
      <c r="F594" s="80" t="str">
        <f ca="1">IFERROR(__xludf.DUMMYFUNCTION("""COMPUTED_VALUE"""),"USD")</f>
        <v>USD</v>
      </c>
      <c r="G594" s="78" t="str">
        <f ca="1">IFERROR(__xludf.DUMMYFUNCTION("""COMPUTED_VALUE"""),"MSFT")</f>
        <v>MSFT</v>
      </c>
      <c r="H594" s="81">
        <f ca="1">IFERROR(__xludf.DUMMYFUNCTION("""COMPUTED_VALUE"""),500)</f>
        <v>500</v>
      </c>
      <c r="I594" s="80"/>
    </row>
    <row r="595" spans="1:9" ht="13" x14ac:dyDescent="0.15">
      <c r="A595" s="5"/>
      <c r="B595" s="82">
        <f ca="1">IFERROR(__xludf.DUMMYFUNCTION("""COMPUTED_VALUE"""),44638.7210111921)</f>
        <v>44638.721011192101</v>
      </c>
      <c r="C595" s="79">
        <f ca="1">IFERROR(__xludf.DUMMYFUNCTION("""COMPUTED_VALUE"""),44638.6666666666)</f>
        <v>44638.666666666599</v>
      </c>
      <c r="D595" s="80" t="str">
        <f ca="1">IFERROR(__xludf.DUMMYFUNCTION("""COMPUTED_VALUE"""),"14626")</f>
        <v>14626</v>
      </c>
      <c r="E595" s="80" t="str">
        <f ca="1">IFERROR(__xludf.DUMMYFUNCTION("""COMPUTED_VALUE"""),"Stock")</f>
        <v>Stock</v>
      </c>
      <c r="F595" s="80" t="str">
        <f ca="1">IFERROR(__xludf.DUMMYFUNCTION("""COMPUTED_VALUE"""),"USD")</f>
        <v>USD</v>
      </c>
      <c r="G595" s="78" t="str">
        <f ca="1">IFERROR(__xludf.DUMMYFUNCTION("""COMPUTED_VALUE"""),"AMZN")</f>
        <v>AMZN</v>
      </c>
      <c r="H595" s="81">
        <f ca="1">IFERROR(__xludf.DUMMYFUNCTION("""COMPUTED_VALUE"""),500)</f>
        <v>500</v>
      </c>
      <c r="I595" s="80"/>
    </row>
    <row r="596" spans="1:9" ht="13" x14ac:dyDescent="0.15">
      <c r="A596" s="5"/>
      <c r="B596" s="82">
        <f ca="1">IFERROR(__xludf.DUMMYFUNCTION("""COMPUTED_VALUE"""),44638.7299166319)</f>
        <v>44638.729916631899</v>
      </c>
      <c r="C596" s="79">
        <f ca="1">IFERROR(__xludf.DUMMYFUNCTION("""COMPUTED_VALUE"""),44641)</f>
        <v>44641</v>
      </c>
      <c r="D596" s="80" t="str">
        <f ca="1">IFERROR(__xludf.DUMMYFUNCTION("""COMPUTED_VALUE"""),"36252")</f>
        <v>36252</v>
      </c>
      <c r="E596" s="80" t="str">
        <f ca="1">IFERROR(__xludf.DUMMYFUNCTION("""COMPUTED_VALUE"""),"Stock")</f>
        <v>Stock</v>
      </c>
      <c r="F596" s="80" t="str">
        <f ca="1">IFERROR(__xludf.DUMMYFUNCTION("""COMPUTED_VALUE"""),"HKD")</f>
        <v>HKD</v>
      </c>
      <c r="G596" s="83" t="str">
        <f ca="1">IFERROR(__xludf.DUMMYFUNCTION("""COMPUTED_VALUE"""),"0346.hk")</f>
        <v>0346.hk</v>
      </c>
      <c r="H596" s="81">
        <f ca="1">IFERROR(__xludf.DUMMYFUNCTION("""COMPUTED_VALUE"""),500000)</f>
        <v>500000</v>
      </c>
      <c r="I596" s="80"/>
    </row>
    <row r="597" spans="1:9" ht="13" x14ac:dyDescent="0.15">
      <c r="A597" s="5"/>
      <c r="B597" s="82">
        <f ca="1">IFERROR(__xludf.DUMMYFUNCTION("""COMPUTED_VALUE"""),44638.7474952546)</f>
        <v>44638.747495254604</v>
      </c>
      <c r="C597" s="79">
        <f ca="1">IFERROR(__xludf.DUMMYFUNCTION("""COMPUTED_VALUE"""),44641)</f>
        <v>44641</v>
      </c>
      <c r="D597" s="80" t="str">
        <f ca="1">IFERROR(__xludf.DUMMYFUNCTION("""COMPUTED_VALUE"""),"36252")</f>
        <v>36252</v>
      </c>
      <c r="E597" s="80" t="str">
        <f ca="1">IFERROR(__xludf.DUMMYFUNCTION("""COMPUTED_VALUE"""),"Stock")</f>
        <v>Stock</v>
      </c>
      <c r="F597" s="80" t="str">
        <f ca="1">IFERROR(__xludf.DUMMYFUNCTION("""COMPUTED_VALUE"""),"HKD")</f>
        <v>HKD</v>
      </c>
      <c r="G597" s="83" t="str">
        <f ca="1">IFERROR(__xludf.DUMMYFUNCTION("""COMPUTED_VALUE"""),"2607.hk")</f>
        <v>2607.hk</v>
      </c>
      <c r="H597" s="81">
        <f ca="1">IFERROR(__xludf.DUMMYFUNCTION("""COMPUTED_VALUE"""),11000)</f>
        <v>11000</v>
      </c>
      <c r="I597" s="80"/>
    </row>
    <row r="598" spans="1:9" ht="13" x14ac:dyDescent="0.15">
      <c r="A598" s="5"/>
      <c r="B598" s="82">
        <f ca="1">IFERROR(__xludf.DUMMYFUNCTION("""COMPUTED_VALUE"""),44638.9117531365)</f>
        <v>44638.911753136497</v>
      </c>
      <c r="C598" s="79">
        <f ca="1">IFERROR(__xludf.DUMMYFUNCTION("""COMPUTED_VALUE"""),44638.6666666666)</f>
        <v>44638.666666666599</v>
      </c>
      <c r="D598" s="80" t="str">
        <f ca="1">IFERROR(__xludf.DUMMYFUNCTION("""COMPUTED_VALUE"""),"46322")</f>
        <v>46322</v>
      </c>
      <c r="E598" s="80" t="str">
        <f ca="1">IFERROR(__xludf.DUMMYFUNCTION("""COMPUTED_VALUE"""),"Stock")</f>
        <v>Stock</v>
      </c>
      <c r="F598" s="80" t="str">
        <f ca="1">IFERROR(__xludf.DUMMYFUNCTION("""COMPUTED_VALUE"""),"USD")</f>
        <v>USD</v>
      </c>
      <c r="G598" s="78" t="str">
        <f ca="1">IFERROR(__xludf.DUMMYFUNCTION("""COMPUTED_VALUE"""),"SARK")</f>
        <v>SARK</v>
      </c>
      <c r="H598" s="81">
        <f ca="1">IFERROR(__xludf.DUMMYFUNCTION("""COMPUTED_VALUE"""),800)</f>
        <v>800</v>
      </c>
      <c r="I598" s="80"/>
    </row>
    <row r="599" spans="1:9" ht="13" x14ac:dyDescent="0.15">
      <c r="A599" s="5"/>
      <c r="B599" s="82">
        <f ca="1">IFERROR(__xludf.DUMMYFUNCTION("""COMPUTED_VALUE"""),44638.9186625231)</f>
        <v>44638.918662523101</v>
      </c>
      <c r="C599" s="79">
        <f ca="1">IFERROR(__xludf.DUMMYFUNCTION("""COMPUTED_VALUE"""),44641)</f>
        <v>44641</v>
      </c>
      <c r="D599" s="80" t="str">
        <f ca="1">IFERROR(__xludf.DUMMYFUNCTION("""COMPUTED_VALUE"""),"77393")</f>
        <v>77393</v>
      </c>
      <c r="E599" s="80" t="str">
        <f ca="1">IFERROR(__xludf.DUMMYFUNCTION("""COMPUTED_VALUE"""),"Stock")</f>
        <v>Stock</v>
      </c>
      <c r="F599" s="80" t="str">
        <f ca="1">IFERROR(__xludf.DUMMYFUNCTION("""COMPUTED_VALUE"""),"CNY")</f>
        <v>CNY</v>
      </c>
      <c r="G599" s="83" t="str">
        <f ca="1">IFERROR(__xludf.DUMMYFUNCTION("""COMPUTED_VALUE"""),"000568.SZ")</f>
        <v>000568.SZ</v>
      </c>
      <c r="H599" s="81">
        <f ca="1">IFERROR(__xludf.DUMMYFUNCTION("""COMPUTED_VALUE"""),1000)</f>
        <v>1000</v>
      </c>
      <c r="I599" s="80"/>
    </row>
    <row r="600" spans="1:9" ht="13" x14ac:dyDescent="0.15">
      <c r="A600" s="5"/>
      <c r="B600" s="82">
        <f ca="1">IFERROR(__xludf.DUMMYFUNCTION("""COMPUTED_VALUE"""),44638.9879917013)</f>
        <v>44638.987991701302</v>
      </c>
      <c r="C600" s="79">
        <f ca="1">IFERROR(__xludf.DUMMYFUNCTION("""COMPUTED_VALUE"""),44638.6666666666)</f>
        <v>44638.666666666599</v>
      </c>
      <c r="D600" s="80" t="str">
        <f ca="1">IFERROR(__xludf.DUMMYFUNCTION("""COMPUTED_VALUE"""),"38209")</f>
        <v>38209</v>
      </c>
      <c r="E600" s="80" t="str">
        <f ca="1">IFERROR(__xludf.DUMMYFUNCTION("""COMPUTED_VALUE"""),"Stock")</f>
        <v>Stock</v>
      </c>
      <c r="F600" s="80" t="str">
        <f ca="1">IFERROR(__xludf.DUMMYFUNCTION("""COMPUTED_VALUE"""),"USD")</f>
        <v>USD</v>
      </c>
      <c r="G600" s="78" t="str">
        <f ca="1">IFERROR(__xludf.DUMMYFUNCTION("""COMPUTED_VALUE"""),"XLV")</f>
        <v>XLV</v>
      </c>
      <c r="H600" s="81">
        <f ca="1">IFERROR(__xludf.DUMMYFUNCTION("""COMPUTED_VALUE"""),200)</f>
        <v>200</v>
      </c>
      <c r="I600" s="80"/>
    </row>
    <row r="601" spans="1:9" ht="13" x14ac:dyDescent="0.15">
      <c r="A601" s="5"/>
      <c r="B601" s="82">
        <f ca="1">IFERROR(__xludf.DUMMYFUNCTION("""COMPUTED_VALUE"""),44639.4794597222)</f>
        <v>44639.479459722199</v>
      </c>
      <c r="C601" s="79">
        <f ca="1">IFERROR(__xludf.DUMMYFUNCTION("""COMPUTED_VALUE"""),44639.6666666666)</f>
        <v>44639.666666666599</v>
      </c>
      <c r="D601" s="80" t="str">
        <f ca="1">IFERROR(__xludf.DUMMYFUNCTION("""COMPUTED_VALUE"""),"36252")</f>
        <v>36252</v>
      </c>
      <c r="E601" s="80" t="str">
        <f ca="1">IFERROR(__xludf.DUMMYFUNCTION("""COMPUTED_VALUE"""),"Stock")</f>
        <v>Stock</v>
      </c>
      <c r="F601" s="80" t="str">
        <f ca="1">IFERROR(__xludf.DUMMYFUNCTION("""COMPUTED_VALUE"""),"HKD")</f>
        <v>HKD</v>
      </c>
      <c r="G601" s="83" t="str">
        <f ca="1">IFERROR(__xludf.DUMMYFUNCTION("""COMPUTED_VALUE"""),"2318.hk")</f>
        <v>2318.hk</v>
      </c>
      <c r="H601" s="81">
        <f ca="1">IFERROR(__xludf.DUMMYFUNCTION("""COMPUTED_VALUE"""),1600)</f>
        <v>1600</v>
      </c>
      <c r="I601" s="80"/>
    </row>
    <row r="602" spans="1:9" ht="13" x14ac:dyDescent="0.15">
      <c r="A602" s="5"/>
      <c r="B602" s="82">
        <f ca="1">IFERROR(__xludf.DUMMYFUNCTION("""COMPUTED_VALUE"""),44639.4842592708)</f>
        <v>44639.484259270801</v>
      </c>
      <c r="C602" s="79">
        <f ca="1">IFERROR(__xludf.DUMMYFUNCTION("""COMPUTED_VALUE"""),44641)</f>
        <v>44641</v>
      </c>
      <c r="D602" s="80" t="str">
        <f ca="1">IFERROR(__xludf.DUMMYFUNCTION("""COMPUTED_VALUE"""),"76796")</f>
        <v>76796</v>
      </c>
      <c r="E602" s="80" t="str">
        <f ca="1">IFERROR(__xludf.DUMMYFUNCTION("""COMPUTED_VALUE"""),"Stock")</f>
        <v>Stock</v>
      </c>
      <c r="F602" s="80" t="str">
        <f ca="1">IFERROR(__xludf.DUMMYFUNCTION("""COMPUTED_VALUE"""),"USD")</f>
        <v>USD</v>
      </c>
      <c r="G602" s="78" t="str">
        <f ca="1">IFERROR(__xludf.DUMMYFUNCTION("""COMPUTED_VALUE"""),"MSFT")</f>
        <v>MSFT</v>
      </c>
      <c r="H602" s="81">
        <f ca="1">IFERROR(__xludf.DUMMYFUNCTION("""COMPUTED_VALUE"""),1000)</f>
        <v>1000</v>
      </c>
      <c r="I602" s="80"/>
    </row>
    <row r="603" spans="1:9" ht="13" x14ac:dyDescent="0.15">
      <c r="A603" s="5"/>
      <c r="B603" s="82">
        <f ca="1">IFERROR(__xludf.DUMMYFUNCTION("""COMPUTED_VALUE"""),44639.5252371759)</f>
        <v>44639.525237175898</v>
      </c>
      <c r="C603" s="79">
        <f ca="1">IFERROR(__xludf.DUMMYFUNCTION("""COMPUTED_VALUE"""),44641)</f>
        <v>44641</v>
      </c>
      <c r="D603" s="80" t="str">
        <f ca="1">IFERROR(__xludf.DUMMYFUNCTION("""COMPUTED_VALUE"""),"38705")</f>
        <v>38705</v>
      </c>
      <c r="E603" s="80" t="str">
        <f ca="1">IFERROR(__xludf.DUMMYFUNCTION("""COMPUTED_VALUE"""),"Stock")</f>
        <v>Stock</v>
      </c>
      <c r="F603" s="80" t="str">
        <f ca="1">IFERROR(__xludf.DUMMYFUNCTION("""COMPUTED_VALUE"""),"USD")</f>
        <v>USD</v>
      </c>
      <c r="G603" s="78" t="str">
        <f ca="1">IFERROR(__xludf.DUMMYFUNCTION("""COMPUTED_VALUE"""),"ANTM")</f>
        <v>ANTM</v>
      </c>
      <c r="H603" s="81">
        <f ca="1">IFERROR(__xludf.DUMMYFUNCTION("""COMPUTED_VALUE"""),100)</f>
        <v>100</v>
      </c>
      <c r="I603" s="80"/>
    </row>
    <row r="604" spans="1:9" ht="13" x14ac:dyDescent="0.15">
      <c r="A604" s="5"/>
      <c r="B604" s="82">
        <f ca="1">IFERROR(__xludf.DUMMYFUNCTION("""COMPUTED_VALUE"""),44639.5323359375)</f>
        <v>44639.532335937503</v>
      </c>
      <c r="C604" s="79">
        <f ca="1">IFERROR(__xludf.DUMMYFUNCTION("""COMPUTED_VALUE"""),44641)</f>
        <v>44641</v>
      </c>
      <c r="D604" s="80" t="str">
        <f ca="1">IFERROR(__xludf.DUMMYFUNCTION("""COMPUTED_VALUE"""),"38705")</f>
        <v>38705</v>
      </c>
      <c r="E604" s="80" t="str">
        <f ca="1">IFERROR(__xludf.DUMMYFUNCTION("""COMPUTED_VALUE"""),"Stock")</f>
        <v>Stock</v>
      </c>
      <c r="F604" s="80" t="str">
        <f ca="1">IFERROR(__xludf.DUMMYFUNCTION("""COMPUTED_VALUE"""),"USD")</f>
        <v>USD</v>
      </c>
      <c r="G604" s="78" t="str">
        <f ca="1">IFERROR(__xludf.DUMMYFUNCTION("""COMPUTED_VALUE"""),"NKE")</f>
        <v>NKE</v>
      </c>
      <c r="H604" s="81">
        <f ca="1">IFERROR(__xludf.DUMMYFUNCTION("""COMPUTED_VALUE"""),50)</f>
        <v>50</v>
      </c>
      <c r="I604" s="80"/>
    </row>
    <row r="605" spans="1:9" ht="13" x14ac:dyDescent="0.15">
      <c r="A605" s="5"/>
      <c r="B605" s="82">
        <f ca="1">IFERROR(__xludf.DUMMYFUNCTION("""COMPUTED_VALUE"""),44639.5512764236)</f>
        <v>44639.551276423597</v>
      </c>
      <c r="C605" s="79">
        <f ca="1">IFERROR(__xludf.DUMMYFUNCTION("""COMPUTED_VALUE"""),44641)</f>
        <v>44641</v>
      </c>
      <c r="D605" s="80" t="str">
        <f ca="1">IFERROR(__xludf.DUMMYFUNCTION("""COMPUTED_VALUE"""),"14626")</f>
        <v>14626</v>
      </c>
      <c r="E605" s="80" t="str">
        <f ca="1">IFERROR(__xludf.DUMMYFUNCTION("""COMPUTED_VALUE"""),"Stock")</f>
        <v>Stock</v>
      </c>
      <c r="F605" s="80" t="str">
        <f ca="1">IFERROR(__xludf.DUMMYFUNCTION("""COMPUTED_VALUE"""),"USD")</f>
        <v>USD</v>
      </c>
      <c r="G605" s="78" t="str">
        <f ca="1">IFERROR(__xludf.DUMMYFUNCTION("""COMPUTED_VALUE"""),"^CMC200")</f>
        <v>^CMC200</v>
      </c>
      <c r="H605" s="81">
        <f ca="1">IFERROR(__xludf.DUMMYFUNCTION("""COMPUTED_VALUE"""),500)</f>
        <v>500</v>
      </c>
      <c r="I605" s="80"/>
    </row>
    <row r="606" spans="1:9" ht="13" x14ac:dyDescent="0.15">
      <c r="A606" s="5"/>
      <c r="B606" s="82">
        <f ca="1">IFERROR(__xludf.DUMMYFUNCTION("""COMPUTED_VALUE"""),44639.5523239699)</f>
        <v>44639.552323969903</v>
      </c>
      <c r="C606" s="79">
        <f ca="1">IFERROR(__xludf.DUMMYFUNCTION("""COMPUTED_VALUE"""),44641)</f>
        <v>44641</v>
      </c>
      <c r="D606" s="80" t="str">
        <f ca="1">IFERROR(__xludf.DUMMYFUNCTION("""COMPUTED_VALUE"""),"14626")</f>
        <v>14626</v>
      </c>
      <c r="E606" s="80" t="str">
        <f ca="1">IFERROR(__xludf.DUMMYFUNCTION("""COMPUTED_VALUE"""),"Stock")</f>
        <v>Stock</v>
      </c>
      <c r="F606" s="80" t="str">
        <f ca="1">IFERROR(__xludf.DUMMYFUNCTION("""COMPUTED_VALUE"""),"USD")</f>
        <v>USD</v>
      </c>
      <c r="G606" s="78" t="str">
        <f ca="1">IFERROR(__xludf.DUMMYFUNCTION("""COMPUTED_VALUE"""),"SHOP")</f>
        <v>SHOP</v>
      </c>
      <c r="H606" s="81">
        <f ca="1">IFERROR(__xludf.DUMMYFUNCTION("""COMPUTED_VALUE"""),500)</f>
        <v>500</v>
      </c>
      <c r="I606" s="80"/>
    </row>
    <row r="607" spans="1:9" ht="13" x14ac:dyDescent="0.15">
      <c r="A607" s="5"/>
      <c r="B607" s="82">
        <f ca="1">IFERROR(__xludf.DUMMYFUNCTION("""COMPUTED_VALUE"""),44639.9884229513)</f>
        <v>44639.988422951297</v>
      </c>
      <c r="C607" s="79">
        <f ca="1">IFERROR(__xludf.DUMMYFUNCTION("""COMPUTED_VALUE"""),44641)</f>
        <v>44641</v>
      </c>
      <c r="D607" s="80" t="str">
        <f ca="1">IFERROR(__xludf.DUMMYFUNCTION("""COMPUTED_VALUE"""),"40433")</f>
        <v>40433</v>
      </c>
      <c r="E607" s="80" t="str">
        <f ca="1">IFERROR(__xludf.DUMMYFUNCTION("""COMPUTED_VALUE"""),"Stock")</f>
        <v>Stock</v>
      </c>
      <c r="F607" s="80" t="str">
        <f ca="1">IFERROR(__xludf.DUMMYFUNCTION("""COMPUTED_VALUE"""),"SAR")</f>
        <v>SAR</v>
      </c>
      <c r="G607" s="83" t="str">
        <f ca="1">IFERROR(__xludf.DUMMYFUNCTION("""COMPUTED_VALUE"""),"2222.SR")</f>
        <v>2222.SR</v>
      </c>
      <c r="H607" s="81">
        <f ca="1">IFERROR(__xludf.DUMMYFUNCTION("""COMPUTED_VALUE"""),20)</f>
        <v>20</v>
      </c>
      <c r="I607" s="80"/>
    </row>
    <row r="608" spans="1:9" ht="13" x14ac:dyDescent="0.15">
      <c r="A608" s="5"/>
      <c r="B608" s="82">
        <f ca="1">IFERROR(__xludf.DUMMYFUNCTION("""COMPUTED_VALUE"""),44639.9899030439)</f>
        <v>44639.989903043897</v>
      </c>
      <c r="C608" s="79">
        <f ca="1">IFERROR(__xludf.DUMMYFUNCTION("""COMPUTED_VALUE"""),44641)</f>
        <v>44641</v>
      </c>
      <c r="D608" s="80" t="str">
        <f ca="1">IFERROR(__xludf.DUMMYFUNCTION("""COMPUTED_VALUE"""),"40433")</f>
        <v>40433</v>
      </c>
      <c r="E608" s="80" t="str">
        <f ca="1">IFERROR(__xludf.DUMMYFUNCTION("""COMPUTED_VALUE"""),"Option")</f>
        <v>Option</v>
      </c>
      <c r="F608" s="80" t="str">
        <f ca="1">IFERROR(__xludf.DUMMYFUNCTION("""COMPUTED_VALUE"""),"error")</f>
        <v>error</v>
      </c>
      <c r="G608" s="78" t="str">
        <f ca="1">IFERROR(__xludf.DUMMYFUNCTION("""COMPUTED_VALUE"""),"GC=F")</f>
        <v>GC=F</v>
      </c>
      <c r="H608" s="81">
        <f ca="1">IFERROR(__xludf.DUMMYFUNCTION("""COMPUTED_VALUE"""),5)</f>
        <v>5</v>
      </c>
      <c r="I608" s="80"/>
    </row>
    <row r="609" spans="1:9" ht="13" x14ac:dyDescent="0.15">
      <c r="A609" s="5"/>
      <c r="B609" s="82">
        <f ca="1">IFERROR(__xludf.DUMMYFUNCTION("""COMPUTED_VALUE"""),44640.0449960879)</f>
        <v>44640.044996087898</v>
      </c>
      <c r="C609" s="79">
        <f ca="1">IFERROR(__xludf.DUMMYFUNCTION("""COMPUTED_VALUE"""),44641)</f>
        <v>44641</v>
      </c>
      <c r="D609" s="80" t="str">
        <f ca="1">IFERROR(__xludf.DUMMYFUNCTION("""COMPUTED_VALUE"""),"14626")</f>
        <v>14626</v>
      </c>
      <c r="E609" s="80" t="str">
        <f ca="1">IFERROR(__xludf.DUMMYFUNCTION("""COMPUTED_VALUE"""),"Stock")</f>
        <v>Stock</v>
      </c>
      <c r="F609" s="80" t="str">
        <f ca="1">IFERROR(__xludf.DUMMYFUNCTION("""COMPUTED_VALUE"""),"error")</f>
        <v>error</v>
      </c>
      <c r="G609" s="78" t="str">
        <f ca="1">IFERROR(__xludf.DUMMYFUNCTION("""COMPUTED_VALUE"""),"^IXIC")</f>
        <v>^IXIC</v>
      </c>
      <c r="H609" s="81">
        <f ca="1">IFERROR(__xludf.DUMMYFUNCTION("""COMPUTED_VALUE"""),500)</f>
        <v>500</v>
      </c>
      <c r="I609" s="80" t="str">
        <f ca="1">IFERROR(__xludf.DUMMYFUNCTION("""COMPUTED_VALUE"""),"Order rejected preliminary, based on insufficient fund - SPX index * 7.85 &gt; initial capital")</f>
        <v>Order rejected preliminary, based on insufficient fund - SPX index * 7.85 &gt; initial capital</v>
      </c>
    </row>
    <row r="610" spans="1:9" ht="13" x14ac:dyDescent="0.15">
      <c r="A610" s="5"/>
      <c r="B610" s="82">
        <f ca="1">IFERROR(__xludf.DUMMYFUNCTION("""COMPUTED_VALUE"""),44640.0478640972)</f>
        <v>44640.0478640972</v>
      </c>
      <c r="C610" s="79">
        <f ca="1">IFERROR(__xludf.DUMMYFUNCTION("""COMPUTED_VALUE"""),44641)</f>
        <v>44641</v>
      </c>
      <c r="D610" s="80" t="str">
        <f ca="1">IFERROR(__xludf.DUMMYFUNCTION("""COMPUTED_VALUE"""),"14626")</f>
        <v>14626</v>
      </c>
      <c r="E610" s="80" t="str">
        <f ca="1">IFERROR(__xludf.DUMMYFUNCTION("""COMPUTED_VALUE"""),"Stock")</f>
        <v>Stock</v>
      </c>
      <c r="F610" s="80" t="str">
        <f ca="1">IFERROR(__xludf.DUMMYFUNCTION("""COMPUTED_VALUE"""),"error")</f>
        <v>error</v>
      </c>
      <c r="G610" s="78" t="str">
        <f ca="1">IFERROR(__xludf.DUMMYFUNCTION("""COMPUTED_VALUE"""),"^RUT")</f>
        <v>^RUT</v>
      </c>
      <c r="H610" s="81">
        <f ca="1">IFERROR(__xludf.DUMMYFUNCTION("""COMPUTED_VALUE"""),1000)</f>
        <v>1000</v>
      </c>
      <c r="I610" s="80" t="str">
        <f ca="1">IFERROR(__xludf.DUMMYFUNCTION("""COMPUTED_VALUE"""),"Order rejected preliminary, based on insufficient fund - R2000 index * 7.85 &gt; initial capital")</f>
        <v>Order rejected preliminary, based on insufficient fund - R2000 index * 7.85 &gt; initial capital</v>
      </c>
    </row>
    <row r="611" spans="1:9" ht="13" x14ac:dyDescent="0.15">
      <c r="A611" s="5"/>
      <c r="B611" s="82">
        <f ca="1">IFERROR(__xludf.DUMMYFUNCTION("""COMPUTED_VALUE"""),44640.0488262963)</f>
        <v>44640.048826296297</v>
      </c>
      <c r="C611" s="79">
        <f ca="1">IFERROR(__xludf.DUMMYFUNCTION("""COMPUTED_VALUE"""),44641)</f>
        <v>44641</v>
      </c>
      <c r="D611" s="80" t="str">
        <f ca="1">IFERROR(__xludf.DUMMYFUNCTION("""COMPUTED_VALUE"""),"14626")</f>
        <v>14626</v>
      </c>
      <c r="E611" s="80" t="str">
        <f ca="1">IFERROR(__xludf.DUMMYFUNCTION("""COMPUTED_VALUE"""),"Stock")</f>
        <v>Stock</v>
      </c>
      <c r="F611" s="80" t="str">
        <f ca="1">IFERROR(__xludf.DUMMYFUNCTION("""COMPUTED_VALUE"""),"JPY")</f>
        <v>JPY</v>
      </c>
      <c r="G611" s="78" t="str">
        <f ca="1">IFERROR(__xludf.DUMMYFUNCTION("""COMPUTED_VALUE"""),"^N225")</f>
        <v>^N225</v>
      </c>
      <c r="H611" s="81">
        <f ca="1">IFERROR(__xludf.DUMMYFUNCTION("""COMPUTED_VALUE"""),500)</f>
        <v>500</v>
      </c>
      <c r="I611" s="80"/>
    </row>
    <row r="612" spans="1:9" ht="13" x14ac:dyDescent="0.15">
      <c r="A612" s="5"/>
      <c r="B612" s="82">
        <f ca="1">IFERROR(__xludf.DUMMYFUNCTION("""COMPUTED_VALUE"""),44640.0502036111)</f>
        <v>44640.050203611099</v>
      </c>
      <c r="C612" s="79">
        <f ca="1">IFERROR(__xludf.DUMMYFUNCTION("""COMPUTED_VALUE"""),44641)</f>
        <v>44641</v>
      </c>
      <c r="D612" s="80" t="str">
        <f ca="1">IFERROR(__xludf.DUMMYFUNCTION("""COMPUTED_VALUE"""),"14626")</f>
        <v>14626</v>
      </c>
      <c r="E612" s="80" t="str">
        <f ca="1">IFERROR(__xludf.DUMMYFUNCTION("""COMPUTED_VALUE"""),"Stock")</f>
        <v>Stock</v>
      </c>
      <c r="F612" s="80" t="str">
        <f ca="1">IFERROR(__xludf.DUMMYFUNCTION("""COMPUTED_VALUE"""),"USD")</f>
        <v>USD</v>
      </c>
      <c r="G612" s="78" t="str">
        <f ca="1">IFERROR(__xludf.DUMMYFUNCTION("""COMPUTED_VALUE"""),"PFE")</f>
        <v>PFE</v>
      </c>
      <c r="H612" s="81">
        <f ca="1">IFERROR(__xludf.DUMMYFUNCTION("""COMPUTED_VALUE"""),1000)</f>
        <v>1000</v>
      </c>
      <c r="I612" s="80"/>
    </row>
    <row r="613" spans="1:9" ht="13" x14ac:dyDescent="0.15">
      <c r="A613" s="5"/>
      <c r="B613" s="82">
        <f ca="1">IFERROR(__xludf.DUMMYFUNCTION("""COMPUTED_VALUE"""),44640.0524797685)</f>
        <v>44640.052479768499</v>
      </c>
      <c r="C613" s="79">
        <f ca="1">IFERROR(__xludf.DUMMYFUNCTION("""COMPUTED_VALUE"""),44641)</f>
        <v>44641</v>
      </c>
      <c r="D613" s="80" t="str">
        <f ca="1">IFERROR(__xludf.DUMMYFUNCTION("""COMPUTED_VALUE"""),"14626")</f>
        <v>14626</v>
      </c>
      <c r="E613" s="80" t="str">
        <f ca="1">IFERROR(__xludf.DUMMYFUNCTION("""COMPUTED_VALUE"""),"Stock")</f>
        <v>Stock</v>
      </c>
      <c r="F613" s="80" t="str">
        <f ca="1">IFERROR(__xludf.DUMMYFUNCTION("""COMPUTED_VALUE"""),"USD")</f>
        <v>USD</v>
      </c>
      <c r="G613" s="78" t="str">
        <f ca="1">IFERROR(__xludf.DUMMYFUNCTION("""COMPUTED_VALUE"""),"LUNA1-USD")</f>
        <v>LUNA1-USD</v>
      </c>
      <c r="H613" s="81">
        <f ca="1">IFERROR(__xludf.DUMMYFUNCTION("""COMPUTED_VALUE"""),1000)</f>
        <v>1000</v>
      </c>
      <c r="I613" s="80"/>
    </row>
    <row r="614" spans="1:9" ht="13" x14ac:dyDescent="0.15">
      <c r="A614" s="5"/>
      <c r="B614" s="82">
        <f ca="1">IFERROR(__xludf.DUMMYFUNCTION("""COMPUTED_VALUE"""),44640.0635485185)</f>
        <v>44640.063548518498</v>
      </c>
      <c r="C614" s="79">
        <f ca="1">IFERROR(__xludf.DUMMYFUNCTION("""COMPUTED_VALUE"""),44641)</f>
        <v>44641</v>
      </c>
      <c r="D614" s="80" t="str">
        <f ca="1">IFERROR(__xludf.DUMMYFUNCTION("""COMPUTED_VALUE"""),"14626")</f>
        <v>14626</v>
      </c>
      <c r="E614" s="80" t="str">
        <f ca="1">IFERROR(__xludf.DUMMYFUNCTION("""COMPUTED_VALUE"""),"Stock")</f>
        <v>Stock</v>
      </c>
      <c r="F614" s="80" t="str">
        <f ca="1">IFERROR(__xludf.DUMMYFUNCTION("""COMPUTED_VALUE"""),"USD")</f>
        <v>USD</v>
      </c>
      <c r="G614" s="78" t="str">
        <f ca="1">IFERROR(__xludf.DUMMYFUNCTION("""COMPUTED_VALUE"""),"NFLX")</f>
        <v>NFLX</v>
      </c>
      <c r="H614" s="81">
        <f ca="1">IFERROR(__xludf.DUMMYFUNCTION("""COMPUTED_VALUE"""),1000)</f>
        <v>1000</v>
      </c>
      <c r="I614" s="80"/>
    </row>
    <row r="615" spans="1:9" ht="13" x14ac:dyDescent="0.15">
      <c r="A615" s="5"/>
      <c r="B615" s="82">
        <f ca="1">IFERROR(__xludf.DUMMYFUNCTION("""COMPUTED_VALUE"""),44640.1103913888)</f>
        <v>44640.1103913888</v>
      </c>
      <c r="C615" s="79">
        <f ca="1">IFERROR(__xludf.DUMMYFUNCTION("""COMPUTED_VALUE"""),44641)</f>
        <v>44641</v>
      </c>
      <c r="D615" s="80" t="str">
        <f ca="1">IFERROR(__xludf.DUMMYFUNCTION("""COMPUTED_VALUE"""),"14626")</f>
        <v>14626</v>
      </c>
      <c r="E615" s="80" t="str">
        <f ca="1">IFERROR(__xludf.DUMMYFUNCTION("""COMPUTED_VALUE"""),"Stock")</f>
        <v>Stock</v>
      </c>
      <c r="F615" s="80" t="str">
        <f ca="1">IFERROR(__xludf.DUMMYFUNCTION("""COMPUTED_VALUE"""),"error")</f>
        <v>error</v>
      </c>
      <c r="G615" s="78" t="str">
        <f ca="1">IFERROR(__xludf.DUMMYFUNCTION("""COMPUTED_VALUE"""),"BTC-USD")</f>
        <v>BTC-USD</v>
      </c>
      <c r="H615" s="81">
        <f ca="1">IFERROR(__xludf.DUMMYFUNCTION("""COMPUTED_VALUE"""),500)</f>
        <v>500</v>
      </c>
      <c r="I615" s="80" t="str">
        <f ca="1">IFERROR(__xludf.DUMMYFUNCTION("""COMPUTED_VALUE"""),"Order rejected preliminary due to insufficient cash")</f>
        <v>Order rejected preliminary due to insufficient cash</v>
      </c>
    </row>
    <row r="616" spans="1:9" ht="13" x14ac:dyDescent="0.15">
      <c r="A616" s="5"/>
      <c r="B616" s="82">
        <f ca="1">IFERROR(__xludf.DUMMYFUNCTION("""COMPUTED_VALUE"""),44640.1112798379)</f>
        <v>44640.111279837904</v>
      </c>
      <c r="C616" s="79">
        <f ca="1">IFERROR(__xludf.DUMMYFUNCTION("""COMPUTED_VALUE"""),44641)</f>
        <v>44641</v>
      </c>
      <c r="D616" s="80" t="str">
        <f ca="1">IFERROR(__xludf.DUMMYFUNCTION("""COMPUTED_VALUE"""),"14626")</f>
        <v>14626</v>
      </c>
      <c r="E616" s="80" t="str">
        <f ca="1">IFERROR(__xludf.DUMMYFUNCTION("""COMPUTED_VALUE"""),"Stock")</f>
        <v>Stock</v>
      </c>
      <c r="F616" s="80" t="str">
        <f ca="1">IFERROR(__xludf.DUMMYFUNCTION("""COMPUTED_VALUE"""),"USD")</f>
        <v>USD</v>
      </c>
      <c r="G616" s="78" t="str">
        <f ca="1">IFERROR(__xludf.DUMMYFUNCTION("""COMPUTED_VALUE"""),"NVDA")</f>
        <v>NVDA</v>
      </c>
      <c r="H616" s="81">
        <f ca="1">IFERROR(__xludf.DUMMYFUNCTION("""COMPUTED_VALUE"""),1000)</f>
        <v>1000</v>
      </c>
      <c r="I616" s="80"/>
    </row>
    <row r="617" spans="1:9" ht="13" x14ac:dyDescent="0.15">
      <c r="A617" s="5"/>
      <c r="B617" s="82">
        <f ca="1">IFERROR(__xludf.DUMMYFUNCTION("""COMPUTED_VALUE"""),44640.6068574189)</f>
        <v>44640.606857418898</v>
      </c>
      <c r="C617" s="79">
        <f ca="1">IFERROR(__xludf.DUMMYFUNCTION("""COMPUTED_VALUE"""),44641)</f>
        <v>44641</v>
      </c>
      <c r="D617" s="80" t="str">
        <f ca="1">IFERROR(__xludf.DUMMYFUNCTION("""COMPUTED_VALUE"""),"73341")</f>
        <v>73341</v>
      </c>
      <c r="E617" s="80" t="str">
        <f ca="1">IFERROR(__xludf.DUMMYFUNCTION("""COMPUTED_VALUE"""),"Stock")</f>
        <v>Stock</v>
      </c>
      <c r="F617" s="80" t="str">
        <f ca="1">IFERROR(__xludf.DUMMYFUNCTION("""COMPUTED_VALUE"""),"error")</f>
        <v>error</v>
      </c>
      <c r="G617" s="78" t="str">
        <f ca="1">IFERROR(__xludf.DUMMYFUNCTION("""COMPUTED_VALUE"""),"00700")</f>
        <v>00700</v>
      </c>
      <c r="H617" s="81">
        <f ca="1">IFERROR(__xludf.DUMMYFUNCTION("""COMPUTED_VALUE"""),10)</f>
        <v>10</v>
      </c>
      <c r="I617" s="80"/>
    </row>
    <row r="618" spans="1:9" ht="13" x14ac:dyDescent="0.15">
      <c r="A618" s="5"/>
      <c r="B618" s="82">
        <f ca="1">IFERROR(__xludf.DUMMYFUNCTION("""COMPUTED_VALUE"""),44640.7211940856)</f>
        <v>44640.7211940856</v>
      </c>
      <c r="C618" s="79">
        <f ca="1">IFERROR(__xludf.DUMMYFUNCTION("""COMPUTED_VALUE"""),44641)</f>
        <v>44641</v>
      </c>
      <c r="D618" s="80" t="str">
        <f ca="1">IFERROR(__xludf.DUMMYFUNCTION("""COMPUTED_VALUE"""),"76369")</f>
        <v>76369</v>
      </c>
      <c r="E618" s="80" t="str">
        <f ca="1">IFERROR(__xludf.DUMMYFUNCTION("""COMPUTED_VALUE"""),"Stock")</f>
        <v>Stock</v>
      </c>
      <c r="F618" s="80" t="str">
        <f ca="1">IFERROR(__xludf.DUMMYFUNCTION("""COMPUTED_VALUE"""),"USD")</f>
        <v>USD</v>
      </c>
      <c r="G618" s="78" t="str">
        <f ca="1">IFERROR(__xludf.DUMMYFUNCTION("""COMPUTED_VALUE"""),"GC=F")</f>
        <v>GC=F</v>
      </c>
      <c r="H618" s="81">
        <f ca="1">IFERROR(__xludf.DUMMYFUNCTION("""COMPUTED_VALUE"""),5)</f>
        <v>5</v>
      </c>
      <c r="I618" s="80"/>
    </row>
    <row r="619" spans="1:9" ht="13" x14ac:dyDescent="0.15">
      <c r="A619" s="5"/>
      <c r="B619" s="82">
        <f ca="1">IFERROR(__xludf.DUMMYFUNCTION("""COMPUTED_VALUE"""),44640.8929127314)</f>
        <v>44640.892912731397</v>
      </c>
      <c r="C619" s="79">
        <f ca="1">IFERROR(__xludf.DUMMYFUNCTION("""COMPUTED_VALUE"""),44641)</f>
        <v>44641</v>
      </c>
      <c r="D619" s="80" t="str">
        <f ca="1">IFERROR(__xludf.DUMMYFUNCTION("""COMPUTED_VALUE"""),"95516")</f>
        <v>95516</v>
      </c>
      <c r="E619" s="80" t="str">
        <f ca="1">IFERROR(__xludf.DUMMYFUNCTION("""COMPUTED_VALUE"""),"Stock")</f>
        <v>Stock</v>
      </c>
      <c r="F619" s="80" t="str">
        <f ca="1">IFERROR(__xludf.DUMMYFUNCTION("""COMPUTED_VALUE"""),"error")</f>
        <v>error</v>
      </c>
      <c r="G619" s="83" t="str">
        <f ca="1">IFERROR(__xludf.DUMMYFUNCTION("""COMPUTED_VALUE"""),"9988.HK")</f>
        <v>9988.HK</v>
      </c>
      <c r="H619" s="81">
        <f ca="1">IFERROR(__xludf.DUMMYFUNCTION("""COMPUTED_VALUE"""),1500)</f>
        <v>1500</v>
      </c>
      <c r="I619" s="80" t="str">
        <f ca="1">IFERROR(__xludf.DUMMYFUNCTION("""COMPUTED_VALUE"""),"Order rejected due to wrong password")</f>
        <v>Order rejected due to wrong password</v>
      </c>
    </row>
    <row r="620" spans="1:9" ht="13" x14ac:dyDescent="0.15">
      <c r="A620" s="5"/>
      <c r="B620" s="82">
        <f ca="1">IFERROR(__xludf.DUMMYFUNCTION("""COMPUTED_VALUE"""),44640.911220949)</f>
        <v>44640.911220948998</v>
      </c>
      <c r="C620" s="79">
        <f ca="1">IFERROR(__xludf.DUMMYFUNCTION("""COMPUTED_VALUE"""),44641)</f>
        <v>44641</v>
      </c>
      <c r="D620" s="80" t="str">
        <f ca="1">IFERROR(__xludf.DUMMYFUNCTION("""COMPUTED_VALUE"""),"56118")</f>
        <v>56118</v>
      </c>
      <c r="E620" s="80" t="str">
        <f ca="1">IFERROR(__xludf.DUMMYFUNCTION("""COMPUTED_VALUE"""),"Stock")</f>
        <v>Stock</v>
      </c>
      <c r="F620" s="80" t="str">
        <f ca="1">IFERROR(__xludf.DUMMYFUNCTION("""COMPUTED_VALUE"""),"USD")</f>
        <v>USD</v>
      </c>
      <c r="G620" s="78" t="str">
        <f ca="1">IFERROR(__xludf.DUMMYFUNCTION("""COMPUTED_VALUE"""),"NFLX")</f>
        <v>NFLX</v>
      </c>
      <c r="H620" s="81">
        <f ca="1">IFERROR(__xludf.DUMMYFUNCTION("""COMPUTED_VALUE"""),10)</f>
        <v>10</v>
      </c>
      <c r="I620" s="80"/>
    </row>
    <row r="621" spans="1:9" ht="13" x14ac:dyDescent="0.15">
      <c r="A621" s="5"/>
      <c r="B621" s="82">
        <f ca="1">IFERROR(__xludf.DUMMYFUNCTION("""COMPUTED_VALUE"""),44640.9124919097)</f>
        <v>44640.912491909701</v>
      </c>
      <c r="C621" s="79">
        <f ca="1">IFERROR(__xludf.DUMMYFUNCTION("""COMPUTED_VALUE"""),44641)</f>
        <v>44641</v>
      </c>
      <c r="D621" s="80" t="str">
        <f ca="1">IFERROR(__xludf.DUMMYFUNCTION("""COMPUTED_VALUE"""),"56118")</f>
        <v>56118</v>
      </c>
      <c r="E621" s="80" t="str">
        <f ca="1">IFERROR(__xludf.DUMMYFUNCTION("""COMPUTED_VALUE"""),"Stock")</f>
        <v>Stock</v>
      </c>
      <c r="F621" s="80" t="str">
        <f ca="1">IFERROR(__xludf.DUMMYFUNCTION("""COMPUTED_VALUE"""),"USD")</f>
        <v>USD</v>
      </c>
      <c r="G621" s="78" t="str">
        <f ca="1">IFERROR(__xludf.DUMMYFUNCTION("""COMPUTED_VALUE"""),"SOFI")</f>
        <v>SOFI</v>
      </c>
      <c r="H621" s="81">
        <f ca="1">IFERROR(__xludf.DUMMYFUNCTION("""COMPUTED_VALUE"""),200)</f>
        <v>200</v>
      </c>
      <c r="I621" s="80"/>
    </row>
    <row r="622" spans="1:9" ht="13" x14ac:dyDescent="0.15">
      <c r="A622" s="5"/>
      <c r="B622" s="82">
        <f ca="1">IFERROR(__xludf.DUMMYFUNCTION("""COMPUTED_VALUE"""),44640.9291781713)</f>
        <v>44640.929178171296</v>
      </c>
      <c r="C622" s="79">
        <f ca="1">IFERROR(__xludf.DUMMYFUNCTION("""COMPUTED_VALUE"""),44641)</f>
        <v>44641</v>
      </c>
      <c r="D622" s="80" t="str">
        <f ca="1">IFERROR(__xludf.DUMMYFUNCTION("""COMPUTED_VALUE"""),"56118")</f>
        <v>56118</v>
      </c>
      <c r="E622" s="80" t="str">
        <f ca="1">IFERROR(__xludf.DUMMYFUNCTION("""COMPUTED_VALUE"""),"Stock")</f>
        <v>Stock</v>
      </c>
      <c r="F622" s="80" t="str">
        <f ca="1">IFERROR(__xludf.DUMMYFUNCTION("""COMPUTED_VALUE"""),"USD")</f>
        <v>USD</v>
      </c>
      <c r="G622" s="78" t="str">
        <f ca="1">IFERROR(__xludf.DUMMYFUNCTION("""COMPUTED_VALUE"""),"LMT")</f>
        <v>LMT</v>
      </c>
      <c r="H622" s="81">
        <f ca="1">IFERROR(__xludf.DUMMYFUNCTION("""COMPUTED_VALUE"""),20)</f>
        <v>20</v>
      </c>
      <c r="I622" s="80"/>
    </row>
    <row r="623" spans="1:9" ht="13" x14ac:dyDescent="0.15">
      <c r="A623" s="5"/>
      <c r="B623" s="82">
        <f ca="1">IFERROR(__xludf.DUMMYFUNCTION("""COMPUTED_VALUE"""),44640.9317770486)</f>
        <v>44640.931777048601</v>
      </c>
      <c r="C623" s="79">
        <f ca="1">IFERROR(__xludf.DUMMYFUNCTION("""COMPUTED_VALUE"""),44641)</f>
        <v>44641</v>
      </c>
      <c r="D623" s="80" t="str">
        <f ca="1">IFERROR(__xludf.DUMMYFUNCTION("""COMPUTED_VALUE"""),"56118")</f>
        <v>56118</v>
      </c>
      <c r="E623" s="80" t="str">
        <f ca="1">IFERROR(__xludf.DUMMYFUNCTION("""COMPUTED_VALUE"""),"Stock")</f>
        <v>Stock</v>
      </c>
      <c r="F623" s="80" t="str">
        <f ca="1">IFERROR(__xludf.DUMMYFUNCTION("""COMPUTED_VALUE"""),"error")</f>
        <v>error</v>
      </c>
      <c r="G623" s="78">
        <f ca="1">IFERROR(__xludf.DUMMYFUNCTION("""COMPUTED_VALUE"""),56118)</f>
        <v>56118</v>
      </c>
      <c r="H623" s="81">
        <f ca="1">IFERROR(__xludf.DUMMYFUNCTION("""COMPUTED_VALUE"""),200)</f>
        <v>200</v>
      </c>
      <c r="I623" s="80" t="str">
        <f ca="1">IFERROR(__xludf.DUMMYFUNCTION("""COMPUTED_VALUE"""),"Order rejected due to wrong ticker code.")</f>
        <v>Order rejected due to wrong ticker code.</v>
      </c>
    </row>
    <row r="624" spans="1:9" ht="13" x14ac:dyDescent="0.15">
      <c r="A624" s="5"/>
      <c r="B624" s="82">
        <f ca="1">IFERROR(__xludf.DUMMYFUNCTION("""COMPUTED_VALUE"""),44641.3471624189)</f>
        <v>44641.347162418897</v>
      </c>
      <c r="C624" s="79" t="str">
        <f ca="1">IFERROR(__xludf.DUMMYFUNCTION("""COMPUTED_VALUE"""),"")</f>
        <v/>
      </c>
      <c r="D624" s="80" t="str">
        <f ca="1">IFERROR(__xludf.DUMMYFUNCTION("""COMPUTED_VALUE"""),"69930")</f>
        <v>69930</v>
      </c>
      <c r="E624" s="80" t="str">
        <f ca="1">IFERROR(__xludf.DUMMYFUNCTION("""COMPUTED_VALUE"""),"Stock")</f>
        <v>Stock</v>
      </c>
      <c r="F624" s="80" t="str">
        <f ca="1">IFERROR(__xludf.DUMMYFUNCTION("""COMPUTED_VALUE"""),"error")</f>
        <v>error</v>
      </c>
      <c r="G624" s="78" t="str">
        <f ca="1">IFERROR(__xludf.DUMMYFUNCTION("""COMPUTED_VALUE"""),"(002759.SZ)")</f>
        <v>(002759.SZ)</v>
      </c>
      <c r="H624" s="81">
        <f ca="1">IFERROR(__xludf.DUMMYFUNCTION("""COMPUTED_VALUE"""),2000)</f>
        <v>2000</v>
      </c>
      <c r="I624" s="80" t="str">
        <f ca="1">IFERROR(__xludf.DUMMYFUNCTION("""COMPUTED_VALUE"""),"Order rejected due to wrong password")</f>
        <v>Order rejected due to wrong password</v>
      </c>
    </row>
    <row r="625" spans="1:9" ht="13" x14ac:dyDescent="0.15">
      <c r="A625" s="5"/>
      <c r="B625" s="82">
        <f ca="1">IFERROR(__xludf.DUMMYFUNCTION("""COMPUTED_VALUE"""),44641.3571240046)</f>
        <v>44641.3571240046</v>
      </c>
      <c r="C625" s="79" t="str">
        <f ca="1">IFERROR(__xludf.DUMMYFUNCTION("""COMPUTED_VALUE"""),"")</f>
        <v/>
      </c>
      <c r="D625" s="80" t="str">
        <f ca="1">IFERROR(__xludf.DUMMYFUNCTION("""COMPUTED_VALUE"""),"69930")</f>
        <v>69930</v>
      </c>
      <c r="E625" s="80" t="str">
        <f ca="1">IFERROR(__xludf.DUMMYFUNCTION("""COMPUTED_VALUE"""),"Stock")</f>
        <v>Stock</v>
      </c>
      <c r="F625" s="80" t="str">
        <f ca="1">IFERROR(__xludf.DUMMYFUNCTION("""COMPUTED_VALUE"""),"error")</f>
        <v>error</v>
      </c>
      <c r="G625" s="78" t="str">
        <f ca="1">IFERROR(__xludf.DUMMYFUNCTION("""COMPUTED_VALUE""")," (000002.SZ)")</f>
        <v xml:space="preserve"> (000002.SZ)</v>
      </c>
      <c r="H625" s="81">
        <f ca="1">IFERROR(__xludf.DUMMYFUNCTION("""COMPUTED_VALUE"""),2000)</f>
        <v>2000</v>
      </c>
      <c r="I625" s="80" t="str">
        <f ca="1">IFERROR(__xludf.DUMMYFUNCTION("""COMPUTED_VALUE"""),"Order rejected due to wrong password")</f>
        <v>Order rejected due to wrong password</v>
      </c>
    </row>
    <row r="626" spans="1:9" ht="13" x14ac:dyDescent="0.15">
      <c r="A626" s="5"/>
      <c r="B626" s="82">
        <f ca="1">IFERROR(__xludf.DUMMYFUNCTION("""COMPUTED_VALUE"""),44641.4177631828)</f>
        <v>44641.417763182799</v>
      </c>
      <c r="C626" s="79">
        <f ca="1">IFERROR(__xludf.DUMMYFUNCTION("""COMPUTED_VALUE"""),44641.6666666666)</f>
        <v>44641.666666666599</v>
      </c>
      <c r="D626" s="80" t="str">
        <f ca="1">IFERROR(__xludf.DUMMYFUNCTION("""COMPUTED_VALUE"""),"79521")</f>
        <v>79521</v>
      </c>
      <c r="E626" s="80" t="str">
        <f ca="1">IFERROR(__xludf.DUMMYFUNCTION("""COMPUTED_VALUE"""),"Stock")</f>
        <v>Stock</v>
      </c>
      <c r="F626" s="80" t="str">
        <f ca="1">IFERROR(__xludf.DUMMYFUNCTION("""COMPUTED_VALUE"""),"HKD")</f>
        <v>HKD</v>
      </c>
      <c r="G626" s="83" t="str">
        <f ca="1">IFERROR(__xludf.DUMMYFUNCTION("""COMPUTED_VALUE"""),"0700.HK")</f>
        <v>0700.HK</v>
      </c>
      <c r="H626" s="81">
        <f ca="1">IFERROR(__xludf.DUMMYFUNCTION("""COMPUTED_VALUE"""),1000)</f>
        <v>1000</v>
      </c>
      <c r="I626" s="80"/>
    </row>
    <row r="627" spans="1:9" ht="13" x14ac:dyDescent="0.15">
      <c r="A627" s="5"/>
      <c r="B627" s="82">
        <f ca="1">IFERROR(__xludf.DUMMYFUNCTION("""COMPUTED_VALUE"""),44641.4336627893)</f>
        <v>44641.433662789299</v>
      </c>
      <c r="C627" s="79">
        <f ca="1">IFERROR(__xludf.DUMMYFUNCTION("""COMPUTED_VALUE"""),44641.6666666666)</f>
        <v>44641.666666666599</v>
      </c>
      <c r="D627" s="80" t="str">
        <f ca="1">IFERROR(__xludf.DUMMYFUNCTION("""COMPUTED_VALUE"""),"14626")</f>
        <v>14626</v>
      </c>
      <c r="E627" s="80" t="str">
        <f ca="1">IFERROR(__xludf.DUMMYFUNCTION("""COMPUTED_VALUE"""),"Stock")</f>
        <v>Stock</v>
      </c>
      <c r="F627" s="80" t="str">
        <f ca="1">IFERROR(__xludf.DUMMYFUNCTION("""COMPUTED_VALUE"""),"USD")</f>
        <v>USD</v>
      </c>
      <c r="G627" s="78" t="str">
        <f ca="1">IFERROR(__xludf.DUMMYFUNCTION("""COMPUTED_VALUE"""),"CL=F")</f>
        <v>CL=F</v>
      </c>
      <c r="H627" s="81">
        <f ca="1">IFERROR(__xludf.DUMMYFUNCTION("""COMPUTED_VALUE"""),500)</f>
        <v>500</v>
      </c>
      <c r="I627" s="80"/>
    </row>
    <row r="628" spans="1:9" ht="13" x14ac:dyDescent="0.15">
      <c r="A628" s="5"/>
      <c r="B628" s="82">
        <f ca="1">IFERROR(__xludf.DUMMYFUNCTION("""COMPUTED_VALUE"""),44641.4364610185)</f>
        <v>44641.4364610185</v>
      </c>
      <c r="C628" s="79">
        <f ca="1">IFERROR(__xludf.DUMMYFUNCTION("""COMPUTED_VALUE"""),44641.6666666666)</f>
        <v>44641.666666666599</v>
      </c>
      <c r="D628" s="80" t="str">
        <f ca="1">IFERROR(__xludf.DUMMYFUNCTION("""COMPUTED_VALUE"""),"14626")</f>
        <v>14626</v>
      </c>
      <c r="E628" s="80" t="str">
        <f ca="1">IFERROR(__xludf.DUMMYFUNCTION("""COMPUTED_VALUE"""),"Stock")</f>
        <v>Stock</v>
      </c>
      <c r="F628" s="80" t="str">
        <f ca="1">IFERROR(__xludf.DUMMYFUNCTION("""COMPUTED_VALUE"""),"USD")</f>
        <v>USD</v>
      </c>
      <c r="G628" s="78" t="str">
        <f ca="1">IFERROR(__xludf.DUMMYFUNCTION("""COMPUTED_VALUE"""),"NKE")</f>
        <v>NKE</v>
      </c>
      <c r="H628" s="81">
        <f ca="1">IFERROR(__xludf.DUMMYFUNCTION("""COMPUTED_VALUE"""),500)</f>
        <v>500</v>
      </c>
      <c r="I628" s="80"/>
    </row>
    <row r="629" spans="1:9" ht="13" x14ac:dyDescent="0.15">
      <c r="A629" s="5"/>
      <c r="B629" s="82">
        <f ca="1">IFERROR(__xludf.DUMMYFUNCTION("""COMPUTED_VALUE"""),44641.4383621412)</f>
        <v>44641.438362141198</v>
      </c>
      <c r="C629" s="79">
        <f ca="1">IFERROR(__xludf.DUMMYFUNCTION("""COMPUTED_VALUE"""),44641.6666666666)</f>
        <v>44641.666666666599</v>
      </c>
      <c r="D629" s="80" t="str">
        <f ca="1">IFERROR(__xludf.DUMMYFUNCTION("""COMPUTED_VALUE"""),"14626")</f>
        <v>14626</v>
      </c>
      <c r="E629" s="80" t="str">
        <f ca="1">IFERROR(__xludf.DUMMYFUNCTION("""COMPUTED_VALUE"""),"Stock")</f>
        <v>Stock</v>
      </c>
      <c r="F629" s="80" t="str">
        <f ca="1">IFERROR(__xludf.DUMMYFUNCTION("""COMPUTED_VALUE"""),"USD")</f>
        <v>USD</v>
      </c>
      <c r="G629" s="78" t="str">
        <f ca="1">IFERROR(__xludf.DUMMYFUNCTION("""COMPUTED_VALUE"""),"DIDI")</f>
        <v>DIDI</v>
      </c>
      <c r="H629" s="81">
        <f ca="1">IFERROR(__xludf.DUMMYFUNCTION("""COMPUTED_VALUE"""),500)</f>
        <v>500</v>
      </c>
      <c r="I629" s="80"/>
    </row>
    <row r="630" spans="1:9" ht="13" x14ac:dyDescent="0.15">
      <c r="A630" s="5"/>
      <c r="B630" s="82">
        <f ca="1">IFERROR(__xludf.DUMMYFUNCTION("""COMPUTED_VALUE"""),44641.4400935185)</f>
        <v>44641.440093518497</v>
      </c>
      <c r="C630" s="79">
        <f ca="1">IFERROR(__xludf.DUMMYFUNCTION("""COMPUTED_VALUE"""),44641.6666666666)</f>
        <v>44641.666666666599</v>
      </c>
      <c r="D630" s="80" t="str">
        <f ca="1">IFERROR(__xludf.DUMMYFUNCTION("""COMPUTED_VALUE"""),"14626")</f>
        <v>14626</v>
      </c>
      <c r="E630" s="80" t="str">
        <f ca="1">IFERROR(__xludf.DUMMYFUNCTION("""COMPUTED_VALUE"""),"Stock")</f>
        <v>Stock</v>
      </c>
      <c r="F630" s="80" t="str">
        <f ca="1">IFERROR(__xludf.DUMMYFUNCTION("""COMPUTED_VALUE"""),"HKD")</f>
        <v>HKD</v>
      </c>
      <c r="G630" s="83" t="str">
        <f ca="1">IFERROR(__xludf.DUMMYFUNCTION("""COMPUTED_VALUE"""),"0700.HK")</f>
        <v>0700.HK</v>
      </c>
      <c r="H630" s="81">
        <f ca="1">IFERROR(__xludf.DUMMYFUNCTION("""COMPUTED_VALUE"""),500)</f>
        <v>500</v>
      </c>
      <c r="I630" s="80"/>
    </row>
    <row r="631" spans="1:9" ht="13" x14ac:dyDescent="0.15">
      <c r="A631" s="5"/>
      <c r="B631" s="82">
        <f ca="1">IFERROR(__xludf.DUMMYFUNCTION("""COMPUTED_VALUE"""),44641.4417298611)</f>
        <v>44641.441729861101</v>
      </c>
      <c r="C631" s="79">
        <f ca="1">IFERROR(__xludf.DUMMYFUNCTION("""COMPUTED_VALUE"""),44641.6666666666)</f>
        <v>44641.666666666599</v>
      </c>
      <c r="D631" s="80" t="str">
        <f ca="1">IFERROR(__xludf.DUMMYFUNCTION("""COMPUTED_VALUE"""),"14626")</f>
        <v>14626</v>
      </c>
      <c r="E631" s="80" t="str">
        <f ca="1">IFERROR(__xludf.DUMMYFUNCTION("""COMPUTED_VALUE"""),"Stock")</f>
        <v>Stock</v>
      </c>
      <c r="F631" s="80" t="str">
        <f ca="1">IFERROR(__xludf.DUMMYFUNCTION("""COMPUTED_VALUE"""),"USD")</f>
        <v>USD</v>
      </c>
      <c r="G631" s="78" t="str">
        <f ca="1">IFERROR(__xludf.DUMMYFUNCTION("""COMPUTED_VALUE"""),"GOOG")</f>
        <v>GOOG</v>
      </c>
      <c r="H631" s="81">
        <f ca="1">IFERROR(__xludf.DUMMYFUNCTION("""COMPUTED_VALUE"""),500)</f>
        <v>500</v>
      </c>
      <c r="I631" s="80"/>
    </row>
    <row r="632" spans="1:9" ht="13" x14ac:dyDescent="0.15">
      <c r="A632" s="5"/>
      <c r="B632" s="82">
        <f ca="1">IFERROR(__xludf.DUMMYFUNCTION("""COMPUTED_VALUE"""),44641.4421782638)</f>
        <v>44641.442178263802</v>
      </c>
      <c r="C632" s="79">
        <f ca="1">IFERROR(__xludf.DUMMYFUNCTION("""COMPUTED_VALUE"""),44641.6666666666)</f>
        <v>44641.666666666599</v>
      </c>
      <c r="D632" s="80" t="str">
        <f ca="1">IFERROR(__xludf.DUMMYFUNCTION("""COMPUTED_VALUE"""),"14626")</f>
        <v>14626</v>
      </c>
      <c r="E632" s="80" t="str">
        <f ca="1">IFERROR(__xludf.DUMMYFUNCTION("""COMPUTED_VALUE"""),"Stock")</f>
        <v>Stock</v>
      </c>
      <c r="F632" s="80" t="str">
        <f ca="1">IFERROR(__xludf.DUMMYFUNCTION("""COMPUTED_VALUE"""),"USD")</f>
        <v>USD</v>
      </c>
      <c r="G632" s="78" t="str">
        <f ca="1">IFERROR(__xludf.DUMMYFUNCTION("""COMPUTED_VALUE"""),"FB")</f>
        <v>FB</v>
      </c>
      <c r="H632" s="81">
        <f ca="1">IFERROR(__xludf.DUMMYFUNCTION("""COMPUTED_VALUE"""),500)</f>
        <v>500</v>
      </c>
      <c r="I632" s="80"/>
    </row>
    <row r="633" spans="1:9" ht="13" x14ac:dyDescent="0.15">
      <c r="A633" s="5"/>
      <c r="B633" s="82">
        <f ca="1">IFERROR(__xludf.DUMMYFUNCTION("""COMPUTED_VALUE"""),44641.442653287)</f>
        <v>44641.442653286998</v>
      </c>
      <c r="C633" s="79">
        <f ca="1">IFERROR(__xludf.DUMMYFUNCTION("""COMPUTED_VALUE"""),44641.6666666666)</f>
        <v>44641.666666666599</v>
      </c>
      <c r="D633" s="80" t="str">
        <f ca="1">IFERROR(__xludf.DUMMYFUNCTION("""COMPUTED_VALUE"""),"14626")</f>
        <v>14626</v>
      </c>
      <c r="E633" s="80" t="str">
        <f ca="1">IFERROR(__xludf.DUMMYFUNCTION("""COMPUTED_VALUE"""),"Stock")</f>
        <v>Stock</v>
      </c>
      <c r="F633" s="80" t="str">
        <f ca="1">IFERROR(__xludf.DUMMYFUNCTION("""COMPUTED_VALUE"""),"USD")</f>
        <v>USD</v>
      </c>
      <c r="G633" s="78" t="str">
        <f ca="1">IFERROR(__xludf.DUMMYFUNCTION("""COMPUTED_VALUE"""),"MSFT")</f>
        <v>MSFT</v>
      </c>
      <c r="H633" s="81">
        <f ca="1">IFERROR(__xludf.DUMMYFUNCTION("""COMPUTED_VALUE"""),500)</f>
        <v>500</v>
      </c>
      <c r="I633" s="80"/>
    </row>
    <row r="634" spans="1:9" ht="13" x14ac:dyDescent="0.15">
      <c r="A634" s="5"/>
      <c r="B634" s="82">
        <f ca="1">IFERROR(__xludf.DUMMYFUNCTION("""COMPUTED_VALUE"""),44641.4432462152)</f>
        <v>44641.443246215204</v>
      </c>
      <c r="C634" s="79">
        <f ca="1">IFERROR(__xludf.DUMMYFUNCTION("""COMPUTED_VALUE"""),44641.6666666666)</f>
        <v>44641.666666666599</v>
      </c>
      <c r="D634" s="80" t="str">
        <f ca="1">IFERROR(__xludf.DUMMYFUNCTION("""COMPUTED_VALUE"""),"14626")</f>
        <v>14626</v>
      </c>
      <c r="E634" s="80" t="str">
        <f ca="1">IFERROR(__xludf.DUMMYFUNCTION("""COMPUTED_VALUE"""),"Stock")</f>
        <v>Stock</v>
      </c>
      <c r="F634" s="80" t="str">
        <f ca="1">IFERROR(__xludf.DUMMYFUNCTION("""COMPUTED_VALUE"""),"USD")</f>
        <v>USD</v>
      </c>
      <c r="G634" s="78" t="str">
        <f ca="1">IFERROR(__xludf.DUMMYFUNCTION("""COMPUTED_VALUE"""),"TSLA")</f>
        <v>TSLA</v>
      </c>
      <c r="H634" s="81">
        <f ca="1">IFERROR(__xludf.DUMMYFUNCTION("""COMPUTED_VALUE"""),500)</f>
        <v>500</v>
      </c>
      <c r="I634" s="80"/>
    </row>
    <row r="635" spans="1:9" ht="13" x14ac:dyDescent="0.15">
      <c r="A635" s="5"/>
      <c r="B635" s="82">
        <f ca="1">IFERROR(__xludf.DUMMYFUNCTION("""COMPUTED_VALUE"""),44641.4440514236)</f>
        <v>44641.444051423598</v>
      </c>
      <c r="C635" s="79">
        <f ca="1">IFERROR(__xludf.DUMMYFUNCTION("""COMPUTED_VALUE"""),44641.6666666666)</f>
        <v>44641.666666666599</v>
      </c>
      <c r="D635" s="80" t="str">
        <f ca="1">IFERROR(__xludf.DUMMYFUNCTION("""COMPUTED_VALUE"""),"14626")</f>
        <v>14626</v>
      </c>
      <c r="E635" s="80" t="str">
        <f ca="1">IFERROR(__xludf.DUMMYFUNCTION("""COMPUTED_VALUE"""),"Stock")</f>
        <v>Stock</v>
      </c>
      <c r="F635" s="80" t="str">
        <f ca="1">IFERROR(__xludf.DUMMYFUNCTION("""COMPUTED_VALUE"""),"USD")</f>
        <v>USD</v>
      </c>
      <c r="G635" s="78" t="str">
        <f ca="1">IFERROR(__xludf.DUMMYFUNCTION("""COMPUTED_VALUE"""),"F")</f>
        <v>F</v>
      </c>
      <c r="H635" s="81">
        <f ca="1">IFERROR(__xludf.DUMMYFUNCTION("""COMPUTED_VALUE"""),500)</f>
        <v>500</v>
      </c>
      <c r="I635" s="80"/>
    </row>
    <row r="636" spans="1:9" ht="13" x14ac:dyDescent="0.15">
      <c r="A636" s="5"/>
      <c r="B636" s="82">
        <f ca="1">IFERROR(__xludf.DUMMYFUNCTION("""COMPUTED_VALUE"""),44641.4447924537)</f>
        <v>44641.444792453702</v>
      </c>
      <c r="C636" s="79">
        <f ca="1">IFERROR(__xludf.DUMMYFUNCTION("""COMPUTED_VALUE"""),44641.6666666666)</f>
        <v>44641.666666666599</v>
      </c>
      <c r="D636" s="80" t="str">
        <f ca="1">IFERROR(__xludf.DUMMYFUNCTION("""COMPUTED_VALUE"""),"14626")</f>
        <v>14626</v>
      </c>
      <c r="E636" s="80" t="str">
        <f ca="1">IFERROR(__xludf.DUMMYFUNCTION("""COMPUTED_VALUE"""),"Stock")</f>
        <v>Stock</v>
      </c>
      <c r="F636" s="80" t="str">
        <f ca="1">IFERROR(__xludf.DUMMYFUNCTION("""COMPUTED_VALUE"""),"USD")</f>
        <v>USD</v>
      </c>
      <c r="G636" s="78" t="str">
        <f ca="1">IFERROR(__xludf.DUMMYFUNCTION("""COMPUTED_VALUE"""),"BA")</f>
        <v>BA</v>
      </c>
      <c r="H636" s="81">
        <f ca="1">IFERROR(__xludf.DUMMYFUNCTION("""COMPUTED_VALUE"""),500)</f>
        <v>500</v>
      </c>
      <c r="I636" s="80"/>
    </row>
    <row r="637" spans="1:9" ht="13" x14ac:dyDescent="0.15">
      <c r="A637" s="5"/>
      <c r="B637" s="82">
        <f ca="1">IFERROR(__xludf.DUMMYFUNCTION("""COMPUTED_VALUE"""),44641.4451650463)</f>
        <v>44641.445165046302</v>
      </c>
      <c r="C637" s="79">
        <f ca="1">IFERROR(__xludf.DUMMYFUNCTION("""COMPUTED_VALUE"""),44641.6666666666)</f>
        <v>44641.666666666599</v>
      </c>
      <c r="D637" s="80" t="str">
        <f ca="1">IFERROR(__xludf.DUMMYFUNCTION("""COMPUTED_VALUE"""),"14626")</f>
        <v>14626</v>
      </c>
      <c r="E637" s="80" t="str">
        <f ca="1">IFERROR(__xludf.DUMMYFUNCTION("""COMPUTED_VALUE"""),"Stock")</f>
        <v>Stock</v>
      </c>
      <c r="F637" s="80" t="str">
        <f ca="1">IFERROR(__xludf.DUMMYFUNCTION("""COMPUTED_VALUE"""),"USD")</f>
        <v>USD</v>
      </c>
      <c r="G637" s="78" t="str">
        <f ca="1">IFERROR(__xludf.DUMMYFUNCTION("""COMPUTED_VALUE"""),"MMM")</f>
        <v>MMM</v>
      </c>
      <c r="H637" s="81">
        <f ca="1">IFERROR(__xludf.DUMMYFUNCTION("""COMPUTED_VALUE"""),500)</f>
        <v>500</v>
      </c>
      <c r="I637" s="80"/>
    </row>
    <row r="638" spans="1:9" ht="13" x14ac:dyDescent="0.15">
      <c r="A638" s="5"/>
      <c r="B638" s="82">
        <f ca="1">IFERROR(__xludf.DUMMYFUNCTION("""COMPUTED_VALUE"""),44641.4458188657)</f>
        <v>44641.445818865701</v>
      </c>
      <c r="C638" s="79">
        <f ca="1">IFERROR(__xludf.DUMMYFUNCTION("""COMPUTED_VALUE"""),44641.6666666666)</f>
        <v>44641.666666666599</v>
      </c>
      <c r="D638" s="80" t="str">
        <f ca="1">IFERROR(__xludf.DUMMYFUNCTION("""COMPUTED_VALUE"""),"14626")</f>
        <v>14626</v>
      </c>
      <c r="E638" s="80" t="str">
        <f ca="1">IFERROR(__xludf.DUMMYFUNCTION("""COMPUTED_VALUE"""),"Stock")</f>
        <v>Stock</v>
      </c>
      <c r="F638" s="80" t="str">
        <f ca="1">IFERROR(__xludf.DUMMYFUNCTION("""COMPUTED_VALUE"""),"USD")</f>
        <v>USD</v>
      </c>
      <c r="G638" s="78" t="str">
        <f ca="1">IFERROR(__xludf.DUMMYFUNCTION("""COMPUTED_VALUE"""),"AMC")</f>
        <v>AMC</v>
      </c>
      <c r="H638" s="81">
        <f ca="1">IFERROR(__xludf.DUMMYFUNCTION("""COMPUTED_VALUE"""),500)</f>
        <v>500</v>
      </c>
      <c r="I638" s="80"/>
    </row>
    <row r="639" spans="1:9" ht="13" x14ac:dyDescent="0.15">
      <c r="A639" s="5"/>
      <c r="B639" s="82">
        <f ca="1">IFERROR(__xludf.DUMMYFUNCTION("""COMPUTED_VALUE"""),44641.5091752546)</f>
        <v>44641.5091752546</v>
      </c>
      <c r="C639" s="79" t="str">
        <f ca="1">IFERROR(__xludf.DUMMYFUNCTION("""COMPUTED_VALUE"""),"")</f>
        <v/>
      </c>
      <c r="D639" s="80" t="str">
        <f ca="1">IFERROR(__xludf.DUMMYFUNCTION("""COMPUTED_VALUE"""),"")</f>
        <v/>
      </c>
      <c r="E639" s="80" t="str">
        <f ca="1">IFERROR(__xludf.DUMMYFUNCTION("""COMPUTED_VALUE"""),"Stock")</f>
        <v>Stock</v>
      </c>
      <c r="F639" s="80" t="str">
        <f ca="1">IFERROR(__xludf.DUMMYFUNCTION("""COMPUTED_VALUE"""),"error")</f>
        <v>error</v>
      </c>
      <c r="G639" s="78">
        <f ca="1">IFERROR(__xludf.DUMMYFUNCTION("""COMPUTED_VALUE"""),2820)</f>
        <v>2820</v>
      </c>
      <c r="H639" s="81" t="str">
        <f ca="1">IFERROR(__xludf.DUMMYFUNCTION("""COMPUTED_VALUE"""),"50units")</f>
        <v>50units</v>
      </c>
      <c r="I639" s="80" t="str">
        <f ca="1">IFERROR(__xludf.DUMMYFUNCTION("""COMPUTED_VALUE"""),"Order rejected due to wrong ticker code and password.")</f>
        <v>Order rejected due to wrong ticker code and password.</v>
      </c>
    </row>
    <row r="640" spans="1:9" ht="13" x14ac:dyDescent="0.15">
      <c r="A640" s="5"/>
      <c r="B640" s="82">
        <f ca="1">IFERROR(__xludf.DUMMYFUNCTION("""COMPUTED_VALUE"""),44641.5822144328)</f>
        <v>44641.582214432798</v>
      </c>
      <c r="C640" s="79">
        <f ca="1">IFERROR(__xludf.DUMMYFUNCTION("""COMPUTED_VALUE"""),44641.6666666666)</f>
        <v>44641.666666666599</v>
      </c>
      <c r="D640" s="80" t="str">
        <f ca="1">IFERROR(__xludf.DUMMYFUNCTION("""COMPUTED_VALUE"""),"95516")</f>
        <v>95516</v>
      </c>
      <c r="E640" s="80" t="str">
        <f ca="1">IFERROR(__xludf.DUMMYFUNCTION("""COMPUTED_VALUE"""),"Stock")</f>
        <v>Stock</v>
      </c>
      <c r="F640" s="80" t="str">
        <f ca="1">IFERROR(__xludf.DUMMYFUNCTION("""COMPUTED_VALUE"""),"HKD")</f>
        <v>HKD</v>
      </c>
      <c r="G640" s="83" t="str">
        <f ca="1">IFERROR(__xludf.DUMMYFUNCTION("""COMPUTED_VALUE"""),"9988.HK")</f>
        <v>9988.HK</v>
      </c>
      <c r="H640" s="81">
        <f ca="1">IFERROR(__xludf.DUMMYFUNCTION("""COMPUTED_VALUE"""),1500)</f>
        <v>1500</v>
      </c>
      <c r="I640" s="80"/>
    </row>
    <row r="641" spans="1:9" ht="13" x14ac:dyDescent="0.15">
      <c r="A641" s="5"/>
      <c r="B641" s="82">
        <f ca="1">IFERROR(__xludf.DUMMYFUNCTION("""COMPUTED_VALUE"""),44641.5863810648)</f>
        <v>44641.586381064801</v>
      </c>
      <c r="C641" s="79">
        <f ca="1">IFERROR(__xludf.DUMMYFUNCTION("""COMPUTED_VALUE"""),44641.6666666666)</f>
        <v>44641.666666666599</v>
      </c>
      <c r="D641" s="80" t="str">
        <f ca="1">IFERROR(__xludf.DUMMYFUNCTION("""COMPUTED_VALUE"""),"75288")</f>
        <v>75288</v>
      </c>
      <c r="E641" s="80" t="str">
        <f ca="1">IFERROR(__xludf.DUMMYFUNCTION("""COMPUTED_VALUE"""),"Stock")</f>
        <v>Stock</v>
      </c>
      <c r="F641" s="80" t="str">
        <f ca="1">IFERROR(__xludf.DUMMYFUNCTION("""COMPUTED_VALUE"""),"HKD")</f>
        <v>HKD</v>
      </c>
      <c r="G641" s="83" t="str">
        <f ca="1">IFERROR(__xludf.DUMMYFUNCTION("""COMPUTED_VALUE"""),"0700.HK")</f>
        <v>0700.HK</v>
      </c>
      <c r="H641" s="81">
        <f ca="1">IFERROR(__xludf.DUMMYFUNCTION("""COMPUTED_VALUE"""),150)</f>
        <v>150</v>
      </c>
      <c r="I641" s="80"/>
    </row>
    <row r="642" spans="1:9" ht="13" x14ac:dyDescent="0.15">
      <c r="A642" s="5"/>
      <c r="B642" s="82">
        <f ca="1">IFERROR(__xludf.DUMMYFUNCTION("""COMPUTED_VALUE"""),44641.5910572569)</f>
        <v>44641.591057256897</v>
      </c>
      <c r="C642" s="79">
        <f ca="1">IFERROR(__xludf.DUMMYFUNCTION("""COMPUTED_VALUE"""),44641.6666666666)</f>
        <v>44641.666666666599</v>
      </c>
      <c r="D642" s="80" t="str">
        <f ca="1">IFERROR(__xludf.DUMMYFUNCTION("""COMPUTED_VALUE"""),"75288")</f>
        <v>75288</v>
      </c>
      <c r="E642" s="80" t="str">
        <f ca="1">IFERROR(__xludf.DUMMYFUNCTION("""COMPUTED_VALUE"""),"Stock")</f>
        <v>Stock</v>
      </c>
      <c r="F642" s="80" t="str">
        <f ca="1">IFERROR(__xludf.DUMMYFUNCTION("""COMPUTED_VALUE"""),"HKD")</f>
        <v>HKD</v>
      </c>
      <c r="G642" s="83" t="str">
        <f ca="1">IFERROR(__xludf.DUMMYFUNCTION("""COMPUTED_VALUE"""),"9868.HK")</f>
        <v>9868.HK</v>
      </c>
      <c r="H642" s="81">
        <f ca="1">IFERROR(__xludf.DUMMYFUNCTION("""COMPUTED_VALUE"""),450)</f>
        <v>450</v>
      </c>
      <c r="I642" s="80"/>
    </row>
    <row r="643" spans="1:9" ht="13" x14ac:dyDescent="0.15">
      <c r="A643" s="5"/>
      <c r="B643" s="82">
        <f ca="1">IFERROR(__xludf.DUMMYFUNCTION("""COMPUTED_VALUE"""),44641.5988479398)</f>
        <v>44641.5988479398</v>
      </c>
      <c r="C643" s="79">
        <f ca="1">IFERROR(__xludf.DUMMYFUNCTION("""COMPUTED_VALUE"""),44641.6666666666)</f>
        <v>44641.666666666599</v>
      </c>
      <c r="D643" s="80" t="str">
        <f ca="1">IFERROR(__xludf.DUMMYFUNCTION("""COMPUTED_VALUE"""),"75415")</f>
        <v>75415</v>
      </c>
      <c r="E643" s="80" t="str">
        <f ca="1">IFERROR(__xludf.DUMMYFUNCTION("""COMPUTED_VALUE"""),"Stock")</f>
        <v>Stock</v>
      </c>
      <c r="F643" s="80" t="str">
        <f ca="1">IFERROR(__xludf.DUMMYFUNCTION("""COMPUTED_VALUE"""),"USD")</f>
        <v>USD</v>
      </c>
      <c r="G643" s="78" t="str">
        <f ca="1">IFERROR(__xludf.DUMMYFUNCTION("""COMPUTED_VALUE"""),"UVXY")</f>
        <v>UVXY</v>
      </c>
      <c r="H643" s="81">
        <f ca="1">IFERROR(__xludf.DUMMYFUNCTION("""COMPUTED_VALUE"""),1000)</f>
        <v>1000</v>
      </c>
      <c r="I643" s="80"/>
    </row>
    <row r="644" spans="1:9" ht="13" x14ac:dyDescent="0.15">
      <c r="A644" s="5"/>
      <c r="B644" s="82">
        <f ca="1">IFERROR(__xludf.DUMMYFUNCTION("""COMPUTED_VALUE"""),44641.6076043055)</f>
        <v>44641.6076043055</v>
      </c>
      <c r="C644" s="79">
        <f ca="1">IFERROR(__xludf.DUMMYFUNCTION("""COMPUTED_VALUE"""),44641.625)</f>
        <v>44641.625</v>
      </c>
      <c r="D644" s="80" t="str">
        <f ca="1">IFERROR(__xludf.DUMMYFUNCTION("""COMPUTED_VALUE"""),"40433")</f>
        <v>40433</v>
      </c>
      <c r="E644" s="80" t="str">
        <f ca="1">IFERROR(__xludf.DUMMYFUNCTION("""COMPUTED_VALUE"""),"Stock")</f>
        <v>Stock</v>
      </c>
      <c r="F644" s="80" t="str">
        <f ca="1">IFERROR(__xludf.DUMMYFUNCTION("""COMPUTED_VALUE"""),"SAR")</f>
        <v>SAR</v>
      </c>
      <c r="G644" s="83" t="str">
        <f ca="1">IFERROR(__xludf.DUMMYFUNCTION("""COMPUTED_VALUE"""),"2222.SR")</f>
        <v>2222.SR</v>
      </c>
      <c r="H644" s="81">
        <f ca="1">IFERROR(__xludf.DUMMYFUNCTION("""COMPUTED_VALUE"""),10)</f>
        <v>10</v>
      </c>
      <c r="I644" s="80"/>
    </row>
    <row r="645" spans="1:9" ht="13" x14ac:dyDescent="0.15">
      <c r="A645" s="5"/>
      <c r="B645" s="82">
        <f ca="1">IFERROR(__xludf.DUMMYFUNCTION("""COMPUTED_VALUE"""),44641.6087708333)</f>
        <v>44641.6087708333</v>
      </c>
      <c r="C645" s="79">
        <f ca="1">IFERROR(__xludf.DUMMYFUNCTION("""COMPUTED_VALUE"""),44641.6666666666)</f>
        <v>44641.666666666599</v>
      </c>
      <c r="D645" s="80" t="str">
        <f ca="1">IFERROR(__xludf.DUMMYFUNCTION("""COMPUTED_VALUE"""),"40433")</f>
        <v>40433</v>
      </c>
      <c r="E645" s="80" t="str">
        <f ca="1">IFERROR(__xludf.DUMMYFUNCTION("""COMPUTED_VALUE"""),"Stock")</f>
        <v>Stock</v>
      </c>
      <c r="F645" s="80" t="str">
        <f ca="1">IFERROR(__xludf.DUMMYFUNCTION("""COMPUTED_VALUE"""),"USD")</f>
        <v>USD</v>
      </c>
      <c r="G645" s="78" t="str">
        <f ca="1">IFERROR(__xludf.DUMMYFUNCTION("""COMPUTED_VALUE"""),"GOLD")</f>
        <v>GOLD</v>
      </c>
      <c r="H645" s="81">
        <f ca="1">IFERROR(__xludf.DUMMYFUNCTION("""COMPUTED_VALUE"""),5)</f>
        <v>5</v>
      </c>
      <c r="I645" s="80"/>
    </row>
    <row r="646" spans="1:9" ht="13" x14ac:dyDescent="0.15">
      <c r="A646" s="5"/>
      <c r="B646" s="82">
        <f ca="1">IFERROR(__xludf.DUMMYFUNCTION("""COMPUTED_VALUE"""),44641.6592838773)</f>
        <v>44641.659283877299</v>
      </c>
      <c r="C646" s="79">
        <f ca="1">IFERROR(__xludf.DUMMYFUNCTION("""COMPUTED_VALUE"""),44641.6666666666)</f>
        <v>44641.666666666599</v>
      </c>
      <c r="D646" s="80" t="str">
        <f ca="1">IFERROR(__xludf.DUMMYFUNCTION("""COMPUTED_VALUE"""),"76796")</f>
        <v>76796</v>
      </c>
      <c r="E646" s="80" t="str">
        <f ca="1">IFERROR(__xludf.DUMMYFUNCTION("""COMPUTED_VALUE"""),"Stock")</f>
        <v>Stock</v>
      </c>
      <c r="F646" s="80" t="str">
        <f ca="1">IFERROR(__xludf.DUMMYFUNCTION("""COMPUTED_VALUE"""),"USD")</f>
        <v>USD</v>
      </c>
      <c r="G646" s="78" t="str">
        <f ca="1">IFERROR(__xludf.DUMMYFUNCTION("""COMPUTED_VALUE"""),"MSFT")</f>
        <v>MSFT</v>
      </c>
      <c r="H646" s="81">
        <f ca="1">IFERROR(__xludf.DUMMYFUNCTION("""COMPUTED_VALUE"""),1000)</f>
        <v>1000</v>
      </c>
      <c r="I646" s="80"/>
    </row>
    <row r="647" spans="1:9" ht="13" x14ac:dyDescent="0.15">
      <c r="A647" s="5"/>
      <c r="B647" s="82">
        <f ca="1">IFERROR(__xludf.DUMMYFUNCTION("""COMPUTED_VALUE"""),44641.6774026273)</f>
        <v>44641.677402627298</v>
      </c>
      <c r="C647" s="79">
        <f ca="1">IFERROR(__xludf.DUMMYFUNCTION("""COMPUTED_VALUE"""),44642.6666666666)</f>
        <v>44642.666666666599</v>
      </c>
      <c r="D647" s="80" t="str">
        <f ca="1">IFERROR(__xludf.DUMMYFUNCTION("""COMPUTED_VALUE"""),"38758")</f>
        <v>38758</v>
      </c>
      <c r="E647" s="80" t="str">
        <f ca="1">IFERROR(__xludf.DUMMYFUNCTION("""COMPUTED_VALUE"""),"Stock")</f>
        <v>Stock</v>
      </c>
      <c r="F647" s="80" t="str">
        <f ca="1">IFERROR(__xludf.DUMMYFUNCTION("""COMPUTED_VALUE"""),"HKD")</f>
        <v>HKD</v>
      </c>
      <c r="G647" s="83" t="str">
        <f ca="1">IFERROR(__xludf.DUMMYFUNCTION("""COMPUTED_VALUE"""),"0700.HK")</f>
        <v>0700.HK</v>
      </c>
      <c r="H647" s="81">
        <f ca="1">IFERROR(__xludf.DUMMYFUNCTION("""COMPUTED_VALUE"""),20)</f>
        <v>20</v>
      </c>
      <c r="I647" s="80"/>
    </row>
    <row r="648" spans="1:9" ht="13" x14ac:dyDescent="0.15">
      <c r="A648" s="5"/>
      <c r="B648" s="82">
        <f ca="1">IFERROR(__xludf.DUMMYFUNCTION("""COMPUTED_VALUE"""),44641.6810971874)</f>
        <v>44641.6810971874</v>
      </c>
      <c r="C648" s="79">
        <f ca="1">IFERROR(__xludf.DUMMYFUNCTION("""COMPUTED_VALUE"""),44642.6666666666)</f>
        <v>44642.666666666599</v>
      </c>
      <c r="D648" s="80" t="str">
        <f ca="1">IFERROR(__xludf.DUMMYFUNCTION("""COMPUTED_VALUE"""),"75369")</f>
        <v>75369</v>
      </c>
      <c r="E648" s="80" t="str">
        <f ca="1">IFERROR(__xludf.DUMMYFUNCTION("""COMPUTED_VALUE"""),"Stock")</f>
        <v>Stock</v>
      </c>
      <c r="F648" s="80" t="str">
        <f ca="1">IFERROR(__xludf.DUMMYFUNCTION("""COMPUTED_VALUE"""),"HKD")</f>
        <v>HKD</v>
      </c>
      <c r="G648" s="83" t="str">
        <f ca="1">IFERROR(__xludf.DUMMYFUNCTION("""COMPUTED_VALUE"""),"1810.hk")</f>
        <v>1810.hk</v>
      </c>
      <c r="H648" s="81" t="str">
        <f ca="1">IFERROR(__xludf.DUMMYFUNCTION("""COMPUTED_VALUE"""),"20units")</f>
        <v>20units</v>
      </c>
      <c r="I648" s="80" t="str">
        <f ca="1">IFERROR(__xludf.DUMMYFUNCTION("""COMPUTED_VALUE"""),"Order rejected due to wrong password")</f>
        <v>Order rejected due to wrong password</v>
      </c>
    </row>
    <row r="649" spans="1:9" ht="13" x14ac:dyDescent="0.15">
      <c r="A649" s="5"/>
      <c r="B649" s="82">
        <f ca="1">IFERROR(__xludf.DUMMYFUNCTION("""COMPUTED_VALUE"""),44641.6916508796)</f>
        <v>44641.691650879598</v>
      </c>
      <c r="C649" s="79">
        <f ca="1">IFERROR(__xludf.DUMMYFUNCTION("""COMPUTED_VALUE"""),44642.625)</f>
        <v>44642.625</v>
      </c>
      <c r="D649" s="80" t="str">
        <f ca="1">IFERROR(__xludf.DUMMYFUNCTION("""COMPUTED_VALUE"""),"38758")</f>
        <v>38758</v>
      </c>
      <c r="E649" s="80" t="str">
        <f ca="1">IFERROR(__xludf.DUMMYFUNCTION("""COMPUTED_VALUE"""),"Stock")</f>
        <v>Stock</v>
      </c>
      <c r="F649" s="80" t="str">
        <f ca="1">IFERROR(__xludf.DUMMYFUNCTION("""COMPUTED_VALUE"""),"CNY")</f>
        <v>CNY</v>
      </c>
      <c r="G649" s="83" t="str">
        <f ca="1">IFERROR(__xludf.DUMMYFUNCTION("""COMPUTED_VALUE"""),"600519.SS")</f>
        <v>600519.SS</v>
      </c>
      <c r="H649" s="81">
        <f ca="1">IFERROR(__xludf.DUMMYFUNCTION("""COMPUTED_VALUE"""),15)</f>
        <v>15</v>
      </c>
      <c r="I649" s="80"/>
    </row>
    <row r="650" spans="1:9" ht="13" x14ac:dyDescent="0.15">
      <c r="A650" s="5"/>
      <c r="B650" s="82">
        <f ca="1">IFERROR(__xludf.DUMMYFUNCTION("""COMPUTED_VALUE"""),44641.6976837152)</f>
        <v>44641.697683715203</v>
      </c>
      <c r="C650" s="79">
        <f ca="1">IFERROR(__xludf.DUMMYFUNCTION("""COMPUTED_VALUE"""),44641.6666666666)</f>
        <v>44641.666666666599</v>
      </c>
      <c r="D650" s="80" t="str">
        <f ca="1">IFERROR(__xludf.DUMMYFUNCTION("""COMPUTED_VALUE"""),"40105")</f>
        <v>40105</v>
      </c>
      <c r="E650" s="80" t="str">
        <f ca="1">IFERROR(__xludf.DUMMYFUNCTION("""COMPUTED_VALUE"""),"Bond")</f>
        <v>Bond</v>
      </c>
      <c r="F650" s="80" t="str">
        <f ca="1">IFERROR(__xludf.DUMMYFUNCTION("""COMPUTED_VALUE"""),"USD")</f>
        <v>USD</v>
      </c>
      <c r="G650" s="78" t="str">
        <f ca="1">IFERROR(__xludf.DUMMYFUNCTION("""COMPUTED_VALUE"""),"US88032XAE40")</f>
        <v>US88032XAE40</v>
      </c>
      <c r="H650" s="81">
        <f ca="1">IFERROR(__xludf.DUMMYFUNCTION("""COMPUTED_VALUE"""),100)</f>
        <v>100</v>
      </c>
      <c r="I650" s="80"/>
    </row>
    <row r="651" spans="1:9" ht="13" x14ac:dyDescent="0.15">
      <c r="A651" s="5"/>
      <c r="B651" s="82">
        <f ca="1">IFERROR(__xludf.DUMMYFUNCTION("""COMPUTED_VALUE"""),44641.7505607754)</f>
        <v>44641.750560775399</v>
      </c>
      <c r="C651" s="79">
        <f ca="1">IFERROR(__xludf.DUMMYFUNCTION("""COMPUTED_VALUE"""),44641.6666666666)</f>
        <v>44641.666666666599</v>
      </c>
      <c r="D651" s="80" t="str">
        <f ca="1">IFERROR(__xludf.DUMMYFUNCTION("""COMPUTED_VALUE"""),"40318")</f>
        <v>40318</v>
      </c>
      <c r="E651" s="80" t="str">
        <f ca="1">IFERROR(__xludf.DUMMYFUNCTION("""COMPUTED_VALUE"""),"Stock")</f>
        <v>Stock</v>
      </c>
      <c r="F651" s="80" t="str">
        <f ca="1">IFERROR(__xludf.DUMMYFUNCTION("""COMPUTED_VALUE"""),"USD")</f>
        <v>USD</v>
      </c>
      <c r="G651" s="78" t="str">
        <f ca="1">IFERROR(__xludf.DUMMYFUNCTION("""COMPUTED_VALUE"""),"BA")</f>
        <v>BA</v>
      </c>
      <c r="H651" s="81">
        <f ca="1">IFERROR(__xludf.DUMMYFUNCTION("""COMPUTED_VALUE"""),160)</f>
        <v>160</v>
      </c>
      <c r="I651" s="80"/>
    </row>
    <row r="652" spans="1:9" ht="13" x14ac:dyDescent="0.15">
      <c r="A652" s="5"/>
      <c r="B652" s="82">
        <f ca="1">IFERROR(__xludf.DUMMYFUNCTION("""COMPUTED_VALUE"""),44641.7619520023)</f>
        <v>44641.7619520023</v>
      </c>
      <c r="C652" s="79">
        <f ca="1">IFERROR(__xludf.DUMMYFUNCTION("""COMPUTED_VALUE"""),44642.6666666666)</f>
        <v>44642.666666666599</v>
      </c>
      <c r="D652" s="80" t="str">
        <f ca="1">IFERROR(__xludf.DUMMYFUNCTION("""COMPUTED_VALUE"""),"39441")</f>
        <v>39441</v>
      </c>
      <c r="E652" s="80" t="str">
        <f ca="1">IFERROR(__xludf.DUMMYFUNCTION("""COMPUTED_VALUE"""),"Stock")</f>
        <v>Stock</v>
      </c>
      <c r="F652" s="80" t="str">
        <f ca="1">IFERROR(__xludf.DUMMYFUNCTION("""COMPUTED_VALUE"""),"HKD")</f>
        <v>HKD</v>
      </c>
      <c r="G652" s="83" t="str">
        <f ca="1">IFERROR(__xludf.DUMMYFUNCTION("""COMPUTED_VALUE"""),"0700.HK")</f>
        <v>0700.HK</v>
      </c>
      <c r="H652" s="81">
        <f ca="1">IFERROR(__xludf.DUMMYFUNCTION("""COMPUTED_VALUE"""),10)</f>
        <v>10</v>
      </c>
      <c r="I652" s="80"/>
    </row>
    <row r="653" spans="1:9" ht="13" x14ac:dyDescent="0.15">
      <c r="A653" s="5"/>
      <c r="B653" s="82">
        <f ca="1">IFERROR(__xludf.DUMMYFUNCTION("""COMPUTED_VALUE"""),44641.7774760648)</f>
        <v>44641.777476064803</v>
      </c>
      <c r="C653" s="79">
        <f ca="1">IFERROR(__xludf.DUMMYFUNCTION("""COMPUTED_VALUE"""),44641.6666666666)</f>
        <v>44641.666666666599</v>
      </c>
      <c r="D653" s="80" t="str">
        <f ca="1">IFERROR(__xludf.DUMMYFUNCTION("""COMPUTED_VALUE"""),"39441")</f>
        <v>39441</v>
      </c>
      <c r="E653" s="80" t="str">
        <f ca="1">IFERROR(__xludf.DUMMYFUNCTION("""COMPUTED_VALUE"""),"Stock")</f>
        <v>Stock</v>
      </c>
      <c r="F653" s="80" t="str">
        <f ca="1">IFERROR(__xludf.DUMMYFUNCTION("""COMPUTED_VALUE"""),"USD")</f>
        <v>USD</v>
      </c>
      <c r="G653" s="78" t="str">
        <f ca="1">IFERROR(__xludf.DUMMYFUNCTION("""COMPUTED_VALUE"""),"AMZN")</f>
        <v>AMZN</v>
      </c>
      <c r="H653" s="81">
        <f ca="1">IFERROR(__xludf.DUMMYFUNCTION("""COMPUTED_VALUE"""),50)</f>
        <v>50</v>
      </c>
      <c r="I653" s="80"/>
    </row>
    <row r="654" spans="1:9" ht="13" x14ac:dyDescent="0.15">
      <c r="A654" s="5"/>
      <c r="B654" s="82">
        <f ca="1">IFERROR(__xludf.DUMMYFUNCTION("""COMPUTED_VALUE"""),44641.7813939699)</f>
        <v>44641.781393969897</v>
      </c>
      <c r="C654" s="79">
        <f ca="1">IFERROR(__xludf.DUMMYFUNCTION("""COMPUTED_VALUE"""),44641.6666666666)</f>
        <v>44641.666666666599</v>
      </c>
      <c r="D654" s="80" t="str">
        <f ca="1">IFERROR(__xludf.DUMMYFUNCTION("""COMPUTED_VALUE"""),"39441")</f>
        <v>39441</v>
      </c>
      <c r="E654" s="80" t="str">
        <f ca="1">IFERROR(__xludf.DUMMYFUNCTION("""COMPUTED_VALUE"""),"Stock")</f>
        <v>Stock</v>
      </c>
      <c r="F654" s="80" t="str">
        <f ca="1">IFERROR(__xludf.DUMMYFUNCTION("""COMPUTED_VALUE"""),"USD")</f>
        <v>USD</v>
      </c>
      <c r="G654" s="78" t="str">
        <f ca="1">IFERROR(__xludf.DUMMYFUNCTION("""COMPUTED_VALUE"""),"AAPL")</f>
        <v>AAPL</v>
      </c>
      <c r="H654" s="81">
        <f ca="1">IFERROR(__xludf.DUMMYFUNCTION("""COMPUTED_VALUE"""),100)</f>
        <v>100</v>
      </c>
      <c r="I654" s="80"/>
    </row>
    <row r="655" spans="1:9" ht="13" x14ac:dyDescent="0.15">
      <c r="A655" s="5"/>
      <c r="B655" s="82">
        <f ca="1">IFERROR(__xludf.DUMMYFUNCTION("""COMPUTED_VALUE"""),44641.78376125)</f>
        <v>44641.783761250001</v>
      </c>
      <c r="C655" s="79">
        <f ca="1">IFERROR(__xludf.DUMMYFUNCTION("""COMPUTED_VALUE"""),44641.6666666666)</f>
        <v>44641.666666666599</v>
      </c>
      <c r="D655" s="80" t="str">
        <f ca="1">IFERROR(__xludf.DUMMYFUNCTION("""COMPUTED_VALUE"""),"39441")</f>
        <v>39441</v>
      </c>
      <c r="E655" s="80" t="str">
        <f ca="1">IFERROR(__xludf.DUMMYFUNCTION("""COMPUTED_VALUE"""),"Stock")</f>
        <v>Stock</v>
      </c>
      <c r="F655" s="80" t="str">
        <f ca="1">IFERROR(__xludf.DUMMYFUNCTION("""COMPUTED_VALUE"""),"USD")</f>
        <v>USD</v>
      </c>
      <c r="G655" s="78" t="str">
        <f ca="1">IFERROR(__xludf.DUMMYFUNCTION("""COMPUTED_VALUE"""),"BABA")</f>
        <v>BABA</v>
      </c>
      <c r="H655" s="81">
        <f ca="1">IFERROR(__xludf.DUMMYFUNCTION("""COMPUTED_VALUE"""),500)</f>
        <v>500</v>
      </c>
      <c r="I655" s="80"/>
    </row>
    <row r="656" spans="1:9" ht="13" x14ac:dyDescent="0.15">
      <c r="A656" s="5"/>
      <c r="B656" s="82">
        <f ca="1">IFERROR(__xludf.DUMMYFUNCTION("""COMPUTED_VALUE"""),44641.8495815162)</f>
        <v>44641.849581516202</v>
      </c>
      <c r="C656" s="79">
        <f ca="1">IFERROR(__xludf.DUMMYFUNCTION("""COMPUTED_VALUE"""),44641.6666666666)</f>
        <v>44641.666666666599</v>
      </c>
      <c r="D656" s="80" t="str">
        <f ca="1">IFERROR(__xludf.DUMMYFUNCTION("""COMPUTED_VALUE"""),"37400")</f>
        <v>37400</v>
      </c>
      <c r="E656" s="80" t="str">
        <f ca="1">IFERROR(__xludf.DUMMYFUNCTION("""COMPUTED_VALUE"""),"Stock")</f>
        <v>Stock</v>
      </c>
      <c r="F656" s="80" t="str">
        <f ca="1">IFERROR(__xludf.DUMMYFUNCTION("""COMPUTED_VALUE"""),"USD")</f>
        <v>USD</v>
      </c>
      <c r="G656" s="78" t="str">
        <f ca="1">IFERROR(__xludf.DUMMYFUNCTION("""COMPUTED_VALUE"""),"TSLA")</f>
        <v>TSLA</v>
      </c>
      <c r="H656" s="81">
        <f ca="1">IFERROR(__xludf.DUMMYFUNCTION("""COMPUTED_VALUE"""),36)</f>
        <v>36</v>
      </c>
      <c r="I656" s="80"/>
    </row>
    <row r="657" spans="1:9" ht="13" x14ac:dyDescent="0.15">
      <c r="A657" s="5"/>
      <c r="B657" s="82">
        <f ca="1">IFERROR(__xludf.DUMMYFUNCTION("""COMPUTED_VALUE"""),44641.8504640277)</f>
        <v>44641.850464027702</v>
      </c>
      <c r="C657" s="79">
        <f ca="1">IFERROR(__xludf.DUMMYFUNCTION("""COMPUTED_VALUE"""),44641.6666666666)</f>
        <v>44641.666666666599</v>
      </c>
      <c r="D657" s="80" t="str">
        <f ca="1">IFERROR(__xludf.DUMMYFUNCTION("""COMPUTED_VALUE"""),"39608")</f>
        <v>39608</v>
      </c>
      <c r="E657" s="80" t="str">
        <f ca="1">IFERROR(__xludf.DUMMYFUNCTION("""COMPUTED_VALUE"""),"Stock")</f>
        <v>Stock</v>
      </c>
      <c r="F657" s="80" t="str">
        <f ca="1">IFERROR(__xludf.DUMMYFUNCTION("""COMPUTED_VALUE"""),"USD")</f>
        <v>USD</v>
      </c>
      <c r="G657" s="78" t="str">
        <f ca="1">IFERROR(__xludf.DUMMYFUNCTION("""COMPUTED_VALUE"""),"TSLA")</f>
        <v>TSLA</v>
      </c>
      <c r="H657" s="81">
        <f ca="1">IFERROR(__xludf.DUMMYFUNCTION("""COMPUTED_VALUE"""),36)</f>
        <v>36</v>
      </c>
      <c r="I657" s="80"/>
    </row>
    <row r="658" spans="1:9" ht="13" x14ac:dyDescent="0.15">
      <c r="A658" s="5"/>
      <c r="B658" s="82">
        <f ca="1">IFERROR(__xludf.DUMMYFUNCTION("""COMPUTED_VALUE"""),44641.8507586921)</f>
        <v>44641.850758692097</v>
      </c>
      <c r="C658" s="79">
        <f ca="1">IFERROR(__xludf.DUMMYFUNCTION("""COMPUTED_VALUE"""),44641.6666666666)</f>
        <v>44641.666666666599</v>
      </c>
      <c r="D658" s="80" t="str">
        <f ca="1">IFERROR(__xludf.DUMMYFUNCTION("""COMPUTED_VALUE"""),"32312")</f>
        <v>32312</v>
      </c>
      <c r="E658" s="80" t="str">
        <f ca="1">IFERROR(__xludf.DUMMYFUNCTION("""COMPUTED_VALUE"""),"Stock")</f>
        <v>Stock</v>
      </c>
      <c r="F658" s="80" t="str">
        <f ca="1">IFERROR(__xludf.DUMMYFUNCTION("""COMPUTED_VALUE"""),"USD")</f>
        <v>USD</v>
      </c>
      <c r="G658" s="78" t="str">
        <f ca="1">IFERROR(__xludf.DUMMYFUNCTION("""COMPUTED_VALUE"""),"TSLA")</f>
        <v>TSLA</v>
      </c>
      <c r="H658" s="81">
        <f ca="1">IFERROR(__xludf.DUMMYFUNCTION("""COMPUTED_VALUE"""),36)</f>
        <v>36</v>
      </c>
      <c r="I658" s="80"/>
    </row>
    <row r="659" spans="1:9" ht="13" x14ac:dyDescent="0.15">
      <c r="A659" s="5"/>
      <c r="B659" s="82">
        <f ca="1">IFERROR(__xludf.DUMMYFUNCTION("""COMPUTED_VALUE"""),44642.4816344791)</f>
        <v>44642.481634479103</v>
      </c>
      <c r="C659" s="79">
        <f ca="1">IFERROR(__xludf.DUMMYFUNCTION("""COMPUTED_VALUE"""),44642.6666666666)</f>
        <v>44642.666666666599</v>
      </c>
      <c r="D659" s="80" t="str">
        <f ca="1">IFERROR(__xludf.DUMMYFUNCTION("""COMPUTED_VALUE"""),"75415")</f>
        <v>75415</v>
      </c>
      <c r="E659" s="80" t="str">
        <f ca="1">IFERROR(__xludf.DUMMYFUNCTION("""COMPUTED_VALUE"""),"Stock")</f>
        <v>Stock</v>
      </c>
      <c r="F659" s="80" t="str">
        <f ca="1">IFERROR(__xludf.DUMMYFUNCTION("""COMPUTED_VALUE"""),"USD")</f>
        <v>USD</v>
      </c>
      <c r="G659" s="78" t="str">
        <f ca="1">IFERROR(__xludf.DUMMYFUNCTION("""COMPUTED_VALUE"""),"UVXY")</f>
        <v>UVXY</v>
      </c>
      <c r="H659" s="81">
        <f ca="1">IFERROR(__xludf.DUMMYFUNCTION("""COMPUTED_VALUE"""),10000)</f>
        <v>10000</v>
      </c>
      <c r="I659" s="80"/>
    </row>
    <row r="660" spans="1:9" ht="13" x14ac:dyDescent="0.15">
      <c r="A660" s="5"/>
      <c r="B660" s="82">
        <f ca="1">IFERROR(__xludf.DUMMYFUNCTION("""COMPUTED_VALUE"""),44642.4931698032)</f>
        <v>44642.493169803201</v>
      </c>
      <c r="C660" s="79">
        <f ca="1">IFERROR(__xludf.DUMMYFUNCTION("""COMPUTED_VALUE"""),44642.6666666666)</f>
        <v>44642.666666666599</v>
      </c>
      <c r="D660" s="80" t="str">
        <f ca="1">IFERROR(__xludf.DUMMYFUNCTION("""COMPUTED_VALUE"""),"75415")</f>
        <v>75415</v>
      </c>
      <c r="E660" s="80" t="str">
        <f ca="1">IFERROR(__xludf.DUMMYFUNCTION("""COMPUTED_VALUE"""),"Stock")</f>
        <v>Stock</v>
      </c>
      <c r="F660" s="80" t="str">
        <f ca="1">IFERROR(__xludf.DUMMYFUNCTION("""COMPUTED_VALUE"""),"USD")</f>
        <v>USD</v>
      </c>
      <c r="G660" s="78" t="str">
        <f ca="1">IFERROR(__xludf.DUMMYFUNCTION("""COMPUTED_VALUE"""),"WEAT")</f>
        <v>WEAT</v>
      </c>
      <c r="H660" s="81">
        <f ca="1">IFERROR(__xludf.DUMMYFUNCTION("""COMPUTED_VALUE"""),1000)</f>
        <v>1000</v>
      </c>
      <c r="I660" s="80"/>
    </row>
    <row r="661" spans="1:9" ht="13" x14ac:dyDescent="0.15">
      <c r="A661" s="5"/>
      <c r="B661" s="82">
        <f ca="1">IFERROR(__xludf.DUMMYFUNCTION("""COMPUTED_VALUE"""),44642.5400873032)</f>
        <v>44642.540087303198</v>
      </c>
      <c r="C661" s="79">
        <f ca="1">IFERROR(__xludf.DUMMYFUNCTION("""COMPUTED_VALUE"""),44642.6666666666)</f>
        <v>44642.666666666599</v>
      </c>
      <c r="D661" s="80" t="str">
        <f ca="1">IFERROR(__xludf.DUMMYFUNCTION("""COMPUTED_VALUE"""),"14626")</f>
        <v>14626</v>
      </c>
      <c r="E661" s="80" t="str">
        <f ca="1">IFERROR(__xludf.DUMMYFUNCTION("""COMPUTED_VALUE"""),"Stock")</f>
        <v>Stock</v>
      </c>
      <c r="F661" s="80" t="str">
        <f ca="1">IFERROR(__xludf.DUMMYFUNCTION("""COMPUTED_VALUE"""),"USD")</f>
        <v>USD</v>
      </c>
      <c r="G661" s="78" t="str">
        <f ca="1">IFERROR(__xludf.DUMMYFUNCTION("""COMPUTED_VALUE"""),"MSFT")</f>
        <v>MSFT</v>
      </c>
      <c r="H661" s="81">
        <f ca="1">IFERROR(__xludf.DUMMYFUNCTION("""COMPUTED_VALUE"""),100)</f>
        <v>100</v>
      </c>
      <c r="I661" s="80"/>
    </row>
    <row r="662" spans="1:9" ht="13" x14ac:dyDescent="0.15">
      <c r="A662" s="5"/>
      <c r="B662" s="82">
        <f ca="1">IFERROR(__xludf.DUMMYFUNCTION("""COMPUTED_VALUE"""),44642.5412161921)</f>
        <v>44642.541216192098</v>
      </c>
      <c r="C662" s="79">
        <f ca="1">IFERROR(__xludf.DUMMYFUNCTION("""COMPUTED_VALUE"""),44642.6666666666)</f>
        <v>44642.666666666599</v>
      </c>
      <c r="D662" s="80" t="str">
        <f ca="1">IFERROR(__xludf.DUMMYFUNCTION("""COMPUTED_VALUE"""),"14626")</f>
        <v>14626</v>
      </c>
      <c r="E662" s="80" t="str">
        <f ca="1">IFERROR(__xludf.DUMMYFUNCTION("""COMPUTED_VALUE"""),"Stock")</f>
        <v>Stock</v>
      </c>
      <c r="F662" s="80" t="str">
        <f ca="1">IFERROR(__xludf.DUMMYFUNCTION("""COMPUTED_VALUE"""),"USD")</f>
        <v>USD</v>
      </c>
      <c r="G662" s="78" t="str">
        <f ca="1">IFERROR(__xludf.DUMMYFUNCTION("""COMPUTED_VALUE"""),"FB")</f>
        <v>FB</v>
      </c>
      <c r="H662" s="81">
        <f ca="1">IFERROR(__xludf.DUMMYFUNCTION("""COMPUTED_VALUE"""),50)</f>
        <v>50</v>
      </c>
      <c r="I662" s="80"/>
    </row>
    <row r="663" spans="1:9" ht="13" x14ac:dyDescent="0.15">
      <c r="A663" s="5"/>
      <c r="B663" s="82">
        <f ca="1">IFERROR(__xludf.DUMMYFUNCTION("""COMPUTED_VALUE"""),44642.5420245601)</f>
        <v>44642.542024560098</v>
      </c>
      <c r="C663" s="79">
        <f ca="1">IFERROR(__xludf.DUMMYFUNCTION("""COMPUTED_VALUE"""),44642.6666666666)</f>
        <v>44642.666666666599</v>
      </c>
      <c r="D663" s="80" t="str">
        <f ca="1">IFERROR(__xludf.DUMMYFUNCTION("""COMPUTED_VALUE"""),"14626")</f>
        <v>14626</v>
      </c>
      <c r="E663" s="80" t="str">
        <f ca="1">IFERROR(__xludf.DUMMYFUNCTION("""COMPUTED_VALUE"""),"Stock")</f>
        <v>Stock</v>
      </c>
      <c r="F663" s="80" t="str">
        <f ca="1">IFERROR(__xludf.DUMMYFUNCTION("""COMPUTED_VALUE"""),"USD")</f>
        <v>USD</v>
      </c>
      <c r="G663" s="78" t="str">
        <f ca="1">IFERROR(__xludf.DUMMYFUNCTION("""COMPUTED_VALUE"""),"GOOG")</f>
        <v>GOOG</v>
      </c>
      <c r="H663" s="81">
        <f ca="1">IFERROR(__xludf.DUMMYFUNCTION("""COMPUTED_VALUE"""),100)</f>
        <v>100</v>
      </c>
      <c r="I663" s="80"/>
    </row>
    <row r="664" spans="1:9" ht="13" x14ac:dyDescent="0.15">
      <c r="A664" s="5"/>
      <c r="B664" s="82">
        <f ca="1">IFERROR(__xludf.DUMMYFUNCTION("""COMPUTED_VALUE"""),44642.5432108449)</f>
        <v>44642.543210844902</v>
      </c>
      <c r="C664" s="79">
        <f ca="1">IFERROR(__xludf.DUMMYFUNCTION("""COMPUTED_VALUE"""),44642.6666666666)</f>
        <v>44642.666666666599</v>
      </c>
      <c r="D664" s="80" t="str">
        <f ca="1">IFERROR(__xludf.DUMMYFUNCTION("""COMPUTED_VALUE"""),"14626")</f>
        <v>14626</v>
      </c>
      <c r="E664" s="80" t="str">
        <f ca="1">IFERROR(__xludf.DUMMYFUNCTION("""COMPUTED_VALUE"""),"Stock")</f>
        <v>Stock</v>
      </c>
      <c r="F664" s="80" t="str">
        <f ca="1">IFERROR(__xludf.DUMMYFUNCTION("""COMPUTED_VALUE"""),"USD")</f>
        <v>USD</v>
      </c>
      <c r="G664" s="78" t="str">
        <f ca="1">IFERROR(__xludf.DUMMYFUNCTION("""COMPUTED_VALUE"""),"TSLA")</f>
        <v>TSLA</v>
      </c>
      <c r="H664" s="81">
        <f ca="1">IFERROR(__xludf.DUMMYFUNCTION("""COMPUTED_VALUE"""),1000)</f>
        <v>1000</v>
      </c>
      <c r="I664" s="80"/>
    </row>
    <row r="665" spans="1:9" ht="13" x14ac:dyDescent="0.15">
      <c r="A665" s="5"/>
      <c r="B665" s="82">
        <f ca="1">IFERROR(__xludf.DUMMYFUNCTION("""COMPUTED_VALUE"""),44642.5437926967)</f>
        <v>44642.543792696699</v>
      </c>
      <c r="C665" s="79">
        <f ca="1">IFERROR(__xludf.DUMMYFUNCTION("""COMPUTED_VALUE"""),44642.6666666666)</f>
        <v>44642.666666666599</v>
      </c>
      <c r="D665" s="80" t="str">
        <f ca="1">IFERROR(__xludf.DUMMYFUNCTION("""COMPUTED_VALUE"""),"14626")</f>
        <v>14626</v>
      </c>
      <c r="E665" s="80" t="str">
        <f ca="1">IFERROR(__xludf.DUMMYFUNCTION("""COMPUTED_VALUE"""),"Stock")</f>
        <v>Stock</v>
      </c>
      <c r="F665" s="80" t="str">
        <f ca="1">IFERROR(__xludf.DUMMYFUNCTION("""COMPUTED_VALUE"""),"USD")</f>
        <v>USD</v>
      </c>
      <c r="G665" s="78" t="str">
        <f ca="1">IFERROR(__xludf.DUMMYFUNCTION("""COMPUTED_VALUE"""),"F")</f>
        <v>F</v>
      </c>
      <c r="H665" s="81">
        <f ca="1">IFERROR(__xludf.DUMMYFUNCTION("""COMPUTED_VALUE"""),100)</f>
        <v>100</v>
      </c>
      <c r="I665" s="80"/>
    </row>
    <row r="666" spans="1:9" ht="13" x14ac:dyDescent="0.15">
      <c r="A666" s="5"/>
      <c r="B666" s="82">
        <f ca="1">IFERROR(__xludf.DUMMYFUNCTION("""COMPUTED_VALUE"""),44642.546795949)</f>
        <v>44642.546795948998</v>
      </c>
      <c r="C666" s="79">
        <f ca="1">IFERROR(__xludf.DUMMYFUNCTION("""COMPUTED_VALUE"""),44642.6666666666)</f>
        <v>44642.666666666599</v>
      </c>
      <c r="D666" s="80" t="str">
        <f ca="1">IFERROR(__xludf.DUMMYFUNCTION("""COMPUTED_VALUE"""),"14626")</f>
        <v>14626</v>
      </c>
      <c r="E666" s="80" t="str">
        <f ca="1">IFERROR(__xludf.DUMMYFUNCTION("""COMPUTED_VALUE"""),"Stock")</f>
        <v>Stock</v>
      </c>
      <c r="F666" s="80" t="str">
        <f ca="1">IFERROR(__xludf.DUMMYFUNCTION("""COMPUTED_VALUE"""),"USD")</f>
        <v>USD</v>
      </c>
      <c r="G666" s="78" t="str">
        <f ca="1">IFERROR(__xludf.DUMMYFUNCTION("""COMPUTED_VALUE"""),"BA")</f>
        <v>BA</v>
      </c>
      <c r="H666" s="81">
        <f ca="1">IFERROR(__xludf.DUMMYFUNCTION("""COMPUTED_VALUE"""),50)</f>
        <v>50</v>
      </c>
      <c r="I666" s="80"/>
    </row>
    <row r="667" spans="1:9" ht="13" x14ac:dyDescent="0.15">
      <c r="A667" s="5"/>
      <c r="B667" s="82">
        <f ca="1">IFERROR(__xludf.DUMMYFUNCTION("""COMPUTED_VALUE"""),44642.5475500926)</f>
        <v>44642.547550092597</v>
      </c>
      <c r="C667" s="79">
        <f ca="1">IFERROR(__xludf.DUMMYFUNCTION("""COMPUTED_VALUE"""),44642.6666666666)</f>
        <v>44642.666666666599</v>
      </c>
      <c r="D667" s="80" t="str">
        <f ca="1">IFERROR(__xludf.DUMMYFUNCTION("""COMPUTED_VALUE"""),"14626")</f>
        <v>14626</v>
      </c>
      <c r="E667" s="80" t="str">
        <f ca="1">IFERROR(__xludf.DUMMYFUNCTION("""COMPUTED_VALUE"""),"Stock")</f>
        <v>Stock</v>
      </c>
      <c r="F667" s="80" t="str">
        <f ca="1">IFERROR(__xludf.DUMMYFUNCTION("""COMPUTED_VALUE"""),"USD")</f>
        <v>USD</v>
      </c>
      <c r="G667" s="78" t="str">
        <f ca="1">IFERROR(__xludf.DUMMYFUNCTION("""COMPUTED_VALUE"""),"BRK-B")</f>
        <v>BRK-B</v>
      </c>
      <c r="H667" s="81">
        <f ca="1">IFERROR(__xludf.DUMMYFUNCTION("""COMPUTED_VALUE"""),500)</f>
        <v>500</v>
      </c>
      <c r="I667" s="80"/>
    </row>
    <row r="668" spans="1:9" ht="13" x14ac:dyDescent="0.15">
      <c r="A668" s="5"/>
      <c r="B668" s="82">
        <f ca="1">IFERROR(__xludf.DUMMYFUNCTION("""COMPUTED_VALUE"""),44642.5483923379)</f>
        <v>44642.5483923379</v>
      </c>
      <c r="C668" s="79">
        <f ca="1">IFERROR(__xludf.DUMMYFUNCTION("""COMPUTED_VALUE"""),44642.6666666666)</f>
        <v>44642.666666666599</v>
      </c>
      <c r="D668" s="80" t="str">
        <f ca="1">IFERROR(__xludf.DUMMYFUNCTION("""COMPUTED_VALUE"""),"14626")</f>
        <v>14626</v>
      </c>
      <c r="E668" s="80" t="str">
        <f ca="1">IFERROR(__xludf.DUMMYFUNCTION("""COMPUTED_VALUE"""),"Stock")</f>
        <v>Stock</v>
      </c>
      <c r="F668" s="80" t="str">
        <f ca="1">IFERROR(__xludf.DUMMYFUNCTION("""COMPUTED_VALUE"""),"USD")</f>
        <v>USD</v>
      </c>
      <c r="G668" s="78" t="str">
        <f ca="1">IFERROR(__xludf.DUMMYFUNCTION("""COMPUTED_VALUE"""),"OXY")</f>
        <v>OXY</v>
      </c>
      <c r="H668" s="81">
        <f ca="1">IFERROR(__xludf.DUMMYFUNCTION("""COMPUTED_VALUE"""),500)</f>
        <v>500</v>
      </c>
      <c r="I668" s="80"/>
    </row>
    <row r="669" spans="1:9" ht="13" x14ac:dyDescent="0.15">
      <c r="A669" s="5"/>
      <c r="B669" s="82">
        <f ca="1">IFERROR(__xludf.DUMMYFUNCTION("""COMPUTED_VALUE"""),44642.5505632986)</f>
        <v>44642.550563298602</v>
      </c>
      <c r="C669" s="79">
        <f ca="1">IFERROR(__xludf.DUMMYFUNCTION("""COMPUTED_VALUE"""),44642.6666666666)</f>
        <v>44642.666666666599</v>
      </c>
      <c r="D669" s="80" t="str">
        <f ca="1">IFERROR(__xludf.DUMMYFUNCTION("""COMPUTED_VALUE"""),"14626")</f>
        <v>14626</v>
      </c>
      <c r="E669" s="80" t="str">
        <f ca="1">IFERROR(__xludf.DUMMYFUNCTION("""COMPUTED_VALUE"""),"Stock")</f>
        <v>Stock</v>
      </c>
      <c r="F669" s="80" t="str">
        <f ca="1">IFERROR(__xludf.DUMMYFUNCTION("""COMPUTED_VALUE"""),"USD")</f>
        <v>USD</v>
      </c>
      <c r="G669" s="78" t="str">
        <f ca="1">IFERROR(__xludf.DUMMYFUNCTION("""COMPUTED_VALUE"""),"PFE")</f>
        <v>PFE</v>
      </c>
      <c r="H669" s="81">
        <f ca="1">IFERROR(__xludf.DUMMYFUNCTION("""COMPUTED_VALUE"""),500)</f>
        <v>500</v>
      </c>
      <c r="I669" s="80"/>
    </row>
    <row r="670" spans="1:9" ht="13" x14ac:dyDescent="0.15">
      <c r="A670" s="5"/>
      <c r="B670" s="82">
        <f ca="1">IFERROR(__xludf.DUMMYFUNCTION("""COMPUTED_VALUE"""),44642.5516164351)</f>
        <v>44642.551616435099</v>
      </c>
      <c r="C670" s="79">
        <f ca="1">IFERROR(__xludf.DUMMYFUNCTION("""COMPUTED_VALUE"""),44642.6666666666)</f>
        <v>44642.666666666599</v>
      </c>
      <c r="D670" s="80" t="str">
        <f ca="1">IFERROR(__xludf.DUMMYFUNCTION("""COMPUTED_VALUE"""),"14626")</f>
        <v>14626</v>
      </c>
      <c r="E670" s="80" t="str">
        <f ca="1">IFERROR(__xludf.DUMMYFUNCTION("""COMPUTED_VALUE"""),"Stock")</f>
        <v>Stock</v>
      </c>
      <c r="F670" s="80" t="str">
        <f ca="1">IFERROR(__xludf.DUMMYFUNCTION("""COMPUTED_VALUE"""),"USD")</f>
        <v>USD</v>
      </c>
      <c r="G670" s="78" t="str">
        <f ca="1">IFERROR(__xludf.DUMMYFUNCTION("""COMPUTED_VALUE"""),"GOOG")</f>
        <v>GOOG</v>
      </c>
      <c r="H670" s="81">
        <f ca="1">IFERROR(__xludf.DUMMYFUNCTION("""COMPUTED_VALUE"""),1000)</f>
        <v>1000</v>
      </c>
      <c r="I670" s="80"/>
    </row>
    <row r="671" spans="1:9" ht="13" x14ac:dyDescent="0.15">
      <c r="A671" s="5"/>
      <c r="B671" s="82">
        <f ca="1">IFERROR(__xludf.DUMMYFUNCTION("""COMPUTED_VALUE"""),44642.6271163078)</f>
        <v>44642.627116307798</v>
      </c>
      <c r="C671" s="79">
        <f ca="1">IFERROR(__xludf.DUMMYFUNCTION("""COMPUTED_VALUE"""),44642.6666666666)</f>
        <v>44642.666666666599</v>
      </c>
      <c r="D671" s="80" t="str">
        <f ca="1">IFERROR(__xludf.DUMMYFUNCTION("""COMPUTED_VALUE"""),"82124")</f>
        <v>82124</v>
      </c>
      <c r="E671" s="80" t="str">
        <f ca="1">IFERROR(__xludf.DUMMYFUNCTION("""COMPUTED_VALUE"""),"Stock")</f>
        <v>Stock</v>
      </c>
      <c r="F671" s="80" t="str">
        <f ca="1">IFERROR(__xludf.DUMMYFUNCTION("""COMPUTED_VALUE"""),"HKD")</f>
        <v>HKD</v>
      </c>
      <c r="G671" s="83" t="str">
        <f ca="1">IFERROR(__xludf.DUMMYFUNCTION("""COMPUTED_VALUE"""),"9988.HK")</f>
        <v>9988.HK</v>
      </c>
      <c r="H671" s="81">
        <f ca="1">IFERROR(__xludf.DUMMYFUNCTION("""COMPUTED_VALUE"""),200)</f>
        <v>200</v>
      </c>
      <c r="I671" s="80"/>
    </row>
    <row r="672" spans="1:9" ht="13" x14ac:dyDescent="0.15">
      <c r="A672" s="5"/>
      <c r="B672" s="82">
        <f ca="1">IFERROR(__xludf.DUMMYFUNCTION("""COMPUTED_VALUE"""),44642.6851445023)</f>
        <v>44642.685144502298</v>
      </c>
      <c r="C672" s="79" t="str">
        <f ca="1">IFERROR(__xludf.DUMMYFUNCTION("""COMPUTED_VALUE"""),"")</f>
        <v/>
      </c>
      <c r="D672" s="80" t="str">
        <f ca="1">IFERROR(__xludf.DUMMYFUNCTION("""COMPUTED_VALUE"""),"")</f>
        <v/>
      </c>
      <c r="E672" s="80" t="str">
        <f ca="1">IFERROR(__xludf.DUMMYFUNCTION("""COMPUTED_VALUE"""),"Stock")</f>
        <v>Stock</v>
      </c>
      <c r="F672" s="80" t="str">
        <f ca="1">IFERROR(__xludf.DUMMYFUNCTION("""COMPUTED_VALUE"""),"error")</f>
        <v>error</v>
      </c>
      <c r="G672" s="83" t="str">
        <f ca="1">IFERROR(__xludf.DUMMYFUNCTION("""COMPUTED_VALUE"""),"1810.hk")</f>
        <v>1810.hk</v>
      </c>
      <c r="H672" s="81">
        <f ca="1">IFERROR(__xludf.DUMMYFUNCTION("""COMPUTED_VALUE"""),20)</f>
        <v>20</v>
      </c>
      <c r="I672" s="80" t="str">
        <f ca="1">IFERROR(__xludf.DUMMYFUNCTION("""COMPUTED_VALUE"""),"Order rejected due to non school email address and wrong quantity (input = 20units, should be 20)")</f>
        <v>Order rejected due to non school email address and wrong quantity (input = 20units, should be 20)</v>
      </c>
    </row>
    <row r="673" spans="1:9" ht="13" x14ac:dyDescent="0.15">
      <c r="A673" s="5"/>
      <c r="B673" s="82">
        <f ca="1">IFERROR(__xludf.DUMMYFUNCTION("""COMPUTED_VALUE"""),44642.795870787)</f>
        <v>44642.795870786998</v>
      </c>
      <c r="C673" s="79">
        <f ca="1">IFERROR(__xludf.DUMMYFUNCTION("""COMPUTED_VALUE"""),44643.6666666666)</f>
        <v>44643.666666666599</v>
      </c>
      <c r="D673" s="80" t="str">
        <f ca="1">IFERROR(__xludf.DUMMYFUNCTION("""COMPUTED_VALUE"""),"38758")</f>
        <v>38758</v>
      </c>
      <c r="E673" s="80" t="str">
        <f ca="1">IFERROR(__xludf.DUMMYFUNCTION("""COMPUTED_VALUE"""),"Time Deposit")</f>
        <v>Time Deposit</v>
      </c>
      <c r="F673" s="80" t="str">
        <f ca="1">IFERROR(__xludf.DUMMYFUNCTION("""COMPUTED_VALUE"""),"HKD")</f>
        <v>HKD</v>
      </c>
      <c r="G673" s="78" t="str">
        <f ca="1">IFERROR(__xludf.DUMMYFUNCTION("""COMPUTED_VALUE"""),"1M")</f>
        <v>1M</v>
      </c>
      <c r="H673" s="81">
        <f ca="1">IFERROR(__xludf.DUMMYFUNCTION("""COMPUTED_VALUE"""),20000)</f>
        <v>20000</v>
      </c>
      <c r="I673" s="80"/>
    </row>
    <row r="674" spans="1:9" ht="13" x14ac:dyDescent="0.15">
      <c r="A674" s="5"/>
      <c r="B674" s="82">
        <f ca="1">IFERROR(__xludf.DUMMYFUNCTION("""COMPUTED_VALUE"""),44642.8083915972)</f>
        <v>44642.808391597202</v>
      </c>
      <c r="C674" s="79" t="str">
        <f ca="1">IFERROR(__xludf.DUMMYFUNCTION("""COMPUTED_VALUE"""),"")</f>
        <v/>
      </c>
      <c r="D674" s="80" t="str">
        <f ca="1">IFERROR(__xludf.DUMMYFUNCTION("""COMPUTED_VALUE"""),"")</f>
        <v/>
      </c>
      <c r="E674" s="80" t="str">
        <f ca="1">IFERROR(__xludf.DUMMYFUNCTION("""COMPUTED_VALUE"""),"Stock")</f>
        <v>Stock</v>
      </c>
      <c r="F674" s="80" t="str">
        <f ca="1">IFERROR(__xludf.DUMMYFUNCTION("""COMPUTED_VALUE"""),"error")</f>
        <v>error</v>
      </c>
      <c r="G674" s="78" t="str">
        <f ca="1">IFERROR(__xludf.DUMMYFUNCTION("""COMPUTED_VALUE"""),"00386")</f>
        <v>00386</v>
      </c>
      <c r="H674" s="81">
        <f ca="1">IFERROR(__xludf.DUMMYFUNCTION("""COMPUTED_VALUE"""),10000)</f>
        <v>10000</v>
      </c>
      <c r="I674" s="80" t="str">
        <f ca="1">IFERROR(__xludf.DUMMYFUNCTION("""COMPUTED_VALUE"""),"Order rejected due to non school email address and wrong ticker code")</f>
        <v>Order rejected due to non school email address and wrong ticker code</v>
      </c>
    </row>
    <row r="675" spans="1:9" ht="13" x14ac:dyDescent="0.15">
      <c r="A675" s="5"/>
      <c r="B675" s="82">
        <f ca="1">IFERROR(__xludf.DUMMYFUNCTION("""COMPUTED_VALUE"""),44642.8084163425)</f>
        <v>44642.808416342501</v>
      </c>
      <c r="C675" s="79">
        <f ca="1">IFERROR(__xludf.DUMMYFUNCTION("""COMPUTED_VALUE"""),44643.6666666666)</f>
        <v>44643.666666666599</v>
      </c>
      <c r="D675" s="80" t="str">
        <f ca="1">IFERROR(__xludf.DUMMYFUNCTION("""COMPUTED_VALUE"""),"46322")</f>
        <v>46322</v>
      </c>
      <c r="E675" s="80" t="str">
        <f ca="1">IFERROR(__xludf.DUMMYFUNCTION("""COMPUTED_VALUE"""),"Stock")</f>
        <v>Stock</v>
      </c>
      <c r="F675" s="80" t="str">
        <f ca="1">IFERROR(__xludf.DUMMYFUNCTION("""COMPUTED_VALUE"""),"HKD")</f>
        <v>HKD</v>
      </c>
      <c r="G675" s="83" t="str">
        <f ca="1">IFERROR(__xludf.DUMMYFUNCTION("""COMPUTED_VALUE"""),"9988.HK")</f>
        <v>9988.HK</v>
      </c>
      <c r="H675" s="81">
        <f ca="1">IFERROR(__xludf.DUMMYFUNCTION("""COMPUTED_VALUE"""),200)</f>
        <v>200</v>
      </c>
      <c r="I675" s="80"/>
    </row>
    <row r="676" spans="1:9" ht="13" x14ac:dyDescent="0.15">
      <c r="A676" s="5"/>
      <c r="B676" s="82">
        <f ca="1">IFERROR(__xludf.DUMMYFUNCTION("""COMPUTED_VALUE"""),44642.8093791087)</f>
        <v>44642.809379108701</v>
      </c>
      <c r="C676" s="79">
        <f ca="1">IFERROR(__xludf.DUMMYFUNCTION("""COMPUTED_VALUE"""),44643.6666666666)</f>
        <v>44643.666666666599</v>
      </c>
      <c r="D676" s="80" t="str">
        <f ca="1">IFERROR(__xludf.DUMMYFUNCTION("""COMPUTED_VALUE"""),"46322")</f>
        <v>46322</v>
      </c>
      <c r="E676" s="80" t="str">
        <f ca="1">IFERROR(__xludf.DUMMYFUNCTION("""COMPUTED_VALUE"""),"Stock")</f>
        <v>Stock</v>
      </c>
      <c r="F676" s="80" t="str">
        <f ca="1">IFERROR(__xludf.DUMMYFUNCTION("""COMPUTED_VALUE"""),"HKD")</f>
        <v>HKD</v>
      </c>
      <c r="G676" s="83" t="str">
        <f ca="1">IFERROR(__xludf.DUMMYFUNCTION("""COMPUTED_VALUE"""),"3047.HK")</f>
        <v>3047.HK</v>
      </c>
      <c r="H676" s="81">
        <f ca="1">IFERROR(__xludf.DUMMYFUNCTION("""COMPUTED_VALUE"""),5)</f>
        <v>5</v>
      </c>
      <c r="I676" s="80"/>
    </row>
    <row r="677" spans="1:9" ht="13" x14ac:dyDescent="0.15">
      <c r="A677" s="5"/>
      <c r="B677" s="82">
        <f ca="1">IFERROR(__xludf.DUMMYFUNCTION("""COMPUTED_VALUE"""),44642.8183440972)</f>
        <v>44642.818344097199</v>
      </c>
      <c r="C677" s="79" t="str">
        <f ca="1">IFERROR(__xludf.DUMMYFUNCTION("""COMPUTED_VALUE"""),"")</f>
        <v/>
      </c>
      <c r="D677" s="80" t="str">
        <f ca="1">IFERROR(__xludf.DUMMYFUNCTION("""COMPUTED_VALUE"""),"")</f>
        <v/>
      </c>
      <c r="E677" s="80" t="str">
        <f ca="1">IFERROR(__xludf.DUMMYFUNCTION("""COMPUTED_VALUE"""),"Stock")</f>
        <v>Stock</v>
      </c>
      <c r="F677" s="80" t="str">
        <f ca="1">IFERROR(__xludf.DUMMYFUNCTION("""COMPUTED_VALUE"""),"error")</f>
        <v>error</v>
      </c>
      <c r="G677" s="78" t="str">
        <f ca="1">IFERROR(__xludf.DUMMYFUNCTION("""COMPUTED_VALUE"""),"09988")</f>
        <v>09988</v>
      </c>
      <c r="H677" s="81">
        <f ca="1">IFERROR(__xludf.DUMMYFUNCTION("""COMPUTED_VALUE"""),200)</f>
        <v>200</v>
      </c>
      <c r="I677" s="80" t="str">
        <f ca="1">IFERROR(__xludf.DUMMYFUNCTION("""COMPUTED_VALUE"""),"Order rejected due to non school email address and wrong ticker code")</f>
        <v>Order rejected due to non school email address and wrong ticker code</v>
      </c>
    </row>
    <row r="678" spans="1:9" ht="13" x14ac:dyDescent="0.15">
      <c r="A678" s="5"/>
      <c r="B678" s="82">
        <f ca="1">IFERROR(__xludf.DUMMYFUNCTION("""COMPUTED_VALUE"""),44642.8217857638)</f>
        <v>44642.821785763801</v>
      </c>
      <c r="C678" s="79" t="str">
        <f ca="1">IFERROR(__xludf.DUMMYFUNCTION("""COMPUTED_VALUE"""),"")</f>
        <v/>
      </c>
      <c r="D678" s="80" t="str">
        <f ca="1">IFERROR(__xludf.DUMMYFUNCTION("""COMPUTED_VALUE"""),"")</f>
        <v/>
      </c>
      <c r="E678" s="80" t="str">
        <f ca="1">IFERROR(__xludf.DUMMYFUNCTION("""COMPUTED_VALUE"""),"Stock")</f>
        <v>Stock</v>
      </c>
      <c r="F678" s="80" t="str">
        <f ca="1">IFERROR(__xludf.DUMMYFUNCTION("""COMPUTED_VALUE"""),"error")</f>
        <v>error</v>
      </c>
      <c r="G678" s="78" t="str">
        <f ca="1">IFERROR(__xludf.DUMMYFUNCTION("""COMPUTED_VALUE"""),"0883")</f>
        <v>0883</v>
      </c>
      <c r="H678" s="81">
        <f ca="1">IFERROR(__xludf.DUMMYFUNCTION("""COMPUTED_VALUE"""),2000)</f>
        <v>2000</v>
      </c>
      <c r="I678" s="80" t="str">
        <f ca="1">IFERROR(__xludf.DUMMYFUNCTION("""COMPUTED_VALUE"""),"Order rejected due to non school email address and wrong ticker code")</f>
        <v>Order rejected due to non school email address and wrong ticker code</v>
      </c>
    </row>
    <row r="679" spans="1:9" ht="13" x14ac:dyDescent="0.15">
      <c r="A679" s="5"/>
      <c r="B679" s="82">
        <f ca="1">IFERROR(__xludf.DUMMYFUNCTION("""COMPUTED_VALUE"""),44642.8338403703)</f>
        <v>44642.833840370302</v>
      </c>
      <c r="C679" s="79" t="str">
        <f ca="1">IFERROR(__xludf.DUMMYFUNCTION("""COMPUTED_VALUE"""),"")</f>
        <v/>
      </c>
      <c r="D679" s="80" t="str">
        <f ca="1">IFERROR(__xludf.DUMMYFUNCTION("""COMPUTED_VALUE"""),"")</f>
        <v/>
      </c>
      <c r="E679" s="80" t="str">
        <f ca="1">IFERROR(__xludf.DUMMYFUNCTION("""COMPUTED_VALUE"""),"Stock")</f>
        <v>Stock</v>
      </c>
      <c r="F679" s="80" t="str">
        <f ca="1">IFERROR(__xludf.DUMMYFUNCTION("""COMPUTED_VALUE"""),"error")</f>
        <v>error</v>
      </c>
      <c r="G679" s="78">
        <f ca="1">IFERROR(__xludf.DUMMYFUNCTION("""COMPUTED_VALUE"""),1810)</f>
        <v>1810</v>
      </c>
      <c r="H679" s="81">
        <f ca="1">IFERROR(__xludf.DUMMYFUNCTION("""COMPUTED_VALUE"""),2000)</f>
        <v>2000</v>
      </c>
      <c r="I679" s="80" t="str">
        <f ca="1">IFERROR(__xludf.DUMMYFUNCTION("""COMPUTED_VALUE"""),"Order rejected due to non school email address and wrong ticker code")</f>
        <v>Order rejected due to non school email address and wrong ticker code</v>
      </c>
    </row>
    <row r="680" spans="1:9" ht="13" x14ac:dyDescent="0.15">
      <c r="A680" s="5"/>
      <c r="B680" s="82">
        <f ca="1">IFERROR(__xludf.DUMMYFUNCTION("""COMPUTED_VALUE"""),44642.8530650462)</f>
        <v>44642.853065046198</v>
      </c>
      <c r="C680" s="79">
        <f ca="1">IFERROR(__xludf.DUMMYFUNCTION("""COMPUTED_VALUE"""),44642.6666666666)</f>
        <v>44642.666666666599</v>
      </c>
      <c r="D680" s="80" t="str">
        <f ca="1">IFERROR(__xludf.DUMMYFUNCTION("""COMPUTED_VALUE"""),"89845")</f>
        <v>89845</v>
      </c>
      <c r="E680" s="80" t="str">
        <f ca="1">IFERROR(__xludf.DUMMYFUNCTION("""COMPUTED_VALUE"""),"Stock")</f>
        <v>Stock</v>
      </c>
      <c r="F680" s="80" t="str">
        <f ca="1">IFERROR(__xludf.DUMMYFUNCTION("""COMPUTED_VALUE"""),"USD")</f>
        <v>USD</v>
      </c>
      <c r="G680" s="78" t="str">
        <f ca="1">IFERROR(__xludf.DUMMYFUNCTION("""COMPUTED_VALUE"""),"ASML")</f>
        <v>ASML</v>
      </c>
      <c r="H680" s="81">
        <f ca="1">IFERROR(__xludf.DUMMYFUNCTION("""COMPUTED_VALUE"""),200)</f>
        <v>200</v>
      </c>
      <c r="I680" s="80"/>
    </row>
    <row r="681" spans="1:9" ht="13" x14ac:dyDescent="0.15">
      <c r="A681" s="5"/>
      <c r="B681" s="82">
        <f ca="1">IFERROR(__xludf.DUMMYFUNCTION("""COMPUTED_VALUE"""),44642.8907199074)</f>
        <v>44642.890719907402</v>
      </c>
      <c r="C681" s="79">
        <f ca="1">IFERROR(__xludf.DUMMYFUNCTION("""COMPUTED_VALUE"""),44642.6666666666)</f>
        <v>44642.666666666599</v>
      </c>
      <c r="D681" s="80" t="str">
        <f ca="1">IFERROR(__xludf.DUMMYFUNCTION("""COMPUTED_VALUE"""),"38705")</f>
        <v>38705</v>
      </c>
      <c r="E681" s="80" t="str">
        <f ca="1">IFERROR(__xludf.DUMMYFUNCTION("""COMPUTED_VALUE"""),"Stock")</f>
        <v>Stock</v>
      </c>
      <c r="F681" s="80" t="str">
        <f ca="1">IFERROR(__xludf.DUMMYFUNCTION("""COMPUTED_VALUE"""),"USD")</f>
        <v>USD</v>
      </c>
      <c r="G681" s="78" t="str">
        <f ca="1">IFERROR(__xludf.DUMMYFUNCTION("""COMPUTED_VALUE"""),"NKE")</f>
        <v>NKE</v>
      </c>
      <c r="H681" s="81">
        <f ca="1">IFERROR(__xludf.DUMMYFUNCTION("""COMPUTED_VALUE"""),50)</f>
        <v>50</v>
      </c>
      <c r="I681" s="80"/>
    </row>
    <row r="682" spans="1:9" ht="13" x14ac:dyDescent="0.15">
      <c r="A682" s="5"/>
      <c r="B682" s="82">
        <f ca="1">IFERROR(__xludf.DUMMYFUNCTION("""COMPUTED_VALUE"""),44643.0037046064)</f>
        <v>44643.003704606403</v>
      </c>
      <c r="C682" s="79">
        <f ca="1">IFERROR(__xludf.DUMMYFUNCTION("""COMPUTED_VALUE"""),44642.6666666666)</f>
        <v>44642.666666666599</v>
      </c>
      <c r="D682" s="80" t="str">
        <f ca="1">IFERROR(__xludf.DUMMYFUNCTION("""COMPUTED_VALUE"""),"35577")</f>
        <v>35577</v>
      </c>
      <c r="E682" s="80" t="str">
        <f ca="1">IFERROR(__xludf.DUMMYFUNCTION("""COMPUTED_VALUE"""),"Stock")</f>
        <v>Stock</v>
      </c>
      <c r="F682" s="80" t="str">
        <f ca="1">IFERROR(__xludf.DUMMYFUNCTION("""COMPUTED_VALUE"""),"USD")</f>
        <v>USD</v>
      </c>
      <c r="G682" s="78" t="str">
        <f ca="1">IFERROR(__xludf.DUMMYFUNCTION("""COMPUTED_VALUE"""),"AAPL")</f>
        <v>AAPL</v>
      </c>
      <c r="H682" s="81">
        <f ca="1">IFERROR(__xludf.DUMMYFUNCTION("""COMPUTED_VALUE"""),20)</f>
        <v>20</v>
      </c>
      <c r="I682" s="80"/>
    </row>
    <row r="683" spans="1:9" ht="13" x14ac:dyDescent="0.15">
      <c r="A683" s="5"/>
      <c r="B683" s="82">
        <f ca="1">IFERROR(__xludf.DUMMYFUNCTION("""COMPUTED_VALUE"""),44643.009673912)</f>
        <v>44643.009673911998</v>
      </c>
      <c r="C683" s="79">
        <f ca="1">IFERROR(__xludf.DUMMYFUNCTION("""COMPUTED_VALUE"""),44643.6666666666)</f>
        <v>44643.666666666599</v>
      </c>
      <c r="D683" s="80" t="str">
        <f ca="1">IFERROR(__xludf.DUMMYFUNCTION("""COMPUTED_VALUE"""),"37922")</f>
        <v>37922</v>
      </c>
      <c r="E683" s="80" t="str">
        <f ca="1">IFERROR(__xludf.DUMMYFUNCTION("""COMPUTED_VALUE"""),"Stock")</f>
        <v>Stock</v>
      </c>
      <c r="F683" s="80" t="str">
        <f ca="1">IFERROR(__xludf.DUMMYFUNCTION("""COMPUTED_VALUE"""),"HKD")</f>
        <v>HKD</v>
      </c>
      <c r="G683" s="83" t="str">
        <f ca="1">IFERROR(__xludf.DUMMYFUNCTION("""COMPUTED_VALUE"""),"0700.HK")</f>
        <v>0700.HK</v>
      </c>
      <c r="H683" s="81">
        <f ca="1">IFERROR(__xludf.DUMMYFUNCTION("""COMPUTED_VALUE"""),1)</f>
        <v>1</v>
      </c>
      <c r="I683" s="80"/>
    </row>
    <row r="684" spans="1:9" ht="13" x14ac:dyDescent="0.15">
      <c r="A684" s="5"/>
      <c r="B684" s="82">
        <f ca="1">IFERROR(__xludf.DUMMYFUNCTION("""COMPUTED_VALUE"""),44643.4372391319)</f>
        <v>44643.437239131898</v>
      </c>
      <c r="C684" s="79" t="str">
        <f ca="1">IFERROR(__xludf.DUMMYFUNCTION("""COMPUTED_VALUE"""),"")</f>
        <v/>
      </c>
      <c r="D684" s="80" t="str">
        <f ca="1">IFERROR(__xludf.DUMMYFUNCTION("""COMPUTED_VALUE"""),"39704")</f>
        <v>39704</v>
      </c>
      <c r="E684" s="80" t="str">
        <f ca="1">IFERROR(__xludf.DUMMYFUNCTION("""COMPUTED_VALUE"""),"Stock")</f>
        <v>Stock</v>
      </c>
      <c r="F684" s="80" t="str">
        <f ca="1">IFERROR(__xludf.DUMMYFUNCTION("""COMPUTED_VALUE"""),"error")</f>
        <v>error</v>
      </c>
      <c r="G684" s="78" t="str">
        <f ca="1">IFERROR(__xludf.DUMMYFUNCTION("""COMPUTED_VALUE"""),"PYPL.O")</f>
        <v>PYPL.O</v>
      </c>
      <c r="H684" s="81">
        <f ca="1">IFERROR(__xludf.DUMMYFUNCTION("""COMPUTED_VALUE"""),100)</f>
        <v>100</v>
      </c>
      <c r="I684" s="80" t="str">
        <f ca="1">IFERROR(__xludf.DUMMYFUNCTION("""COMPUTED_VALUE"""),"Order rejected due to wrong ticker code")</f>
        <v>Order rejected due to wrong ticker code</v>
      </c>
    </row>
    <row r="685" spans="1:9" ht="13" x14ac:dyDescent="0.15">
      <c r="A685" s="5"/>
      <c r="B685" s="82">
        <f ca="1">IFERROR(__xludf.DUMMYFUNCTION("""COMPUTED_VALUE"""),44643.443791956)</f>
        <v>44643.443791956</v>
      </c>
      <c r="C685" s="79">
        <f ca="1">IFERROR(__xludf.DUMMYFUNCTION("""COMPUTED_VALUE"""),44643.6666666666)</f>
        <v>44643.666666666599</v>
      </c>
      <c r="D685" s="80" t="str">
        <f ca="1">IFERROR(__xludf.DUMMYFUNCTION("""COMPUTED_VALUE"""),"82124")</f>
        <v>82124</v>
      </c>
      <c r="E685" s="80" t="str">
        <f ca="1">IFERROR(__xludf.DUMMYFUNCTION("""COMPUTED_VALUE"""),"Stock")</f>
        <v>Stock</v>
      </c>
      <c r="F685" s="80" t="str">
        <f ca="1">IFERROR(__xludf.DUMMYFUNCTION("""COMPUTED_VALUE"""),"HKD")</f>
        <v>HKD</v>
      </c>
      <c r="G685" s="83" t="str">
        <f ca="1">IFERROR(__xludf.DUMMYFUNCTION("""COMPUTED_VALUE"""),"2800.HK")</f>
        <v>2800.HK</v>
      </c>
      <c r="H685" s="81">
        <f ca="1">IFERROR(__xludf.DUMMYFUNCTION("""COMPUTED_VALUE"""),2000)</f>
        <v>2000</v>
      </c>
      <c r="I685" s="80"/>
    </row>
    <row r="686" spans="1:9" ht="13" x14ac:dyDescent="0.15">
      <c r="A686" s="5"/>
      <c r="B686" s="82">
        <f ca="1">IFERROR(__xludf.DUMMYFUNCTION("""COMPUTED_VALUE"""),44643.446496331)</f>
        <v>44643.446496331002</v>
      </c>
      <c r="C686" s="79">
        <f ca="1">IFERROR(__xludf.DUMMYFUNCTION("""COMPUTED_VALUE"""),44643.6666666666)</f>
        <v>44643.666666666599</v>
      </c>
      <c r="D686" s="80" t="str">
        <f ca="1">IFERROR(__xludf.DUMMYFUNCTION("""COMPUTED_VALUE"""),"82124")</f>
        <v>82124</v>
      </c>
      <c r="E686" s="80" t="str">
        <f ca="1">IFERROR(__xludf.DUMMYFUNCTION("""COMPUTED_VALUE"""),"Stock")</f>
        <v>Stock</v>
      </c>
      <c r="F686" s="80" t="str">
        <f ca="1">IFERROR(__xludf.DUMMYFUNCTION("""COMPUTED_VALUE"""),"HKD")</f>
        <v>HKD</v>
      </c>
      <c r="G686" s="83" t="str">
        <f ca="1">IFERROR(__xludf.DUMMYFUNCTION("""COMPUTED_VALUE"""),"9988.HK")</f>
        <v>9988.HK</v>
      </c>
      <c r="H686" s="81">
        <f ca="1">IFERROR(__xludf.DUMMYFUNCTION("""COMPUTED_VALUE"""),400)</f>
        <v>400</v>
      </c>
      <c r="I686" s="80"/>
    </row>
    <row r="687" spans="1:9" ht="13" x14ac:dyDescent="0.15">
      <c r="A687" s="5"/>
      <c r="B687" s="82">
        <f ca="1">IFERROR(__xludf.DUMMYFUNCTION("""COMPUTED_VALUE"""),44643.463761412)</f>
        <v>44643.463761412</v>
      </c>
      <c r="C687" s="79" t="str">
        <f ca="1">IFERROR(__xludf.DUMMYFUNCTION("""COMPUTED_VALUE"""),"")</f>
        <v/>
      </c>
      <c r="D687" s="80" t="str">
        <f ca="1">IFERROR(__xludf.DUMMYFUNCTION("""COMPUTED_VALUE"""),"")</f>
        <v/>
      </c>
      <c r="E687" s="80" t="str">
        <f ca="1">IFERROR(__xludf.DUMMYFUNCTION("""COMPUTED_VALUE"""),"Stock")</f>
        <v>Stock</v>
      </c>
      <c r="F687" s="80" t="str">
        <f ca="1">IFERROR(__xludf.DUMMYFUNCTION("""COMPUTED_VALUE"""),"error")</f>
        <v>error</v>
      </c>
      <c r="G687" s="78" t="str">
        <f ca="1">IFERROR(__xludf.DUMMYFUNCTION("""COMPUTED_VALUE"""),"01882")</f>
        <v>01882</v>
      </c>
      <c r="H687" s="81">
        <f ca="1">IFERROR(__xludf.DUMMYFUNCTION("""COMPUTED_VALUE"""),100)</f>
        <v>100</v>
      </c>
      <c r="I687" s="80" t="str">
        <f ca="1">IFERROR(__xludf.DUMMYFUNCTION("""COMPUTED_VALUE"""),"Order rejected due to wrong ticker code and non school email account")</f>
        <v>Order rejected due to wrong ticker code and non school email account</v>
      </c>
    </row>
    <row r="688" spans="1:9" ht="13" x14ac:dyDescent="0.15">
      <c r="A688" s="5"/>
      <c r="B688" s="82">
        <f ca="1">IFERROR(__xludf.DUMMYFUNCTION("""COMPUTED_VALUE"""),44643.4679835185)</f>
        <v>44643.467983518502</v>
      </c>
      <c r="C688" s="79">
        <f ca="1">IFERROR(__xludf.DUMMYFUNCTION("""COMPUTED_VALUE"""),44643.6666666666)</f>
        <v>44643.666666666599</v>
      </c>
      <c r="D688" s="80" t="str">
        <f ca="1">IFERROR(__xludf.DUMMYFUNCTION("""COMPUTED_VALUE"""),"36460")</f>
        <v>36460</v>
      </c>
      <c r="E688" s="80" t="str">
        <f ca="1">IFERROR(__xludf.DUMMYFUNCTION("""COMPUTED_VALUE"""),"Stock")</f>
        <v>Stock</v>
      </c>
      <c r="F688" s="80" t="str">
        <f ca="1">IFERROR(__xludf.DUMMYFUNCTION("""COMPUTED_VALUE"""),"HKD")</f>
        <v>HKD</v>
      </c>
      <c r="G688" s="83" t="str">
        <f ca="1">IFERROR(__xludf.DUMMYFUNCTION("""COMPUTED_VALUE"""),"0700.HK")</f>
        <v>0700.HK</v>
      </c>
      <c r="H688" s="81">
        <f ca="1">IFERROR(__xludf.DUMMYFUNCTION("""COMPUTED_VALUE"""),150)</f>
        <v>150</v>
      </c>
      <c r="I688" s="80"/>
    </row>
    <row r="689" spans="1:9" ht="13" x14ac:dyDescent="0.15">
      <c r="A689" s="5"/>
      <c r="B689" s="82">
        <f ca="1">IFERROR(__xludf.DUMMYFUNCTION("""COMPUTED_VALUE"""),44643.4751497916)</f>
        <v>44643.4751497916</v>
      </c>
      <c r="C689" s="79">
        <f ca="1">IFERROR(__xludf.DUMMYFUNCTION("""COMPUTED_VALUE"""),44643.6666666666)</f>
        <v>44643.666666666599</v>
      </c>
      <c r="D689" s="80" t="str">
        <f ca="1">IFERROR(__xludf.DUMMYFUNCTION("""COMPUTED_VALUE"""),"36460")</f>
        <v>36460</v>
      </c>
      <c r="E689" s="80" t="str">
        <f ca="1">IFERROR(__xludf.DUMMYFUNCTION("""COMPUTED_VALUE"""),"Option")</f>
        <v>Option</v>
      </c>
      <c r="F689" s="80" t="str">
        <f ca="1">IFERROR(__xludf.DUMMYFUNCTION("""COMPUTED_VALUE"""),"USD")</f>
        <v>USD</v>
      </c>
      <c r="G689" s="78" t="str">
        <f ca="1">IFERROR(__xludf.DUMMYFUNCTION("""COMPUTED_VALUE"""),"F220325C00010000")</f>
        <v>F220325C00010000</v>
      </c>
      <c r="H689" s="81">
        <f ca="1">IFERROR(__xludf.DUMMYFUNCTION("""COMPUTED_VALUE"""),1)</f>
        <v>1</v>
      </c>
      <c r="I689" s="80"/>
    </row>
    <row r="690" spans="1:9" ht="13" x14ac:dyDescent="0.15">
      <c r="A690" s="5"/>
      <c r="B690" s="82">
        <f ca="1">IFERROR(__xludf.DUMMYFUNCTION("""COMPUTED_VALUE"""),44643.4761440856)</f>
        <v>44643.476144085602</v>
      </c>
      <c r="C690" s="79" t="str">
        <f ca="1">IFERROR(__xludf.DUMMYFUNCTION("""COMPUTED_VALUE"""),"")</f>
        <v/>
      </c>
      <c r="D690" s="80" t="str">
        <f ca="1">IFERROR(__xludf.DUMMYFUNCTION("""COMPUTED_VALUE"""),"")</f>
        <v/>
      </c>
      <c r="E690" s="80" t="str">
        <f ca="1">IFERROR(__xludf.DUMMYFUNCTION("""COMPUTED_VALUE"""),"Stock")</f>
        <v>Stock</v>
      </c>
      <c r="F690" s="80" t="str">
        <f ca="1">IFERROR(__xludf.DUMMYFUNCTION("""COMPUTED_VALUE"""),"error")</f>
        <v>error</v>
      </c>
      <c r="G690" s="78" t="str">
        <f ca="1">IFERROR(__xludf.DUMMYFUNCTION("""COMPUTED_VALUE"""),"BA")</f>
        <v>BA</v>
      </c>
      <c r="H690" s="81">
        <f ca="1">IFERROR(__xludf.DUMMYFUNCTION("""COMPUTED_VALUE"""),200)</f>
        <v>200</v>
      </c>
      <c r="I690" s="80" t="str">
        <f ca="1">IFERROR(__xludf.DUMMYFUNCTION("""COMPUTED_VALUE"""),"Order rejected due to wrong ticker code and non school email account")</f>
        <v>Order rejected due to wrong ticker code and non school email account</v>
      </c>
    </row>
    <row r="691" spans="1:9" ht="13" x14ac:dyDescent="0.15">
      <c r="A691" s="5"/>
      <c r="B691" s="82">
        <f ca="1">IFERROR(__xludf.DUMMYFUNCTION("""COMPUTED_VALUE"""),44643.4992442476)</f>
        <v>44643.4992442476</v>
      </c>
      <c r="C691" s="79" t="str">
        <f ca="1">IFERROR(__xludf.DUMMYFUNCTION("""COMPUTED_VALUE"""),"")</f>
        <v/>
      </c>
      <c r="D691" s="80" t="str">
        <f ca="1">IFERROR(__xludf.DUMMYFUNCTION("""COMPUTED_VALUE"""),"36242")</f>
        <v>36242</v>
      </c>
      <c r="E691" s="80" t="str">
        <f ca="1">IFERROR(__xludf.DUMMYFUNCTION("""COMPUTED_VALUE"""),"Stock")</f>
        <v>Stock</v>
      </c>
      <c r="F691" s="80" t="str">
        <f ca="1">IFERROR(__xludf.DUMMYFUNCTION("""COMPUTED_VALUE"""),"error")</f>
        <v>error</v>
      </c>
      <c r="G691" s="78" t="str">
        <f ca="1">IFERROR(__xludf.DUMMYFUNCTION("""COMPUTED_VALUE"""),"01882")</f>
        <v>01882</v>
      </c>
      <c r="H691" s="81">
        <f ca="1">IFERROR(__xludf.DUMMYFUNCTION("""COMPUTED_VALUE"""),200)</f>
        <v>200</v>
      </c>
      <c r="I691" s="80"/>
    </row>
    <row r="692" spans="1:9" ht="13" x14ac:dyDescent="0.15">
      <c r="A692" s="5"/>
      <c r="B692" s="82">
        <f ca="1">IFERROR(__xludf.DUMMYFUNCTION("""COMPUTED_VALUE"""),44643.5011503703)</f>
        <v>44643.501150370299</v>
      </c>
      <c r="C692" s="79">
        <f ca="1">IFERROR(__xludf.DUMMYFUNCTION("""COMPUTED_VALUE"""),44643.6666666666)</f>
        <v>44643.666666666599</v>
      </c>
      <c r="D692" s="80" t="str">
        <f ca="1">IFERROR(__xludf.DUMMYFUNCTION("""COMPUTED_VALUE"""),"36242")</f>
        <v>36242</v>
      </c>
      <c r="E692" s="80" t="str">
        <f ca="1">IFERROR(__xludf.DUMMYFUNCTION("""COMPUTED_VALUE"""),"Stock")</f>
        <v>Stock</v>
      </c>
      <c r="F692" s="80" t="str">
        <f ca="1">IFERROR(__xludf.DUMMYFUNCTION("""COMPUTED_VALUE"""),"USD")</f>
        <v>USD</v>
      </c>
      <c r="G692" s="78" t="str">
        <f ca="1">IFERROR(__xludf.DUMMYFUNCTION("""COMPUTED_VALUE"""),"BA")</f>
        <v>BA</v>
      </c>
      <c r="H692" s="81">
        <f ca="1">IFERROR(__xludf.DUMMYFUNCTION("""COMPUTED_VALUE"""),160)</f>
        <v>160</v>
      </c>
      <c r="I692" s="80"/>
    </row>
    <row r="693" spans="1:9" ht="13" x14ac:dyDescent="0.15">
      <c r="A693" s="5"/>
      <c r="B693" s="82">
        <f ca="1">IFERROR(__xludf.DUMMYFUNCTION("""COMPUTED_VALUE"""),44643.5523760995)</f>
        <v>44643.552376099498</v>
      </c>
      <c r="C693" s="79">
        <f ca="1">IFERROR(__xludf.DUMMYFUNCTION("""COMPUTED_VALUE"""),44643.6666666666)</f>
        <v>44643.666666666599</v>
      </c>
      <c r="D693" s="80" t="str">
        <f ca="1">IFERROR(__xludf.DUMMYFUNCTION("""COMPUTED_VALUE"""),"46600")</f>
        <v>46600</v>
      </c>
      <c r="E693" s="80" t="str">
        <f ca="1">IFERROR(__xludf.DUMMYFUNCTION("""COMPUTED_VALUE"""),"Stock")</f>
        <v>Stock</v>
      </c>
      <c r="F693" s="80" t="str">
        <f ca="1">IFERROR(__xludf.DUMMYFUNCTION("""COMPUTED_VALUE"""),"HKD")</f>
        <v>HKD</v>
      </c>
      <c r="G693" s="83" t="str">
        <f ca="1">IFERROR(__xludf.DUMMYFUNCTION("""COMPUTED_VALUE"""),"9988.HK")</f>
        <v>9988.HK</v>
      </c>
      <c r="H693" s="81">
        <f ca="1">IFERROR(__xludf.DUMMYFUNCTION("""COMPUTED_VALUE"""),130)</f>
        <v>130</v>
      </c>
      <c r="I693" s="80"/>
    </row>
    <row r="694" spans="1:9" ht="13" x14ac:dyDescent="0.15">
      <c r="A694" s="5"/>
      <c r="B694" s="82">
        <f ca="1">IFERROR(__xludf.DUMMYFUNCTION("""COMPUTED_VALUE"""),44643.5535200694)</f>
        <v>44643.553520069399</v>
      </c>
      <c r="C694" s="79">
        <f ca="1">IFERROR(__xludf.DUMMYFUNCTION("""COMPUTED_VALUE"""),44643.6666666666)</f>
        <v>44643.666666666599</v>
      </c>
      <c r="D694" s="80" t="str">
        <f ca="1">IFERROR(__xludf.DUMMYFUNCTION("""COMPUTED_VALUE"""),"46600")</f>
        <v>46600</v>
      </c>
      <c r="E694" s="80" t="str">
        <f ca="1">IFERROR(__xludf.DUMMYFUNCTION("""COMPUTED_VALUE"""),"Stock")</f>
        <v>Stock</v>
      </c>
      <c r="F694" s="80" t="str">
        <f ca="1">IFERROR(__xludf.DUMMYFUNCTION("""COMPUTED_VALUE"""),"HKD")</f>
        <v>HKD</v>
      </c>
      <c r="G694" s="83" t="str">
        <f ca="1">IFERROR(__xludf.DUMMYFUNCTION("""COMPUTED_VALUE"""),"0700.HK")</f>
        <v>0700.HK</v>
      </c>
      <c r="H694" s="81">
        <f ca="1">IFERROR(__xludf.DUMMYFUNCTION("""COMPUTED_VALUE"""),250)</f>
        <v>250</v>
      </c>
      <c r="I694" s="80"/>
    </row>
    <row r="695" spans="1:9" ht="13" x14ac:dyDescent="0.15">
      <c r="A695" s="5"/>
      <c r="B695" s="82">
        <f ca="1">IFERROR(__xludf.DUMMYFUNCTION("""COMPUTED_VALUE"""),44643.5579837847)</f>
        <v>44643.557983784704</v>
      </c>
      <c r="C695" s="79" t="str">
        <f ca="1">IFERROR(__xludf.DUMMYFUNCTION("""COMPUTED_VALUE"""),"")</f>
        <v/>
      </c>
      <c r="D695" s="80" t="str">
        <f ca="1">IFERROR(__xludf.DUMMYFUNCTION("""COMPUTED_VALUE"""),"35702")</f>
        <v>35702</v>
      </c>
      <c r="E695" s="80" t="str">
        <f ca="1">IFERROR(__xludf.DUMMYFUNCTION("""COMPUTED_VALUE"""),"Stock")</f>
        <v>Stock</v>
      </c>
      <c r="F695" s="80" t="str">
        <f ca="1">IFERROR(__xludf.DUMMYFUNCTION("""COMPUTED_VALUE"""),"error")</f>
        <v>error</v>
      </c>
      <c r="G695" s="78">
        <f ca="1">IFERROR(__xludf.DUMMYFUNCTION("""COMPUTED_VALUE"""),600522)</f>
        <v>600522</v>
      </c>
      <c r="H695" s="81">
        <f ca="1">IFERROR(__xludf.DUMMYFUNCTION("""COMPUTED_VALUE"""),1000)</f>
        <v>1000</v>
      </c>
      <c r="I695" s="80"/>
    </row>
    <row r="696" spans="1:9" ht="13" x14ac:dyDescent="0.15">
      <c r="A696" s="5"/>
      <c r="B696" s="82">
        <f ca="1">IFERROR(__xludf.DUMMYFUNCTION("""COMPUTED_VALUE"""),44643.5585915162)</f>
        <v>44643.558591516201</v>
      </c>
      <c r="C696" s="79">
        <f ca="1">IFERROR(__xludf.DUMMYFUNCTION("""COMPUTED_VALUE"""),44643.6666666666)</f>
        <v>44643.666666666599</v>
      </c>
      <c r="D696" s="80" t="str">
        <f ca="1">IFERROR(__xludf.DUMMYFUNCTION("""COMPUTED_VALUE"""),"46600")</f>
        <v>46600</v>
      </c>
      <c r="E696" s="80" t="str">
        <f ca="1">IFERROR(__xludf.DUMMYFUNCTION("""COMPUTED_VALUE"""),"Stock")</f>
        <v>Stock</v>
      </c>
      <c r="F696" s="80" t="str">
        <f ca="1">IFERROR(__xludf.DUMMYFUNCTION("""COMPUTED_VALUE"""),"HKD")</f>
        <v>HKD</v>
      </c>
      <c r="G696" s="83" t="str">
        <f ca="1">IFERROR(__xludf.DUMMYFUNCTION("""COMPUTED_VALUE"""),"1810.HK")</f>
        <v>1810.HK</v>
      </c>
      <c r="H696" s="81">
        <f ca="1">IFERROR(__xludf.DUMMYFUNCTION("""COMPUTED_VALUE"""),300)</f>
        <v>300</v>
      </c>
      <c r="I696" s="80"/>
    </row>
    <row r="697" spans="1:9" ht="13" x14ac:dyDescent="0.15">
      <c r="A697" s="5"/>
      <c r="B697" s="82">
        <f ca="1">IFERROR(__xludf.DUMMYFUNCTION("""COMPUTED_VALUE"""),44643.5759200926)</f>
        <v>44643.575920092597</v>
      </c>
      <c r="C697" s="79">
        <f ca="1">IFERROR(__xludf.DUMMYFUNCTION("""COMPUTED_VALUE"""),44643.6666666666)</f>
        <v>44643.666666666599</v>
      </c>
      <c r="D697" s="80" t="str">
        <f ca="1">IFERROR(__xludf.DUMMYFUNCTION("""COMPUTED_VALUE"""),"46600")</f>
        <v>46600</v>
      </c>
      <c r="E697" s="80" t="str">
        <f ca="1">IFERROR(__xludf.DUMMYFUNCTION("""COMPUTED_VALUE"""),"Stock")</f>
        <v>Stock</v>
      </c>
      <c r="F697" s="80" t="str">
        <f ca="1">IFERROR(__xludf.DUMMYFUNCTION("""COMPUTED_VALUE"""),"HKD")</f>
        <v>HKD</v>
      </c>
      <c r="G697" s="83" t="str">
        <f ca="1">IFERROR(__xludf.DUMMYFUNCTION("""COMPUTED_VALUE"""),"1299.HK")</f>
        <v>1299.HK</v>
      </c>
      <c r="H697" s="81">
        <f ca="1">IFERROR(__xludf.DUMMYFUNCTION("""COMPUTED_VALUE"""),200)</f>
        <v>200</v>
      </c>
      <c r="I697" s="80"/>
    </row>
    <row r="698" spans="1:9" ht="13" x14ac:dyDescent="0.15">
      <c r="A698" s="5"/>
      <c r="B698" s="82">
        <f ca="1">IFERROR(__xludf.DUMMYFUNCTION("""COMPUTED_VALUE"""),44643.5824820717)</f>
        <v>44643.582482071703</v>
      </c>
      <c r="C698" s="79">
        <f ca="1">IFERROR(__xludf.DUMMYFUNCTION("""COMPUTED_VALUE"""),44643.6666666666)</f>
        <v>44643.666666666599</v>
      </c>
      <c r="D698" s="80" t="str">
        <f ca="1">IFERROR(__xludf.DUMMYFUNCTION("""COMPUTED_VALUE"""),"40158")</f>
        <v>40158</v>
      </c>
      <c r="E698" s="80" t="str">
        <f ca="1">IFERROR(__xludf.DUMMYFUNCTION("""COMPUTED_VALUE"""),"Stock")</f>
        <v>Stock</v>
      </c>
      <c r="F698" s="80" t="str">
        <f ca="1">IFERROR(__xludf.DUMMYFUNCTION("""COMPUTED_VALUE"""),"HKD")</f>
        <v>HKD</v>
      </c>
      <c r="G698" s="83" t="str">
        <f ca="1">IFERROR(__xludf.DUMMYFUNCTION("""COMPUTED_VALUE"""),"6049.HK")</f>
        <v>6049.HK</v>
      </c>
      <c r="H698" s="81">
        <f ca="1">IFERROR(__xludf.DUMMYFUNCTION("""COMPUTED_VALUE"""),400)</f>
        <v>400</v>
      </c>
      <c r="I698" s="80"/>
    </row>
    <row r="699" spans="1:9" ht="13" x14ac:dyDescent="0.15">
      <c r="A699" s="5"/>
      <c r="B699" s="82">
        <f ca="1">IFERROR(__xludf.DUMMYFUNCTION("""COMPUTED_VALUE"""),44643.5994385069)</f>
        <v>44643.599438506899</v>
      </c>
      <c r="C699" s="79" t="str">
        <f ca="1">IFERROR(__xludf.DUMMYFUNCTION("""COMPUTED_VALUE"""),"")</f>
        <v/>
      </c>
      <c r="D699" s="80" t="str">
        <f ca="1">IFERROR(__xludf.DUMMYFUNCTION("""COMPUTED_VALUE"""),"")</f>
        <v/>
      </c>
      <c r="E699" s="80" t="str">
        <f ca="1">IFERROR(__xludf.DUMMYFUNCTION("""COMPUTED_VALUE"""),"Stock")</f>
        <v>Stock</v>
      </c>
      <c r="F699" s="80" t="str">
        <f ca="1">IFERROR(__xludf.DUMMYFUNCTION("""COMPUTED_VALUE"""),"error")</f>
        <v>error</v>
      </c>
      <c r="G699" s="83" t="str">
        <f ca="1">IFERROR(__xludf.DUMMYFUNCTION("""COMPUTED_VALUE"""),"1024.HK")</f>
        <v>1024.HK</v>
      </c>
      <c r="H699" s="81">
        <f ca="1">IFERROR(__xludf.DUMMYFUNCTION("""COMPUTED_VALUE"""),2000)</f>
        <v>2000</v>
      </c>
      <c r="I699" s="80" t="str">
        <f ca="1">IFERROR(__xludf.DUMMYFUNCTION("""COMPUTED_VALUE"""),"Order rejected due to wrong ticker code and non school email account")</f>
        <v>Order rejected due to wrong ticker code and non school email account</v>
      </c>
    </row>
    <row r="700" spans="1:9" ht="13" x14ac:dyDescent="0.15">
      <c r="A700" s="5"/>
      <c r="B700" s="82">
        <f ca="1">IFERROR(__xludf.DUMMYFUNCTION("""COMPUTED_VALUE"""),44643.6000754282)</f>
        <v>44643.600075428199</v>
      </c>
      <c r="C700" s="79" t="str">
        <f ca="1">IFERROR(__xludf.DUMMYFUNCTION("""COMPUTED_VALUE"""),"")</f>
        <v/>
      </c>
      <c r="D700" s="80" t="str">
        <f ca="1">IFERROR(__xludf.DUMMYFUNCTION("""COMPUTED_VALUE"""),"")</f>
        <v/>
      </c>
      <c r="E700" s="80" t="str">
        <f ca="1">IFERROR(__xludf.DUMMYFUNCTION("""COMPUTED_VALUE"""),"Stock")</f>
        <v>Stock</v>
      </c>
      <c r="F700" s="80" t="str">
        <f ca="1">IFERROR(__xludf.DUMMYFUNCTION("""COMPUTED_VALUE"""),"error")</f>
        <v>error</v>
      </c>
      <c r="G700" s="83" t="str">
        <f ca="1">IFERROR(__xludf.DUMMYFUNCTION("""COMPUTED_VALUE"""),"1024.HK")</f>
        <v>1024.HK</v>
      </c>
      <c r="H700" s="81">
        <f ca="1">IFERROR(__xludf.DUMMYFUNCTION("""COMPUTED_VALUE"""),2000)</f>
        <v>2000</v>
      </c>
      <c r="I700" s="80" t="str">
        <f ca="1">IFERROR(__xludf.DUMMYFUNCTION("""COMPUTED_VALUE"""),"Order rejected due to wrong ticker code and non school email account")</f>
        <v>Order rejected due to wrong ticker code and non school email account</v>
      </c>
    </row>
    <row r="701" spans="1:9" ht="13" x14ac:dyDescent="0.15">
      <c r="A701" s="5"/>
      <c r="B701" s="82">
        <f ca="1">IFERROR(__xludf.DUMMYFUNCTION("""COMPUTED_VALUE"""),44643.6005673032)</f>
        <v>44643.600567303198</v>
      </c>
      <c r="C701" s="79">
        <f ca="1">IFERROR(__xludf.DUMMYFUNCTION("""COMPUTED_VALUE"""),44643.6666666666)</f>
        <v>44643.666666666599</v>
      </c>
      <c r="D701" s="80" t="str">
        <f ca="1">IFERROR(__xludf.DUMMYFUNCTION("""COMPUTED_VALUE"""),"39857")</f>
        <v>39857</v>
      </c>
      <c r="E701" s="80" t="str">
        <f ca="1">IFERROR(__xludf.DUMMYFUNCTION("""COMPUTED_VALUE"""),"Stock")</f>
        <v>Stock</v>
      </c>
      <c r="F701" s="80" t="str">
        <f ca="1">IFERROR(__xludf.DUMMYFUNCTION("""COMPUTED_VALUE"""),"HKD")</f>
        <v>HKD</v>
      </c>
      <c r="G701" s="83" t="str">
        <f ca="1">IFERROR(__xludf.DUMMYFUNCTION("""COMPUTED_VALUE"""),"9988.HK")</f>
        <v>9988.HK</v>
      </c>
      <c r="H701" s="81">
        <f ca="1">IFERROR(__xludf.DUMMYFUNCTION("""COMPUTED_VALUE"""),800)</f>
        <v>800</v>
      </c>
      <c r="I701" s="80"/>
    </row>
    <row r="702" spans="1:9" ht="13" x14ac:dyDescent="0.15">
      <c r="A702" s="5"/>
      <c r="B702" s="82">
        <f ca="1">IFERROR(__xludf.DUMMYFUNCTION("""COMPUTED_VALUE"""),44643.6176422222)</f>
        <v>44643.617642222198</v>
      </c>
      <c r="C702" s="79">
        <f ca="1">IFERROR(__xludf.DUMMYFUNCTION("""COMPUTED_VALUE"""),44643.6666666666)</f>
        <v>44643.666666666599</v>
      </c>
      <c r="D702" s="80" t="str">
        <f ca="1">IFERROR(__xludf.DUMMYFUNCTION("""COMPUTED_VALUE"""),"39776")</f>
        <v>39776</v>
      </c>
      <c r="E702" s="80" t="str">
        <f ca="1">IFERROR(__xludf.DUMMYFUNCTION("""COMPUTED_VALUE"""),"Stock")</f>
        <v>Stock</v>
      </c>
      <c r="F702" s="80" t="str">
        <f ca="1">IFERROR(__xludf.DUMMYFUNCTION("""COMPUTED_VALUE"""),"HKD")</f>
        <v>HKD</v>
      </c>
      <c r="G702" s="83" t="str">
        <f ca="1">IFERROR(__xludf.DUMMYFUNCTION("""COMPUTED_VALUE"""),"3315.HK")</f>
        <v>3315.HK</v>
      </c>
      <c r="H702" s="81">
        <f ca="1">IFERROR(__xludf.DUMMYFUNCTION("""COMPUTED_VALUE"""),20000)</f>
        <v>20000</v>
      </c>
      <c r="I702" s="80"/>
    </row>
    <row r="703" spans="1:9" ht="13" x14ac:dyDescent="0.15">
      <c r="A703" s="5"/>
      <c r="B703" s="82">
        <f ca="1">IFERROR(__xludf.DUMMYFUNCTION("""COMPUTED_VALUE"""),44643.6713678588)</f>
        <v>44643.671367858798</v>
      </c>
      <c r="C703" s="79" t="str">
        <f ca="1">IFERROR(__xludf.DUMMYFUNCTION("""COMPUTED_VALUE"""),"")</f>
        <v/>
      </c>
      <c r="D703" s="80" t="str">
        <f ca="1">IFERROR(__xludf.DUMMYFUNCTION("""COMPUTED_VALUE"""),"")</f>
        <v/>
      </c>
      <c r="E703" s="80" t="str">
        <f ca="1">IFERROR(__xludf.DUMMYFUNCTION("""COMPUTED_VALUE"""),"Stock")</f>
        <v>Stock</v>
      </c>
      <c r="F703" s="80" t="str">
        <f ca="1">IFERROR(__xludf.DUMMYFUNCTION("""COMPUTED_VALUE"""),"error")</f>
        <v>error</v>
      </c>
      <c r="G703" s="83" t="str">
        <f ca="1">IFERROR(__xludf.DUMMYFUNCTION("""COMPUTED_VALUE"""),"9988.HK")</f>
        <v>9988.HK</v>
      </c>
      <c r="H703" s="81">
        <f ca="1">IFERROR(__xludf.DUMMYFUNCTION("""COMPUTED_VALUE"""),102)</f>
        <v>102</v>
      </c>
      <c r="I703" s="80" t="str">
        <f ca="1">IFERROR(__xludf.DUMMYFUNCTION("""COMPUTED_VALUE"""),"Order rejected due to non school email account")</f>
        <v>Order rejected due to non school email account</v>
      </c>
    </row>
    <row r="704" spans="1:9" ht="13" x14ac:dyDescent="0.15">
      <c r="A704" s="5"/>
      <c r="B704" s="82">
        <f ca="1">IFERROR(__xludf.DUMMYFUNCTION("""COMPUTED_VALUE"""),44643.7858118287)</f>
        <v>44643.785811828697</v>
      </c>
      <c r="C704" s="79" t="str">
        <f ca="1">IFERROR(__xludf.DUMMYFUNCTION("""COMPUTED_VALUE"""),"")</f>
        <v/>
      </c>
      <c r="D704" s="80" t="str">
        <f ca="1">IFERROR(__xludf.DUMMYFUNCTION("""COMPUTED_VALUE"""),"75973")</f>
        <v>75973</v>
      </c>
      <c r="E704" s="80" t="str">
        <f ca="1">IFERROR(__xludf.DUMMYFUNCTION("""COMPUTED_VALUE"""),"Stock")</f>
        <v>Stock</v>
      </c>
      <c r="F704" s="80" t="str">
        <f ca="1">IFERROR(__xludf.DUMMYFUNCTION("""COMPUTED_VALUE"""),"error")</f>
        <v>error</v>
      </c>
      <c r="G704" s="83" t="str">
        <f ca="1">IFERROR(__xludf.DUMMYFUNCTION("""COMPUTED_VALUE"""),"600519.SH")</f>
        <v>600519.SH</v>
      </c>
      <c r="H704" s="81">
        <f ca="1">IFERROR(__xludf.DUMMYFUNCTION("""COMPUTED_VALUE"""),50)</f>
        <v>50</v>
      </c>
      <c r="I704" s="80" t="str">
        <f ca="1">IFERROR(__xludf.DUMMYFUNCTION("""COMPUTED_VALUE"""),"Order rejected due to wrong ticker code")</f>
        <v>Order rejected due to wrong ticker code</v>
      </c>
    </row>
    <row r="705" spans="1:9" ht="13" x14ac:dyDescent="0.15">
      <c r="A705" s="5"/>
      <c r="B705" s="82">
        <f ca="1">IFERROR(__xludf.DUMMYFUNCTION("""COMPUTED_VALUE"""),44643.7910083796)</f>
        <v>44643.791008379601</v>
      </c>
      <c r="C705" s="79" t="str">
        <f ca="1">IFERROR(__xludf.DUMMYFUNCTION("""COMPUTED_VALUE"""),"")</f>
        <v/>
      </c>
      <c r="D705" s="80" t="str">
        <f ca="1">IFERROR(__xludf.DUMMYFUNCTION("""COMPUTED_VALUE"""),"75973")</f>
        <v>75973</v>
      </c>
      <c r="E705" s="80" t="str">
        <f ca="1">IFERROR(__xludf.DUMMYFUNCTION("""COMPUTED_VALUE"""),"Stock")</f>
        <v>Stock</v>
      </c>
      <c r="F705" s="80" t="str">
        <f ca="1">IFERROR(__xludf.DUMMYFUNCTION("""COMPUTED_VALUE"""),"error")</f>
        <v>error</v>
      </c>
      <c r="G705" s="83" t="str">
        <f ca="1">IFERROR(__xludf.DUMMYFUNCTION("""COMPUTED_VALUE"""),"AROW.US")</f>
        <v>AROW.US</v>
      </c>
      <c r="H705" s="81">
        <f ca="1">IFERROR(__xludf.DUMMYFUNCTION("""COMPUTED_VALUE"""),1400)</f>
        <v>1400</v>
      </c>
      <c r="I705" s="80" t="str">
        <f ca="1">IFERROR(__xludf.DUMMYFUNCTION("""COMPUTED_VALUE"""),"Order rejected due to wrong ticker code")</f>
        <v>Order rejected due to wrong ticker code</v>
      </c>
    </row>
    <row r="706" spans="1:9" ht="13" x14ac:dyDescent="0.15">
      <c r="A706" s="5"/>
      <c r="B706" s="82">
        <f ca="1">IFERROR(__xludf.DUMMYFUNCTION("""COMPUTED_VALUE"""),44643.7941958796)</f>
        <v>44643.7941958796</v>
      </c>
      <c r="C706" s="79">
        <f ca="1">IFERROR(__xludf.DUMMYFUNCTION("""COMPUTED_VALUE"""),44643.6666666666)</f>
        <v>44643.666666666599</v>
      </c>
      <c r="D706" s="80" t="str">
        <f ca="1">IFERROR(__xludf.DUMMYFUNCTION("""COMPUTED_VALUE"""),"39441")</f>
        <v>39441</v>
      </c>
      <c r="E706" s="80" t="str">
        <f ca="1">IFERROR(__xludf.DUMMYFUNCTION("""COMPUTED_VALUE"""),"Stock")</f>
        <v>Stock</v>
      </c>
      <c r="F706" s="80" t="str">
        <f ca="1">IFERROR(__xludf.DUMMYFUNCTION("""COMPUTED_VALUE"""),"USD")</f>
        <v>USD</v>
      </c>
      <c r="G706" s="78" t="str">
        <f ca="1">IFERROR(__xludf.DUMMYFUNCTION("""COMPUTED_VALUE"""),"AMZN")</f>
        <v>AMZN</v>
      </c>
      <c r="H706" s="81">
        <f ca="1">IFERROR(__xludf.DUMMYFUNCTION("""COMPUTED_VALUE"""),50)</f>
        <v>50</v>
      </c>
      <c r="I706" s="80"/>
    </row>
    <row r="707" spans="1:9" ht="13" x14ac:dyDescent="0.15">
      <c r="A707" s="5"/>
      <c r="B707" s="82">
        <f ca="1">IFERROR(__xludf.DUMMYFUNCTION("""COMPUTED_VALUE"""),44643.8108680787)</f>
        <v>44643.810868078697</v>
      </c>
      <c r="C707" s="79" t="str">
        <f ca="1">IFERROR(__xludf.DUMMYFUNCTION("""COMPUTED_VALUE"""),"")</f>
        <v/>
      </c>
      <c r="D707" s="80" t="str">
        <f ca="1">IFERROR(__xludf.DUMMYFUNCTION("""COMPUTED_VALUE"""),"75973")</f>
        <v>75973</v>
      </c>
      <c r="E707" s="80" t="str">
        <f ca="1">IFERROR(__xludf.DUMMYFUNCTION("""COMPUTED_VALUE"""),"Stock")</f>
        <v>Stock</v>
      </c>
      <c r="F707" s="80" t="str">
        <f ca="1">IFERROR(__xludf.DUMMYFUNCTION("""COMPUTED_VALUE"""),"error")</f>
        <v>error</v>
      </c>
      <c r="G707" s="83" t="str">
        <f ca="1">IFERROR(__xludf.DUMMYFUNCTION("""COMPUTED_VALUE"""),"ATAX.US")</f>
        <v>ATAX.US</v>
      </c>
      <c r="H707" s="81">
        <f ca="1">IFERROR(__xludf.DUMMYFUNCTION("""COMPUTED_VALUE"""),12000)</f>
        <v>12000</v>
      </c>
      <c r="I707" s="80" t="str">
        <f ca="1">IFERROR(__xludf.DUMMYFUNCTION("""COMPUTED_VALUE"""),"Order rejected due to wrong ticker code")</f>
        <v>Order rejected due to wrong ticker code</v>
      </c>
    </row>
    <row r="708" spans="1:9" ht="13" x14ac:dyDescent="0.15">
      <c r="A708" s="5"/>
      <c r="B708" s="82">
        <f ca="1">IFERROR(__xludf.DUMMYFUNCTION("""COMPUTED_VALUE"""),44643.8283521064)</f>
        <v>44643.8283521064</v>
      </c>
      <c r="C708" s="79" t="str">
        <f ca="1">IFERROR(__xludf.DUMMYFUNCTION("""COMPUTED_VALUE"""),"")</f>
        <v/>
      </c>
      <c r="D708" s="80" t="str">
        <f ca="1">IFERROR(__xludf.DUMMYFUNCTION("""COMPUTED_VALUE"""),"75973")</f>
        <v>75973</v>
      </c>
      <c r="E708" s="80" t="str">
        <f ca="1">IFERROR(__xludf.DUMMYFUNCTION("""COMPUTED_VALUE"""),"Stock")</f>
        <v>Stock</v>
      </c>
      <c r="F708" s="80" t="str">
        <f ca="1">IFERROR(__xludf.DUMMYFUNCTION("""COMPUTED_VALUE"""),"error")</f>
        <v>error</v>
      </c>
      <c r="G708" s="83" t="str">
        <f ca="1">IFERROR(__xludf.DUMMYFUNCTION("""COMPUTED_VALUE"""),"BKSC.US")</f>
        <v>BKSC.US</v>
      </c>
      <c r="H708" s="81">
        <f ca="1">IFERROR(__xludf.DUMMYFUNCTION("""COMPUTED_VALUE"""),2500)</f>
        <v>2500</v>
      </c>
      <c r="I708" s="80" t="str">
        <f ca="1">IFERROR(__xludf.DUMMYFUNCTION("""COMPUTED_VALUE"""),"Order rejected due to wrong ticker code")</f>
        <v>Order rejected due to wrong ticker code</v>
      </c>
    </row>
    <row r="709" spans="1:9" ht="13" x14ac:dyDescent="0.15">
      <c r="A709" s="5"/>
      <c r="B709" s="82">
        <f ca="1">IFERROR(__xludf.DUMMYFUNCTION("""COMPUTED_VALUE"""),44643.8387555208)</f>
        <v>44643.838755520803</v>
      </c>
      <c r="C709" s="79" t="str">
        <f ca="1">IFERROR(__xludf.DUMMYFUNCTION("""COMPUTED_VALUE"""),"")</f>
        <v/>
      </c>
      <c r="D709" s="80" t="str">
        <f ca="1">IFERROR(__xludf.DUMMYFUNCTION("""COMPUTED_VALUE"""),"75973")</f>
        <v>75973</v>
      </c>
      <c r="E709" s="80" t="str">
        <f ca="1">IFERROR(__xludf.DUMMYFUNCTION("""COMPUTED_VALUE"""),"Stock")</f>
        <v>Stock</v>
      </c>
      <c r="F709" s="80" t="str">
        <f ca="1">IFERROR(__xludf.DUMMYFUNCTION("""COMPUTED_VALUE"""),"error")</f>
        <v>error</v>
      </c>
      <c r="G709" s="83" t="str">
        <f ca="1">IFERROR(__xludf.DUMMYFUNCTION("""COMPUTED_VALUE"""),"01211.HK")</f>
        <v>01211.HK</v>
      </c>
      <c r="H709" s="81">
        <f ca="1">IFERROR(__xludf.DUMMYFUNCTION("""COMPUTED_VALUE"""),500)</f>
        <v>500</v>
      </c>
      <c r="I709" s="80" t="str">
        <f ca="1">IFERROR(__xludf.DUMMYFUNCTION("""COMPUTED_VALUE"""),"Order rejected due to wrong ticker code")</f>
        <v>Order rejected due to wrong ticker code</v>
      </c>
    </row>
    <row r="710" spans="1:9" ht="13" x14ac:dyDescent="0.15">
      <c r="A710" s="5"/>
      <c r="B710" s="82">
        <f ca="1">IFERROR(__xludf.DUMMYFUNCTION("""COMPUTED_VALUE"""),44643.8398019097)</f>
        <v>44643.8398019097</v>
      </c>
      <c r="C710" s="79">
        <f ca="1">IFERROR(__xludf.DUMMYFUNCTION("""COMPUTED_VALUE"""),44644.6666666666)</f>
        <v>44644.666666666599</v>
      </c>
      <c r="D710" s="80" t="str">
        <f ca="1">IFERROR(__xludf.DUMMYFUNCTION("""COMPUTED_VALUE"""),"38758")</f>
        <v>38758</v>
      </c>
      <c r="E710" s="80" t="str">
        <f ca="1">IFERROR(__xludf.DUMMYFUNCTION("""COMPUTED_VALUE"""),"Stock")</f>
        <v>Stock</v>
      </c>
      <c r="F710" s="80" t="str">
        <f ca="1">IFERROR(__xludf.DUMMYFUNCTION("""COMPUTED_VALUE"""),"HKD")</f>
        <v>HKD</v>
      </c>
      <c r="G710" s="83" t="str">
        <f ca="1">IFERROR(__xludf.DUMMYFUNCTION("""COMPUTED_VALUE"""),"0700.HK")</f>
        <v>0700.HK</v>
      </c>
      <c r="H710" s="81">
        <f ca="1">IFERROR(__xludf.DUMMYFUNCTION("""COMPUTED_VALUE"""),50)</f>
        <v>50</v>
      </c>
      <c r="I710" s="80"/>
    </row>
    <row r="711" spans="1:9" ht="13" x14ac:dyDescent="0.15">
      <c r="A711" s="5"/>
      <c r="B711" s="82">
        <f ca="1">IFERROR(__xludf.DUMMYFUNCTION("""COMPUTED_VALUE"""),44643.848833993)</f>
        <v>44643.848833992997</v>
      </c>
      <c r="C711" s="79" t="str">
        <f ca="1">IFERROR(__xludf.DUMMYFUNCTION("""COMPUTED_VALUE"""),"")</f>
        <v/>
      </c>
      <c r="D711" s="80" t="str">
        <f ca="1">IFERROR(__xludf.DUMMYFUNCTION("""COMPUTED_VALUE"""),"82533")</f>
        <v>82533</v>
      </c>
      <c r="E711" s="80" t="str">
        <f ca="1">IFERROR(__xludf.DUMMYFUNCTION("""COMPUTED_VALUE"""),"Stock")</f>
        <v>Stock</v>
      </c>
      <c r="F711" s="80" t="str">
        <f ca="1">IFERROR(__xludf.DUMMYFUNCTION("""COMPUTED_VALUE"""),"error")</f>
        <v>error</v>
      </c>
      <c r="G711" s="78" t="str">
        <f ca="1">IFERROR(__xludf.DUMMYFUNCTION("""COMPUTED_VALUE"""),"COIN")</f>
        <v>COIN</v>
      </c>
      <c r="H711" s="81">
        <f ca="1">IFERROR(__xludf.DUMMYFUNCTION("""COMPUTED_VALUE"""),100)</f>
        <v>100</v>
      </c>
      <c r="I711" s="80" t="str">
        <f ca="1">IFERROR(__xludf.DUMMYFUNCTION("""COMPUTED_VALUE"""),"Order rejected due to wrong password")</f>
        <v>Order rejected due to wrong password</v>
      </c>
    </row>
    <row r="712" spans="1:9" ht="13" x14ac:dyDescent="0.15">
      <c r="A712" s="5"/>
      <c r="B712" s="82">
        <f ca="1">IFERROR(__xludf.DUMMYFUNCTION("""COMPUTED_VALUE"""),44643.8526279629)</f>
        <v>44643.8526279629</v>
      </c>
      <c r="C712" s="79">
        <f ca="1">IFERROR(__xludf.DUMMYFUNCTION("""COMPUTED_VALUE"""),44643.6666666666)</f>
        <v>44643.666666666599</v>
      </c>
      <c r="D712" s="80" t="str">
        <f ca="1">IFERROR(__xludf.DUMMYFUNCTION("""COMPUTED_VALUE"""),"75973")</f>
        <v>75973</v>
      </c>
      <c r="E712" s="80" t="str">
        <f ca="1">IFERROR(__xludf.DUMMYFUNCTION("""COMPUTED_VALUE"""),"Bond")</f>
        <v>Bond</v>
      </c>
      <c r="F712" s="80" t="str">
        <f ca="1">IFERROR(__xludf.DUMMYFUNCTION("""COMPUTED_VALUE"""),"USD")</f>
        <v>USD</v>
      </c>
      <c r="G712" s="78" t="str">
        <f ca="1">IFERROR(__xludf.DUMMYFUNCTION("""COMPUTED_VALUE"""),"XS1974522853")</f>
        <v>XS1974522853</v>
      </c>
      <c r="H712" s="81">
        <f ca="1">IFERROR(__xludf.DUMMYFUNCTION("""COMPUTED_VALUE"""),17)</f>
        <v>17</v>
      </c>
      <c r="I712" s="80"/>
    </row>
    <row r="713" spans="1:9" ht="13" x14ac:dyDescent="0.15">
      <c r="A713" s="5"/>
      <c r="B713" s="82">
        <f ca="1">IFERROR(__xludf.DUMMYFUNCTION("""COMPUTED_VALUE"""),44643.8895978356)</f>
        <v>44643.889597835601</v>
      </c>
      <c r="C713" s="79">
        <f ca="1">IFERROR(__xludf.DUMMYFUNCTION("""COMPUTED_VALUE"""),44643.6666666666)</f>
        <v>44643.666666666599</v>
      </c>
      <c r="D713" s="80" t="str">
        <f ca="1">IFERROR(__xludf.DUMMYFUNCTION("""COMPUTED_VALUE"""),"38705")</f>
        <v>38705</v>
      </c>
      <c r="E713" s="80" t="str">
        <f ca="1">IFERROR(__xludf.DUMMYFUNCTION("""COMPUTED_VALUE"""),"Stock")</f>
        <v>Stock</v>
      </c>
      <c r="F713" s="80" t="str">
        <f ca="1">IFERROR(__xludf.DUMMYFUNCTION("""COMPUTED_VALUE"""),"USD")</f>
        <v>USD</v>
      </c>
      <c r="G713" s="78" t="str">
        <f ca="1">IFERROR(__xludf.DUMMYFUNCTION("""COMPUTED_VALUE"""),"UNP")</f>
        <v>UNP</v>
      </c>
      <c r="H713" s="81">
        <f ca="1">IFERROR(__xludf.DUMMYFUNCTION("""COMPUTED_VALUE"""),100)</f>
        <v>100</v>
      </c>
      <c r="I713" s="80"/>
    </row>
    <row r="714" spans="1:9" ht="13" x14ac:dyDescent="0.15">
      <c r="A714" s="5"/>
      <c r="B714" s="82">
        <f ca="1">IFERROR(__xludf.DUMMYFUNCTION("""COMPUTED_VALUE"""),44643.8931458564)</f>
        <v>44643.893145856397</v>
      </c>
      <c r="C714" s="79">
        <f ca="1">IFERROR(__xludf.DUMMYFUNCTION("""COMPUTED_VALUE"""),44643.6666666666)</f>
        <v>44643.666666666599</v>
      </c>
      <c r="D714" s="80" t="str">
        <f ca="1">IFERROR(__xludf.DUMMYFUNCTION("""COMPUTED_VALUE"""),"38705")</f>
        <v>38705</v>
      </c>
      <c r="E714" s="80" t="str">
        <f ca="1">IFERROR(__xludf.DUMMYFUNCTION("""COMPUTED_VALUE"""),"Stock")</f>
        <v>Stock</v>
      </c>
      <c r="F714" s="80" t="str">
        <f ca="1">IFERROR(__xludf.DUMMYFUNCTION("""COMPUTED_VALUE"""),"USD")</f>
        <v>USD</v>
      </c>
      <c r="G714" s="78" t="str">
        <f ca="1">IFERROR(__xludf.DUMMYFUNCTION("""COMPUTED_VALUE"""),"UNH")</f>
        <v>UNH</v>
      </c>
      <c r="H714" s="81">
        <f ca="1">IFERROR(__xludf.DUMMYFUNCTION("""COMPUTED_VALUE"""),50)</f>
        <v>50</v>
      </c>
      <c r="I714" s="80"/>
    </row>
    <row r="715" spans="1:9" ht="13" x14ac:dyDescent="0.15">
      <c r="A715" s="5"/>
      <c r="B715" s="82">
        <f ca="1">IFERROR(__xludf.DUMMYFUNCTION("""COMPUTED_VALUE"""),44643.9278390162)</f>
        <v>44643.9278390162</v>
      </c>
      <c r="C715" s="79" t="str">
        <f ca="1">IFERROR(__xludf.DUMMYFUNCTION("""COMPUTED_VALUE"""),"")</f>
        <v/>
      </c>
      <c r="D715" s="80" t="str">
        <f ca="1">IFERROR(__xludf.DUMMYFUNCTION("""COMPUTED_VALUE"""),"89833")</f>
        <v>89833</v>
      </c>
      <c r="E715" s="80" t="str">
        <f ca="1">IFERROR(__xludf.DUMMYFUNCTION("""COMPUTED_VALUE"""),"Stock")</f>
        <v>Stock</v>
      </c>
      <c r="F715" s="80" t="str">
        <f ca="1">IFERROR(__xludf.DUMMYFUNCTION("""COMPUTED_VALUE"""),"error")</f>
        <v>error</v>
      </c>
      <c r="G715" s="78" t="str">
        <f ca="1">IFERROR(__xludf.DUMMYFUNCTION("""COMPUTED_VALUE"""),"OXY ")</f>
        <v xml:space="preserve">OXY </v>
      </c>
      <c r="H715" s="81">
        <f ca="1">IFERROR(__xludf.DUMMYFUNCTION("""COMPUTED_VALUE"""),500)</f>
        <v>500</v>
      </c>
      <c r="I715" s="80" t="str">
        <f ca="1">IFERROR(__xludf.DUMMYFUNCTION("""COMPUTED_VALUE"""),"Order rejected due to non numeric character in limit box")</f>
        <v>Order rejected due to non numeric character in limit box</v>
      </c>
    </row>
    <row r="716" spans="1:9" ht="13" x14ac:dyDescent="0.15">
      <c r="A716" s="5"/>
      <c r="B716" s="82">
        <f ca="1">IFERROR(__xludf.DUMMYFUNCTION("""COMPUTED_VALUE"""),44643.9352793055)</f>
        <v>44643.9352793055</v>
      </c>
      <c r="C716" s="79" t="str">
        <f ca="1">IFERROR(__xludf.DUMMYFUNCTION("""COMPUTED_VALUE"""),"")</f>
        <v/>
      </c>
      <c r="D716" s="80" t="str">
        <f ca="1">IFERROR(__xludf.DUMMYFUNCTION("""COMPUTED_VALUE"""),"89833")</f>
        <v>89833</v>
      </c>
      <c r="E716" s="80" t="str">
        <f ca="1">IFERROR(__xludf.DUMMYFUNCTION("""COMPUTED_VALUE"""),"Stock")</f>
        <v>Stock</v>
      </c>
      <c r="F716" s="80" t="str">
        <f ca="1">IFERROR(__xludf.DUMMYFUNCTION("""COMPUTED_VALUE"""),"error")</f>
        <v>error</v>
      </c>
      <c r="G716" s="78" t="str">
        <f ca="1">IFERROR(__xludf.DUMMYFUNCTION("""COMPUTED_VALUE"""),"00700")</f>
        <v>00700</v>
      </c>
      <c r="H716" s="81">
        <f ca="1">IFERROR(__xludf.DUMMYFUNCTION("""COMPUTED_VALUE"""),200)</f>
        <v>200</v>
      </c>
      <c r="I716" s="80" t="str">
        <f ca="1">IFERROR(__xludf.DUMMYFUNCTION("""COMPUTED_VALUE"""),"Order rejected due to wrong ticker code")</f>
        <v>Order rejected due to wrong ticker code</v>
      </c>
    </row>
    <row r="717" spans="1:9" ht="13" x14ac:dyDescent="0.15">
      <c r="A717" s="5"/>
      <c r="B717" s="82">
        <f ca="1">IFERROR(__xludf.DUMMYFUNCTION("""COMPUTED_VALUE"""),44643.9674894907)</f>
        <v>44643.9674894907</v>
      </c>
      <c r="C717" s="79" t="str">
        <f ca="1">IFERROR(__xludf.DUMMYFUNCTION("""COMPUTED_VALUE"""),"")</f>
        <v/>
      </c>
      <c r="D717" s="80" t="str">
        <f ca="1">IFERROR(__xludf.DUMMYFUNCTION("""COMPUTED_VALUE"""),"82533")</f>
        <v>82533</v>
      </c>
      <c r="E717" s="80" t="str">
        <f ca="1">IFERROR(__xludf.DUMMYFUNCTION("""COMPUTED_VALUE"""),"Option")</f>
        <v>Option</v>
      </c>
      <c r="F717" s="80" t="str">
        <f ca="1">IFERROR(__xludf.DUMMYFUNCTION("""COMPUTED_VALUE"""),"error")</f>
        <v>error</v>
      </c>
      <c r="G717" s="78" t="str">
        <f ca="1">IFERROR(__xludf.DUMMYFUNCTION("""COMPUTED_VALUE"""),"TSLA220318C00005000")</f>
        <v>TSLA220318C00005000</v>
      </c>
      <c r="H717" s="81">
        <f ca="1">IFERROR(__xludf.DUMMYFUNCTION("""COMPUTED_VALUE"""),15)</f>
        <v>15</v>
      </c>
      <c r="I717" s="80" t="str">
        <f ca="1">IFERROR(__xludf.DUMMYFUNCTION("""COMPUTED_VALUE"""),"Order rejected due to wrong pasword")</f>
        <v>Order rejected due to wrong pasword</v>
      </c>
    </row>
    <row r="718" spans="1:9" ht="13" x14ac:dyDescent="0.15">
      <c r="A718" s="5"/>
      <c r="B718" s="82">
        <f ca="1">IFERROR(__xludf.DUMMYFUNCTION("""COMPUTED_VALUE"""),44643.9681064467)</f>
        <v>44643.9681064467</v>
      </c>
      <c r="C718" s="79" t="str">
        <f ca="1">IFERROR(__xludf.DUMMYFUNCTION("""COMPUTED_VALUE"""),"")</f>
        <v/>
      </c>
      <c r="D718" s="80" t="str">
        <f ca="1">IFERROR(__xludf.DUMMYFUNCTION("""COMPUTED_VALUE"""),"82533")</f>
        <v>82533</v>
      </c>
      <c r="E718" s="80" t="str">
        <f ca="1">IFERROR(__xludf.DUMMYFUNCTION("""COMPUTED_VALUE"""),"Stock")</f>
        <v>Stock</v>
      </c>
      <c r="F718" s="80" t="str">
        <f ca="1">IFERROR(__xludf.DUMMYFUNCTION("""COMPUTED_VALUE"""),"error")</f>
        <v>error</v>
      </c>
      <c r="G718" s="78" t="str">
        <f ca="1">IFERROR(__xludf.DUMMYFUNCTION("""COMPUTED_VALUE"""),"TSLA")</f>
        <v>TSLA</v>
      </c>
      <c r="H718" s="81">
        <f ca="1">IFERROR(__xludf.DUMMYFUNCTION("""COMPUTED_VALUE"""),10)</f>
        <v>10</v>
      </c>
      <c r="I718" s="80" t="str">
        <f ca="1">IFERROR(__xludf.DUMMYFUNCTION("""COMPUTED_VALUE"""),"Order rejected due to wrong pasword")</f>
        <v>Order rejected due to wrong pasword</v>
      </c>
    </row>
    <row r="719" spans="1:9" ht="13" x14ac:dyDescent="0.15">
      <c r="A719" s="5"/>
      <c r="B719" s="82">
        <f ca="1">IFERROR(__xludf.DUMMYFUNCTION("""COMPUTED_VALUE"""),44643.9685642824)</f>
        <v>44643.968564282397</v>
      </c>
      <c r="C719" s="79" t="str">
        <f ca="1">IFERROR(__xludf.DUMMYFUNCTION("""COMPUTED_VALUE"""),"")</f>
        <v/>
      </c>
      <c r="D719" s="80" t="str">
        <f ca="1">IFERROR(__xludf.DUMMYFUNCTION("""COMPUTED_VALUE"""),"82533")</f>
        <v>82533</v>
      </c>
      <c r="E719" s="80" t="str">
        <f ca="1">IFERROR(__xludf.DUMMYFUNCTION("""COMPUTED_VALUE"""),"Stock")</f>
        <v>Stock</v>
      </c>
      <c r="F719" s="80" t="str">
        <f ca="1">IFERROR(__xludf.DUMMYFUNCTION("""COMPUTED_VALUE"""),"error")</f>
        <v>error</v>
      </c>
      <c r="G719" s="78" t="str">
        <f ca="1">IFERROR(__xludf.DUMMYFUNCTION("""COMPUTED_VALUE"""),"COIN")</f>
        <v>COIN</v>
      </c>
      <c r="H719" s="81">
        <f ca="1">IFERROR(__xludf.DUMMYFUNCTION("""COMPUTED_VALUE"""),60)</f>
        <v>60</v>
      </c>
      <c r="I719" s="80" t="str">
        <f ca="1">IFERROR(__xludf.DUMMYFUNCTION("""COMPUTED_VALUE"""),"Order rejected due to wrong pasword")</f>
        <v>Order rejected due to wrong pasword</v>
      </c>
    </row>
    <row r="720" spans="1:9" ht="13" x14ac:dyDescent="0.15">
      <c r="A720" s="5"/>
      <c r="B720" s="82">
        <f ca="1">IFERROR(__xludf.DUMMYFUNCTION("""COMPUTED_VALUE"""),44643.9824229282)</f>
        <v>44643.982422928202</v>
      </c>
      <c r="C720" s="79">
        <f ca="1">IFERROR(__xludf.DUMMYFUNCTION("""COMPUTED_VALUE"""),44644.6666666666)</f>
        <v>44644.666666666599</v>
      </c>
      <c r="D720" s="80" t="str">
        <f ca="1">IFERROR(__xludf.DUMMYFUNCTION("""COMPUTED_VALUE"""),"46220")</f>
        <v>46220</v>
      </c>
      <c r="E720" s="80" t="str">
        <f ca="1">IFERROR(__xludf.DUMMYFUNCTION("""COMPUTED_VALUE"""),"Stock")</f>
        <v>Stock</v>
      </c>
      <c r="F720" s="80" t="str">
        <f ca="1">IFERROR(__xludf.DUMMYFUNCTION("""COMPUTED_VALUE"""),"HKD")</f>
        <v>HKD</v>
      </c>
      <c r="G720" s="83" t="str">
        <f ca="1">IFERROR(__xludf.DUMMYFUNCTION("""COMPUTED_VALUE"""),"9988.HK")</f>
        <v>9988.HK</v>
      </c>
      <c r="H720" s="81">
        <f ca="1">IFERROR(__xludf.DUMMYFUNCTION("""COMPUTED_VALUE"""),1)</f>
        <v>1</v>
      </c>
      <c r="I720" s="80"/>
    </row>
    <row r="721" spans="1:9" ht="13" x14ac:dyDescent="0.15">
      <c r="A721" s="5"/>
      <c r="B721" s="82">
        <f ca="1">IFERROR(__xludf.DUMMYFUNCTION("""COMPUTED_VALUE"""),44644.0000124768)</f>
        <v>44644.000012476798</v>
      </c>
      <c r="C721" s="79" t="str">
        <f ca="1">IFERROR(__xludf.DUMMYFUNCTION("""COMPUTED_VALUE"""),"")</f>
        <v/>
      </c>
      <c r="D721" s="80" t="str">
        <f ca="1">IFERROR(__xludf.DUMMYFUNCTION("""COMPUTED_VALUE"""),"36252")</f>
        <v>36252</v>
      </c>
      <c r="E721" s="80" t="str">
        <f ca="1">IFERROR(__xludf.DUMMYFUNCTION("""COMPUTED_VALUE"""),"Stock")</f>
        <v>Stock</v>
      </c>
      <c r="F721" s="80" t="str">
        <f ca="1">IFERROR(__xludf.DUMMYFUNCTION("""COMPUTED_VALUE"""),"error")</f>
        <v>error</v>
      </c>
      <c r="G721" s="83" t="str">
        <f ca="1">IFERROR(__xludf.DUMMYFUNCTION("""COMPUTED_VALUE"""),"0059.sz")</f>
        <v>0059.sz</v>
      </c>
      <c r="H721" s="81">
        <f ca="1">IFERROR(__xludf.DUMMYFUNCTION("""COMPUTED_VALUE"""),3000)</f>
        <v>3000</v>
      </c>
      <c r="I721" s="80" t="str">
        <f ca="1">IFERROR(__xludf.DUMMYFUNCTION("""COMPUTED_VALUE"""),"Order rejected due to wrong ticker code")</f>
        <v>Order rejected due to wrong ticker code</v>
      </c>
    </row>
    <row r="722" spans="1:9" ht="13" x14ac:dyDescent="0.15">
      <c r="A722" s="5"/>
      <c r="B722" s="82">
        <f ca="1">IFERROR(__xludf.DUMMYFUNCTION("""COMPUTED_VALUE"""),44644.0064272222)</f>
        <v>44644.006427222201</v>
      </c>
      <c r="C722" s="79" t="str">
        <f ca="1">IFERROR(__xludf.DUMMYFUNCTION("""COMPUTED_VALUE"""),"")</f>
        <v/>
      </c>
      <c r="D722" s="80" t="str">
        <f ca="1">IFERROR(__xludf.DUMMYFUNCTION("""COMPUTED_VALUE"""),"36252")</f>
        <v>36252</v>
      </c>
      <c r="E722" s="80" t="str">
        <f ca="1">IFERROR(__xludf.DUMMYFUNCTION("""COMPUTED_VALUE"""),"Stock")</f>
        <v>Stock</v>
      </c>
      <c r="F722" s="80" t="str">
        <f ca="1">IFERROR(__xludf.DUMMYFUNCTION("""COMPUTED_VALUE"""),"error")</f>
        <v>error</v>
      </c>
      <c r="G722" s="83" t="str">
        <f ca="1">IFERROR(__xludf.DUMMYFUNCTION("""COMPUTED_VALUE"""),"3261.sh")</f>
        <v>3261.sh</v>
      </c>
      <c r="H722" s="81">
        <f ca="1">IFERROR(__xludf.DUMMYFUNCTION("""COMPUTED_VALUE"""),2000)</f>
        <v>2000</v>
      </c>
      <c r="I722" s="80" t="str">
        <f ca="1">IFERROR(__xludf.DUMMYFUNCTION("""COMPUTED_VALUE"""),"Order rejected due to wrong ticker code")</f>
        <v>Order rejected due to wrong ticker code</v>
      </c>
    </row>
    <row r="723" spans="1:9" ht="13" x14ac:dyDescent="0.15">
      <c r="A723" s="5"/>
      <c r="B723" s="82">
        <f ca="1">IFERROR(__xludf.DUMMYFUNCTION("""COMPUTED_VALUE"""),44644.0462727199)</f>
        <v>44644.046272719897</v>
      </c>
      <c r="C723" s="79">
        <f ca="1">IFERROR(__xludf.DUMMYFUNCTION("""COMPUTED_VALUE"""),44643.6666666666)</f>
        <v>44643.666666666599</v>
      </c>
      <c r="D723" s="80" t="str">
        <f ca="1">IFERROR(__xludf.DUMMYFUNCTION("""COMPUTED_VALUE"""),"73542")</f>
        <v>73542</v>
      </c>
      <c r="E723" s="80" t="str">
        <f ca="1">IFERROR(__xludf.DUMMYFUNCTION("""COMPUTED_VALUE"""),"Stock")</f>
        <v>Stock</v>
      </c>
      <c r="F723" s="80" t="str">
        <f ca="1">IFERROR(__xludf.DUMMYFUNCTION("""COMPUTED_VALUE"""),"USD")</f>
        <v>USD</v>
      </c>
      <c r="G723" s="78" t="str">
        <f ca="1">IFERROR(__xludf.DUMMYFUNCTION("""COMPUTED_VALUE"""),"TSLA")</f>
        <v>TSLA</v>
      </c>
      <c r="H723" s="81">
        <f ca="1">IFERROR(__xludf.DUMMYFUNCTION("""COMPUTED_VALUE"""),12)</f>
        <v>12</v>
      </c>
      <c r="I723" s="80"/>
    </row>
    <row r="724" spans="1:9" ht="13" x14ac:dyDescent="0.15">
      <c r="A724" s="5"/>
      <c r="B724" s="82">
        <f ca="1">IFERROR(__xludf.DUMMYFUNCTION("""COMPUTED_VALUE"""),44644.0869992129)</f>
        <v>44644.086999212901</v>
      </c>
      <c r="C724" s="79">
        <f ca="1">IFERROR(__xludf.DUMMYFUNCTION("""COMPUTED_VALUE"""),44644.625)</f>
        <v>44644.625</v>
      </c>
      <c r="D724" s="80" t="str">
        <f ca="1">IFERROR(__xludf.DUMMYFUNCTION("""COMPUTED_VALUE"""),"75973")</f>
        <v>75973</v>
      </c>
      <c r="E724" s="80" t="str">
        <f ca="1">IFERROR(__xludf.DUMMYFUNCTION("""COMPUTED_VALUE"""),"Stock")</f>
        <v>Stock</v>
      </c>
      <c r="F724" s="80" t="str">
        <f ca="1">IFERROR(__xludf.DUMMYFUNCTION("""COMPUTED_VALUE"""),"CNY")</f>
        <v>CNY</v>
      </c>
      <c r="G724" s="83" t="str">
        <f ca="1">IFERROR(__xludf.DUMMYFUNCTION("""COMPUTED_VALUE"""),"600519.SS")</f>
        <v>600519.SS</v>
      </c>
      <c r="H724" s="81">
        <f ca="1">IFERROR(__xludf.DUMMYFUNCTION("""COMPUTED_VALUE"""),20)</f>
        <v>20</v>
      </c>
      <c r="I724" s="80"/>
    </row>
    <row r="725" spans="1:9" ht="13" x14ac:dyDescent="0.15">
      <c r="A725" s="5"/>
      <c r="B725" s="82">
        <f ca="1">IFERROR(__xludf.DUMMYFUNCTION("""COMPUTED_VALUE"""),44644.09405728)</f>
        <v>44644.094057280003</v>
      </c>
      <c r="C725" s="79">
        <f ca="1">IFERROR(__xludf.DUMMYFUNCTION("""COMPUTED_VALUE"""),44644.6666666666)</f>
        <v>44644.666666666599</v>
      </c>
      <c r="D725" s="80" t="str">
        <f ca="1">IFERROR(__xludf.DUMMYFUNCTION("""COMPUTED_VALUE"""),"75973")</f>
        <v>75973</v>
      </c>
      <c r="E725" s="80" t="str">
        <f ca="1">IFERROR(__xludf.DUMMYFUNCTION("""COMPUTED_VALUE"""),"Stock")</f>
        <v>Stock</v>
      </c>
      <c r="F725" s="80" t="str">
        <f ca="1">IFERROR(__xludf.DUMMYFUNCTION("""COMPUTED_VALUE"""),"HKD")</f>
        <v>HKD</v>
      </c>
      <c r="G725" s="83" t="str">
        <f ca="1">IFERROR(__xludf.DUMMYFUNCTION("""COMPUTED_VALUE"""),"1211.HK")</f>
        <v>1211.HK</v>
      </c>
      <c r="H725" s="81">
        <f ca="1">IFERROR(__xludf.DUMMYFUNCTION("""COMPUTED_VALUE"""),2000)</f>
        <v>2000</v>
      </c>
      <c r="I725" s="80"/>
    </row>
    <row r="726" spans="1:9" ht="13" x14ac:dyDescent="0.15">
      <c r="A726" s="5"/>
      <c r="B726" s="82">
        <f ca="1">IFERROR(__xludf.DUMMYFUNCTION("""COMPUTED_VALUE"""),44644.098679618)</f>
        <v>44644.098679618</v>
      </c>
      <c r="C726" s="79">
        <f ca="1">IFERROR(__xludf.DUMMYFUNCTION("""COMPUTED_VALUE"""),44644.6666666666)</f>
        <v>44644.666666666599</v>
      </c>
      <c r="D726" s="80" t="str">
        <f ca="1">IFERROR(__xludf.DUMMYFUNCTION("""COMPUTED_VALUE"""),"95516")</f>
        <v>95516</v>
      </c>
      <c r="E726" s="80" t="str">
        <f ca="1">IFERROR(__xludf.DUMMYFUNCTION("""COMPUTED_VALUE"""),"Stock")</f>
        <v>Stock</v>
      </c>
      <c r="F726" s="80" t="str">
        <f ca="1">IFERROR(__xludf.DUMMYFUNCTION("""COMPUTED_VALUE"""),"HKD")</f>
        <v>HKD</v>
      </c>
      <c r="G726" s="83" t="str">
        <f ca="1">IFERROR(__xludf.DUMMYFUNCTION("""COMPUTED_VALUE"""),"0968.HK")</f>
        <v>0968.HK</v>
      </c>
      <c r="H726" s="81">
        <f ca="1">IFERROR(__xludf.DUMMYFUNCTION("""COMPUTED_VALUE"""),10000)</f>
        <v>10000</v>
      </c>
      <c r="I726" s="80"/>
    </row>
    <row r="727" spans="1:9" ht="13" x14ac:dyDescent="0.15">
      <c r="A727" s="5"/>
      <c r="B727" s="82">
        <f ca="1">IFERROR(__xludf.DUMMYFUNCTION("""COMPUTED_VALUE"""),44644.1048517708)</f>
        <v>44644.104851770797</v>
      </c>
      <c r="C727" s="79">
        <f ca="1">IFERROR(__xludf.DUMMYFUNCTION("""COMPUTED_VALUE"""),44643.6666666666)</f>
        <v>44643.666666666599</v>
      </c>
      <c r="D727" s="80" t="str">
        <f ca="1">IFERROR(__xludf.DUMMYFUNCTION("""COMPUTED_VALUE"""),"89750")</f>
        <v>89750</v>
      </c>
      <c r="E727" s="80" t="str">
        <f ca="1">IFERROR(__xludf.DUMMYFUNCTION("""COMPUTED_VALUE"""),"Option")</f>
        <v>Option</v>
      </c>
      <c r="F727" s="80" t="str">
        <f ca="1">IFERROR(__xludf.DUMMYFUNCTION("""COMPUTED_VALUE"""),"USD")</f>
        <v>USD</v>
      </c>
      <c r="G727" s="78" t="str">
        <f ca="1">IFERROR(__xludf.DUMMYFUNCTION("""COMPUTED_VALUE"""),"NU220414C00006000")</f>
        <v>NU220414C00006000</v>
      </c>
      <c r="H727" s="81">
        <f ca="1">IFERROR(__xludf.DUMMYFUNCTION("""COMPUTED_VALUE"""),2)</f>
        <v>2</v>
      </c>
      <c r="I727" s="80"/>
    </row>
    <row r="728" spans="1:9" ht="13" x14ac:dyDescent="0.15">
      <c r="A728" s="5"/>
      <c r="B728" s="82">
        <f ca="1">IFERROR(__xludf.DUMMYFUNCTION("""COMPUTED_VALUE"""),44644.1053675)</f>
        <v>44644.1053675</v>
      </c>
      <c r="C728" s="79">
        <f ca="1">IFERROR(__xludf.DUMMYFUNCTION("""COMPUTED_VALUE"""),44643.6666666666)</f>
        <v>44643.666666666599</v>
      </c>
      <c r="D728" s="80" t="str">
        <f ca="1">IFERROR(__xludf.DUMMYFUNCTION("""COMPUTED_VALUE"""),"89750")</f>
        <v>89750</v>
      </c>
      <c r="E728" s="80" t="str">
        <f ca="1">IFERROR(__xludf.DUMMYFUNCTION("""COMPUTED_VALUE"""),"Stock")</f>
        <v>Stock</v>
      </c>
      <c r="F728" s="80" t="str">
        <f ca="1">IFERROR(__xludf.DUMMYFUNCTION("""COMPUTED_VALUE"""),"USD")</f>
        <v>USD</v>
      </c>
      <c r="G728" s="78" t="str">
        <f ca="1">IFERROR(__xludf.DUMMYFUNCTION("""COMPUTED_VALUE"""),"TCEHY")</f>
        <v>TCEHY</v>
      </c>
      <c r="H728" s="81">
        <f ca="1">IFERROR(__xludf.DUMMYFUNCTION("""COMPUTED_VALUE"""),100)</f>
        <v>100</v>
      </c>
      <c r="I728" s="80"/>
    </row>
    <row r="729" spans="1:9" ht="13" x14ac:dyDescent="0.15">
      <c r="A729" s="5"/>
      <c r="B729" s="82">
        <f ca="1">IFERROR(__xludf.DUMMYFUNCTION("""COMPUTED_VALUE"""),44644.3777747106)</f>
        <v>44644.3777747106</v>
      </c>
      <c r="C729" s="79" t="str">
        <f ca="1">IFERROR(__xludf.DUMMYFUNCTION("""COMPUTED_VALUE"""),"")</f>
        <v/>
      </c>
      <c r="D729" s="80" t="str">
        <f ca="1">IFERROR(__xludf.DUMMYFUNCTION("""COMPUTED_VALUE"""),"36252")</f>
        <v>36252</v>
      </c>
      <c r="E729" s="80" t="str">
        <f ca="1">IFERROR(__xludf.DUMMYFUNCTION("""COMPUTED_VALUE"""),"Stock")</f>
        <v>Stock</v>
      </c>
      <c r="F729" s="80" t="str">
        <f ca="1">IFERROR(__xludf.DUMMYFUNCTION("""COMPUTED_VALUE"""),"error")</f>
        <v>error</v>
      </c>
      <c r="G729" s="83" t="str">
        <f ca="1">IFERROR(__xludf.DUMMYFUNCTION("""COMPUTED_VALUE"""),"603261.sh")</f>
        <v>603261.sh</v>
      </c>
      <c r="H729" s="81">
        <f ca="1">IFERROR(__xludf.DUMMYFUNCTION("""COMPUTED_VALUE"""),2500)</f>
        <v>2500</v>
      </c>
      <c r="I729" s="80" t="str">
        <f ca="1">IFERROR(__xludf.DUMMYFUNCTION("""COMPUTED_VALUE"""),"Order rejected due to wrong ticker code")</f>
        <v>Order rejected due to wrong ticker code</v>
      </c>
    </row>
    <row r="730" spans="1:9" ht="13" x14ac:dyDescent="0.15">
      <c r="A730" s="5"/>
      <c r="B730" s="82">
        <f ca="1">IFERROR(__xludf.DUMMYFUNCTION("""COMPUTED_VALUE"""),44644.4230855092)</f>
        <v>44644.423085509203</v>
      </c>
      <c r="C730" s="79">
        <f ca="1">IFERROR(__xludf.DUMMYFUNCTION("""COMPUTED_VALUE"""),44644.625)</f>
        <v>44644.625</v>
      </c>
      <c r="D730" s="80" t="str">
        <f ca="1">IFERROR(__xludf.DUMMYFUNCTION("""COMPUTED_VALUE"""),"36252")</f>
        <v>36252</v>
      </c>
      <c r="E730" s="80" t="str">
        <f ca="1">IFERROR(__xludf.DUMMYFUNCTION("""COMPUTED_VALUE"""),"Stock")</f>
        <v>Stock</v>
      </c>
      <c r="F730" s="80" t="str">
        <f ca="1">IFERROR(__xludf.DUMMYFUNCTION("""COMPUTED_VALUE"""),"CNY")</f>
        <v>CNY</v>
      </c>
      <c r="G730" s="83" t="str">
        <f ca="1">IFERROR(__xludf.DUMMYFUNCTION("""COMPUTED_VALUE"""),"603261.SS")</f>
        <v>603261.SS</v>
      </c>
      <c r="H730" s="81">
        <f ca="1">IFERROR(__xludf.DUMMYFUNCTION("""COMPUTED_VALUE"""),3000)</f>
        <v>3000</v>
      </c>
      <c r="I730" s="80"/>
    </row>
    <row r="731" spans="1:9" ht="13" x14ac:dyDescent="0.15">
      <c r="A731" s="5"/>
      <c r="B731" s="82">
        <f ca="1">IFERROR(__xludf.DUMMYFUNCTION("""COMPUTED_VALUE"""),44644.4241107754)</f>
        <v>44644.424110775399</v>
      </c>
      <c r="C731" s="79">
        <f ca="1">IFERROR(__xludf.DUMMYFUNCTION("""COMPUTED_VALUE"""),44644.6666666666)</f>
        <v>44644.666666666599</v>
      </c>
      <c r="D731" s="80" t="str">
        <f ca="1">IFERROR(__xludf.DUMMYFUNCTION("""COMPUTED_VALUE"""),"75369")</f>
        <v>75369</v>
      </c>
      <c r="E731" s="80" t="str">
        <f ca="1">IFERROR(__xludf.DUMMYFUNCTION("""COMPUTED_VALUE"""),"Stock")</f>
        <v>Stock</v>
      </c>
      <c r="F731" s="80" t="str">
        <f ca="1">IFERROR(__xludf.DUMMYFUNCTION("""COMPUTED_VALUE"""),"HKD")</f>
        <v>HKD</v>
      </c>
      <c r="G731" s="83" t="str">
        <f ca="1">IFERROR(__xludf.DUMMYFUNCTION("""COMPUTED_VALUE"""),"0700.hk")</f>
        <v>0700.hk</v>
      </c>
      <c r="H731" s="81">
        <f ca="1">IFERROR(__xludf.DUMMYFUNCTION("""COMPUTED_VALUE"""),100)</f>
        <v>100</v>
      </c>
      <c r="I731" s="80"/>
    </row>
    <row r="732" spans="1:9" ht="13" x14ac:dyDescent="0.15">
      <c r="A732" s="5"/>
      <c r="B732" s="82">
        <f ca="1">IFERROR(__xludf.DUMMYFUNCTION("""COMPUTED_VALUE"""),44644.4254251967)</f>
        <v>44644.4254251967</v>
      </c>
      <c r="C732" s="79">
        <f ca="1">IFERROR(__xludf.DUMMYFUNCTION("""COMPUTED_VALUE"""),44644.6666666666)</f>
        <v>44644.666666666599</v>
      </c>
      <c r="D732" s="80" t="str">
        <f ca="1">IFERROR(__xludf.DUMMYFUNCTION("""COMPUTED_VALUE"""),"75369")</f>
        <v>75369</v>
      </c>
      <c r="E732" s="80" t="str">
        <f ca="1">IFERROR(__xludf.DUMMYFUNCTION("""COMPUTED_VALUE"""),"Stock")</f>
        <v>Stock</v>
      </c>
      <c r="F732" s="80" t="str">
        <f ca="1">IFERROR(__xludf.DUMMYFUNCTION("""COMPUTED_VALUE"""),"HKD")</f>
        <v>HKD</v>
      </c>
      <c r="G732" s="83" t="str">
        <f ca="1">IFERROR(__xludf.DUMMYFUNCTION("""COMPUTED_VALUE"""),"3690.hk")</f>
        <v>3690.hk</v>
      </c>
      <c r="H732" s="81">
        <f ca="1">IFERROR(__xludf.DUMMYFUNCTION("""COMPUTED_VALUE"""),200)</f>
        <v>200</v>
      </c>
      <c r="I732" s="80"/>
    </row>
    <row r="733" spans="1:9" ht="13" x14ac:dyDescent="0.15">
      <c r="A733" s="5"/>
      <c r="B733" s="82">
        <f ca="1">IFERROR(__xludf.DUMMYFUNCTION("""COMPUTED_VALUE"""),44644.4309890046)</f>
        <v>44644.430989004599</v>
      </c>
      <c r="C733" s="79">
        <f ca="1">IFERROR(__xludf.DUMMYFUNCTION("""COMPUTED_VALUE"""),44644.6666666666)</f>
        <v>44644.666666666599</v>
      </c>
      <c r="D733" s="80" t="str">
        <f ca="1">IFERROR(__xludf.DUMMYFUNCTION("""COMPUTED_VALUE"""),"75369")</f>
        <v>75369</v>
      </c>
      <c r="E733" s="80" t="str">
        <f ca="1">IFERROR(__xludf.DUMMYFUNCTION("""COMPUTED_VALUE"""),"Stock")</f>
        <v>Stock</v>
      </c>
      <c r="F733" s="80" t="str">
        <f ca="1">IFERROR(__xludf.DUMMYFUNCTION("""COMPUTED_VALUE"""),"USD")</f>
        <v>USD</v>
      </c>
      <c r="G733" s="78" t="str">
        <f ca="1">IFERROR(__xludf.DUMMYFUNCTION("""COMPUTED_VALUE"""),"TSLA")</f>
        <v>TSLA</v>
      </c>
      <c r="H733" s="81">
        <f ca="1">IFERROR(__xludf.DUMMYFUNCTION("""COMPUTED_VALUE"""),100)</f>
        <v>100</v>
      </c>
      <c r="I733" s="80"/>
    </row>
    <row r="734" spans="1:9" ht="13" x14ac:dyDescent="0.15">
      <c r="A734" s="5"/>
      <c r="B734" s="82">
        <f ca="1">IFERROR(__xludf.DUMMYFUNCTION("""COMPUTED_VALUE"""),44644.4332588541)</f>
        <v>44644.4332588541</v>
      </c>
      <c r="C734" s="79">
        <f ca="1">IFERROR(__xludf.DUMMYFUNCTION("""COMPUTED_VALUE"""),44644.6666666666)</f>
        <v>44644.666666666599</v>
      </c>
      <c r="D734" s="80" t="str">
        <f ca="1">IFERROR(__xludf.DUMMYFUNCTION("""COMPUTED_VALUE"""),"36252")</f>
        <v>36252</v>
      </c>
      <c r="E734" s="80" t="str">
        <f ca="1">IFERROR(__xludf.DUMMYFUNCTION("""COMPUTED_VALUE"""),"Stock")</f>
        <v>Stock</v>
      </c>
      <c r="F734" s="80" t="str">
        <f ca="1">IFERROR(__xludf.DUMMYFUNCTION("""COMPUTED_VALUE"""),"HKD")</f>
        <v>HKD</v>
      </c>
      <c r="G734" s="83" t="str">
        <f ca="1">IFERROR(__xludf.DUMMYFUNCTION("""COMPUTED_VALUE"""),"0346.hk")</f>
        <v>0346.hk</v>
      </c>
      <c r="H734" s="81">
        <f ca="1">IFERROR(__xludf.DUMMYFUNCTION("""COMPUTED_VALUE"""),500000)</f>
        <v>500000</v>
      </c>
      <c r="I734" s="80"/>
    </row>
    <row r="735" spans="1:9" ht="13" x14ac:dyDescent="0.15">
      <c r="A735" s="5"/>
      <c r="B735" s="82">
        <f ca="1">IFERROR(__xludf.DUMMYFUNCTION("""COMPUTED_VALUE"""),44644.4419681597)</f>
        <v>44644.441968159699</v>
      </c>
      <c r="C735" s="79"/>
      <c r="D735" s="80"/>
      <c r="E735" s="80" t="str">
        <f ca="1">IFERROR(__xludf.DUMMYFUNCTION("""COMPUTED_VALUE"""),"Stock")</f>
        <v>Stock</v>
      </c>
      <c r="F735" s="80"/>
      <c r="G735" s="78" t="str">
        <f ca="1">IFERROR(__xludf.DUMMYFUNCTION("""COMPUTED_VALUE"""),"BA")</f>
        <v>BA</v>
      </c>
      <c r="H735" s="81"/>
      <c r="I735" s="80"/>
    </row>
    <row r="736" spans="1:9" ht="13" x14ac:dyDescent="0.15">
      <c r="A736" s="5"/>
      <c r="B736" s="82">
        <f ca="1">IFERROR(__xludf.DUMMYFUNCTION("""COMPUTED_VALUE"""),44644.4834218518)</f>
        <v>44644.483421851801</v>
      </c>
      <c r="C736" s="79"/>
      <c r="D736" s="80"/>
      <c r="E736" s="80" t="str">
        <f ca="1">IFERROR(__xludf.DUMMYFUNCTION("""COMPUTED_VALUE"""),"Stock")</f>
        <v>Stock</v>
      </c>
      <c r="F736" s="80"/>
      <c r="G736" s="83" t="str">
        <f ca="1">IFERROR(__xludf.DUMMYFUNCTION("""COMPUTED_VALUE"""),"0853.HK")</f>
        <v>0853.HK</v>
      </c>
      <c r="H736" s="81"/>
      <c r="I736" s="80"/>
    </row>
    <row r="737" spans="1:9" ht="13" x14ac:dyDescent="0.15">
      <c r="A737" s="5"/>
      <c r="B737" s="82">
        <f ca="1">IFERROR(__xludf.DUMMYFUNCTION("""COMPUTED_VALUE"""),44644.4860980092)</f>
        <v>44644.486098009198</v>
      </c>
      <c r="C737" s="79"/>
      <c r="D737" s="80"/>
      <c r="E737" s="80" t="str">
        <f ca="1">IFERROR(__xludf.DUMMYFUNCTION("""COMPUTED_VALUE"""),"Stock")</f>
        <v>Stock</v>
      </c>
      <c r="F737" s="80"/>
      <c r="G737" s="78" t="str">
        <f ca="1">IFERROR(__xludf.DUMMYFUNCTION("""COMPUTED_VALUE"""),"NIO")</f>
        <v>NIO</v>
      </c>
      <c r="H737" s="81"/>
      <c r="I737" s="80"/>
    </row>
    <row r="738" spans="1:9" ht="13" x14ac:dyDescent="0.15">
      <c r="A738" s="5"/>
      <c r="B738" s="82">
        <f ca="1">IFERROR(__xludf.DUMMYFUNCTION("""COMPUTED_VALUE"""),44644.54957853)</f>
        <v>44644.549578530001</v>
      </c>
      <c r="C738" s="79"/>
      <c r="D738" s="80"/>
      <c r="E738" s="80" t="str">
        <f ca="1">IFERROR(__xludf.DUMMYFUNCTION("""COMPUTED_VALUE"""),"Stock")</f>
        <v>Stock</v>
      </c>
      <c r="F738" s="80"/>
      <c r="G738" s="78">
        <f ca="1">IFERROR(__xludf.DUMMYFUNCTION("""COMPUTED_VALUE"""),990613)</f>
        <v>990613</v>
      </c>
      <c r="H738" s="81"/>
      <c r="I738" s="80"/>
    </row>
    <row r="739" spans="1:9" ht="13" x14ac:dyDescent="0.15">
      <c r="A739" s="5"/>
      <c r="B739" s="82">
        <f ca="1">IFERROR(__xludf.DUMMYFUNCTION("""COMPUTED_VALUE"""),44644.5515519097)</f>
        <v>44644.551551909703</v>
      </c>
      <c r="C739" s="79"/>
      <c r="D739" s="80"/>
      <c r="E739" s="80" t="str">
        <f ca="1">IFERROR(__xludf.DUMMYFUNCTION("""COMPUTED_VALUE"""),"Stock")</f>
        <v>Stock</v>
      </c>
      <c r="F739" s="80"/>
      <c r="G739" s="83" t="str">
        <f ca="1">IFERROR(__xludf.DUMMYFUNCTION("""COMPUTED_VALUE"""),"0708.hk")</f>
        <v>0708.hk</v>
      </c>
      <c r="H739" s="81"/>
      <c r="I739" s="80"/>
    </row>
    <row r="740" spans="1:9" ht="13" x14ac:dyDescent="0.15">
      <c r="A740" s="5"/>
      <c r="B740" s="82">
        <f ca="1">IFERROR(__xludf.DUMMYFUNCTION("""COMPUTED_VALUE"""),44644.5564500462)</f>
        <v>44644.556450046199</v>
      </c>
      <c r="C740" s="79"/>
      <c r="D740" s="80"/>
      <c r="E740" s="80" t="str">
        <f ca="1">IFERROR(__xludf.DUMMYFUNCTION("""COMPUTED_VALUE"""),"Stock")</f>
        <v>Stock</v>
      </c>
      <c r="F740" s="80"/>
      <c r="G740" s="83" t="str">
        <f ca="1">IFERROR(__xludf.DUMMYFUNCTION("""COMPUTED_VALUE"""),"0708.HK")</f>
        <v>0708.HK</v>
      </c>
      <c r="H740" s="81"/>
      <c r="I740" s="80"/>
    </row>
    <row r="741" spans="1:9" ht="13" x14ac:dyDescent="0.15">
      <c r="A741" s="5"/>
      <c r="B741" s="82">
        <f ca="1">IFERROR(__xludf.DUMMYFUNCTION("""COMPUTED_VALUE"""),44644.563640868)</f>
        <v>44644.563640868</v>
      </c>
      <c r="C741" s="79"/>
      <c r="D741" s="80"/>
      <c r="E741" s="80" t="str">
        <f ca="1">IFERROR(__xludf.DUMMYFUNCTION("""COMPUTED_VALUE"""),"Stock")</f>
        <v>Stock</v>
      </c>
      <c r="F741" s="80"/>
      <c r="G741" s="78" t="str">
        <f ca="1">IFERROR(__xludf.DUMMYFUNCTION("""COMPUTED_VALUE"""),"CLOV")</f>
        <v>CLOV</v>
      </c>
      <c r="H741" s="81"/>
      <c r="I741" s="80"/>
    </row>
    <row r="742" spans="1:9" ht="13" x14ac:dyDescent="0.15">
      <c r="A742" s="5"/>
      <c r="B742" s="82">
        <f ca="1">IFERROR(__xludf.DUMMYFUNCTION("""COMPUTED_VALUE"""),44644.5655189583)</f>
        <v>44644.565518958298</v>
      </c>
      <c r="C742" s="79"/>
      <c r="D742" s="80"/>
      <c r="E742" s="80" t="str">
        <f ca="1">IFERROR(__xludf.DUMMYFUNCTION("""COMPUTED_VALUE"""),"Stock")</f>
        <v>Stock</v>
      </c>
      <c r="F742" s="80"/>
      <c r="G742" s="83" t="str">
        <f ca="1">IFERROR(__xludf.DUMMYFUNCTION("""COMPUTED_VALUE"""),"0853.HK")</f>
        <v>0853.HK</v>
      </c>
      <c r="H742" s="81"/>
      <c r="I742" s="80"/>
    </row>
    <row r="743" spans="1:9" ht="13" x14ac:dyDescent="0.15">
      <c r="A743" s="5"/>
      <c r="B743" s="82">
        <f ca="1">IFERROR(__xludf.DUMMYFUNCTION("""COMPUTED_VALUE"""),44644.5722377083)</f>
        <v>44644.5722377083</v>
      </c>
      <c r="C743" s="79"/>
      <c r="D743" s="80"/>
      <c r="E743" s="80" t="str">
        <f ca="1">IFERROR(__xludf.DUMMYFUNCTION("""COMPUTED_VALUE"""),"Stock")</f>
        <v>Stock</v>
      </c>
      <c r="F743" s="80"/>
      <c r="G743" s="83" t="str">
        <f ca="1">IFERROR(__xludf.DUMMYFUNCTION("""COMPUTED_VALUE"""),"9988.HK")</f>
        <v>9988.HK</v>
      </c>
      <c r="H743" s="81"/>
      <c r="I743" s="80"/>
    </row>
    <row r="744" spans="1:9" ht="13" x14ac:dyDescent="0.15">
      <c r="A744" s="5"/>
      <c r="B744" s="82">
        <f ca="1">IFERROR(__xludf.DUMMYFUNCTION("""COMPUTED_VALUE"""),44644.5741196296)</f>
        <v>44644.5741196296</v>
      </c>
      <c r="C744" s="79"/>
      <c r="D744" s="80"/>
      <c r="E744" s="80" t="str">
        <f ca="1">IFERROR(__xludf.DUMMYFUNCTION("""COMPUTED_VALUE"""),"Stock")</f>
        <v>Stock</v>
      </c>
      <c r="F744" s="80"/>
      <c r="G744" s="83" t="str">
        <f ca="1">IFERROR(__xludf.DUMMYFUNCTION("""COMPUTED_VALUE"""),"0700.HK")</f>
        <v>0700.HK</v>
      </c>
      <c r="H744" s="81"/>
      <c r="I744" s="80"/>
    </row>
    <row r="745" spans="1:9" ht="13" x14ac:dyDescent="0.15">
      <c r="A745" s="5"/>
      <c r="B745" s="82">
        <f ca="1">IFERROR(__xludf.DUMMYFUNCTION("""COMPUTED_VALUE"""),44644.584316655)</f>
        <v>44644.584316654997</v>
      </c>
      <c r="C745" s="79"/>
      <c r="D745" s="80"/>
      <c r="E745" s="80" t="str">
        <f ca="1">IFERROR(__xludf.DUMMYFUNCTION("""COMPUTED_VALUE"""),"Stock")</f>
        <v>Stock</v>
      </c>
      <c r="F745" s="80"/>
      <c r="G745" s="78" t="str">
        <f ca="1">IFERROR(__xludf.DUMMYFUNCTION("""COMPUTED_VALUE"""),"NKE")</f>
        <v>NKE</v>
      </c>
      <c r="H745" s="81"/>
      <c r="I745" s="80"/>
    </row>
    <row r="746" spans="1:9" ht="13" x14ac:dyDescent="0.15">
      <c r="A746" s="5"/>
      <c r="B746" s="82">
        <f ca="1">IFERROR(__xludf.DUMMYFUNCTION("""COMPUTED_VALUE"""),44644.5855663078)</f>
        <v>44644.585566307796</v>
      </c>
      <c r="C746" s="79"/>
      <c r="D746" s="80"/>
      <c r="E746" s="80" t="str">
        <f ca="1">IFERROR(__xludf.DUMMYFUNCTION("""COMPUTED_VALUE"""),"Stock")</f>
        <v>Stock</v>
      </c>
      <c r="F746" s="80"/>
      <c r="G746" s="78" t="str">
        <f ca="1">IFERROR(__xludf.DUMMYFUNCTION("""COMPUTED_VALUE"""),"TSLA")</f>
        <v>TSLA</v>
      </c>
      <c r="H746" s="81"/>
      <c r="I746" s="80"/>
    </row>
    <row r="747" spans="1:9" ht="13" x14ac:dyDescent="0.15">
      <c r="A747" s="5"/>
      <c r="B747" s="82">
        <f ca="1">IFERROR(__xludf.DUMMYFUNCTION("""COMPUTED_VALUE"""),44644.5931770833)</f>
        <v>44644.593177083298</v>
      </c>
      <c r="C747" s="79"/>
      <c r="D747" s="80"/>
      <c r="E747" s="80" t="str">
        <f ca="1">IFERROR(__xludf.DUMMYFUNCTION("""COMPUTED_VALUE"""),"Stock")</f>
        <v>Stock</v>
      </c>
      <c r="F747" s="80"/>
      <c r="G747" s="83" t="str">
        <f ca="1">IFERROR(__xludf.DUMMYFUNCTION("""COMPUTED_VALUE"""),"2800.HK")</f>
        <v>2800.HK</v>
      </c>
      <c r="H747" s="81"/>
      <c r="I747" s="80"/>
    </row>
    <row r="748" spans="1:9" ht="13" x14ac:dyDescent="0.15">
      <c r="A748" s="5"/>
      <c r="B748" s="82">
        <f ca="1">IFERROR(__xludf.DUMMYFUNCTION("""COMPUTED_VALUE"""),44644.5944612152)</f>
        <v>44644.594461215202</v>
      </c>
      <c r="C748" s="79"/>
      <c r="D748" s="80"/>
      <c r="E748" s="80" t="str">
        <f ca="1">IFERROR(__xludf.DUMMYFUNCTION("""COMPUTED_VALUE"""),"Stock")</f>
        <v>Stock</v>
      </c>
      <c r="F748" s="80"/>
      <c r="G748" s="83" t="str">
        <f ca="1">IFERROR(__xludf.DUMMYFUNCTION("""COMPUTED_VALUE"""),"2800.HK")</f>
        <v>2800.HK</v>
      </c>
      <c r="H748" s="81"/>
      <c r="I748" s="80"/>
    </row>
    <row r="749" spans="1:9" ht="13" x14ac:dyDescent="0.15">
      <c r="A749" s="5"/>
      <c r="B749" s="82">
        <f ca="1">IFERROR(__xludf.DUMMYFUNCTION("""COMPUTED_VALUE"""),44644.604216331)</f>
        <v>44644.604216330998</v>
      </c>
      <c r="C749" s="79"/>
      <c r="D749" s="80"/>
      <c r="E749" s="80" t="str">
        <f ca="1">IFERROR(__xludf.DUMMYFUNCTION("""COMPUTED_VALUE"""),"Stock")</f>
        <v>Stock</v>
      </c>
      <c r="F749" s="80"/>
      <c r="G749" s="83" t="str">
        <f ca="1">IFERROR(__xludf.DUMMYFUNCTION("""COMPUTED_VALUE"""),"1810.HK")</f>
        <v>1810.HK</v>
      </c>
      <c r="H749" s="81"/>
      <c r="I749" s="80"/>
    </row>
    <row r="750" spans="1:9" ht="13" x14ac:dyDescent="0.15">
      <c r="A750" s="5"/>
      <c r="B750" s="82">
        <f ca="1">IFERROR(__xludf.DUMMYFUNCTION("""COMPUTED_VALUE"""),44644.6054888773)</f>
        <v>44644.6054888773</v>
      </c>
      <c r="C750" s="79"/>
      <c r="D750" s="80"/>
      <c r="E750" s="80" t="str">
        <f ca="1">IFERROR(__xludf.DUMMYFUNCTION("""COMPUTED_VALUE"""),"Stock")</f>
        <v>Stock</v>
      </c>
      <c r="F750" s="80"/>
      <c r="G750" s="83" t="str">
        <f ca="1">IFERROR(__xludf.DUMMYFUNCTION("""COMPUTED_VALUE"""),"6862.HK")</f>
        <v>6862.HK</v>
      </c>
      <c r="H750" s="81"/>
      <c r="I750" s="80"/>
    </row>
    <row r="751" spans="1:9" ht="13" x14ac:dyDescent="0.15">
      <c r="A751" s="5"/>
      <c r="B751" s="82">
        <f ca="1">IFERROR(__xludf.DUMMYFUNCTION("""COMPUTED_VALUE"""),44644.6114713657)</f>
        <v>44644.611471365701</v>
      </c>
      <c r="C751" s="79"/>
      <c r="D751" s="80"/>
      <c r="E751" s="80" t="str">
        <f ca="1">IFERROR(__xludf.DUMMYFUNCTION("""COMPUTED_VALUE"""),"Stock")</f>
        <v>Stock</v>
      </c>
      <c r="F751" s="80"/>
      <c r="G751" s="83" t="str">
        <f ca="1">IFERROR(__xludf.DUMMYFUNCTION("""COMPUTED_VALUE"""),"0700.HK")</f>
        <v>0700.HK</v>
      </c>
      <c r="H751" s="81"/>
      <c r="I751" s="80"/>
    </row>
    <row r="752" spans="1:9" ht="13" x14ac:dyDescent="0.15">
      <c r="A752" s="5"/>
      <c r="B752" s="82">
        <f ca="1">IFERROR(__xludf.DUMMYFUNCTION("""COMPUTED_VALUE"""),44644.61731103)</f>
        <v>44644.617311030001</v>
      </c>
      <c r="C752" s="79"/>
      <c r="D752" s="80"/>
      <c r="E752" s="80" t="str">
        <f ca="1">IFERROR(__xludf.DUMMYFUNCTION("""COMPUTED_VALUE"""),"Stock")</f>
        <v>Stock</v>
      </c>
      <c r="F752" s="80"/>
      <c r="G752" s="83" t="str">
        <f ca="1">IFERROR(__xludf.DUMMYFUNCTION("""COMPUTED_VALUE"""),"9868.HK")</f>
        <v>9868.HK</v>
      </c>
      <c r="H752" s="81"/>
      <c r="I752" s="80"/>
    </row>
    <row r="753" spans="2:9" ht="13" x14ac:dyDescent="0.15">
      <c r="B753" s="82"/>
      <c r="C753" s="79"/>
      <c r="D753" s="80"/>
      <c r="E753" s="80"/>
      <c r="F753" s="80"/>
      <c r="G753" s="78"/>
      <c r="H753" s="81"/>
      <c r="I753" s="80"/>
    </row>
    <row r="754" spans="2:9" ht="13" x14ac:dyDescent="0.15">
      <c r="B754" s="82"/>
      <c r="C754" s="79"/>
      <c r="D754" s="80"/>
      <c r="E754" s="80"/>
      <c r="F754" s="80"/>
      <c r="G754" s="78"/>
      <c r="H754" s="81"/>
      <c r="I754" s="80"/>
    </row>
    <row r="755" spans="2:9" ht="13" x14ac:dyDescent="0.15">
      <c r="B755" s="82"/>
      <c r="C755" s="79"/>
      <c r="D755" s="80"/>
      <c r="E755" s="80"/>
      <c r="F755" s="80"/>
      <c r="G755" s="78"/>
      <c r="H755" s="81"/>
      <c r="I755" s="80"/>
    </row>
    <row r="756" spans="2:9" ht="13" x14ac:dyDescent="0.15">
      <c r="B756" s="82"/>
      <c r="C756" s="79"/>
      <c r="D756" s="80"/>
      <c r="E756" s="80"/>
      <c r="F756" s="80"/>
      <c r="G756" s="78"/>
      <c r="H756" s="81"/>
      <c r="I756" s="80"/>
    </row>
    <row r="757" spans="2:9" ht="13" x14ac:dyDescent="0.15">
      <c r="B757" s="82"/>
      <c r="C757" s="79"/>
      <c r="D757" s="80"/>
      <c r="E757" s="80"/>
      <c r="F757" s="80"/>
      <c r="G757" s="78"/>
      <c r="H757" s="81"/>
      <c r="I757" s="80"/>
    </row>
    <row r="758" spans="2:9" ht="13" x14ac:dyDescent="0.15">
      <c r="B758" s="82"/>
      <c r="C758" s="79"/>
      <c r="D758" s="80"/>
      <c r="E758" s="80"/>
      <c r="F758" s="80"/>
      <c r="G758" s="78"/>
      <c r="H758" s="81"/>
      <c r="I758" s="80"/>
    </row>
    <row r="759" spans="2:9" ht="13" x14ac:dyDescent="0.15">
      <c r="B759" s="82"/>
      <c r="C759" s="79"/>
      <c r="D759" s="80"/>
      <c r="E759" s="80"/>
      <c r="F759" s="80"/>
      <c r="G759" s="78"/>
      <c r="H759" s="81"/>
      <c r="I759" s="80"/>
    </row>
    <row r="760" spans="2:9" ht="13" x14ac:dyDescent="0.15">
      <c r="B760" s="82"/>
      <c r="C760" s="79"/>
      <c r="D760" s="80"/>
      <c r="E760" s="80"/>
      <c r="F760" s="80"/>
      <c r="G760" s="78"/>
      <c r="H760" s="81"/>
      <c r="I760" s="80"/>
    </row>
    <row r="761" spans="2:9" ht="13" x14ac:dyDescent="0.15">
      <c r="B761" s="82"/>
      <c r="C761" s="79"/>
      <c r="D761" s="80"/>
      <c r="E761" s="80"/>
      <c r="F761" s="80"/>
      <c r="G761" s="78"/>
      <c r="H761" s="81"/>
      <c r="I761" s="80"/>
    </row>
    <row r="762" spans="2:9" ht="13" x14ac:dyDescent="0.15">
      <c r="B762" s="82"/>
      <c r="C762" s="79"/>
      <c r="D762" s="80"/>
      <c r="E762" s="80"/>
      <c r="F762" s="80"/>
      <c r="G762" s="78"/>
      <c r="H762" s="81"/>
      <c r="I762" s="80"/>
    </row>
    <row r="763" spans="2:9" ht="13" x14ac:dyDescent="0.15">
      <c r="B763" s="82"/>
      <c r="C763" s="79"/>
      <c r="D763" s="80"/>
      <c r="E763" s="80"/>
      <c r="F763" s="80"/>
      <c r="G763" s="78"/>
      <c r="H763" s="81"/>
      <c r="I763" s="80"/>
    </row>
    <row r="764" spans="2:9" ht="13" x14ac:dyDescent="0.15">
      <c r="B764" s="82"/>
      <c r="C764" s="79"/>
      <c r="D764" s="80"/>
      <c r="E764" s="80"/>
      <c r="F764" s="80"/>
      <c r="G764" s="78"/>
      <c r="H764" s="81"/>
      <c r="I764" s="80"/>
    </row>
    <row r="765" spans="2:9" ht="13" x14ac:dyDescent="0.15">
      <c r="B765" s="82"/>
      <c r="C765" s="79"/>
      <c r="D765" s="80"/>
      <c r="E765" s="80"/>
      <c r="F765" s="80"/>
      <c r="G765" s="78"/>
      <c r="H765" s="81"/>
      <c r="I765" s="80"/>
    </row>
    <row r="766" spans="2:9" ht="13" x14ac:dyDescent="0.15">
      <c r="B766" s="82"/>
      <c r="C766" s="79"/>
      <c r="D766" s="80"/>
      <c r="E766" s="80"/>
      <c r="F766" s="80"/>
      <c r="G766" s="78"/>
      <c r="H766" s="81"/>
      <c r="I766" s="80"/>
    </row>
    <row r="767" spans="2:9" ht="13" x14ac:dyDescent="0.15">
      <c r="B767" s="82"/>
      <c r="C767" s="79"/>
      <c r="D767" s="80"/>
      <c r="E767" s="80"/>
      <c r="F767" s="80"/>
      <c r="G767" s="78"/>
      <c r="H767" s="81"/>
      <c r="I767" s="80"/>
    </row>
    <row r="768" spans="2:9" ht="13" x14ac:dyDescent="0.15">
      <c r="B768" s="82"/>
      <c r="C768" s="79"/>
      <c r="D768" s="80"/>
      <c r="E768" s="80"/>
      <c r="F768" s="80"/>
      <c r="G768" s="78"/>
      <c r="H768" s="81"/>
      <c r="I768" s="80"/>
    </row>
    <row r="769" spans="2:9" ht="13" x14ac:dyDescent="0.15">
      <c r="B769" s="82"/>
      <c r="C769" s="79"/>
      <c r="D769" s="80"/>
      <c r="E769" s="80"/>
      <c r="F769" s="80"/>
      <c r="G769" s="78"/>
      <c r="H769" s="81"/>
      <c r="I769" s="80"/>
    </row>
    <row r="770" spans="2:9" ht="13" x14ac:dyDescent="0.15">
      <c r="B770" s="82"/>
      <c r="C770" s="79"/>
      <c r="D770" s="80"/>
      <c r="E770" s="80"/>
      <c r="F770" s="80"/>
      <c r="G770" s="78"/>
      <c r="H770" s="81"/>
      <c r="I770" s="80"/>
    </row>
    <row r="771" spans="2:9" ht="13" x14ac:dyDescent="0.15">
      <c r="B771" s="82"/>
      <c r="C771" s="79"/>
      <c r="D771" s="80"/>
      <c r="E771" s="80"/>
      <c r="F771" s="80"/>
      <c r="G771" s="78"/>
      <c r="H771" s="81"/>
      <c r="I771" s="80"/>
    </row>
    <row r="772" spans="2:9" ht="13" x14ac:dyDescent="0.15">
      <c r="B772" s="82"/>
      <c r="C772" s="79"/>
      <c r="D772" s="80"/>
      <c r="E772" s="80"/>
      <c r="F772" s="80"/>
      <c r="G772" s="78"/>
      <c r="H772" s="81"/>
      <c r="I772" s="80"/>
    </row>
    <row r="773" spans="2:9" ht="13" x14ac:dyDescent="0.15">
      <c r="B773" s="82"/>
      <c r="C773" s="79"/>
      <c r="D773" s="80"/>
      <c r="E773" s="80"/>
      <c r="F773" s="80"/>
      <c r="G773" s="78"/>
      <c r="H773" s="81"/>
      <c r="I773" s="80"/>
    </row>
    <row r="774" spans="2:9" ht="13" x14ac:dyDescent="0.15">
      <c r="B774" s="82"/>
      <c r="C774" s="79"/>
      <c r="D774" s="80"/>
      <c r="E774" s="80"/>
      <c r="F774" s="80"/>
      <c r="G774" s="78"/>
      <c r="H774" s="81"/>
      <c r="I774" s="80"/>
    </row>
    <row r="775" spans="2:9" ht="13" x14ac:dyDescent="0.15">
      <c r="B775" s="82"/>
      <c r="C775" s="79"/>
      <c r="D775" s="80"/>
      <c r="E775" s="80"/>
      <c r="F775" s="80"/>
      <c r="G775" s="78"/>
      <c r="H775" s="81"/>
      <c r="I775" s="80"/>
    </row>
    <row r="776" spans="2:9" ht="13" x14ac:dyDescent="0.15">
      <c r="B776" s="82"/>
      <c r="C776" s="79"/>
      <c r="D776" s="80"/>
      <c r="E776" s="80"/>
      <c r="F776" s="80"/>
      <c r="G776" s="78"/>
      <c r="H776" s="81"/>
      <c r="I776" s="80"/>
    </row>
    <row r="777" spans="2:9" ht="13" x14ac:dyDescent="0.15">
      <c r="B777" s="82"/>
      <c r="C777" s="79"/>
      <c r="D777" s="80"/>
      <c r="E777" s="80"/>
      <c r="F777" s="80"/>
      <c r="G777" s="78"/>
      <c r="H777" s="81"/>
      <c r="I777" s="80"/>
    </row>
    <row r="778" spans="2:9" ht="13" x14ac:dyDescent="0.15">
      <c r="B778" s="82"/>
      <c r="C778" s="79"/>
      <c r="D778" s="80"/>
      <c r="E778" s="80"/>
      <c r="F778" s="80"/>
      <c r="G778" s="78"/>
      <c r="H778" s="81"/>
      <c r="I778" s="80"/>
    </row>
    <row r="779" spans="2:9" ht="13" x14ac:dyDescent="0.15">
      <c r="B779" s="82"/>
      <c r="C779" s="79"/>
      <c r="D779" s="80"/>
      <c r="E779" s="80"/>
      <c r="F779" s="80"/>
      <c r="G779" s="78"/>
      <c r="H779" s="81"/>
      <c r="I779" s="80"/>
    </row>
    <row r="780" spans="2:9" ht="13" x14ac:dyDescent="0.15">
      <c r="B780" s="82"/>
      <c r="C780" s="79"/>
      <c r="D780" s="80"/>
      <c r="E780" s="80"/>
      <c r="F780" s="80"/>
      <c r="G780" s="78"/>
      <c r="H780" s="81"/>
      <c r="I780" s="80"/>
    </row>
    <row r="781" spans="2:9" ht="13" x14ac:dyDescent="0.15">
      <c r="B781" s="82"/>
      <c r="C781" s="79"/>
      <c r="D781" s="80"/>
      <c r="E781" s="80"/>
      <c r="F781" s="80"/>
      <c r="G781" s="78"/>
      <c r="H781" s="81"/>
      <c r="I781" s="80"/>
    </row>
    <row r="782" spans="2:9" ht="13" x14ac:dyDescent="0.15">
      <c r="B782" s="82"/>
      <c r="C782" s="79"/>
      <c r="D782" s="80"/>
      <c r="E782" s="80"/>
      <c r="F782" s="80"/>
      <c r="G782" s="78"/>
      <c r="H782" s="81"/>
      <c r="I782" s="80"/>
    </row>
    <row r="783" spans="2:9" ht="13" x14ac:dyDescent="0.15">
      <c r="B783" s="82"/>
      <c r="C783" s="79"/>
      <c r="D783" s="80"/>
      <c r="E783" s="80"/>
      <c r="F783" s="80"/>
      <c r="G783" s="78"/>
      <c r="H783" s="81"/>
      <c r="I783" s="80"/>
    </row>
    <row r="784" spans="2:9" ht="13" x14ac:dyDescent="0.15">
      <c r="B784" s="82"/>
      <c r="C784" s="79"/>
      <c r="D784" s="80"/>
      <c r="E784" s="80"/>
      <c r="F784" s="80"/>
      <c r="G784" s="78"/>
      <c r="H784" s="81"/>
      <c r="I784" s="80"/>
    </row>
    <row r="785" spans="2:9" ht="13" x14ac:dyDescent="0.15">
      <c r="B785" s="82"/>
      <c r="C785" s="79"/>
      <c r="D785" s="80"/>
      <c r="E785" s="80"/>
      <c r="F785" s="80"/>
      <c r="G785" s="78"/>
      <c r="H785" s="81"/>
      <c r="I785" s="80"/>
    </row>
    <row r="786" spans="2:9" ht="13" x14ac:dyDescent="0.15">
      <c r="B786" s="82"/>
      <c r="C786" s="79"/>
      <c r="D786" s="80"/>
      <c r="E786" s="80"/>
      <c r="F786" s="80"/>
      <c r="G786" s="78"/>
      <c r="H786" s="81"/>
      <c r="I786" s="80"/>
    </row>
    <row r="787" spans="2:9" ht="13" x14ac:dyDescent="0.15">
      <c r="B787" s="82"/>
      <c r="C787" s="79"/>
      <c r="D787" s="80"/>
      <c r="E787" s="80"/>
      <c r="F787" s="80"/>
      <c r="G787" s="78"/>
      <c r="H787" s="81"/>
      <c r="I787" s="80"/>
    </row>
    <row r="788" spans="2:9" ht="13" x14ac:dyDescent="0.15">
      <c r="B788" s="82"/>
      <c r="C788" s="79"/>
      <c r="D788" s="80"/>
      <c r="E788" s="80"/>
      <c r="F788" s="80"/>
      <c r="G788" s="78"/>
      <c r="H788" s="81"/>
      <c r="I788" s="80"/>
    </row>
    <row r="789" spans="2:9" ht="13" x14ac:dyDescent="0.15">
      <c r="B789" s="82"/>
      <c r="C789" s="79"/>
      <c r="D789" s="80"/>
      <c r="E789" s="80"/>
      <c r="F789" s="80"/>
      <c r="G789" s="78"/>
      <c r="H789" s="81"/>
      <c r="I789" s="80"/>
    </row>
    <row r="790" spans="2:9" ht="13" x14ac:dyDescent="0.15">
      <c r="B790" s="82"/>
      <c r="C790" s="79"/>
      <c r="D790" s="80"/>
      <c r="E790" s="80"/>
      <c r="F790" s="80"/>
      <c r="G790" s="78"/>
      <c r="H790" s="81"/>
      <c r="I790" s="80"/>
    </row>
    <row r="791" spans="2:9" ht="13" x14ac:dyDescent="0.15">
      <c r="B791" s="82"/>
      <c r="C791" s="79"/>
      <c r="D791" s="80"/>
      <c r="E791" s="80"/>
      <c r="F791" s="80"/>
      <c r="G791" s="78"/>
      <c r="H791" s="81"/>
      <c r="I791" s="80"/>
    </row>
    <row r="792" spans="2:9" ht="13" x14ac:dyDescent="0.15">
      <c r="B792" s="82"/>
      <c r="C792" s="79"/>
      <c r="D792" s="80"/>
      <c r="E792" s="80"/>
      <c r="F792" s="80"/>
      <c r="G792" s="78"/>
      <c r="H792" s="81"/>
      <c r="I792" s="80"/>
    </row>
    <row r="793" spans="2:9" ht="13" x14ac:dyDescent="0.15">
      <c r="B793" s="82"/>
      <c r="C793" s="79"/>
      <c r="D793" s="80"/>
      <c r="E793" s="80"/>
      <c r="F793" s="80"/>
      <c r="G793" s="78"/>
      <c r="H793" s="81"/>
      <c r="I793" s="80"/>
    </row>
    <row r="794" spans="2:9" ht="13" x14ac:dyDescent="0.15">
      <c r="B794" s="82"/>
      <c r="C794" s="79"/>
      <c r="D794" s="80"/>
      <c r="E794" s="80"/>
      <c r="F794" s="80"/>
      <c r="G794" s="78"/>
      <c r="H794" s="81"/>
      <c r="I794" s="80"/>
    </row>
    <row r="795" spans="2:9" ht="13" x14ac:dyDescent="0.15">
      <c r="B795" s="82"/>
      <c r="C795" s="79"/>
      <c r="D795" s="80"/>
      <c r="E795" s="80"/>
      <c r="F795" s="80"/>
      <c r="G795" s="78"/>
      <c r="H795" s="81"/>
      <c r="I795" s="80"/>
    </row>
    <row r="796" spans="2:9" ht="13" x14ac:dyDescent="0.15">
      <c r="B796" s="82"/>
      <c r="C796" s="79"/>
      <c r="D796" s="80"/>
      <c r="E796" s="80"/>
      <c r="F796" s="80"/>
      <c r="G796" s="78"/>
      <c r="H796" s="81"/>
      <c r="I796" s="80"/>
    </row>
    <row r="797" spans="2:9" ht="13" x14ac:dyDescent="0.15">
      <c r="B797" s="82"/>
      <c r="C797" s="79"/>
      <c r="D797" s="80"/>
      <c r="E797" s="80"/>
      <c r="F797" s="80"/>
      <c r="G797" s="78"/>
      <c r="H797" s="81"/>
      <c r="I797" s="80"/>
    </row>
    <row r="798" spans="2:9" ht="13" x14ac:dyDescent="0.15">
      <c r="B798" s="82"/>
      <c r="C798" s="79"/>
      <c r="D798" s="80"/>
      <c r="E798" s="80"/>
      <c r="F798" s="80"/>
      <c r="G798" s="78"/>
      <c r="H798" s="81"/>
      <c r="I798" s="80"/>
    </row>
    <row r="799" spans="2:9" ht="13" x14ac:dyDescent="0.15">
      <c r="B799" s="82"/>
      <c r="C799" s="79"/>
      <c r="D799" s="80"/>
      <c r="E799" s="80"/>
      <c r="F799" s="80"/>
      <c r="G799" s="78"/>
      <c r="H799" s="81"/>
      <c r="I799" s="80"/>
    </row>
    <row r="800" spans="2:9" ht="13" x14ac:dyDescent="0.15">
      <c r="B800" s="82"/>
      <c r="C800" s="79"/>
      <c r="D800" s="80"/>
      <c r="E800" s="80"/>
      <c r="F800" s="80"/>
      <c r="G800" s="78"/>
      <c r="H800" s="81"/>
      <c r="I800" s="80"/>
    </row>
    <row r="801" spans="2:9" ht="13" x14ac:dyDescent="0.15">
      <c r="B801" s="82"/>
      <c r="C801" s="79"/>
      <c r="D801" s="80"/>
      <c r="E801" s="80"/>
      <c r="F801" s="80"/>
      <c r="G801" s="78"/>
      <c r="H801" s="81"/>
      <c r="I801" s="80"/>
    </row>
    <row r="802" spans="2:9" ht="13" x14ac:dyDescent="0.15">
      <c r="B802" s="82"/>
      <c r="C802" s="79"/>
      <c r="D802" s="80"/>
      <c r="E802" s="80"/>
      <c r="F802" s="80"/>
      <c r="G802" s="78"/>
      <c r="H802" s="81"/>
      <c r="I802" s="80"/>
    </row>
    <row r="803" spans="2:9" ht="13" x14ac:dyDescent="0.15">
      <c r="B803" s="82"/>
      <c r="C803" s="79"/>
      <c r="D803" s="80"/>
      <c r="E803" s="80"/>
      <c r="F803" s="80"/>
      <c r="G803" s="78"/>
      <c r="H803" s="81"/>
      <c r="I803" s="80"/>
    </row>
    <row r="804" spans="2:9" ht="13" x14ac:dyDescent="0.15">
      <c r="B804" s="82"/>
      <c r="C804" s="79"/>
      <c r="D804" s="80"/>
      <c r="E804" s="80"/>
      <c r="F804" s="80"/>
      <c r="G804" s="78"/>
      <c r="H804" s="81"/>
      <c r="I804" s="80"/>
    </row>
    <row r="805" spans="2:9" ht="13" x14ac:dyDescent="0.15">
      <c r="B805" s="82"/>
      <c r="C805" s="79"/>
      <c r="D805" s="80"/>
      <c r="E805" s="80"/>
      <c r="F805" s="80"/>
      <c r="G805" s="78"/>
      <c r="H805" s="81"/>
      <c r="I805" s="80"/>
    </row>
    <row r="806" spans="2:9" ht="13" x14ac:dyDescent="0.15">
      <c r="B806" s="82"/>
      <c r="C806" s="79"/>
      <c r="D806" s="80"/>
      <c r="E806" s="80"/>
      <c r="F806" s="80"/>
      <c r="G806" s="78"/>
      <c r="H806" s="81"/>
      <c r="I806" s="80"/>
    </row>
    <row r="807" spans="2:9" ht="13" x14ac:dyDescent="0.15">
      <c r="B807" s="82"/>
      <c r="C807" s="79"/>
      <c r="D807" s="80"/>
      <c r="E807" s="80"/>
      <c r="F807" s="80"/>
      <c r="G807" s="78"/>
      <c r="H807" s="81"/>
      <c r="I807" s="80"/>
    </row>
    <row r="808" spans="2:9" ht="13" x14ac:dyDescent="0.15">
      <c r="B808" s="82"/>
      <c r="C808" s="79"/>
      <c r="D808" s="80"/>
      <c r="E808" s="80"/>
      <c r="F808" s="80"/>
      <c r="G808" s="78"/>
      <c r="H808" s="81"/>
      <c r="I808" s="80"/>
    </row>
    <row r="809" spans="2:9" ht="13" x14ac:dyDescent="0.15">
      <c r="B809" s="82"/>
      <c r="C809" s="79"/>
      <c r="D809" s="80"/>
      <c r="E809" s="80"/>
      <c r="F809" s="80"/>
      <c r="G809" s="78"/>
      <c r="H809" s="81"/>
      <c r="I809" s="80"/>
    </row>
    <row r="810" spans="2:9" ht="13" x14ac:dyDescent="0.15">
      <c r="B810" s="82"/>
      <c r="C810" s="79"/>
      <c r="D810" s="80"/>
      <c r="E810" s="80"/>
      <c r="F810" s="80"/>
      <c r="G810" s="78"/>
      <c r="H810" s="81"/>
      <c r="I810" s="80"/>
    </row>
    <row r="811" spans="2:9" ht="13" x14ac:dyDescent="0.15">
      <c r="B811" s="82"/>
      <c r="C811" s="79"/>
      <c r="D811" s="80"/>
      <c r="E811" s="80"/>
      <c r="F811" s="80"/>
      <c r="G811" s="78"/>
      <c r="H811" s="81"/>
      <c r="I811" s="80"/>
    </row>
    <row r="812" spans="2:9" ht="13" x14ac:dyDescent="0.15">
      <c r="B812" s="82"/>
      <c r="C812" s="79"/>
      <c r="D812" s="80"/>
      <c r="E812" s="80"/>
      <c r="F812" s="80"/>
      <c r="G812" s="78"/>
      <c r="H812" s="81"/>
      <c r="I812" s="80"/>
    </row>
    <row r="813" spans="2:9" ht="13" x14ac:dyDescent="0.15">
      <c r="B813" s="82"/>
      <c r="C813" s="79"/>
      <c r="D813" s="80"/>
      <c r="E813" s="80"/>
      <c r="F813" s="80"/>
      <c r="G813" s="78"/>
      <c r="H813" s="81"/>
      <c r="I813" s="80"/>
    </row>
    <row r="814" spans="2:9" ht="13" x14ac:dyDescent="0.15">
      <c r="B814" s="82"/>
      <c r="C814" s="79"/>
      <c r="D814" s="80"/>
      <c r="E814" s="80"/>
      <c r="F814" s="80"/>
      <c r="G814" s="78"/>
      <c r="H814" s="81"/>
      <c r="I814" s="80"/>
    </row>
    <row r="815" spans="2:9" ht="13" x14ac:dyDescent="0.15">
      <c r="B815" s="82"/>
      <c r="C815" s="79"/>
      <c r="D815" s="80"/>
      <c r="E815" s="80"/>
      <c r="F815" s="80"/>
      <c r="G815" s="78"/>
      <c r="H815" s="81"/>
      <c r="I815" s="80"/>
    </row>
    <row r="816" spans="2:9" ht="13" x14ac:dyDescent="0.15">
      <c r="B816" s="82"/>
      <c r="C816" s="79"/>
      <c r="D816" s="80"/>
      <c r="E816" s="80"/>
      <c r="F816" s="80"/>
      <c r="G816" s="78"/>
      <c r="H816" s="81"/>
      <c r="I816" s="80"/>
    </row>
    <row r="817" spans="2:9" ht="13" x14ac:dyDescent="0.15">
      <c r="B817" s="82"/>
      <c r="C817" s="79"/>
      <c r="D817" s="80"/>
      <c r="E817" s="80"/>
      <c r="F817" s="80"/>
      <c r="G817" s="78"/>
      <c r="H817" s="81"/>
      <c r="I817" s="80"/>
    </row>
    <row r="818" spans="2:9" ht="13" x14ac:dyDescent="0.15">
      <c r="B818" s="82"/>
      <c r="C818" s="79"/>
      <c r="D818" s="80"/>
      <c r="E818" s="80"/>
      <c r="F818" s="80"/>
      <c r="G818" s="78"/>
      <c r="H818" s="81"/>
      <c r="I818" s="80"/>
    </row>
    <row r="819" spans="2:9" ht="13" x14ac:dyDescent="0.15">
      <c r="B819" s="82"/>
      <c r="C819" s="79"/>
      <c r="D819" s="80"/>
      <c r="E819" s="80"/>
      <c r="F819" s="80"/>
      <c r="G819" s="78"/>
      <c r="H819" s="81"/>
      <c r="I819" s="80"/>
    </row>
    <row r="820" spans="2:9" ht="13" x14ac:dyDescent="0.15">
      <c r="B820" s="82"/>
      <c r="C820" s="79"/>
      <c r="D820" s="80"/>
      <c r="E820" s="80"/>
      <c r="F820" s="80"/>
      <c r="G820" s="78"/>
      <c r="H820" s="81"/>
      <c r="I820" s="80"/>
    </row>
    <row r="821" spans="2:9" ht="13" x14ac:dyDescent="0.15">
      <c r="B821" s="82"/>
      <c r="C821" s="79"/>
      <c r="D821" s="80"/>
      <c r="E821" s="80"/>
      <c r="F821" s="80"/>
      <c r="G821" s="78"/>
      <c r="H821" s="81"/>
      <c r="I821" s="80"/>
    </row>
    <row r="822" spans="2:9" ht="13" x14ac:dyDescent="0.15">
      <c r="B822" s="82"/>
      <c r="C822" s="79"/>
      <c r="D822" s="80"/>
      <c r="E822" s="80"/>
      <c r="F822" s="80"/>
      <c r="G822" s="78"/>
      <c r="H822" s="81"/>
      <c r="I822" s="80"/>
    </row>
    <row r="823" spans="2:9" ht="13" x14ac:dyDescent="0.15">
      <c r="B823" s="82"/>
      <c r="C823" s="79"/>
      <c r="D823" s="80"/>
      <c r="E823" s="80"/>
      <c r="F823" s="80"/>
      <c r="G823" s="78"/>
      <c r="H823" s="81"/>
      <c r="I823" s="80"/>
    </row>
    <row r="824" spans="2:9" ht="13" x14ac:dyDescent="0.15">
      <c r="B824" s="82"/>
      <c r="C824" s="79"/>
      <c r="D824" s="80"/>
      <c r="E824" s="80"/>
      <c r="F824" s="80"/>
      <c r="G824" s="78"/>
      <c r="H824" s="81"/>
      <c r="I824" s="80"/>
    </row>
    <row r="825" spans="2:9" ht="13" x14ac:dyDescent="0.15">
      <c r="B825" s="82"/>
      <c r="C825" s="79"/>
      <c r="D825" s="80"/>
      <c r="E825" s="80"/>
      <c r="F825" s="80"/>
      <c r="G825" s="78"/>
      <c r="H825" s="81"/>
      <c r="I825" s="80"/>
    </row>
    <row r="826" spans="2:9" ht="13" x14ac:dyDescent="0.15">
      <c r="B826" s="82"/>
      <c r="C826" s="79"/>
      <c r="D826" s="80"/>
      <c r="E826" s="80"/>
      <c r="F826" s="80"/>
      <c r="G826" s="78"/>
      <c r="H826" s="81"/>
      <c r="I826" s="80"/>
    </row>
    <row r="827" spans="2:9" ht="13" x14ac:dyDescent="0.15">
      <c r="B827" s="82"/>
      <c r="C827" s="79"/>
      <c r="D827" s="80"/>
      <c r="E827" s="80"/>
      <c r="F827" s="80"/>
      <c r="G827" s="78"/>
      <c r="H827" s="81"/>
      <c r="I827" s="80"/>
    </row>
    <row r="828" spans="2:9" ht="13" x14ac:dyDescent="0.15">
      <c r="B828" s="82"/>
      <c r="C828" s="79"/>
      <c r="D828" s="80"/>
      <c r="E828" s="80"/>
      <c r="F828" s="80"/>
      <c r="G828" s="78"/>
      <c r="H828" s="81"/>
      <c r="I828" s="80"/>
    </row>
    <row r="829" spans="2:9" ht="13" x14ac:dyDescent="0.15">
      <c r="B829" s="82"/>
      <c r="C829" s="79"/>
      <c r="D829" s="80"/>
      <c r="E829" s="80"/>
      <c r="F829" s="80"/>
      <c r="G829" s="78"/>
      <c r="H829" s="81"/>
      <c r="I829" s="80"/>
    </row>
    <row r="830" spans="2:9" ht="13" x14ac:dyDescent="0.15">
      <c r="B830" s="82"/>
      <c r="C830" s="79"/>
      <c r="D830" s="80"/>
      <c r="E830" s="80"/>
      <c r="F830" s="80"/>
      <c r="G830" s="78"/>
      <c r="H830" s="81"/>
      <c r="I830" s="80"/>
    </row>
    <row r="831" spans="2:9" ht="13" x14ac:dyDescent="0.15">
      <c r="B831" s="82"/>
      <c r="C831" s="79"/>
      <c r="D831" s="80"/>
      <c r="E831" s="80"/>
      <c r="F831" s="80"/>
      <c r="G831" s="78"/>
      <c r="H831" s="81"/>
      <c r="I831" s="80"/>
    </row>
    <row r="832" spans="2:9" ht="13" x14ac:dyDescent="0.15">
      <c r="B832" s="82"/>
      <c r="C832" s="79"/>
      <c r="D832" s="80"/>
      <c r="E832" s="80"/>
      <c r="F832" s="80"/>
      <c r="G832" s="78"/>
      <c r="H832" s="81"/>
      <c r="I832" s="80"/>
    </row>
    <row r="833" spans="2:9" ht="13" x14ac:dyDescent="0.15">
      <c r="B833" s="82"/>
      <c r="C833" s="79"/>
      <c r="D833" s="80"/>
      <c r="E833" s="80"/>
      <c r="F833" s="80"/>
      <c r="G833" s="78"/>
      <c r="H833" s="81"/>
      <c r="I833" s="80"/>
    </row>
    <row r="834" spans="2:9" ht="13" x14ac:dyDescent="0.15">
      <c r="B834" s="82"/>
      <c r="C834" s="79"/>
      <c r="D834" s="80"/>
      <c r="E834" s="80"/>
      <c r="F834" s="80"/>
      <c r="G834" s="78"/>
      <c r="H834" s="81"/>
      <c r="I834" s="80"/>
    </row>
    <row r="835" spans="2:9" ht="13" x14ac:dyDescent="0.15">
      <c r="B835" s="82"/>
      <c r="C835" s="79"/>
      <c r="D835" s="80"/>
      <c r="E835" s="80"/>
      <c r="F835" s="80"/>
      <c r="G835" s="78"/>
      <c r="H835" s="81"/>
      <c r="I835" s="80"/>
    </row>
    <row r="836" spans="2:9" ht="13" x14ac:dyDescent="0.15">
      <c r="B836" s="82"/>
      <c r="C836" s="79"/>
      <c r="D836" s="80"/>
      <c r="E836" s="80"/>
      <c r="F836" s="80"/>
      <c r="G836" s="78"/>
      <c r="H836" s="81"/>
      <c r="I836" s="80"/>
    </row>
    <row r="837" spans="2:9" ht="13" x14ac:dyDescent="0.15">
      <c r="B837" s="82"/>
      <c r="C837" s="79"/>
      <c r="D837" s="80"/>
      <c r="E837" s="80"/>
      <c r="F837" s="80"/>
      <c r="G837" s="78"/>
      <c r="H837" s="81"/>
      <c r="I837" s="80"/>
    </row>
    <row r="838" spans="2:9" ht="13" x14ac:dyDescent="0.15">
      <c r="B838" s="82"/>
      <c r="C838" s="79"/>
      <c r="D838" s="80"/>
      <c r="E838" s="80"/>
      <c r="F838" s="80"/>
      <c r="G838" s="78"/>
      <c r="H838" s="81"/>
      <c r="I838" s="80"/>
    </row>
    <row r="839" spans="2:9" ht="13" x14ac:dyDescent="0.15">
      <c r="B839" s="82"/>
      <c r="C839" s="79"/>
      <c r="D839" s="80"/>
      <c r="E839" s="80"/>
      <c r="F839" s="80"/>
      <c r="G839" s="78"/>
      <c r="H839" s="81"/>
      <c r="I839" s="80"/>
    </row>
    <row r="840" spans="2:9" ht="13" x14ac:dyDescent="0.15">
      <c r="B840" s="82"/>
      <c r="C840" s="79"/>
      <c r="D840" s="80"/>
      <c r="E840" s="80"/>
      <c r="F840" s="80"/>
      <c r="G840" s="78"/>
      <c r="H840" s="81"/>
      <c r="I840" s="80"/>
    </row>
    <row r="841" spans="2:9" ht="13" x14ac:dyDescent="0.15">
      <c r="B841" s="82"/>
      <c r="C841" s="79"/>
      <c r="D841" s="80"/>
      <c r="E841" s="80"/>
      <c r="F841" s="80"/>
      <c r="G841" s="78"/>
      <c r="H841" s="81"/>
      <c r="I841" s="80"/>
    </row>
    <row r="842" spans="2:9" ht="13" x14ac:dyDescent="0.15">
      <c r="B842" s="82"/>
      <c r="C842" s="79"/>
      <c r="D842" s="80"/>
      <c r="E842" s="80"/>
      <c r="F842" s="80"/>
      <c r="G842" s="78"/>
      <c r="H842" s="81"/>
      <c r="I842" s="80"/>
    </row>
    <row r="843" spans="2:9" ht="13" x14ac:dyDescent="0.15">
      <c r="B843" s="82"/>
      <c r="C843" s="79"/>
      <c r="D843" s="80"/>
      <c r="E843" s="80"/>
      <c r="F843" s="80"/>
      <c r="G843" s="78"/>
      <c r="H843" s="81"/>
      <c r="I843" s="80"/>
    </row>
    <row r="844" spans="2:9" ht="13" x14ac:dyDescent="0.15">
      <c r="B844" s="82"/>
      <c r="C844" s="79"/>
      <c r="D844" s="80"/>
      <c r="E844" s="80"/>
      <c r="F844" s="80"/>
      <c r="G844" s="78"/>
      <c r="H844" s="81"/>
      <c r="I844" s="80"/>
    </row>
    <row r="845" spans="2:9" ht="13" x14ac:dyDescent="0.15">
      <c r="B845" s="82"/>
      <c r="C845" s="79"/>
      <c r="D845" s="80"/>
      <c r="E845" s="80"/>
      <c r="F845" s="80"/>
      <c r="G845" s="78"/>
      <c r="H845" s="81"/>
      <c r="I845" s="80"/>
    </row>
    <row r="846" spans="2:9" ht="13" x14ac:dyDescent="0.15">
      <c r="B846" s="82"/>
      <c r="C846" s="79"/>
      <c r="D846" s="80"/>
      <c r="E846" s="80"/>
      <c r="F846" s="80"/>
      <c r="G846" s="78"/>
      <c r="H846" s="81"/>
      <c r="I846" s="80"/>
    </row>
    <row r="847" spans="2:9" ht="13" x14ac:dyDescent="0.15">
      <c r="B847" s="82"/>
      <c r="C847" s="79"/>
      <c r="D847" s="80"/>
      <c r="E847" s="80"/>
      <c r="F847" s="80"/>
      <c r="G847" s="78"/>
      <c r="H847" s="81"/>
      <c r="I847" s="80"/>
    </row>
    <row r="848" spans="2:9" ht="13" x14ac:dyDescent="0.15">
      <c r="B848" s="82"/>
      <c r="C848" s="79"/>
      <c r="D848" s="80"/>
      <c r="E848" s="80"/>
      <c r="F848" s="80"/>
      <c r="G848" s="78"/>
      <c r="H848" s="81"/>
      <c r="I848" s="80"/>
    </row>
    <row r="849" spans="2:9" ht="13" x14ac:dyDescent="0.15">
      <c r="B849" s="82"/>
      <c r="C849" s="79"/>
      <c r="D849" s="80"/>
      <c r="E849" s="80"/>
      <c r="F849" s="80"/>
      <c r="G849" s="78"/>
      <c r="H849" s="81"/>
      <c r="I849" s="80"/>
    </row>
    <row r="850" spans="2:9" ht="13" x14ac:dyDescent="0.15">
      <c r="B850" s="82"/>
      <c r="C850" s="79"/>
      <c r="D850" s="80"/>
      <c r="E850" s="80"/>
      <c r="F850" s="80"/>
      <c r="G850" s="78"/>
      <c r="H850" s="81"/>
      <c r="I850" s="80"/>
    </row>
    <row r="851" spans="2:9" ht="13" x14ac:dyDescent="0.15">
      <c r="B851" s="82"/>
      <c r="C851" s="79"/>
      <c r="D851" s="80"/>
      <c r="E851" s="80"/>
      <c r="F851" s="80"/>
      <c r="G851" s="78"/>
      <c r="H851" s="81"/>
      <c r="I851" s="80"/>
    </row>
    <row r="852" spans="2:9" ht="13" x14ac:dyDescent="0.15">
      <c r="B852" s="82"/>
      <c r="C852" s="79"/>
      <c r="D852" s="80"/>
      <c r="E852" s="80"/>
      <c r="F852" s="80"/>
      <c r="G852" s="78"/>
      <c r="H852" s="81"/>
      <c r="I852" s="80"/>
    </row>
    <row r="853" spans="2:9" ht="13" x14ac:dyDescent="0.15">
      <c r="B853" s="82"/>
      <c r="C853" s="79"/>
      <c r="D853" s="80"/>
      <c r="E853" s="80"/>
      <c r="F853" s="80"/>
      <c r="G853" s="78"/>
      <c r="H853" s="81"/>
      <c r="I853" s="80"/>
    </row>
    <row r="854" spans="2:9" ht="13" x14ac:dyDescent="0.15">
      <c r="B854" s="82"/>
      <c r="C854" s="79"/>
      <c r="D854" s="80"/>
      <c r="E854" s="80"/>
      <c r="F854" s="80"/>
      <c r="G854" s="78"/>
      <c r="H854" s="81"/>
      <c r="I854" s="80"/>
    </row>
    <row r="855" spans="2:9" ht="13" x14ac:dyDescent="0.15">
      <c r="B855" s="82"/>
      <c r="C855" s="79"/>
      <c r="D855" s="80"/>
      <c r="E855" s="80"/>
      <c r="F855" s="80"/>
      <c r="G855" s="78"/>
      <c r="H855" s="81"/>
      <c r="I855" s="80"/>
    </row>
    <row r="856" spans="2:9" ht="13" x14ac:dyDescent="0.15">
      <c r="B856" s="82"/>
      <c r="C856" s="79"/>
      <c r="D856" s="80"/>
      <c r="E856" s="80"/>
      <c r="F856" s="80"/>
      <c r="G856" s="78"/>
      <c r="H856" s="81"/>
      <c r="I856" s="80"/>
    </row>
    <row r="857" spans="2:9" ht="13" x14ac:dyDescent="0.15">
      <c r="B857" s="82"/>
      <c r="C857" s="79"/>
      <c r="D857" s="80"/>
      <c r="E857" s="80"/>
      <c r="F857" s="80"/>
      <c r="G857" s="78"/>
      <c r="H857" s="81"/>
      <c r="I857" s="80"/>
    </row>
    <row r="858" spans="2:9" ht="13" x14ac:dyDescent="0.15">
      <c r="B858" s="82"/>
      <c r="C858" s="79"/>
      <c r="D858" s="80"/>
      <c r="E858" s="80"/>
      <c r="F858" s="80"/>
      <c r="G858" s="78"/>
      <c r="H858" s="81"/>
      <c r="I858" s="80"/>
    </row>
    <row r="859" spans="2:9" ht="13" x14ac:dyDescent="0.15">
      <c r="B859" s="82"/>
      <c r="C859" s="79"/>
      <c r="D859" s="80"/>
      <c r="E859" s="80"/>
      <c r="F859" s="80"/>
      <c r="G859" s="78"/>
      <c r="H859" s="81"/>
      <c r="I859" s="80"/>
    </row>
    <row r="860" spans="2:9" ht="13" x14ac:dyDescent="0.15">
      <c r="B860" s="82"/>
      <c r="C860" s="79"/>
      <c r="D860" s="80"/>
      <c r="E860" s="80"/>
      <c r="F860" s="80"/>
      <c r="G860" s="78"/>
      <c r="H860" s="81"/>
      <c r="I860" s="80"/>
    </row>
    <row r="861" spans="2:9" ht="13" x14ac:dyDescent="0.15">
      <c r="B861" s="82"/>
      <c r="C861" s="79"/>
      <c r="D861" s="80"/>
      <c r="E861" s="80"/>
      <c r="F861" s="80"/>
      <c r="G861" s="78"/>
      <c r="H861" s="81"/>
      <c r="I861" s="80"/>
    </row>
    <row r="862" spans="2:9" ht="13" x14ac:dyDescent="0.15">
      <c r="B862" s="82"/>
      <c r="C862" s="79"/>
      <c r="D862" s="80"/>
      <c r="E862" s="80"/>
      <c r="F862" s="80"/>
      <c r="G862" s="78"/>
      <c r="H862" s="81"/>
      <c r="I862" s="80"/>
    </row>
    <row r="863" spans="2:9" ht="13" x14ac:dyDescent="0.15">
      <c r="B863" s="82"/>
      <c r="C863" s="79"/>
      <c r="D863" s="80"/>
      <c r="E863" s="80"/>
      <c r="F863" s="80"/>
      <c r="G863" s="78"/>
      <c r="H863" s="81"/>
      <c r="I863" s="80"/>
    </row>
    <row r="864" spans="2:9" ht="13" x14ac:dyDescent="0.15">
      <c r="B864" s="82"/>
      <c r="C864" s="79"/>
      <c r="D864" s="80"/>
      <c r="E864" s="80"/>
      <c r="F864" s="80"/>
      <c r="G864" s="78"/>
      <c r="H864" s="81"/>
      <c r="I864" s="80"/>
    </row>
    <row r="865" spans="2:9" ht="13" x14ac:dyDescent="0.15">
      <c r="B865" s="82"/>
      <c r="C865" s="79"/>
      <c r="D865" s="80"/>
      <c r="E865" s="80"/>
      <c r="F865" s="80"/>
      <c r="G865" s="78"/>
      <c r="H865" s="81"/>
      <c r="I865" s="80"/>
    </row>
    <row r="866" spans="2:9" ht="13" x14ac:dyDescent="0.15">
      <c r="B866" s="82"/>
      <c r="C866" s="79"/>
      <c r="D866" s="80"/>
      <c r="E866" s="80"/>
      <c r="F866" s="80"/>
      <c r="G866" s="78"/>
      <c r="H866" s="81"/>
      <c r="I866" s="80"/>
    </row>
    <row r="867" spans="2:9" ht="13" x14ac:dyDescent="0.15">
      <c r="B867" s="82"/>
      <c r="C867" s="79"/>
      <c r="D867" s="80"/>
      <c r="E867" s="80"/>
      <c r="F867" s="80"/>
      <c r="G867" s="78"/>
      <c r="H867" s="81"/>
      <c r="I867" s="80"/>
    </row>
    <row r="868" spans="2:9" ht="13" x14ac:dyDescent="0.15">
      <c r="B868" s="82"/>
      <c r="C868" s="79"/>
      <c r="D868" s="80"/>
      <c r="E868" s="80"/>
      <c r="F868" s="80"/>
      <c r="G868" s="78"/>
      <c r="H868" s="81"/>
      <c r="I868" s="80"/>
    </row>
    <row r="869" spans="2:9" ht="13" x14ac:dyDescent="0.15">
      <c r="B869" s="82"/>
      <c r="C869" s="79"/>
      <c r="D869" s="80"/>
      <c r="E869" s="80"/>
      <c r="F869" s="80"/>
      <c r="G869" s="78"/>
      <c r="H869" s="81"/>
      <c r="I869" s="80"/>
    </row>
    <row r="870" spans="2:9" ht="13" x14ac:dyDescent="0.15">
      <c r="B870" s="82"/>
      <c r="C870" s="79"/>
      <c r="D870" s="80"/>
      <c r="E870" s="80"/>
      <c r="F870" s="80"/>
      <c r="G870" s="78"/>
      <c r="H870" s="81"/>
      <c r="I870" s="80"/>
    </row>
    <row r="871" spans="2:9" ht="13" x14ac:dyDescent="0.15">
      <c r="B871" s="82"/>
      <c r="C871" s="79"/>
      <c r="D871" s="80"/>
      <c r="E871" s="80"/>
      <c r="F871" s="80"/>
      <c r="G871" s="78"/>
      <c r="H871" s="81"/>
      <c r="I871" s="80"/>
    </row>
    <row r="872" spans="2:9" ht="13" x14ac:dyDescent="0.15">
      <c r="B872" s="82"/>
      <c r="C872" s="79"/>
      <c r="D872" s="80"/>
      <c r="E872" s="80"/>
      <c r="F872" s="80"/>
      <c r="G872" s="78"/>
      <c r="H872" s="81"/>
      <c r="I872" s="80"/>
    </row>
    <row r="873" spans="2:9" ht="13" x14ac:dyDescent="0.15">
      <c r="B873" s="82"/>
      <c r="C873" s="79"/>
      <c r="D873" s="80"/>
      <c r="E873" s="80"/>
      <c r="F873" s="80"/>
      <c r="G873" s="78"/>
      <c r="H873" s="81"/>
      <c r="I873" s="80"/>
    </row>
    <row r="874" spans="2:9" ht="13" x14ac:dyDescent="0.15">
      <c r="B874" s="82"/>
      <c r="C874" s="79"/>
      <c r="D874" s="80"/>
      <c r="E874" s="80"/>
      <c r="F874" s="80"/>
      <c r="G874" s="78"/>
      <c r="H874" s="81"/>
      <c r="I874" s="80"/>
    </row>
    <row r="875" spans="2:9" ht="13" x14ac:dyDescent="0.15">
      <c r="B875" s="82"/>
      <c r="C875" s="79"/>
      <c r="D875" s="80"/>
      <c r="E875" s="80"/>
      <c r="F875" s="80"/>
      <c r="G875" s="78"/>
      <c r="H875" s="81"/>
      <c r="I875" s="80"/>
    </row>
    <row r="876" spans="2:9" ht="13" x14ac:dyDescent="0.15">
      <c r="B876" s="82"/>
      <c r="C876" s="79"/>
      <c r="D876" s="80"/>
      <c r="E876" s="80"/>
      <c r="F876" s="80"/>
      <c r="G876" s="78"/>
      <c r="H876" s="81"/>
      <c r="I876" s="80"/>
    </row>
    <row r="877" spans="2:9" ht="13" x14ac:dyDescent="0.15">
      <c r="B877" s="82"/>
      <c r="C877" s="79"/>
      <c r="D877" s="80"/>
      <c r="E877" s="80"/>
      <c r="F877" s="80"/>
      <c r="G877" s="78"/>
      <c r="H877" s="81"/>
      <c r="I877" s="80"/>
    </row>
    <row r="878" spans="2:9" ht="13" x14ac:dyDescent="0.15">
      <c r="B878" s="82"/>
      <c r="C878" s="79"/>
      <c r="D878" s="80"/>
      <c r="E878" s="80"/>
      <c r="F878" s="80"/>
      <c r="G878" s="78"/>
      <c r="H878" s="81"/>
      <c r="I878" s="80"/>
    </row>
    <row r="879" spans="2:9" ht="13" x14ac:dyDescent="0.15">
      <c r="B879" s="82"/>
      <c r="C879" s="79"/>
      <c r="D879" s="80"/>
      <c r="E879" s="80"/>
      <c r="F879" s="80"/>
      <c r="G879" s="78"/>
      <c r="H879" s="81"/>
      <c r="I879" s="80"/>
    </row>
    <row r="880" spans="2:9" ht="13" x14ac:dyDescent="0.15">
      <c r="B880" s="82"/>
      <c r="C880" s="79"/>
      <c r="D880" s="80"/>
      <c r="E880" s="80"/>
      <c r="F880" s="80"/>
      <c r="G880" s="78"/>
      <c r="H880" s="81"/>
      <c r="I880" s="80"/>
    </row>
    <row r="881" spans="2:9" ht="13" x14ac:dyDescent="0.15">
      <c r="B881" s="82"/>
      <c r="C881" s="79"/>
      <c r="D881" s="80"/>
      <c r="E881" s="80"/>
      <c r="F881" s="80"/>
      <c r="G881" s="78"/>
      <c r="H881" s="81"/>
      <c r="I881" s="80"/>
    </row>
    <row r="882" spans="2:9" ht="13" x14ac:dyDescent="0.15">
      <c r="B882" s="82"/>
      <c r="C882" s="79"/>
      <c r="D882" s="80"/>
      <c r="E882" s="80"/>
      <c r="F882" s="80"/>
      <c r="G882" s="78"/>
      <c r="H882" s="81"/>
      <c r="I882" s="80"/>
    </row>
    <row r="883" spans="2:9" ht="13" x14ac:dyDescent="0.15">
      <c r="B883" s="82"/>
      <c r="C883" s="79"/>
      <c r="D883" s="80"/>
      <c r="E883" s="80"/>
      <c r="F883" s="80"/>
      <c r="G883" s="78"/>
      <c r="H883" s="81"/>
      <c r="I883" s="80"/>
    </row>
    <row r="884" spans="2:9" ht="13" x14ac:dyDescent="0.15">
      <c r="B884" s="82"/>
      <c r="C884" s="79"/>
      <c r="D884" s="80"/>
      <c r="E884" s="80"/>
      <c r="F884" s="80"/>
      <c r="G884" s="78"/>
      <c r="H884" s="81"/>
      <c r="I884" s="80"/>
    </row>
    <row r="885" spans="2:9" ht="13" x14ac:dyDescent="0.15">
      <c r="B885" s="82"/>
      <c r="C885" s="79"/>
      <c r="D885" s="80"/>
      <c r="E885" s="80"/>
      <c r="F885" s="80"/>
      <c r="G885" s="78"/>
      <c r="H885" s="81"/>
      <c r="I885" s="80"/>
    </row>
    <row r="886" spans="2:9" ht="13" x14ac:dyDescent="0.15">
      <c r="B886" s="82"/>
      <c r="C886" s="79"/>
      <c r="D886" s="80"/>
      <c r="E886" s="80"/>
      <c r="F886" s="80"/>
      <c r="G886" s="78"/>
      <c r="H886" s="81"/>
      <c r="I886" s="80"/>
    </row>
    <row r="887" spans="2:9" ht="13" x14ac:dyDescent="0.15">
      <c r="B887" s="82"/>
      <c r="C887" s="79"/>
      <c r="D887" s="80"/>
      <c r="E887" s="80"/>
      <c r="F887" s="80"/>
      <c r="G887" s="78"/>
      <c r="H887" s="81"/>
      <c r="I887" s="80"/>
    </row>
    <row r="888" spans="2:9" ht="13" x14ac:dyDescent="0.15">
      <c r="B888" s="82"/>
      <c r="C888" s="79"/>
      <c r="D888" s="80"/>
      <c r="E888" s="80"/>
      <c r="F888" s="80"/>
      <c r="G888" s="78"/>
      <c r="H888" s="81"/>
      <c r="I888" s="80"/>
    </row>
    <row r="889" spans="2:9" ht="13" x14ac:dyDescent="0.15">
      <c r="B889" s="82"/>
      <c r="C889" s="79"/>
      <c r="D889" s="80"/>
      <c r="E889" s="80"/>
      <c r="F889" s="80"/>
      <c r="G889" s="78"/>
      <c r="H889" s="81"/>
      <c r="I889" s="80"/>
    </row>
    <row r="890" spans="2:9" ht="13" x14ac:dyDescent="0.15">
      <c r="B890" s="82"/>
      <c r="C890" s="79"/>
      <c r="D890" s="80"/>
      <c r="E890" s="80"/>
      <c r="F890" s="80"/>
      <c r="G890" s="78"/>
      <c r="H890" s="81"/>
      <c r="I890" s="80"/>
    </row>
    <row r="891" spans="2:9" ht="13" x14ac:dyDescent="0.15">
      <c r="B891" s="82"/>
      <c r="C891" s="79"/>
      <c r="D891" s="80"/>
      <c r="E891" s="80"/>
      <c r="F891" s="80"/>
      <c r="G891" s="78"/>
      <c r="H891" s="81"/>
      <c r="I891" s="80"/>
    </row>
    <row r="892" spans="2:9" ht="13" x14ac:dyDescent="0.15">
      <c r="B892" s="82"/>
      <c r="C892" s="79"/>
      <c r="D892" s="80"/>
      <c r="E892" s="80"/>
      <c r="F892" s="80"/>
      <c r="G892" s="78"/>
      <c r="H892" s="81"/>
      <c r="I892" s="80"/>
    </row>
    <row r="893" spans="2:9" ht="13" x14ac:dyDescent="0.15">
      <c r="B893" s="82"/>
      <c r="C893" s="79"/>
      <c r="D893" s="80"/>
      <c r="E893" s="80"/>
      <c r="F893" s="80"/>
      <c r="G893" s="78"/>
      <c r="H893" s="81"/>
      <c r="I893" s="80"/>
    </row>
    <row r="894" spans="2:9" ht="13" x14ac:dyDescent="0.15">
      <c r="B894" s="82"/>
      <c r="C894" s="79"/>
      <c r="D894" s="80"/>
      <c r="E894" s="80"/>
      <c r="F894" s="80"/>
      <c r="G894" s="78"/>
      <c r="H894" s="81"/>
      <c r="I894" s="80"/>
    </row>
    <row r="895" spans="2:9" ht="13" x14ac:dyDescent="0.15">
      <c r="B895" s="82"/>
      <c r="C895" s="79"/>
      <c r="D895" s="80"/>
      <c r="E895" s="80"/>
      <c r="F895" s="80"/>
      <c r="G895" s="78"/>
      <c r="H895" s="81"/>
      <c r="I895" s="80"/>
    </row>
    <row r="896" spans="2:9" ht="13" x14ac:dyDescent="0.15">
      <c r="B896" s="82"/>
      <c r="C896" s="79"/>
      <c r="D896" s="80"/>
      <c r="E896" s="80"/>
      <c r="F896" s="80"/>
      <c r="G896" s="78"/>
      <c r="H896" s="81"/>
      <c r="I896" s="80"/>
    </row>
    <row r="897" spans="2:9" ht="13" x14ac:dyDescent="0.15">
      <c r="B897" s="82"/>
      <c r="C897" s="79"/>
      <c r="D897" s="80"/>
      <c r="E897" s="80"/>
      <c r="F897" s="80"/>
      <c r="G897" s="78"/>
      <c r="H897" s="81"/>
      <c r="I897" s="80"/>
    </row>
    <row r="898" spans="2:9" ht="13" x14ac:dyDescent="0.15">
      <c r="B898" s="82"/>
      <c r="C898" s="79"/>
      <c r="D898" s="80"/>
      <c r="E898" s="80"/>
      <c r="F898" s="80"/>
      <c r="G898" s="78"/>
      <c r="H898" s="81"/>
      <c r="I898" s="80"/>
    </row>
    <row r="899" spans="2:9" ht="13" x14ac:dyDescent="0.15">
      <c r="B899" s="82"/>
      <c r="C899" s="79"/>
      <c r="D899" s="80"/>
      <c r="E899" s="80"/>
      <c r="F899" s="80"/>
      <c r="G899" s="78"/>
      <c r="H899" s="81"/>
      <c r="I899" s="80"/>
    </row>
    <row r="900" spans="2:9" ht="13" x14ac:dyDescent="0.15">
      <c r="B900" s="82"/>
      <c r="C900" s="79"/>
      <c r="D900" s="80"/>
      <c r="E900" s="80"/>
      <c r="F900" s="80"/>
      <c r="G900" s="78"/>
      <c r="H900" s="81"/>
      <c r="I900" s="80"/>
    </row>
    <row r="901" spans="2:9" ht="13" x14ac:dyDescent="0.15">
      <c r="B901" s="82"/>
      <c r="C901" s="79"/>
      <c r="D901" s="80"/>
      <c r="E901" s="80"/>
      <c r="F901" s="80"/>
      <c r="G901" s="78"/>
      <c r="H901" s="81"/>
      <c r="I901" s="80"/>
    </row>
    <row r="902" spans="2:9" ht="13" x14ac:dyDescent="0.15">
      <c r="B902" s="82"/>
      <c r="C902" s="79"/>
      <c r="D902" s="80"/>
      <c r="E902" s="80"/>
      <c r="F902" s="80"/>
      <c r="G902" s="78"/>
      <c r="H902" s="81"/>
      <c r="I902" s="80"/>
    </row>
    <row r="903" spans="2:9" ht="13" x14ac:dyDescent="0.15">
      <c r="B903" s="82"/>
      <c r="C903" s="79"/>
      <c r="D903" s="80"/>
      <c r="E903" s="80"/>
      <c r="F903" s="80"/>
      <c r="G903" s="78"/>
      <c r="H903" s="81"/>
      <c r="I903" s="80"/>
    </row>
    <row r="904" spans="2:9" ht="13" x14ac:dyDescent="0.15">
      <c r="B904" s="82"/>
      <c r="C904" s="79"/>
      <c r="D904" s="80"/>
      <c r="E904" s="80"/>
      <c r="F904" s="80"/>
      <c r="G904" s="78"/>
      <c r="H904" s="81"/>
      <c r="I904" s="80"/>
    </row>
    <row r="905" spans="2:9" ht="13" x14ac:dyDescent="0.15">
      <c r="B905" s="82"/>
      <c r="C905" s="79"/>
      <c r="D905" s="80"/>
      <c r="E905" s="80"/>
      <c r="F905" s="80"/>
      <c r="G905" s="78"/>
      <c r="H905" s="81"/>
      <c r="I905" s="80"/>
    </row>
    <row r="906" spans="2:9" ht="13" x14ac:dyDescent="0.15">
      <c r="B906" s="82"/>
      <c r="C906" s="79"/>
      <c r="D906" s="80"/>
      <c r="E906" s="80"/>
      <c r="F906" s="80"/>
      <c r="G906" s="78"/>
      <c r="H906" s="81"/>
      <c r="I906" s="80"/>
    </row>
    <row r="907" spans="2:9" ht="13" x14ac:dyDescent="0.15">
      <c r="B907" s="82"/>
      <c r="C907" s="79"/>
      <c r="D907" s="80"/>
      <c r="E907" s="80"/>
      <c r="F907" s="80"/>
      <c r="G907" s="78"/>
      <c r="H907" s="81"/>
      <c r="I907" s="80"/>
    </row>
    <row r="908" spans="2:9" ht="13" x14ac:dyDescent="0.15">
      <c r="B908" s="82"/>
      <c r="C908" s="79"/>
      <c r="D908" s="80"/>
      <c r="E908" s="80"/>
      <c r="F908" s="80"/>
      <c r="G908" s="78"/>
      <c r="H908" s="81"/>
      <c r="I908" s="80"/>
    </row>
    <row r="909" spans="2:9" ht="13" x14ac:dyDescent="0.15">
      <c r="B909" s="82"/>
      <c r="C909" s="79"/>
      <c r="D909" s="80"/>
      <c r="E909" s="80"/>
      <c r="F909" s="80"/>
      <c r="G909" s="78"/>
      <c r="H909" s="81"/>
      <c r="I909" s="80"/>
    </row>
    <row r="910" spans="2:9" ht="13" x14ac:dyDescent="0.15">
      <c r="B910" s="82"/>
      <c r="C910" s="79"/>
      <c r="D910" s="80"/>
      <c r="E910" s="80"/>
      <c r="F910" s="80"/>
      <c r="G910" s="78"/>
      <c r="H910" s="81"/>
      <c r="I910" s="80"/>
    </row>
    <row r="911" spans="2:9" ht="13" x14ac:dyDescent="0.15">
      <c r="B911" s="82"/>
      <c r="C911" s="79"/>
      <c r="D911" s="80"/>
      <c r="E911" s="80"/>
      <c r="F911" s="80"/>
      <c r="G911" s="78"/>
      <c r="H911" s="81"/>
      <c r="I911" s="80"/>
    </row>
    <row r="912" spans="2:9" ht="13" x14ac:dyDescent="0.15">
      <c r="B912" s="82"/>
      <c r="C912" s="79"/>
      <c r="D912" s="80"/>
      <c r="E912" s="80"/>
      <c r="F912" s="80"/>
      <c r="G912" s="78"/>
      <c r="H912" s="81"/>
      <c r="I912" s="80"/>
    </row>
    <row r="913" spans="2:9" ht="13" x14ac:dyDescent="0.15">
      <c r="B913" s="82"/>
      <c r="C913" s="79"/>
      <c r="D913" s="80"/>
      <c r="E913" s="80"/>
      <c r="F913" s="80"/>
      <c r="G913" s="78"/>
      <c r="H913" s="81"/>
      <c r="I913" s="80"/>
    </row>
    <row r="914" spans="2:9" ht="13" x14ac:dyDescent="0.15">
      <c r="B914" s="82"/>
      <c r="C914" s="79"/>
      <c r="D914" s="80"/>
      <c r="E914" s="80"/>
      <c r="F914" s="80"/>
      <c r="G914" s="78"/>
      <c r="H914" s="81"/>
      <c r="I914" s="80"/>
    </row>
    <row r="915" spans="2:9" ht="13" x14ac:dyDescent="0.15">
      <c r="B915" s="82"/>
      <c r="C915" s="79"/>
      <c r="D915" s="80"/>
      <c r="E915" s="80"/>
      <c r="F915" s="80"/>
      <c r="G915" s="78"/>
      <c r="H915" s="81"/>
      <c r="I915" s="80"/>
    </row>
    <row r="916" spans="2:9" ht="13" x14ac:dyDescent="0.15">
      <c r="B916" s="82"/>
      <c r="C916" s="79"/>
      <c r="D916" s="80"/>
      <c r="E916" s="80"/>
      <c r="F916" s="80"/>
      <c r="G916" s="78"/>
      <c r="H916" s="81"/>
      <c r="I916" s="80"/>
    </row>
    <row r="917" spans="2:9" ht="13" x14ac:dyDescent="0.15">
      <c r="B917" s="82"/>
      <c r="C917" s="79"/>
      <c r="D917" s="80"/>
      <c r="E917" s="80"/>
      <c r="F917" s="80"/>
      <c r="G917" s="78"/>
      <c r="H917" s="81"/>
      <c r="I917" s="80"/>
    </row>
    <row r="918" spans="2:9" ht="13" x14ac:dyDescent="0.15">
      <c r="B918" s="82"/>
      <c r="C918" s="79"/>
      <c r="D918" s="80"/>
      <c r="E918" s="80"/>
      <c r="F918" s="80"/>
      <c r="G918" s="78"/>
      <c r="H918" s="81"/>
      <c r="I918" s="80"/>
    </row>
    <row r="919" spans="2:9" ht="13" x14ac:dyDescent="0.15">
      <c r="B919" s="82"/>
      <c r="C919" s="79"/>
      <c r="D919" s="80"/>
      <c r="E919" s="80"/>
      <c r="F919" s="80"/>
      <c r="G919" s="78"/>
      <c r="H919" s="81"/>
      <c r="I919" s="80"/>
    </row>
    <row r="920" spans="2:9" ht="13" x14ac:dyDescent="0.15">
      <c r="B920" s="82"/>
      <c r="C920" s="79"/>
      <c r="D920" s="80"/>
      <c r="E920" s="80"/>
      <c r="F920" s="80"/>
      <c r="G920" s="78"/>
      <c r="H920" s="81"/>
      <c r="I920" s="80"/>
    </row>
    <row r="921" spans="2:9" ht="13" x14ac:dyDescent="0.15">
      <c r="B921" s="82"/>
      <c r="C921" s="79"/>
      <c r="D921" s="80"/>
      <c r="E921" s="80"/>
      <c r="F921" s="80"/>
      <c r="G921" s="78"/>
      <c r="H921" s="81"/>
      <c r="I921" s="80"/>
    </row>
    <row r="922" spans="2:9" ht="13" x14ac:dyDescent="0.15">
      <c r="B922" s="82"/>
      <c r="C922" s="79"/>
      <c r="D922" s="80"/>
      <c r="E922" s="80"/>
      <c r="F922" s="80"/>
      <c r="G922" s="78"/>
      <c r="H922" s="81"/>
      <c r="I922" s="80"/>
    </row>
    <row r="923" spans="2:9" ht="13" x14ac:dyDescent="0.15">
      <c r="B923" s="82"/>
      <c r="C923" s="79"/>
      <c r="D923" s="80"/>
      <c r="E923" s="80"/>
      <c r="F923" s="80"/>
      <c r="G923" s="78"/>
      <c r="H923" s="81"/>
      <c r="I923" s="80"/>
    </row>
    <row r="924" spans="2:9" ht="13" x14ac:dyDescent="0.15">
      <c r="B924" s="82"/>
      <c r="C924" s="79"/>
      <c r="D924" s="80"/>
      <c r="E924" s="80"/>
      <c r="F924" s="80"/>
      <c r="G924" s="78"/>
      <c r="H924" s="81"/>
      <c r="I924" s="80"/>
    </row>
    <row r="925" spans="2:9" ht="13" x14ac:dyDescent="0.15">
      <c r="B925" s="82"/>
      <c r="C925" s="79"/>
      <c r="D925" s="80"/>
      <c r="E925" s="80"/>
      <c r="F925" s="80"/>
      <c r="G925" s="78"/>
      <c r="H925" s="81"/>
      <c r="I925" s="80"/>
    </row>
    <row r="926" spans="2:9" ht="13" x14ac:dyDescent="0.15">
      <c r="B926" s="82"/>
      <c r="C926" s="79"/>
      <c r="D926" s="80"/>
      <c r="E926" s="80"/>
      <c r="F926" s="80"/>
      <c r="G926" s="78"/>
      <c r="H926" s="81"/>
      <c r="I926" s="80"/>
    </row>
    <row r="927" spans="2:9" ht="13" x14ac:dyDescent="0.15">
      <c r="B927" s="82"/>
      <c r="C927" s="79"/>
      <c r="D927" s="80"/>
      <c r="E927" s="80"/>
      <c r="F927" s="80"/>
      <c r="G927" s="78"/>
      <c r="H927" s="81"/>
      <c r="I927" s="80"/>
    </row>
    <row r="928" spans="2:9" ht="13" x14ac:dyDescent="0.15">
      <c r="B928" s="82"/>
      <c r="C928" s="79"/>
      <c r="D928" s="80"/>
      <c r="E928" s="80"/>
      <c r="F928" s="80"/>
      <c r="G928" s="78"/>
      <c r="H928" s="81"/>
      <c r="I928" s="80"/>
    </row>
    <row r="929" spans="2:9" ht="13" x14ac:dyDescent="0.15">
      <c r="B929" s="82"/>
      <c r="C929" s="79"/>
      <c r="D929" s="80"/>
      <c r="E929" s="80"/>
      <c r="F929" s="80"/>
      <c r="G929" s="78"/>
      <c r="H929" s="81"/>
      <c r="I929" s="80"/>
    </row>
    <row r="930" spans="2:9" ht="13" x14ac:dyDescent="0.15">
      <c r="B930" s="82"/>
      <c r="C930" s="79"/>
      <c r="D930" s="80"/>
      <c r="E930" s="80"/>
      <c r="F930" s="80"/>
      <c r="G930" s="78"/>
      <c r="H930" s="81"/>
      <c r="I930" s="80"/>
    </row>
    <row r="931" spans="2:9" ht="13" x14ac:dyDescent="0.15">
      <c r="B931" s="82"/>
      <c r="C931" s="79"/>
      <c r="D931" s="80"/>
      <c r="E931" s="80"/>
      <c r="F931" s="80"/>
      <c r="G931" s="78"/>
      <c r="H931" s="81"/>
      <c r="I931" s="80"/>
    </row>
    <row r="932" spans="2:9" ht="13" x14ac:dyDescent="0.15">
      <c r="B932" s="82"/>
      <c r="C932" s="79"/>
      <c r="D932" s="80"/>
      <c r="E932" s="80"/>
      <c r="F932" s="80"/>
      <c r="G932" s="78"/>
      <c r="H932" s="81"/>
      <c r="I932" s="80"/>
    </row>
    <row r="933" spans="2:9" ht="13" x14ac:dyDescent="0.15">
      <c r="B933" s="82"/>
      <c r="C933" s="79"/>
      <c r="D933" s="80"/>
      <c r="E933" s="80"/>
      <c r="F933" s="80"/>
      <c r="G933" s="78"/>
      <c r="H933" s="81"/>
      <c r="I933" s="80"/>
    </row>
    <row r="934" spans="2:9" ht="13" x14ac:dyDescent="0.15">
      <c r="B934" s="82"/>
      <c r="C934" s="79"/>
      <c r="D934" s="80"/>
      <c r="E934" s="80"/>
      <c r="F934" s="80"/>
      <c r="G934" s="78"/>
      <c r="H934" s="81"/>
      <c r="I934" s="80"/>
    </row>
    <row r="935" spans="2:9" ht="13" x14ac:dyDescent="0.15">
      <c r="B935" s="82"/>
      <c r="C935" s="79"/>
      <c r="D935" s="80"/>
      <c r="E935" s="80"/>
      <c r="F935" s="80"/>
      <c r="G935" s="78"/>
      <c r="H935" s="81"/>
      <c r="I935" s="80"/>
    </row>
    <row r="936" spans="2:9" ht="13" x14ac:dyDescent="0.15">
      <c r="B936" s="82"/>
      <c r="C936" s="79"/>
      <c r="D936" s="80"/>
      <c r="E936" s="80"/>
      <c r="F936" s="80"/>
      <c r="G936" s="78"/>
      <c r="H936" s="81"/>
      <c r="I936" s="80"/>
    </row>
    <row r="937" spans="2:9" ht="13" x14ac:dyDescent="0.15">
      <c r="B937" s="82"/>
      <c r="C937" s="79"/>
      <c r="D937" s="80"/>
      <c r="E937" s="80"/>
      <c r="F937" s="80"/>
      <c r="G937" s="78"/>
      <c r="H937" s="81"/>
      <c r="I937" s="80"/>
    </row>
    <row r="938" spans="2:9" ht="13" x14ac:dyDescent="0.15">
      <c r="B938" s="82"/>
      <c r="C938" s="79"/>
      <c r="D938" s="80"/>
      <c r="E938" s="80"/>
      <c r="F938" s="80"/>
      <c r="G938" s="78"/>
      <c r="H938" s="81"/>
      <c r="I938" s="80"/>
    </row>
    <row r="939" spans="2:9" ht="13" x14ac:dyDescent="0.15">
      <c r="B939" s="82"/>
      <c r="C939" s="79"/>
      <c r="D939" s="80"/>
      <c r="E939" s="80"/>
      <c r="F939" s="80"/>
      <c r="G939" s="78"/>
      <c r="H939" s="81"/>
      <c r="I939" s="80"/>
    </row>
    <row r="940" spans="2:9" ht="13" x14ac:dyDescent="0.15">
      <c r="B940" s="82"/>
      <c r="C940" s="79"/>
      <c r="D940" s="80"/>
      <c r="E940" s="80"/>
      <c r="F940" s="80"/>
      <c r="G940" s="78"/>
      <c r="H940" s="81"/>
      <c r="I940" s="80"/>
    </row>
    <row r="941" spans="2:9" ht="13" x14ac:dyDescent="0.15">
      <c r="B941" s="82"/>
      <c r="C941" s="79"/>
      <c r="D941" s="80"/>
      <c r="E941" s="80"/>
      <c r="F941" s="80"/>
      <c r="G941" s="78"/>
      <c r="H941" s="81"/>
      <c r="I941" s="80"/>
    </row>
    <row r="942" spans="2:9" ht="13" x14ac:dyDescent="0.15">
      <c r="B942" s="82"/>
      <c r="C942" s="79"/>
      <c r="D942" s="80"/>
      <c r="E942" s="80"/>
      <c r="F942" s="80"/>
      <c r="G942" s="78"/>
      <c r="H942" s="81"/>
      <c r="I942" s="80"/>
    </row>
    <row r="943" spans="2:9" ht="13" x14ac:dyDescent="0.15">
      <c r="B943" s="82"/>
      <c r="C943" s="79"/>
      <c r="D943" s="80"/>
      <c r="E943" s="80"/>
      <c r="F943" s="80"/>
      <c r="G943" s="78"/>
      <c r="H943" s="81"/>
      <c r="I943" s="80"/>
    </row>
    <row r="944" spans="2:9" ht="13" x14ac:dyDescent="0.15">
      <c r="B944" s="82"/>
      <c r="C944" s="79"/>
      <c r="D944" s="80"/>
      <c r="E944" s="80"/>
      <c r="F944" s="80"/>
      <c r="G944" s="78"/>
      <c r="H944" s="81"/>
      <c r="I944" s="80"/>
    </row>
    <row r="945" spans="2:9" ht="13" x14ac:dyDescent="0.15">
      <c r="B945" s="82"/>
      <c r="C945" s="79"/>
      <c r="D945" s="80"/>
      <c r="E945" s="80"/>
      <c r="F945" s="80"/>
      <c r="G945" s="78"/>
      <c r="H945" s="81"/>
      <c r="I945" s="80"/>
    </row>
    <row r="946" spans="2:9" ht="13" x14ac:dyDescent="0.15">
      <c r="B946" s="82"/>
      <c r="C946" s="79"/>
      <c r="D946" s="80"/>
      <c r="E946" s="80"/>
      <c r="F946" s="80"/>
      <c r="G946" s="78"/>
      <c r="H946" s="81"/>
      <c r="I946" s="80"/>
    </row>
    <row r="947" spans="2:9" ht="13" x14ac:dyDescent="0.15">
      <c r="B947" s="82"/>
      <c r="C947" s="79"/>
      <c r="D947" s="80"/>
      <c r="E947" s="80"/>
      <c r="F947" s="80"/>
      <c r="G947" s="78"/>
      <c r="H947" s="81"/>
      <c r="I947" s="80"/>
    </row>
    <row r="948" spans="2:9" ht="13" x14ac:dyDescent="0.15">
      <c r="B948" s="82"/>
      <c r="C948" s="79"/>
      <c r="D948" s="80"/>
      <c r="E948" s="80"/>
      <c r="F948" s="80"/>
      <c r="G948" s="78"/>
      <c r="H948" s="81"/>
      <c r="I948" s="80"/>
    </row>
    <row r="949" spans="2:9" ht="13" x14ac:dyDescent="0.15">
      <c r="B949" s="82"/>
      <c r="C949" s="79"/>
      <c r="D949" s="80"/>
      <c r="E949" s="80"/>
      <c r="F949" s="80"/>
      <c r="G949" s="78"/>
      <c r="H949" s="81"/>
      <c r="I949" s="80"/>
    </row>
    <row r="950" spans="2:9" ht="13" x14ac:dyDescent="0.15">
      <c r="B950" s="82"/>
      <c r="C950" s="79"/>
      <c r="D950" s="80"/>
      <c r="E950" s="80"/>
      <c r="F950" s="80"/>
      <c r="G950" s="78"/>
      <c r="H950" s="81"/>
      <c r="I950" s="80"/>
    </row>
    <row r="951" spans="2:9" ht="13" x14ac:dyDescent="0.15">
      <c r="B951" s="82"/>
      <c r="C951" s="79"/>
      <c r="D951" s="80"/>
      <c r="E951" s="80"/>
      <c r="F951" s="80"/>
      <c r="G951" s="78"/>
      <c r="H951" s="81"/>
      <c r="I951" s="80"/>
    </row>
    <row r="952" spans="2:9" ht="13" x14ac:dyDescent="0.15">
      <c r="B952" s="82"/>
      <c r="C952" s="79"/>
      <c r="D952" s="80"/>
      <c r="E952" s="80"/>
      <c r="F952" s="80"/>
      <c r="G952" s="78"/>
      <c r="H952" s="81"/>
      <c r="I952" s="80"/>
    </row>
    <row r="953" spans="2:9" ht="13" x14ac:dyDescent="0.15">
      <c r="B953" s="82"/>
      <c r="C953" s="79"/>
      <c r="D953" s="80"/>
      <c r="E953" s="80"/>
      <c r="F953" s="80"/>
      <c r="G953" s="78"/>
      <c r="H953" s="81"/>
      <c r="I953" s="80"/>
    </row>
    <row r="954" spans="2:9" ht="13" x14ac:dyDescent="0.15">
      <c r="B954" s="82"/>
      <c r="C954" s="79"/>
      <c r="D954" s="80"/>
      <c r="E954" s="80"/>
      <c r="F954" s="80"/>
      <c r="G954" s="78"/>
      <c r="H954" s="81"/>
      <c r="I954" s="80"/>
    </row>
    <row r="955" spans="2:9" ht="13" x14ac:dyDescent="0.15">
      <c r="B955" s="82"/>
      <c r="C955" s="79"/>
      <c r="D955" s="80"/>
      <c r="E955" s="80"/>
      <c r="F955" s="80"/>
      <c r="G955" s="78"/>
      <c r="H955" s="81"/>
      <c r="I955" s="80"/>
    </row>
    <row r="956" spans="2:9" ht="13" x14ac:dyDescent="0.15">
      <c r="B956" s="82"/>
      <c r="C956" s="79"/>
      <c r="D956" s="80"/>
      <c r="E956" s="80"/>
      <c r="F956" s="80"/>
      <c r="G956" s="78"/>
      <c r="H956" s="81"/>
      <c r="I956" s="80"/>
    </row>
    <row r="957" spans="2:9" ht="13" x14ac:dyDescent="0.15">
      <c r="B957" s="82"/>
      <c r="C957" s="79"/>
      <c r="D957" s="80"/>
      <c r="E957" s="80"/>
      <c r="F957" s="80"/>
      <c r="G957" s="78"/>
      <c r="H957" s="81"/>
      <c r="I957" s="80"/>
    </row>
    <row r="958" spans="2:9" ht="13" x14ac:dyDescent="0.15">
      <c r="B958" s="82"/>
      <c r="C958" s="79"/>
      <c r="D958" s="80"/>
      <c r="E958" s="80"/>
      <c r="F958" s="80"/>
      <c r="G958" s="78"/>
      <c r="H958" s="81"/>
      <c r="I958" s="80"/>
    </row>
    <row r="959" spans="2:9" ht="13" x14ac:dyDescent="0.15">
      <c r="B959" s="82"/>
      <c r="C959" s="79"/>
      <c r="D959" s="80"/>
      <c r="E959" s="80"/>
      <c r="F959" s="80"/>
      <c r="G959" s="78"/>
      <c r="H959" s="81"/>
      <c r="I959" s="80"/>
    </row>
    <row r="960" spans="2:9" ht="13" x14ac:dyDescent="0.15">
      <c r="B960" s="82"/>
      <c r="C960" s="79"/>
      <c r="D960" s="80"/>
      <c r="E960" s="80"/>
      <c r="F960" s="80"/>
      <c r="G960" s="78"/>
      <c r="H960" s="81"/>
      <c r="I960" s="80"/>
    </row>
    <row r="961" spans="2:9" ht="13" x14ac:dyDescent="0.15">
      <c r="B961" s="82"/>
      <c r="C961" s="79"/>
      <c r="D961" s="80"/>
      <c r="E961" s="80"/>
      <c r="F961" s="80"/>
      <c r="G961" s="78"/>
      <c r="H961" s="81"/>
      <c r="I961" s="80"/>
    </row>
    <row r="962" spans="2:9" ht="13" x14ac:dyDescent="0.15">
      <c r="B962" s="82"/>
      <c r="C962" s="79"/>
      <c r="D962" s="80"/>
      <c r="E962" s="80"/>
      <c r="F962" s="80"/>
      <c r="G962" s="78"/>
      <c r="H962" s="81"/>
      <c r="I962" s="80"/>
    </row>
    <row r="963" spans="2:9" ht="13" x14ac:dyDescent="0.15">
      <c r="B963" s="82"/>
      <c r="C963" s="79"/>
      <c r="D963" s="80"/>
      <c r="E963" s="80"/>
      <c r="F963" s="80"/>
      <c r="G963" s="78"/>
      <c r="H963" s="81"/>
      <c r="I963" s="80"/>
    </row>
    <row r="964" spans="2:9" ht="13" x14ac:dyDescent="0.15">
      <c r="B964" s="82"/>
      <c r="C964" s="79"/>
      <c r="D964" s="80"/>
      <c r="E964" s="80"/>
      <c r="F964" s="80"/>
      <c r="G964" s="78"/>
      <c r="H964" s="81"/>
      <c r="I964" s="80"/>
    </row>
    <row r="965" spans="2:9" ht="13" x14ac:dyDescent="0.15">
      <c r="B965" s="82"/>
      <c r="C965" s="79"/>
      <c r="D965" s="80"/>
      <c r="E965" s="80"/>
      <c r="F965" s="80"/>
      <c r="G965" s="78"/>
      <c r="H965" s="81"/>
      <c r="I965" s="80"/>
    </row>
    <row r="966" spans="2:9" ht="13" x14ac:dyDescent="0.15">
      <c r="B966" s="82"/>
      <c r="C966" s="79"/>
      <c r="D966" s="80"/>
      <c r="E966" s="80"/>
      <c r="F966" s="80"/>
      <c r="G966" s="78"/>
      <c r="H966" s="81"/>
      <c r="I966" s="80"/>
    </row>
    <row r="967" spans="2:9" ht="13" x14ac:dyDescent="0.15">
      <c r="B967" s="82"/>
      <c r="C967" s="79"/>
      <c r="D967" s="80"/>
      <c r="E967" s="80"/>
      <c r="F967" s="80"/>
      <c r="G967" s="78"/>
      <c r="H967" s="81"/>
      <c r="I967" s="80"/>
    </row>
    <row r="968" spans="2:9" ht="13" x14ac:dyDescent="0.15">
      <c r="B968" s="82"/>
      <c r="C968" s="79"/>
      <c r="D968" s="80"/>
      <c r="E968" s="80"/>
      <c r="F968" s="80"/>
      <c r="G968" s="78"/>
      <c r="H968" s="81"/>
      <c r="I968" s="80"/>
    </row>
    <row r="969" spans="2:9" ht="13" x14ac:dyDescent="0.15">
      <c r="B969" s="82"/>
      <c r="C969" s="79"/>
      <c r="D969" s="80"/>
      <c r="E969" s="80"/>
      <c r="F969" s="80"/>
      <c r="G969" s="78"/>
      <c r="H969" s="81"/>
      <c r="I969" s="80"/>
    </row>
    <row r="970" spans="2:9" ht="13" x14ac:dyDescent="0.15">
      <c r="B970" s="82"/>
      <c r="C970" s="79"/>
      <c r="D970" s="80"/>
      <c r="E970" s="80"/>
      <c r="F970" s="80"/>
      <c r="G970" s="78"/>
      <c r="H970" s="81"/>
      <c r="I970" s="80"/>
    </row>
    <row r="971" spans="2:9" ht="13" x14ac:dyDescent="0.15">
      <c r="B971" s="82"/>
      <c r="C971" s="79"/>
      <c r="D971" s="80"/>
      <c r="E971" s="80"/>
      <c r="F971" s="80"/>
      <c r="G971" s="78"/>
      <c r="H971" s="81"/>
      <c r="I971" s="80"/>
    </row>
    <row r="972" spans="2:9" ht="13" x14ac:dyDescent="0.15">
      <c r="B972" s="82"/>
      <c r="C972" s="79"/>
      <c r="D972" s="80"/>
      <c r="E972" s="80"/>
      <c r="F972" s="80"/>
      <c r="G972" s="78"/>
      <c r="H972" s="81"/>
      <c r="I972" s="80"/>
    </row>
    <row r="973" spans="2:9" ht="13" x14ac:dyDescent="0.15">
      <c r="B973" s="82"/>
      <c r="C973" s="79"/>
      <c r="D973" s="80"/>
      <c r="E973" s="80"/>
      <c r="F973" s="80"/>
      <c r="G973" s="78"/>
      <c r="H973" s="81"/>
      <c r="I973" s="80"/>
    </row>
    <row r="974" spans="2:9" ht="13" x14ac:dyDescent="0.15">
      <c r="B974" s="82"/>
      <c r="C974" s="79"/>
      <c r="D974" s="80"/>
      <c r="E974" s="80"/>
      <c r="F974" s="80"/>
      <c r="G974" s="78"/>
      <c r="H974" s="81"/>
      <c r="I974" s="80"/>
    </row>
    <row r="975" spans="2:9" ht="13" x14ac:dyDescent="0.15">
      <c r="B975" s="82"/>
      <c r="C975" s="79"/>
      <c r="D975" s="80"/>
      <c r="E975" s="80"/>
      <c r="F975" s="80"/>
      <c r="G975" s="78"/>
      <c r="H975" s="81"/>
      <c r="I975" s="80"/>
    </row>
    <row r="976" spans="2:9" ht="13" x14ac:dyDescent="0.15">
      <c r="B976" s="82"/>
      <c r="C976" s="79"/>
      <c r="D976" s="80"/>
      <c r="E976" s="80"/>
      <c r="F976" s="80"/>
      <c r="G976" s="78"/>
      <c r="H976" s="81"/>
      <c r="I976" s="80"/>
    </row>
    <row r="977" spans="2:9" ht="13" x14ac:dyDescent="0.15">
      <c r="B977" s="82"/>
      <c r="C977" s="79"/>
      <c r="D977" s="80"/>
      <c r="E977" s="80"/>
      <c r="F977" s="80"/>
      <c r="G977" s="78"/>
      <c r="H977" s="81"/>
      <c r="I977" s="80"/>
    </row>
    <row r="978" spans="2:9" ht="13" x14ac:dyDescent="0.15">
      <c r="B978" s="82"/>
      <c r="C978" s="79"/>
      <c r="D978" s="80"/>
      <c r="E978" s="80"/>
      <c r="F978" s="80"/>
      <c r="G978" s="78"/>
      <c r="H978" s="81"/>
      <c r="I978" s="80"/>
    </row>
    <row r="979" spans="2:9" ht="13" x14ac:dyDescent="0.15">
      <c r="B979" s="82"/>
      <c r="C979" s="79"/>
      <c r="D979" s="80"/>
      <c r="E979" s="80"/>
      <c r="F979" s="80"/>
      <c r="G979" s="78"/>
      <c r="H979" s="81"/>
      <c r="I979" s="80"/>
    </row>
    <row r="980" spans="2:9" ht="13" x14ac:dyDescent="0.15">
      <c r="B980" s="82"/>
      <c r="C980" s="79"/>
      <c r="D980" s="80"/>
      <c r="E980" s="80"/>
      <c r="F980" s="80"/>
      <c r="G980" s="78"/>
      <c r="H980" s="81"/>
      <c r="I980" s="80"/>
    </row>
    <row r="981" spans="2:9" ht="13" x14ac:dyDescent="0.15">
      <c r="B981" s="82"/>
      <c r="C981" s="79"/>
      <c r="D981" s="80"/>
      <c r="E981" s="80"/>
      <c r="F981" s="80"/>
      <c r="G981" s="78"/>
      <c r="H981" s="81"/>
      <c r="I981" s="80"/>
    </row>
    <row r="982" spans="2:9" ht="13" x14ac:dyDescent="0.15">
      <c r="B982" s="82"/>
      <c r="C982" s="79"/>
      <c r="D982" s="80"/>
      <c r="E982" s="80"/>
      <c r="F982" s="80"/>
      <c r="G982" s="78"/>
      <c r="H982" s="81"/>
      <c r="I982" s="80"/>
    </row>
    <row r="983" spans="2:9" ht="13" x14ac:dyDescent="0.15">
      <c r="B983" s="82"/>
      <c r="C983" s="79"/>
      <c r="D983" s="80"/>
      <c r="E983" s="80"/>
      <c r="F983" s="80"/>
      <c r="G983" s="78"/>
      <c r="H983" s="81"/>
      <c r="I983" s="80"/>
    </row>
    <row r="984" spans="2:9" ht="13" x14ac:dyDescent="0.15">
      <c r="B984" s="82"/>
      <c r="C984" s="79"/>
      <c r="D984" s="80"/>
      <c r="E984" s="80"/>
      <c r="F984" s="80"/>
      <c r="G984" s="78"/>
      <c r="H984" s="81"/>
      <c r="I984" s="80"/>
    </row>
    <row r="985" spans="2:9" ht="13" x14ac:dyDescent="0.15">
      <c r="B985" s="82"/>
      <c r="C985" s="79"/>
      <c r="D985" s="80"/>
      <c r="E985" s="80"/>
      <c r="F985" s="80"/>
      <c r="G985" s="78"/>
      <c r="H985" s="81"/>
      <c r="I985" s="80"/>
    </row>
    <row r="986" spans="2:9" ht="13" x14ac:dyDescent="0.15">
      <c r="B986" s="82"/>
      <c r="C986" s="79"/>
      <c r="D986" s="80"/>
      <c r="E986" s="80"/>
      <c r="F986" s="80"/>
      <c r="G986" s="78"/>
      <c r="H986" s="81"/>
      <c r="I986" s="80"/>
    </row>
    <row r="987" spans="2:9" ht="13" x14ac:dyDescent="0.15">
      <c r="B987" s="82"/>
      <c r="C987" s="79"/>
      <c r="D987" s="80"/>
      <c r="E987" s="80"/>
      <c r="F987" s="80"/>
      <c r="G987" s="78"/>
      <c r="H987" s="81"/>
      <c r="I987" s="80"/>
    </row>
    <row r="988" spans="2:9" ht="13" x14ac:dyDescent="0.15">
      <c r="B988" s="82"/>
      <c r="C988" s="79"/>
      <c r="D988" s="80"/>
      <c r="E988" s="80"/>
      <c r="F988" s="80"/>
      <c r="G988" s="78"/>
      <c r="H988" s="81"/>
      <c r="I988" s="80"/>
    </row>
    <row r="989" spans="2:9" ht="13" x14ac:dyDescent="0.15">
      <c r="B989" s="82"/>
      <c r="C989" s="79"/>
      <c r="D989" s="80"/>
      <c r="E989" s="80"/>
      <c r="F989" s="80"/>
      <c r="G989" s="78"/>
      <c r="H989" s="81"/>
      <c r="I989" s="80"/>
    </row>
    <row r="990" spans="2:9" ht="13" x14ac:dyDescent="0.15">
      <c r="B990" s="82"/>
      <c r="C990" s="79"/>
      <c r="D990" s="80"/>
      <c r="E990" s="80"/>
      <c r="F990" s="80"/>
      <c r="G990" s="78"/>
      <c r="H990" s="81"/>
      <c r="I990" s="80"/>
    </row>
    <row r="991" spans="2:9" ht="13" x14ac:dyDescent="0.15">
      <c r="B991" s="82"/>
      <c r="C991" s="79"/>
      <c r="D991" s="80"/>
      <c r="E991" s="80"/>
      <c r="F991" s="80"/>
      <c r="G991" s="78"/>
      <c r="H991" s="81"/>
      <c r="I991" s="80"/>
    </row>
    <row r="992" spans="2:9" ht="13" x14ac:dyDescent="0.15">
      <c r="B992" s="82"/>
      <c r="C992" s="79"/>
      <c r="D992" s="80"/>
      <c r="E992" s="80"/>
      <c r="F992" s="80"/>
      <c r="G992" s="78"/>
      <c r="H992" s="81"/>
      <c r="I992" s="80"/>
    </row>
    <row r="993" spans="2:9" ht="13" x14ac:dyDescent="0.15">
      <c r="B993" s="82"/>
      <c r="C993" s="79"/>
      <c r="D993" s="80"/>
      <c r="E993" s="80"/>
      <c r="F993" s="80"/>
      <c r="G993" s="78"/>
      <c r="H993" s="81"/>
      <c r="I993" s="80"/>
    </row>
    <row r="994" spans="2:9" ht="13" x14ac:dyDescent="0.15">
      <c r="B994" s="82"/>
      <c r="C994" s="79"/>
      <c r="D994" s="80"/>
      <c r="E994" s="80"/>
      <c r="F994" s="80"/>
      <c r="G994" s="78"/>
      <c r="H994" s="81"/>
      <c r="I994" s="80"/>
    </row>
    <row r="995" spans="2:9" ht="13" x14ac:dyDescent="0.15">
      <c r="B995" s="82"/>
      <c r="C995" s="79"/>
      <c r="D995" s="80"/>
      <c r="E995" s="80"/>
      <c r="F995" s="80"/>
      <c r="G995" s="78"/>
      <c r="H995" s="81"/>
      <c r="I995" s="80"/>
    </row>
    <row r="996" spans="2:9" ht="13" x14ac:dyDescent="0.15">
      <c r="B996" s="82"/>
      <c r="C996" s="79"/>
      <c r="D996" s="80"/>
      <c r="E996" s="80"/>
      <c r="F996" s="80"/>
      <c r="G996" s="78"/>
      <c r="H996" s="81"/>
      <c r="I996" s="80"/>
    </row>
    <row r="997" spans="2:9" ht="13" x14ac:dyDescent="0.15">
      <c r="B997" s="82"/>
      <c r="C997" s="79"/>
      <c r="D997" s="80"/>
      <c r="E997" s="80"/>
      <c r="F997" s="80"/>
      <c r="G997" s="78"/>
      <c r="H997" s="81"/>
      <c r="I997" s="80"/>
    </row>
    <row r="998" spans="2:9" ht="13" x14ac:dyDescent="0.15">
      <c r="B998" s="82"/>
      <c r="C998" s="79"/>
      <c r="D998" s="80"/>
      <c r="E998" s="80"/>
      <c r="F998" s="80"/>
      <c r="G998" s="78"/>
      <c r="H998" s="81"/>
      <c r="I998" s="80"/>
    </row>
    <row r="999" spans="2:9" ht="13" x14ac:dyDescent="0.15">
      <c r="B999" s="25"/>
      <c r="C999" s="25"/>
      <c r="G999" s="25"/>
      <c r="H999" s="26"/>
    </row>
    <row r="1000" spans="2:9" ht="13" x14ac:dyDescent="0.15">
      <c r="B1000" s="25"/>
      <c r="C1000" s="25"/>
      <c r="G1000" s="25"/>
      <c r="H1000" s="26"/>
    </row>
  </sheetData>
  <conditionalFormatting sqref="F1:F1000">
    <cfRule type="containsText" dxfId="1" priority="1" operator="containsText" text="error">
      <formula>NOT(ISERROR(SEARCH(("error"),(F1))))</formula>
    </cfRule>
  </conditionalFormatting>
  <hyperlinks>
    <hyperlink ref="G15" r:id="rId1" display="http://0700.hk/" xr:uid="{00000000-0004-0000-0300-000000000000}"/>
    <hyperlink ref="G17" r:id="rId2" display="http://0883.hk/" xr:uid="{00000000-0004-0000-0300-000001000000}"/>
    <hyperlink ref="G23" r:id="rId3" display="http://9698.hk/" xr:uid="{00000000-0004-0000-0300-000002000000}"/>
    <hyperlink ref="G24" r:id="rId4" display="http://3690.hk/" xr:uid="{00000000-0004-0000-0300-000003000000}"/>
    <hyperlink ref="G25" r:id="rId5" display="http://9698.hk/" xr:uid="{00000000-0004-0000-0300-000004000000}"/>
    <hyperlink ref="G37" r:id="rId6" display="http://3690.hk/" xr:uid="{00000000-0004-0000-0300-000005000000}"/>
    <hyperlink ref="G41" r:id="rId7" display="http://601168.ss/" xr:uid="{00000000-0004-0000-0300-000006000000}"/>
    <hyperlink ref="G48" r:id="rId8" display="http://2318.hk/" xr:uid="{00000000-0004-0000-0300-000007000000}"/>
    <hyperlink ref="G51" r:id="rId9" display="http://2269.hk/" xr:uid="{00000000-0004-0000-0300-000008000000}"/>
    <hyperlink ref="G54" r:id="rId10" display="http://1398.hk/" xr:uid="{00000000-0004-0000-0300-000009000000}"/>
    <hyperlink ref="G55" r:id="rId11" display="http://1398.hk/" xr:uid="{00000000-0004-0000-0300-00000A000000}"/>
    <hyperlink ref="G66" r:id="rId12" display="http://600986.ss/" xr:uid="{00000000-0004-0000-0300-00000B000000}"/>
    <hyperlink ref="G70" r:id="rId13" display="http://ubi.pa/" xr:uid="{00000000-0004-0000-0300-00000C000000}"/>
    <hyperlink ref="G77" r:id="rId14" display="http://2333.hk/" xr:uid="{00000000-0004-0000-0300-00000D000000}"/>
    <hyperlink ref="G78" r:id="rId15" display="http://3339.hk/" xr:uid="{00000000-0004-0000-0300-00000E000000}"/>
    <hyperlink ref="G79" r:id="rId16" display="http://1610.hk/" xr:uid="{00000000-0004-0000-0300-00000F000000}"/>
    <hyperlink ref="G80" r:id="rId17" display="http://2020.hk/" xr:uid="{00000000-0004-0000-0300-000010000000}"/>
    <hyperlink ref="G82" r:id="rId18" display="http://1810.hk/" xr:uid="{00000000-0004-0000-0300-000011000000}"/>
    <hyperlink ref="G95" r:id="rId19" display="http://3339.hk/" xr:uid="{00000000-0004-0000-0300-000012000000}"/>
    <hyperlink ref="G96" r:id="rId20" display="http://3339.hk/" xr:uid="{00000000-0004-0000-0300-000013000000}"/>
    <hyperlink ref="G97" r:id="rId21" display="http://2333.hk/" xr:uid="{00000000-0004-0000-0300-000014000000}"/>
    <hyperlink ref="G98" r:id="rId22" display="http://1810.hk/" xr:uid="{00000000-0004-0000-0300-000015000000}"/>
    <hyperlink ref="G100" r:id="rId23" display="http://9698.hk/" xr:uid="{00000000-0004-0000-0300-000016000000}"/>
    <hyperlink ref="G102" r:id="rId24" display="http://9988.hk/" xr:uid="{00000000-0004-0000-0300-000017000000}"/>
    <hyperlink ref="G104" r:id="rId25" display="http://0883.hk/" xr:uid="{00000000-0004-0000-0300-000018000000}"/>
    <hyperlink ref="G106" r:id="rId26" display="http://2020.hk/" xr:uid="{00000000-0004-0000-0300-000019000000}"/>
    <hyperlink ref="G119" r:id="rId27" display="http://0700.hk/" xr:uid="{00000000-0004-0000-0300-00001A000000}"/>
    <hyperlink ref="G120" r:id="rId28" display="http://6969.hk/" xr:uid="{00000000-0004-0000-0300-00001B000000}"/>
    <hyperlink ref="G122" r:id="rId29" display="http://0700.hk/" xr:uid="{00000000-0004-0000-0300-00001C000000}"/>
    <hyperlink ref="G134" r:id="rId30" display="http://2333.hk/" xr:uid="{00000000-0004-0000-0300-00001D000000}"/>
    <hyperlink ref="G135" r:id="rId31" display="http://0175.hk/" xr:uid="{00000000-0004-0000-0300-00001E000000}"/>
    <hyperlink ref="G138" r:id="rId32" display="http://9961.hk/" xr:uid="{00000000-0004-0000-0300-00001F000000}"/>
    <hyperlink ref="G139" r:id="rId33" display="http://9999.hk/" xr:uid="{00000000-0004-0000-0300-000020000000}"/>
    <hyperlink ref="G140" r:id="rId34" display="http://0909.hk/" xr:uid="{00000000-0004-0000-0300-000021000000}"/>
    <hyperlink ref="G149" r:id="rId35" display="http://6969.hk/" xr:uid="{00000000-0004-0000-0300-000022000000}"/>
    <hyperlink ref="G151" r:id="rId36" display="http://0700.hk/" xr:uid="{00000000-0004-0000-0300-000023000000}"/>
    <hyperlink ref="G154" r:id="rId37" display="http://6969.hk/" xr:uid="{00000000-0004-0000-0300-000024000000}"/>
    <hyperlink ref="G168" r:id="rId38" display="http://1498.hk/" xr:uid="{00000000-0004-0000-0300-000025000000}"/>
    <hyperlink ref="G174" r:id="rId39" display="http://0700.hk/" xr:uid="{00000000-0004-0000-0300-000026000000}"/>
    <hyperlink ref="G175" r:id="rId40" display="http://3690.hk/" xr:uid="{00000000-0004-0000-0300-000027000000}"/>
    <hyperlink ref="G176" r:id="rId41" display="http://3690.hk/" xr:uid="{00000000-0004-0000-0300-000028000000}"/>
    <hyperlink ref="G177" r:id="rId42" display="http://002230.sz/" xr:uid="{00000000-0004-0000-0300-000029000000}"/>
    <hyperlink ref="G178" r:id="rId43" display="http://1109.hk/" xr:uid="{00000000-0004-0000-0300-00002A000000}"/>
    <hyperlink ref="G179" r:id="rId44" display="http://0941.hk/" xr:uid="{00000000-0004-0000-0300-00002B000000}"/>
    <hyperlink ref="G181" r:id="rId45" display="http://9698.hk/" xr:uid="{00000000-0004-0000-0300-00002C000000}"/>
    <hyperlink ref="G191" r:id="rId46" display="http://0941.hk/" xr:uid="{00000000-0004-0000-0300-00002D000000}"/>
    <hyperlink ref="G193" r:id="rId47" display="http://3047.hk/" xr:uid="{00000000-0004-0000-0300-00002E000000}"/>
    <hyperlink ref="G194" r:id="rId48" display="http://9988.hk/" xr:uid="{00000000-0004-0000-0300-00002F000000}"/>
    <hyperlink ref="G195" r:id="rId49" display="http://0941.hk/" xr:uid="{00000000-0004-0000-0300-000030000000}"/>
    <hyperlink ref="G196" r:id="rId50" display="http://3047.hk/" xr:uid="{00000000-0004-0000-0300-000031000000}"/>
    <hyperlink ref="G199" r:id="rId51" display="http://3047.hk/" xr:uid="{00000000-0004-0000-0300-000032000000}"/>
    <hyperlink ref="G200" r:id="rId52" display="http://9988.hk/" xr:uid="{00000000-0004-0000-0300-000033000000}"/>
    <hyperlink ref="G201" r:id="rId53" display="http://0941.hk/" xr:uid="{00000000-0004-0000-0300-000034000000}"/>
    <hyperlink ref="G203" r:id="rId54" display="http://002665.sz/" xr:uid="{00000000-0004-0000-0300-000035000000}"/>
    <hyperlink ref="G204" r:id="rId55" display="http://000554.sz/" xr:uid="{00000000-0004-0000-0300-000036000000}"/>
    <hyperlink ref="G205" r:id="rId56" display="http://300945.sz/" xr:uid="{00000000-0004-0000-0300-000037000000}"/>
    <hyperlink ref="G206" r:id="rId57" display="http://601808.ss/" xr:uid="{00000000-0004-0000-0300-000038000000}"/>
    <hyperlink ref="G207" r:id="rId58" display="http://601808.ss/" xr:uid="{00000000-0004-0000-0300-000039000000}"/>
    <hyperlink ref="G208" r:id="rId59" display="http://300922.sz/" xr:uid="{00000000-0004-0000-0300-00003A000000}"/>
    <hyperlink ref="G209" r:id="rId60" display="http://300922.sz/" xr:uid="{00000000-0004-0000-0300-00003B000000}"/>
    <hyperlink ref="G213" r:id="rId61" display="http://1398.hk/" xr:uid="{00000000-0004-0000-0300-00003C000000}"/>
    <hyperlink ref="G214" r:id="rId62" display="http://1398.hk/" xr:uid="{00000000-0004-0000-0300-00003D000000}"/>
    <hyperlink ref="G219" r:id="rId63" display="http://300157.sz/" xr:uid="{00000000-0004-0000-0300-00003E000000}"/>
    <hyperlink ref="G220" r:id="rId64" display="http://300157.sz/" xr:uid="{00000000-0004-0000-0300-00003F000000}"/>
    <hyperlink ref="G225" r:id="rId65" display="http://000554.sz/" xr:uid="{00000000-0004-0000-0300-000040000000}"/>
    <hyperlink ref="G226" r:id="rId66" display="http://300945.sz/" xr:uid="{00000000-0004-0000-0300-000041000000}"/>
    <hyperlink ref="G227" r:id="rId67" display="http://601808.ss/" xr:uid="{00000000-0004-0000-0300-000042000000}"/>
    <hyperlink ref="G228" r:id="rId68" display="http://300922.sz/" xr:uid="{00000000-0004-0000-0300-000043000000}"/>
    <hyperlink ref="G231" r:id="rId69" display="http://9698.hk/" xr:uid="{00000000-0004-0000-0300-000044000000}"/>
    <hyperlink ref="G232" r:id="rId70" display="http://6969.hk/" xr:uid="{00000000-0004-0000-0300-000045000000}"/>
    <hyperlink ref="G233" r:id="rId71" display="http://603967.ss/" xr:uid="{00000000-0004-0000-0300-000046000000}"/>
    <hyperlink ref="G235" r:id="rId72" display="http://300922.sz/" xr:uid="{00000000-0004-0000-0300-000047000000}"/>
    <hyperlink ref="G237" r:id="rId73" display="http://00700.hk/" xr:uid="{00000000-0004-0000-0300-000048000000}"/>
    <hyperlink ref="G240" r:id="rId74" display="http://00700.hk/" xr:uid="{00000000-0004-0000-0300-000049000000}"/>
    <hyperlink ref="G251" r:id="rId75" display="http://9626.hk/" xr:uid="{00000000-0004-0000-0300-00004A000000}"/>
    <hyperlink ref="G252" r:id="rId76" display="http://9888.hk/" xr:uid="{00000000-0004-0000-0300-00004B000000}"/>
    <hyperlink ref="G253" r:id="rId77" display="http://9626.hk/" xr:uid="{00000000-0004-0000-0300-00004C000000}"/>
    <hyperlink ref="G254" r:id="rId78" display="http://9988.hk/" xr:uid="{00000000-0004-0000-0300-00004D000000}"/>
    <hyperlink ref="G260" r:id="rId79" display="http://002665.sz/" xr:uid="{00000000-0004-0000-0300-00004E000000}"/>
    <hyperlink ref="G261" r:id="rId80" display="http://603967.ss/" xr:uid="{00000000-0004-0000-0300-00004F000000}"/>
    <hyperlink ref="G266" r:id="rId81" display="http://00700.hk/" xr:uid="{00000000-0004-0000-0300-000050000000}"/>
    <hyperlink ref="G267" r:id="rId82" display="http://0700.hk/" xr:uid="{00000000-0004-0000-0300-000051000000}"/>
    <hyperlink ref="G269" r:id="rId83" display="http://600519.ss/" xr:uid="{00000000-0004-0000-0300-000052000000}"/>
    <hyperlink ref="G275" r:id="rId84" display="http://002475.sz/" xr:uid="{00000000-0004-0000-0300-000053000000}"/>
    <hyperlink ref="G276" r:id="rId85" display="http://9988.hk/" xr:uid="{00000000-0004-0000-0300-000054000000}"/>
    <hyperlink ref="G277" r:id="rId86" display="http://2800.hk/" xr:uid="{00000000-0004-0000-0300-000055000000}"/>
    <hyperlink ref="G287" r:id="rId87" display="http://9988.hk/" xr:uid="{00000000-0004-0000-0300-000056000000}"/>
    <hyperlink ref="G290" r:id="rId88" display="http://0700.hk/" xr:uid="{00000000-0004-0000-0300-000057000000}"/>
    <hyperlink ref="G295" r:id="rId89" display="http://9988.hk/" xr:uid="{00000000-0004-0000-0300-000058000000}"/>
    <hyperlink ref="G296" r:id="rId90" display="http://2800.hk/" xr:uid="{00000000-0004-0000-0300-000059000000}"/>
    <hyperlink ref="G298" r:id="rId91" display="http://3800.hk/" xr:uid="{00000000-0004-0000-0300-00005A000000}"/>
    <hyperlink ref="G299" r:id="rId92" display="http://1208.hk/" xr:uid="{00000000-0004-0000-0300-00005B000000}"/>
    <hyperlink ref="G301" r:id="rId93" display="http://3800.hk/" xr:uid="{00000000-0004-0000-0300-00005C000000}"/>
    <hyperlink ref="G302" r:id="rId94" display="http://1810.hk/" xr:uid="{00000000-0004-0000-0300-00005D000000}"/>
    <hyperlink ref="G303" r:id="rId95" display="http://3800.hk/" xr:uid="{00000000-0004-0000-0300-00005E000000}"/>
    <hyperlink ref="G311" r:id="rId96" display="http://9988.hk/" xr:uid="{00000000-0004-0000-0300-00005F000000}"/>
    <hyperlink ref="G312" r:id="rId97" display="http://1024.hk/" xr:uid="{00000000-0004-0000-0300-000060000000}"/>
    <hyperlink ref="G313" r:id="rId98" display="http://1810.hk/" xr:uid="{00000000-0004-0000-0300-000061000000}"/>
    <hyperlink ref="G314" r:id="rId99" display="http://0700.hk/" xr:uid="{00000000-0004-0000-0300-000062000000}"/>
    <hyperlink ref="G315" r:id="rId100" display="http://9988.hk/" xr:uid="{00000000-0004-0000-0300-000063000000}"/>
    <hyperlink ref="G317" r:id="rId101" display="http://0001.hk/" xr:uid="{00000000-0004-0000-0300-000064000000}"/>
    <hyperlink ref="G318" r:id="rId102" display="http://0151.hk/" xr:uid="{00000000-0004-0000-0300-000065000000}"/>
    <hyperlink ref="G332" r:id="rId103" display="http://603963.ss/" xr:uid="{00000000-0004-0000-0300-000066000000}"/>
    <hyperlink ref="G333" r:id="rId104" display="http://0700.hk/" xr:uid="{00000000-0004-0000-0300-000067000000}"/>
    <hyperlink ref="G334" r:id="rId105" display="http://0151.hk/" xr:uid="{00000000-0004-0000-0300-000068000000}"/>
    <hyperlink ref="G335" r:id="rId106" display="http://0001.hk/" xr:uid="{00000000-0004-0000-0300-000069000000}"/>
    <hyperlink ref="G336" r:id="rId107" display="http://0151.hk/" xr:uid="{00000000-0004-0000-0300-00006A000000}"/>
    <hyperlink ref="G337" r:id="rId108" display="http://0001.hk/" xr:uid="{00000000-0004-0000-0300-00006B000000}"/>
    <hyperlink ref="G338" r:id="rId109" display="http://000950.sz/" xr:uid="{00000000-0004-0000-0300-00006C000000}"/>
    <hyperlink ref="G339" r:id="rId110" display="http://600661.ss/" xr:uid="{00000000-0004-0000-0300-00006D000000}"/>
    <hyperlink ref="G341" r:id="rId111" display="http://9988.hk/" xr:uid="{00000000-0004-0000-0300-00006E000000}"/>
    <hyperlink ref="G342" r:id="rId112" display="http://1024.hk/" xr:uid="{00000000-0004-0000-0300-00006F000000}"/>
    <hyperlink ref="G343" r:id="rId113" display="http://1810.hk/" xr:uid="{00000000-0004-0000-0300-000070000000}"/>
    <hyperlink ref="G344" r:id="rId114" display="http://3690.hk/" xr:uid="{00000000-0004-0000-0300-000071000000}"/>
    <hyperlink ref="G345" r:id="rId115" display="http://0700.hk/" xr:uid="{00000000-0004-0000-0300-000072000000}"/>
    <hyperlink ref="G346" r:id="rId116" display="http://3690.hk/" xr:uid="{00000000-0004-0000-0300-000073000000}"/>
    <hyperlink ref="G347" r:id="rId117" display="http://2800.hk/" xr:uid="{00000000-0004-0000-0300-000074000000}"/>
    <hyperlink ref="G348" r:id="rId118" display="http://603963.ss/" xr:uid="{00000000-0004-0000-0300-000075000000}"/>
    <hyperlink ref="G349" r:id="rId119" display="http://00700.hk/" xr:uid="{00000000-0004-0000-0300-000076000000}"/>
    <hyperlink ref="G350" r:id="rId120" display="http://09988.hk/" xr:uid="{00000000-0004-0000-0300-000077000000}"/>
    <hyperlink ref="G351" r:id="rId121" display="http://0700.hk/" xr:uid="{00000000-0004-0000-0300-000078000000}"/>
    <hyperlink ref="G352" r:id="rId122" display="http://3047.hk/" xr:uid="{00000000-0004-0000-0300-000079000000}"/>
    <hyperlink ref="G353" r:id="rId123" display="http://9988.hk/" xr:uid="{00000000-0004-0000-0300-00007A000000}"/>
    <hyperlink ref="G357" r:id="rId124" display="http://0151.hk/" xr:uid="{00000000-0004-0000-0300-00007B000000}"/>
    <hyperlink ref="G363" r:id="rId125" display="http://1772.hk/" xr:uid="{00000000-0004-0000-0300-00007C000000}"/>
    <hyperlink ref="G364" r:id="rId126" display="http://0700.hk/" xr:uid="{00000000-0004-0000-0300-00007D000000}"/>
    <hyperlink ref="G376" r:id="rId127" display="http://9988.hk/" xr:uid="{00000000-0004-0000-0300-00007E000000}"/>
    <hyperlink ref="G378" r:id="rId128" display="http://9988.hk/" xr:uid="{00000000-0004-0000-0300-00007F000000}"/>
    <hyperlink ref="G379" r:id="rId129" display="http://6680.hk/" xr:uid="{00000000-0004-0000-0300-000080000000}"/>
    <hyperlink ref="G380" r:id="rId130" display="http://9988.hk/" xr:uid="{00000000-0004-0000-0300-000081000000}"/>
    <hyperlink ref="G381" r:id="rId131" display="http://1024.hk/" xr:uid="{00000000-0004-0000-0300-000082000000}"/>
    <hyperlink ref="G382" r:id="rId132" display="http://1810.hk/" xr:uid="{00000000-0004-0000-0300-000083000000}"/>
    <hyperlink ref="G383" r:id="rId133" display="http://2318.hk/" xr:uid="{00000000-0004-0000-0300-000084000000}"/>
    <hyperlink ref="G390" r:id="rId134" display="http://1024.hk/" xr:uid="{00000000-0004-0000-0300-000085000000}"/>
    <hyperlink ref="G391" r:id="rId135" display="http://1024.hk/" xr:uid="{00000000-0004-0000-0300-000086000000}"/>
    <hyperlink ref="G392" r:id="rId136" display="http://1024.hk/" xr:uid="{00000000-0004-0000-0300-000087000000}"/>
    <hyperlink ref="G393" r:id="rId137" display="http://1024.hk/" xr:uid="{00000000-0004-0000-0300-000088000000}"/>
    <hyperlink ref="G394" r:id="rId138" display="http://9988.hk/" xr:uid="{00000000-0004-0000-0300-000089000000}"/>
    <hyperlink ref="G395" r:id="rId139" display="http://6680.hk/" xr:uid="{00000000-0004-0000-0300-00008A000000}"/>
    <hyperlink ref="G396" r:id="rId140" display="http://1024.hk/" xr:uid="{00000000-0004-0000-0300-00008B000000}"/>
    <hyperlink ref="G397" r:id="rId141" display="http://9988.hk/" xr:uid="{00000000-0004-0000-0300-00008C000000}"/>
    <hyperlink ref="G398" r:id="rId142" display="http://1024.hk/" xr:uid="{00000000-0004-0000-0300-00008D000000}"/>
    <hyperlink ref="G399" r:id="rId143" display="http://9988.hk/" xr:uid="{00000000-0004-0000-0300-00008E000000}"/>
    <hyperlink ref="G400" r:id="rId144" display="http://3800.hk/" xr:uid="{00000000-0004-0000-0300-00008F000000}"/>
    <hyperlink ref="G403" r:id="rId145" display="http://0388.hk/" xr:uid="{00000000-0004-0000-0300-000090000000}"/>
    <hyperlink ref="G405" r:id="rId146" display="http://9988.hk/" xr:uid="{00000000-0004-0000-0300-000091000000}"/>
    <hyperlink ref="G406" r:id="rId147" display="http://9626.hk/" xr:uid="{00000000-0004-0000-0300-000092000000}"/>
    <hyperlink ref="G407" r:id="rId148" display="http://9988.hk/" xr:uid="{00000000-0004-0000-0300-000093000000}"/>
    <hyperlink ref="G408" r:id="rId149" display="http://603963.ss/" xr:uid="{00000000-0004-0000-0300-000094000000}"/>
    <hyperlink ref="G417" r:id="rId150" display="http://9988.hk/" xr:uid="{00000000-0004-0000-0300-000095000000}"/>
    <hyperlink ref="G418" r:id="rId151" display="http://0151.hk/" xr:uid="{00000000-0004-0000-0300-000096000000}"/>
    <hyperlink ref="G419" r:id="rId152" display="http://1024.hk/" xr:uid="{00000000-0004-0000-0300-000097000000}"/>
    <hyperlink ref="G428" r:id="rId153" display="http://1024.hk/" xr:uid="{00000000-0004-0000-0300-000098000000}"/>
    <hyperlink ref="G429" r:id="rId154" display="http://9988.hk/" xr:uid="{00000000-0004-0000-0300-000099000000}"/>
    <hyperlink ref="G430" r:id="rId155" display="http://1024.hk/" xr:uid="{00000000-0004-0000-0300-00009A000000}"/>
    <hyperlink ref="G431" r:id="rId156" display="http://3690.hk/" xr:uid="{00000000-0004-0000-0300-00009B000000}"/>
    <hyperlink ref="G432" r:id="rId157" display="http://0708.hk/" xr:uid="{00000000-0004-0000-0300-00009C000000}"/>
    <hyperlink ref="G436" r:id="rId158" display="http://1898.hk/" xr:uid="{00000000-0004-0000-0300-00009D000000}"/>
    <hyperlink ref="G438" r:id="rId159" display="http://0388.hk/" xr:uid="{00000000-0004-0000-0300-00009E000000}"/>
    <hyperlink ref="G451" r:id="rId160" display="http://6862.hk/" xr:uid="{00000000-0004-0000-0300-00009F000000}"/>
    <hyperlink ref="G455" r:id="rId161" display="http://0070.hk/" xr:uid="{00000000-0004-0000-0300-0000A0000000}"/>
    <hyperlink ref="G458" r:id="rId162" display="http://0700.hk/" xr:uid="{00000000-0004-0000-0300-0000A1000000}"/>
    <hyperlink ref="G479" r:id="rId163" display="http://603939.ss/" xr:uid="{00000000-0004-0000-0300-0000A2000000}"/>
    <hyperlink ref="G480" r:id="rId164" display="http://603392.ss/" xr:uid="{00000000-0004-0000-0300-0000A3000000}"/>
    <hyperlink ref="G487" r:id="rId165" display="http://3339.hk/" xr:uid="{00000000-0004-0000-0300-0000A4000000}"/>
    <hyperlink ref="G488" r:id="rId166" display="http://9988.hk/" xr:uid="{00000000-0004-0000-0300-0000A5000000}"/>
    <hyperlink ref="G489" r:id="rId167" display="http://603538.ss/" xr:uid="{00000000-0004-0000-0300-0000A6000000}"/>
    <hyperlink ref="G490" r:id="rId168" display="http://6862.hk/" xr:uid="{00000000-0004-0000-0300-0000A7000000}"/>
    <hyperlink ref="G491" r:id="rId169" display="http://688076.ss/" xr:uid="{00000000-0004-0000-0300-0000A8000000}"/>
    <hyperlink ref="G492" r:id="rId170" display="http://600519.ss/" xr:uid="{00000000-0004-0000-0300-0000A9000000}"/>
    <hyperlink ref="G493" r:id="rId171" display="http://0700.hk/" xr:uid="{00000000-0004-0000-0300-0000AA000000}"/>
    <hyperlink ref="G494" r:id="rId172" display="http://6862.hk/" xr:uid="{00000000-0004-0000-0300-0000AB000000}"/>
    <hyperlink ref="G495" r:id="rId173" display="http://01024.hk/" xr:uid="{00000000-0004-0000-0300-0000AC000000}"/>
    <hyperlink ref="G497" r:id="rId174" display="http://0700.hk/" xr:uid="{00000000-0004-0000-0300-0000AD000000}"/>
    <hyperlink ref="G503" r:id="rId175" display="http://0700.hk/" xr:uid="{00000000-0004-0000-0300-0000AE000000}"/>
    <hyperlink ref="G507" r:id="rId176" display="http://1398.hk/" xr:uid="{00000000-0004-0000-0300-0000AF000000}"/>
    <hyperlink ref="G508" r:id="rId177" display="http://1398.hk/" xr:uid="{00000000-0004-0000-0300-0000B0000000}"/>
    <hyperlink ref="G522" r:id="rId178" display="http://0700.hk/" xr:uid="{00000000-0004-0000-0300-0000B1000000}"/>
    <hyperlink ref="G524" r:id="rId179" display="http://1810.hk/" xr:uid="{00000000-0004-0000-0300-0000B2000000}"/>
    <hyperlink ref="G525" r:id="rId180" display="http://0700.hk/" xr:uid="{00000000-0004-0000-0300-0000B3000000}"/>
    <hyperlink ref="G528" r:id="rId181" display="http://6078.hk/" xr:uid="{00000000-0004-0000-0300-0000B4000000}"/>
    <hyperlink ref="G529" r:id="rId182" display="http://3690.hk/" xr:uid="{00000000-0004-0000-0300-0000B5000000}"/>
    <hyperlink ref="G530" r:id="rId183" display="http://0700.hk/" xr:uid="{00000000-0004-0000-0300-0000B6000000}"/>
    <hyperlink ref="G531" r:id="rId184" display="http://6862.hk/" xr:uid="{00000000-0004-0000-0300-0000B7000000}"/>
    <hyperlink ref="G532" r:id="rId185" display="http://3833.hk/" xr:uid="{00000000-0004-0000-0300-0000B8000000}"/>
    <hyperlink ref="G533" r:id="rId186" display="http://0968.hk/" xr:uid="{00000000-0004-0000-0300-0000B9000000}"/>
    <hyperlink ref="G534" r:id="rId187" display="http://0189.hk/" xr:uid="{00000000-0004-0000-0300-0000BA000000}"/>
    <hyperlink ref="G535" r:id="rId188" display="http://3800.hk/" xr:uid="{00000000-0004-0000-0300-0000BB000000}"/>
    <hyperlink ref="G536" r:id="rId189" display="http://0175.hk/" xr:uid="{00000000-0004-0000-0300-0000BC000000}"/>
    <hyperlink ref="G537" r:id="rId190" display="http://9988.hk/" xr:uid="{00000000-0004-0000-0300-0000BD000000}"/>
    <hyperlink ref="G538" r:id="rId191" display="http://9999.hk/" xr:uid="{00000000-0004-0000-0300-0000BE000000}"/>
    <hyperlink ref="G543" r:id="rId192" display="http://000950.sz/" xr:uid="{00000000-0004-0000-0300-0000BF000000}"/>
    <hyperlink ref="G544" r:id="rId193" display="http://600661.ss/" xr:uid="{00000000-0004-0000-0300-0000C0000000}"/>
    <hyperlink ref="G552" r:id="rId194" display="http://9988.hk/" xr:uid="{00000000-0004-0000-0300-0000C1000000}"/>
    <hyperlink ref="G553" r:id="rId195" display="http://600519.ss/" xr:uid="{00000000-0004-0000-0300-0000C2000000}"/>
    <hyperlink ref="G554" r:id="rId196" display="http://0700.hk/" xr:uid="{00000000-0004-0000-0300-0000C3000000}"/>
    <hyperlink ref="G557" r:id="rId197" display="http://0700.hk/" xr:uid="{00000000-0004-0000-0300-0000C4000000}"/>
    <hyperlink ref="G558" r:id="rId198" display="http://3988.hk/" xr:uid="{00000000-0004-0000-0300-0000C5000000}"/>
    <hyperlink ref="G561" r:id="rId199" display="http://9988.hk/" xr:uid="{00000000-0004-0000-0300-0000C6000000}"/>
    <hyperlink ref="G562" r:id="rId200" display="http://0700.hk/" xr:uid="{00000000-0004-0000-0300-0000C7000000}"/>
    <hyperlink ref="G563" r:id="rId201" display="http://9988.hk/" xr:uid="{00000000-0004-0000-0300-0000C8000000}"/>
    <hyperlink ref="G564" r:id="rId202" display="http://002670.sz/" xr:uid="{00000000-0004-0000-0300-0000C9000000}"/>
    <hyperlink ref="G569" r:id="rId203" display="http://02607.hk/" xr:uid="{00000000-0004-0000-0300-0000CA000000}"/>
    <hyperlink ref="G571" r:id="rId204" display="http://9988.hk/" xr:uid="{00000000-0004-0000-0300-0000CB000000}"/>
    <hyperlink ref="G576" r:id="rId205" display="http://0700.hk/" xr:uid="{00000000-0004-0000-0300-0000CC000000}"/>
    <hyperlink ref="G577" r:id="rId206" display="http://001896.sz/" xr:uid="{00000000-0004-0000-0300-0000CD000000}"/>
    <hyperlink ref="G578" r:id="rId207" display="http://0700.hk/" xr:uid="{00000000-0004-0000-0300-0000CE000000}"/>
    <hyperlink ref="G579" r:id="rId208" display="http://1109.hk/" xr:uid="{00000000-0004-0000-0300-0000CF000000}"/>
    <hyperlink ref="G580" r:id="rId209" display="http://3800.hk/" xr:uid="{00000000-0004-0000-0300-0000D0000000}"/>
    <hyperlink ref="G581" r:id="rId210" display="http://600519.ss/" xr:uid="{00000000-0004-0000-0300-0000D1000000}"/>
    <hyperlink ref="G583" r:id="rId211" display="http://600519.ss/" xr:uid="{00000000-0004-0000-0300-0000D2000000}"/>
    <hyperlink ref="G586" r:id="rId212" display="http://00386.hk/" xr:uid="{00000000-0004-0000-0300-0000D3000000}"/>
    <hyperlink ref="G588" r:id="rId213" display="http://0700.hk/" xr:uid="{00000000-0004-0000-0300-0000D4000000}"/>
    <hyperlink ref="G589" r:id="rId214" display="http://02607.hk/" xr:uid="{00000000-0004-0000-0300-0000D5000000}"/>
    <hyperlink ref="G591" r:id="rId215" display="http://9988.hk/" xr:uid="{00000000-0004-0000-0300-0000D6000000}"/>
    <hyperlink ref="G596" r:id="rId216" display="http://0346.hk/" xr:uid="{00000000-0004-0000-0300-0000D7000000}"/>
    <hyperlink ref="G597" r:id="rId217" display="http://2607.hk/" xr:uid="{00000000-0004-0000-0300-0000D8000000}"/>
    <hyperlink ref="G599" r:id="rId218" display="http://000568.sz/" xr:uid="{00000000-0004-0000-0300-0000D9000000}"/>
    <hyperlink ref="G601" r:id="rId219" display="http://2318.hk/" xr:uid="{00000000-0004-0000-0300-0000DA000000}"/>
    <hyperlink ref="G607" r:id="rId220" display="http://2222.sr/" xr:uid="{00000000-0004-0000-0300-0000DB000000}"/>
    <hyperlink ref="G619" r:id="rId221" display="http://9988.hk/" xr:uid="{00000000-0004-0000-0300-0000DC000000}"/>
    <hyperlink ref="G626" r:id="rId222" display="http://0700.hk/" xr:uid="{00000000-0004-0000-0300-0000DD000000}"/>
    <hyperlink ref="G630" r:id="rId223" display="http://0700.hk/" xr:uid="{00000000-0004-0000-0300-0000DE000000}"/>
    <hyperlink ref="G640" r:id="rId224" display="http://9988.hk/" xr:uid="{00000000-0004-0000-0300-0000DF000000}"/>
    <hyperlink ref="G641" r:id="rId225" display="http://0700.hk/" xr:uid="{00000000-0004-0000-0300-0000E0000000}"/>
    <hyperlink ref="G642" r:id="rId226" display="http://9868.hk/" xr:uid="{00000000-0004-0000-0300-0000E1000000}"/>
    <hyperlink ref="G644" r:id="rId227" display="http://2222.sr/" xr:uid="{00000000-0004-0000-0300-0000E2000000}"/>
    <hyperlink ref="G647" r:id="rId228" display="http://0700.hk/" xr:uid="{00000000-0004-0000-0300-0000E3000000}"/>
    <hyperlink ref="G648" r:id="rId229" display="http://1810.hk/" xr:uid="{00000000-0004-0000-0300-0000E4000000}"/>
    <hyperlink ref="G649" r:id="rId230" display="http://600519.ss/" xr:uid="{00000000-0004-0000-0300-0000E5000000}"/>
    <hyperlink ref="G652" r:id="rId231" display="http://0700.hk/" xr:uid="{00000000-0004-0000-0300-0000E6000000}"/>
    <hyperlink ref="G671" r:id="rId232" display="http://9988.hk/" xr:uid="{00000000-0004-0000-0300-0000E7000000}"/>
    <hyperlink ref="G672" r:id="rId233" display="http://1810.hk/" xr:uid="{00000000-0004-0000-0300-0000E8000000}"/>
    <hyperlink ref="G675" r:id="rId234" display="http://9988.hk/" xr:uid="{00000000-0004-0000-0300-0000E9000000}"/>
    <hyperlink ref="G676" r:id="rId235" display="http://3047.hk/" xr:uid="{00000000-0004-0000-0300-0000EA000000}"/>
    <hyperlink ref="G683" r:id="rId236" display="http://0700.hk/" xr:uid="{00000000-0004-0000-0300-0000EB000000}"/>
    <hyperlink ref="G685" r:id="rId237" display="http://2800.hk/" xr:uid="{00000000-0004-0000-0300-0000EC000000}"/>
    <hyperlink ref="G686" r:id="rId238" display="http://9988.hk/" xr:uid="{00000000-0004-0000-0300-0000ED000000}"/>
    <hyperlink ref="G688" r:id="rId239" display="http://0700.hk/" xr:uid="{00000000-0004-0000-0300-0000EE000000}"/>
    <hyperlink ref="G693" r:id="rId240" display="http://9988.hk/" xr:uid="{00000000-0004-0000-0300-0000EF000000}"/>
    <hyperlink ref="G694" r:id="rId241" display="http://0700.hk/" xr:uid="{00000000-0004-0000-0300-0000F0000000}"/>
    <hyperlink ref="G696" r:id="rId242" display="http://1810.hk/" xr:uid="{00000000-0004-0000-0300-0000F1000000}"/>
    <hyperlink ref="G697" r:id="rId243" display="http://1299.hk/" xr:uid="{00000000-0004-0000-0300-0000F2000000}"/>
    <hyperlink ref="G698" r:id="rId244" display="http://6049.hk/" xr:uid="{00000000-0004-0000-0300-0000F3000000}"/>
    <hyperlink ref="G699" r:id="rId245" display="http://1024.hk/" xr:uid="{00000000-0004-0000-0300-0000F4000000}"/>
    <hyperlink ref="G700" r:id="rId246" display="http://1024.hk/" xr:uid="{00000000-0004-0000-0300-0000F5000000}"/>
    <hyperlink ref="G701" r:id="rId247" display="http://9988.hk/" xr:uid="{00000000-0004-0000-0300-0000F6000000}"/>
    <hyperlink ref="G702" r:id="rId248" display="http://3315.hk/" xr:uid="{00000000-0004-0000-0300-0000F7000000}"/>
    <hyperlink ref="G703" r:id="rId249" display="http://9988.hk/" xr:uid="{00000000-0004-0000-0300-0000F8000000}"/>
    <hyperlink ref="G704" r:id="rId250" display="http://600519.sh/" xr:uid="{00000000-0004-0000-0300-0000F9000000}"/>
    <hyperlink ref="G705" r:id="rId251" display="http://arow.us/" xr:uid="{00000000-0004-0000-0300-0000FA000000}"/>
    <hyperlink ref="G707" r:id="rId252" display="http://atax.us/" xr:uid="{00000000-0004-0000-0300-0000FB000000}"/>
    <hyperlink ref="G708" r:id="rId253" display="http://bksc.us/" xr:uid="{00000000-0004-0000-0300-0000FC000000}"/>
    <hyperlink ref="G709" r:id="rId254" display="http://01211.hk/" xr:uid="{00000000-0004-0000-0300-0000FD000000}"/>
    <hyperlink ref="G710" r:id="rId255" display="http://0700.hk/" xr:uid="{00000000-0004-0000-0300-0000FE000000}"/>
    <hyperlink ref="G720" r:id="rId256" display="http://9988.hk/" xr:uid="{00000000-0004-0000-0300-0000FF000000}"/>
    <hyperlink ref="G721" r:id="rId257" display="http://0059.sz/" xr:uid="{00000000-0004-0000-0300-000000010000}"/>
    <hyperlink ref="G722" r:id="rId258" display="http://3261.sh/" xr:uid="{00000000-0004-0000-0300-000001010000}"/>
    <hyperlink ref="G724" r:id="rId259" display="http://600519.ss/" xr:uid="{00000000-0004-0000-0300-000002010000}"/>
    <hyperlink ref="G725" r:id="rId260" display="http://1211.hk/" xr:uid="{00000000-0004-0000-0300-000003010000}"/>
    <hyperlink ref="G726" r:id="rId261" display="http://0968.hk/" xr:uid="{00000000-0004-0000-0300-000004010000}"/>
    <hyperlink ref="G729" r:id="rId262" display="http://603261.sh/" xr:uid="{00000000-0004-0000-0300-000005010000}"/>
    <hyperlink ref="G730" r:id="rId263" display="http://603261.ss/" xr:uid="{00000000-0004-0000-0300-000006010000}"/>
    <hyperlink ref="G731" r:id="rId264" display="http://0700.hk/" xr:uid="{00000000-0004-0000-0300-000007010000}"/>
    <hyperlink ref="G732" r:id="rId265" display="http://3690.hk/" xr:uid="{00000000-0004-0000-0300-000008010000}"/>
    <hyperlink ref="G734" r:id="rId266" display="http://0346.hk/" xr:uid="{00000000-0004-0000-0300-000009010000}"/>
    <hyperlink ref="G736" r:id="rId267" display="http://0853.hk/" xr:uid="{00000000-0004-0000-0300-00000A010000}"/>
    <hyperlink ref="G739" r:id="rId268" display="http://0708.hk/" xr:uid="{00000000-0004-0000-0300-00000B010000}"/>
    <hyperlink ref="G740" r:id="rId269" display="http://0708.hk/" xr:uid="{00000000-0004-0000-0300-00000C010000}"/>
    <hyperlink ref="G742" r:id="rId270" display="http://0853.hk/" xr:uid="{00000000-0004-0000-0300-00000D010000}"/>
    <hyperlink ref="G743" r:id="rId271" display="http://9988.hk/" xr:uid="{00000000-0004-0000-0300-00000E010000}"/>
    <hyperlink ref="G744" r:id="rId272" display="http://0700.hk/" xr:uid="{00000000-0004-0000-0300-00000F010000}"/>
    <hyperlink ref="G747" r:id="rId273" display="http://2800.hk/" xr:uid="{00000000-0004-0000-0300-000010010000}"/>
    <hyperlink ref="G748" r:id="rId274" display="http://2800.hk/" xr:uid="{00000000-0004-0000-0300-000011010000}"/>
    <hyperlink ref="G749" r:id="rId275" display="http://1810.hk/" xr:uid="{00000000-0004-0000-0300-000012010000}"/>
    <hyperlink ref="G750" r:id="rId276" display="http://6862.hk/" xr:uid="{00000000-0004-0000-0300-000013010000}"/>
    <hyperlink ref="G751" r:id="rId277" display="http://0700.hk/" xr:uid="{00000000-0004-0000-0300-000014010000}"/>
    <hyperlink ref="G752" r:id="rId278" display="http://9868.hk/" xr:uid="{00000000-0004-0000-0300-00001501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1000"/>
  <sheetViews>
    <sheetView showGridLines="0" workbookViewId="0"/>
  </sheetViews>
  <sheetFormatPr baseColWidth="10" defaultColWidth="12.6640625" defaultRowHeight="15.75" customHeight="1" outlineLevelRow="1" x14ac:dyDescent="0.15"/>
  <cols>
    <col min="1" max="1" width="2" customWidth="1"/>
    <col min="2" max="2" width="17" customWidth="1"/>
    <col min="3" max="3" width="8.6640625" customWidth="1"/>
    <col min="4" max="4" width="7.5" customWidth="1"/>
    <col min="5" max="5" width="9.33203125" customWidth="1"/>
    <col min="6" max="6" width="16" customWidth="1"/>
    <col min="7" max="7" width="29.83203125" customWidth="1"/>
    <col min="8" max="8" width="124.5" customWidth="1"/>
  </cols>
  <sheetData>
    <row r="1" spans="1:11" ht="23" x14ac:dyDescent="0.25">
      <c r="A1" s="5" t="str">
        <f ca="1">IFERROR(__xludf.DUMMYFUNCTION("importrange(""https://docs.google.com/spreadsheets/d/1mvA960mm3QaFyRdwkfIRxhE1UQJl45QEUTnDVxtxiIE/edit?usp=sharing"",""RejOrd!A1:H"" &amp; right(K1,3)*1)"),"")</f>
        <v/>
      </c>
      <c r="B1" s="85" t="str">
        <f ca="1">IFERROR(__xludf.DUMMYFUNCTION("""COMPUTED_VALUE"""),"Order Rejection Summary")</f>
        <v>Order Rejection Summary</v>
      </c>
      <c r="C1" s="5"/>
      <c r="D1" s="5"/>
      <c r="E1" s="5"/>
      <c r="F1" s="25"/>
      <c r="G1" s="5"/>
      <c r="H1" s="5"/>
      <c r="K1" s="5" t="str">
        <f ca="1">IFERROR(__xludf.DUMMYFUNCTION("importrange(""https://docs.google.com/spreadsheets/d/1mvA960mm3QaFyRdwkfIRxhE1UQJl45QEUTnDVxtxiIE/edit?usp=sharing"",""RejOrd!k1"")"),"Last row: 160")</f>
        <v>Last row: 160</v>
      </c>
    </row>
    <row r="2" spans="1:11" ht="13" collapsed="1" x14ac:dyDescent="0.15">
      <c r="A2" s="5"/>
      <c r="B2" s="5"/>
      <c r="C2" s="5"/>
      <c r="D2" s="5"/>
      <c r="E2" s="5"/>
      <c r="F2" s="25"/>
      <c r="G2" s="5"/>
      <c r="H2" s="5"/>
    </row>
    <row r="3" spans="1:11" ht="13" hidden="1" outlineLevel="1" x14ac:dyDescent="0.15">
      <c r="A3" s="5"/>
      <c r="B3" s="5"/>
      <c r="C3" s="5"/>
      <c r="D3" s="5"/>
      <c r="E3" s="5"/>
      <c r="F3" s="25"/>
      <c r="G3" s="5"/>
      <c r="H3" s="5"/>
    </row>
    <row r="4" spans="1:11" ht="13" hidden="1" outlineLevel="1" x14ac:dyDescent="0.15">
      <c r="A4" s="5"/>
      <c r="B4" s="5"/>
      <c r="C4" s="5"/>
      <c r="D4" s="5"/>
      <c r="E4" s="5"/>
      <c r="F4" s="25"/>
      <c r="G4" s="5"/>
      <c r="H4" s="5"/>
    </row>
    <row r="5" spans="1:11" ht="42" x14ac:dyDescent="0.15">
      <c r="A5" s="5"/>
      <c r="B5" s="86" t="str">
        <f ca="1">IFERROR(__xludf.DUMMYFUNCTION("""COMPUTED_VALUE"""),"Timestamp")</f>
        <v>Timestamp</v>
      </c>
      <c r="C5" s="87" t="str">
        <f ca="1">IFERROR(__xludf.DUMMYFUNCTION("""COMPUTED_VALUE"""),"Acct #")</f>
        <v>Acct #</v>
      </c>
      <c r="D5" s="87" t="str">
        <f ca="1">IFERROR(__xludf.DUMMYFUNCTION("""COMPUTED_VALUE"""),"Exchg")</f>
        <v>Exchg</v>
      </c>
      <c r="E5" s="87" t="str">
        <f ca="1">IFERROR(__xludf.DUMMYFUNCTION("""COMPUTED_VALUE"""),"Select Asset Class")</f>
        <v>Select Asset Class</v>
      </c>
      <c r="F5" s="88" t="str">
        <f ca="1">IFERROR(__xludf.DUMMYFUNCTION("""COMPUTED_VALUE"""),"Ticker Symbol (Security Code)")</f>
        <v>Ticker Symbol (Security Code)</v>
      </c>
      <c r="G5" s="89" t="str">
        <f ca="1">IFERROR(__xludf.DUMMYFUNCTION("""COMPUTED_VALUE"""),"Limit Order's Limit Price (Market Order should leave blank)")</f>
        <v>Limit Order's Limit Price (Market Order should leave blank)</v>
      </c>
      <c r="H5" s="90" t="str">
        <f ca="1">IFERROR(__xludf.DUMMYFUNCTION("""COMPUTED_VALUE"""),"Comments to Prop Traders")</f>
        <v>Comments to Prop Traders</v>
      </c>
    </row>
    <row r="6" spans="1:11" ht="13" x14ac:dyDescent="0.15">
      <c r="A6" s="5"/>
      <c r="B6" s="82">
        <f ca="1">IFERROR(__xludf.DUMMYFUNCTION("""COMPUTED_VALUE"""),44600.5963021064)</f>
        <v>44600.596302106402</v>
      </c>
      <c r="C6" s="80" t="str">
        <f ca="1">IFERROR(__xludf.DUMMYFUNCTION("""COMPUTED_VALUE"""),"46220")</f>
        <v>46220</v>
      </c>
      <c r="D6" s="80" t="str">
        <f ca="1">IFERROR(__xludf.DUMMYFUNCTION("""COMPUTED_VALUE"""),"error")</f>
        <v>error</v>
      </c>
      <c r="E6" s="80" t="str">
        <f ca="1">IFERROR(__xludf.DUMMYFUNCTION("""COMPUTED_VALUE"""),"Stock")</f>
        <v>Stock</v>
      </c>
      <c r="F6" s="91" t="str">
        <f ca="1">IFERROR(__xludf.DUMMYFUNCTION("""COMPUTED_VALUE"""),"US:FB")</f>
        <v>US:FB</v>
      </c>
      <c r="G6" s="92"/>
      <c r="H6" s="93" t="str">
        <f ca="1">IFERROR(__xludf.DUMMYFUNCTION("""COMPUTED_VALUE"""),"Order rejected due to wrong ticker code. just need to type in FB")</f>
        <v>Order rejected due to wrong ticker code. just need to type in FB</v>
      </c>
    </row>
    <row r="7" spans="1:11" ht="13" x14ac:dyDescent="0.15">
      <c r="A7" s="5"/>
      <c r="B7" s="82">
        <f ca="1">IFERROR(__xludf.DUMMYFUNCTION("""COMPUTED_VALUE"""),44601.868654375)</f>
        <v>44601.868654375001</v>
      </c>
      <c r="C7" s="80" t="str">
        <f ca="1">IFERROR(__xludf.DUMMYFUNCTION("""COMPUTED_VALUE"""),"76975")</f>
        <v>76975</v>
      </c>
      <c r="D7" s="80" t="str">
        <f ca="1">IFERROR(__xludf.DUMMYFUNCTION("""COMPUTED_VALUE"""),"error")</f>
        <v>error</v>
      </c>
      <c r="E7" s="80" t="str">
        <f ca="1">IFERROR(__xludf.DUMMYFUNCTION("""COMPUTED_VALUE"""),"Stock")</f>
        <v>Stock</v>
      </c>
      <c r="F7" s="91" t="str">
        <f ca="1">IFERROR(__xludf.DUMMYFUNCTION("""COMPUTED_VALUE"""),"Tencent HK0700")</f>
        <v>Tencent HK0700</v>
      </c>
      <c r="G7" s="92">
        <f ca="1">IFERROR(__xludf.DUMMYFUNCTION("""COMPUTED_VALUE"""),483)</f>
        <v>483</v>
      </c>
      <c r="H7" s="93" t="str">
        <f ca="1">IFERROR(__xludf.DUMMYFUNCTION("""COMPUTED_VALUE"""),"Order rejected due to wrong ticker code. just need to type in 0700.HK")</f>
        <v>Order rejected due to wrong ticker code. just need to type in 0700.HK</v>
      </c>
    </row>
    <row r="8" spans="1:11" ht="13" x14ac:dyDescent="0.15">
      <c r="A8" s="5"/>
      <c r="B8" s="82">
        <f ca="1">IFERROR(__xludf.DUMMYFUNCTION("""COMPUTED_VALUE"""),44601.8752311689)</f>
        <v>44601.875231168902</v>
      </c>
      <c r="C8" s="80" t="str">
        <f ca="1">IFERROR(__xludf.DUMMYFUNCTION("""COMPUTED_VALUE"""),"73879")</f>
        <v>73879</v>
      </c>
      <c r="D8" s="80" t="str">
        <f ca="1">IFERROR(__xludf.DUMMYFUNCTION("""COMPUTED_VALUE"""),"error")</f>
        <v>error</v>
      </c>
      <c r="E8" s="80" t="str">
        <f ca="1">IFERROR(__xludf.DUMMYFUNCTION("""COMPUTED_VALUE"""),"Stock")</f>
        <v>Stock</v>
      </c>
      <c r="F8" s="91" t="str">
        <f ca="1">IFERROR(__xludf.DUMMYFUNCTION("""COMPUTED_VALUE"""),"Tencent HK0700")</f>
        <v>Tencent HK0700</v>
      </c>
      <c r="G8" s="92">
        <f ca="1">IFERROR(__xludf.DUMMYFUNCTION("""COMPUTED_VALUE"""),483)</f>
        <v>483</v>
      </c>
      <c r="H8" s="93" t="str">
        <f ca="1">IFERROR(__xludf.DUMMYFUNCTION("""COMPUTED_VALUE"""),"Order rejected due to wrong ticker code. just need to type in 0700.HK")</f>
        <v>Order rejected due to wrong ticker code. just need to type in 0700.HK</v>
      </c>
    </row>
    <row r="9" spans="1:11" ht="13" x14ac:dyDescent="0.15">
      <c r="A9" s="5"/>
      <c r="B9" s="82">
        <f ca="1">IFERROR(__xludf.DUMMYFUNCTION("""COMPUTED_VALUE"""),44602.9232126851)</f>
        <v>44602.923212685098</v>
      </c>
      <c r="C9" s="80" t="str">
        <f ca="1">IFERROR(__xludf.DUMMYFUNCTION("""COMPUTED_VALUE"""),"76975")</f>
        <v>76975</v>
      </c>
      <c r="D9" s="80" t="str">
        <f ca="1">IFERROR(__xludf.DUMMYFUNCTION("""COMPUTED_VALUE"""),"error")</f>
        <v>error</v>
      </c>
      <c r="E9" s="80" t="str">
        <f ca="1">IFERROR(__xludf.DUMMYFUNCTION("""COMPUTED_VALUE"""),"Stock")</f>
        <v>Stock</v>
      </c>
      <c r="F9" s="91" t="str">
        <f ca="1">IFERROR(__xludf.DUMMYFUNCTION("""COMPUTED_VALUE"""),"Tencent HK0700")</f>
        <v>Tencent HK0700</v>
      </c>
      <c r="G9" s="92">
        <f ca="1">IFERROR(__xludf.DUMMYFUNCTION("""COMPUTED_VALUE"""),490)</f>
        <v>490</v>
      </c>
      <c r="H9" s="93" t="str">
        <f ca="1">IFERROR(__xludf.DUMMYFUNCTION("""COMPUTED_VALUE"""),"Order rejected due to wrong ticker code. just need to type in 0700.HK")</f>
        <v>Order rejected due to wrong ticker code. just need to type in 0700.HK</v>
      </c>
    </row>
    <row r="10" spans="1:11" ht="13" x14ac:dyDescent="0.15">
      <c r="A10" s="5"/>
      <c r="B10" s="82">
        <f ca="1">IFERROR(__xludf.DUMMYFUNCTION("""COMPUTED_VALUE"""),44603.497145625)</f>
        <v>44603.497145624999</v>
      </c>
      <c r="C10" s="80" t="str">
        <f ca="1">IFERROR(__xludf.DUMMYFUNCTION("""COMPUTED_VALUE"""),"76975")</f>
        <v>76975</v>
      </c>
      <c r="D10" s="80" t="str">
        <f ca="1">IFERROR(__xludf.DUMMYFUNCTION("""COMPUTED_VALUE"""),"error")</f>
        <v>error</v>
      </c>
      <c r="E10" s="80" t="str">
        <f ca="1">IFERROR(__xludf.DUMMYFUNCTION("""COMPUTED_VALUE"""),"Stock")</f>
        <v>Stock</v>
      </c>
      <c r="F10" s="91" t="str">
        <f ca="1">IFERROR(__xludf.DUMMYFUNCTION("""COMPUTED_VALUE"""),"Tencent HK 0700")</f>
        <v>Tencent HK 0700</v>
      </c>
      <c r="G10" s="92">
        <f ca="1">IFERROR(__xludf.DUMMYFUNCTION("""COMPUTED_VALUE"""),520)</f>
        <v>520</v>
      </c>
      <c r="H10" s="93" t="str">
        <f ca="1">IFERROR(__xludf.DUMMYFUNCTION("""COMPUTED_VALUE"""),"Order rejected due to wrong ticker code. just need to type in 0700.HK")</f>
        <v>Order rejected due to wrong ticker code. just need to type in 0700.HK</v>
      </c>
    </row>
    <row r="11" spans="1:11" ht="13" x14ac:dyDescent="0.15">
      <c r="A11" s="5"/>
      <c r="B11" s="82">
        <f ca="1">IFERROR(__xludf.DUMMYFUNCTION("""COMPUTED_VALUE"""),44603.5002928125)</f>
        <v>44603.500292812503</v>
      </c>
      <c r="C11" s="80" t="str">
        <f ca="1">IFERROR(__xludf.DUMMYFUNCTION("""COMPUTED_VALUE"""),"76975")</f>
        <v>76975</v>
      </c>
      <c r="D11" s="80" t="str">
        <f ca="1">IFERROR(__xludf.DUMMYFUNCTION("""COMPUTED_VALUE"""),"error")</f>
        <v>error</v>
      </c>
      <c r="E11" s="80" t="str">
        <f ca="1">IFERROR(__xludf.DUMMYFUNCTION("""COMPUTED_VALUE"""),"Stock")</f>
        <v>Stock</v>
      </c>
      <c r="F11" s="91" t="str">
        <f ca="1">IFERROR(__xludf.DUMMYFUNCTION("""COMPUTED_VALUE"""),"Tencent")</f>
        <v>Tencent</v>
      </c>
      <c r="G11" s="92">
        <f ca="1">IFERROR(__xludf.DUMMYFUNCTION("""COMPUTED_VALUE"""),520)</f>
        <v>520</v>
      </c>
      <c r="H11" s="93" t="str">
        <f ca="1">IFERROR(__xludf.DUMMYFUNCTION("""COMPUTED_VALUE"""),"Order rejected due to wrong ticker code. just need to type in 0700.HK")</f>
        <v>Order rejected due to wrong ticker code. just need to type in 0700.HK</v>
      </c>
    </row>
    <row r="12" spans="1:11" ht="13" x14ac:dyDescent="0.15">
      <c r="A12" s="5"/>
      <c r="B12" s="82">
        <f ca="1">IFERROR(__xludf.DUMMYFUNCTION("""COMPUTED_VALUE"""),44603.6968006597)</f>
        <v>44603.696800659702</v>
      </c>
      <c r="C12" s="80" t="str">
        <f ca="1">IFERROR(__xludf.DUMMYFUNCTION("""COMPUTED_VALUE"""),"75288")</f>
        <v>75288</v>
      </c>
      <c r="D12" s="80" t="str">
        <f ca="1">IFERROR(__xludf.DUMMYFUNCTION("""COMPUTED_VALUE"""),"error")</f>
        <v>error</v>
      </c>
      <c r="E12" s="80" t="str">
        <f ca="1">IFERROR(__xludf.DUMMYFUNCTION("""COMPUTED_VALUE"""),"Stock")</f>
        <v>Stock</v>
      </c>
      <c r="F12" s="91" t="str">
        <f ca="1">IFERROR(__xludf.DUMMYFUNCTION("""COMPUTED_VALUE"""),"Tencent HK0700")</f>
        <v>Tencent HK0700</v>
      </c>
      <c r="G12" s="92">
        <f ca="1">IFERROR(__xludf.DUMMYFUNCTION("""COMPUTED_VALUE"""),520)</f>
        <v>520</v>
      </c>
      <c r="H12" s="93" t="str">
        <f ca="1">IFERROR(__xludf.DUMMYFUNCTION("""COMPUTED_VALUE"""),"Order rejected due to wrong ticker code. just need to type in 0700.HK")</f>
        <v>Order rejected due to wrong ticker code. just need to type in 0700.HK</v>
      </c>
    </row>
    <row r="13" spans="1:11" ht="13" x14ac:dyDescent="0.15">
      <c r="A13" s="5"/>
      <c r="B13" s="82">
        <f ca="1">IFERROR(__xludf.DUMMYFUNCTION("""COMPUTED_VALUE"""),44603.7496327314)</f>
        <v>44603.7496327314</v>
      </c>
      <c r="C13" s="80" t="str">
        <f ca="1">IFERROR(__xludf.DUMMYFUNCTION("""COMPUTED_VALUE"""),"76796")</f>
        <v>76796</v>
      </c>
      <c r="D13" s="80" t="str">
        <f ca="1">IFERROR(__xludf.DUMMYFUNCTION("""COMPUTED_VALUE"""),"error")</f>
        <v>error</v>
      </c>
      <c r="E13" s="80" t="str">
        <f ca="1">IFERROR(__xludf.DUMMYFUNCTION("""COMPUTED_VALUE"""),"Stock")</f>
        <v>Stock</v>
      </c>
      <c r="F13" s="91" t="str">
        <f ca="1">IFERROR(__xludf.DUMMYFUNCTION("""COMPUTED_VALUE"""),"IXIC")</f>
        <v>IXIC</v>
      </c>
      <c r="G13" s="92"/>
      <c r="H13" s="93" t="str">
        <f ca="1">IFERROR(__xludf.DUMMYFUNCTION("""COMPUTED_VALUE"""),"Order rejected due to wrong ticker code. need to find proper index ETFs")</f>
        <v>Order rejected due to wrong ticker code. need to find proper index ETFs</v>
      </c>
    </row>
    <row r="14" spans="1:11" ht="13" x14ac:dyDescent="0.15">
      <c r="A14" s="5"/>
      <c r="B14" s="82">
        <f ca="1">IFERROR(__xludf.DUMMYFUNCTION("""COMPUTED_VALUE"""),44604.051366956)</f>
        <v>44604.051366956002</v>
      </c>
      <c r="C14" s="80" t="str">
        <f ca="1">IFERROR(__xludf.DUMMYFUNCTION("""COMPUTED_VALUE"""),"39857")</f>
        <v>39857</v>
      </c>
      <c r="D14" s="80" t="str">
        <f ca="1">IFERROR(__xludf.DUMMYFUNCTION("""COMPUTED_VALUE"""),"error")</f>
        <v>error</v>
      </c>
      <c r="E14" s="80" t="str">
        <f ca="1">IFERROR(__xludf.DUMMYFUNCTION("""COMPUTED_VALUE"""),"Stock")</f>
        <v>Stock</v>
      </c>
      <c r="F14" s="91" t="str">
        <f ca="1">IFERROR(__xludf.DUMMYFUNCTION("""COMPUTED_VALUE"""),"Tesla, Inc. (TSLA)")</f>
        <v>Tesla, Inc. (TSLA)</v>
      </c>
      <c r="G14" s="92">
        <f ca="1">IFERROR(__xludf.DUMMYFUNCTION("""COMPUTED_VALUE"""),892)</f>
        <v>892</v>
      </c>
      <c r="H14" s="93" t="str">
        <f ca="1">IFERROR(__xludf.DUMMYFUNCTION("""COMPUTED_VALUE"""),"Order rejected due to wrong ticker code. just need to type in TSLA")</f>
        <v>Order rejected due to wrong ticker code. just need to type in TSLA</v>
      </c>
    </row>
    <row r="15" spans="1:11" ht="13" x14ac:dyDescent="0.15">
      <c r="A15" s="5"/>
      <c r="B15" s="82">
        <f ca="1">IFERROR(__xludf.DUMMYFUNCTION("""COMPUTED_VALUE"""),44604.7949474074)</f>
        <v>44604.794947407398</v>
      </c>
      <c r="C15" s="80" t="str">
        <f ca="1">IFERROR(__xludf.DUMMYFUNCTION("""COMPUTED_VALUE"""),"76796")</f>
        <v>76796</v>
      </c>
      <c r="D15" s="80" t="str">
        <f ca="1">IFERROR(__xludf.DUMMYFUNCTION("""COMPUTED_VALUE"""),"error")</f>
        <v>error</v>
      </c>
      <c r="E15" s="80" t="str">
        <f ca="1">IFERROR(__xludf.DUMMYFUNCTION("""COMPUTED_VALUE"""),"Stock")</f>
        <v>Stock</v>
      </c>
      <c r="F15" s="91" t="str">
        <f ca="1">IFERROR(__xludf.DUMMYFUNCTION("""COMPUTED_VALUE"""),"02777")</f>
        <v>02777</v>
      </c>
      <c r="G15" s="92"/>
      <c r="H15" s="93" t="str">
        <f ca="1">IFERROR(__xludf.DUMMYFUNCTION("""COMPUTED_VALUE"""),"Wrong Password &amp; Order rejected due to wrong ticker code. just need to type in 2777.HK")</f>
        <v>Wrong Password &amp; Order rejected due to wrong ticker code. just need to type in 2777.HK</v>
      </c>
    </row>
    <row r="16" spans="1:11" ht="13" x14ac:dyDescent="0.15">
      <c r="A16" s="5"/>
      <c r="B16" s="82">
        <f ca="1">IFERROR(__xludf.DUMMYFUNCTION("""COMPUTED_VALUE"""),44606.4976300231)</f>
        <v>44606.497630023099</v>
      </c>
      <c r="C16" s="80" t="str">
        <f ca="1">IFERROR(__xludf.DUMMYFUNCTION("""COMPUTED_VALUE"""),"40158")</f>
        <v>40158</v>
      </c>
      <c r="D16" s="80" t="str">
        <f ca="1">IFERROR(__xludf.DUMMYFUNCTION("""COMPUTED_VALUE"""),"error")</f>
        <v>error</v>
      </c>
      <c r="E16" s="80" t="str">
        <f ca="1">IFERROR(__xludf.DUMMYFUNCTION("""COMPUTED_VALUE"""),"Stock")</f>
        <v>Stock</v>
      </c>
      <c r="F16" s="91" t="str">
        <f ca="1">IFERROR(__xludf.DUMMYFUNCTION("""COMPUTED_VALUE"""),"HK2020")</f>
        <v>HK2020</v>
      </c>
      <c r="G16" s="92">
        <f ca="1">IFERROR(__xludf.DUMMYFUNCTION("""COMPUTED_VALUE"""),128.2)</f>
        <v>128.19999999999999</v>
      </c>
      <c r="H16" s="93" t="str">
        <f ca="1">IFERROR(__xludf.DUMMYFUNCTION("""COMPUTED_VALUE"""),"Order rejected due to wrong ticker code. just need to type in 2020.HK")</f>
        <v>Order rejected due to wrong ticker code. just need to type in 2020.HK</v>
      </c>
    </row>
    <row r="17" spans="1:8" ht="13" x14ac:dyDescent="0.15">
      <c r="A17" s="5"/>
      <c r="B17" s="82">
        <f ca="1">IFERROR(__xludf.DUMMYFUNCTION("""COMPUTED_VALUE"""),44606.5336393865)</f>
        <v>44606.5336393865</v>
      </c>
      <c r="C17" s="80" t="str">
        <f ca="1">IFERROR(__xludf.DUMMYFUNCTION("""COMPUTED_VALUE"""),"76975")</f>
        <v>76975</v>
      </c>
      <c r="D17" s="80" t="str">
        <f ca="1">IFERROR(__xludf.DUMMYFUNCTION("""COMPUTED_VALUE"""),"error")</f>
        <v>error</v>
      </c>
      <c r="E17" s="80" t="str">
        <f ca="1">IFERROR(__xludf.DUMMYFUNCTION("""COMPUTED_VALUE"""),"Stock")</f>
        <v>Stock</v>
      </c>
      <c r="F17" s="91" t="str">
        <f ca="1">IFERROR(__xludf.DUMMYFUNCTION("""COMPUTED_VALUE"""),"Tencent 00700.HK")</f>
        <v>Tencent 00700.HK</v>
      </c>
      <c r="G17" s="92">
        <f ca="1">IFERROR(__xludf.DUMMYFUNCTION("""COMPUTED_VALUE"""),500)</f>
        <v>500</v>
      </c>
      <c r="H17" s="93" t="str">
        <f ca="1">IFERROR(__xludf.DUMMYFUNCTION("""COMPUTED_VALUE"""),"Order rejected due to wrong ticker code. just need to type in 0700.HK")</f>
        <v>Order rejected due to wrong ticker code. just need to type in 0700.HK</v>
      </c>
    </row>
    <row r="18" spans="1:8" ht="13" x14ac:dyDescent="0.15">
      <c r="A18" s="5"/>
      <c r="B18" s="82">
        <f ca="1">IFERROR(__xludf.DUMMYFUNCTION("""COMPUTED_VALUE"""),44606.5404319675)</f>
        <v>44606.5404319675</v>
      </c>
      <c r="C18" s="80" t="str">
        <f ca="1">IFERROR(__xludf.DUMMYFUNCTION("""COMPUTED_VALUE"""),"75288")</f>
        <v>75288</v>
      </c>
      <c r="D18" s="80" t="str">
        <f ca="1">IFERROR(__xludf.DUMMYFUNCTION("""COMPUTED_VALUE"""),"error")</f>
        <v>error</v>
      </c>
      <c r="E18" s="80" t="str">
        <f ca="1">IFERROR(__xludf.DUMMYFUNCTION("""COMPUTED_VALUE"""),"Stock")</f>
        <v>Stock</v>
      </c>
      <c r="F18" s="91" t="str">
        <f ca="1">IFERROR(__xludf.DUMMYFUNCTION("""COMPUTED_VALUE"""),"Tencent 00700.HK")</f>
        <v>Tencent 00700.HK</v>
      </c>
      <c r="G18" s="92">
        <f ca="1">IFERROR(__xludf.DUMMYFUNCTION("""COMPUTED_VALUE"""),490)</f>
        <v>490</v>
      </c>
      <c r="H18" s="93" t="str">
        <f ca="1">IFERROR(__xludf.DUMMYFUNCTION("""COMPUTED_VALUE"""),"Order rejected due to wrong ticker code. just need to type in 0700.HK")</f>
        <v>Order rejected due to wrong ticker code. just need to type in 0700.HK</v>
      </c>
    </row>
    <row r="19" spans="1:8" ht="13" x14ac:dyDescent="0.15">
      <c r="A19" s="5"/>
      <c r="B19" s="82">
        <f ca="1">IFERROR(__xludf.DUMMYFUNCTION("""COMPUTED_VALUE"""),44606.7147466782)</f>
        <v>44606.714746678197</v>
      </c>
      <c r="C19" s="80" t="str">
        <f ca="1">IFERROR(__xludf.DUMMYFUNCTION("""COMPUTED_VALUE"""),"70628")</f>
        <v>70628</v>
      </c>
      <c r="D19" s="80" t="str">
        <f ca="1">IFERROR(__xludf.DUMMYFUNCTION("""COMPUTED_VALUE"""),"error")</f>
        <v>error</v>
      </c>
      <c r="E19" s="80" t="str">
        <f ca="1">IFERROR(__xludf.DUMMYFUNCTION("""COMPUTED_VALUE"""),"Stock")</f>
        <v>Stock</v>
      </c>
      <c r="F19" s="91" t="str">
        <f ca="1">IFERROR(__xludf.DUMMYFUNCTION("""COMPUTED_VALUE"""),"02333")</f>
        <v>02333</v>
      </c>
      <c r="G19" s="92">
        <f ca="1">IFERROR(__xludf.DUMMYFUNCTION("""COMPUTED_VALUE"""),19.36)</f>
        <v>19.36</v>
      </c>
      <c r="H19" s="93" t="str">
        <f ca="1">IFERROR(__xludf.DUMMYFUNCTION("""COMPUTED_VALUE"""),"Order rejected due to wrong ticker code. just need to type in 2333.HK")</f>
        <v>Order rejected due to wrong ticker code. just need to type in 2333.HK</v>
      </c>
    </row>
    <row r="20" spans="1:8" ht="13" x14ac:dyDescent="0.15">
      <c r="A20" s="5"/>
      <c r="B20" s="82">
        <f ca="1">IFERROR(__xludf.DUMMYFUNCTION("""COMPUTED_VALUE"""),44606.7154684722)</f>
        <v>44606.715468472197</v>
      </c>
      <c r="C20" s="80" t="str">
        <f ca="1">IFERROR(__xludf.DUMMYFUNCTION("""COMPUTED_VALUE"""),"70628")</f>
        <v>70628</v>
      </c>
      <c r="D20" s="80" t="str">
        <f ca="1">IFERROR(__xludf.DUMMYFUNCTION("""COMPUTED_VALUE"""),"error")</f>
        <v>error</v>
      </c>
      <c r="E20" s="80" t="str">
        <f ca="1">IFERROR(__xludf.DUMMYFUNCTION("""COMPUTED_VALUE"""),"Stock")</f>
        <v>Stock</v>
      </c>
      <c r="F20" s="91" t="str">
        <f ca="1">IFERROR(__xludf.DUMMYFUNCTION("""COMPUTED_VALUE"""),"01776")</f>
        <v>01776</v>
      </c>
      <c r="G20" s="92">
        <f ca="1">IFERROR(__xludf.DUMMYFUNCTION("""COMPUTED_VALUE"""),12.98)</f>
        <v>12.98</v>
      </c>
      <c r="H20" s="93" t="str">
        <f ca="1">IFERROR(__xludf.DUMMYFUNCTION("""COMPUTED_VALUE"""),"Order rejected due to wrong ticker code. just need to type in 1776.HK")</f>
        <v>Order rejected due to wrong ticker code. just need to type in 1776.HK</v>
      </c>
    </row>
    <row r="21" spans="1:8" ht="13" x14ac:dyDescent="0.15">
      <c r="A21" s="5"/>
      <c r="B21" s="82">
        <f ca="1">IFERROR(__xludf.DUMMYFUNCTION("""COMPUTED_VALUE"""),44607.5257764814)</f>
        <v>44607.525776481401</v>
      </c>
      <c r="C21" s="80" t="str">
        <f ca="1">IFERROR(__xludf.DUMMYFUNCTION("""COMPUTED_VALUE"""),"36460")</f>
        <v>36460</v>
      </c>
      <c r="D21" s="80" t="str">
        <f ca="1">IFERROR(__xludf.DUMMYFUNCTION("""COMPUTED_VALUE"""),"error")</f>
        <v>error</v>
      </c>
      <c r="E21" s="80" t="str">
        <f ca="1">IFERROR(__xludf.DUMMYFUNCTION("""COMPUTED_VALUE"""),"Stock")</f>
        <v>Stock</v>
      </c>
      <c r="F21" s="91">
        <f ca="1">IFERROR(__xludf.DUMMYFUNCTION("""COMPUTED_VALUE"""),603259)</f>
        <v>603259</v>
      </c>
      <c r="G21" s="92" t="str">
        <f ca="1">IFERROR(__xludf.DUMMYFUNCTION("""COMPUTED_VALUE"""),"Limit Sell@100 Limit Buy@90")</f>
        <v>Limit Sell@100 Limit Buy@90</v>
      </c>
      <c r="H21" s="93" t="str">
        <f ca="1">IFERROR(__xludf.DUMMYFUNCTION("""COMPUTED_VALUE"""),"Order rejected due to wrong ticker code. just need to type in 603259.SS")</f>
        <v>Order rejected due to wrong ticker code. just need to type in 603259.SS</v>
      </c>
    </row>
    <row r="22" spans="1:8" ht="13" x14ac:dyDescent="0.15">
      <c r="A22" s="5"/>
      <c r="B22" s="82">
        <f ca="1">IFERROR(__xludf.DUMMYFUNCTION("""COMPUTED_VALUE"""),44607.5447837847)</f>
        <v>44607.544783784702</v>
      </c>
      <c r="C22" s="80" t="str">
        <f ca="1">IFERROR(__xludf.DUMMYFUNCTION("""COMPUTED_VALUE"""),"70628")</f>
        <v>70628</v>
      </c>
      <c r="D22" s="80" t="str">
        <f ca="1">IFERROR(__xludf.DUMMYFUNCTION("""COMPUTED_VALUE"""),"error")</f>
        <v>error</v>
      </c>
      <c r="E22" s="80" t="str">
        <f ca="1">IFERROR(__xludf.DUMMYFUNCTION("""COMPUTED_VALUE"""),"Stock")</f>
        <v>Stock</v>
      </c>
      <c r="F22" s="91">
        <f ca="1">IFERROR(__xludf.DUMMYFUNCTION("""COMPUTED_VALUE"""),3339)</f>
        <v>3339</v>
      </c>
      <c r="G22" s="92">
        <f ca="1">IFERROR(__xludf.DUMMYFUNCTION("""COMPUTED_VALUE"""),2.1)</f>
        <v>2.1</v>
      </c>
      <c r="H22" s="93" t="str">
        <f ca="1">IFERROR(__xludf.DUMMYFUNCTION("""COMPUTED_VALUE"""),"Order rejected due to wrong ticker code. just need to type in 3339.HK")</f>
        <v>Order rejected due to wrong ticker code. just need to type in 3339.HK</v>
      </c>
    </row>
    <row r="23" spans="1:8" ht="13" x14ac:dyDescent="0.15">
      <c r="A23" s="5"/>
      <c r="B23" s="82">
        <f ca="1">IFERROR(__xludf.DUMMYFUNCTION("""COMPUTED_VALUE"""),44607.5457804976)</f>
        <v>44607.545780497603</v>
      </c>
      <c r="C23" s="80" t="str">
        <f ca="1">IFERROR(__xludf.DUMMYFUNCTION("""COMPUTED_VALUE"""),"70628")</f>
        <v>70628</v>
      </c>
      <c r="D23" s="80" t="str">
        <f ca="1">IFERROR(__xludf.DUMMYFUNCTION("""COMPUTED_VALUE"""),"error")</f>
        <v>error</v>
      </c>
      <c r="E23" s="80" t="str">
        <f ca="1">IFERROR(__xludf.DUMMYFUNCTION("""COMPUTED_VALUE"""),"Stock")</f>
        <v>Stock</v>
      </c>
      <c r="F23" s="91" t="str">
        <f ca="1">IFERROR(__xludf.DUMMYFUNCTION("""COMPUTED_VALUE"""),"02333")</f>
        <v>02333</v>
      </c>
      <c r="G23" s="92">
        <f ca="1">IFERROR(__xludf.DUMMYFUNCTION("""COMPUTED_VALUE"""),19)</f>
        <v>19</v>
      </c>
      <c r="H23" s="93" t="str">
        <f ca="1">IFERROR(__xludf.DUMMYFUNCTION("""COMPUTED_VALUE"""),"Order rejected due to wrong ticker code. just need to type in 2333.HK")</f>
        <v>Order rejected due to wrong ticker code. just need to type in 2333.HK</v>
      </c>
    </row>
    <row r="24" spans="1:8" ht="13" x14ac:dyDescent="0.15">
      <c r="A24" s="5"/>
      <c r="B24" s="82">
        <f ca="1">IFERROR(__xludf.DUMMYFUNCTION("""COMPUTED_VALUE"""),44607.5489578819)</f>
        <v>44607.548957881903</v>
      </c>
      <c r="C24" s="80" t="str">
        <f ca="1">IFERROR(__xludf.DUMMYFUNCTION("""COMPUTED_VALUE"""),"70628")</f>
        <v>70628</v>
      </c>
      <c r="D24" s="80" t="str">
        <f ca="1">IFERROR(__xludf.DUMMYFUNCTION("""COMPUTED_VALUE"""),"error")</f>
        <v>error</v>
      </c>
      <c r="E24" s="80" t="str">
        <f ca="1">IFERROR(__xludf.DUMMYFUNCTION("""COMPUTED_VALUE"""),"Stock")</f>
        <v>Stock</v>
      </c>
      <c r="F24" s="91">
        <f ca="1">IFERROR(__xludf.DUMMYFUNCTION("""COMPUTED_VALUE"""),3339)</f>
        <v>3339</v>
      </c>
      <c r="G24" s="92">
        <f ca="1">IFERROR(__xludf.DUMMYFUNCTION("""COMPUTED_VALUE"""),2.09)</f>
        <v>2.09</v>
      </c>
      <c r="H24" s="93" t="str">
        <f ca="1">IFERROR(__xludf.DUMMYFUNCTION("""COMPUTED_VALUE"""),"Order rejected due to wrong ticker code. just need to type in 3339.HK")</f>
        <v>Order rejected due to wrong ticker code. just need to type in 3339.HK</v>
      </c>
    </row>
    <row r="25" spans="1:8" ht="13" x14ac:dyDescent="0.15">
      <c r="A25" s="5"/>
      <c r="B25" s="82">
        <f ca="1">IFERROR(__xludf.DUMMYFUNCTION("""COMPUTED_VALUE"""),44608.0209121412)</f>
        <v>44608.020912141197</v>
      </c>
      <c r="C25" s="80" t="str">
        <f ca="1">IFERROR(__xludf.DUMMYFUNCTION("""COMPUTED_VALUE"""),"70628")</f>
        <v>70628</v>
      </c>
      <c r="D25" s="80" t="str">
        <f ca="1">IFERROR(__xludf.DUMMYFUNCTION("""COMPUTED_VALUE"""),"error")</f>
        <v>error</v>
      </c>
      <c r="E25" s="80" t="str">
        <f ca="1">IFERROR(__xludf.DUMMYFUNCTION("""COMPUTED_VALUE"""),"Stock")</f>
        <v>Stock</v>
      </c>
      <c r="F25" s="91" t="str">
        <f ca="1">IFERROR(__xludf.DUMMYFUNCTION("""COMPUTED_VALUE"""),"Tesla, Inc. (TSLA)")</f>
        <v>Tesla, Inc. (TSLA)</v>
      </c>
      <c r="G25" s="92">
        <f ca="1">IFERROR(__xludf.DUMMYFUNCTION("""COMPUTED_VALUE"""),917)</f>
        <v>917</v>
      </c>
      <c r="H25" s="93" t="str">
        <f ca="1">IFERROR(__xludf.DUMMYFUNCTION("""COMPUTED_VALUE"""),"Order rejected due to wrong ticker code. just need to type in TSLA")</f>
        <v>Order rejected due to wrong ticker code. just need to type in TSLA</v>
      </c>
    </row>
    <row r="26" spans="1:8" ht="13" x14ac:dyDescent="0.15">
      <c r="A26" s="5"/>
      <c r="B26" s="82">
        <f ca="1">IFERROR(__xludf.DUMMYFUNCTION("""COMPUTED_VALUE"""),44608.4236914351)</f>
        <v>44608.423691435099</v>
      </c>
      <c r="C26" s="80" t="str">
        <f ca="1">IFERROR(__xludf.DUMMYFUNCTION("""COMPUTED_VALUE"""),"82124")</f>
        <v>82124</v>
      </c>
      <c r="D26" s="80" t="str">
        <f ca="1">IFERROR(__xludf.DUMMYFUNCTION("""COMPUTED_VALUE"""),"error")</f>
        <v>error</v>
      </c>
      <c r="E26" s="80" t="str">
        <f ca="1">IFERROR(__xludf.DUMMYFUNCTION("""COMPUTED_VALUE"""),"Stock")</f>
        <v>Stock</v>
      </c>
      <c r="F26" s="91">
        <f ca="1">IFERROR(__xludf.DUMMYFUNCTION("""COMPUTED_VALUE"""),9988)</f>
        <v>9988</v>
      </c>
      <c r="G26" s="92"/>
      <c r="H26" s="93" t="str">
        <f ca="1">IFERROR(__xludf.DUMMYFUNCTION("""COMPUTED_VALUE"""),"Order rejected due to wrong ticker code. just need to type in 9988.HK")</f>
        <v>Order rejected due to wrong ticker code. just need to type in 9988.HK</v>
      </c>
    </row>
    <row r="27" spans="1:8" ht="13" x14ac:dyDescent="0.15">
      <c r="A27" s="5"/>
      <c r="B27" s="82">
        <f ca="1">IFERROR(__xludf.DUMMYFUNCTION("""COMPUTED_VALUE"""),44609.4855999652)</f>
        <v>44609.485599965199</v>
      </c>
      <c r="C27" s="80" t="str">
        <f ca="1">IFERROR(__xludf.DUMMYFUNCTION("""COMPUTED_VALUE"""),"82124")</f>
        <v>82124</v>
      </c>
      <c r="D27" s="80" t="str">
        <f ca="1">IFERROR(__xludf.DUMMYFUNCTION("""COMPUTED_VALUE"""),"error")</f>
        <v>error</v>
      </c>
      <c r="E27" s="80" t="str">
        <f ca="1">IFERROR(__xludf.DUMMYFUNCTION("""COMPUTED_VALUE"""),"Stock")</f>
        <v>Stock</v>
      </c>
      <c r="F27" s="91">
        <f ca="1">IFERROR(__xludf.DUMMYFUNCTION("""COMPUTED_VALUE"""),9988)</f>
        <v>9988</v>
      </c>
      <c r="G27" s="92">
        <f ca="1">IFERROR(__xludf.DUMMYFUNCTION("""COMPUTED_VALUE"""),123.1)</f>
        <v>123.1</v>
      </c>
      <c r="H27" s="93" t="str">
        <f ca="1">IFERROR(__xludf.DUMMYFUNCTION("""COMPUTED_VALUE"""),"Order rejected due to wrong ticker code. just need to type in 9988.HK")</f>
        <v>Order rejected due to wrong ticker code. just need to type in 9988.HK</v>
      </c>
    </row>
    <row r="28" spans="1:8" ht="13" x14ac:dyDescent="0.15">
      <c r="A28" s="5"/>
      <c r="B28" s="82">
        <f ca="1">IFERROR(__xludf.DUMMYFUNCTION("""COMPUTED_VALUE"""),44609.7177130092)</f>
        <v>44609.717713009202</v>
      </c>
      <c r="C28" s="80" t="str">
        <f ca="1">IFERROR(__xludf.DUMMYFUNCTION("""COMPUTED_VALUE"""),"36460")</f>
        <v>36460</v>
      </c>
      <c r="D28" s="80" t="str">
        <f ca="1">IFERROR(__xludf.DUMMYFUNCTION("""COMPUTED_VALUE"""),"error")</f>
        <v>error</v>
      </c>
      <c r="E28" s="80" t="str">
        <f ca="1">IFERROR(__xludf.DUMMYFUNCTION("""COMPUTED_VALUE"""),"Stock")</f>
        <v>Stock</v>
      </c>
      <c r="F28" s="91">
        <f ca="1">IFERROR(__xludf.DUMMYFUNCTION("""COMPUTED_VALUE"""),603259)</f>
        <v>603259</v>
      </c>
      <c r="G28" s="92"/>
      <c r="H28" s="93" t="str">
        <f ca="1">IFERROR(__xludf.DUMMYFUNCTION("""COMPUTED_VALUE"""),"Order rejected due to wrong ticker code. just need to type in 603259.SS")</f>
        <v>Order rejected due to wrong ticker code. just need to type in 603259.SS</v>
      </c>
    </row>
    <row r="29" spans="1:8" ht="13" x14ac:dyDescent="0.15">
      <c r="A29" s="5"/>
      <c r="B29" s="82">
        <f ca="1">IFERROR(__xludf.DUMMYFUNCTION("""COMPUTED_VALUE"""),44610.5156534953)</f>
        <v>44610.515653495298</v>
      </c>
      <c r="C29" s="80" t="str">
        <f ca="1">IFERROR(__xludf.DUMMYFUNCTION("""COMPUTED_VALUE"""),"76796")</f>
        <v>76796</v>
      </c>
      <c r="D29" s="80" t="str">
        <f ca="1">IFERROR(__xludf.DUMMYFUNCTION("""COMPUTED_VALUE"""),"error")</f>
        <v>error</v>
      </c>
      <c r="E29" s="80" t="str">
        <f ca="1">IFERROR(__xludf.DUMMYFUNCTION("""COMPUTED_VALUE"""),"Stock")</f>
        <v>Stock</v>
      </c>
      <c r="F29" s="91" t="str">
        <f ca="1">IFERROR(__xludf.DUMMYFUNCTION("""COMPUTED_VALUE"""),"NVDA")</f>
        <v>NVDA</v>
      </c>
      <c r="G29" s="92"/>
      <c r="H29" s="93" t="str">
        <f ca="1">IFERROR(__xludf.DUMMYFUNCTION("""COMPUTED_VALUE"""),"Expected a number in shares quantity, not in non-numeric character")</f>
        <v>Expected a number in shares quantity, not in non-numeric character</v>
      </c>
    </row>
    <row r="30" spans="1:8" ht="13" x14ac:dyDescent="0.15">
      <c r="A30" s="5"/>
      <c r="B30" s="82">
        <f ca="1">IFERROR(__xludf.DUMMYFUNCTION("""COMPUTED_VALUE"""),44610.6341729513)</f>
        <v>44610.634172951301</v>
      </c>
      <c r="C30" s="80" t="str">
        <f ca="1">IFERROR(__xludf.DUMMYFUNCTION("""COMPUTED_VALUE"""),"76796")</f>
        <v>76796</v>
      </c>
      <c r="D30" s="80" t="str">
        <f ca="1">IFERROR(__xludf.DUMMYFUNCTION("""COMPUTED_VALUE"""),"error")</f>
        <v>error</v>
      </c>
      <c r="E30" s="80" t="str">
        <f ca="1">IFERROR(__xludf.DUMMYFUNCTION("""COMPUTED_VALUE"""),"Stock")</f>
        <v>Stock</v>
      </c>
      <c r="F30" s="91" t="str">
        <f ca="1">IFERROR(__xludf.DUMMYFUNCTION("""COMPUTED_VALUE"""),"MSFT")</f>
        <v>MSFT</v>
      </c>
      <c r="G30" s="92"/>
      <c r="H30" s="93" t="str">
        <f ca="1">IFERROR(__xludf.DUMMYFUNCTION("""COMPUTED_VALUE"""),"Expected a number in shares quantity, not in non-numeric character")</f>
        <v>Expected a number in shares quantity, not in non-numeric character</v>
      </c>
    </row>
    <row r="31" spans="1:8" ht="13" x14ac:dyDescent="0.15">
      <c r="A31" s="5"/>
      <c r="B31" s="82">
        <f ca="1">IFERROR(__xludf.DUMMYFUNCTION("""COMPUTED_VALUE"""),44610.6811490972)</f>
        <v>44610.681149097203</v>
      </c>
      <c r="C31" s="80" t="str">
        <f ca="1">IFERROR(__xludf.DUMMYFUNCTION("""COMPUTED_VALUE"""),"39857")</f>
        <v>39857</v>
      </c>
      <c r="D31" s="80" t="str">
        <f ca="1">IFERROR(__xludf.DUMMYFUNCTION("""COMPUTED_VALUE"""),"error")</f>
        <v>error</v>
      </c>
      <c r="E31" s="80" t="str">
        <f ca="1">IFERROR(__xludf.DUMMYFUNCTION("""COMPUTED_VALUE"""),"Stock")</f>
        <v>Stock</v>
      </c>
      <c r="F31" s="91">
        <f ca="1">IFERROR(__xludf.DUMMYFUNCTION("""COMPUTED_VALUE"""),6969)</f>
        <v>6969</v>
      </c>
      <c r="G31" s="92"/>
      <c r="H31" s="93" t="str">
        <f ca="1">IFERROR(__xludf.DUMMYFUNCTION("""COMPUTED_VALUE"""),"Order rejected due to wrong ticker code. just need to type in 6969.HK")</f>
        <v>Order rejected due to wrong ticker code. just need to type in 6969.HK</v>
      </c>
    </row>
    <row r="32" spans="1:8" ht="13" x14ac:dyDescent="0.15">
      <c r="A32" s="5"/>
      <c r="B32" s="82">
        <f ca="1">IFERROR(__xludf.DUMMYFUNCTION("""COMPUTED_VALUE"""),44610.6836210301)</f>
        <v>44610.683621030097</v>
      </c>
      <c r="C32" s="80" t="str">
        <f ca="1">IFERROR(__xludf.DUMMYFUNCTION("""COMPUTED_VALUE"""),"75369")</f>
        <v>75369</v>
      </c>
      <c r="D32" s="80" t="str">
        <f ca="1">IFERROR(__xludf.DUMMYFUNCTION("""COMPUTED_VALUE"""),"error")</f>
        <v>error</v>
      </c>
      <c r="E32" s="80" t="str">
        <f ca="1">IFERROR(__xludf.DUMMYFUNCTION("""COMPUTED_VALUE"""),"Stock")</f>
        <v>Stock</v>
      </c>
      <c r="F32" s="91">
        <f ca="1">IFERROR(__xludf.DUMMYFUNCTION("""COMPUTED_VALUE"""),83547)</f>
        <v>83547</v>
      </c>
      <c r="G32" s="92">
        <f ca="1">IFERROR(__xludf.DUMMYFUNCTION("""COMPUTED_VALUE"""),20)</f>
        <v>20</v>
      </c>
      <c r="H32" s="93" t="str">
        <f ca="1">IFERROR(__xludf.DUMMYFUNCTION("""COMPUTED_VALUE"""),"Order rejected due to wrong ticker code. it is a 4 digit code for HK stock. For limit price, just put in the price is enough (the numeric number).")</f>
        <v>Order rejected due to wrong ticker code. it is a 4 digit code for HK stock. For limit price, just put in the price is enough (the numeric number).</v>
      </c>
    </row>
    <row r="33" spans="1:8" ht="13" x14ac:dyDescent="0.15">
      <c r="A33" s="5"/>
      <c r="B33" s="82">
        <f ca="1">IFERROR(__xludf.DUMMYFUNCTION("""COMPUTED_VALUE"""),44611.0488137152)</f>
        <v>44611.048813715199</v>
      </c>
      <c r="C33" s="80" t="str">
        <f ca="1">IFERROR(__xludf.DUMMYFUNCTION("""COMPUTED_VALUE"""),"40433")</f>
        <v>40433</v>
      </c>
      <c r="D33" s="80" t="str">
        <f ca="1">IFERROR(__xludf.DUMMYFUNCTION("""COMPUTED_VALUE"""),"error")</f>
        <v>error</v>
      </c>
      <c r="E33" s="80" t="str">
        <f ca="1">IFERROR(__xludf.DUMMYFUNCTION("""COMPUTED_VALUE"""),"Stock")</f>
        <v>Stock</v>
      </c>
      <c r="F33" s="91" t="str">
        <f ca="1">IFERROR(__xludf.DUMMYFUNCTION("""COMPUTED_VALUE"""),"TSLAA")</f>
        <v>TSLAA</v>
      </c>
      <c r="G33" s="92"/>
      <c r="H33" s="93" t="str">
        <f ca="1">IFERROR(__xludf.DUMMYFUNCTION("""COMPUTED_VALUE"""),"Order rejected due to wrong ticker code. just need to type in TSLA?")</f>
        <v>Order rejected due to wrong ticker code. just need to type in TSLA?</v>
      </c>
    </row>
    <row r="34" spans="1:8" ht="13" x14ac:dyDescent="0.15">
      <c r="A34" s="5"/>
      <c r="B34" s="82">
        <f ca="1">IFERROR(__xludf.DUMMYFUNCTION("""COMPUTED_VALUE"""),44611.7673262037)</f>
        <v>44611.767326203699</v>
      </c>
      <c r="C34" s="80" t="str">
        <f ca="1">IFERROR(__xludf.DUMMYFUNCTION("""COMPUTED_VALUE"""),"")</f>
        <v/>
      </c>
      <c r="D34" s="80" t="str">
        <f ca="1">IFERROR(__xludf.DUMMYFUNCTION("""COMPUTED_VALUE"""),"error")</f>
        <v>error</v>
      </c>
      <c r="E34" s="80" t="str">
        <f ca="1">IFERROR(__xludf.DUMMYFUNCTION("""COMPUTED_VALUE"""),"Stock")</f>
        <v>Stock</v>
      </c>
      <c r="F34" s="91">
        <f ca="1">IFERROR(__xludf.DUMMYFUNCTION("""COMPUTED_VALUE"""),600519)</f>
        <v>600519</v>
      </c>
      <c r="G34" s="92">
        <f ca="1">IFERROR(__xludf.DUMMYFUNCTION("""COMPUTED_VALUE"""),1907)</f>
        <v>1907</v>
      </c>
      <c r="H34" s="93" t="str">
        <f ca="1">IFERROR(__xludf.DUMMYFUNCTION("""COMPUTED_VALUE"""),"Order rejected due to invalid school email account, (nmaXXXXX@gmail.com), wrong ticker code. just need to type in 600519.SS")</f>
        <v>Order rejected due to invalid school email account, (nmaXXXXX@gmail.com), wrong ticker code. just need to type in 600519.SS</v>
      </c>
    </row>
    <row r="35" spans="1:8" ht="13" x14ac:dyDescent="0.15">
      <c r="A35" s="5"/>
      <c r="B35" s="82">
        <f ca="1">IFERROR(__xludf.DUMMYFUNCTION("""COMPUTED_VALUE"""),44612.9941424189)</f>
        <v>44612.994142418902</v>
      </c>
      <c r="C35" s="80" t="str">
        <f ca="1">IFERROR(__xludf.DUMMYFUNCTION("""COMPUTED_VALUE"""),"75369")</f>
        <v>75369</v>
      </c>
      <c r="D35" s="80" t="str">
        <f ca="1">IFERROR(__xludf.DUMMYFUNCTION("""COMPUTED_VALUE"""),"error")</f>
        <v>error</v>
      </c>
      <c r="E35" s="80" t="str">
        <f ca="1">IFERROR(__xludf.DUMMYFUNCTION("""COMPUTED_VALUE"""),"Stock")</f>
        <v>Stock</v>
      </c>
      <c r="F35" s="91" t="str">
        <f ca="1">IFERROR(__xludf.DUMMYFUNCTION("""COMPUTED_VALUE"""),"04338")</f>
        <v>04338</v>
      </c>
      <c r="G35" s="92">
        <f ca="1">IFERROR(__xludf.DUMMYFUNCTION("""COMPUTED_VALUE"""),20)</f>
        <v>20</v>
      </c>
      <c r="H35" s="93" t="str">
        <f ca="1">IFERROR(__xludf.DUMMYFUNCTION("""COMPUTED_VALUE"""),"Order rejected due to wrong password, wrong ticker code and non numeric character in limit price. just need to type in 4338.HK. AND just numeric price for limiit price")</f>
        <v>Order rejected due to wrong password, wrong ticker code and non numeric character in limit price. just need to type in 4338.HK. AND just numeric price for limiit price</v>
      </c>
    </row>
    <row r="36" spans="1:8" ht="13" x14ac:dyDescent="0.15">
      <c r="A36" s="5"/>
      <c r="B36" s="82">
        <f ca="1">IFERROR(__xludf.DUMMYFUNCTION("""COMPUTED_VALUE"""),44613.6481600925)</f>
        <v>44613.648160092504</v>
      </c>
      <c r="C36" s="80" t="str">
        <f ca="1">IFERROR(__xludf.DUMMYFUNCTION("""COMPUTED_VALUE"""),"39857")</f>
        <v>39857</v>
      </c>
      <c r="D36" s="80" t="str">
        <f ca="1">IFERROR(__xludf.DUMMYFUNCTION("""COMPUTED_VALUE"""),"error")</f>
        <v>error</v>
      </c>
      <c r="E36" s="80" t="str">
        <f ca="1">IFERROR(__xludf.DUMMYFUNCTION("""COMPUTED_VALUE"""),"Stock")</f>
        <v>Stock</v>
      </c>
      <c r="F36" s="91" t="str">
        <f ca="1">IFERROR(__xludf.DUMMYFUNCTION("""COMPUTED_VALUE"""),"03690")</f>
        <v>03690</v>
      </c>
      <c r="G36" s="92"/>
      <c r="H36" s="93" t="str">
        <f ca="1">IFERROR(__xludf.DUMMYFUNCTION("""COMPUTED_VALUE"""),"Order rejected due to wrong ticker code. just need to type in  3690.HK")</f>
        <v>Order rejected due to wrong ticker code. just need to type in  3690.HK</v>
      </c>
    </row>
    <row r="37" spans="1:8" ht="13" x14ac:dyDescent="0.15">
      <c r="A37" s="5"/>
      <c r="B37" s="82">
        <f ca="1">IFERROR(__xludf.DUMMYFUNCTION("""COMPUTED_VALUE"""),44616.0035005092)</f>
        <v>44616.0035005092</v>
      </c>
      <c r="C37" s="80" t="str">
        <f ca="1">IFERROR(__xludf.DUMMYFUNCTION("""COMPUTED_VALUE"""),"")</f>
        <v/>
      </c>
      <c r="D37" s="80" t="str">
        <f ca="1">IFERROR(__xludf.DUMMYFUNCTION("""COMPUTED_VALUE"""),"error")</f>
        <v>error</v>
      </c>
      <c r="E37" s="80" t="str">
        <f ca="1">IFERROR(__xludf.DUMMYFUNCTION("""COMPUTED_VALUE"""),"Stock")</f>
        <v>Stock</v>
      </c>
      <c r="F37" s="94" t="str">
        <f ca="1">IFERROR(__xludf.DUMMYFUNCTION("""COMPUTED_VALUE"""),"0941.HK")</f>
        <v>0941.HK</v>
      </c>
      <c r="G37" s="92">
        <f ca="1">IFERROR(__xludf.DUMMYFUNCTION("""COMPUTED_VALUE"""),62)</f>
        <v>62</v>
      </c>
      <c r="H37" s="93" t="str">
        <f ca="1">IFERROR(__xludf.DUMMYFUNCTION("""COMPUTED_VALUE"""),"Order rejected due to wrong account name, code, and not school email")</f>
        <v>Order rejected due to wrong account name, code, and not school email</v>
      </c>
    </row>
    <row r="38" spans="1:8" ht="13" x14ac:dyDescent="0.15">
      <c r="A38" s="5"/>
      <c r="B38" s="82">
        <f ca="1">IFERROR(__xludf.DUMMYFUNCTION("""COMPUTED_VALUE"""),44616.005340706)</f>
        <v>44616.005340705997</v>
      </c>
      <c r="C38" s="80" t="str">
        <f ca="1">IFERROR(__xludf.DUMMYFUNCTION("""COMPUTED_VALUE"""),"")</f>
        <v/>
      </c>
      <c r="D38" s="80" t="str">
        <f ca="1">IFERROR(__xludf.DUMMYFUNCTION("""COMPUTED_VALUE"""),"error")</f>
        <v>error</v>
      </c>
      <c r="E38" s="80" t="str">
        <f ca="1">IFERROR(__xludf.DUMMYFUNCTION("""COMPUTED_VALUE"""),"Stock")</f>
        <v>Stock</v>
      </c>
      <c r="F38" s="91" t="str">
        <f ca="1">IFERROR(__xludf.DUMMYFUNCTION("""COMPUTED_VALUE"""),"9988.HKD")</f>
        <v>9988.HKD</v>
      </c>
      <c r="G38" s="92">
        <f ca="1">IFERROR(__xludf.DUMMYFUNCTION("""COMPUTED_VALUE"""),200)</f>
        <v>200</v>
      </c>
      <c r="H38" s="93" t="str">
        <f ca="1">IFERROR(__xludf.DUMMYFUNCTION("""COMPUTED_VALUE"""),"Order rejected due to wrong account name, code, and not school email")</f>
        <v>Order rejected due to wrong account name, code, and not school email</v>
      </c>
    </row>
    <row r="39" spans="1:8" ht="13" x14ac:dyDescent="0.15">
      <c r="A39" s="5"/>
      <c r="B39" s="82">
        <f ca="1">IFERROR(__xludf.DUMMYFUNCTION("""COMPUTED_VALUE"""),44616.0077232986)</f>
        <v>44616.0077232986</v>
      </c>
      <c r="C39" s="80" t="str">
        <f ca="1">IFERROR(__xludf.DUMMYFUNCTION("""COMPUTED_VALUE"""),"")</f>
        <v/>
      </c>
      <c r="D39" s="80" t="str">
        <f ca="1">IFERROR(__xludf.DUMMYFUNCTION("""COMPUTED_VALUE"""),"error")</f>
        <v>error</v>
      </c>
      <c r="E39" s="80" t="str">
        <f ca="1">IFERROR(__xludf.DUMMYFUNCTION("""COMPUTED_VALUE"""),"Stock")</f>
        <v>Stock</v>
      </c>
      <c r="F39" s="94" t="str">
        <f ca="1">IFERROR(__xludf.DUMMYFUNCTION("""COMPUTED_VALUE"""),"3047.HK")</f>
        <v>3047.HK</v>
      </c>
      <c r="G39" s="92"/>
      <c r="H39" s="93" t="str">
        <f ca="1">IFERROR(__xludf.DUMMYFUNCTION("""COMPUTED_VALUE"""),"Order rejected due to wrong account name, code, and not school email")</f>
        <v>Order rejected due to wrong account name, code, and not school email</v>
      </c>
    </row>
    <row r="40" spans="1:8" ht="13" x14ac:dyDescent="0.15">
      <c r="A40" s="5"/>
      <c r="B40" s="82">
        <f ca="1">IFERROR(__xludf.DUMMYFUNCTION("""COMPUTED_VALUE"""),44616.0139321064)</f>
        <v>44616.013932106398</v>
      </c>
      <c r="C40" s="80" t="str">
        <f ca="1">IFERROR(__xludf.DUMMYFUNCTION("""COMPUTED_VALUE"""),"")</f>
        <v/>
      </c>
      <c r="D40" s="80" t="str">
        <f ca="1">IFERROR(__xludf.DUMMYFUNCTION("""COMPUTED_VALUE"""),"error")</f>
        <v>error</v>
      </c>
      <c r="E40" s="80" t="str">
        <f ca="1">IFERROR(__xludf.DUMMYFUNCTION("""COMPUTED_VALUE"""),"Stock")</f>
        <v>Stock</v>
      </c>
      <c r="F40" s="94" t="str">
        <f ca="1">IFERROR(__xludf.DUMMYFUNCTION("""COMPUTED_VALUE"""),"9988.HK")</f>
        <v>9988.HK</v>
      </c>
      <c r="G40" s="92"/>
      <c r="H40" s="93" t="str">
        <f ca="1">IFERROR(__xludf.DUMMYFUNCTION("""COMPUTED_VALUE"""),"Order rejected due to wrong account name, code, and not school email")</f>
        <v>Order rejected due to wrong account name, code, and not school email</v>
      </c>
    </row>
    <row r="41" spans="1:8" ht="13" x14ac:dyDescent="0.15">
      <c r="A41" s="5"/>
      <c r="B41" s="82">
        <f ca="1">IFERROR(__xludf.DUMMYFUNCTION("""COMPUTED_VALUE"""),44616.0283498495)</f>
        <v>44616.028349849497</v>
      </c>
      <c r="C41" s="80" t="str">
        <f ca="1">IFERROR(__xludf.DUMMYFUNCTION("""COMPUTED_VALUE"""),"")</f>
        <v/>
      </c>
      <c r="D41" s="80" t="str">
        <f ca="1">IFERROR(__xludf.DUMMYFUNCTION("""COMPUTED_VALUE"""),"error")</f>
        <v>error</v>
      </c>
      <c r="E41" s="80" t="str">
        <f ca="1">IFERROR(__xludf.DUMMYFUNCTION("""COMPUTED_VALUE"""),"Stock")</f>
        <v>Stock</v>
      </c>
      <c r="F41" s="94" t="str">
        <f ca="1">IFERROR(__xludf.DUMMYFUNCTION("""COMPUTED_VALUE"""),"0941.HK")</f>
        <v>0941.HK</v>
      </c>
      <c r="G41" s="92"/>
      <c r="H41" s="93" t="str">
        <f ca="1">IFERROR(__xludf.DUMMYFUNCTION("""COMPUTED_VALUE"""),"Order rejected due to wrong account name, code, and not school email")</f>
        <v>Order rejected due to wrong account name, code, and not school email</v>
      </c>
    </row>
    <row r="42" spans="1:8" ht="13" x14ac:dyDescent="0.15">
      <c r="A42" s="5"/>
      <c r="B42" s="82">
        <f ca="1">IFERROR(__xludf.DUMMYFUNCTION("""COMPUTED_VALUE"""),44616.0288285995)</f>
        <v>44616.028828599498</v>
      </c>
      <c r="C42" s="80" t="str">
        <f ca="1">IFERROR(__xludf.DUMMYFUNCTION("""COMPUTED_VALUE"""),"")</f>
        <v/>
      </c>
      <c r="D42" s="80" t="str">
        <f ca="1">IFERROR(__xludf.DUMMYFUNCTION("""COMPUTED_VALUE"""),"error")</f>
        <v>error</v>
      </c>
      <c r="E42" s="80" t="str">
        <f ca="1">IFERROR(__xludf.DUMMYFUNCTION("""COMPUTED_VALUE"""),"Stock")</f>
        <v>Stock</v>
      </c>
      <c r="F42" s="94" t="str">
        <f ca="1">IFERROR(__xludf.DUMMYFUNCTION("""COMPUTED_VALUE"""),"3047.HK")</f>
        <v>3047.HK</v>
      </c>
      <c r="G42" s="92"/>
      <c r="H42" s="93" t="str">
        <f ca="1">IFERROR(__xludf.DUMMYFUNCTION("""COMPUTED_VALUE"""),"Order rejected due to wrong account name, code, and not school email")</f>
        <v>Order rejected due to wrong account name, code, and not school email</v>
      </c>
    </row>
    <row r="43" spans="1:8" ht="13" x14ac:dyDescent="0.15">
      <c r="A43" s="5"/>
      <c r="B43" s="82">
        <f ca="1">IFERROR(__xludf.DUMMYFUNCTION("""COMPUTED_VALUE"""),44616.044585081)</f>
        <v>44616.044585080999</v>
      </c>
      <c r="C43" s="80" t="str">
        <f ca="1">IFERROR(__xludf.DUMMYFUNCTION("""COMPUTED_VALUE"""),"")</f>
        <v/>
      </c>
      <c r="D43" s="80" t="str">
        <f ca="1">IFERROR(__xludf.DUMMYFUNCTION("""COMPUTED_VALUE"""),"error")</f>
        <v>error</v>
      </c>
      <c r="E43" s="80" t="str">
        <f ca="1">IFERROR(__xludf.DUMMYFUNCTION("""COMPUTED_VALUE"""),"Stock")</f>
        <v>Stock</v>
      </c>
      <c r="F43" s="91" t="str">
        <f ca="1">IFERROR(__xludf.DUMMYFUNCTION("""COMPUTED_VALUE"""),"SOFI")</f>
        <v>SOFI</v>
      </c>
      <c r="G43" s="92"/>
      <c r="H43" s="93" t="str">
        <f ca="1">IFERROR(__xludf.DUMMYFUNCTION("""COMPUTED_VALUE"""),"Order rejected due to wrong account name, code, and not school email")</f>
        <v>Order rejected due to wrong account name, code, and not school email</v>
      </c>
    </row>
    <row r="44" spans="1:8" ht="13" x14ac:dyDescent="0.15">
      <c r="A44" s="5"/>
      <c r="B44" s="82">
        <f ca="1">IFERROR(__xludf.DUMMYFUNCTION("""COMPUTED_VALUE"""),44616.590545706)</f>
        <v>44616.590545706</v>
      </c>
      <c r="C44" s="80" t="str">
        <f ca="1">IFERROR(__xludf.DUMMYFUNCTION("""COMPUTED_VALUE"""),"39857")</f>
        <v>39857</v>
      </c>
      <c r="D44" s="80" t="str">
        <f ca="1">IFERROR(__xludf.DUMMYFUNCTION("""COMPUTED_VALUE"""),"error")</f>
        <v>error</v>
      </c>
      <c r="E44" s="80" t="str">
        <f ca="1">IFERROR(__xludf.DUMMYFUNCTION("""COMPUTED_VALUE"""),"Stock")</f>
        <v>Stock</v>
      </c>
      <c r="F44" s="91" t="str">
        <f ca="1">IFERROR(__xludf.DUMMYFUNCTION("""COMPUTED_VALUE"""),"00388")</f>
        <v>00388</v>
      </c>
      <c r="G44" s="92"/>
      <c r="H44" s="93" t="str">
        <f ca="1">IFERROR(__xludf.DUMMYFUNCTION("""COMPUTED_VALUE"""),"Order rejected due to wrong ticker code. just need to type in  0388.HK")</f>
        <v>Order rejected due to wrong ticker code. just need to type in  0388.HK</v>
      </c>
    </row>
    <row r="45" spans="1:8" ht="13" x14ac:dyDescent="0.15">
      <c r="A45" s="5"/>
      <c r="B45" s="82">
        <f ca="1">IFERROR(__xludf.DUMMYFUNCTION("""COMPUTED_VALUE"""),44617.4511692361)</f>
        <v>44617.451169236097</v>
      </c>
      <c r="C45" s="80" t="str">
        <f ca="1">IFERROR(__xludf.DUMMYFUNCTION("""COMPUTED_VALUE"""),"39857")</f>
        <v>39857</v>
      </c>
      <c r="D45" s="80" t="str">
        <f ca="1">IFERROR(__xludf.DUMMYFUNCTION("""COMPUTED_VALUE"""),"error")</f>
        <v>error</v>
      </c>
      <c r="E45" s="80" t="str">
        <f ca="1">IFERROR(__xludf.DUMMYFUNCTION("""COMPUTED_VALUE"""),"Stock")</f>
        <v>Stock</v>
      </c>
      <c r="F45" s="91" t="str">
        <f ca="1">IFERROR(__xludf.DUMMYFUNCTION("""COMPUTED_VALUE"""),"03690")</f>
        <v>03690</v>
      </c>
      <c r="G45" s="92"/>
      <c r="H45" s="93" t="str">
        <f ca="1">IFERROR(__xludf.DUMMYFUNCTION("""COMPUTED_VALUE"""),"Order rejected due to wrong ticker code. just need to type in  3690.HK")</f>
        <v>Order rejected due to wrong ticker code. just need to type in  3690.HK</v>
      </c>
    </row>
    <row r="46" spans="1:8" ht="13" x14ac:dyDescent="0.15">
      <c r="A46" s="5"/>
      <c r="B46" s="82">
        <f ca="1">IFERROR(__xludf.DUMMYFUNCTION("""COMPUTED_VALUE"""),44617.7287726967)</f>
        <v>44617.728772696697</v>
      </c>
      <c r="C46" s="80" t="str">
        <f ca="1">IFERROR(__xludf.DUMMYFUNCTION("""COMPUTED_VALUE"""),"")</f>
        <v/>
      </c>
      <c r="D46" s="80" t="str">
        <f ca="1">IFERROR(__xludf.DUMMYFUNCTION("""COMPUTED_VALUE"""),"error")</f>
        <v>error</v>
      </c>
      <c r="E46" s="80" t="str">
        <f ca="1">IFERROR(__xludf.DUMMYFUNCTION("""COMPUTED_VALUE"""),"Stock")</f>
        <v>Stock</v>
      </c>
      <c r="F46" s="94" t="str">
        <f ca="1">IFERROR(__xludf.DUMMYFUNCTION("""COMPUTED_VALUE"""),"00700.HK")</f>
        <v>00700.HK</v>
      </c>
      <c r="G46" s="92">
        <f ca="1">IFERROR(__xludf.DUMMYFUNCTION("""COMPUTED_VALUE"""),200)</f>
        <v>200</v>
      </c>
      <c r="H46" s="93" t="str">
        <f ca="1">IFERROR(__xludf.DUMMYFUNCTION("""COMPUTED_VALUE"""),"Wrong email input (non-school email). Also, Trader input as 00700.HK, correct ticker should be 0700.HK")</f>
        <v>Wrong email input (non-school email). Also, Trader input as 00700.HK, correct ticker should be 0700.HK</v>
      </c>
    </row>
    <row r="47" spans="1:8" ht="13" x14ac:dyDescent="0.15">
      <c r="A47" s="5"/>
      <c r="B47" s="82">
        <f ca="1">IFERROR(__xludf.DUMMYFUNCTION("""COMPUTED_VALUE"""),44617.7498978588)</f>
        <v>44617.749897858797</v>
      </c>
      <c r="C47" s="80" t="str">
        <f ca="1">IFERROR(__xludf.DUMMYFUNCTION("""COMPUTED_VALUE"""),"14626")</f>
        <v>14626</v>
      </c>
      <c r="D47" s="80" t="str">
        <f ca="1">IFERROR(__xludf.DUMMYFUNCTION("""COMPUTED_VALUE"""),"error")</f>
        <v>error</v>
      </c>
      <c r="E47" s="80" t="str">
        <f ca="1">IFERROR(__xludf.DUMMYFUNCTION("""COMPUTED_VALUE"""),"Option")</f>
        <v>Option</v>
      </c>
      <c r="F47" s="94" t="str">
        <f ca="1">IFERROR(__xludf.DUMMYFUNCTION("""COMPUTED_VALUE"""),"00700.HK")</f>
        <v>00700.HK</v>
      </c>
      <c r="G47" s="92">
        <f ca="1">IFERROR(__xludf.DUMMYFUNCTION("""COMPUTED_VALUE"""),200)</f>
        <v>200</v>
      </c>
      <c r="H47" s="93" t="str">
        <f ca="1">IFERROR(__xludf.DUMMYFUNCTION("""COMPUTED_VALUE"""),"Trader input as option as asset class for a stock. Order is rejected.")</f>
        <v>Trader input as option as asset class for a stock. Order is rejected.</v>
      </c>
    </row>
    <row r="48" spans="1:8" ht="13" x14ac:dyDescent="0.15">
      <c r="A48" s="5"/>
      <c r="B48" s="82">
        <f ca="1">IFERROR(__xludf.DUMMYFUNCTION("""COMPUTED_VALUE"""),44618.7863999305)</f>
        <v>44618.786399930497</v>
      </c>
      <c r="C48" s="80" t="str">
        <f ca="1">IFERROR(__xludf.DUMMYFUNCTION("""COMPUTED_VALUE"""),"76796")</f>
        <v>76796</v>
      </c>
      <c r="D48" s="80" t="str">
        <f ca="1">IFERROR(__xludf.DUMMYFUNCTION("""COMPUTED_VALUE"""),"error")</f>
        <v>error</v>
      </c>
      <c r="E48" s="80" t="str">
        <f ca="1">IFERROR(__xludf.DUMMYFUNCTION("""COMPUTED_VALUE"""),"Stock")</f>
        <v>Stock</v>
      </c>
      <c r="F48" s="91" t="str">
        <f ca="1">IFERROR(__xludf.DUMMYFUNCTION("""COMPUTED_VALUE"""),"ISPO")</f>
        <v>ISPO</v>
      </c>
      <c r="G48" s="92"/>
      <c r="H48" s="93" t="str">
        <f ca="1">IFERROR(__xludf.DUMMYFUNCTION("""COMPUTED_VALUE"""),"Trade Quantity has to be in number format. ""all"" will be rejected by the system.")</f>
        <v>Trade Quantity has to be in number format. "all" will be rejected by the system.</v>
      </c>
    </row>
    <row r="49" spans="1:8" ht="13" x14ac:dyDescent="0.15">
      <c r="A49" s="5"/>
      <c r="B49" s="82">
        <f ca="1">IFERROR(__xludf.DUMMYFUNCTION("""COMPUTED_VALUE"""),44618.7868162152)</f>
        <v>44618.786816215201</v>
      </c>
      <c r="C49" s="80" t="str">
        <f ca="1">IFERROR(__xludf.DUMMYFUNCTION("""COMPUTED_VALUE"""),"76796")</f>
        <v>76796</v>
      </c>
      <c r="D49" s="80" t="str">
        <f ca="1">IFERROR(__xludf.DUMMYFUNCTION("""COMPUTED_VALUE"""),"error")</f>
        <v>error</v>
      </c>
      <c r="E49" s="80" t="str">
        <f ca="1">IFERROR(__xludf.DUMMYFUNCTION("""COMPUTED_VALUE"""),"Stock")</f>
        <v>Stock</v>
      </c>
      <c r="F49" s="91" t="str">
        <f ca="1">IFERROR(__xludf.DUMMYFUNCTION("""COMPUTED_VALUE"""),"NVDA")</f>
        <v>NVDA</v>
      </c>
      <c r="G49" s="92"/>
      <c r="H49" s="93" t="str">
        <f ca="1">IFERROR(__xludf.DUMMYFUNCTION("""COMPUTED_VALUE"""),"Trade Quantity has to be in number format. ""all"" will be rejected by the system.")</f>
        <v>Trade Quantity has to be in number format. "all" will be rejected by the system.</v>
      </c>
    </row>
    <row r="50" spans="1:8" ht="13" x14ac:dyDescent="0.15">
      <c r="A50" s="5"/>
      <c r="B50" s="82">
        <f ca="1">IFERROR(__xludf.DUMMYFUNCTION("""COMPUTED_VALUE"""),44619.7083774305)</f>
        <v>44619.708377430499</v>
      </c>
      <c r="C50" s="80" t="str">
        <f ca="1">IFERROR(__xludf.DUMMYFUNCTION("""COMPUTED_VALUE"""),"77936")</f>
        <v>77936</v>
      </c>
      <c r="D50" s="80" t="str">
        <f ca="1">IFERROR(__xludf.DUMMYFUNCTION("""COMPUTED_VALUE"""),"error")</f>
        <v>error</v>
      </c>
      <c r="E50" s="80" t="str">
        <f ca="1">IFERROR(__xludf.DUMMYFUNCTION("""COMPUTED_VALUE"""),"Stock")</f>
        <v>Stock</v>
      </c>
      <c r="F50" s="91" t="str">
        <f ca="1">IFERROR(__xludf.DUMMYFUNCTION("""COMPUTED_VALUE"""),"0700")</f>
        <v>0700</v>
      </c>
      <c r="G50" s="92">
        <f ca="1">IFERROR(__xludf.DUMMYFUNCTION("""COMPUTED_VALUE"""),450)</f>
        <v>450</v>
      </c>
      <c r="H50" s="93" t="str">
        <f ca="1">IFERROR(__xludf.DUMMYFUNCTION("""COMPUTED_VALUE"""),"Order rejected due to wrong ticker code. just need to type in 0700.HK")</f>
        <v>Order rejected due to wrong ticker code. just need to type in 0700.HK</v>
      </c>
    </row>
    <row r="51" spans="1:8" ht="13" x14ac:dyDescent="0.15">
      <c r="A51" s="5"/>
      <c r="B51" s="82">
        <f ca="1">IFERROR(__xludf.DUMMYFUNCTION("""COMPUTED_VALUE"""),44619.7323212037)</f>
        <v>44619.732321203701</v>
      </c>
      <c r="C51" s="80" t="str">
        <f ca="1">IFERROR(__xludf.DUMMYFUNCTION("""COMPUTED_VALUE"""),"37922")</f>
        <v>37922</v>
      </c>
      <c r="D51" s="80" t="str">
        <f ca="1">IFERROR(__xludf.DUMMYFUNCTION("""COMPUTED_VALUE"""),"error")</f>
        <v>error</v>
      </c>
      <c r="E51" s="80" t="str">
        <f ca="1">IFERROR(__xludf.DUMMYFUNCTION("""COMPUTED_VALUE"""),"Stock")</f>
        <v>Stock</v>
      </c>
      <c r="F51" s="91" t="str">
        <f ca="1">IFERROR(__xludf.DUMMYFUNCTION("""COMPUTED_VALUE"""),"09999")</f>
        <v>09999</v>
      </c>
      <c r="G51" s="92"/>
      <c r="H51" s="93" t="str">
        <f ca="1">IFERROR(__xludf.DUMMYFUNCTION("""COMPUTED_VALUE"""),"Order rejected due to wrong ticker code. just need to type in 9999.HK")</f>
        <v>Order rejected due to wrong ticker code. just need to type in 9999.HK</v>
      </c>
    </row>
    <row r="52" spans="1:8" ht="13" x14ac:dyDescent="0.15">
      <c r="A52" s="5"/>
      <c r="B52" s="82">
        <f ca="1">IFERROR(__xludf.DUMMYFUNCTION("""COMPUTED_VALUE"""),44620.2908552777)</f>
        <v>44620.290855277701</v>
      </c>
      <c r="C52" s="80" t="str">
        <f ca="1">IFERROR(__xludf.DUMMYFUNCTION("""COMPUTED_VALUE"""),"24442")</f>
        <v>24442</v>
      </c>
      <c r="D52" s="80" t="str">
        <f ca="1">IFERROR(__xludf.DUMMYFUNCTION("""COMPUTED_VALUE"""),"error")</f>
        <v>error</v>
      </c>
      <c r="E52" s="80" t="str">
        <f ca="1">IFERROR(__xludf.DUMMYFUNCTION("""COMPUTED_VALUE"""),"Stock")</f>
        <v>Stock</v>
      </c>
      <c r="F52" s="91" t="str">
        <f ca="1">IFERROR(__xludf.DUMMYFUNCTION("""COMPUTED_VALUE"""),"005930.KRX")</f>
        <v>005930.KRX</v>
      </c>
      <c r="G52" s="92"/>
      <c r="H52" s="93" t="str">
        <f ca="1">IFERROR(__xludf.DUMMYFUNCTION("""COMPUTED_VALUE"""),"Order rejected due to wrong ticker code. just need to type in 005930.KS")</f>
        <v>Order rejected due to wrong ticker code. just need to type in 005930.KS</v>
      </c>
    </row>
    <row r="53" spans="1:8" ht="13" x14ac:dyDescent="0.15">
      <c r="A53" s="5"/>
      <c r="B53" s="82">
        <f ca="1">IFERROR(__xludf.DUMMYFUNCTION("""COMPUTED_VALUE"""),44620.4666763425)</f>
        <v>44620.466676342498</v>
      </c>
      <c r="C53" s="80" t="str">
        <f ca="1">IFERROR(__xludf.DUMMYFUNCTION("""COMPUTED_VALUE"""),"14626")</f>
        <v>14626</v>
      </c>
      <c r="D53" s="80" t="str">
        <f ca="1">IFERROR(__xludf.DUMMYFUNCTION("""COMPUTED_VALUE"""),"error")</f>
        <v>error</v>
      </c>
      <c r="E53" s="80" t="str">
        <f ca="1">IFERROR(__xludf.DUMMYFUNCTION("""COMPUTED_VALUE"""),"Bond")</f>
        <v>Bond</v>
      </c>
      <c r="F53" s="91" t="str">
        <f ca="1">IFERROR(__xludf.DUMMYFUNCTION("""COMPUTED_VALUE"""),"GC=F")</f>
        <v>GC=F</v>
      </c>
      <c r="G53" s="92"/>
      <c r="H53" s="93" t="str">
        <f ca="1">IFERROR(__xludf.DUMMYFUNCTION("""COMPUTED_VALUE"""),"Order rejected due to wrong asset class. Input as stock ticker, but asset class is bond.")</f>
        <v>Order rejected due to wrong asset class. Input as stock ticker, but asset class is bond.</v>
      </c>
    </row>
    <row r="54" spans="1:8" ht="13" x14ac:dyDescent="0.15">
      <c r="A54" s="5"/>
      <c r="B54" s="82">
        <f ca="1">IFERROR(__xludf.DUMMYFUNCTION("""COMPUTED_VALUE"""),44620.4697057754)</f>
        <v>44620.469705775402</v>
      </c>
      <c r="C54" s="80" t="str">
        <f ca="1">IFERROR(__xludf.DUMMYFUNCTION("""COMPUTED_VALUE"""),"14626")</f>
        <v>14626</v>
      </c>
      <c r="D54" s="80" t="str">
        <f ca="1">IFERROR(__xludf.DUMMYFUNCTION("""COMPUTED_VALUE"""),"error")</f>
        <v>error</v>
      </c>
      <c r="E54" s="80" t="str">
        <f ca="1">IFERROR(__xludf.DUMMYFUNCTION("""COMPUTED_VALUE"""),"Bond")</f>
        <v>Bond</v>
      </c>
      <c r="F54" s="91" t="str">
        <f ca="1">IFERROR(__xludf.DUMMYFUNCTION("""COMPUTED_VALUE"""),"(^FTSE)")</f>
        <v>(^FTSE)</v>
      </c>
      <c r="G54" s="92"/>
      <c r="H54" s="93" t="str">
        <f ca="1">IFERROR(__xludf.DUMMYFUNCTION("""COMPUTED_VALUE"""),"Order rejected due to wrong asset class. Input as stock ticker, but asset class is bond.")</f>
        <v>Order rejected due to wrong asset class. Input as stock ticker, but asset class is bond.</v>
      </c>
    </row>
    <row r="55" spans="1:8" ht="13" x14ac:dyDescent="0.15">
      <c r="A55" s="5"/>
      <c r="B55" s="82">
        <f ca="1">IFERROR(__xludf.DUMMYFUNCTION("""COMPUTED_VALUE"""),44620.6748202777)</f>
        <v>44620.674820277702</v>
      </c>
      <c r="C55" s="80" t="str">
        <f ca="1">IFERROR(__xludf.DUMMYFUNCTION("""COMPUTED_VALUE"""),"45962")</f>
        <v>45962</v>
      </c>
      <c r="D55" s="80" t="str">
        <f ca="1">IFERROR(__xludf.DUMMYFUNCTION("""COMPUTED_VALUE"""),"error")</f>
        <v>error</v>
      </c>
      <c r="E55" s="80" t="str">
        <f ca="1">IFERROR(__xludf.DUMMYFUNCTION("""COMPUTED_VALUE"""),"Stock")</f>
        <v>Stock</v>
      </c>
      <c r="F55" s="94" t="str">
        <f ca="1">IFERROR(__xludf.DUMMYFUNCTION("""COMPUTED_VALUE"""),"00700.hk")</f>
        <v>00700.hk</v>
      </c>
      <c r="G55" s="92"/>
      <c r="H55" s="93" t="str">
        <f ca="1">IFERROR(__xludf.DUMMYFUNCTION("""COMPUTED_VALUE"""),"Order rejected due to wrong ticker code. just need to type in 0700.HK")</f>
        <v>Order rejected due to wrong ticker code. just need to type in 0700.HK</v>
      </c>
    </row>
    <row r="56" spans="1:8" ht="13" x14ac:dyDescent="0.15">
      <c r="A56" s="5"/>
      <c r="B56" s="82">
        <f ca="1">IFERROR(__xludf.DUMMYFUNCTION("""COMPUTED_VALUE"""),44620.7010995601)</f>
        <v>44620.701099560101</v>
      </c>
      <c r="C56" s="80" t="str">
        <f ca="1">IFERROR(__xludf.DUMMYFUNCTION("""COMPUTED_VALUE"""),"")</f>
        <v/>
      </c>
      <c r="D56" s="80" t="str">
        <f ca="1">IFERROR(__xludf.DUMMYFUNCTION("""COMPUTED_VALUE"""),"error")</f>
        <v>error</v>
      </c>
      <c r="E56" s="80" t="str">
        <f ca="1">IFERROR(__xludf.DUMMYFUNCTION("""COMPUTED_VALUE"""),"Stock")</f>
        <v>Stock</v>
      </c>
      <c r="F56" s="91">
        <f ca="1">IFERROR(__xludf.DUMMYFUNCTION("""COMPUTED_VALUE"""),600519)</f>
        <v>600519</v>
      </c>
      <c r="G56" s="92">
        <f ca="1">IFERROR(__xludf.DUMMYFUNCTION("""COMPUTED_VALUE"""),1780)</f>
        <v>1780</v>
      </c>
      <c r="H56" s="93" t="str">
        <f ca="1">IFERROR(__xludf.DUMMYFUNCTION("""COMPUTED_VALUE"""),"Order rejected due to wrong account/ school email code. Please input your correct email address.")</f>
        <v>Order rejected due to wrong account/ school email code. Please input your correct email address.</v>
      </c>
    </row>
    <row r="57" spans="1:8" ht="13" x14ac:dyDescent="0.15">
      <c r="A57" s="5"/>
      <c r="B57" s="82">
        <f ca="1">IFERROR(__xludf.DUMMYFUNCTION("""COMPUTED_VALUE"""),44620.7156040625)</f>
        <v>44620.715604062498</v>
      </c>
      <c r="C57" s="80" t="str">
        <f ca="1">IFERROR(__xludf.DUMMYFUNCTION("""COMPUTED_VALUE"""),"")</f>
        <v/>
      </c>
      <c r="D57" s="80" t="str">
        <f ca="1">IFERROR(__xludf.DUMMYFUNCTION("""COMPUTED_VALUE"""),"error")</f>
        <v>error</v>
      </c>
      <c r="E57" s="80" t="str">
        <f ca="1">IFERROR(__xludf.DUMMYFUNCTION("""COMPUTED_VALUE"""),"Stock")</f>
        <v>Stock</v>
      </c>
      <c r="F57" s="94" t="str">
        <f ca="1">IFERROR(__xludf.DUMMYFUNCTION("""COMPUTED_VALUE"""),"600519.SS")</f>
        <v>600519.SS</v>
      </c>
      <c r="G57" s="92">
        <f ca="1">IFERROR(__xludf.DUMMYFUNCTION("""COMPUTED_VALUE"""),1791)</f>
        <v>1791</v>
      </c>
      <c r="H57" s="93" t="str">
        <f ca="1">IFERROR(__xludf.DUMMYFUNCTION("""COMPUTED_VALUE"""),"Order rejected due to wrong account/ school email code. Please input your correct email address.")</f>
        <v>Order rejected due to wrong account/ school email code. Please input your correct email address.</v>
      </c>
    </row>
    <row r="58" spans="1:8" ht="13" x14ac:dyDescent="0.15">
      <c r="A58" s="5"/>
      <c r="B58" s="82">
        <f ca="1">IFERROR(__xludf.DUMMYFUNCTION("""COMPUTED_VALUE"""),44621.4871765046)</f>
        <v>44621.487176504597</v>
      </c>
      <c r="C58" s="80" t="str">
        <f ca="1">IFERROR(__xludf.DUMMYFUNCTION("""COMPUTED_VALUE"""),"14626")</f>
        <v>14626</v>
      </c>
      <c r="D58" s="80" t="str">
        <f ca="1">IFERROR(__xludf.DUMMYFUNCTION("""COMPUTED_VALUE"""),"error")</f>
        <v>error</v>
      </c>
      <c r="E58" s="80" t="str">
        <f ca="1">IFERROR(__xludf.DUMMYFUNCTION("""COMPUTED_VALUE"""),"Stock")</f>
        <v>Stock</v>
      </c>
      <c r="F58" s="91" t="str">
        <f ca="1">IFERROR(__xludf.DUMMYFUNCTION("""COMPUTED_VALUE"""),"(^FTSE)")</f>
        <v>(^FTSE)</v>
      </c>
      <c r="G58" s="92">
        <f ca="1">IFERROR(__xludf.DUMMYFUNCTION("""COMPUTED_VALUE"""),50)</f>
        <v>50</v>
      </c>
      <c r="H58" s="93" t="str">
        <f ca="1">IFERROR(__xludf.DUMMYFUNCTION("""COMPUTED_VALUE"""),"Order rejected due to wrong ticker code. just need to type in ^FTSE, without the bracket")</f>
        <v>Order rejected due to wrong ticker code. just need to type in ^FTSE, without the bracket</v>
      </c>
    </row>
    <row r="59" spans="1:8" ht="13" x14ac:dyDescent="0.15">
      <c r="A59" s="5"/>
      <c r="B59" s="82">
        <f ca="1">IFERROR(__xludf.DUMMYFUNCTION("""COMPUTED_VALUE"""),44622.6216724768)</f>
        <v>44622.621672476802</v>
      </c>
      <c r="C59" s="80" t="str">
        <f ca="1">IFERROR(__xludf.DUMMYFUNCTION("""COMPUTED_VALUE"""),"39776")</f>
        <v>39776</v>
      </c>
      <c r="D59" s="80" t="str">
        <f ca="1">IFERROR(__xludf.DUMMYFUNCTION("""COMPUTED_VALUE"""),"error")</f>
        <v>error</v>
      </c>
      <c r="E59" s="80" t="str">
        <f ca="1">IFERROR(__xludf.DUMMYFUNCTION("""COMPUTED_VALUE"""),"Stock")</f>
        <v>Stock</v>
      </c>
      <c r="F59" s="91" t="str">
        <f ca="1">IFERROR(__xludf.DUMMYFUNCTION("""COMPUTED_VALUE"""),"03382")</f>
        <v>03382</v>
      </c>
      <c r="G59" s="92"/>
      <c r="H59" s="93" t="str">
        <f ca="1">IFERROR(__xludf.DUMMYFUNCTION("""COMPUTED_VALUE"""),"Order rejected due to wrong ticker code. just need to type in 3382.HK")</f>
        <v>Order rejected due to wrong ticker code. just need to type in 3382.HK</v>
      </c>
    </row>
    <row r="60" spans="1:8" ht="13" x14ac:dyDescent="0.15">
      <c r="A60" s="5"/>
      <c r="B60" s="82">
        <f ca="1">IFERROR(__xludf.DUMMYFUNCTION("""COMPUTED_VALUE"""),44622.623947905)</f>
        <v>44622.623947904998</v>
      </c>
      <c r="C60" s="80" t="str">
        <f ca="1">IFERROR(__xludf.DUMMYFUNCTION("""COMPUTED_VALUE"""),"39776")</f>
        <v>39776</v>
      </c>
      <c r="D60" s="80" t="str">
        <f ca="1">IFERROR(__xludf.DUMMYFUNCTION("""COMPUTED_VALUE"""),"error")</f>
        <v>error</v>
      </c>
      <c r="E60" s="80" t="str">
        <f ca="1">IFERROR(__xludf.DUMMYFUNCTION("""COMPUTED_VALUE"""),"Stock")</f>
        <v>Stock</v>
      </c>
      <c r="F60" s="91" t="str">
        <f ca="1">IFERROR(__xludf.DUMMYFUNCTION("""COMPUTED_VALUE"""),"01898")</f>
        <v>01898</v>
      </c>
      <c r="G60" s="92"/>
      <c r="H60" s="93" t="str">
        <f ca="1">IFERROR(__xludf.DUMMYFUNCTION("""COMPUTED_VALUE"""),"Order rejected due to wrong ticker code. just need to type in 1898.HK")</f>
        <v>Order rejected due to wrong ticker code. just need to type in 1898.HK</v>
      </c>
    </row>
    <row r="61" spans="1:8" ht="13" x14ac:dyDescent="0.15">
      <c r="A61" s="5"/>
      <c r="B61" s="82">
        <f ca="1">IFERROR(__xludf.DUMMYFUNCTION("""COMPUTED_VALUE"""),44623.4738741435)</f>
        <v>44623.473874143499</v>
      </c>
      <c r="C61" s="80" t="str">
        <f ca="1">IFERROR(__xludf.DUMMYFUNCTION("""COMPUTED_VALUE"""),"79521")</f>
        <v>79521</v>
      </c>
      <c r="D61" s="80" t="str">
        <f ca="1">IFERROR(__xludf.DUMMYFUNCTION("""COMPUTED_VALUE"""),"error")</f>
        <v>error</v>
      </c>
      <c r="E61" s="80" t="str">
        <f ca="1">IFERROR(__xludf.DUMMYFUNCTION("""COMPUTED_VALUE"""),"Stock")</f>
        <v>Stock</v>
      </c>
      <c r="F61" s="91">
        <f ca="1">IFERROR(__xludf.DUMMYFUNCTION("""COMPUTED_VALUE"""),600036)</f>
        <v>600036</v>
      </c>
      <c r="G61" s="92">
        <f ca="1">IFERROR(__xludf.DUMMYFUNCTION("""COMPUTED_VALUE"""),49.69)</f>
        <v>49.69</v>
      </c>
      <c r="H61" s="93" t="str">
        <f ca="1">IFERROR(__xludf.DUMMYFUNCTION("""COMPUTED_VALUE"""),"Order rejected due to wrong ticker code. just need to type in 600036.SH")</f>
        <v>Order rejected due to wrong ticker code. just need to type in 600036.SH</v>
      </c>
    </row>
    <row r="62" spans="1:8" ht="13" x14ac:dyDescent="0.15">
      <c r="A62" s="5"/>
      <c r="B62" s="82">
        <f ca="1">IFERROR(__xludf.DUMMYFUNCTION("""COMPUTED_VALUE"""),44623.5646883217)</f>
        <v>44623.564688321698</v>
      </c>
      <c r="C62" s="80" t="str">
        <f ca="1">IFERROR(__xludf.DUMMYFUNCTION("""COMPUTED_VALUE"""),"79521")</f>
        <v>79521</v>
      </c>
      <c r="D62" s="80" t="str">
        <f ca="1">IFERROR(__xludf.DUMMYFUNCTION("""COMPUTED_VALUE"""),"error")</f>
        <v>error</v>
      </c>
      <c r="E62" s="80" t="str">
        <f ca="1">IFERROR(__xludf.DUMMYFUNCTION("""COMPUTED_VALUE"""),"Stock")</f>
        <v>Stock</v>
      </c>
      <c r="F62" s="91" t="str">
        <f ca="1">IFERROR(__xludf.DUMMYFUNCTION("""COMPUTED_VALUE"""),"002207")</f>
        <v>002207</v>
      </c>
      <c r="G62" s="92">
        <f ca="1">IFERROR(__xludf.DUMMYFUNCTION("""COMPUTED_VALUE"""),11.13)</f>
        <v>11.13</v>
      </c>
      <c r="H62" s="93" t="str">
        <f ca="1">IFERROR(__xludf.DUMMYFUNCTION("""COMPUTED_VALUE"""),"Order rejected due to wrong ticker code. just need to type in 2207.HK")</f>
        <v>Order rejected due to wrong ticker code. just need to type in 2207.HK</v>
      </c>
    </row>
    <row r="63" spans="1:8" ht="13" x14ac:dyDescent="0.15">
      <c r="A63" s="5"/>
      <c r="B63" s="82">
        <f ca="1">IFERROR(__xludf.DUMMYFUNCTION("""COMPUTED_VALUE"""),44624.6790411574)</f>
        <v>44624.679041157397</v>
      </c>
      <c r="C63" s="80" t="str">
        <f ca="1">IFERROR(__xludf.DUMMYFUNCTION("""COMPUTED_VALUE"""),"75369")</f>
        <v>75369</v>
      </c>
      <c r="D63" s="80" t="str">
        <f ca="1">IFERROR(__xludf.DUMMYFUNCTION("""COMPUTED_VALUE"""),"error")</f>
        <v>error</v>
      </c>
      <c r="E63" s="80" t="str">
        <f ca="1">IFERROR(__xludf.DUMMYFUNCTION("""COMPUTED_VALUE"""),"Bond")</f>
        <v>Bond</v>
      </c>
      <c r="F63" s="91" t="str">
        <f ca="1">IFERROR(__xludf.DUMMYFUNCTION("""COMPUTED_VALUE"""),"0700")</f>
        <v>0700</v>
      </c>
      <c r="G63" s="92"/>
      <c r="H63" s="93" t="str">
        <f ca="1">IFERROR(__xludf.DUMMYFUNCTION("""COMPUTED_VALUE"""),"Order Rejected due to wrong password and wrong ticker. Please go to https://www.bondsupermart.com/bsm/general-search/tencent , there are 18 tencent bonds. Limit price you set, 409.4, is a stock price, not a bond price. ")</f>
        <v xml:space="preserve">Order Rejected due to wrong password and wrong ticker. Please go to https://www.bondsupermart.com/bsm/general-search/tencent , there are 18 tencent bonds. Limit price you set, 409.4, is a stock price, not a bond price. </v>
      </c>
    </row>
    <row r="64" spans="1:8" ht="13" x14ac:dyDescent="0.15">
      <c r="A64" s="5"/>
      <c r="B64" s="82">
        <f ca="1">IFERROR(__xludf.DUMMYFUNCTION("""COMPUTED_VALUE"""),44624.6936727199)</f>
        <v>44624.693672719899</v>
      </c>
      <c r="C64" s="80" t="str">
        <f ca="1">IFERROR(__xludf.DUMMYFUNCTION("""COMPUTED_VALUE"""),"")</f>
        <v/>
      </c>
      <c r="D64" s="80" t="str">
        <f ca="1">IFERROR(__xludf.DUMMYFUNCTION("""COMPUTED_VALUE"""),"error")</f>
        <v>error</v>
      </c>
      <c r="E64" s="80" t="str">
        <f ca="1">IFERROR(__xludf.DUMMYFUNCTION("""COMPUTED_VALUE"""),"Stock")</f>
        <v>Stock</v>
      </c>
      <c r="F64" s="94" t="str">
        <f ca="1">IFERROR(__xludf.DUMMYFUNCTION("""COMPUTED_VALUE"""),"0001.HK")</f>
        <v>0001.HK</v>
      </c>
      <c r="G64" s="92"/>
      <c r="H64" s="93" t="str">
        <f ca="1">IFERROR(__xludf.DUMMYFUNCTION("""COMPUTED_VALUE"""),"Order Rejected due to non school email, please put in sXXXXXXX@hkmu.edu.hk")</f>
        <v>Order Rejected due to non school email, please put in sXXXXXXX@hkmu.edu.hk</v>
      </c>
    </row>
    <row r="65" spans="1:8" ht="13" x14ac:dyDescent="0.15">
      <c r="A65" s="5"/>
      <c r="B65" s="82">
        <f ca="1">IFERROR(__xludf.DUMMYFUNCTION("""COMPUTED_VALUE"""),44624.7045559143)</f>
        <v>44624.704555914301</v>
      </c>
      <c r="C65" s="80" t="str">
        <f ca="1">IFERROR(__xludf.DUMMYFUNCTION("""COMPUTED_VALUE"""),"")</f>
        <v/>
      </c>
      <c r="D65" s="80" t="str">
        <f ca="1">IFERROR(__xludf.DUMMYFUNCTION("""COMPUTED_VALUE"""),"error")</f>
        <v>error</v>
      </c>
      <c r="E65" s="80" t="str">
        <f ca="1">IFERROR(__xludf.DUMMYFUNCTION("""COMPUTED_VALUE"""),"Stock")</f>
        <v>Stock</v>
      </c>
      <c r="F65" s="94" t="str">
        <f ca="1">IFERROR(__xludf.DUMMYFUNCTION("""COMPUTED_VALUE"""),"0151.HK")</f>
        <v>0151.HK</v>
      </c>
      <c r="G65" s="92"/>
      <c r="H65" s="93" t="str">
        <f ca="1">IFERROR(__xludf.DUMMYFUNCTION("""COMPUTED_VALUE"""),"Order Rejected due to non school email, please put in sXXXXXXX@hkmu.edu.hk")</f>
        <v>Order Rejected due to non school email, please put in sXXXXXXX@hkmu.edu.hk</v>
      </c>
    </row>
    <row r="66" spans="1:8" ht="13" x14ac:dyDescent="0.15">
      <c r="A66" s="5"/>
      <c r="B66" s="82">
        <f ca="1">IFERROR(__xludf.DUMMYFUNCTION("""COMPUTED_VALUE"""),44625.0843601273)</f>
        <v>44625.084360127301</v>
      </c>
      <c r="C66" s="80"/>
      <c r="D66" s="80" t="str">
        <f ca="1">IFERROR(__xludf.DUMMYFUNCTION("""COMPUTED_VALUE"""),"error")</f>
        <v>error</v>
      </c>
      <c r="E66" s="80" t="str">
        <f ca="1">IFERROR(__xludf.DUMMYFUNCTION("""COMPUTED_VALUE"""),"Stock")</f>
        <v>Stock</v>
      </c>
      <c r="F66" s="91" t="str">
        <f ca="1">IFERROR(__xludf.DUMMYFUNCTION("""COMPUTED_VALUE"""),"XLK")</f>
        <v>XLK</v>
      </c>
      <c r="G66" s="92"/>
      <c r="H66" s="93" t="str">
        <f ca="1">IFERROR(__xludf.DUMMYFUNCTION("""COMPUTED_VALUE"""),"Order Rejected due to wrong school email address (input gmail instead)")</f>
        <v>Order Rejected due to wrong school email address (input gmail instead)</v>
      </c>
    </row>
    <row r="67" spans="1:8" ht="13" x14ac:dyDescent="0.15">
      <c r="A67" s="5"/>
      <c r="B67" s="82">
        <f ca="1">IFERROR(__xludf.DUMMYFUNCTION("""COMPUTED_VALUE"""),44627.1190922569)</f>
        <v>44627.1190922569</v>
      </c>
      <c r="C67" s="80" t="str">
        <f ca="1">IFERROR(__xludf.DUMMYFUNCTION("""COMPUTED_VALUE"""),"")</f>
        <v/>
      </c>
      <c r="D67" s="80" t="str">
        <f ca="1">IFERROR(__xludf.DUMMYFUNCTION("""COMPUTED_VALUE"""),"error")</f>
        <v>error</v>
      </c>
      <c r="E67" s="80" t="str">
        <f ca="1">IFERROR(__xludf.DUMMYFUNCTION("""COMPUTED_VALUE"""),"Stock")</f>
        <v>Stock</v>
      </c>
      <c r="F67" s="94" t="str">
        <f ca="1">IFERROR(__xludf.DUMMYFUNCTION("""COMPUTED_VALUE"""),"0151.HK")</f>
        <v>0151.HK</v>
      </c>
      <c r="G67" s="92"/>
      <c r="H67" s="93" t="str">
        <f ca="1">IFERROR(__xludf.DUMMYFUNCTION("""COMPUTED_VALUE"""),"Order Rejected due to wrong school email address: should be @hkmu, not @muhk")</f>
        <v>Order Rejected due to wrong school email address: should be @hkmu, not @muhk</v>
      </c>
    </row>
    <row r="68" spans="1:8" ht="13" x14ac:dyDescent="0.15">
      <c r="A68" s="5"/>
      <c r="B68" s="82">
        <f ca="1">IFERROR(__xludf.DUMMYFUNCTION("""COMPUTED_VALUE"""),44627.1208057986)</f>
        <v>44627.1208057986</v>
      </c>
      <c r="C68" s="80" t="str">
        <f ca="1">IFERROR(__xludf.DUMMYFUNCTION("""COMPUTED_VALUE"""),"")</f>
        <v/>
      </c>
      <c r="D68" s="80" t="str">
        <f ca="1">IFERROR(__xludf.DUMMYFUNCTION("""COMPUTED_VALUE"""),"error")</f>
        <v>error</v>
      </c>
      <c r="E68" s="80" t="str">
        <f ca="1">IFERROR(__xludf.DUMMYFUNCTION("""COMPUTED_VALUE"""),"Stock")</f>
        <v>Stock</v>
      </c>
      <c r="F68" s="94" t="str">
        <f ca="1">IFERROR(__xludf.DUMMYFUNCTION("""COMPUTED_VALUE"""),"0001.HK")</f>
        <v>0001.HK</v>
      </c>
      <c r="G68" s="92"/>
      <c r="H68" s="93" t="str">
        <f ca="1">IFERROR(__xludf.DUMMYFUNCTION("""COMPUTED_VALUE"""),"Order Rejected due to wrong school email address: should be @hkmu, not @muhk")</f>
        <v>Order Rejected due to wrong school email address: should be @hkmu, not @muhk</v>
      </c>
    </row>
    <row r="69" spans="1:8" ht="13" x14ac:dyDescent="0.15">
      <c r="A69" s="5"/>
      <c r="B69" s="82">
        <f ca="1">IFERROR(__xludf.DUMMYFUNCTION("""COMPUTED_VALUE"""),44627.501655787)</f>
        <v>44627.501655786997</v>
      </c>
      <c r="C69" s="80" t="str">
        <f ca="1">IFERROR(__xludf.DUMMYFUNCTION("""COMPUTED_VALUE"""),"77936")</f>
        <v>77936</v>
      </c>
      <c r="D69" s="80" t="str">
        <f ca="1">IFERROR(__xludf.DUMMYFUNCTION("""COMPUTED_VALUE"""),"error")</f>
        <v>error</v>
      </c>
      <c r="E69" s="80" t="str">
        <f ca="1">IFERROR(__xludf.DUMMYFUNCTION("""COMPUTED_VALUE"""),"Stock")</f>
        <v>Stock</v>
      </c>
      <c r="F69" s="91" t="str">
        <f ca="1">IFERROR(__xludf.DUMMYFUNCTION("""COMPUTED_VALUE"""),"09988")</f>
        <v>09988</v>
      </c>
      <c r="G69" s="92">
        <f ca="1">IFERROR(__xludf.DUMMYFUNCTION("""COMPUTED_VALUE"""),100)</f>
        <v>100</v>
      </c>
      <c r="H69" s="93" t="str">
        <f ca="1">IFERROR(__xludf.DUMMYFUNCTION("""COMPUTED_VALUE"""),"Order Rejected due to wrong ticker code. Not 09988, correct code is : 9988.HK")</f>
        <v>Order Rejected due to wrong ticker code. Not 09988, correct code is : 9988.HK</v>
      </c>
    </row>
    <row r="70" spans="1:8" ht="13" x14ac:dyDescent="0.15">
      <c r="A70" s="5"/>
      <c r="B70" s="82">
        <f ca="1">IFERROR(__xludf.DUMMYFUNCTION("""COMPUTED_VALUE"""),44627.6868367129)</f>
        <v>44627.686836712899</v>
      </c>
      <c r="C70" s="80" t="str">
        <f ca="1">IFERROR(__xludf.DUMMYFUNCTION("""COMPUTED_VALUE"""),"77936")</f>
        <v>77936</v>
      </c>
      <c r="D70" s="80" t="str">
        <f ca="1">IFERROR(__xludf.DUMMYFUNCTION("""COMPUTED_VALUE"""),"error")</f>
        <v>error</v>
      </c>
      <c r="E70" s="80" t="str">
        <f ca="1">IFERROR(__xludf.DUMMYFUNCTION("""COMPUTED_VALUE"""),"Stock")</f>
        <v>Stock</v>
      </c>
      <c r="F70" s="94" t="str">
        <f ca="1">IFERROR(__xludf.DUMMYFUNCTION("""COMPUTED_VALUE"""),"00700.HK")</f>
        <v>00700.HK</v>
      </c>
      <c r="G70" s="92">
        <f ca="1">IFERROR(__xludf.DUMMYFUNCTION("""COMPUTED_VALUE"""),400)</f>
        <v>400</v>
      </c>
      <c r="H70" s="93" t="str">
        <f ca="1">IFERROR(__xludf.DUMMYFUNCTION("""COMPUTED_VALUE"""),"Order Rejected due to wrong ticker code. Not 00700.HK, correct code is just 4 digits for HK: 0700.HK")</f>
        <v>Order Rejected due to wrong ticker code. Not 00700.HK, correct code is just 4 digits for HK: 0700.HK</v>
      </c>
    </row>
    <row r="71" spans="1:8" ht="13" x14ac:dyDescent="0.15">
      <c r="A71" s="5"/>
      <c r="B71" s="82">
        <f ca="1">IFERROR(__xludf.DUMMYFUNCTION("""COMPUTED_VALUE"""),44627.6874152314)</f>
        <v>44627.687415231398</v>
      </c>
      <c r="C71" s="80" t="str">
        <f ca="1">IFERROR(__xludf.DUMMYFUNCTION("""COMPUTED_VALUE"""),"77936")</f>
        <v>77936</v>
      </c>
      <c r="D71" s="80" t="str">
        <f ca="1">IFERROR(__xludf.DUMMYFUNCTION("""COMPUTED_VALUE"""),"error")</f>
        <v>error</v>
      </c>
      <c r="E71" s="80" t="str">
        <f ca="1">IFERROR(__xludf.DUMMYFUNCTION("""COMPUTED_VALUE"""),"Stock")</f>
        <v>Stock</v>
      </c>
      <c r="F71" s="94" t="str">
        <f ca="1">IFERROR(__xludf.DUMMYFUNCTION("""COMPUTED_VALUE"""),"09988.HK")</f>
        <v>09988.HK</v>
      </c>
      <c r="G71" s="92">
        <f ca="1">IFERROR(__xludf.DUMMYFUNCTION("""COMPUTED_VALUE"""),100)</f>
        <v>100</v>
      </c>
      <c r="H71" s="93" t="str">
        <f ca="1">IFERROR(__xludf.DUMMYFUNCTION("""COMPUTED_VALUE"""),"Order Rejected due to wrong ticker code. Not 09988.HK, correct code is just 4 digits for HK: 9988.HK")</f>
        <v>Order Rejected due to wrong ticker code. Not 09988.HK, correct code is just 4 digits for HK: 9988.HK</v>
      </c>
    </row>
    <row r="72" spans="1:8" ht="13" x14ac:dyDescent="0.15">
      <c r="A72" s="5"/>
      <c r="B72" s="82">
        <f ca="1">IFERROR(__xludf.DUMMYFUNCTION("""COMPUTED_VALUE"""),44627.7222578472)</f>
        <v>44627.722257847199</v>
      </c>
      <c r="C72" s="80" t="str">
        <f ca="1">IFERROR(__xludf.DUMMYFUNCTION("""COMPUTED_VALUE"""),"")</f>
        <v/>
      </c>
      <c r="D72" s="80" t="str">
        <f ca="1">IFERROR(__xludf.DUMMYFUNCTION("""COMPUTED_VALUE"""),"error")</f>
        <v>error</v>
      </c>
      <c r="E72" s="80" t="str">
        <f ca="1">IFERROR(__xludf.DUMMYFUNCTION("""COMPUTED_VALUE"""),"Stock")</f>
        <v>Stock</v>
      </c>
      <c r="F72" s="94" t="str">
        <f ca="1">IFERROR(__xludf.DUMMYFUNCTION("""COMPUTED_VALUE"""),"0700.hk")</f>
        <v>0700.hk</v>
      </c>
      <c r="G72" s="92" t="str">
        <f ca="1">IFERROR(__xludf.DUMMYFUNCTION("""COMPUTED_VALUE"""),"50 x $392.4 per share=$19620")</f>
        <v>50 x $392.4 per share=$19620</v>
      </c>
      <c r="H72" s="93" t="str">
        <f ca="1">IFERROR(__xludf.DUMMYFUNCTION("""COMPUTED_VALUE"""),"Order Rejected due to wrong instruction. Only Number is expected in the limit price setup.")</f>
        <v>Order Rejected due to wrong instruction. Only Number is expected in the limit price setup.</v>
      </c>
    </row>
    <row r="73" spans="1:8" ht="13" x14ac:dyDescent="0.15">
      <c r="A73" s="5"/>
      <c r="B73" s="82">
        <f ca="1">IFERROR(__xludf.DUMMYFUNCTION("""COMPUTED_VALUE"""),44628.5740619791)</f>
        <v>44628.574061979103</v>
      </c>
      <c r="C73" s="80" t="str">
        <f ca="1">IFERROR(__xludf.DUMMYFUNCTION("""COMPUTED_VALUE"""),"76857")</f>
        <v>76857</v>
      </c>
      <c r="D73" s="80" t="str">
        <f ca="1">IFERROR(__xludf.DUMMYFUNCTION("""COMPUTED_VALUE"""),"error")</f>
        <v>error</v>
      </c>
      <c r="E73" s="80" t="str">
        <f ca="1">IFERROR(__xludf.DUMMYFUNCTION("""COMPUTED_VALUE"""),"Stock")</f>
        <v>Stock</v>
      </c>
      <c r="F73" s="94" t="str">
        <f ca="1">IFERROR(__xludf.DUMMYFUNCTION("""COMPUTED_VALUE"""),"1772.HK")</f>
        <v>1772.HK</v>
      </c>
      <c r="G73" s="92"/>
      <c r="H73" s="93" t="str">
        <f ca="1">IFERROR(__xludf.DUMMYFUNCTION("""COMPUTED_VALUE"""),"Order Rejected due to unauthorized trader. Please contact William for further instruction.")</f>
        <v>Order Rejected due to unauthorized trader. Please contact William for further instruction.</v>
      </c>
    </row>
    <row r="74" spans="1:8" ht="13" x14ac:dyDescent="0.15">
      <c r="A74" s="5"/>
      <c r="B74" s="82">
        <f ca="1">IFERROR(__xludf.DUMMYFUNCTION("""COMPUTED_VALUE"""),44628.7669979398)</f>
        <v>44628.766997939798</v>
      </c>
      <c r="C74" s="80" t="str">
        <f ca="1">IFERROR(__xludf.DUMMYFUNCTION("""COMPUTED_VALUE"""),"14626")</f>
        <v>14626</v>
      </c>
      <c r="D74" s="80" t="str">
        <f ca="1">IFERROR(__xludf.DUMMYFUNCTION("""COMPUTED_VALUE"""),"error")</f>
        <v>error</v>
      </c>
      <c r="E74" s="80" t="str">
        <f ca="1">IFERROR(__xludf.DUMMYFUNCTION("""COMPUTED_VALUE"""),"Stock")</f>
        <v>Stock</v>
      </c>
      <c r="F74" s="91" t="str">
        <f ca="1">IFERROR(__xludf.DUMMYFUNCTION("""COMPUTED_VALUE"""),"CL=F")</f>
        <v>CL=F</v>
      </c>
      <c r="G74" s="92"/>
      <c r="H74" s="93" t="str">
        <f ca="1">IFERROR(__xludf.DUMMYFUNCTION("""COMPUTED_VALUE"""),"Order Rejected due to wrong password. Your password last 2 digits were incorrect.")</f>
        <v>Order Rejected due to wrong password. Your password last 2 digits were incorrect.</v>
      </c>
    </row>
    <row r="75" spans="1:8" ht="13" x14ac:dyDescent="0.15">
      <c r="A75" s="5"/>
      <c r="B75" s="82">
        <f ca="1">IFERROR(__xludf.DUMMYFUNCTION("""COMPUTED_VALUE"""),44628.7734359837)</f>
        <v>44628.773435983698</v>
      </c>
      <c r="C75" s="80" t="str">
        <f ca="1">IFERROR(__xludf.DUMMYFUNCTION("""COMPUTED_VALUE"""),"14626")</f>
        <v>14626</v>
      </c>
      <c r="D75" s="80" t="str">
        <f ca="1">IFERROR(__xludf.DUMMYFUNCTION("""COMPUTED_VALUE"""),"error")</f>
        <v>error</v>
      </c>
      <c r="E75" s="80" t="str">
        <f ca="1">IFERROR(__xludf.DUMMYFUNCTION("""COMPUTED_VALUE"""),"Stock")</f>
        <v>Stock</v>
      </c>
      <c r="F75" s="91" t="str">
        <f ca="1">IFERROR(__xludf.DUMMYFUNCTION("""COMPUTED_VALUE"""),"SI=F")</f>
        <v>SI=F</v>
      </c>
      <c r="G75" s="92"/>
      <c r="H75" s="93" t="str">
        <f ca="1">IFERROR(__xludf.DUMMYFUNCTION("""COMPUTED_VALUE"""),"Order Rejected due to wrong password. Your password last 2 digits were incorrect.")</f>
        <v>Order Rejected due to wrong password. Your password last 2 digits were incorrect.</v>
      </c>
    </row>
    <row r="76" spans="1:8" ht="13" x14ac:dyDescent="0.15">
      <c r="A76" s="5"/>
      <c r="B76" s="82">
        <f ca="1">IFERROR(__xludf.DUMMYFUNCTION("""COMPUTED_VALUE"""),44628.8499400694)</f>
        <v>44628.849940069398</v>
      </c>
      <c r="C76" s="80" t="str">
        <f ca="1">IFERROR(__xludf.DUMMYFUNCTION("""COMPUTED_VALUE"""),"89845")</f>
        <v>89845</v>
      </c>
      <c r="D76" s="80" t="str">
        <f ca="1">IFERROR(__xludf.DUMMYFUNCTION("""COMPUTED_VALUE"""),"error")</f>
        <v>error</v>
      </c>
      <c r="E76" s="80" t="str">
        <f ca="1">IFERROR(__xludf.DUMMYFUNCTION("""COMPUTED_VALUE"""),"Stock")</f>
        <v>Stock</v>
      </c>
      <c r="F76" s="91" t="str">
        <f ca="1">IFERROR(__xludf.DUMMYFUNCTION("""COMPUTED_VALUE"""),"nysearca: USO")</f>
        <v>nysearca: USO</v>
      </c>
      <c r="G76" s="92" t="str">
        <f ca="1">IFERROR(__xludf.DUMMYFUNCTION("""COMPUTED_VALUE"""),"Limit Sell @ 70 - if Closing @ 100 = Executed price @ 100; if Closing @ 80 = no execution")</f>
        <v>Limit Sell @ 70 - if Closing @ 100 = Executed price @ 100; if Closing @ 80 = no execution</v>
      </c>
      <c r="H76" s="93" t="str">
        <f ca="1">IFERROR(__xludf.DUMMYFUNCTION("""COMPUTED_VALUE"""),"Order Rejected due to wrong ticker and instruction. Ticker should be USO only for US Oil index. And Only Number is expected in the limit price setup. Just type in 70. Input instruction is not a system-readable language.")</f>
        <v>Order Rejected due to wrong ticker and instruction. Ticker should be USO only for US Oil index. And Only Number is expected in the limit price setup. Just type in 70. Input instruction is not a system-readable language.</v>
      </c>
    </row>
    <row r="77" spans="1:8" ht="13" x14ac:dyDescent="0.15">
      <c r="A77" s="5"/>
      <c r="B77" s="82">
        <f ca="1">IFERROR(__xludf.DUMMYFUNCTION("""COMPUTED_VALUE"""),44628.9088424421)</f>
        <v>44628.908842442099</v>
      </c>
      <c r="C77" s="80" t="str">
        <f ca="1">IFERROR(__xludf.DUMMYFUNCTION("""COMPUTED_VALUE"""),"")</f>
        <v/>
      </c>
      <c r="D77" s="80" t="str">
        <f ca="1">IFERROR(__xludf.DUMMYFUNCTION("""COMPUTED_VALUE"""),"error")</f>
        <v>error</v>
      </c>
      <c r="E77" s="80" t="str">
        <f ca="1">IFERROR(__xludf.DUMMYFUNCTION("""COMPUTED_VALUE"""),"Stock")</f>
        <v>Stock</v>
      </c>
      <c r="F77" s="91" t="str">
        <f ca="1">IFERROR(__xludf.DUMMYFUNCTION("""COMPUTED_VALUE"""),"nysearca: USO")</f>
        <v>nysearca: USO</v>
      </c>
      <c r="G77" s="92">
        <f ca="1">IFERROR(__xludf.DUMMYFUNCTION("""COMPUTED_VALUE"""),90)</f>
        <v>90</v>
      </c>
      <c r="H77" s="93" t="str">
        <f ca="1">IFERROR(__xludf.DUMMYFUNCTION("""COMPUTED_VALUE"""),"Order Rejected due to wrong school email address, wrong ticker. Non school email address, Non student identitified. Ticker should be USO only for US Oil index.")</f>
        <v>Order Rejected due to wrong school email address, wrong ticker. Non school email address, Non student identitified. Ticker should be USO only for US Oil index.</v>
      </c>
    </row>
    <row r="78" spans="1:8" ht="13" x14ac:dyDescent="0.15">
      <c r="A78" s="5"/>
      <c r="B78" s="82">
        <f ca="1">IFERROR(__xludf.DUMMYFUNCTION("""COMPUTED_VALUE"""),44630.4598187963)</f>
        <v>44630.459818796298</v>
      </c>
      <c r="C78" s="80" t="str">
        <f ca="1">IFERROR(__xludf.DUMMYFUNCTION("""COMPUTED_VALUE"""),"")</f>
        <v/>
      </c>
      <c r="D78" s="80" t="str">
        <f ca="1">IFERROR(__xludf.DUMMYFUNCTION("""COMPUTED_VALUE"""),"error")</f>
        <v>error</v>
      </c>
      <c r="E78" s="80" t="str">
        <f ca="1">IFERROR(__xludf.DUMMYFUNCTION("""COMPUTED_VALUE"""),"Stock")</f>
        <v>Stock</v>
      </c>
      <c r="F78" s="94" t="str">
        <f ca="1">IFERROR(__xludf.DUMMYFUNCTION("""COMPUTED_VALUE"""),"1024.hk")</f>
        <v>1024.hk</v>
      </c>
      <c r="G78" s="92">
        <f ca="1">IFERROR(__xludf.DUMMYFUNCTION("""COMPUTED_VALUE"""),76.1)</f>
        <v>76.099999999999994</v>
      </c>
      <c r="H78" s="93" t="str">
        <f ca="1">IFERROR(__xludf.DUMMYFUNCTION("""COMPUTED_VALUE"""),"Order rejected due to non school email address. Only accept @hkmu.edu.hk")</f>
        <v>Order rejected due to non school email address. Only accept @hkmu.edu.hk</v>
      </c>
    </row>
    <row r="79" spans="1:8" ht="13" x14ac:dyDescent="0.15">
      <c r="A79" s="5"/>
      <c r="B79" s="82">
        <f ca="1">IFERROR(__xludf.DUMMYFUNCTION("""COMPUTED_VALUE"""),44630.4731343634)</f>
        <v>44630.473134363398</v>
      </c>
      <c r="C79" s="80" t="str">
        <f ca="1">IFERROR(__xludf.DUMMYFUNCTION("""COMPUTED_VALUE"""),"")</f>
        <v/>
      </c>
      <c r="D79" s="80" t="str">
        <f ca="1">IFERROR(__xludf.DUMMYFUNCTION("""COMPUTED_VALUE"""),"error")</f>
        <v>error</v>
      </c>
      <c r="E79" s="80" t="str">
        <f ca="1">IFERROR(__xludf.DUMMYFUNCTION("""COMPUTED_VALUE"""),"Stock")</f>
        <v>Stock</v>
      </c>
      <c r="F79" s="94" t="str">
        <f ca="1">IFERROR(__xludf.DUMMYFUNCTION("""COMPUTED_VALUE"""),"9988.HK")</f>
        <v>9988.HK</v>
      </c>
      <c r="G79" s="92">
        <f ca="1">IFERROR(__xludf.DUMMYFUNCTION("""COMPUTED_VALUE"""),97.5)</f>
        <v>97.5</v>
      </c>
      <c r="H79" s="93" t="str">
        <f ca="1">IFERROR(__xludf.DUMMYFUNCTION("""COMPUTED_VALUE"""),"Order rejected due to non school email address. Only accept @hkmu.edu.hk")</f>
        <v>Order rejected due to non school email address. Only accept @hkmu.edu.hk</v>
      </c>
    </row>
    <row r="80" spans="1:8" ht="13" x14ac:dyDescent="0.15">
      <c r="A80" s="5"/>
      <c r="B80" s="82">
        <f ca="1">IFERROR(__xludf.DUMMYFUNCTION("""COMPUTED_VALUE"""),44630.478169618)</f>
        <v>44630.478169618</v>
      </c>
      <c r="C80" s="80" t="str">
        <f ca="1">IFERROR(__xludf.DUMMYFUNCTION("""COMPUTED_VALUE"""),"")</f>
        <v/>
      </c>
      <c r="D80" s="80" t="str">
        <f ca="1">IFERROR(__xludf.DUMMYFUNCTION("""COMPUTED_VALUE"""),"error")</f>
        <v>error</v>
      </c>
      <c r="E80" s="80" t="str">
        <f ca="1">IFERROR(__xludf.DUMMYFUNCTION("""COMPUTED_VALUE"""),"Stock")</f>
        <v>Stock</v>
      </c>
      <c r="F80" s="94" t="str">
        <f ca="1">IFERROR(__xludf.DUMMYFUNCTION("""COMPUTED_VALUE"""),"1024.HK")</f>
        <v>1024.HK</v>
      </c>
      <c r="G80" s="92">
        <f ca="1">IFERROR(__xludf.DUMMYFUNCTION("""COMPUTED_VALUE"""),76)</f>
        <v>76</v>
      </c>
      <c r="H80" s="93" t="str">
        <f ca="1">IFERROR(__xludf.DUMMYFUNCTION("""COMPUTED_VALUE"""),"Order rejected due to non school email address. Only accept @hkmu.edu.hk")</f>
        <v>Order rejected due to non school email address. Only accept @hkmu.edu.hk</v>
      </c>
    </row>
    <row r="81" spans="1:8" ht="13" x14ac:dyDescent="0.15">
      <c r="A81" s="5"/>
      <c r="B81" s="82">
        <f ca="1">IFERROR(__xludf.DUMMYFUNCTION("""COMPUTED_VALUE"""),44630.4789069328)</f>
        <v>44630.478906932804</v>
      </c>
      <c r="C81" s="80" t="str">
        <f ca="1">IFERROR(__xludf.DUMMYFUNCTION("""COMPUTED_VALUE"""),"")</f>
        <v/>
      </c>
      <c r="D81" s="80" t="str">
        <f ca="1">IFERROR(__xludf.DUMMYFUNCTION("""COMPUTED_VALUE"""),"error")</f>
        <v>error</v>
      </c>
      <c r="E81" s="80" t="str">
        <f ca="1">IFERROR(__xludf.DUMMYFUNCTION("""COMPUTED_VALUE"""),"Stock")</f>
        <v>Stock</v>
      </c>
      <c r="F81" s="94" t="str">
        <f ca="1">IFERROR(__xludf.DUMMYFUNCTION("""COMPUTED_VALUE"""),"9988.HK")</f>
        <v>9988.HK</v>
      </c>
      <c r="G81" s="92">
        <f ca="1">IFERROR(__xludf.DUMMYFUNCTION("""COMPUTED_VALUE"""),96.8)</f>
        <v>96.8</v>
      </c>
      <c r="H81" s="93" t="str">
        <f ca="1">IFERROR(__xludf.DUMMYFUNCTION("""COMPUTED_VALUE"""),"Order rejected due to non school email address. Only accept @hkmu.edu.hk")</f>
        <v>Order rejected due to non school email address. Only accept @hkmu.edu.hk</v>
      </c>
    </row>
    <row r="82" spans="1:8" ht="13" x14ac:dyDescent="0.15">
      <c r="A82" s="5"/>
      <c r="B82" s="82">
        <f ca="1">IFERROR(__xludf.DUMMYFUNCTION("""COMPUTED_VALUE"""),44630.5043603703)</f>
        <v>44630.504360370302</v>
      </c>
      <c r="C82" s="80" t="str">
        <f ca="1">IFERROR(__xludf.DUMMYFUNCTION("""COMPUTED_VALUE"""),"38307")</f>
        <v>38307</v>
      </c>
      <c r="D82" s="80" t="str">
        <f ca="1">IFERROR(__xludf.DUMMYFUNCTION("""COMPUTED_VALUE"""),"error")</f>
        <v>error</v>
      </c>
      <c r="E82" s="80" t="str">
        <f ca="1">IFERROR(__xludf.DUMMYFUNCTION("""COMPUTED_VALUE"""),"Stock")</f>
        <v>Stock</v>
      </c>
      <c r="F82" s="91">
        <f ca="1">IFERROR(__xludf.DUMMYFUNCTION("""COMPUTED_VALUE"""),300750)</f>
        <v>300750</v>
      </c>
      <c r="G82" s="92" t="str">
        <f ca="1">IFERROR(__xludf.DUMMYFUNCTION("""COMPUTED_VALUE"""),"Limit buy @496.72- closing @485.31= executed price@485.31.if closing @505.55=no execution")</f>
        <v>Limit buy @496.72- closing @485.31= executed price@485.31.if closing @505.55=no execution</v>
      </c>
      <c r="H82" s="93" t="str">
        <f ca="1">IFERROR(__xludf.DUMMYFUNCTION("""COMPUTED_VALUE"""),"Order rejected due to non-numeric limit price, and wrong ticker code. Should be 300750.SZ ")</f>
        <v xml:space="preserve">Order rejected due to non-numeric limit price, and wrong ticker code. Should be 300750.SZ </v>
      </c>
    </row>
    <row r="83" spans="1:8" ht="13" x14ac:dyDescent="0.15">
      <c r="A83" s="5"/>
      <c r="B83" s="82">
        <f ca="1">IFERROR(__xludf.DUMMYFUNCTION("""COMPUTED_VALUE"""),44630.5093564699)</f>
        <v>44630.509356469898</v>
      </c>
      <c r="C83" s="80" t="str">
        <f ca="1">IFERROR(__xludf.DUMMYFUNCTION("""COMPUTED_VALUE"""),"38307")</f>
        <v>38307</v>
      </c>
      <c r="D83" s="80" t="str">
        <f ca="1">IFERROR(__xludf.DUMMYFUNCTION("""COMPUTED_VALUE"""),"error")</f>
        <v>error</v>
      </c>
      <c r="E83" s="80" t="str">
        <f ca="1">IFERROR(__xludf.DUMMYFUNCTION("""COMPUTED_VALUE"""),"Option")</f>
        <v>Option</v>
      </c>
      <c r="F83" s="91" t="str">
        <f ca="1">IFERROR(__xludf.DUMMYFUNCTION("""COMPUTED_VALUE"""),"BRNOW")</f>
        <v>BRNOW</v>
      </c>
      <c r="G83" s="92" t="str">
        <f ca="1">IFERROR(__xludf.DUMMYFUNCTION("""COMPUTED_VALUE"""),"Limit Buy @ 114.900- Closing @ 110.400= Executed price @ 110.400.if Closing @ 115.300= no execution")</f>
        <v>Limit Buy @ 114.900- Closing @ 110.400= Executed price @ 110.400.if Closing @ 115.300= no execution</v>
      </c>
      <c r="H83" s="93" t="str">
        <f ca="1">IFERROR(__xludf.DUMMYFUNCTION("""COMPUTED_VALUE"""),"Order rejected due to inconsistent asset class. Option or stock. BRNOW is not a stock nor a option ticker from Yahoo Finance database.")</f>
        <v>Order rejected due to inconsistent asset class. Option or stock. BRNOW is not a stock nor a option ticker from Yahoo Finance database.</v>
      </c>
    </row>
    <row r="84" spans="1:8" ht="13" x14ac:dyDescent="0.15">
      <c r="A84" s="5"/>
      <c r="B84" s="82">
        <f ca="1">IFERROR(__xludf.DUMMYFUNCTION("""COMPUTED_VALUE"""),44630.5171228009)</f>
        <v>44630.517122800899</v>
      </c>
      <c r="C84" s="80" t="str">
        <f ca="1">IFERROR(__xludf.DUMMYFUNCTION("""COMPUTED_VALUE"""),"38307")</f>
        <v>38307</v>
      </c>
      <c r="D84" s="80" t="str">
        <f ca="1">IFERROR(__xludf.DUMMYFUNCTION("""COMPUTED_VALUE"""),"error")</f>
        <v>error</v>
      </c>
      <c r="E84" s="80" t="str">
        <f ca="1">IFERROR(__xludf.DUMMYFUNCTION("""COMPUTED_VALUE"""),"Time Deposit")</f>
        <v>Time Deposit</v>
      </c>
      <c r="F84" s="91" t="str">
        <f ca="1">IFERROR(__xludf.DUMMYFUNCTION("""COMPUTED_VALUE"""),"004201")</f>
        <v>004201</v>
      </c>
      <c r="G84" s="92"/>
      <c r="H84" s="93" t="str">
        <f ca="1">IFERROR(__xludf.DUMMYFUNCTION("""COMPUTED_VALUE"""),"Order rejected due to invalid ticker code. For time deposite, ticker code accepted either 1m or 3m, and no limit price.")</f>
        <v>Order rejected due to invalid ticker code. For time deposite, ticker code accepted either 1m or 3m, and no limit price.</v>
      </c>
    </row>
    <row r="85" spans="1:8" ht="13" x14ac:dyDescent="0.15">
      <c r="A85" s="5"/>
      <c r="B85" s="82">
        <f ca="1">IFERROR(__xludf.DUMMYFUNCTION("""COMPUTED_VALUE"""),44634.4908156134)</f>
        <v>44634.490815613397</v>
      </c>
      <c r="C85" s="80" t="str">
        <f ca="1">IFERROR(__xludf.DUMMYFUNCTION("""COMPUTED_VALUE"""),"75415")</f>
        <v>75415</v>
      </c>
      <c r="D85" s="80" t="str">
        <f ca="1">IFERROR(__xludf.DUMMYFUNCTION("""COMPUTED_VALUE"""),"error")</f>
        <v>error</v>
      </c>
      <c r="E85" s="80" t="str">
        <f ca="1">IFERROR(__xludf.DUMMYFUNCTION("""COMPUTED_VALUE"""),"Stock")</f>
        <v>Stock</v>
      </c>
      <c r="F85" s="91" t="str">
        <f ca="1">IFERROR(__xludf.DUMMYFUNCTION("""COMPUTED_VALUE"""),"PAYTM")</f>
        <v>PAYTM</v>
      </c>
      <c r="G85" s="92"/>
      <c r="H85" s="93" t="str">
        <f ca="1">IFERROR(__xludf.DUMMYFUNCTION("""COMPUTED_VALUE"""),"Order rejected due to wrong ticker code.")</f>
        <v>Order rejected due to wrong ticker code.</v>
      </c>
    </row>
    <row r="86" spans="1:8" ht="13" x14ac:dyDescent="0.15">
      <c r="A86" s="5"/>
      <c r="B86" s="82">
        <f ca="1">IFERROR(__xludf.DUMMYFUNCTION("""COMPUTED_VALUE"""),44634.5600151736)</f>
        <v>44634.5600151736</v>
      </c>
      <c r="C86" s="80" t="str">
        <f ca="1">IFERROR(__xludf.DUMMYFUNCTION("""COMPUTED_VALUE"""),"")</f>
        <v/>
      </c>
      <c r="D86" s="80" t="str">
        <f ca="1">IFERROR(__xludf.DUMMYFUNCTION("""COMPUTED_VALUE"""),"error")</f>
        <v>error</v>
      </c>
      <c r="E86" s="80" t="str">
        <f ca="1">IFERROR(__xludf.DUMMYFUNCTION("""COMPUTED_VALUE"""),"Stock")</f>
        <v>Stock</v>
      </c>
      <c r="F86" s="94" t="str">
        <f ca="1">IFERROR(__xludf.DUMMYFUNCTION("""COMPUTED_VALUE"""),"1024.HK")</f>
        <v>1024.HK</v>
      </c>
      <c r="G86" s="92">
        <f ca="1">IFERROR(__xludf.DUMMYFUNCTION("""COMPUTED_VALUE"""),64.8)</f>
        <v>64.8</v>
      </c>
      <c r="H86" s="93" t="str">
        <f ca="1">IFERROR(__xludf.DUMMYFUNCTION("""COMPUTED_VALUE"""),"Order rejected due to non-school email account")</f>
        <v>Order rejected due to non-school email account</v>
      </c>
    </row>
    <row r="87" spans="1:8" ht="13" x14ac:dyDescent="0.15">
      <c r="A87" s="5"/>
      <c r="B87" s="82">
        <f ca="1">IFERROR(__xludf.DUMMYFUNCTION("""COMPUTED_VALUE"""),44634.5861951504)</f>
        <v>44634.586195150398</v>
      </c>
      <c r="C87" s="80" t="str">
        <f ca="1">IFERROR(__xludf.DUMMYFUNCTION("""COMPUTED_VALUE"""),"56118")</f>
        <v>56118</v>
      </c>
      <c r="D87" s="80" t="str">
        <f ca="1">IFERROR(__xludf.DUMMYFUNCTION("""COMPUTED_VALUE"""),"error")</f>
        <v>error</v>
      </c>
      <c r="E87" s="80" t="str">
        <f ca="1">IFERROR(__xludf.DUMMYFUNCTION("""COMPUTED_VALUE"""),"Stock")</f>
        <v>Stock</v>
      </c>
      <c r="F87" s="91">
        <f ca="1">IFERROR(__xludf.DUMMYFUNCTION("""COMPUTED_VALUE"""),56118)</f>
        <v>56118</v>
      </c>
      <c r="G87" s="92">
        <f ca="1">IFERROR(__xludf.DUMMYFUNCTION("""COMPUTED_VALUE"""),7.8)</f>
        <v>7.8</v>
      </c>
      <c r="H87" s="93" t="str">
        <f ca="1">IFERROR(__xludf.DUMMYFUNCTION("""COMPUTED_VALUE"""),"Order rejected due to wrong ticker code.")</f>
        <v>Order rejected due to wrong ticker code.</v>
      </c>
    </row>
    <row r="88" spans="1:8" ht="13" x14ac:dyDescent="0.15">
      <c r="A88" s="5"/>
      <c r="B88" s="82">
        <f ca="1">IFERROR(__xludf.DUMMYFUNCTION("""COMPUTED_VALUE"""),44634.5878918055)</f>
        <v>44634.587891805502</v>
      </c>
      <c r="C88" s="80" t="str">
        <f ca="1">IFERROR(__xludf.DUMMYFUNCTION("""COMPUTED_VALUE"""),"56118")</f>
        <v>56118</v>
      </c>
      <c r="D88" s="80" t="str">
        <f ca="1">IFERROR(__xludf.DUMMYFUNCTION("""COMPUTED_VALUE"""),"error")</f>
        <v>error</v>
      </c>
      <c r="E88" s="80" t="str">
        <f ca="1">IFERROR(__xludf.DUMMYFUNCTION("""COMPUTED_VALUE"""),"Stock")</f>
        <v>Stock</v>
      </c>
      <c r="F88" s="91">
        <f ca="1">IFERROR(__xludf.DUMMYFUNCTION("""COMPUTED_VALUE"""),2638)</f>
        <v>2638</v>
      </c>
      <c r="G88" s="92">
        <f ca="1">IFERROR(__xludf.DUMMYFUNCTION("""COMPUTED_VALUE"""),7.8)</f>
        <v>7.8</v>
      </c>
      <c r="H88" s="93" t="str">
        <f ca="1">IFERROR(__xludf.DUMMYFUNCTION("""COMPUTED_VALUE"""),"Order rejected due to wrong ticker code.")</f>
        <v>Order rejected due to wrong ticker code.</v>
      </c>
    </row>
    <row r="89" spans="1:8" ht="13" x14ac:dyDescent="0.15">
      <c r="A89" s="5"/>
      <c r="B89" s="82">
        <f ca="1">IFERROR(__xludf.DUMMYFUNCTION("""COMPUTED_VALUE"""),44634.5992071643)</f>
        <v>44634.599207164298</v>
      </c>
      <c r="C89" s="80" t="str">
        <f ca="1">IFERROR(__xludf.DUMMYFUNCTION("""COMPUTED_VALUE"""),"40105")</f>
        <v>40105</v>
      </c>
      <c r="D89" s="80" t="str">
        <f ca="1">IFERROR(__xludf.DUMMYFUNCTION("""COMPUTED_VALUE"""),"error")</f>
        <v>error</v>
      </c>
      <c r="E89" s="80" t="str">
        <f ca="1">IFERROR(__xludf.DUMMYFUNCTION("""COMPUTED_VALUE"""),"Stock")</f>
        <v>Stock</v>
      </c>
      <c r="F89" s="91" t="str">
        <f ca="1">IFERROR(__xludf.DUMMYFUNCTION("""COMPUTED_VALUE"""),"S&amp;P 500")</f>
        <v>S&amp;P 500</v>
      </c>
      <c r="G89" s="92"/>
      <c r="H89" s="93" t="str">
        <f ca="1">IFERROR(__xludf.DUMMYFUNCTION("""COMPUTED_VALUE"""),"Order rejected due to wrong ticker code.")</f>
        <v>Order rejected due to wrong ticker code.</v>
      </c>
    </row>
    <row r="90" spans="1:8" ht="13" x14ac:dyDescent="0.15">
      <c r="A90" s="5"/>
      <c r="B90" s="82">
        <f ca="1">IFERROR(__xludf.DUMMYFUNCTION("""COMPUTED_VALUE"""),44634.6130451504)</f>
        <v>44634.6130451504</v>
      </c>
      <c r="C90" s="80" t="str">
        <f ca="1">IFERROR(__xludf.DUMMYFUNCTION("""COMPUTED_VALUE"""),"39494")</f>
        <v>39494</v>
      </c>
      <c r="D90" s="80" t="str">
        <f ca="1">IFERROR(__xludf.DUMMYFUNCTION("""COMPUTED_VALUE"""),"error")</f>
        <v>error</v>
      </c>
      <c r="E90" s="80" t="str">
        <f ca="1">IFERROR(__xludf.DUMMYFUNCTION("""COMPUTED_VALUE"""),"Stock")</f>
        <v>Stock</v>
      </c>
      <c r="F90" s="91" t="str">
        <f ca="1">IFERROR(__xludf.DUMMYFUNCTION("""COMPUTED_VALUE"""),"SONY")</f>
        <v>SONY</v>
      </c>
      <c r="G90" s="92"/>
      <c r="H90" s="93" t="str">
        <f ca="1">IFERROR(__xludf.DUMMYFUNCTION("""COMPUTED_VALUE"""),"Order rejected due to wrong quantity. Has to be a number, not ""ALL"".")</f>
        <v>Order rejected due to wrong quantity. Has to be a number, not "ALL".</v>
      </c>
    </row>
    <row r="91" spans="1:8" ht="13" x14ac:dyDescent="0.15">
      <c r="A91" s="5"/>
      <c r="B91" s="82">
        <f ca="1">IFERROR(__xludf.DUMMYFUNCTION("""COMPUTED_VALUE"""),44634.6134093981)</f>
        <v>44634.613409398102</v>
      </c>
      <c r="C91" s="80" t="str">
        <f ca="1">IFERROR(__xludf.DUMMYFUNCTION("""COMPUTED_VALUE"""),"39494")</f>
        <v>39494</v>
      </c>
      <c r="D91" s="80" t="str">
        <f ca="1">IFERROR(__xludf.DUMMYFUNCTION("""COMPUTED_VALUE"""),"error")</f>
        <v>error</v>
      </c>
      <c r="E91" s="80" t="str">
        <f ca="1">IFERROR(__xludf.DUMMYFUNCTION("""COMPUTED_VALUE"""),"Stock")</f>
        <v>Stock</v>
      </c>
      <c r="F91" s="91" t="str">
        <f ca="1">IFERROR(__xludf.DUMMYFUNCTION("""COMPUTED_VALUE"""),"MSFT")</f>
        <v>MSFT</v>
      </c>
      <c r="G91" s="92"/>
      <c r="H91" s="93" t="str">
        <f ca="1">IFERROR(__xludf.DUMMYFUNCTION("""COMPUTED_VALUE"""),"Order rejected due to wrong quantity. Has to be a number, not ""ALL"".")</f>
        <v>Order rejected due to wrong quantity. Has to be a number, not "ALL".</v>
      </c>
    </row>
    <row r="92" spans="1:8" ht="13" x14ac:dyDescent="0.15">
      <c r="A92" s="5"/>
      <c r="B92" s="82">
        <f ca="1">IFERROR(__xludf.DUMMYFUNCTION("""COMPUTED_VALUE"""),44634.613757581)</f>
        <v>44634.613757580999</v>
      </c>
      <c r="C92" s="80" t="str">
        <f ca="1">IFERROR(__xludf.DUMMYFUNCTION("""COMPUTED_VALUE"""),"39494")</f>
        <v>39494</v>
      </c>
      <c r="D92" s="80" t="str">
        <f ca="1">IFERROR(__xludf.DUMMYFUNCTION("""COMPUTED_VALUE"""),"error")</f>
        <v>error</v>
      </c>
      <c r="E92" s="80" t="str">
        <f ca="1">IFERROR(__xludf.DUMMYFUNCTION("""COMPUTED_VALUE"""),"Stock")</f>
        <v>Stock</v>
      </c>
      <c r="F92" s="91" t="str">
        <f ca="1">IFERROR(__xludf.DUMMYFUNCTION("""COMPUTED_VALUE"""),"NTDOY")</f>
        <v>NTDOY</v>
      </c>
      <c r="G92" s="92"/>
      <c r="H92" s="93" t="str">
        <f ca="1">IFERROR(__xludf.DUMMYFUNCTION("""COMPUTED_VALUE"""),"Order rejected due to wrong quantity. Has to be a number, not ""ALL"".")</f>
        <v>Order rejected due to wrong quantity. Has to be a number, not "ALL".</v>
      </c>
    </row>
    <row r="93" spans="1:8" ht="13" x14ac:dyDescent="0.15">
      <c r="A93" s="5"/>
      <c r="B93" s="82">
        <f ca="1">IFERROR(__xludf.DUMMYFUNCTION("""COMPUTED_VALUE"""),44634.6163617592)</f>
        <v>44634.616361759203</v>
      </c>
      <c r="C93" s="80" t="str">
        <f ca="1">IFERROR(__xludf.DUMMYFUNCTION("""COMPUTED_VALUE"""),"38307")</f>
        <v>38307</v>
      </c>
      <c r="D93" s="80" t="str">
        <f ca="1">IFERROR(__xludf.DUMMYFUNCTION("""COMPUTED_VALUE"""),"error")</f>
        <v>error</v>
      </c>
      <c r="E93" s="80" t="str">
        <f ca="1">IFERROR(__xludf.DUMMYFUNCTION("""COMPUTED_VALUE"""),"Stock")</f>
        <v>Stock</v>
      </c>
      <c r="F93" s="91" t="str">
        <f ca="1">IFERROR(__xludf.DUMMYFUNCTION("""COMPUTED_VALUE"""),"000999")</f>
        <v>000999</v>
      </c>
      <c r="G93" s="92"/>
      <c r="H93" s="93" t="str">
        <f ca="1">IFERROR(__xludf.DUMMYFUNCTION("""COMPUTED_VALUE"""),"Order rejected due to wrong ticker code.")</f>
        <v>Order rejected due to wrong ticker code.</v>
      </c>
    </row>
    <row r="94" spans="1:8" ht="13" x14ac:dyDescent="0.15">
      <c r="A94" s="5"/>
      <c r="B94" s="82">
        <f ca="1">IFERROR(__xludf.DUMMYFUNCTION("""COMPUTED_VALUE"""),44634.6173739699)</f>
        <v>44634.617373969901</v>
      </c>
      <c r="C94" s="80" t="str">
        <f ca="1">IFERROR(__xludf.DUMMYFUNCTION("""COMPUTED_VALUE"""),"38307")</f>
        <v>38307</v>
      </c>
      <c r="D94" s="80" t="str">
        <f ca="1">IFERROR(__xludf.DUMMYFUNCTION("""COMPUTED_VALUE"""),"error")</f>
        <v>error</v>
      </c>
      <c r="E94" s="80" t="str">
        <f ca="1">IFERROR(__xludf.DUMMYFUNCTION("""COMPUTED_VALUE"""),"Stock")</f>
        <v>Stock</v>
      </c>
      <c r="F94" s="91" t="str">
        <f ca="1">IFERROR(__xludf.DUMMYFUNCTION("""COMPUTED_VALUE"""),"002104")</f>
        <v>002104</v>
      </c>
      <c r="G94" s="92"/>
      <c r="H94" s="93" t="str">
        <f ca="1">IFERROR(__xludf.DUMMYFUNCTION("""COMPUTED_VALUE"""),"Order rejected due to wrong ticker code.")</f>
        <v>Order rejected due to wrong ticker code.</v>
      </c>
    </row>
    <row r="95" spans="1:8" ht="13" x14ac:dyDescent="0.15">
      <c r="A95" s="5"/>
      <c r="B95" s="82">
        <f ca="1">IFERROR(__xludf.DUMMYFUNCTION("""COMPUTED_VALUE"""),44634.621428206)</f>
        <v>44634.621428206003</v>
      </c>
      <c r="C95" s="80" t="str">
        <f ca="1">IFERROR(__xludf.DUMMYFUNCTION("""COMPUTED_VALUE"""),"38307")</f>
        <v>38307</v>
      </c>
      <c r="D95" s="80" t="str">
        <f ca="1">IFERROR(__xludf.DUMMYFUNCTION("""COMPUTED_VALUE"""),"error")</f>
        <v>error</v>
      </c>
      <c r="E95" s="80" t="str">
        <f ca="1">IFERROR(__xludf.DUMMYFUNCTION("""COMPUTED_VALUE"""),"Stock")</f>
        <v>Stock</v>
      </c>
      <c r="F95" s="91" t="str">
        <f ca="1">IFERROR(__xludf.DUMMYFUNCTION("""COMPUTED_VALUE"""),"HK0981")</f>
        <v>HK0981</v>
      </c>
      <c r="G95" s="92"/>
      <c r="H95" s="93" t="str">
        <f ca="1">IFERROR(__xludf.DUMMYFUNCTION("""COMPUTED_VALUE"""),"Order rejected due to wrong ticker code.")</f>
        <v>Order rejected due to wrong ticker code.</v>
      </c>
    </row>
    <row r="96" spans="1:8" ht="13" x14ac:dyDescent="0.15">
      <c r="A96" s="5"/>
      <c r="B96" s="82">
        <f ca="1">IFERROR(__xludf.DUMMYFUNCTION("""COMPUTED_VALUE"""),44634.6235163773)</f>
        <v>44634.623516377302</v>
      </c>
      <c r="C96" s="80" t="str">
        <f ca="1">IFERROR(__xludf.DUMMYFUNCTION("""COMPUTED_VALUE"""),"38307")</f>
        <v>38307</v>
      </c>
      <c r="D96" s="80" t="str">
        <f ca="1">IFERROR(__xludf.DUMMYFUNCTION("""COMPUTED_VALUE"""),"error")</f>
        <v>error</v>
      </c>
      <c r="E96" s="80" t="str">
        <f ca="1">IFERROR(__xludf.DUMMYFUNCTION("""COMPUTED_VALUE"""),"Stock")</f>
        <v>Stock</v>
      </c>
      <c r="F96" s="91" t="str">
        <f ca="1">IFERROR(__xludf.DUMMYFUNCTION("""COMPUTED_VALUE"""),"002603")</f>
        <v>002603</v>
      </c>
      <c r="G96" s="92"/>
      <c r="H96" s="93" t="str">
        <f ca="1">IFERROR(__xludf.DUMMYFUNCTION("""COMPUTED_VALUE"""),"Order rejected due to wrong ticker code.")</f>
        <v>Order rejected due to wrong ticker code.</v>
      </c>
    </row>
    <row r="97" spans="1:8" ht="13" x14ac:dyDescent="0.15">
      <c r="A97" s="5"/>
      <c r="B97" s="82">
        <f ca="1">IFERROR(__xludf.DUMMYFUNCTION("""COMPUTED_VALUE"""),44634.6278713194)</f>
        <v>44634.627871319397</v>
      </c>
      <c r="C97" s="80" t="str">
        <f ca="1">IFERROR(__xludf.DUMMYFUNCTION("""COMPUTED_VALUE"""),"38307")</f>
        <v>38307</v>
      </c>
      <c r="D97" s="80" t="str">
        <f ca="1">IFERROR(__xludf.DUMMYFUNCTION("""COMPUTED_VALUE"""),"error")</f>
        <v>error</v>
      </c>
      <c r="E97" s="80" t="str">
        <f ca="1">IFERROR(__xludf.DUMMYFUNCTION("""COMPUTED_VALUE"""),"Stock")</f>
        <v>Stock</v>
      </c>
      <c r="F97" s="91">
        <f ca="1">IFERROR(__xludf.DUMMYFUNCTION("""COMPUTED_VALUE"""),688575)</f>
        <v>688575</v>
      </c>
      <c r="G97" s="92"/>
      <c r="H97" s="93" t="str">
        <f ca="1">IFERROR(__xludf.DUMMYFUNCTION("""COMPUTED_VALUE"""),"Order rejected due to wrong ticker code.")</f>
        <v>Order rejected due to wrong ticker code.</v>
      </c>
    </row>
    <row r="98" spans="1:8" ht="13" x14ac:dyDescent="0.15">
      <c r="A98" s="5"/>
      <c r="B98" s="82">
        <f ca="1">IFERROR(__xludf.DUMMYFUNCTION("""COMPUTED_VALUE"""),44634.7475615393)</f>
        <v>44634.747561539298</v>
      </c>
      <c r="C98" s="80" t="str">
        <f ca="1">IFERROR(__xludf.DUMMYFUNCTION("""COMPUTED_VALUE"""),"75369")</f>
        <v>75369</v>
      </c>
      <c r="D98" s="80" t="str">
        <f ca="1">IFERROR(__xludf.DUMMYFUNCTION("""COMPUTED_VALUE"""),"error")</f>
        <v>error</v>
      </c>
      <c r="E98" s="80" t="str">
        <f ca="1">IFERROR(__xludf.DUMMYFUNCTION("""COMPUTED_VALUE"""),"Stock")</f>
        <v>Stock</v>
      </c>
      <c r="F98" s="91">
        <f ca="1">IFERROR(__xludf.DUMMYFUNCTION("""COMPUTED_VALUE"""),2809)</f>
        <v>2809</v>
      </c>
      <c r="G98" s="92"/>
      <c r="H98" s="93" t="str">
        <f ca="1">IFERROR(__xludf.DUMMYFUNCTION("""COMPUTED_VALUE"""),"Order rejected due to wrong ticker code and wrong password.")</f>
        <v>Order rejected due to wrong ticker code and wrong password.</v>
      </c>
    </row>
    <row r="99" spans="1:8" ht="13" x14ac:dyDescent="0.15">
      <c r="A99" s="5"/>
      <c r="B99" s="82">
        <f ca="1">IFERROR(__xludf.DUMMYFUNCTION("""COMPUTED_VALUE"""),44634.8084589467)</f>
        <v>44634.808458946703</v>
      </c>
      <c r="C99" s="80" t="str">
        <f ca="1">IFERROR(__xludf.DUMMYFUNCTION("""COMPUTED_VALUE"""),"56118")</f>
        <v>56118</v>
      </c>
      <c r="D99" s="80" t="str">
        <f ca="1">IFERROR(__xludf.DUMMYFUNCTION("""COMPUTED_VALUE"""),"error")</f>
        <v>error</v>
      </c>
      <c r="E99" s="80" t="str">
        <f ca="1">IFERROR(__xludf.DUMMYFUNCTION("""COMPUTED_VALUE"""),"Stock")</f>
        <v>Stock</v>
      </c>
      <c r="F99" s="91">
        <f ca="1">IFERROR(__xludf.DUMMYFUNCTION("""COMPUTED_VALUE"""),2638)</f>
        <v>2638</v>
      </c>
      <c r="G99" s="92" t="str">
        <f ca="1">IFERROR(__xludf.DUMMYFUNCTION("""COMPUTED_VALUE""")," Limit Sell @ 7.8 - if Closing @ 8.0 = Executed price @ 7.8; if Closing @ 8 = no execution")</f>
        <v xml:space="preserve"> Limit Sell @ 7.8 - if Closing @ 8.0 = Executed price @ 7.8; if Closing @ 8 = no execution</v>
      </c>
      <c r="H99" s="93" t="str">
        <f ca="1">IFERROR(__xludf.DUMMYFUNCTION("""COMPUTED_VALUE"""),"Order rejected due to wrong ticker code and also the non-number input in Limit Order Box.")</f>
        <v>Order rejected due to wrong ticker code and also the non-number input in Limit Order Box.</v>
      </c>
    </row>
    <row r="100" spans="1:8" ht="13" x14ac:dyDescent="0.15">
      <c r="A100" s="5"/>
      <c r="B100" s="82">
        <f ca="1">IFERROR(__xludf.DUMMYFUNCTION("""COMPUTED_VALUE"""),44635.4024452199)</f>
        <v>44635.402445219901</v>
      </c>
      <c r="C100" s="80" t="str">
        <f ca="1">IFERROR(__xludf.DUMMYFUNCTION("""COMPUTED_VALUE"""),"38093")</f>
        <v>38093</v>
      </c>
      <c r="D100" s="80" t="str">
        <f ca="1">IFERROR(__xludf.DUMMYFUNCTION("""COMPUTED_VALUE"""),"error")</f>
        <v>error</v>
      </c>
      <c r="E100" s="80" t="str">
        <f ca="1">IFERROR(__xludf.DUMMYFUNCTION("""COMPUTED_VALUE"""),"Stock")</f>
        <v>Stock</v>
      </c>
      <c r="F100" s="91">
        <f ca="1">IFERROR(__xludf.DUMMYFUNCTION("""COMPUTED_VALUE"""),2331)</f>
        <v>2331</v>
      </c>
      <c r="G100" s="92">
        <f ca="1">IFERROR(__xludf.DUMMYFUNCTION("""COMPUTED_VALUE"""),30)</f>
        <v>30</v>
      </c>
      <c r="H100" s="93" t="str">
        <f ca="1">IFERROR(__xludf.DUMMYFUNCTION("""COMPUTED_VALUE"""),"Order rejected due to wrong ticker code and non-school email address.")</f>
        <v>Order rejected due to wrong ticker code and non-school email address.</v>
      </c>
    </row>
    <row r="101" spans="1:8" ht="13" x14ac:dyDescent="0.15">
      <c r="A101" s="5"/>
      <c r="B101" s="82">
        <f ca="1">IFERROR(__xludf.DUMMYFUNCTION("""COMPUTED_VALUE"""),44635.4055187384)</f>
        <v>44635.4055187384</v>
      </c>
      <c r="C101" s="80" t="str">
        <f ca="1">IFERROR(__xludf.DUMMYFUNCTION("""COMPUTED_VALUE"""),"38093")</f>
        <v>38093</v>
      </c>
      <c r="D101" s="80" t="str">
        <f ca="1">IFERROR(__xludf.DUMMYFUNCTION("""COMPUTED_VALUE"""),"error")</f>
        <v>error</v>
      </c>
      <c r="E101" s="80" t="str">
        <f ca="1">IFERROR(__xludf.DUMMYFUNCTION("""COMPUTED_VALUE"""),"Stock")</f>
        <v>Stock</v>
      </c>
      <c r="F101" s="91">
        <f ca="1">IFERROR(__xludf.DUMMYFUNCTION("""COMPUTED_VALUE"""),2331)</f>
        <v>2331</v>
      </c>
      <c r="G101" s="92">
        <f ca="1">IFERROR(__xludf.DUMMYFUNCTION("""COMPUTED_VALUE"""),50)</f>
        <v>50</v>
      </c>
      <c r="H101" s="93" t="str">
        <f ca="1">IFERROR(__xludf.DUMMYFUNCTION("""COMPUTED_VALUE"""),"Order rejected due to wrong ticker code and non-school email address.")</f>
        <v>Order rejected due to wrong ticker code and non-school email address.</v>
      </c>
    </row>
    <row r="102" spans="1:8" ht="13" x14ac:dyDescent="0.15">
      <c r="A102" s="5"/>
      <c r="B102" s="82">
        <f ca="1">IFERROR(__xludf.DUMMYFUNCTION("""COMPUTED_VALUE"""),44635.4418249421)</f>
        <v>44635.4418249421</v>
      </c>
      <c r="C102" s="80" t="str">
        <f ca="1">IFERROR(__xludf.DUMMYFUNCTION("""COMPUTED_VALUE"""),"37198")</f>
        <v>37198</v>
      </c>
      <c r="D102" s="80" t="str">
        <f ca="1">IFERROR(__xludf.DUMMYFUNCTION("""COMPUTED_VALUE"""),"error")</f>
        <v>error</v>
      </c>
      <c r="E102" s="80" t="str">
        <f ca="1">IFERROR(__xludf.DUMMYFUNCTION("""COMPUTED_VALUE"""),"Bond")</f>
        <v>Bond</v>
      </c>
      <c r="F102" s="91" t="str">
        <f ca="1">IFERROR(__xludf.DUMMYFUNCTION("""COMPUTED_VALUE"""),"^FVX")</f>
        <v>^FVX</v>
      </c>
      <c r="G102" s="92"/>
      <c r="H102" s="93" t="str">
        <f ca="1">IFERROR(__xludf.DUMMYFUNCTION("""COMPUTED_VALUE"""),"Order rejected due to wrong ticker code. ^FVX is not a bond ticker code.")</f>
        <v>Order rejected due to wrong ticker code. ^FVX is not a bond ticker code.</v>
      </c>
    </row>
    <row r="103" spans="1:8" ht="13" x14ac:dyDescent="0.15">
      <c r="A103" s="5"/>
      <c r="B103" s="82">
        <f ca="1">IFERROR(__xludf.DUMMYFUNCTION("""COMPUTED_VALUE"""),44635.5331636689)</f>
        <v>44635.533163668901</v>
      </c>
      <c r="C103" s="80" t="str">
        <f ca="1">IFERROR(__xludf.DUMMYFUNCTION("""COMPUTED_VALUE"""),"56118")</f>
        <v>56118</v>
      </c>
      <c r="D103" s="80" t="str">
        <f ca="1">IFERROR(__xludf.DUMMYFUNCTION("""COMPUTED_VALUE"""),"error")</f>
        <v>error</v>
      </c>
      <c r="E103" s="80" t="str">
        <f ca="1">IFERROR(__xludf.DUMMYFUNCTION("""COMPUTED_VALUE"""),"Stock")</f>
        <v>Stock</v>
      </c>
      <c r="F103" s="91" t="str">
        <f ca="1">IFERROR(__xludf.DUMMYFUNCTION("""COMPUTED_VALUE"""),"HSI")</f>
        <v>HSI</v>
      </c>
      <c r="G103" s="92" t="str">
        <f ca="1">IFERROR(__xludf.DUMMYFUNCTION("""COMPUTED_VALUE"""),"Limit Buy @ 19000 - Closing @ 18500 = Executed price @ 18000. if Closing @ 20000 = no execution")</f>
        <v>Limit Buy @ 19000 - Closing @ 18500 = Executed price @ 18000. if Closing @ 20000 = no execution</v>
      </c>
      <c r="H103" s="93" t="str">
        <f ca="1">IFERROR(__xludf.DUMMYFUNCTION("""COMPUTED_VALUE"""),"Order rejected due to wrong ticker code. HSI is not a ticker code and limit price should include only number, no non-numeric character.")</f>
        <v>Order rejected due to wrong ticker code. HSI is not a ticker code and limit price should include only number, no non-numeric character.</v>
      </c>
    </row>
    <row r="104" spans="1:8" ht="13" x14ac:dyDescent="0.15">
      <c r="A104" s="5"/>
      <c r="B104" s="82">
        <f ca="1">IFERROR(__xludf.DUMMYFUNCTION("""COMPUTED_VALUE"""),44635.5403487384)</f>
        <v>44635.540348738403</v>
      </c>
      <c r="C104" s="80" t="str">
        <f ca="1">IFERROR(__xludf.DUMMYFUNCTION("""COMPUTED_VALUE"""),"56118")</f>
        <v>56118</v>
      </c>
      <c r="D104" s="80" t="str">
        <f ca="1">IFERROR(__xludf.DUMMYFUNCTION("""COMPUTED_VALUE"""),"error")</f>
        <v>error</v>
      </c>
      <c r="E104" s="80" t="str">
        <f ca="1">IFERROR(__xludf.DUMMYFUNCTION("""COMPUTED_VALUE"""),"Option")</f>
        <v>Option</v>
      </c>
      <c r="F104" s="91" t="str">
        <f ca="1">IFERROR(__xludf.DUMMYFUNCTION("""COMPUTED_VALUE"""),"HSL")</f>
        <v>HSL</v>
      </c>
      <c r="G104" s="92">
        <f ca="1">IFERROR(__xludf.DUMMYFUNCTION("""COMPUTED_VALUE"""),19000)</f>
        <v>19000</v>
      </c>
      <c r="H104" s="93" t="str">
        <f ca="1">IFERROR(__xludf.DUMMYFUNCTION("""COMPUTED_VALUE"""),"Order rejected due to wrong ticker code. HSL is not an option ticker code.")</f>
        <v>Order rejected due to wrong ticker code. HSL is not an option ticker code.</v>
      </c>
    </row>
    <row r="105" spans="1:8" ht="13" x14ac:dyDescent="0.15">
      <c r="A105" s="5"/>
      <c r="B105" s="82">
        <f ca="1">IFERROR(__xludf.DUMMYFUNCTION("""COMPUTED_VALUE"""),44635.5427238425)</f>
        <v>44635.542723842504</v>
      </c>
      <c r="C105" s="80" t="str">
        <f ca="1">IFERROR(__xludf.DUMMYFUNCTION("""COMPUTED_VALUE"""),"56118")</f>
        <v>56118</v>
      </c>
      <c r="D105" s="80" t="str">
        <f ca="1">IFERROR(__xludf.DUMMYFUNCTION("""COMPUTED_VALUE"""),"error")</f>
        <v>error</v>
      </c>
      <c r="E105" s="80" t="str">
        <f ca="1">IFERROR(__xludf.DUMMYFUNCTION("""COMPUTED_VALUE"""),"Stock")</f>
        <v>Stock</v>
      </c>
      <c r="F105" s="91" t="str">
        <f ca="1">IFERROR(__xludf.DUMMYFUNCTION("""COMPUTED_VALUE"""),"HSI")</f>
        <v>HSI</v>
      </c>
      <c r="G105" s="92">
        <f ca="1">IFERROR(__xludf.DUMMYFUNCTION("""COMPUTED_VALUE"""),19000)</f>
        <v>19000</v>
      </c>
      <c r="H105" s="93" t="str">
        <f ca="1">IFERROR(__xludf.DUMMYFUNCTION("""COMPUTED_VALUE"""),"Order rejected due to wrong ticker code. HSI is not a ticker code.")</f>
        <v>Order rejected due to wrong ticker code. HSI is not a ticker code.</v>
      </c>
    </row>
    <row r="106" spans="1:8" ht="13" x14ac:dyDescent="0.15">
      <c r="A106" s="5"/>
      <c r="B106" s="82">
        <f ca="1">IFERROR(__xludf.DUMMYFUNCTION("""COMPUTED_VALUE"""),44635.6640217592)</f>
        <v>44635.664021759199</v>
      </c>
      <c r="C106" s="80" t="str">
        <f ca="1">IFERROR(__xludf.DUMMYFUNCTION("""COMPUTED_VALUE"""),"46972")</f>
        <v>46972</v>
      </c>
      <c r="D106" s="80" t="str">
        <f ca="1">IFERROR(__xludf.DUMMYFUNCTION("""COMPUTED_VALUE"""),"error")</f>
        <v>error</v>
      </c>
      <c r="E106" s="80" t="str">
        <f ca="1">IFERROR(__xludf.DUMMYFUNCTION("""COMPUTED_VALUE"""),"Stock")</f>
        <v>Stock</v>
      </c>
      <c r="F106" s="94" t="str">
        <f ca="1">IFERROR(__xludf.DUMMYFUNCTION("""COMPUTED_VALUE"""),"6862.HK")</f>
        <v>6862.HK</v>
      </c>
      <c r="G106" s="92"/>
      <c r="H106" s="93" t="str">
        <f ca="1">IFERROR(__xludf.DUMMYFUNCTION("""COMPUTED_VALUE"""),"Order rejected due to wrong account - account does not exists. 46972.")</f>
        <v>Order rejected due to wrong account - account does not exists. 46972.</v>
      </c>
    </row>
    <row r="107" spans="1:8" ht="13" x14ac:dyDescent="0.15">
      <c r="A107" s="5"/>
      <c r="B107" s="82">
        <f ca="1">IFERROR(__xludf.DUMMYFUNCTION("""COMPUTED_VALUE"""),44635.6988805671)</f>
        <v>44635.698880567099</v>
      </c>
      <c r="C107" s="80" t="str">
        <f ca="1">IFERROR(__xludf.DUMMYFUNCTION("""COMPUTED_VALUE"""),"")</f>
        <v/>
      </c>
      <c r="D107" s="80" t="str">
        <f ca="1">IFERROR(__xludf.DUMMYFUNCTION("""COMPUTED_VALUE"""),"error")</f>
        <v>error</v>
      </c>
      <c r="E107" s="80" t="str">
        <f ca="1">IFERROR(__xludf.DUMMYFUNCTION("""COMPUTED_VALUE"""),"Stock")</f>
        <v>Stock</v>
      </c>
      <c r="F107" s="94" t="str">
        <f ca="1">IFERROR(__xludf.DUMMYFUNCTION("""COMPUTED_VALUE"""),"01024.HK")</f>
        <v>01024.HK</v>
      </c>
      <c r="G107" s="92">
        <f ca="1">IFERROR(__xludf.DUMMYFUNCTION("""COMPUTED_VALUE"""),56)</f>
        <v>56</v>
      </c>
      <c r="H107" s="93" t="str">
        <f ca="1">IFERROR(__xludf.DUMMYFUNCTION("""COMPUTED_VALUE"""),"Order rejected due to wrong account, wrong ticker code - Non school email account. Ticker code is NOT 01024.HK, should be 1024.HK")</f>
        <v>Order rejected due to wrong account, wrong ticker code - Non school email account. Ticker code is NOT 01024.HK, should be 1024.HK</v>
      </c>
    </row>
    <row r="108" spans="1:8" ht="13" x14ac:dyDescent="0.15">
      <c r="A108" s="5"/>
      <c r="B108" s="82">
        <f ca="1">IFERROR(__xludf.DUMMYFUNCTION("""COMPUTED_VALUE"""),44636.3831572685)</f>
        <v>44636.383157268501</v>
      </c>
      <c r="C108" s="80" t="str">
        <f ca="1">IFERROR(__xludf.DUMMYFUNCTION("""COMPUTED_VALUE"""),"89845")</f>
        <v>89845</v>
      </c>
      <c r="D108" s="80" t="str">
        <f ca="1">IFERROR(__xludf.DUMMYFUNCTION("""COMPUTED_VALUE"""),"error")</f>
        <v>error</v>
      </c>
      <c r="E108" s="80" t="str">
        <f ca="1">IFERROR(__xludf.DUMMYFUNCTION("""COMPUTED_VALUE"""),"Stock")</f>
        <v>Stock</v>
      </c>
      <c r="F108" s="91" t="str">
        <f ca="1">IFERROR(__xludf.DUMMYFUNCTION("""COMPUTED_VALUE"""),"ASML")</f>
        <v>ASML</v>
      </c>
      <c r="G108" s="92" t="str">
        <f ca="1">IFERROR(__xludf.DUMMYFUNCTION("""COMPUTED_VALUE"""),"Limit Sell @ 570 - if Closing @ 620 = Executed price @ 600; if Closing @ 80 = no execution")</f>
        <v>Limit Sell @ 570 - if Closing @ 620 = Executed price @ 600; if Closing @ 80 = no execution</v>
      </c>
      <c r="H108" s="93" t="str">
        <f ca="1">IFERROR(__xludf.DUMMYFUNCTION("""COMPUTED_VALUE"""),"Order rejected due to non-numeric character in limit price box. Only numbers are allowed.")</f>
        <v>Order rejected due to non-numeric character in limit price box. Only numbers are allowed.</v>
      </c>
    </row>
    <row r="109" spans="1:8" ht="13" x14ac:dyDescent="0.15">
      <c r="A109" s="5"/>
      <c r="B109" s="82">
        <f ca="1">IFERROR(__xludf.DUMMYFUNCTION("""COMPUTED_VALUE"""),44636.5018211805)</f>
        <v>44636.5018211805</v>
      </c>
      <c r="C109" s="80" t="str">
        <f ca="1">IFERROR(__xludf.DUMMYFUNCTION("""COMPUTED_VALUE"""),"75965")</f>
        <v>75965</v>
      </c>
      <c r="D109" s="80" t="str">
        <f ca="1">IFERROR(__xludf.DUMMYFUNCTION("""COMPUTED_VALUE"""),"error")</f>
        <v>error</v>
      </c>
      <c r="E109" s="80" t="str">
        <f ca="1">IFERROR(__xludf.DUMMYFUNCTION("""COMPUTED_VALUE"""),"Stock")</f>
        <v>Stock</v>
      </c>
      <c r="F109" s="91" t="str">
        <f ca="1">IFERROR(__xludf.DUMMYFUNCTION("""COMPUTED_VALUE"""),"AAPL")</f>
        <v>AAPL</v>
      </c>
      <c r="G109" s="92"/>
      <c r="H109" s="93" t="str">
        <f ca="1">IFERROR(__xludf.DUMMYFUNCTION("""COMPUTED_VALUE"""),"Order rejected due to password error")</f>
        <v>Order rejected due to password error</v>
      </c>
    </row>
    <row r="110" spans="1:8" ht="13" x14ac:dyDescent="0.15">
      <c r="A110" s="5"/>
      <c r="B110" s="82">
        <f ca="1">IFERROR(__xludf.DUMMYFUNCTION("""COMPUTED_VALUE"""),44636.7388159953)</f>
        <v>44636.738815995297</v>
      </c>
      <c r="C110" s="80" t="str">
        <f ca="1">IFERROR(__xludf.DUMMYFUNCTION("""COMPUTED_VALUE"""),"95516")</f>
        <v>95516</v>
      </c>
      <c r="D110" s="80" t="str">
        <f ca="1">IFERROR(__xludf.DUMMYFUNCTION("""COMPUTED_VALUE"""),"error")</f>
        <v>error</v>
      </c>
      <c r="E110" s="80" t="str">
        <f ca="1">IFERROR(__xludf.DUMMYFUNCTION("""COMPUTED_VALUE"""),"Stock")</f>
        <v>Stock</v>
      </c>
      <c r="F110" s="94" t="str">
        <f ca="1">IFERROR(__xludf.DUMMYFUNCTION("""COMPUTED_VALUE"""),"0189.HK")</f>
        <v>0189.HK</v>
      </c>
      <c r="G110" s="92"/>
      <c r="H110" s="93" t="str">
        <f ca="1">IFERROR(__xludf.DUMMYFUNCTION("""COMPUTED_VALUE"""),"Order rejected due to 2nd password input wrong")</f>
        <v>Order rejected due to 2nd password input wrong</v>
      </c>
    </row>
    <row r="111" spans="1:8" ht="13" x14ac:dyDescent="0.15">
      <c r="A111" s="5"/>
      <c r="B111" s="82">
        <f ca="1">IFERROR(__xludf.DUMMYFUNCTION("""COMPUTED_VALUE"""),44637.3257919097)</f>
        <v>44637.325791909701</v>
      </c>
      <c r="C111" s="80" t="str">
        <f ca="1">IFERROR(__xludf.DUMMYFUNCTION("""COMPUTED_VALUE"""),"")</f>
        <v/>
      </c>
      <c r="D111" s="80" t="str">
        <f ca="1">IFERROR(__xludf.DUMMYFUNCTION("""COMPUTED_VALUE"""),"error")</f>
        <v>error</v>
      </c>
      <c r="E111" s="80" t="str">
        <f ca="1">IFERROR(__xludf.DUMMYFUNCTION("""COMPUTED_VALUE"""),"Stock")</f>
        <v>Stock</v>
      </c>
      <c r="F111" s="91" t="str">
        <f ca="1">IFERROR(__xludf.DUMMYFUNCTION("""COMPUTED_VALUE"""),"TEST")</f>
        <v>TEST</v>
      </c>
      <c r="G111" s="92"/>
      <c r="H111" s="93" t="str">
        <f ca="1">IFERROR(__xludf.DUMMYFUNCTION("""COMPUTED_VALUE"""),"OrderTESTING")</f>
        <v>OrderTESTING</v>
      </c>
    </row>
    <row r="112" spans="1:8" ht="13" x14ac:dyDescent="0.15">
      <c r="A112" s="5"/>
      <c r="B112" s="82">
        <f ca="1">IFERROR(__xludf.DUMMYFUNCTION("""COMPUTED_VALUE"""),44637.3954849768)</f>
        <v>44637.395484976798</v>
      </c>
      <c r="C112" s="80" t="str">
        <f ca="1">IFERROR(__xludf.DUMMYFUNCTION("""COMPUTED_VALUE"""),"38093")</f>
        <v>38093</v>
      </c>
      <c r="D112" s="80" t="str">
        <f ca="1">IFERROR(__xludf.DUMMYFUNCTION("""COMPUTED_VALUE"""),"error")</f>
        <v>error</v>
      </c>
      <c r="E112" s="80" t="str">
        <f ca="1">IFERROR(__xludf.DUMMYFUNCTION("""COMPUTED_VALUE"""),"Stock")</f>
        <v>Stock</v>
      </c>
      <c r="F112" s="91">
        <f ca="1">IFERROR(__xludf.DUMMYFUNCTION("""COMPUTED_VALUE"""),2331)</f>
        <v>2331</v>
      </c>
      <c r="G112" s="92">
        <f ca="1">IFERROR(__xludf.DUMMYFUNCTION("""COMPUTED_VALUE"""),40)</f>
        <v>40</v>
      </c>
      <c r="H112" s="93" t="str">
        <f ca="1">IFERROR(__xludf.DUMMYFUNCTION("""COMPUTED_VALUE"""),"Order rejected due to wrong school email account and wrong ticker code. Should be 2331.HK, not 2331 only.")</f>
        <v>Order rejected due to wrong school email account and wrong ticker code. Should be 2331.HK, not 2331 only.</v>
      </c>
    </row>
    <row r="113" spans="1:8" ht="13" x14ac:dyDescent="0.15">
      <c r="A113" s="5"/>
      <c r="B113" s="82">
        <f ca="1">IFERROR(__xludf.DUMMYFUNCTION("""COMPUTED_VALUE"""),44637.39588603)</f>
        <v>44637.395886029997</v>
      </c>
      <c r="C113" s="80" t="str">
        <f ca="1">IFERROR(__xludf.DUMMYFUNCTION("""COMPUTED_VALUE"""),"")</f>
        <v/>
      </c>
      <c r="D113" s="80" t="str">
        <f ca="1">IFERROR(__xludf.DUMMYFUNCTION("""COMPUTED_VALUE"""),"error")</f>
        <v>error</v>
      </c>
      <c r="E113" s="80" t="str">
        <f ca="1">IFERROR(__xludf.DUMMYFUNCTION("""COMPUTED_VALUE"""),"Stock")</f>
        <v>Stock</v>
      </c>
      <c r="F113" s="91" t="str">
        <f ca="1">IFERROR(__xludf.DUMMYFUNCTION("""COMPUTED_VALUE"""),"NIO")</f>
        <v>NIO</v>
      </c>
      <c r="G113" s="92" t="str">
        <f ca="1">IFERROR(__xludf.DUMMYFUNCTION("""COMPUTED_VALUE"""),"Limit Sell @ 55")</f>
        <v>Limit Sell @ 55</v>
      </c>
      <c r="H113" s="93" t="str">
        <f ca="1">IFERROR(__xludf.DUMMYFUNCTION("""COMPUTED_VALUE"""),"Order rejected due to non school account. Also, system detects non number character in Limit price input.")</f>
        <v>Order rejected due to non school account. Also, system detects non number character in Limit price input.</v>
      </c>
    </row>
    <row r="114" spans="1:8" ht="13" x14ac:dyDescent="0.15">
      <c r="A114" s="5"/>
      <c r="B114" s="82">
        <f ca="1">IFERROR(__xludf.DUMMYFUNCTION("""COMPUTED_VALUE"""),44637.4026701736)</f>
        <v>44637.4026701736</v>
      </c>
      <c r="C114" s="80" t="str">
        <f ca="1">IFERROR(__xludf.DUMMYFUNCTION("""COMPUTED_VALUE"""),"35702")</f>
        <v>35702</v>
      </c>
      <c r="D114" s="80" t="str">
        <f ca="1">IFERROR(__xludf.DUMMYFUNCTION("""COMPUTED_VALUE"""),"error")</f>
        <v>error</v>
      </c>
      <c r="E114" s="80" t="str">
        <f ca="1">IFERROR(__xludf.DUMMYFUNCTION("""COMPUTED_VALUE"""),"Stock")</f>
        <v>Stock</v>
      </c>
      <c r="F114" s="91" t="str">
        <f ca="1">IFERROR(__xludf.DUMMYFUNCTION("""COMPUTED_VALUE"""),"TME")</f>
        <v>TME</v>
      </c>
      <c r="G114" s="92" t="str">
        <f ca="1">IFERROR(__xludf.DUMMYFUNCTION("""COMPUTED_VALUE"""),"Limit Sell @ 25")</f>
        <v>Limit Sell @ 25</v>
      </c>
      <c r="H114" s="93" t="str">
        <f ca="1">IFERROR(__xludf.DUMMYFUNCTION("""COMPUTED_VALUE"""),"Order rejected due to non number character in Limit price input.")</f>
        <v>Order rejected due to non number character in Limit price input.</v>
      </c>
    </row>
    <row r="115" spans="1:8" ht="13" x14ac:dyDescent="0.15">
      <c r="A115" s="5"/>
      <c r="B115" s="82">
        <f ca="1">IFERROR(__xludf.DUMMYFUNCTION("""COMPUTED_VALUE"""),44637.409520787)</f>
        <v>44637.409520786998</v>
      </c>
      <c r="C115" s="80" t="str">
        <f ca="1">IFERROR(__xludf.DUMMYFUNCTION("""COMPUTED_VALUE"""),"35702")</f>
        <v>35702</v>
      </c>
      <c r="D115" s="80" t="str">
        <f ca="1">IFERROR(__xludf.DUMMYFUNCTION("""COMPUTED_VALUE"""),"error")</f>
        <v>error</v>
      </c>
      <c r="E115" s="80" t="str">
        <f ca="1">IFERROR(__xludf.DUMMYFUNCTION("""COMPUTED_VALUE"""),"Stock")</f>
        <v>Stock</v>
      </c>
      <c r="F115" s="91" t="str">
        <f ca="1">IFERROR(__xludf.DUMMYFUNCTION("""COMPUTED_VALUE"""),"NIO")</f>
        <v>NIO</v>
      </c>
      <c r="G115" s="92" t="str">
        <f ca="1">IFERROR(__xludf.DUMMYFUNCTION("""COMPUTED_VALUE"""),"Limit Sell @ 55")</f>
        <v>Limit Sell @ 55</v>
      </c>
      <c r="H115" s="93" t="str">
        <f ca="1">IFERROR(__xludf.DUMMYFUNCTION("""COMPUTED_VALUE"""),"Order rejected due to non number character in Limit price input.")</f>
        <v>Order rejected due to non number character in Limit price input.</v>
      </c>
    </row>
    <row r="116" spans="1:8" ht="13" x14ac:dyDescent="0.15">
      <c r="A116" s="5"/>
      <c r="B116" s="82">
        <f ca="1">IFERROR(__xludf.DUMMYFUNCTION("""COMPUTED_VALUE"""),44637.4105720949)</f>
        <v>44637.410572094901</v>
      </c>
      <c r="C116" s="80" t="str">
        <f ca="1">IFERROR(__xludf.DUMMYFUNCTION("""COMPUTED_VALUE"""),"37198")</f>
        <v>37198</v>
      </c>
      <c r="D116" s="80" t="str">
        <f ca="1">IFERROR(__xludf.DUMMYFUNCTION("""COMPUTED_VALUE"""),"error")</f>
        <v>error</v>
      </c>
      <c r="E116" s="80" t="str">
        <f ca="1">IFERROR(__xludf.DUMMYFUNCTION("""COMPUTED_VALUE"""),"Stock")</f>
        <v>Stock</v>
      </c>
      <c r="F116" s="91" t="str">
        <f ca="1">IFERROR(__xludf.DUMMYFUNCTION("""COMPUTED_VALUE"""),"TME")</f>
        <v>TME</v>
      </c>
      <c r="G116" s="92" t="str">
        <f ca="1">IFERROR(__xludf.DUMMYFUNCTION("""COMPUTED_VALUE"""),"Limit Buy @ 4.47")</f>
        <v>Limit Buy @ 4.47</v>
      </c>
      <c r="H116" s="93" t="str">
        <f ca="1">IFERROR(__xludf.DUMMYFUNCTION("""COMPUTED_VALUE"""),"Order rejected due to non number character in Limit price input.")</f>
        <v>Order rejected due to non number character in Limit price input.</v>
      </c>
    </row>
    <row r="117" spans="1:8" ht="13" x14ac:dyDescent="0.15">
      <c r="A117" s="5"/>
      <c r="B117" s="82">
        <f ca="1">IFERROR(__xludf.DUMMYFUNCTION("""COMPUTED_VALUE"""),44637.4517124421)</f>
        <v>44637.451712442104</v>
      </c>
      <c r="C117" s="80" t="str">
        <f ca="1">IFERROR(__xludf.DUMMYFUNCTION("""COMPUTED_VALUE"""),"37198")</f>
        <v>37198</v>
      </c>
      <c r="D117" s="80" t="str">
        <f ca="1">IFERROR(__xludf.DUMMYFUNCTION("""COMPUTED_VALUE"""),"error")</f>
        <v>error</v>
      </c>
      <c r="E117" s="80" t="str">
        <f ca="1">IFERROR(__xludf.DUMMYFUNCTION("""COMPUTED_VALUE"""),"Stock")</f>
        <v>Stock</v>
      </c>
      <c r="F117" s="91" t="str">
        <f ca="1">IFERROR(__xludf.DUMMYFUNCTION("""COMPUTED_VALUE"""),"BNTX")</f>
        <v>BNTX</v>
      </c>
      <c r="G117" s="92" t="str">
        <f ca="1">IFERROR(__xludf.DUMMYFUNCTION("""COMPUTED_VALUE"""),"Limit Buy @ 147.40")</f>
        <v>Limit Buy @ 147.40</v>
      </c>
      <c r="H117" s="93" t="str">
        <f ca="1">IFERROR(__xludf.DUMMYFUNCTION("""COMPUTED_VALUE"""),"Order rejected due to non number character in Limit price input.")</f>
        <v>Order rejected due to non number character in Limit price input.</v>
      </c>
    </row>
    <row r="118" spans="1:8" ht="13" x14ac:dyDescent="0.15">
      <c r="A118" s="5"/>
      <c r="B118" s="82">
        <f ca="1">IFERROR(__xludf.DUMMYFUNCTION("""COMPUTED_VALUE"""),44637.5818184374)</f>
        <v>44637.5818184374</v>
      </c>
      <c r="C118" s="80" t="str">
        <f ca="1">IFERROR(__xludf.DUMMYFUNCTION("""COMPUTED_VALUE"""),"")</f>
        <v/>
      </c>
      <c r="D118" s="80" t="str">
        <f ca="1">IFERROR(__xludf.DUMMYFUNCTION("""COMPUTED_VALUE"""),"error")</f>
        <v>error</v>
      </c>
      <c r="E118" s="80" t="str">
        <f ca="1">IFERROR(__xludf.DUMMYFUNCTION("""COMPUTED_VALUE"""),"Stock")</f>
        <v>Stock</v>
      </c>
      <c r="F118" s="94" t="str">
        <f ca="1">IFERROR(__xludf.DUMMYFUNCTION("""COMPUTED_VALUE"""),"600519.SS")</f>
        <v>600519.SS</v>
      </c>
      <c r="G118" s="92">
        <f ca="1">IFERROR(__xludf.DUMMYFUNCTION("""COMPUTED_VALUE"""),1791)</f>
        <v>1791</v>
      </c>
      <c r="H118" s="93" t="str">
        <f ca="1">IFERROR(__xludf.DUMMYFUNCTION("""COMPUTED_VALUE"""),"Order rejected due to non school email address")</f>
        <v>Order rejected due to non school email address</v>
      </c>
    </row>
    <row r="119" spans="1:8" ht="13" x14ac:dyDescent="0.15">
      <c r="A119" s="5"/>
      <c r="B119" s="82">
        <f ca="1">IFERROR(__xludf.DUMMYFUNCTION("""COMPUTED_VALUE"""),44637.9537586458)</f>
        <v>44637.953758645803</v>
      </c>
      <c r="C119" s="80" t="str">
        <f ca="1">IFERROR(__xludf.DUMMYFUNCTION("""COMPUTED_VALUE"""),"73456")</f>
        <v>73456</v>
      </c>
      <c r="D119" s="80" t="str">
        <f ca="1">IFERROR(__xludf.DUMMYFUNCTION("""COMPUTED_VALUE"""),"error")</f>
        <v>error</v>
      </c>
      <c r="E119" s="80" t="str">
        <f ca="1">IFERROR(__xludf.DUMMYFUNCTION("""COMPUTED_VALUE"""),"Stock")</f>
        <v>Stock</v>
      </c>
      <c r="F119" s="91" t="str">
        <f ca="1">IFERROR(__xludf.DUMMYFUNCTION("""COMPUTED_VALUE"""),"IXHL")</f>
        <v>IXHL</v>
      </c>
      <c r="G119" s="92">
        <f ca="1">IFERROR(__xludf.DUMMYFUNCTION("""COMPUTED_VALUE"""),8)</f>
        <v>8</v>
      </c>
      <c r="H119" s="93" t="str">
        <f ca="1">IFERROR(__xludf.DUMMYFUNCTION("""COMPUTED_VALUE"""),"Order rejected. Account non-exists.")</f>
        <v>Order rejected. Account non-exists.</v>
      </c>
    </row>
    <row r="120" spans="1:8" ht="13" x14ac:dyDescent="0.15">
      <c r="A120" s="5"/>
      <c r="B120" s="82">
        <f ca="1">IFERROR(__xludf.DUMMYFUNCTION("""COMPUTED_VALUE"""),44637.9806451041)</f>
        <v>44637.9806451041</v>
      </c>
      <c r="C120" s="80" t="str">
        <f ca="1">IFERROR(__xludf.DUMMYFUNCTION("""COMPUTED_VALUE"""),"36252")</f>
        <v>36252</v>
      </c>
      <c r="D120" s="80" t="str">
        <f ca="1">IFERROR(__xludf.DUMMYFUNCTION("""COMPUTED_VALUE"""),"error")</f>
        <v>error</v>
      </c>
      <c r="E120" s="80" t="str">
        <f ca="1">IFERROR(__xludf.DUMMYFUNCTION("""COMPUTED_VALUE"""),"Stock")</f>
        <v>Stock</v>
      </c>
      <c r="F120" s="91" t="str">
        <f ca="1">IFERROR(__xludf.DUMMYFUNCTION("""COMPUTED_VALUE"""),"00386")</f>
        <v>00386</v>
      </c>
      <c r="G120" s="92" t="str">
        <f ca="1">IFERROR(__xludf.DUMMYFUNCTION("""COMPUTED_VALUE"""),"Limit Buy @ 3.8 - Closing @ 4.5 = Executed price @ 4.5 . if Closing @ 3.6 = no execution")</f>
        <v>Limit Buy @ 3.8 - Closing @ 4.5 = Executed price @ 4.5 . if Closing @ 3.6 = no execution</v>
      </c>
      <c r="H120" s="93" t="str">
        <f ca="1">IFERROR(__xludf.DUMMYFUNCTION("""COMPUTED_VALUE"""),"Order rejected due to non-numerica characters in limit price input.")</f>
        <v>Order rejected due to non-numerica characters in limit price input.</v>
      </c>
    </row>
    <row r="121" spans="1:8" ht="13" x14ac:dyDescent="0.15">
      <c r="A121" s="5"/>
      <c r="B121" s="82">
        <f ca="1">IFERROR(__xludf.DUMMYFUNCTION("""COMPUTED_VALUE"""),44637.9837011574)</f>
        <v>44637.983701157398</v>
      </c>
      <c r="C121" s="80" t="str">
        <f ca="1">IFERROR(__xludf.DUMMYFUNCTION("""COMPUTED_VALUE"""),"36252")</f>
        <v>36252</v>
      </c>
      <c r="D121" s="80" t="str">
        <f ca="1">IFERROR(__xludf.DUMMYFUNCTION("""COMPUTED_VALUE"""),"error")</f>
        <v>error</v>
      </c>
      <c r="E121" s="80" t="str">
        <f ca="1">IFERROR(__xludf.DUMMYFUNCTION("""COMPUTED_VALUE"""),"Stock")</f>
        <v>Stock</v>
      </c>
      <c r="F121" s="94" t="str">
        <f ca="1">IFERROR(__xludf.DUMMYFUNCTION("""COMPUTED_VALUE"""),"02607.hk")</f>
        <v>02607.hk</v>
      </c>
      <c r="G121" s="92" t="str">
        <f ca="1">IFERROR(__xludf.DUMMYFUNCTION("""COMPUTED_VALUE"""),"Limit Buy @ 18 - Closing @ 18 = Executed price @ 18. if Closing @ 20 = no execution")</f>
        <v>Limit Buy @ 18 - Closing @ 18 = Executed price @ 18. if Closing @ 20 = no execution</v>
      </c>
      <c r="H121" s="93" t="str">
        <f ca="1">IFERROR(__xludf.DUMMYFUNCTION("""COMPUTED_VALUE"""),"Order rejected due to non-numerica characters in limit price input.")</f>
        <v>Order rejected due to non-numerica characters in limit price input.</v>
      </c>
    </row>
    <row r="122" spans="1:8" ht="13" x14ac:dyDescent="0.15">
      <c r="A122" s="5"/>
      <c r="B122" s="82">
        <f ca="1">IFERROR(__xludf.DUMMYFUNCTION("""COMPUTED_VALUE"""),44638.6973860995)</f>
        <v>44638.697386099499</v>
      </c>
      <c r="C122" s="80" t="str">
        <f ca="1">IFERROR(__xludf.DUMMYFUNCTION("""COMPUTED_VALUE"""),"36252")</f>
        <v>36252</v>
      </c>
      <c r="D122" s="80" t="str">
        <f ca="1">IFERROR(__xludf.DUMMYFUNCTION("""COMPUTED_VALUE"""),"error")</f>
        <v>error</v>
      </c>
      <c r="E122" s="80" t="str">
        <f ca="1">IFERROR(__xludf.DUMMYFUNCTION("""COMPUTED_VALUE"""),"Stock")</f>
        <v>Stock</v>
      </c>
      <c r="F122" s="94" t="str">
        <f ca="1">IFERROR(__xludf.DUMMYFUNCTION("""COMPUTED_VALUE"""),"00386.hk")</f>
        <v>00386.hk</v>
      </c>
      <c r="G122" s="92"/>
      <c r="H122" s="93" t="str">
        <f ca="1">IFERROR(__xludf.DUMMYFUNCTION("""COMPUTED_VALUE"""),"Rejected due to wrong ticker code.")</f>
        <v>Rejected due to wrong ticker code.</v>
      </c>
    </row>
    <row r="123" spans="1:8" ht="13" x14ac:dyDescent="0.15">
      <c r="A123" s="5"/>
      <c r="B123" s="82">
        <f ca="1">IFERROR(__xludf.DUMMYFUNCTION("""COMPUTED_VALUE"""),44638.7046978125)</f>
        <v>44638.7046978125</v>
      </c>
      <c r="C123" s="80" t="str">
        <f ca="1">IFERROR(__xludf.DUMMYFUNCTION("""COMPUTED_VALUE"""),"36252")</f>
        <v>36252</v>
      </c>
      <c r="D123" s="80" t="str">
        <f ca="1">IFERROR(__xludf.DUMMYFUNCTION("""COMPUTED_VALUE"""),"error")</f>
        <v>error</v>
      </c>
      <c r="E123" s="80" t="str">
        <f ca="1">IFERROR(__xludf.DUMMYFUNCTION("""COMPUTED_VALUE"""),"Stock")</f>
        <v>Stock</v>
      </c>
      <c r="F123" s="94" t="str">
        <f ca="1">IFERROR(__xludf.DUMMYFUNCTION("""COMPUTED_VALUE"""),"02607.hk")</f>
        <v>02607.hk</v>
      </c>
      <c r="G123" s="92"/>
      <c r="H123" s="93" t="str">
        <f ca="1">IFERROR(__xludf.DUMMYFUNCTION("""COMPUTED_VALUE"""),"Rejected due to wrong ticker code.")</f>
        <v>Rejected due to wrong ticker code.</v>
      </c>
    </row>
    <row r="124" spans="1:8" ht="13" x14ac:dyDescent="0.15">
      <c r="A124" s="5"/>
      <c r="B124" s="82">
        <f ca="1">IFERROR(__xludf.DUMMYFUNCTION("""COMPUTED_VALUE"""),44639.9899030439)</f>
        <v>44639.989903043897</v>
      </c>
      <c r="C124" s="80" t="str">
        <f ca="1">IFERROR(__xludf.DUMMYFUNCTION("""COMPUTED_VALUE"""),"40433")</f>
        <v>40433</v>
      </c>
      <c r="D124" s="80" t="str">
        <f ca="1">IFERROR(__xludf.DUMMYFUNCTION("""COMPUTED_VALUE"""),"error")</f>
        <v>error</v>
      </c>
      <c r="E124" s="80" t="str">
        <f ca="1">IFERROR(__xludf.DUMMYFUNCTION("""COMPUTED_VALUE"""),"Option")</f>
        <v>Option</v>
      </c>
      <c r="F124" s="91" t="str">
        <f ca="1">IFERROR(__xludf.DUMMYFUNCTION("""COMPUTED_VALUE"""),"GC=F")</f>
        <v>GC=F</v>
      </c>
      <c r="G124" s="92">
        <f ca="1">IFERROR(__xludf.DUMMYFUNCTION("""COMPUTED_VALUE"""),1905)</f>
        <v>1905</v>
      </c>
      <c r="H124" s="93"/>
    </row>
    <row r="125" spans="1:8" ht="13" x14ac:dyDescent="0.15">
      <c r="A125" s="5"/>
      <c r="B125" s="82">
        <f ca="1">IFERROR(__xludf.DUMMYFUNCTION("""COMPUTED_VALUE"""),44640.0449960879)</f>
        <v>44640.044996087898</v>
      </c>
      <c r="C125" s="80" t="str">
        <f ca="1">IFERROR(__xludf.DUMMYFUNCTION("""COMPUTED_VALUE"""),"14626")</f>
        <v>14626</v>
      </c>
      <c r="D125" s="80" t="str">
        <f ca="1">IFERROR(__xludf.DUMMYFUNCTION("""COMPUTED_VALUE"""),"error")</f>
        <v>error</v>
      </c>
      <c r="E125" s="80" t="str">
        <f ca="1">IFERROR(__xludf.DUMMYFUNCTION("""COMPUTED_VALUE"""),"Stock")</f>
        <v>Stock</v>
      </c>
      <c r="F125" s="91" t="str">
        <f ca="1">IFERROR(__xludf.DUMMYFUNCTION("""COMPUTED_VALUE"""),"^IXIC")</f>
        <v>^IXIC</v>
      </c>
      <c r="G125" s="92"/>
      <c r="H125" s="93" t="str">
        <f ca="1">IFERROR(__xludf.DUMMYFUNCTION("""COMPUTED_VALUE"""),"Order rejected preliminary, based on insufficient fund - SPX index * 7.85 &gt; initial capital")</f>
        <v>Order rejected preliminary, based on insufficient fund - SPX index * 7.85 &gt; initial capital</v>
      </c>
    </row>
    <row r="126" spans="1:8" ht="13" x14ac:dyDescent="0.15">
      <c r="A126" s="5"/>
      <c r="B126" s="82">
        <f ca="1">IFERROR(__xludf.DUMMYFUNCTION("""COMPUTED_VALUE"""),44640.0478640972)</f>
        <v>44640.0478640972</v>
      </c>
      <c r="C126" s="80" t="str">
        <f ca="1">IFERROR(__xludf.DUMMYFUNCTION("""COMPUTED_VALUE"""),"14626")</f>
        <v>14626</v>
      </c>
      <c r="D126" s="80" t="str">
        <f ca="1">IFERROR(__xludf.DUMMYFUNCTION("""COMPUTED_VALUE"""),"error")</f>
        <v>error</v>
      </c>
      <c r="E126" s="80" t="str">
        <f ca="1">IFERROR(__xludf.DUMMYFUNCTION("""COMPUTED_VALUE"""),"Stock")</f>
        <v>Stock</v>
      </c>
      <c r="F126" s="91" t="str">
        <f ca="1">IFERROR(__xludf.DUMMYFUNCTION("""COMPUTED_VALUE"""),"^RUT")</f>
        <v>^RUT</v>
      </c>
      <c r="G126" s="92">
        <f ca="1">IFERROR(__xludf.DUMMYFUNCTION("""COMPUTED_VALUE"""),1000)</f>
        <v>1000</v>
      </c>
      <c r="H126" s="93" t="str">
        <f ca="1">IFERROR(__xludf.DUMMYFUNCTION("""COMPUTED_VALUE"""),"Order rejected preliminary, based on insufficient fund - R2000 index * 7.85 &gt; initial capital")</f>
        <v>Order rejected preliminary, based on insufficient fund - R2000 index * 7.85 &gt; initial capital</v>
      </c>
    </row>
    <row r="127" spans="1:8" ht="13" x14ac:dyDescent="0.15">
      <c r="A127" s="5"/>
      <c r="B127" s="82">
        <f ca="1">IFERROR(__xludf.DUMMYFUNCTION("""COMPUTED_VALUE"""),44640.1103913888)</f>
        <v>44640.1103913888</v>
      </c>
      <c r="C127" s="80" t="str">
        <f ca="1">IFERROR(__xludf.DUMMYFUNCTION("""COMPUTED_VALUE"""),"14626")</f>
        <v>14626</v>
      </c>
      <c r="D127" s="80" t="str">
        <f ca="1">IFERROR(__xludf.DUMMYFUNCTION("""COMPUTED_VALUE"""),"error")</f>
        <v>error</v>
      </c>
      <c r="E127" s="80" t="str">
        <f ca="1">IFERROR(__xludf.DUMMYFUNCTION("""COMPUTED_VALUE"""),"Stock")</f>
        <v>Stock</v>
      </c>
      <c r="F127" s="91" t="str">
        <f ca="1">IFERROR(__xludf.DUMMYFUNCTION("""COMPUTED_VALUE"""),"BTC-USD")</f>
        <v>BTC-USD</v>
      </c>
      <c r="G127" s="92"/>
      <c r="H127" s="93" t="str">
        <f ca="1">IFERROR(__xludf.DUMMYFUNCTION("""COMPUTED_VALUE"""),"Order rejected preliminary due to insufficient cash")</f>
        <v>Order rejected preliminary due to insufficient cash</v>
      </c>
    </row>
    <row r="128" spans="1:8" ht="13" x14ac:dyDescent="0.15">
      <c r="A128" s="5"/>
      <c r="B128" s="82">
        <f ca="1">IFERROR(__xludf.DUMMYFUNCTION("""COMPUTED_VALUE"""),44640.6068574189)</f>
        <v>44640.606857418898</v>
      </c>
      <c r="C128" s="80" t="str">
        <f ca="1">IFERROR(__xludf.DUMMYFUNCTION("""COMPUTED_VALUE"""),"73341")</f>
        <v>73341</v>
      </c>
      <c r="D128" s="80" t="str">
        <f ca="1">IFERROR(__xludf.DUMMYFUNCTION("""COMPUTED_VALUE"""),"error")</f>
        <v>error</v>
      </c>
      <c r="E128" s="80" t="str">
        <f ca="1">IFERROR(__xludf.DUMMYFUNCTION("""COMPUTED_VALUE"""),"Stock")</f>
        <v>Stock</v>
      </c>
      <c r="F128" s="91" t="str">
        <f ca="1">IFERROR(__xludf.DUMMYFUNCTION("""COMPUTED_VALUE"""),"00700")</f>
        <v>00700</v>
      </c>
      <c r="G128" s="92">
        <f ca="1">IFERROR(__xludf.DUMMYFUNCTION("""COMPUTED_VALUE"""),90)</f>
        <v>90</v>
      </c>
      <c r="H128" s="93"/>
    </row>
    <row r="129" spans="1:8" ht="13" x14ac:dyDescent="0.15">
      <c r="A129" s="5"/>
      <c r="B129" s="82">
        <f ca="1">IFERROR(__xludf.DUMMYFUNCTION("""COMPUTED_VALUE"""),44640.8929127314)</f>
        <v>44640.892912731397</v>
      </c>
      <c r="C129" s="80" t="str">
        <f ca="1">IFERROR(__xludf.DUMMYFUNCTION("""COMPUTED_VALUE"""),"95516")</f>
        <v>95516</v>
      </c>
      <c r="D129" s="80" t="str">
        <f ca="1">IFERROR(__xludf.DUMMYFUNCTION("""COMPUTED_VALUE"""),"error")</f>
        <v>error</v>
      </c>
      <c r="E129" s="80" t="str">
        <f ca="1">IFERROR(__xludf.DUMMYFUNCTION("""COMPUTED_VALUE"""),"Stock")</f>
        <v>Stock</v>
      </c>
      <c r="F129" s="94" t="str">
        <f ca="1">IFERROR(__xludf.DUMMYFUNCTION("""COMPUTED_VALUE"""),"9988.HK")</f>
        <v>9988.HK</v>
      </c>
      <c r="G129" s="92"/>
      <c r="H129" s="93" t="str">
        <f ca="1">IFERROR(__xludf.DUMMYFUNCTION("""COMPUTED_VALUE"""),"Order rejected due to wrong password")</f>
        <v>Order rejected due to wrong password</v>
      </c>
    </row>
    <row r="130" spans="1:8" ht="13" x14ac:dyDescent="0.15">
      <c r="A130" s="5"/>
      <c r="B130" s="82">
        <f ca="1">IFERROR(__xludf.DUMMYFUNCTION("""COMPUTED_VALUE"""),44640.9317770486)</f>
        <v>44640.931777048601</v>
      </c>
      <c r="C130" s="80" t="str">
        <f ca="1">IFERROR(__xludf.DUMMYFUNCTION("""COMPUTED_VALUE"""),"56118")</f>
        <v>56118</v>
      </c>
      <c r="D130" s="80" t="str">
        <f ca="1">IFERROR(__xludf.DUMMYFUNCTION("""COMPUTED_VALUE"""),"error")</f>
        <v>error</v>
      </c>
      <c r="E130" s="80" t="str">
        <f ca="1">IFERROR(__xludf.DUMMYFUNCTION("""COMPUTED_VALUE"""),"Stock")</f>
        <v>Stock</v>
      </c>
      <c r="F130" s="91">
        <f ca="1">IFERROR(__xludf.DUMMYFUNCTION("""COMPUTED_VALUE"""),56118)</f>
        <v>56118</v>
      </c>
      <c r="G130" s="92">
        <f ca="1">IFERROR(__xludf.DUMMYFUNCTION("""COMPUTED_VALUE"""),335)</f>
        <v>335</v>
      </c>
      <c r="H130" s="93" t="str">
        <f ca="1">IFERROR(__xludf.DUMMYFUNCTION("""COMPUTED_VALUE"""),"Order rejected due to wrong ticker code.")</f>
        <v>Order rejected due to wrong ticker code.</v>
      </c>
    </row>
    <row r="131" spans="1:8" ht="13" x14ac:dyDescent="0.15">
      <c r="A131" s="5"/>
      <c r="B131" s="82">
        <f ca="1">IFERROR(__xludf.DUMMYFUNCTION("""COMPUTED_VALUE"""),44641.3471624189)</f>
        <v>44641.347162418897</v>
      </c>
      <c r="C131" s="80" t="str">
        <f ca="1">IFERROR(__xludf.DUMMYFUNCTION("""COMPUTED_VALUE"""),"69930")</f>
        <v>69930</v>
      </c>
      <c r="D131" s="80" t="str">
        <f ca="1">IFERROR(__xludf.DUMMYFUNCTION("""COMPUTED_VALUE"""),"error")</f>
        <v>error</v>
      </c>
      <c r="E131" s="80" t="str">
        <f ca="1">IFERROR(__xludf.DUMMYFUNCTION("""COMPUTED_VALUE"""),"Stock")</f>
        <v>Stock</v>
      </c>
      <c r="F131" s="91" t="str">
        <f ca="1">IFERROR(__xludf.DUMMYFUNCTION("""COMPUTED_VALUE"""),"(002759.SZ)")</f>
        <v>(002759.SZ)</v>
      </c>
      <c r="G131" s="92" t="str">
        <f ca="1">IFERROR(__xludf.DUMMYFUNCTION("""COMPUTED_VALUE"""),"￥30.15")</f>
        <v>￥30.15</v>
      </c>
      <c r="H131" s="93" t="str">
        <f ca="1">IFERROR(__xludf.DUMMYFUNCTION("""COMPUTED_VALUE"""),"Order rejected due to wrong password")</f>
        <v>Order rejected due to wrong password</v>
      </c>
    </row>
    <row r="132" spans="1:8" ht="13" x14ac:dyDescent="0.15">
      <c r="A132" s="5"/>
      <c r="B132" s="82">
        <f ca="1">IFERROR(__xludf.DUMMYFUNCTION("""COMPUTED_VALUE"""),44641.3571240046)</f>
        <v>44641.3571240046</v>
      </c>
      <c r="C132" s="80" t="str">
        <f ca="1">IFERROR(__xludf.DUMMYFUNCTION("""COMPUTED_VALUE"""),"69930")</f>
        <v>69930</v>
      </c>
      <c r="D132" s="80" t="str">
        <f ca="1">IFERROR(__xludf.DUMMYFUNCTION("""COMPUTED_VALUE"""),"error")</f>
        <v>error</v>
      </c>
      <c r="E132" s="80" t="str">
        <f ca="1">IFERROR(__xludf.DUMMYFUNCTION("""COMPUTED_VALUE"""),"Stock")</f>
        <v>Stock</v>
      </c>
      <c r="F132" s="91" t="str">
        <f ca="1">IFERROR(__xludf.DUMMYFUNCTION("""COMPUTED_VALUE""")," (000002.SZ)")</f>
        <v xml:space="preserve"> (000002.SZ)</v>
      </c>
      <c r="G132" s="92" t="str">
        <f ca="1">IFERROR(__xludf.DUMMYFUNCTION("""COMPUTED_VALUE"""),"￥18.30")</f>
        <v>￥18.30</v>
      </c>
      <c r="H132" s="93" t="str">
        <f ca="1">IFERROR(__xludf.DUMMYFUNCTION("""COMPUTED_VALUE"""),"Order rejected due to wrong password")</f>
        <v>Order rejected due to wrong password</v>
      </c>
    </row>
    <row r="133" spans="1:8" ht="13" x14ac:dyDescent="0.15">
      <c r="A133" s="5"/>
      <c r="B133" s="82">
        <f ca="1">IFERROR(__xludf.DUMMYFUNCTION("""COMPUTED_VALUE"""),44641.5091752546)</f>
        <v>44641.5091752546</v>
      </c>
      <c r="C133" s="80" t="str">
        <f ca="1">IFERROR(__xludf.DUMMYFUNCTION("""COMPUTED_VALUE"""),"")</f>
        <v/>
      </c>
      <c r="D133" s="80" t="str">
        <f ca="1">IFERROR(__xludf.DUMMYFUNCTION("""COMPUTED_VALUE"""),"error")</f>
        <v>error</v>
      </c>
      <c r="E133" s="80" t="str">
        <f ca="1">IFERROR(__xludf.DUMMYFUNCTION("""COMPUTED_VALUE"""),"Stock")</f>
        <v>Stock</v>
      </c>
      <c r="F133" s="91">
        <f ca="1">IFERROR(__xludf.DUMMYFUNCTION("""COMPUTED_VALUE"""),2820)</f>
        <v>2820</v>
      </c>
      <c r="G133" s="92"/>
      <c r="H133" s="93" t="str">
        <f ca="1">IFERROR(__xludf.DUMMYFUNCTION("""COMPUTED_VALUE"""),"Order rejected due to wrong ticker code and password.")</f>
        <v>Order rejected due to wrong ticker code and password.</v>
      </c>
    </row>
    <row r="134" spans="1:8" ht="13" x14ac:dyDescent="0.15">
      <c r="A134" s="5"/>
      <c r="B134" s="82">
        <f ca="1">IFERROR(__xludf.DUMMYFUNCTION("""COMPUTED_VALUE"""),44642.6851445023)</f>
        <v>44642.685144502298</v>
      </c>
      <c r="C134" s="80" t="str">
        <f ca="1">IFERROR(__xludf.DUMMYFUNCTION("""COMPUTED_VALUE"""),"")</f>
        <v/>
      </c>
      <c r="D134" s="80" t="str">
        <f ca="1">IFERROR(__xludf.DUMMYFUNCTION("""COMPUTED_VALUE"""),"error")</f>
        <v>error</v>
      </c>
      <c r="E134" s="80" t="str">
        <f ca="1">IFERROR(__xludf.DUMMYFUNCTION("""COMPUTED_VALUE"""),"Stock")</f>
        <v>Stock</v>
      </c>
      <c r="F134" s="94" t="str">
        <f ca="1">IFERROR(__xludf.DUMMYFUNCTION("""COMPUTED_VALUE"""),"1810.hk")</f>
        <v>1810.hk</v>
      </c>
      <c r="G134" s="92"/>
      <c r="H134" s="93" t="str">
        <f ca="1">IFERROR(__xludf.DUMMYFUNCTION("""COMPUTED_VALUE"""),"Order rejected due to non school email address and wrong quantity (input = 20units, should be 20)")</f>
        <v>Order rejected due to non school email address and wrong quantity (input = 20units, should be 20)</v>
      </c>
    </row>
    <row r="135" spans="1:8" ht="13" x14ac:dyDescent="0.15">
      <c r="A135" s="5"/>
      <c r="B135" s="82">
        <f ca="1">IFERROR(__xludf.DUMMYFUNCTION("""COMPUTED_VALUE"""),44642.8083915972)</f>
        <v>44642.808391597202</v>
      </c>
      <c r="C135" s="80" t="str">
        <f ca="1">IFERROR(__xludf.DUMMYFUNCTION("""COMPUTED_VALUE"""),"")</f>
        <v/>
      </c>
      <c r="D135" s="80" t="str">
        <f ca="1">IFERROR(__xludf.DUMMYFUNCTION("""COMPUTED_VALUE"""),"error")</f>
        <v>error</v>
      </c>
      <c r="E135" s="80" t="str">
        <f ca="1">IFERROR(__xludf.DUMMYFUNCTION("""COMPUTED_VALUE"""),"Stock")</f>
        <v>Stock</v>
      </c>
      <c r="F135" s="91" t="str">
        <f ca="1">IFERROR(__xludf.DUMMYFUNCTION("""COMPUTED_VALUE"""),"00386")</f>
        <v>00386</v>
      </c>
      <c r="G135" s="92">
        <f ca="1">IFERROR(__xludf.DUMMYFUNCTION("""COMPUTED_VALUE"""),3.75)</f>
        <v>3.75</v>
      </c>
      <c r="H135" s="93" t="str">
        <f ca="1">IFERROR(__xludf.DUMMYFUNCTION("""COMPUTED_VALUE"""),"Order rejected due to non school email address and wrong ticker code")</f>
        <v>Order rejected due to non school email address and wrong ticker code</v>
      </c>
    </row>
    <row r="136" spans="1:8" ht="13" x14ac:dyDescent="0.15">
      <c r="A136" s="5"/>
      <c r="B136" s="82">
        <f ca="1">IFERROR(__xludf.DUMMYFUNCTION("""COMPUTED_VALUE"""),44642.8183440972)</f>
        <v>44642.818344097199</v>
      </c>
      <c r="C136" s="80" t="str">
        <f ca="1">IFERROR(__xludf.DUMMYFUNCTION("""COMPUTED_VALUE"""),"")</f>
        <v/>
      </c>
      <c r="D136" s="80" t="str">
        <f ca="1">IFERROR(__xludf.DUMMYFUNCTION("""COMPUTED_VALUE"""),"error")</f>
        <v>error</v>
      </c>
      <c r="E136" s="80" t="str">
        <f ca="1">IFERROR(__xludf.DUMMYFUNCTION("""COMPUTED_VALUE"""),"Stock")</f>
        <v>Stock</v>
      </c>
      <c r="F136" s="91" t="str">
        <f ca="1">IFERROR(__xludf.DUMMYFUNCTION("""COMPUTED_VALUE"""),"09988")</f>
        <v>09988</v>
      </c>
      <c r="G136" s="92">
        <f ca="1">IFERROR(__xludf.DUMMYFUNCTION("""COMPUTED_VALUE"""),110.3)</f>
        <v>110.3</v>
      </c>
      <c r="H136" s="93" t="str">
        <f ca="1">IFERROR(__xludf.DUMMYFUNCTION("""COMPUTED_VALUE"""),"Order rejected due to non school email address and wrong ticker code")</f>
        <v>Order rejected due to non school email address and wrong ticker code</v>
      </c>
    </row>
    <row r="137" spans="1:8" ht="13" x14ac:dyDescent="0.15">
      <c r="A137" s="5"/>
      <c r="B137" s="82">
        <f ca="1">IFERROR(__xludf.DUMMYFUNCTION("""COMPUTED_VALUE"""),44642.8217857638)</f>
        <v>44642.821785763801</v>
      </c>
      <c r="C137" s="80" t="str">
        <f ca="1">IFERROR(__xludf.DUMMYFUNCTION("""COMPUTED_VALUE"""),"")</f>
        <v/>
      </c>
      <c r="D137" s="80" t="str">
        <f ca="1">IFERROR(__xludf.DUMMYFUNCTION("""COMPUTED_VALUE"""),"error")</f>
        <v>error</v>
      </c>
      <c r="E137" s="80" t="str">
        <f ca="1">IFERROR(__xludf.DUMMYFUNCTION("""COMPUTED_VALUE"""),"Stock")</f>
        <v>Stock</v>
      </c>
      <c r="F137" s="91" t="str">
        <f ca="1">IFERROR(__xludf.DUMMYFUNCTION("""COMPUTED_VALUE"""),"0883")</f>
        <v>0883</v>
      </c>
      <c r="G137" s="92">
        <f ca="1">IFERROR(__xludf.DUMMYFUNCTION("""COMPUTED_VALUE"""),10.15)</f>
        <v>10.15</v>
      </c>
      <c r="H137" s="93" t="str">
        <f ca="1">IFERROR(__xludf.DUMMYFUNCTION("""COMPUTED_VALUE"""),"Order rejected due to non school email address and wrong ticker code")</f>
        <v>Order rejected due to non school email address and wrong ticker code</v>
      </c>
    </row>
    <row r="138" spans="1:8" ht="13" x14ac:dyDescent="0.15">
      <c r="A138" s="5"/>
      <c r="B138" s="82">
        <f ca="1">IFERROR(__xludf.DUMMYFUNCTION("""COMPUTED_VALUE"""),44642.8338403703)</f>
        <v>44642.833840370302</v>
      </c>
      <c r="C138" s="80" t="str">
        <f ca="1">IFERROR(__xludf.DUMMYFUNCTION("""COMPUTED_VALUE"""),"")</f>
        <v/>
      </c>
      <c r="D138" s="80" t="str">
        <f ca="1">IFERROR(__xludf.DUMMYFUNCTION("""COMPUTED_VALUE"""),"error")</f>
        <v>error</v>
      </c>
      <c r="E138" s="80" t="str">
        <f ca="1">IFERROR(__xludf.DUMMYFUNCTION("""COMPUTED_VALUE"""),"Stock")</f>
        <v>Stock</v>
      </c>
      <c r="F138" s="91">
        <f ca="1">IFERROR(__xludf.DUMMYFUNCTION("""COMPUTED_VALUE"""),1810)</f>
        <v>1810</v>
      </c>
      <c r="G138" s="92">
        <f ca="1">IFERROR(__xludf.DUMMYFUNCTION("""COMPUTED_VALUE"""),14.2)</f>
        <v>14.2</v>
      </c>
      <c r="H138" s="93" t="str">
        <f ca="1">IFERROR(__xludf.DUMMYFUNCTION("""COMPUTED_VALUE"""),"Order rejected due to non school email address and wrong ticker code")</f>
        <v>Order rejected due to non school email address and wrong ticker code</v>
      </c>
    </row>
    <row r="139" spans="1:8" ht="13" x14ac:dyDescent="0.15">
      <c r="A139" s="5"/>
      <c r="B139" s="82">
        <f ca="1">IFERROR(__xludf.DUMMYFUNCTION("""COMPUTED_VALUE"""),44643.4372391319)</f>
        <v>44643.437239131898</v>
      </c>
      <c r="C139" s="80" t="str">
        <f ca="1">IFERROR(__xludf.DUMMYFUNCTION("""COMPUTED_VALUE"""),"39704")</f>
        <v>39704</v>
      </c>
      <c r="D139" s="80" t="str">
        <f ca="1">IFERROR(__xludf.DUMMYFUNCTION("""COMPUTED_VALUE"""),"error")</f>
        <v>error</v>
      </c>
      <c r="E139" s="80" t="str">
        <f ca="1">IFERROR(__xludf.DUMMYFUNCTION("""COMPUTED_VALUE"""),"Stock")</f>
        <v>Stock</v>
      </c>
      <c r="F139" s="91" t="str">
        <f ca="1">IFERROR(__xludf.DUMMYFUNCTION("""COMPUTED_VALUE"""),"PYPL.O")</f>
        <v>PYPL.O</v>
      </c>
      <c r="G139" s="92"/>
      <c r="H139" s="93" t="str">
        <f ca="1">IFERROR(__xludf.DUMMYFUNCTION("""COMPUTED_VALUE"""),"Order rejected due to wrong ticker code")</f>
        <v>Order rejected due to wrong ticker code</v>
      </c>
    </row>
    <row r="140" spans="1:8" ht="13" x14ac:dyDescent="0.15">
      <c r="A140" s="5"/>
      <c r="B140" s="82">
        <f ca="1">IFERROR(__xludf.DUMMYFUNCTION("""COMPUTED_VALUE"""),44643.463761412)</f>
        <v>44643.463761412</v>
      </c>
      <c r="C140" s="80" t="str">
        <f ca="1">IFERROR(__xludf.DUMMYFUNCTION("""COMPUTED_VALUE"""),"")</f>
        <v/>
      </c>
      <c r="D140" s="80" t="str">
        <f ca="1">IFERROR(__xludf.DUMMYFUNCTION("""COMPUTED_VALUE"""),"error")</f>
        <v>error</v>
      </c>
      <c r="E140" s="80" t="str">
        <f ca="1">IFERROR(__xludf.DUMMYFUNCTION("""COMPUTED_VALUE"""),"Stock")</f>
        <v>Stock</v>
      </c>
      <c r="F140" s="91" t="str">
        <f ca="1">IFERROR(__xludf.DUMMYFUNCTION("""COMPUTED_VALUE"""),"01882")</f>
        <v>01882</v>
      </c>
      <c r="G140" s="92">
        <f ca="1">IFERROR(__xludf.DUMMYFUNCTION("""COMPUTED_VALUE"""),19)</f>
        <v>19</v>
      </c>
      <c r="H140" s="93" t="str">
        <f ca="1">IFERROR(__xludf.DUMMYFUNCTION("""COMPUTED_VALUE"""),"Order rejected due to wrong ticker code and non school email account")</f>
        <v>Order rejected due to wrong ticker code and non school email account</v>
      </c>
    </row>
    <row r="141" spans="1:8" ht="13" x14ac:dyDescent="0.15">
      <c r="A141" s="5"/>
      <c r="B141" s="82">
        <f ca="1">IFERROR(__xludf.DUMMYFUNCTION("""COMPUTED_VALUE"""),44643.4761440856)</f>
        <v>44643.476144085602</v>
      </c>
      <c r="C141" s="80" t="str">
        <f ca="1">IFERROR(__xludf.DUMMYFUNCTION("""COMPUTED_VALUE"""),"")</f>
        <v/>
      </c>
      <c r="D141" s="80" t="str">
        <f ca="1">IFERROR(__xludf.DUMMYFUNCTION("""COMPUTED_VALUE"""),"error")</f>
        <v>error</v>
      </c>
      <c r="E141" s="80" t="str">
        <f ca="1">IFERROR(__xludf.DUMMYFUNCTION("""COMPUTED_VALUE"""),"Stock")</f>
        <v>Stock</v>
      </c>
      <c r="F141" s="91" t="str">
        <f ca="1">IFERROR(__xludf.DUMMYFUNCTION("""COMPUTED_VALUE"""),"BA")</f>
        <v>BA</v>
      </c>
      <c r="G141" s="92">
        <f ca="1">IFERROR(__xludf.DUMMYFUNCTION("""COMPUTED_VALUE"""),188)</f>
        <v>188</v>
      </c>
      <c r="H141" s="93" t="str">
        <f ca="1">IFERROR(__xludf.DUMMYFUNCTION("""COMPUTED_VALUE"""),"Order rejected due to wrong ticker code and non school email account")</f>
        <v>Order rejected due to wrong ticker code and non school email account</v>
      </c>
    </row>
    <row r="142" spans="1:8" ht="13" x14ac:dyDescent="0.15">
      <c r="A142" s="5"/>
      <c r="B142" s="82">
        <f ca="1">IFERROR(__xludf.DUMMYFUNCTION("""COMPUTED_VALUE"""),44643.4992442476)</f>
        <v>44643.4992442476</v>
      </c>
      <c r="C142" s="80" t="str">
        <f ca="1">IFERROR(__xludf.DUMMYFUNCTION("""COMPUTED_VALUE"""),"36242")</f>
        <v>36242</v>
      </c>
      <c r="D142" s="80" t="str">
        <f ca="1">IFERROR(__xludf.DUMMYFUNCTION("""COMPUTED_VALUE"""),"error")</f>
        <v>error</v>
      </c>
      <c r="E142" s="80" t="str">
        <f ca="1">IFERROR(__xludf.DUMMYFUNCTION("""COMPUTED_VALUE"""),"Stock")</f>
        <v>Stock</v>
      </c>
      <c r="F142" s="91" t="str">
        <f ca="1">IFERROR(__xludf.DUMMYFUNCTION("""COMPUTED_VALUE"""),"01882")</f>
        <v>01882</v>
      </c>
      <c r="G142" s="92">
        <f ca="1">IFERROR(__xludf.DUMMYFUNCTION("""COMPUTED_VALUE"""),20)</f>
        <v>20</v>
      </c>
      <c r="H142" s="93"/>
    </row>
    <row r="143" spans="1:8" ht="13" x14ac:dyDescent="0.15">
      <c r="A143" s="5"/>
      <c r="B143" s="82">
        <f ca="1">IFERROR(__xludf.DUMMYFUNCTION("""COMPUTED_VALUE"""),44643.5579837847)</f>
        <v>44643.557983784704</v>
      </c>
      <c r="C143" s="80" t="str">
        <f ca="1">IFERROR(__xludf.DUMMYFUNCTION("""COMPUTED_VALUE"""),"35702")</f>
        <v>35702</v>
      </c>
      <c r="D143" s="80" t="str">
        <f ca="1">IFERROR(__xludf.DUMMYFUNCTION("""COMPUTED_VALUE"""),"error")</f>
        <v>error</v>
      </c>
      <c r="E143" s="80" t="str">
        <f ca="1">IFERROR(__xludf.DUMMYFUNCTION("""COMPUTED_VALUE"""),"Stock")</f>
        <v>Stock</v>
      </c>
      <c r="F143" s="91">
        <f ca="1">IFERROR(__xludf.DUMMYFUNCTION("""COMPUTED_VALUE"""),600522)</f>
        <v>600522</v>
      </c>
      <c r="G143" s="92"/>
      <c r="H143" s="93"/>
    </row>
    <row r="144" spans="1:8" ht="13" x14ac:dyDescent="0.15">
      <c r="A144" s="5"/>
      <c r="B144" s="82">
        <f ca="1">IFERROR(__xludf.DUMMYFUNCTION("""COMPUTED_VALUE"""),44643.5994385069)</f>
        <v>44643.599438506899</v>
      </c>
      <c r="C144" s="80" t="str">
        <f ca="1">IFERROR(__xludf.DUMMYFUNCTION("""COMPUTED_VALUE"""),"")</f>
        <v/>
      </c>
      <c r="D144" s="80" t="str">
        <f ca="1">IFERROR(__xludf.DUMMYFUNCTION("""COMPUTED_VALUE"""),"error")</f>
        <v>error</v>
      </c>
      <c r="E144" s="80" t="str">
        <f ca="1">IFERROR(__xludf.DUMMYFUNCTION("""COMPUTED_VALUE"""),"Stock")</f>
        <v>Stock</v>
      </c>
      <c r="F144" s="94" t="str">
        <f ca="1">IFERROR(__xludf.DUMMYFUNCTION("""COMPUTED_VALUE"""),"1024.HK")</f>
        <v>1024.HK</v>
      </c>
      <c r="G144" s="92">
        <f ca="1">IFERROR(__xludf.DUMMYFUNCTION("""COMPUTED_VALUE"""),80)</f>
        <v>80</v>
      </c>
      <c r="H144" s="93" t="str">
        <f ca="1">IFERROR(__xludf.DUMMYFUNCTION("""COMPUTED_VALUE"""),"Order rejected due to wrong ticker code and non school email account")</f>
        <v>Order rejected due to wrong ticker code and non school email account</v>
      </c>
    </row>
    <row r="145" spans="1:8" ht="13" x14ac:dyDescent="0.15">
      <c r="A145" s="5"/>
      <c r="B145" s="82">
        <f ca="1">IFERROR(__xludf.DUMMYFUNCTION("""COMPUTED_VALUE"""),44643.6000754282)</f>
        <v>44643.600075428199</v>
      </c>
      <c r="C145" s="80" t="str">
        <f ca="1">IFERROR(__xludf.DUMMYFUNCTION("""COMPUTED_VALUE"""),"")</f>
        <v/>
      </c>
      <c r="D145" s="80" t="str">
        <f ca="1">IFERROR(__xludf.DUMMYFUNCTION("""COMPUTED_VALUE"""),"error")</f>
        <v>error</v>
      </c>
      <c r="E145" s="80" t="str">
        <f ca="1">IFERROR(__xludf.DUMMYFUNCTION("""COMPUTED_VALUE"""),"Stock")</f>
        <v>Stock</v>
      </c>
      <c r="F145" s="94" t="str">
        <f ca="1">IFERROR(__xludf.DUMMYFUNCTION("""COMPUTED_VALUE"""),"1024.HK")</f>
        <v>1024.HK</v>
      </c>
      <c r="G145" s="92">
        <f ca="1">IFERROR(__xludf.DUMMYFUNCTION("""COMPUTED_VALUE"""),81.5)</f>
        <v>81.5</v>
      </c>
      <c r="H145" s="93" t="str">
        <f ca="1">IFERROR(__xludf.DUMMYFUNCTION("""COMPUTED_VALUE"""),"Order rejected due to wrong ticker code and non school email account")</f>
        <v>Order rejected due to wrong ticker code and non school email account</v>
      </c>
    </row>
    <row r="146" spans="1:8" ht="13" x14ac:dyDescent="0.15">
      <c r="A146" s="5"/>
      <c r="B146" s="82">
        <f ca="1">IFERROR(__xludf.DUMMYFUNCTION("""COMPUTED_VALUE"""),44643.6713678588)</f>
        <v>44643.671367858798</v>
      </c>
      <c r="C146" s="80" t="str">
        <f ca="1">IFERROR(__xludf.DUMMYFUNCTION("""COMPUTED_VALUE"""),"")</f>
        <v/>
      </c>
      <c r="D146" s="80" t="str">
        <f ca="1">IFERROR(__xludf.DUMMYFUNCTION("""COMPUTED_VALUE"""),"error")</f>
        <v>error</v>
      </c>
      <c r="E146" s="80" t="str">
        <f ca="1">IFERROR(__xludf.DUMMYFUNCTION("""COMPUTED_VALUE"""),"Stock")</f>
        <v>Stock</v>
      </c>
      <c r="F146" s="94" t="str">
        <f ca="1">IFERROR(__xludf.DUMMYFUNCTION("""COMPUTED_VALUE"""),"9988.HK")</f>
        <v>9988.HK</v>
      </c>
      <c r="G146" s="92"/>
      <c r="H146" s="93" t="str">
        <f ca="1">IFERROR(__xludf.DUMMYFUNCTION("""COMPUTED_VALUE"""),"Order rejected due to non school email account")</f>
        <v>Order rejected due to non school email account</v>
      </c>
    </row>
    <row r="147" spans="1:8" ht="13" x14ac:dyDescent="0.15">
      <c r="A147" s="5"/>
      <c r="B147" s="82">
        <f ca="1">IFERROR(__xludf.DUMMYFUNCTION("""COMPUTED_VALUE"""),44643.7858118287)</f>
        <v>44643.785811828697</v>
      </c>
      <c r="C147" s="80" t="str">
        <f ca="1">IFERROR(__xludf.DUMMYFUNCTION("""COMPUTED_VALUE"""),"75973")</f>
        <v>75973</v>
      </c>
      <c r="D147" s="80" t="str">
        <f ca="1">IFERROR(__xludf.DUMMYFUNCTION("""COMPUTED_VALUE"""),"error")</f>
        <v>error</v>
      </c>
      <c r="E147" s="80" t="str">
        <f ca="1">IFERROR(__xludf.DUMMYFUNCTION("""COMPUTED_VALUE"""),"Stock")</f>
        <v>Stock</v>
      </c>
      <c r="F147" s="94" t="str">
        <f ca="1">IFERROR(__xludf.DUMMYFUNCTION("""COMPUTED_VALUE"""),"600519.SH")</f>
        <v>600519.SH</v>
      </c>
      <c r="G147" s="92"/>
      <c r="H147" s="93" t="str">
        <f ca="1">IFERROR(__xludf.DUMMYFUNCTION("""COMPUTED_VALUE"""),"Order rejected due to wrong ticker code")</f>
        <v>Order rejected due to wrong ticker code</v>
      </c>
    </row>
    <row r="148" spans="1:8" ht="13" x14ac:dyDescent="0.15">
      <c r="A148" s="5"/>
      <c r="B148" s="82">
        <f ca="1">IFERROR(__xludf.DUMMYFUNCTION("""COMPUTED_VALUE"""),44643.7910083796)</f>
        <v>44643.791008379601</v>
      </c>
      <c r="C148" s="80" t="str">
        <f ca="1">IFERROR(__xludf.DUMMYFUNCTION("""COMPUTED_VALUE"""),"75973")</f>
        <v>75973</v>
      </c>
      <c r="D148" s="80" t="str">
        <f ca="1">IFERROR(__xludf.DUMMYFUNCTION("""COMPUTED_VALUE"""),"error")</f>
        <v>error</v>
      </c>
      <c r="E148" s="80" t="str">
        <f ca="1">IFERROR(__xludf.DUMMYFUNCTION("""COMPUTED_VALUE"""),"Stock")</f>
        <v>Stock</v>
      </c>
      <c r="F148" s="94" t="str">
        <f ca="1">IFERROR(__xludf.DUMMYFUNCTION("""COMPUTED_VALUE"""),"AROW.US")</f>
        <v>AROW.US</v>
      </c>
      <c r="G148" s="92"/>
      <c r="H148" s="93" t="str">
        <f ca="1">IFERROR(__xludf.DUMMYFUNCTION("""COMPUTED_VALUE"""),"Order rejected due to wrong ticker code")</f>
        <v>Order rejected due to wrong ticker code</v>
      </c>
    </row>
    <row r="149" spans="1:8" ht="13" x14ac:dyDescent="0.15">
      <c r="A149" s="5"/>
      <c r="B149" s="82">
        <f ca="1">IFERROR(__xludf.DUMMYFUNCTION("""COMPUTED_VALUE"""),44643.8108680787)</f>
        <v>44643.810868078697</v>
      </c>
      <c r="C149" s="80" t="str">
        <f ca="1">IFERROR(__xludf.DUMMYFUNCTION("""COMPUTED_VALUE"""),"75973")</f>
        <v>75973</v>
      </c>
      <c r="D149" s="80" t="str">
        <f ca="1">IFERROR(__xludf.DUMMYFUNCTION("""COMPUTED_VALUE"""),"error")</f>
        <v>error</v>
      </c>
      <c r="E149" s="80" t="str">
        <f ca="1">IFERROR(__xludf.DUMMYFUNCTION("""COMPUTED_VALUE"""),"Stock")</f>
        <v>Stock</v>
      </c>
      <c r="F149" s="94" t="str">
        <f ca="1">IFERROR(__xludf.DUMMYFUNCTION("""COMPUTED_VALUE"""),"ATAX.US")</f>
        <v>ATAX.US</v>
      </c>
      <c r="G149" s="92"/>
      <c r="H149" s="93" t="str">
        <f ca="1">IFERROR(__xludf.DUMMYFUNCTION("""COMPUTED_VALUE"""),"Order rejected due to wrong ticker code")</f>
        <v>Order rejected due to wrong ticker code</v>
      </c>
    </row>
    <row r="150" spans="1:8" ht="13" x14ac:dyDescent="0.15">
      <c r="A150" s="5"/>
      <c r="B150" s="82">
        <f ca="1">IFERROR(__xludf.DUMMYFUNCTION("""COMPUTED_VALUE"""),44643.8283521064)</f>
        <v>44643.8283521064</v>
      </c>
      <c r="C150" s="80" t="str">
        <f ca="1">IFERROR(__xludf.DUMMYFUNCTION("""COMPUTED_VALUE"""),"75973")</f>
        <v>75973</v>
      </c>
      <c r="D150" s="80" t="str">
        <f ca="1">IFERROR(__xludf.DUMMYFUNCTION("""COMPUTED_VALUE"""),"error")</f>
        <v>error</v>
      </c>
      <c r="E150" s="80" t="str">
        <f ca="1">IFERROR(__xludf.DUMMYFUNCTION("""COMPUTED_VALUE"""),"Stock")</f>
        <v>Stock</v>
      </c>
      <c r="F150" s="94" t="str">
        <f ca="1">IFERROR(__xludf.DUMMYFUNCTION("""COMPUTED_VALUE"""),"BKSC.US")</f>
        <v>BKSC.US</v>
      </c>
      <c r="G150" s="92"/>
      <c r="H150" s="93" t="str">
        <f ca="1">IFERROR(__xludf.DUMMYFUNCTION("""COMPUTED_VALUE"""),"Order rejected due to wrong ticker code")</f>
        <v>Order rejected due to wrong ticker code</v>
      </c>
    </row>
    <row r="151" spans="1:8" ht="13" x14ac:dyDescent="0.15">
      <c r="A151" s="5"/>
      <c r="B151" s="82">
        <f ca="1">IFERROR(__xludf.DUMMYFUNCTION("""COMPUTED_VALUE"""),44643.8387555208)</f>
        <v>44643.838755520803</v>
      </c>
      <c r="C151" s="80" t="str">
        <f ca="1">IFERROR(__xludf.DUMMYFUNCTION("""COMPUTED_VALUE"""),"75973")</f>
        <v>75973</v>
      </c>
      <c r="D151" s="80" t="str">
        <f ca="1">IFERROR(__xludf.DUMMYFUNCTION("""COMPUTED_VALUE"""),"error")</f>
        <v>error</v>
      </c>
      <c r="E151" s="80" t="str">
        <f ca="1">IFERROR(__xludf.DUMMYFUNCTION("""COMPUTED_VALUE"""),"Stock")</f>
        <v>Stock</v>
      </c>
      <c r="F151" s="94" t="str">
        <f ca="1">IFERROR(__xludf.DUMMYFUNCTION("""COMPUTED_VALUE"""),"01211.HK")</f>
        <v>01211.HK</v>
      </c>
      <c r="G151" s="92"/>
      <c r="H151" s="93" t="str">
        <f ca="1">IFERROR(__xludf.DUMMYFUNCTION("""COMPUTED_VALUE"""),"Order rejected due to wrong ticker code")</f>
        <v>Order rejected due to wrong ticker code</v>
      </c>
    </row>
    <row r="152" spans="1:8" ht="13" x14ac:dyDescent="0.15">
      <c r="A152" s="5"/>
      <c r="B152" s="82">
        <f ca="1">IFERROR(__xludf.DUMMYFUNCTION("""COMPUTED_VALUE"""),44643.848833993)</f>
        <v>44643.848833992997</v>
      </c>
      <c r="C152" s="80" t="str">
        <f ca="1">IFERROR(__xludf.DUMMYFUNCTION("""COMPUTED_VALUE"""),"82533")</f>
        <v>82533</v>
      </c>
      <c r="D152" s="80" t="str">
        <f ca="1">IFERROR(__xludf.DUMMYFUNCTION("""COMPUTED_VALUE"""),"error")</f>
        <v>error</v>
      </c>
      <c r="E152" s="80" t="str">
        <f ca="1">IFERROR(__xludf.DUMMYFUNCTION("""COMPUTED_VALUE"""),"Stock")</f>
        <v>Stock</v>
      </c>
      <c r="F152" s="91" t="str">
        <f ca="1">IFERROR(__xludf.DUMMYFUNCTION("""COMPUTED_VALUE"""),"COIN")</f>
        <v>COIN</v>
      </c>
      <c r="G152" s="92"/>
      <c r="H152" s="93" t="str">
        <f ca="1">IFERROR(__xludf.DUMMYFUNCTION("""COMPUTED_VALUE"""),"Order rejected due to wrong password")</f>
        <v>Order rejected due to wrong password</v>
      </c>
    </row>
    <row r="153" spans="1:8" ht="13" x14ac:dyDescent="0.15">
      <c r="A153" s="5"/>
      <c r="B153" s="82">
        <f ca="1">IFERROR(__xludf.DUMMYFUNCTION("""COMPUTED_VALUE"""),44643.9278390162)</f>
        <v>44643.9278390162</v>
      </c>
      <c r="C153" s="80" t="str">
        <f ca="1">IFERROR(__xludf.DUMMYFUNCTION("""COMPUTED_VALUE"""),"89833")</f>
        <v>89833</v>
      </c>
      <c r="D153" s="80" t="str">
        <f ca="1">IFERROR(__xludf.DUMMYFUNCTION("""COMPUTED_VALUE"""),"error")</f>
        <v>error</v>
      </c>
      <c r="E153" s="80" t="str">
        <f ca="1">IFERROR(__xludf.DUMMYFUNCTION("""COMPUTED_VALUE"""),"Stock")</f>
        <v>Stock</v>
      </c>
      <c r="F153" s="91" t="str">
        <f ca="1">IFERROR(__xludf.DUMMYFUNCTION("""COMPUTED_VALUE"""),"OXY ")</f>
        <v xml:space="preserve">OXY </v>
      </c>
      <c r="G153" s="92" t="str">
        <f ca="1">IFERROR(__xludf.DUMMYFUNCTION("""COMPUTED_VALUE"""),"limit buy:61.8")</f>
        <v>limit buy:61.8</v>
      </c>
      <c r="H153" s="93" t="str">
        <f ca="1">IFERROR(__xludf.DUMMYFUNCTION("""COMPUTED_VALUE"""),"Order rejected due to non numeric character in limit box")</f>
        <v>Order rejected due to non numeric character in limit box</v>
      </c>
    </row>
    <row r="154" spans="1:8" ht="13" x14ac:dyDescent="0.15">
      <c r="A154" s="5"/>
      <c r="B154" s="82">
        <f ca="1">IFERROR(__xludf.DUMMYFUNCTION("""COMPUTED_VALUE"""),44643.9352793055)</f>
        <v>44643.9352793055</v>
      </c>
      <c r="C154" s="80" t="str">
        <f ca="1">IFERROR(__xludf.DUMMYFUNCTION("""COMPUTED_VALUE"""),"89833")</f>
        <v>89833</v>
      </c>
      <c r="D154" s="80" t="str">
        <f ca="1">IFERROR(__xludf.DUMMYFUNCTION("""COMPUTED_VALUE"""),"error")</f>
        <v>error</v>
      </c>
      <c r="E154" s="80" t="str">
        <f ca="1">IFERROR(__xludf.DUMMYFUNCTION("""COMPUTED_VALUE"""),"Stock")</f>
        <v>Stock</v>
      </c>
      <c r="F154" s="91" t="str">
        <f ca="1">IFERROR(__xludf.DUMMYFUNCTION("""COMPUTED_VALUE"""),"00700")</f>
        <v>00700</v>
      </c>
      <c r="G154" s="92">
        <f ca="1">IFERROR(__xludf.DUMMYFUNCTION("""COMPUTED_VALUE"""),389)</f>
        <v>389</v>
      </c>
      <c r="H154" s="93" t="str">
        <f ca="1">IFERROR(__xludf.DUMMYFUNCTION("""COMPUTED_VALUE"""),"Order rejected due to wrong ticker code")</f>
        <v>Order rejected due to wrong ticker code</v>
      </c>
    </row>
    <row r="155" spans="1:8" ht="13" x14ac:dyDescent="0.15">
      <c r="A155" s="5"/>
      <c r="B155" s="82">
        <f ca="1">IFERROR(__xludf.DUMMYFUNCTION("""COMPUTED_VALUE"""),44643.9674894907)</f>
        <v>44643.9674894907</v>
      </c>
      <c r="C155" s="80" t="str">
        <f ca="1">IFERROR(__xludf.DUMMYFUNCTION("""COMPUTED_VALUE"""),"82533")</f>
        <v>82533</v>
      </c>
      <c r="D155" s="80" t="str">
        <f ca="1">IFERROR(__xludf.DUMMYFUNCTION("""COMPUTED_VALUE"""),"error")</f>
        <v>error</v>
      </c>
      <c r="E155" s="80" t="str">
        <f ca="1">IFERROR(__xludf.DUMMYFUNCTION("""COMPUTED_VALUE"""),"Option")</f>
        <v>Option</v>
      </c>
      <c r="F155" s="91" t="str">
        <f ca="1">IFERROR(__xludf.DUMMYFUNCTION("""COMPUTED_VALUE"""),"TSLA220318C00005000")</f>
        <v>TSLA220318C00005000</v>
      </c>
      <c r="G155" s="92"/>
      <c r="H155" s="93" t="str">
        <f ca="1">IFERROR(__xludf.DUMMYFUNCTION("""COMPUTED_VALUE"""),"Order rejected due to wrong pasword")</f>
        <v>Order rejected due to wrong pasword</v>
      </c>
    </row>
    <row r="156" spans="1:8" ht="13" x14ac:dyDescent="0.15">
      <c r="A156" s="5"/>
      <c r="B156" s="82">
        <f ca="1">IFERROR(__xludf.DUMMYFUNCTION("""COMPUTED_VALUE"""),44643.9681064467)</f>
        <v>44643.9681064467</v>
      </c>
      <c r="C156" s="80" t="str">
        <f ca="1">IFERROR(__xludf.DUMMYFUNCTION("""COMPUTED_VALUE"""),"82533")</f>
        <v>82533</v>
      </c>
      <c r="D156" s="80" t="str">
        <f ca="1">IFERROR(__xludf.DUMMYFUNCTION("""COMPUTED_VALUE"""),"error")</f>
        <v>error</v>
      </c>
      <c r="E156" s="80" t="str">
        <f ca="1">IFERROR(__xludf.DUMMYFUNCTION("""COMPUTED_VALUE"""),"Stock")</f>
        <v>Stock</v>
      </c>
      <c r="F156" s="91" t="str">
        <f ca="1">IFERROR(__xludf.DUMMYFUNCTION("""COMPUTED_VALUE"""),"TSLA")</f>
        <v>TSLA</v>
      </c>
      <c r="G156" s="92"/>
      <c r="H156" s="93" t="str">
        <f ca="1">IFERROR(__xludf.DUMMYFUNCTION("""COMPUTED_VALUE"""),"Order rejected due to wrong pasword")</f>
        <v>Order rejected due to wrong pasword</v>
      </c>
    </row>
    <row r="157" spans="1:8" ht="13" x14ac:dyDescent="0.15">
      <c r="A157" s="5"/>
      <c r="B157" s="82">
        <f ca="1">IFERROR(__xludf.DUMMYFUNCTION("""COMPUTED_VALUE"""),44643.9685642824)</f>
        <v>44643.968564282397</v>
      </c>
      <c r="C157" s="80" t="str">
        <f ca="1">IFERROR(__xludf.DUMMYFUNCTION("""COMPUTED_VALUE"""),"82533")</f>
        <v>82533</v>
      </c>
      <c r="D157" s="80" t="str">
        <f ca="1">IFERROR(__xludf.DUMMYFUNCTION("""COMPUTED_VALUE"""),"error")</f>
        <v>error</v>
      </c>
      <c r="E157" s="80" t="str">
        <f ca="1">IFERROR(__xludf.DUMMYFUNCTION("""COMPUTED_VALUE"""),"Stock")</f>
        <v>Stock</v>
      </c>
      <c r="F157" s="91" t="str">
        <f ca="1">IFERROR(__xludf.DUMMYFUNCTION("""COMPUTED_VALUE"""),"COIN")</f>
        <v>COIN</v>
      </c>
      <c r="G157" s="92"/>
      <c r="H157" s="93" t="str">
        <f ca="1">IFERROR(__xludf.DUMMYFUNCTION("""COMPUTED_VALUE"""),"Order rejected due to wrong pasword")</f>
        <v>Order rejected due to wrong pasword</v>
      </c>
    </row>
    <row r="158" spans="1:8" ht="13" x14ac:dyDescent="0.15">
      <c r="A158" s="5"/>
      <c r="B158" s="82">
        <f ca="1">IFERROR(__xludf.DUMMYFUNCTION("""COMPUTED_VALUE"""),44644.0000124768)</f>
        <v>44644.000012476798</v>
      </c>
      <c r="C158" s="80" t="str">
        <f ca="1">IFERROR(__xludf.DUMMYFUNCTION("""COMPUTED_VALUE"""),"36252")</f>
        <v>36252</v>
      </c>
      <c r="D158" s="80" t="str">
        <f ca="1">IFERROR(__xludf.DUMMYFUNCTION("""COMPUTED_VALUE"""),"error")</f>
        <v>error</v>
      </c>
      <c r="E158" s="80" t="str">
        <f ca="1">IFERROR(__xludf.DUMMYFUNCTION("""COMPUTED_VALUE"""),"Stock")</f>
        <v>Stock</v>
      </c>
      <c r="F158" s="94" t="str">
        <f ca="1">IFERROR(__xludf.DUMMYFUNCTION("""COMPUTED_VALUE"""),"0059.sz")</f>
        <v>0059.sz</v>
      </c>
      <c r="G158" s="92"/>
      <c r="H158" s="93" t="str">
        <f ca="1">IFERROR(__xludf.DUMMYFUNCTION("""COMPUTED_VALUE"""),"Order rejected due to wrong ticker code")</f>
        <v>Order rejected due to wrong ticker code</v>
      </c>
    </row>
    <row r="159" spans="1:8" ht="13" x14ac:dyDescent="0.15">
      <c r="A159" s="5"/>
      <c r="B159" s="82">
        <f ca="1">IFERROR(__xludf.DUMMYFUNCTION("""COMPUTED_VALUE"""),44644.0064272222)</f>
        <v>44644.006427222201</v>
      </c>
      <c r="C159" s="80" t="str">
        <f ca="1">IFERROR(__xludf.DUMMYFUNCTION("""COMPUTED_VALUE"""),"36252")</f>
        <v>36252</v>
      </c>
      <c r="D159" s="80" t="str">
        <f ca="1">IFERROR(__xludf.DUMMYFUNCTION("""COMPUTED_VALUE"""),"error")</f>
        <v>error</v>
      </c>
      <c r="E159" s="80" t="str">
        <f ca="1">IFERROR(__xludf.DUMMYFUNCTION("""COMPUTED_VALUE"""),"Stock")</f>
        <v>Stock</v>
      </c>
      <c r="F159" s="94" t="str">
        <f ca="1">IFERROR(__xludf.DUMMYFUNCTION("""COMPUTED_VALUE"""),"3261.sh")</f>
        <v>3261.sh</v>
      </c>
      <c r="G159" s="92"/>
      <c r="H159" s="93" t="str">
        <f ca="1">IFERROR(__xludf.DUMMYFUNCTION("""COMPUTED_VALUE"""),"Order rejected due to wrong ticker code")</f>
        <v>Order rejected due to wrong ticker code</v>
      </c>
    </row>
    <row r="160" spans="1:8" ht="13" x14ac:dyDescent="0.15">
      <c r="A160" s="5"/>
      <c r="B160" s="82">
        <f ca="1">IFERROR(__xludf.DUMMYFUNCTION("""COMPUTED_VALUE"""),44644.3777747106)</f>
        <v>44644.3777747106</v>
      </c>
      <c r="C160" s="80" t="str">
        <f ca="1">IFERROR(__xludf.DUMMYFUNCTION("""COMPUTED_VALUE"""),"36252")</f>
        <v>36252</v>
      </c>
      <c r="D160" s="80" t="str">
        <f ca="1">IFERROR(__xludf.DUMMYFUNCTION("""COMPUTED_VALUE"""),"error")</f>
        <v>error</v>
      </c>
      <c r="E160" s="80" t="str">
        <f ca="1">IFERROR(__xludf.DUMMYFUNCTION("""COMPUTED_VALUE"""),"Stock")</f>
        <v>Stock</v>
      </c>
      <c r="F160" s="94" t="str">
        <f ca="1">IFERROR(__xludf.DUMMYFUNCTION("""COMPUTED_VALUE"""),"603261.sh")</f>
        <v>603261.sh</v>
      </c>
      <c r="G160" s="92"/>
      <c r="H160" s="93" t="str">
        <f ca="1">IFERROR(__xludf.DUMMYFUNCTION("""COMPUTED_VALUE"""),"Order rejected due to wrong ticker code")</f>
        <v>Order rejected due to wrong ticker code</v>
      </c>
    </row>
    <row r="161" spans="2:8" ht="13" x14ac:dyDescent="0.15">
      <c r="B161" s="82"/>
      <c r="C161" s="80"/>
      <c r="D161" s="80"/>
      <c r="E161" s="80"/>
      <c r="F161" s="91"/>
      <c r="G161" s="92"/>
      <c r="H161" s="93"/>
    </row>
    <row r="162" spans="2:8" ht="13" x14ac:dyDescent="0.15">
      <c r="B162" s="82"/>
      <c r="C162" s="80"/>
      <c r="D162" s="80"/>
      <c r="E162" s="80"/>
      <c r="F162" s="91"/>
      <c r="G162" s="92"/>
      <c r="H162" s="93"/>
    </row>
    <row r="163" spans="2:8" ht="13" x14ac:dyDescent="0.15">
      <c r="B163" s="82"/>
      <c r="C163" s="80"/>
      <c r="D163" s="80"/>
      <c r="E163" s="80"/>
      <c r="F163" s="91"/>
      <c r="G163" s="92"/>
      <c r="H163" s="93"/>
    </row>
    <row r="164" spans="2:8" ht="13" x14ac:dyDescent="0.15">
      <c r="B164" s="82"/>
      <c r="C164" s="80"/>
      <c r="D164" s="80"/>
      <c r="E164" s="80"/>
      <c r="F164" s="91"/>
      <c r="G164" s="92"/>
      <c r="H164" s="93"/>
    </row>
    <row r="165" spans="2:8" ht="13" x14ac:dyDescent="0.15">
      <c r="B165" s="82"/>
      <c r="C165" s="80"/>
      <c r="D165" s="80"/>
      <c r="E165" s="80"/>
      <c r="F165" s="91"/>
      <c r="G165" s="92"/>
      <c r="H165" s="93"/>
    </row>
    <row r="166" spans="2:8" ht="13" x14ac:dyDescent="0.15">
      <c r="B166" s="82"/>
      <c r="C166" s="80"/>
      <c r="D166" s="80"/>
      <c r="E166" s="80"/>
      <c r="F166" s="91"/>
      <c r="G166" s="92"/>
      <c r="H166" s="93"/>
    </row>
    <row r="167" spans="2:8" ht="13" x14ac:dyDescent="0.15">
      <c r="B167" s="82"/>
      <c r="C167" s="80"/>
      <c r="D167" s="80"/>
      <c r="E167" s="80"/>
      <c r="F167" s="91"/>
      <c r="G167" s="92"/>
      <c r="H167" s="93"/>
    </row>
    <row r="168" spans="2:8" ht="13" x14ac:dyDescent="0.15">
      <c r="B168" s="82"/>
      <c r="C168" s="80"/>
      <c r="D168" s="80"/>
      <c r="E168" s="80"/>
      <c r="F168" s="91"/>
      <c r="G168" s="92"/>
      <c r="H168" s="93"/>
    </row>
    <row r="169" spans="2:8" ht="13" x14ac:dyDescent="0.15">
      <c r="B169" s="82"/>
      <c r="C169" s="80"/>
      <c r="D169" s="80"/>
      <c r="E169" s="80"/>
      <c r="F169" s="91"/>
      <c r="G169" s="92"/>
      <c r="H169" s="93"/>
    </row>
    <row r="170" spans="2:8" ht="13" x14ac:dyDescent="0.15">
      <c r="B170" s="82"/>
      <c r="C170" s="80"/>
      <c r="D170" s="80"/>
      <c r="E170" s="80"/>
      <c r="F170" s="91"/>
      <c r="G170" s="92"/>
      <c r="H170" s="93"/>
    </row>
    <row r="171" spans="2:8" ht="13" x14ac:dyDescent="0.15">
      <c r="B171" s="82"/>
      <c r="C171" s="80"/>
      <c r="D171" s="80"/>
      <c r="E171" s="80"/>
      <c r="F171" s="91"/>
      <c r="G171" s="92"/>
      <c r="H171" s="93"/>
    </row>
    <row r="172" spans="2:8" ht="13" x14ac:dyDescent="0.15">
      <c r="B172" s="82"/>
      <c r="C172" s="80"/>
      <c r="D172" s="80"/>
      <c r="E172" s="80"/>
      <c r="F172" s="91"/>
      <c r="G172" s="92"/>
      <c r="H172" s="93"/>
    </row>
    <row r="173" spans="2:8" ht="13" x14ac:dyDescent="0.15">
      <c r="B173" s="82"/>
      <c r="C173" s="80"/>
      <c r="D173" s="80"/>
      <c r="E173" s="80"/>
      <c r="F173" s="91"/>
      <c r="G173" s="92"/>
      <c r="H173" s="93"/>
    </row>
    <row r="174" spans="2:8" ht="13" x14ac:dyDescent="0.15">
      <c r="B174" s="82"/>
      <c r="C174" s="80"/>
      <c r="D174" s="80"/>
      <c r="E174" s="80"/>
      <c r="F174" s="91"/>
      <c r="G174" s="92"/>
      <c r="H174" s="93"/>
    </row>
    <row r="175" spans="2:8" ht="13" x14ac:dyDescent="0.15">
      <c r="B175" s="82"/>
      <c r="C175" s="80"/>
      <c r="D175" s="80"/>
      <c r="E175" s="80"/>
      <c r="F175" s="91"/>
      <c r="G175" s="92"/>
      <c r="H175" s="93"/>
    </row>
    <row r="176" spans="2:8" ht="13" x14ac:dyDescent="0.15">
      <c r="B176" s="82"/>
      <c r="C176" s="80"/>
      <c r="D176" s="80"/>
      <c r="E176" s="80"/>
      <c r="F176" s="91"/>
      <c r="G176" s="92"/>
      <c r="H176" s="93"/>
    </row>
    <row r="177" spans="2:8" ht="13" x14ac:dyDescent="0.15">
      <c r="B177" s="82"/>
      <c r="C177" s="80"/>
      <c r="D177" s="80"/>
      <c r="E177" s="80"/>
      <c r="F177" s="91"/>
      <c r="G177" s="92"/>
      <c r="H177" s="93"/>
    </row>
    <row r="178" spans="2:8" ht="13" x14ac:dyDescent="0.15">
      <c r="B178" s="82"/>
      <c r="C178" s="80"/>
      <c r="D178" s="80"/>
      <c r="E178" s="80"/>
      <c r="F178" s="91"/>
      <c r="G178" s="92"/>
      <c r="H178" s="93"/>
    </row>
    <row r="179" spans="2:8" ht="13" x14ac:dyDescent="0.15">
      <c r="B179" s="82"/>
      <c r="C179" s="80"/>
      <c r="D179" s="80"/>
      <c r="E179" s="80"/>
      <c r="F179" s="91"/>
      <c r="G179" s="92"/>
      <c r="H179" s="93"/>
    </row>
    <row r="180" spans="2:8" ht="13" x14ac:dyDescent="0.15">
      <c r="B180" s="82"/>
      <c r="C180" s="80"/>
      <c r="D180" s="80"/>
      <c r="E180" s="80"/>
      <c r="F180" s="91"/>
      <c r="G180" s="92"/>
      <c r="H180" s="93"/>
    </row>
    <row r="181" spans="2:8" ht="13" x14ac:dyDescent="0.15">
      <c r="B181" s="82"/>
      <c r="C181" s="80"/>
      <c r="D181" s="80"/>
      <c r="E181" s="80"/>
      <c r="F181" s="91"/>
      <c r="G181" s="92"/>
      <c r="H181" s="93"/>
    </row>
    <row r="182" spans="2:8" ht="13" x14ac:dyDescent="0.15">
      <c r="B182" s="82"/>
      <c r="C182" s="80"/>
      <c r="D182" s="80"/>
      <c r="E182" s="80"/>
      <c r="F182" s="91"/>
      <c r="G182" s="92"/>
      <c r="H182" s="93"/>
    </row>
    <row r="183" spans="2:8" ht="13" x14ac:dyDescent="0.15">
      <c r="B183" s="82"/>
      <c r="C183" s="80"/>
      <c r="D183" s="80"/>
      <c r="E183" s="80"/>
      <c r="F183" s="91"/>
      <c r="G183" s="92"/>
      <c r="H183" s="93"/>
    </row>
    <row r="184" spans="2:8" ht="13" x14ac:dyDescent="0.15">
      <c r="B184" s="82"/>
      <c r="C184" s="80"/>
      <c r="D184" s="80"/>
      <c r="E184" s="80"/>
      <c r="F184" s="91"/>
      <c r="G184" s="92"/>
      <c r="H184" s="93"/>
    </row>
    <row r="185" spans="2:8" ht="13" x14ac:dyDescent="0.15">
      <c r="B185" s="82"/>
      <c r="C185" s="80"/>
      <c r="D185" s="80"/>
      <c r="E185" s="80"/>
      <c r="F185" s="91"/>
      <c r="G185" s="92"/>
      <c r="H185" s="93"/>
    </row>
    <row r="186" spans="2:8" ht="13" x14ac:dyDescent="0.15">
      <c r="B186" s="82"/>
      <c r="C186" s="80"/>
      <c r="D186" s="80"/>
      <c r="E186" s="80"/>
      <c r="F186" s="91"/>
      <c r="G186" s="92"/>
      <c r="H186" s="93"/>
    </row>
    <row r="187" spans="2:8" ht="13" x14ac:dyDescent="0.15">
      <c r="B187" s="82"/>
      <c r="C187" s="80"/>
      <c r="D187" s="80"/>
      <c r="E187" s="80"/>
      <c r="F187" s="91"/>
      <c r="G187" s="92"/>
      <c r="H187" s="93"/>
    </row>
    <row r="188" spans="2:8" ht="13" x14ac:dyDescent="0.15">
      <c r="B188" s="82"/>
      <c r="C188" s="80"/>
      <c r="D188" s="80"/>
      <c r="E188" s="80"/>
      <c r="F188" s="91"/>
      <c r="G188" s="92"/>
      <c r="H188" s="93"/>
    </row>
    <row r="189" spans="2:8" ht="13" x14ac:dyDescent="0.15">
      <c r="B189" s="82"/>
      <c r="C189" s="80"/>
      <c r="D189" s="80"/>
      <c r="E189" s="80"/>
      <c r="F189" s="91"/>
      <c r="G189" s="92"/>
      <c r="H189" s="93"/>
    </row>
    <row r="190" spans="2:8" ht="13" x14ac:dyDescent="0.15">
      <c r="B190" s="82"/>
      <c r="C190" s="80"/>
      <c r="D190" s="80"/>
      <c r="E190" s="80"/>
      <c r="F190" s="91"/>
      <c r="G190" s="92"/>
      <c r="H190" s="93"/>
    </row>
    <row r="191" spans="2:8" ht="13" x14ac:dyDescent="0.15">
      <c r="B191" s="82"/>
      <c r="C191" s="80"/>
      <c r="D191" s="80"/>
      <c r="E191" s="80"/>
      <c r="F191" s="91"/>
      <c r="G191" s="92"/>
      <c r="H191" s="93"/>
    </row>
    <row r="192" spans="2:8" ht="13" x14ac:dyDescent="0.15">
      <c r="B192" s="82"/>
      <c r="C192" s="80"/>
      <c r="D192" s="80"/>
      <c r="E192" s="80"/>
      <c r="F192" s="91"/>
      <c r="G192" s="92"/>
      <c r="H192" s="93"/>
    </row>
    <row r="193" spans="2:8" ht="13" x14ac:dyDescent="0.15">
      <c r="B193" s="82"/>
      <c r="C193" s="80"/>
      <c r="D193" s="80"/>
      <c r="E193" s="80"/>
      <c r="F193" s="91"/>
      <c r="G193" s="92"/>
      <c r="H193" s="93"/>
    </row>
    <row r="194" spans="2:8" ht="13" x14ac:dyDescent="0.15">
      <c r="B194" s="82"/>
      <c r="C194" s="80"/>
      <c r="D194" s="80"/>
      <c r="E194" s="80"/>
      <c r="F194" s="91"/>
      <c r="G194" s="92"/>
      <c r="H194" s="93"/>
    </row>
    <row r="195" spans="2:8" ht="13" x14ac:dyDescent="0.15">
      <c r="B195" s="82"/>
      <c r="C195" s="80"/>
      <c r="D195" s="80"/>
      <c r="E195" s="80"/>
      <c r="F195" s="91"/>
      <c r="G195" s="92"/>
      <c r="H195" s="93"/>
    </row>
    <row r="196" spans="2:8" ht="13" x14ac:dyDescent="0.15">
      <c r="B196" s="82"/>
      <c r="C196" s="80"/>
      <c r="D196" s="80"/>
      <c r="E196" s="80"/>
      <c r="F196" s="91"/>
      <c r="G196" s="92"/>
      <c r="H196" s="93"/>
    </row>
    <row r="197" spans="2:8" ht="13" x14ac:dyDescent="0.15">
      <c r="B197" s="82"/>
      <c r="C197" s="80"/>
      <c r="D197" s="80"/>
      <c r="E197" s="80"/>
      <c r="F197" s="91"/>
      <c r="G197" s="92"/>
      <c r="H197" s="93"/>
    </row>
    <row r="198" spans="2:8" ht="13" x14ac:dyDescent="0.15">
      <c r="B198" s="82"/>
      <c r="C198" s="80"/>
      <c r="D198" s="80"/>
      <c r="E198" s="80"/>
      <c r="F198" s="91"/>
      <c r="G198" s="92"/>
      <c r="H198" s="93"/>
    </row>
    <row r="199" spans="2:8" ht="13" x14ac:dyDescent="0.15">
      <c r="B199" s="82"/>
      <c r="C199" s="80"/>
      <c r="D199" s="80"/>
      <c r="E199" s="80"/>
      <c r="F199" s="91"/>
      <c r="G199" s="92"/>
      <c r="H199" s="93"/>
    </row>
    <row r="200" spans="2:8" ht="13" x14ac:dyDescent="0.15">
      <c r="B200" s="82"/>
      <c r="C200" s="80"/>
      <c r="D200" s="80"/>
      <c r="E200" s="80"/>
      <c r="F200" s="91"/>
      <c r="G200" s="92"/>
      <c r="H200" s="93"/>
    </row>
    <row r="201" spans="2:8" ht="13" x14ac:dyDescent="0.15">
      <c r="B201" s="82"/>
      <c r="C201" s="80"/>
      <c r="D201" s="80"/>
      <c r="E201" s="80"/>
      <c r="F201" s="91"/>
      <c r="G201" s="92"/>
      <c r="H201" s="93"/>
    </row>
    <row r="202" spans="2:8" ht="13" x14ac:dyDescent="0.15">
      <c r="B202" s="82"/>
      <c r="C202" s="80"/>
      <c r="D202" s="80"/>
      <c r="E202" s="80"/>
      <c r="F202" s="91"/>
      <c r="G202" s="92"/>
      <c r="H202" s="93"/>
    </row>
    <row r="203" spans="2:8" ht="13" x14ac:dyDescent="0.15">
      <c r="B203" s="82"/>
      <c r="C203" s="80"/>
      <c r="D203" s="80"/>
      <c r="E203" s="80"/>
      <c r="F203" s="91"/>
      <c r="G203" s="92"/>
      <c r="H203" s="93"/>
    </row>
    <row r="204" spans="2:8" ht="13" x14ac:dyDescent="0.15">
      <c r="B204" s="82"/>
      <c r="C204" s="80"/>
      <c r="D204" s="80"/>
      <c r="E204" s="80"/>
      <c r="F204" s="91"/>
      <c r="G204" s="92"/>
      <c r="H204" s="93"/>
    </row>
    <row r="205" spans="2:8" ht="13" x14ac:dyDescent="0.15">
      <c r="B205" s="82"/>
      <c r="C205" s="80"/>
      <c r="D205" s="80"/>
      <c r="E205" s="80"/>
      <c r="F205" s="91"/>
      <c r="G205" s="92"/>
      <c r="H205" s="93"/>
    </row>
    <row r="206" spans="2:8" ht="13" x14ac:dyDescent="0.15">
      <c r="B206" s="82"/>
      <c r="C206" s="80"/>
      <c r="D206" s="80"/>
      <c r="E206" s="80"/>
      <c r="F206" s="91"/>
      <c r="G206" s="92"/>
      <c r="H206" s="93"/>
    </row>
    <row r="207" spans="2:8" ht="13" x14ac:dyDescent="0.15">
      <c r="B207" s="82"/>
      <c r="C207" s="80"/>
      <c r="D207" s="80"/>
      <c r="E207" s="80"/>
      <c r="F207" s="91"/>
      <c r="G207" s="92"/>
      <c r="H207" s="93"/>
    </row>
    <row r="208" spans="2:8" ht="13" x14ac:dyDescent="0.15">
      <c r="B208" s="82"/>
      <c r="C208" s="80"/>
      <c r="D208" s="80"/>
      <c r="E208" s="80"/>
      <c r="F208" s="91"/>
      <c r="G208" s="92"/>
      <c r="H208" s="93"/>
    </row>
    <row r="209" spans="2:8" ht="13" x14ac:dyDescent="0.15">
      <c r="B209" s="82"/>
      <c r="C209" s="80"/>
      <c r="D209" s="80"/>
      <c r="E209" s="80"/>
      <c r="F209" s="91"/>
      <c r="G209" s="92"/>
      <c r="H209" s="93"/>
    </row>
    <row r="210" spans="2:8" ht="13" x14ac:dyDescent="0.15">
      <c r="B210" s="82"/>
      <c r="C210" s="80"/>
      <c r="D210" s="80"/>
      <c r="E210" s="80"/>
      <c r="F210" s="91"/>
      <c r="G210" s="92"/>
      <c r="H210" s="93"/>
    </row>
    <row r="211" spans="2:8" ht="13" x14ac:dyDescent="0.15">
      <c r="B211" s="82"/>
      <c r="C211" s="80"/>
      <c r="D211" s="80"/>
      <c r="E211" s="80"/>
      <c r="F211" s="91"/>
      <c r="G211" s="92"/>
      <c r="H211" s="93"/>
    </row>
    <row r="212" spans="2:8" ht="13" x14ac:dyDescent="0.15">
      <c r="B212" s="82"/>
      <c r="C212" s="80"/>
      <c r="D212" s="80"/>
      <c r="E212" s="80"/>
      <c r="F212" s="91"/>
      <c r="G212" s="92"/>
      <c r="H212" s="93"/>
    </row>
    <row r="213" spans="2:8" ht="13" x14ac:dyDescent="0.15">
      <c r="B213" s="82"/>
      <c r="C213" s="80"/>
      <c r="D213" s="80"/>
      <c r="E213" s="80"/>
      <c r="F213" s="91"/>
      <c r="G213" s="92"/>
      <c r="H213" s="93"/>
    </row>
    <row r="214" spans="2:8" ht="13" x14ac:dyDescent="0.15">
      <c r="B214" s="82"/>
      <c r="C214" s="80"/>
      <c r="D214" s="80"/>
      <c r="E214" s="80"/>
      <c r="F214" s="91"/>
      <c r="G214" s="92"/>
      <c r="H214" s="93"/>
    </row>
    <row r="215" spans="2:8" ht="13" x14ac:dyDescent="0.15">
      <c r="B215" s="82"/>
      <c r="C215" s="80"/>
      <c r="D215" s="80"/>
      <c r="E215" s="80"/>
      <c r="F215" s="91"/>
      <c r="G215" s="92"/>
      <c r="H215" s="93"/>
    </row>
    <row r="216" spans="2:8" ht="13" x14ac:dyDescent="0.15">
      <c r="B216" s="82"/>
      <c r="C216" s="80"/>
      <c r="D216" s="80"/>
      <c r="E216" s="80"/>
      <c r="F216" s="91"/>
      <c r="G216" s="92"/>
      <c r="H216" s="93"/>
    </row>
    <row r="217" spans="2:8" ht="13" x14ac:dyDescent="0.15">
      <c r="B217" s="82"/>
      <c r="C217" s="80"/>
      <c r="D217" s="80"/>
      <c r="E217" s="80"/>
      <c r="F217" s="91"/>
      <c r="G217" s="92"/>
      <c r="H217" s="93"/>
    </row>
    <row r="218" spans="2:8" ht="13" x14ac:dyDescent="0.15">
      <c r="B218" s="82"/>
      <c r="C218" s="80"/>
      <c r="D218" s="80"/>
      <c r="E218" s="80"/>
      <c r="F218" s="91"/>
      <c r="G218" s="92"/>
      <c r="H218" s="93"/>
    </row>
    <row r="219" spans="2:8" ht="13" x14ac:dyDescent="0.15">
      <c r="B219" s="82"/>
      <c r="C219" s="80"/>
      <c r="D219" s="80"/>
      <c r="E219" s="80"/>
      <c r="F219" s="91"/>
      <c r="G219" s="92"/>
      <c r="H219" s="93"/>
    </row>
    <row r="220" spans="2:8" ht="13" x14ac:dyDescent="0.15">
      <c r="B220" s="82"/>
      <c r="C220" s="80"/>
      <c r="D220" s="80"/>
      <c r="E220" s="80"/>
      <c r="F220" s="91"/>
      <c r="G220" s="92"/>
      <c r="H220" s="93"/>
    </row>
    <row r="221" spans="2:8" ht="13" x14ac:dyDescent="0.15">
      <c r="B221" s="82"/>
      <c r="C221" s="80"/>
      <c r="D221" s="80"/>
      <c r="E221" s="80"/>
      <c r="F221" s="91"/>
      <c r="G221" s="92"/>
      <c r="H221" s="93"/>
    </row>
    <row r="222" spans="2:8" ht="13" x14ac:dyDescent="0.15">
      <c r="B222" s="82"/>
      <c r="C222" s="80"/>
      <c r="D222" s="80"/>
      <c r="E222" s="80"/>
      <c r="F222" s="91"/>
      <c r="G222" s="92"/>
      <c r="H222" s="93"/>
    </row>
    <row r="223" spans="2:8" ht="13" x14ac:dyDescent="0.15">
      <c r="B223" s="82"/>
      <c r="C223" s="80"/>
      <c r="D223" s="80"/>
      <c r="E223" s="80"/>
      <c r="F223" s="91"/>
      <c r="G223" s="92"/>
      <c r="H223" s="93"/>
    </row>
    <row r="224" spans="2:8" ht="13" x14ac:dyDescent="0.15">
      <c r="B224" s="82"/>
      <c r="C224" s="80"/>
      <c r="D224" s="80"/>
      <c r="E224" s="80"/>
      <c r="F224" s="91"/>
      <c r="G224" s="92"/>
      <c r="H224" s="93"/>
    </row>
    <row r="225" spans="2:8" ht="13" x14ac:dyDescent="0.15">
      <c r="B225" s="82"/>
      <c r="C225" s="80"/>
      <c r="D225" s="80"/>
      <c r="E225" s="80"/>
      <c r="F225" s="91"/>
      <c r="G225" s="92"/>
      <c r="H225" s="93"/>
    </row>
    <row r="226" spans="2:8" ht="13" x14ac:dyDescent="0.15">
      <c r="B226" s="82"/>
      <c r="C226" s="80"/>
      <c r="D226" s="80"/>
      <c r="E226" s="80"/>
      <c r="F226" s="91"/>
      <c r="G226" s="92"/>
      <c r="H226" s="93"/>
    </row>
    <row r="227" spans="2:8" ht="13" x14ac:dyDescent="0.15">
      <c r="B227" s="82"/>
      <c r="C227" s="80"/>
      <c r="D227" s="80"/>
      <c r="E227" s="80"/>
      <c r="F227" s="91"/>
      <c r="G227" s="92"/>
      <c r="H227" s="93"/>
    </row>
    <row r="228" spans="2:8" ht="13" x14ac:dyDescent="0.15">
      <c r="B228" s="82"/>
      <c r="C228" s="80"/>
      <c r="D228" s="80"/>
      <c r="E228" s="80"/>
      <c r="F228" s="91"/>
      <c r="G228" s="92"/>
      <c r="H228" s="93"/>
    </row>
    <row r="229" spans="2:8" ht="13" x14ac:dyDescent="0.15">
      <c r="B229" s="82"/>
      <c r="C229" s="80"/>
      <c r="D229" s="80"/>
      <c r="E229" s="80"/>
      <c r="F229" s="91"/>
      <c r="G229" s="92"/>
      <c r="H229" s="93"/>
    </row>
    <row r="230" spans="2:8" ht="13" x14ac:dyDescent="0.15">
      <c r="B230" s="82"/>
      <c r="C230" s="80"/>
      <c r="D230" s="80"/>
      <c r="E230" s="80"/>
      <c r="F230" s="91"/>
      <c r="G230" s="92"/>
      <c r="H230" s="93"/>
    </row>
    <row r="231" spans="2:8" ht="13" x14ac:dyDescent="0.15">
      <c r="B231" s="82"/>
      <c r="C231" s="80"/>
      <c r="D231" s="80"/>
      <c r="E231" s="80"/>
      <c r="F231" s="91"/>
      <c r="G231" s="92"/>
      <c r="H231" s="93"/>
    </row>
    <row r="232" spans="2:8" ht="13" x14ac:dyDescent="0.15">
      <c r="B232" s="82"/>
      <c r="C232" s="80"/>
      <c r="D232" s="80"/>
      <c r="E232" s="80"/>
      <c r="F232" s="91"/>
      <c r="G232" s="92"/>
      <c r="H232" s="93"/>
    </row>
    <row r="233" spans="2:8" ht="13" x14ac:dyDescent="0.15">
      <c r="B233" s="82"/>
      <c r="C233" s="80"/>
      <c r="D233" s="80"/>
      <c r="E233" s="80"/>
      <c r="F233" s="91"/>
      <c r="G233" s="92"/>
      <c r="H233" s="93"/>
    </row>
    <row r="234" spans="2:8" ht="13" x14ac:dyDescent="0.15">
      <c r="B234" s="82"/>
      <c r="C234" s="80"/>
      <c r="D234" s="80"/>
      <c r="E234" s="80"/>
      <c r="F234" s="91"/>
      <c r="G234" s="92"/>
      <c r="H234" s="93"/>
    </row>
    <row r="235" spans="2:8" ht="13" x14ac:dyDescent="0.15">
      <c r="B235" s="82"/>
      <c r="C235" s="80"/>
      <c r="D235" s="80"/>
      <c r="E235" s="80"/>
      <c r="F235" s="91"/>
      <c r="G235" s="92"/>
      <c r="H235" s="93"/>
    </row>
    <row r="236" spans="2:8" ht="13" x14ac:dyDescent="0.15">
      <c r="B236" s="82"/>
      <c r="C236" s="80"/>
      <c r="D236" s="80"/>
      <c r="E236" s="80"/>
      <c r="F236" s="91"/>
      <c r="G236" s="92"/>
      <c r="H236" s="93"/>
    </row>
    <row r="237" spans="2:8" ht="13" x14ac:dyDescent="0.15">
      <c r="B237" s="82"/>
      <c r="C237" s="80"/>
      <c r="D237" s="80"/>
      <c r="E237" s="80"/>
      <c r="F237" s="91"/>
      <c r="G237" s="92"/>
      <c r="H237" s="93"/>
    </row>
    <row r="238" spans="2:8" ht="13" x14ac:dyDescent="0.15">
      <c r="B238" s="82"/>
      <c r="C238" s="80"/>
      <c r="D238" s="80"/>
      <c r="E238" s="80"/>
      <c r="F238" s="91"/>
      <c r="G238" s="92"/>
      <c r="H238" s="93"/>
    </row>
    <row r="239" spans="2:8" ht="13" x14ac:dyDescent="0.15">
      <c r="B239" s="82"/>
      <c r="C239" s="80"/>
      <c r="D239" s="80"/>
      <c r="E239" s="80"/>
      <c r="F239" s="91"/>
      <c r="G239" s="92"/>
      <c r="H239" s="93"/>
    </row>
    <row r="240" spans="2:8" ht="13" x14ac:dyDescent="0.15">
      <c r="B240" s="82"/>
      <c r="C240" s="80"/>
      <c r="D240" s="80"/>
      <c r="E240" s="80"/>
      <c r="F240" s="91"/>
      <c r="G240" s="92"/>
      <c r="H240" s="93"/>
    </row>
    <row r="241" spans="2:8" ht="13" x14ac:dyDescent="0.15">
      <c r="B241" s="82"/>
      <c r="C241" s="80"/>
      <c r="D241" s="80"/>
      <c r="E241" s="80"/>
      <c r="F241" s="91"/>
      <c r="G241" s="92"/>
      <c r="H241" s="93"/>
    </row>
    <row r="242" spans="2:8" ht="13" x14ac:dyDescent="0.15">
      <c r="B242" s="82"/>
      <c r="C242" s="80"/>
      <c r="D242" s="80"/>
      <c r="E242" s="80"/>
      <c r="F242" s="91"/>
      <c r="G242" s="92"/>
      <c r="H242" s="93"/>
    </row>
    <row r="243" spans="2:8" ht="13" x14ac:dyDescent="0.15">
      <c r="B243" s="82"/>
      <c r="C243" s="80"/>
      <c r="D243" s="80"/>
      <c r="E243" s="80"/>
      <c r="F243" s="91"/>
      <c r="G243" s="92"/>
      <c r="H243" s="93"/>
    </row>
    <row r="244" spans="2:8" ht="13" x14ac:dyDescent="0.15">
      <c r="B244" s="82"/>
      <c r="C244" s="80"/>
      <c r="D244" s="80"/>
      <c r="E244" s="80"/>
      <c r="F244" s="91"/>
      <c r="G244" s="92"/>
      <c r="H244" s="93"/>
    </row>
    <row r="245" spans="2:8" ht="13" x14ac:dyDescent="0.15">
      <c r="B245" s="82"/>
      <c r="C245" s="80"/>
      <c r="D245" s="80"/>
      <c r="E245" s="80"/>
      <c r="F245" s="91"/>
      <c r="G245" s="92"/>
      <c r="H245" s="93"/>
    </row>
    <row r="246" spans="2:8" ht="13" x14ac:dyDescent="0.15">
      <c r="B246" s="82"/>
      <c r="C246" s="80"/>
      <c r="D246" s="80"/>
      <c r="E246" s="80"/>
      <c r="F246" s="91"/>
      <c r="G246" s="92"/>
      <c r="H246" s="93"/>
    </row>
    <row r="247" spans="2:8" ht="13" x14ac:dyDescent="0.15">
      <c r="B247" s="82"/>
      <c r="C247" s="80"/>
      <c r="D247" s="80"/>
      <c r="E247" s="80"/>
      <c r="F247" s="91"/>
      <c r="G247" s="92"/>
      <c r="H247" s="93"/>
    </row>
    <row r="248" spans="2:8" ht="13" x14ac:dyDescent="0.15">
      <c r="B248" s="82"/>
      <c r="C248" s="80"/>
      <c r="D248" s="80"/>
      <c r="E248" s="80"/>
      <c r="F248" s="91"/>
      <c r="G248" s="92"/>
      <c r="H248" s="93"/>
    </row>
    <row r="249" spans="2:8" ht="13" x14ac:dyDescent="0.15">
      <c r="B249" s="82"/>
      <c r="C249" s="80"/>
      <c r="D249" s="80"/>
      <c r="E249" s="80"/>
      <c r="F249" s="91"/>
      <c r="G249" s="92"/>
      <c r="H249" s="93"/>
    </row>
    <row r="250" spans="2:8" ht="13" x14ac:dyDescent="0.15">
      <c r="B250" s="82"/>
      <c r="C250" s="80"/>
      <c r="D250" s="80"/>
      <c r="E250" s="80"/>
      <c r="F250" s="91"/>
      <c r="G250" s="92"/>
      <c r="H250" s="93"/>
    </row>
    <row r="251" spans="2:8" ht="13" x14ac:dyDescent="0.15">
      <c r="B251" s="82"/>
      <c r="C251" s="80"/>
      <c r="D251" s="80"/>
      <c r="E251" s="80"/>
      <c r="F251" s="91"/>
      <c r="G251" s="92"/>
      <c r="H251" s="93"/>
    </row>
    <row r="252" spans="2:8" ht="13" x14ac:dyDescent="0.15">
      <c r="B252" s="82"/>
      <c r="C252" s="80"/>
      <c r="D252" s="80"/>
      <c r="E252" s="80"/>
      <c r="F252" s="91"/>
      <c r="G252" s="92"/>
      <c r="H252" s="93"/>
    </row>
    <row r="253" spans="2:8" ht="13" x14ac:dyDescent="0.15">
      <c r="B253" s="82"/>
      <c r="C253" s="80"/>
      <c r="D253" s="80"/>
      <c r="E253" s="80"/>
      <c r="F253" s="91"/>
      <c r="G253" s="92"/>
      <c r="H253" s="93"/>
    </row>
    <row r="254" spans="2:8" ht="13" x14ac:dyDescent="0.15">
      <c r="B254" s="82"/>
      <c r="C254" s="80"/>
      <c r="D254" s="80"/>
      <c r="E254" s="80"/>
      <c r="F254" s="91"/>
      <c r="G254" s="92"/>
      <c r="H254" s="93"/>
    </row>
    <row r="255" spans="2:8" ht="13" x14ac:dyDescent="0.15">
      <c r="B255" s="82"/>
      <c r="C255" s="80"/>
      <c r="D255" s="80"/>
      <c r="E255" s="80"/>
      <c r="F255" s="91"/>
      <c r="G255" s="92"/>
      <c r="H255" s="93"/>
    </row>
    <row r="256" spans="2:8" ht="13" x14ac:dyDescent="0.15">
      <c r="B256" s="82"/>
      <c r="C256" s="80"/>
      <c r="D256" s="80"/>
      <c r="E256" s="80"/>
      <c r="F256" s="91"/>
      <c r="G256" s="92"/>
      <c r="H256" s="93"/>
    </row>
    <row r="257" spans="2:8" ht="13" x14ac:dyDescent="0.15">
      <c r="B257" s="82"/>
      <c r="C257" s="80"/>
      <c r="D257" s="80"/>
      <c r="E257" s="80"/>
      <c r="F257" s="91"/>
      <c r="G257" s="92"/>
      <c r="H257" s="93"/>
    </row>
    <row r="258" spans="2:8" ht="13" x14ac:dyDescent="0.15">
      <c r="B258" s="82"/>
      <c r="C258" s="80"/>
      <c r="D258" s="80"/>
      <c r="E258" s="80"/>
      <c r="F258" s="91"/>
      <c r="G258" s="92"/>
      <c r="H258" s="93"/>
    </row>
    <row r="259" spans="2:8" ht="13" x14ac:dyDescent="0.15">
      <c r="B259" s="82"/>
      <c r="C259" s="80"/>
      <c r="D259" s="80"/>
      <c r="E259" s="80"/>
      <c r="F259" s="91"/>
      <c r="G259" s="92"/>
      <c r="H259" s="93"/>
    </row>
    <row r="260" spans="2:8" ht="13" x14ac:dyDescent="0.15">
      <c r="B260" s="82"/>
      <c r="C260" s="80"/>
      <c r="D260" s="80"/>
      <c r="E260" s="80"/>
      <c r="F260" s="91"/>
      <c r="G260" s="92"/>
      <c r="H260" s="93"/>
    </row>
    <row r="261" spans="2:8" ht="13" x14ac:dyDescent="0.15">
      <c r="B261" s="82"/>
      <c r="C261" s="80"/>
      <c r="D261" s="80"/>
      <c r="E261" s="80"/>
      <c r="F261" s="91"/>
      <c r="G261" s="92"/>
      <c r="H261" s="93"/>
    </row>
    <row r="262" spans="2:8" ht="13" x14ac:dyDescent="0.15">
      <c r="B262" s="82"/>
      <c r="C262" s="80"/>
      <c r="D262" s="80"/>
      <c r="E262" s="80"/>
      <c r="F262" s="91"/>
      <c r="G262" s="92"/>
      <c r="H262" s="93"/>
    </row>
    <row r="263" spans="2:8" ht="13" x14ac:dyDescent="0.15">
      <c r="B263" s="82"/>
      <c r="C263" s="80"/>
      <c r="D263" s="80"/>
      <c r="E263" s="80"/>
      <c r="F263" s="91"/>
      <c r="G263" s="92"/>
      <c r="H263" s="93"/>
    </row>
    <row r="264" spans="2:8" ht="13" x14ac:dyDescent="0.15">
      <c r="B264" s="82"/>
      <c r="C264" s="80"/>
      <c r="D264" s="80"/>
      <c r="E264" s="80"/>
      <c r="F264" s="91"/>
      <c r="G264" s="92"/>
      <c r="H264" s="93"/>
    </row>
    <row r="265" spans="2:8" ht="13" x14ac:dyDescent="0.15">
      <c r="B265" s="82"/>
      <c r="C265" s="80"/>
      <c r="D265" s="80"/>
      <c r="E265" s="80"/>
      <c r="F265" s="91"/>
      <c r="G265" s="92"/>
      <c r="H265" s="93"/>
    </row>
    <row r="266" spans="2:8" ht="13" x14ac:dyDescent="0.15">
      <c r="B266" s="82"/>
      <c r="C266" s="80"/>
      <c r="D266" s="80"/>
      <c r="E266" s="80"/>
      <c r="F266" s="91"/>
      <c r="G266" s="92"/>
      <c r="H266" s="93"/>
    </row>
    <row r="267" spans="2:8" ht="13" x14ac:dyDescent="0.15">
      <c r="B267" s="82"/>
      <c r="C267" s="80"/>
      <c r="D267" s="80"/>
      <c r="E267" s="80"/>
      <c r="F267" s="91"/>
      <c r="G267" s="92"/>
      <c r="H267" s="93"/>
    </row>
    <row r="268" spans="2:8" ht="13" x14ac:dyDescent="0.15">
      <c r="B268" s="82"/>
      <c r="C268" s="80"/>
      <c r="D268" s="80"/>
      <c r="E268" s="80"/>
      <c r="F268" s="91"/>
      <c r="G268" s="92"/>
      <c r="H268" s="93"/>
    </row>
    <row r="269" spans="2:8" ht="13" x14ac:dyDescent="0.15">
      <c r="B269" s="82"/>
      <c r="C269" s="80"/>
      <c r="D269" s="80"/>
      <c r="E269" s="80"/>
      <c r="F269" s="91"/>
      <c r="G269" s="92"/>
      <c r="H269" s="93"/>
    </row>
    <row r="270" spans="2:8" ht="13" x14ac:dyDescent="0.15">
      <c r="B270" s="82"/>
      <c r="C270" s="80"/>
      <c r="D270" s="80"/>
      <c r="E270" s="80"/>
      <c r="F270" s="91"/>
      <c r="G270" s="92"/>
      <c r="H270" s="93"/>
    </row>
    <row r="271" spans="2:8" ht="13" x14ac:dyDescent="0.15">
      <c r="B271" s="82"/>
      <c r="C271" s="80"/>
      <c r="D271" s="80"/>
      <c r="E271" s="80"/>
      <c r="F271" s="91"/>
      <c r="G271" s="92"/>
      <c r="H271" s="93"/>
    </row>
    <row r="272" spans="2:8" ht="13" x14ac:dyDescent="0.15">
      <c r="B272" s="82"/>
      <c r="C272" s="80"/>
      <c r="D272" s="80"/>
      <c r="E272" s="80"/>
      <c r="F272" s="91"/>
      <c r="G272" s="92"/>
      <c r="H272" s="93"/>
    </row>
    <row r="273" spans="2:8" ht="13" x14ac:dyDescent="0.15">
      <c r="B273" s="82"/>
      <c r="C273" s="80"/>
      <c r="D273" s="80"/>
      <c r="E273" s="80"/>
      <c r="F273" s="91"/>
      <c r="G273" s="92"/>
      <c r="H273" s="93"/>
    </row>
    <row r="274" spans="2:8" ht="13" x14ac:dyDescent="0.15">
      <c r="B274" s="82"/>
      <c r="C274" s="80"/>
      <c r="D274" s="80"/>
      <c r="E274" s="80"/>
      <c r="F274" s="91"/>
      <c r="G274" s="92"/>
      <c r="H274" s="93"/>
    </row>
    <row r="275" spans="2:8" ht="13" x14ac:dyDescent="0.15">
      <c r="B275" s="82"/>
      <c r="C275" s="80"/>
      <c r="D275" s="80"/>
      <c r="E275" s="80"/>
      <c r="F275" s="91"/>
      <c r="G275" s="92"/>
      <c r="H275" s="93"/>
    </row>
    <row r="276" spans="2:8" ht="13" x14ac:dyDescent="0.15">
      <c r="B276" s="82"/>
      <c r="C276" s="80"/>
      <c r="D276" s="80"/>
      <c r="E276" s="80"/>
      <c r="F276" s="91"/>
      <c r="G276" s="92"/>
      <c r="H276" s="93"/>
    </row>
    <row r="277" spans="2:8" ht="13" x14ac:dyDescent="0.15">
      <c r="B277" s="82"/>
      <c r="C277" s="80"/>
      <c r="D277" s="80"/>
      <c r="E277" s="80"/>
      <c r="F277" s="91"/>
      <c r="G277" s="92"/>
      <c r="H277" s="93"/>
    </row>
    <row r="278" spans="2:8" ht="13" x14ac:dyDescent="0.15">
      <c r="B278" s="82"/>
      <c r="C278" s="80"/>
      <c r="D278" s="80"/>
      <c r="E278" s="80"/>
      <c r="F278" s="91"/>
      <c r="G278" s="92"/>
      <c r="H278" s="93"/>
    </row>
    <row r="279" spans="2:8" ht="13" x14ac:dyDescent="0.15">
      <c r="B279" s="82"/>
      <c r="C279" s="80"/>
      <c r="D279" s="80"/>
      <c r="E279" s="80"/>
      <c r="F279" s="91"/>
      <c r="G279" s="92"/>
      <c r="H279" s="93"/>
    </row>
    <row r="280" spans="2:8" ht="13" x14ac:dyDescent="0.15">
      <c r="B280" s="82"/>
      <c r="C280" s="80"/>
      <c r="D280" s="80"/>
      <c r="E280" s="80"/>
      <c r="F280" s="91"/>
      <c r="G280" s="92"/>
      <c r="H280" s="93"/>
    </row>
    <row r="281" spans="2:8" ht="13" x14ac:dyDescent="0.15">
      <c r="B281" s="82"/>
      <c r="C281" s="80"/>
      <c r="D281" s="80"/>
      <c r="E281" s="80"/>
      <c r="F281" s="91"/>
      <c r="G281" s="92"/>
      <c r="H281" s="93"/>
    </row>
    <row r="282" spans="2:8" ht="13" x14ac:dyDescent="0.15">
      <c r="B282" s="82"/>
      <c r="C282" s="80"/>
      <c r="D282" s="80"/>
      <c r="E282" s="80"/>
      <c r="F282" s="91"/>
      <c r="G282" s="92"/>
      <c r="H282" s="93"/>
    </row>
    <row r="283" spans="2:8" ht="13" x14ac:dyDescent="0.15">
      <c r="B283" s="82"/>
      <c r="C283" s="80"/>
      <c r="D283" s="80"/>
      <c r="E283" s="80"/>
      <c r="F283" s="91"/>
      <c r="G283" s="92"/>
      <c r="H283" s="93"/>
    </row>
    <row r="284" spans="2:8" ht="13" x14ac:dyDescent="0.15">
      <c r="B284" s="82"/>
      <c r="C284" s="80"/>
      <c r="D284" s="80"/>
      <c r="E284" s="80"/>
      <c r="F284" s="91"/>
      <c r="G284" s="92"/>
      <c r="H284" s="93"/>
    </row>
    <row r="285" spans="2:8" ht="13" x14ac:dyDescent="0.15">
      <c r="B285" s="82"/>
      <c r="C285" s="80"/>
      <c r="D285" s="80"/>
      <c r="E285" s="80"/>
      <c r="F285" s="91"/>
      <c r="G285" s="92"/>
      <c r="H285" s="93"/>
    </row>
    <row r="286" spans="2:8" ht="13" x14ac:dyDescent="0.15">
      <c r="B286" s="82"/>
      <c r="C286" s="80"/>
      <c r="D286" s="80"/>
      <c r="E286" s="80"/>
      <c r="F286" s="91"/>
      <c r="G286" s="92"/>
      <c r="H286" s="93"/>
    </row>
    <row r="287" spans="2:8" ht="13" x14ac:dyDescent="0.15">
      <c r="B287" s="82"/>
      <c r="C287" s="80"/>
      <c r="D287" s="80"/>
      <c r="E287" s="80"/>
      <c r="F287" s="91"/>
      <c r="G287" s="92"/>
      <c r="H287" s="93"/>
    </row>
    <row r="288" spans="2:8" ht="13" x14ac:dyDescent="0.15">
      <c r="B288" s="82"/>
      <c r="C288" s="80"/>
      <c r="D288" s="80"/>
      <c r="E288" s="80"/>
      <c r="F288" s="91"/>
      <c r="G288" s="92"/>
      <c r="H288" s="93"/>
    </row>
    <row r="289" spans="2:8" ht="13" x14ac:dyDescent="0.15">
      <c r="B289" s="82"/>
      <c r="C289" s="80"/>
      <c r="D289" s="80"/>
      <c r="E289" s="80"/>
      <c r="F289" s="91"/>
      <c r="G289" s="92"/>
      <c r="H289" s="93"/>
    </row>
    <row r="290" spans="2:8" ht="13" x14ac:dyDescent="0.15">
      <c r="B290" s="82"/>
      <c r="C290" s="80"/>
      <c r="D290" s="80"/>
      <c r="E290" s="80"/>
      <c r="F290" s="91"/>
      <c r="G290" s="92"/>
      <c r="H290" s="93"/>
    </row>
    <row r="291" spans="2:8" ht="13" x14ac:dyDescent="0.15">
      <c r="B291" s="82"/>
      <c r="C291" s="80"/>
      <c r="D291" s="80"/>
      <c r="E291" s="80"/>
      <c r="F291" s="91"/>
      <c r="G291" s="92"/>
      <c r="H291" s="93"/>
    </row>
    <row r="292" spans="2:8" ht="13" x14ac:dyDescent="0.15">
      <c r="B292" s="82"/>
      <c r="C292" s="80"/>
      <c r="D292" s="80"/>
      <c r="E292" s="80"/>
      <c r="F292" s="91"/>
      <c r="G292" s="92"/>
      <c r="H292" s="93"/>
    </row>
    <row r="293" spans="2:8" ht="13" x14ac:dyDescent="0.15">
      <c r="B293" s="82"/>
      <c r="C293" s="80"/>
      <c r="D293" s="80"/>
      <c r="E293" s="80"/>
      <c r="F293" s="91"/>
      <c r="G293" s="92"/>
      <c r="H293" s="93"/>
    </row>
    <row r="294" spans="2:8" ht="13" x14ac:dyDescent="0.15">
      <c r="B294" s="82"/>
      <c r="C294" s="80"/>
      <c r="D294" s="80"/>
      <c r="E294" s="80"/>
      <c r="F294" s="91"/>
      <c r="G294" s="92"/>
      <c r="H294" s="93"/>
    </row>
    <row r="295" spans="2:8" ht="13" x14ac:dyDescent="0.15">
      <c r="B295" s="82"/>
      <c r="C295" s="80"/>
      <c r="D295" s="80"/>
      <c r="E295" s="80"/>
      <c r="F295" s="91"/>
      <c r="G295" s="92"/>
      <c r="H295" s="93"/>
    </row>
    <row r="296" spans="2:8" ht="13" x14ac:dyDescent="0.15">
      <c r="B296" s="82"/>
      <c r="C296" s="80"/>
      <c r="D296" s="80"/>
      <c r="E296" s="80"/>
      <c r="F296" s="91"/>
      <c r="G296" s="92"/>
      <c r="H296" s="93"/>
    </row>
    <row r="297" spans="2:8" ht="13" x14ac:dyDescent="0.15">
      <c r="B297" s="82"/>
      <c r="C297" s="80"/>
      <c r="D297" s="80"/>
      <c r="E297" s="80"/>
      <c r="F297" s="91"/>
      <c r="G297" s="92"/>
      <c r="H297" s="93"/>
    </row>
    <row r="298" spans="2:8" ht="13" x14ac:dyDescent="0.15">
      <c r="B298" s="82"/>
      <c r="C298" s="80"/>
      <c r="D298" s="80"/>
      <c r="E298" s="80"/>
      <c r="F298" s="91"/>
      <c r="G298" s="92"/>
      <c r="H298" s="93"/>
    </row>
    <row r="299" spans="2:8" ht="13" x14ac:dyDescent="0.15">
      <c r="B299" s="82"/>
      <c r="C299" s="80"/>
      <c r="D299" s="80"/>
      <c r="E299" s="80"/>
      <c r="F299" s="91"/>
      <c r="G299" s="92"/>
      <c r="H299" s="93"/>
    </row>
    <row r="300" spans="2:8" ht="13" x14ac:dyDescent="0.15">
      <c r="B300" s="82"/>
      <c r="C300" s="80"/>
      <c r="D300" s="80"/>
      <c r="E300" s="80"/>
      <c r="F300" s="91"/>
      <c r="G300" s="92"/>
      <c r="H300" s="93"/>
    </row>
    <row r="301" spans="2:8" ht="13" x14ac:dyDescent="0.15">
      <c r="B301" s="82"/>
      <c r="C301" s="80"/>
      <c r="D301" s="80"/>
      <c r="E301" s="80"/>
      <c r="F301" s="91"/>
      <c r="G301" s="92"/>
      <c r="H301" s="93"/>
    </row>
    <row r="302" spans="2:8" ht="13" x14ac:dyDescent="0.15">
      <c r="B302" s="82"/>
      <c r="C302" s="80"/>
      <c r="D302" s="80"/>
      <c r="E302" s="80"/>
      <c r="F302" s="91"/>
      <c r="G302" s="92"/>
      <c r="H302" s="93"/>
    </row>
    <row r="303" spans="2:8" ht="13" x14ac:dyDescent="0.15">
      <c r="B303" s="82"/>
      <c r="C303" s="80"/>
      <c r="D303" s="80"/>
      <c r="E303" s="80"/>
      <c r="F303" s="91"/>
      <c r="G303" s="92"/>
      <c r="H303" s="93"/>
    </row>
    <row r="304" spans="2:8" ht="13" x14ac:dyDescent="0.15">
      <c r="B304" s="82"/>
      <c r="C304" s="80"/>
      <c r="D304" s="80"/>
      <c r="E304" s="80"/>
      <c r="F304" s="91"/>
      <c r="G304" s="92"/>
      <c r="H304" s="93"/>
    </row>
    <row r="305" spans="2:8" ht="13" x14ac:dyDescent="0.15">
      <c r="B305" s="82"/>
      <c r="C305" s="80"/>
      <c r="D305" s="80"/>
      <c r="E305" s="80"/>
      <c r="F305" s="91"/>
      <c r="G305" s="92"/>
      <c r="H305" s="93"/>
    </row>
    <row r="306" spans="2:8" ht="13" x14ac:dyDescent="0.15">
      <c r="B306" s="82"/>
      <c r="C306" s="80"/>
      <c r="D306" s="80"/>
      <c r="E306" s="80"/>
      <c r="F306" s="91"/>
      <c r="G306" s="92"/>
      <c r="H306" s="93"/>
    </row>
    <row r="307" spans="2:8" ht="13" x14ac:dyDescent="0.15">
      <c r="B307" s="82"/>
      <c r="C307" s="80"/>
      <c r="D307" s="80"/>
      <c r="E307" s="80"/>
      <c r="F307" s="91"/>
      <c r="G307" s="92"/>
      <c r="H307" s="93"/>
    </row>
    <row r="308" spans="2:8" ht="13" x14ac:dyDescent="0.15">
      <c r="B308" s="82"/>
      <c r="C308" s="80"/>
      <c r="D308" s="80"/>
      <c r="E308" s="80"/>
      <c r="F308" s="91"/>
      <c r="G308" s="92"/>
      <c r="H308" s="93"/>
    </row>
    <row r="309" spans="2:8" ht="13" x14ac:dyDescent="0.15">
      <c r="B309" s="82"/>
      <c r="C309" s="80"/>
      <c r="D309" s="80"/>
      <c r="E309" s="80"/>
      <c r="F309" s="91"/>
      <c r="G309" s="92"/>
      <c r="H309" s="93"/>
    </row>
    <row r="310" spans="2:8" ht="13" x14ac:dyDescent="0.15">
      <c r="B310" s="82"/>
      <c r="C310" s="80"/>
      <c r="D310" s="80"/>
      <c r="E310" s="80"/>
      <c r="F310" s="91"/>
      <c r="G310" s="92"/>
      <c r="H310" s="93"/>
    </row>
    <row r="311" spans="2:8" ht="13" x14ac:dyDescent="0.15">
      <c r="B311" s="82"/>
      <c r="C311" s="80"/>
      <c r="D311" s="80"/>
      <c r="E311" s="80"/>
      <c r="F311" s="91"/>
      <c r="G311" s="92"/>
      <c r="H311" s="93"/>
    </row>
    <row r="312" spans="2:8" ht="13" x14ac:dyDescent="0.15">
      <c r="B312" s="82"/>
      <c r="C312" s="80"/>
      <c r="D312" s="80"/>
      <c r="E312" s="80"/>
      <c r="F312" s="91"/>
      <c r="G312" s="92"/>
      <c r="H312" s="93"/>
    </row>
    <row r="313" spans="2:8" ht="13" x14ac:dyDescent="0.15">
      <c r="B313" s="82"/>
      <c r="C313" s="80"/>
      <c r="D313" s="80"/>
      <c r="E313" s="80"/>
      <c r="F313" s="91"/>
      <c r="G313" s="92"/>
      <c r="H313" s="93"/>
    </row>
    <row r="314" spans="2:8" ht="13" x14ac:dyDescent="0.15">
      <c r="B314" s="82"/>
      <c r="C314" s="80"/>
      <c r="D314" s="80"/>
      <c r="E314" s="80"/>
      <c r="F314" s="91"/>
      <c r="G314" s="92"/>
      <c r="H314" s="93"/>
    </row>
    <row r="315" spans="2:8" ht="13" x14ac:dyDescent="0.15">
      <c r="B315" s="82"/>
      <c r="C315" s="80"/>
      <c r="D315" s="80"/>
      <c r="E315" s="80"/>
      <c r="F315" s="91"/>
      <c r="G315" s="92"/>
      <c r="H315" s="93"/>
    </row>
    <row r="316" spans="2:8" ht="13" x14ac:dyDescent="0.15">
      <c r="B316" s="82"/>
      <c r="C316" s="80"/>
      <c r="D316" s="80"/>
      <c r="E316" s="80"/>
      <c r="F316" s="91"/>
      <c r="G316" s="92"/>
      <c r="H316" s="93"/>
    </row>
    <row r="317" spans="2:8" ht="13" x14ac:dyDescent="0.15">
      <c r="B317" s="82"/>
      <c r="C317" s="80"/>
      <c r="D317" s="80"/>
      <c r="E317" s="80"/>
      <c r="F317" s="91"/>
      <c r="G317" s="92"/>
      <c r="H317" s="93"/>
    </row>
    <row r="318" spans="2:8" ht="13" x14ac:dyDescent="0.15">
      <c r="B318" s="82"/>
      <c r="C318" s="80"/>
      <c r="D318" s="80"/>
      <c r="E318" s="80"/>
      <c r="F318" s="91"/>
      <c r="G318" s="92"/>
      <c r="H318" s="93"/>
    </row>
    <row r="319" spans="2:8" ht="13" x14ac:dyDescent="0.15">
      <c r="B319" s="82"/>
      <c r="C319" s="80"/>
      <c r="D319" s="80"/>
      <c r="E319" s="80"/>
      <c r="F319" s="91"/>
      <c r="G319" s="92"/>
      <c r="H319" s="93"/>
    </row>
    <row r="320" spans="2:8" ht="13" x14ac:dyDescent="0.15">
      <c r="B320" s="82"/>
      <c r="C320" s="80"/>
      <c r="D320" s="80"/>
      <c r="E320" s="80"/>
      <c r="F320" s="91"/>
      <c r="G320" s="92"/>
      <c r="H320" s="93"/>
    </row>
    <row r="321" spans="2:8" ht="13" x14ac:dyDescent="0.15">
      <c r="B321" s="82"/>
      <c r="C321" s="80"/>
      <c r="D321" s="80"/>
      <c r="E321" s="80"/>
      <c r="F321" s="91"/>
      <c r="G321" s="92"/>
      <c r="H321" s="93"/>
    </row>
    <row r="322" spans="2:8" ht="13" x14ac:dyDescent="0.15">
      <c r="B322" s="82"/>
      <c r="C322" s="80"/>
      <c r="D322" s="80"/>
      <c r="E322" s="80"/>
      <c r="F322" s="91"/>
      <c r="G322" s="92"/>
      <c r="H322" s="93"/>
    </row>
    <row r="323" spans="2:8" ht="13" x14ac:dyDescent="0.15">
      <c r="B323" s="82"/>
      <c r="C323" s="80"/>
      <c r="D323" s="80"/>
      <c r="E323" s="80"/>
      <c r="F323" s="91"/>
      <c r="G323" s="92"/>
      <c r="H323" s="93"/>
    </row>
    <row r="324" spans="2:8" ht="13" x14ac:dyDescent="0.15">
      <c r="B324" s="82"/>
      <c r="C324" s="80"/>
      <c r="D324" s="80"/>
      <c r="E324" s="80"/>
      <c r="F324" s="91"/>
      <c r="G324" s="92"/>
      <c r="H324" s="93"/>
    </row>
    <row r="325" spans="2:8" ht="13" x14ac:dyDescent="0.15">
      <c r="B325" s="82"/>
      <c r="C325" s="80"/>
      <c r="D325" s="80"/>
      <c r="E325" s="80"/>
      <c r="F325" s="91"/>
      <c r="G325" s="92"/>
      <c r="H325" s="93"/>
    </row>
    <row r="326" spans="2:8" ht="13" x14ac:dyDescent="0.15">
      <c r="B326" s="82"/>
      <c r="C326" s="80"/>
      <c r="D326" s="80"/>
      <c r="E326" s="80"/>
      <c r="F326" s="91"/>
      <c r="G326" s="92"/>
      <c r="H326" s="93"/>
    </row>
    <row r="327" spans="2:8" ht="13" x14ac:dyDescent="0.15">
      <c r="B327" s="82"/>
      <c r="C327" s="80"/>
      <c r="D327" s="80"/>
      <c r="E327" s="80"/>
      <c r="F327" s="91"/>
      <c r="G327" s="92"/>
      <c r="H327" s="93"/>
    </row>
    <row r="328" spans="2:8" ht="13" x14ac:dyDescent="0.15">
      <c r="B328" s="82"/>
      <c r="C328" s="80"/>
      <c r="D328" s="80"/>
      <c r="E328" s="80"/>
      <c r="F328" s="91"/>
      <c r="G328" s="92"/>
      <c r="H328" s="93"/>
    </row>
    <row r="329" spans="2:8" ht="13" x14ac:dyDescent="0.15">
      <c r="B329" s="82"/>
      <c r="C329" s="80"/>
      <c r="D329" s="80"/>
      <c r="E329" s="80"/>
      <c r="F329" s="91"/>
      <c r="G329" s="92"/>
      <c r="H329" s="93"/>
    </row>
    <row r="330" spans="2:8" ht="13" x14ac:dyDescent="0.15">
      <c r="B330" s="82"/>
      <c r="C330" s="80"/>
      <c r="D330" s="80"/>
      <c r="E330" s="80"/>
      <c r="F330" s="91"/>
      <c r="G330" s="92"/>
      <c r="H330" s="93"/>
    </row>
    <row r="331" spans="2:8" ht="13" x14ac:dyDescent="0.15">
      <c r="B331" s="82"/>
      <c r="C331" s="80"/>
      <c r="D331" s="80"/>
      <c r="E331" s="80"/>
      <c r="F331" s="91"/>
      <c r="G331" s="92"/>
      <c r="H331" s="93"/>
    </row>
    <row r="332" spans="2:8" ht="13" x14ac:dyDescent="0.15">
      <c r="B332" s="82"/>
      <c r="C332" s="80"/>
      <c r="D332" s="80"/>
      <c r="E332" s="80"/>
      <c r="F332" s="91"/>
      <c r="G332" s="92"/>
      <c r="H332" s="93"/>
    </row>
    <row r="333" spans="2:8" ht="13" x14ac:dyDescent="0.15">
      <c r="B333" s="82"/>
      <c r="C333" s="80"/>
      <c r="D333" s="80"/>
      <c r="E333" s="80"/>
      <c r="F333" s="91"/>
      <c r="G333" s="92"/>
      <c r="H333" s="93"/>
    </row>
    <row r="334" spans="2:8" ht="13" x14ac:dyDescent="0.15">
      <c r="B334" s="82"/>
      <c r="C334" s="80"/>
      <c r="D334" s="80"/>
      <c r="E334" s="80"/>
      <c r="F334" s="91"/>
      <c r="G334" s="92"/>
      <c r="H334" s="93"/>
    </row>
    <row r="335" spans="2:8" ht="13" x14ac:dyDescent="0.15">
      <c r="B335" s="82"/>
      <c r="C335" s="80"/>
      <c r="D335" s="80"/>
      <c r="E335" s="80"/>
      <c r="F335" s="91"/>
      <c r="G335" s="92"/>
      <c r="H335" s="93"/>
    </row>
    <row r="336" spans="2:8" ht="13" x14ac:dyDescent="0.15">
      <c r="B336" s="82"/>
      <c r="C336" s="80"/>
      <c r="D336" s="80"/>
      <c r="E336" s="80"/>
      <c r="F336" s="91"/>
      <c r="G336" s="92"/>
      <c r="H336" s="93"/>
    </row>
    <row r="337" spans="2:8" ht="13" x14ac:dyDescent="0.15">
      <c r="B337" s="82"/>
      <c r="C337" s="80"/>
      <c r="D337" s="80"/>
      <c r="E337" s="80"/>
      <c r="F337" s="91"/>
      <c r="G337" s="92"/>
      <c r="H337" s="93"/>
    </row>
    <row r="338" spans="2:8" ht="13" x14ac:dyDescent="0.15">
      <c r="B338" s="82"/>
      <c r="C338" s="80"/>
      <c r="D338" s="80"/>
      <c r="E338" s="80"/>
      <c r="F338" s="91"/>
      <c r="G338" s="92"/>
      <c r="H338" s="93"/>
    </row>
    <row r="339" spans="2:8" ht="13" x14ac:dyDescent="0.15">
      <c r="B339" s="82"/>
      <c r="C339" s="80"/>
      <c r="D339" s="80"/>
      <c r="E339" s="80"/>
      <c r="F339" s="91"/>
      <c r="G339" s="92"/>
      <c r="H339" s="93"/>
    </row>
    <row r="340" spans="2:8" ht="13" x14ac:dyDescent="0.15">
      <c r="B340" s="82"/>
      <c r="C340" s="80"/>
      <c r="D340" s="80"/>
      <c r="E340" s="80"/>
      <c r="F340" s="91"/>
      <c r="G340" s="92"/>
      <c r="H340" s="93"/>
    </row>
    <row r="341" spans="2:8" ht="13" x14ac:dyDescent="0.15">
      <c r="B341" s="82"/>
      <c r="C341" s="80"/>
      <c r="D341" s="80"/>
      <c r="E341" s="80"/>
      <c r="F341" s="91"/>
      <c r="G341" s="92"/>
      <c r="H341" s="93"/>
    </row>
    <row r="342" spans="2:8" ht="13" x14ac:dyDescent="0.15">
      <c r="B342" s="82"/>
      <c r="C342" s="80"/>
      <c r="D342" s="80"/>
      <c r="E342" s="80"/>
      <c r="F342" s="91"/>
      <c r="G342" s="92"/>
      <c r="H342" s="93"/>
    </row>
    <row r="343" spans="2:8" ht="13" x14ac:dyDescent="0.15">
      <c r="B343" s="82"/>
      <c r="C343" s="80"/>
      <c r="D343" s="80"/>
      <c r="E343" s="80"/>
      <c r="F343" s="91"/>
      <c r="G343" s="92"/>
      <c r="H343" s="93"/>
    </row>
    <row r="344" spans="2:8" ht="13" x14ac:dyDescent="0.15">
      <c r="B344" s="82"/>
      <c r="C344" s="80"/>
      <c r="D344" s="80"/>
      <c r="E344" s="80"/>
      <c r="F344" s="91"/>
      <c r="G344" s="92"/>
      <c r="H344" s="93"/>
    </row>
    <row r="345" spans="2:8" ht="13" x14ac:dyDescent="0.15">
      <c r="B345" s="82"/>
      <c r="C345" s="80"/>
      <c r="D345" s="80"/>
      <c r="E345" s="80"/>
      <c r="F345" s="91"/>
      <c r="G345" s="92"/>
      <c r="H345" s="93"/>
    </row>
    <row r="346" spans="2:8" ht="13" x14ac:dyDescent="0.15">
      <c r="B346" s="82"/>
      <c r="C346" s="80"/>
      <c r="D346" s="80"/>
      <c r="E346" s="80"/>
      <c r="F346" s="91"/>
      <c r="G346" s="92"/>
      <c r="H346" s="93"/>
    </row>
    <row r="347" spans="2:8" ht="13" x14ac:dyDescent="0.15">
      <c r="B347" s="82"/>
      <c r="C347" s="80"/>
      <c r="D347" s="80"/>
      <c r="E347" s="80"/>
      <c r="F347" s="91"/>
      <c r="G347" s="92"/>
      <c r="H347" s="93"/>
    </row>
    <row r="348" spans="2:8" ht="13" x14ac:dyDescent="0.15">
      <c r="B348" s="82"/>
      <c r="C348" s="80"/>
      <c r="D348" s="80"/>
      <c r="E348" s="80"/>
      <c r="F348" s="91"/>
      <c r="G348" s="92"/>
      <c r="H348" s="93"/>
    </row>
    <row r="349" spans="2:8" ht="13" x14ac:dyDescent="0.15">
      <c r="B349" s="82"/>
      <c r="C349" s="80"/>
      <c r="D349" s="80"/>
      <c r="E349" s="80"/>
      <c r="F349" s="91"/>
      <c r="G349" s="92"/>
      <c r="H349" s="93"/>
    </row>
    <row r="350" spans="2:8" ht="13" x14ac:dyDescent="0.15">
      <c r="B350" s="82"/>
      <c r="C350" s="80"/>
      <c r="D350" s="80"/>
      <c r="E350" s="80"/>
      <c r="F350" s="91"/>
      <c r="G350" s="92"/>
      <c r="H350" s="93"/>
    </row>
    <row r="351" spans="2:8" ht="13" x14ac:dyDescent="0.15">
      <c r="B351" s="82"/>
      <c r="C351" s="80"/>
      <c r="D351" s="80"/>
      <c r="E351" s="80"/>
      <c r="F351" s="91"/>
      <c r="G351" s="92"/>
      <c r="H351" s="93"/>
    </row>
    <row r="352" spans="2:8" ht="13" x14ac:dyDescent="0.15">
      <c r="B352" s="82"/>
      <c r="C352" s="80"/>
      <c r="D352" s="80"/>
      <c r="E352" s="80"/>
      <c r="F352" s="91"/>
      <c r="G352" s="92"/>
      <c r="H352" s="93"/>
    </row>
    <row r="353" spans="2:8" ht="13" x14ac:dyDescent="0.15">
      <c r="B353" s="82"/>
      <c r="C353" s="80"/>
      <c r="D353" s="80"/>
      <c r="E353" s="80"/>
      <c r="F353" s="91"/>
      <c r="G353" s="92"/>
      <c r="H353" s="93"/>
    </row>
    <row r="354" spans="2:8" ht="13" x14ac:dyDescent="0.15">
      <c r="B354" s="82"/>
      <c r="C354" s="80"/>
      <c r="D354" s="80"/>
      <c r="E354" s="80"/>
      <c r="F354" s="91"/>
      <c r="G354" s="92"/>
      <c r="H354" s="93"/>
    </row>
    <row r="355" spans="2:8" ht="13" x14ac:dyDescent="0.15">
      <c r="B355" s="82"/>
      <c r="C355" s="80"/>
      <c r="D355" s="80"/>
      <c r="E355" s="80"/>
      <c r="F355" s="91"/>
      <c r="G355" s="92"/>
      <c r="H355" s="93"/>
    </row>
    <row r="356" spans="2:8" ht="13" x14ac:dyDescent="0.15">
      <c r="B356" s="82"/>
      <c r="C356" s="80"/>
      <c r="D356" s="80"/>
      <c r="E356" s="80"/>
      <c r="F356" s="91"/>
      <c r="G356" s="92"/>
      <c r="H356" s="93"/>
    </row>
    <row r="357" spans="2:8" ht="13" x14ac:dyDescent="0.15">
      <c r="B357" s="82"/>
      <c r="C357" s="80"/>
      <c r="D357" s="80"/>
      <c r="E357" s="80"/>
      <c r="F357" s="91"/>
      <c r="G357" s="92"/>
      <c r="H357" s="93"/>
    </row>
    <row r="358" spans="2:8" ht="13" x14ac:dyDescent="0.15">
      <c r="B358" s="82"/>
      <c r="C358" s="80"/>
      <c r="D358" s="80"/>
      <c r="E358" s="80"/>
      <c r="F358" s="91"/>
      <c r="G358" s="92"/>
      <c r="H358" s="93"/>
    </row>
    <row r="359" spans="2:8" ht="13" x14ac:dyDescent="0.15">
      <c r="B359" s="82"/>
      <c r="C359" s="80"/>
      <c r="D359" s="80"/>
      <c r="E359" s="80"/>
      <c r="F359" s="91"/>
      <c r="G359" s="92"/>
      <c r="H359" s="93"/>
    </row>
    <row r="360" spans="2:8" ht="13" x14ac:dyDescent="0.15">
      <c r="B360" s="82"/>
      <c r="C360" s="80"/>
      <c r="D360" s="80"/>
      <c r="E360" s="80"/>
      <c r="F360" s="91"/>
      <c r="G360" s="92"/>
      <c r="H360" s="93"/>
    </row>
    <row r="361" spans="2:8" ht="13" x14ac:dyDescent="0.15">
      <c r="B361" s="82"/>
      <c r="C361" s="80"/>
      <c r="D361" s="80"/>
      <c r="E361" s="80"/>
      <c r="F361" s="91"/>
      <c r="G361" s="92"/>
      <c r="H361" s="93"/>
    </row>
    <row r="362" spans="2:8" ht="13" x14ac:dyDescent="0.15">
      <c r="B362" s="82"/>
      <c r="C362" s="80"/>
      <c r="D362" s="80"/>
      <c r="E362" s="80"/>
      <c r="F362" s="91"/>
      <c r="G362" s="92"/>
      <c r="H362" s="93"/>
    </row>
    <row r="363" spans="2:8" ht="13" x14ac:dyDescent="0.15">
      <c r="B363" s="82"/>
      <c r="C363" s="80"/>
      <c r="D363" s="80"/>
      <c r="E363" s="80"/>
      <c r="F363" s="91"/>
      <c r="G363" s="92"/>
      <c r="H363" s="93"/>
    </row>
    <row r="364" spans="2:8" ht="13" x14ac:dyDescent="0.15">
      <c r="B364" s="82"/>
      <c r="C364" s="80"/>
      <c r="D364" s="80"/>
      <c r="E364" s="80"/>
      <c r="F364" s="91"/>
      <c r="G364" s="92"/>
      <c r="H364" s="93"/>
    </row>
    <row r="365" spans="2:8" ht="13" x14ac:dyDescent="0.15">
      <c r="B365" s="82"/>
      <c r="C365" s="80"/>
      <c r="D365" s="80"/>
      <c r="E365" s="80"/>
      <c r="F365" s="91"/>
      <c r="G365" s="92"/>
      <c r="H365" s="93"/>
    </row>
    <row r="366" spans="2:8" ht="13" x14ac:dyDescent="0.15">
      <c r="B366" s="82"/>
      <c r="C366" s="80"/>
      <c r="D366" s="80"/>
      <c r="E366" s="80"/>
      <c r="F366" s="91"/>
      <c r="G366" s="92"/>
      <c r="H366" s="93"/>
    </row>
    <row r="367" spans="2:8" ht="13" x14ac:dyDescent="0.15">
      <c r="B367" s="82"/>
      <c r="C367" s="80"/>
      <c r="D367" s="80"/>
      <c r="E367" s="80"/>
      <c r="F367" s="91"/>
      <c r="G367" s="92"/>
      <c r="H367" s="93"/>
    </row>
    <row r="368" spans="2:8" ht="13" x14ac:dyDescent="0.15">
      <c r="B368" s="82"/>
      <c r="C368" s="80"/>
      <c r="D368" s="80"/>
      <c r="E368" s="80"/>
      <c r="F368" s="91"/>
      <c r="G368" s="92"/>
      <c r="H368" s="93"/>
    </row>
    <row r="369" spans="2:8" ht="13" x14ac:dyDescent="0.15">
      <c r="B369" s="82"/>
      <c r="C369" s="80"/>
      <c r="D369" s="80"/>
      <c r="E369" s="80"/>
      <c r="F369" s="91"/>
      <c r="G369" s="92"/>
      <c r="H369" s="93"/>
    </row>
    <row r="370" spans="2:8" ht="13" x14ac:dyDescent="0.15">
      <c r="B370" s="82"/>
      <c r="C370" s="80"/>
      <c r="D370" s="80"/>
      <c r="E370" s="80"/>
      <c r="F370" s="91"/>
      <c r="G370" s="92"/>
      <c r="H370" s="93"/>
    </row>
    <row r="371" spans="2:8" ht="13" x14ac:dyDescent="0.15">
      <c r="B371" s="82"/>
      <c r="C371" s="80"/>
      <c r="D371" s="80"/>
      <c r="E371" s="80"/>
      <c r="F371" s="91"/>
      <c r="G371" s="92"/>
      <c r="H371" s="93"/>
    </row>
    <row r="372" spans="2:8" ht="13" x14ac:dyDescent="0.15">
      <c r="B372" s="82"/>
      <c r="C372" s="80"/>
      <c r="D372" s="80"/>
      <c r="E372" s="80"/>
      <c r="F372" s="91"/>
      <c r="G372" s="92"/>
      <c r="H372" s="93"/>
    </row>
    <row r="373" spans="2:8" ht="13" x14ac:dyDescent="0.15">
      <c r="B373" s="82"/>
      <c r="C373" s="80"/>
      <c r="D373" s="80"/>
      <c r="E373" s="80"/>
      <c r="F373" s="91"/>
      <c r="G373" s="92"/>
      <c r="H373" s="93"/>
    </row>
    <row r="374" spans="2:8" ht="13" x14ac:dyDescent="0.15">
      <c r="B374" s="82"/>
      <c r="C374" s="80"/>
      <c r="D374" s="80"/>
      <c r="E374" s="80"/>
      <c r="F374" s="91"/>
      <c r="G374" s="92"/>
      <c r="H374" s="93"/>
    </row>
    <row r="375" spans="2:8" ht="13" x14ac:dyDescent="0.15">
      <c r="B375" s="82"/>
      <c r="C375" s="80"/>
      <c r="D375" s="80"/>
      <c r="E375" s="80"/>
      <c r="F375" s="91"/>
      <c r="G375" s="92"/>
      <c r="H375" s="93"/>
    </row>
    <row r="376" spans="2:8" ht="13" x14ac:dyDescent="0.15">
      <c r="B376" s="82"/>
      <c r="C376" s="80"/>
      <c r="D376" s="80"/>
      <c r="E376" s="80"/>
      <c r="F376" s="91"/>
      <c r="G376" s="92"/>
      <c r="H376" s="93"/>
    </row>
    <row r="377" spans="2:8" ht="13" x14ac:dyDescent="0.15">
      <c r="B377" s="82"/>
      <c r="C377" s="80"/>
      <c r="D377" s="80"/>
      <c r="E377" s="80"/>
      <c r="F377" s="91"/>
      <c r="G377" s="92"/>
      <c r="H377" s="93"/>
    </row>
    <row r="378" spans="2:8" ht="13" x14ac:dyDescent="0.15">
      <c r="B378" s="82"/>
      <c r="C378" s="80"/>
      <c r="D378" s="80"/>
      <c r="E378" s="80"/>
      <c r="F378" s="91"/>
      <c r="G378" s="92"/>
      <c r="H378" s="93"/>
    </row>
    <row r="379" spans="2:8" ht="13" x14ac:dyDescent="0.15">
      <c r="B379" s="82"/>
      <c r="C379" s="80"/>
      <c r="D379" s="80"/>
      <c r="E379" s="80"/>
      <c r="F379" s="91"/>
      <c r="G379" s="92"/>
      <c r="H379" s="93"/>
    </row>
    <row r="380" spans="2:8" ht="13" x14ac:dyDescent="0.15">
      <c r="B380" s="82"/>
      <c r="C380" s="80"/>
      <c r="D380" s="80"/>
      <c r="E380" s="80"/>
      <c r="F380" s="91"/>
      <c r="G380" s="92"/>
      <c r="H380" s="93"/>
    </row>
    <row r="381" spans="2:8" ht="13" x14ac:dyDescent="0.15">
      <c r="B381" s="82"/>
      <c r="C381" s="80"/>
      <c r="D381" s="80"/>
      <c r="E381" s="80"/>
      <c r="F381" s="91"/>
      <c r="G381" s="92"/>
      <c r="H381" s="93"/>
    </row>
    <row r="382" spans="2:8" ht="13" x14ac:dyDescent="0.15">
      <c r="B382" s="82"/>
      <c r="C382" s="80"/>
      <c r="D382" s="80"/>
      <c r="E382" s="80"/>
      <c r="F382" s="91"/>
      <c r="G382" s="92"/>
      <c r="H382" s="93"/>
    </row>
    <row r="383" spans="2:8" ht="13" x14ac:dyDescent="0.15">
      <c r="B383" s="82"/>
      <c r="C383" s="80"/>
      <c r="D383" s="80"/>
      <c r="E383" s="80"/>
      <c r="F383" s="91"/>
      <c r="G383" s="92"/>
      <c r="H383" s="93"/>
    </row>
    <row r="384" spans="2:8" ht="13" x14ac:dyDescent="0.15">
      <c r="B384" s="82"/>
      <c r="C384" s="80"/>
      <c r="D384" s="80"/>
      <c r="E384" s="80"/>
      <c r="F384" s="91"/>
      <c r="G384" s="92"/>
      <c r="H384" s="93"/>
    </row>
    <row r="385" spans="2:8" ht="13" x14ac:dyDescent="0.15">
      <c r="B385" s="82"/>
      <c r="C385" s="80"/>
      <c r="D385" s="80"/>
      <c r="E385" s="80"/>
      <c r="F385" s="91"/>
      <c r="G385" s="92"/>
      <c r="H385" s="93"/>
    </row>
    <row r="386" spans="2:8" ht="13" x14ac:dyDescent="0.15">
      <c r="B386" s="82"/>
      <c r="C386" s="80"/>
      <c r="D386" s="80"/>
      <c r="E386" s="80"/>
      <c r="F386" s="91"/>
      <c r="G386" s="92"/>
      <c r="H386" s="93"/>
    </row>
    <row r="387" spans="2:8" ht="13" x14ac:dyDescent="0.15">
      <c r="B387" s="82"/>
      <c r="C387" s="80"/>
      <c r="D387" s="80"/>
      <c r="E387" s="80"/>
      <c r="F387" s="91"/>
      <c r="G387" s="92"/>
      <c r="H387" s="93"/>
    </row>
    <row r="388" spans="2:8" ht="13" x14ac:dyDescent="0.15">
      <c r="B388" s="82"/>
      <c r="C388" s="80"/>
      <c r="D388" s="80"/>
      <c r="E388" s="80"/>
      <c r="F388" s="91"/>
      <c r="G388" s="92"/>
      <c r="H388" s="93"/>
    </row>
    <row r="389" spans="2:8" ht="13" x14ac:dyDescent="0.15">
      <c r="B389" s="82"/>
      <c r="C389" s="80"/>
      <c r="D389" s="80"/>
      <c r="E389" s="80"/>
      <c r="F389" s="91"/>
      <c r="G389" s="92"/>
      <c r="H389" s="93"/>
    </row>
    <row r="390" spans="2:8" ht="13" x14ac:dyDescent="0.15">
      <c r="B390" s="82"/>
      <c r="C390" s="80"/>
      <c r="D390" s="80"/>
      <c r="E390" s="80"/>
      <c r="F390" s="91"/>
      <c r="G390" s="92"/>
      <c r="H390" s="93"/>
    </row>
    <row r="391" spans="2:8" ht="13" x14ac:dyDescent="0.15">
      <c r="B391" s="82"/>
      <c r="C391" s="80"/>
      <c r="D391" s="80"/>
      <c r="E391" s="80"/>
      <c r="F391" s="91"/>
      <c r="G391" s="92"/>
      <c r="H391" s="93"/>
    </row>
    <row r="392" spans="2:8" ht="13" x14ac:dyDescent="0.15">
      <c r="B392" s="82"/>
      <c r="C392" s="80"/>
      <c r="D392" s="80"/>
      <c r="E392" s="80"/>
      <c r="F392" s="91"/>
      <c r="G392" s="92"/>
      <c r="H392" s="93"/>
    </row>
    <row r="393" spans="2:8" ht="13" x14ac:dyDescent="0.15">
      <c r="B393" s="82"/>
      <c r="C393" s="80"/>
      <c r="D393" s="80"/>
      <c r="E393" s="80"/>
      <c r="F393" s="91"/>
      <c r="G393" s="92"/>
      <c r="H393" s="93"/>
    </row>
    <row r="394" spans="2:8" ht="13" x14ac:dyDescent="0.15">
      <c r="B394" s="82"/>
      <c r="C394" s="80"/>
      <c r="D394" s="80"/>
      <c r="E394" s="80"/>
      <c r="F394" s="91"/>
      <c r="G394" s="92"/>
      <c r="H394" s="93"/>
    </row>
    <row r="395" spans="2:8" ht="13" x14ac:dyDescent="0.15">
      <c r="B395" s="82"/>
      <c r="C395" s="80"/>
      <c r="D395" s="80"/>
      <c r="E395" s="80"/>
      <c r="F395" s="91"/>
      <c r="G395" s="92"/>
      <c r="H395" s="93"/>
    </row>
    <row r="396" spans="2:8" ht="13" x14ac:dyDescent="0.15">
      <c r="B396" s="82"/>
      <c r="C396" s="80"/>
      <c r="D396" s="80"/>
      <c r="E396" s="80"/>
      <c r="F396" s="91"/>
      <c r="G396" s="92"/>
      <c r="H396" s="93"/>
    </row>
    <row r="397" spans="2:8" ht="13" x14ac:dyDescent="0.15">
      <c r="B397" s="82"/>
      <c r="C397" s="80"/>
      <c r="D397" s="80"/>
      <c r="E397" s="80"/>
      <c r="F397" s="91"/>
      <c r="G397" s="92"/>
      <c r="H397" s="93"/>
    </row>
    <row r="398" spans="2:8" ht="13" x14ac:dyDescent="0.15">
      <c r="B398" s="82"/>
      <c r="C398" s="80"/>
      <c r="D398" s="80"/>
      <c r="E398" s="80"/>
      <c r="F398" s="91"/>
      <c r="G398" s="92"/>
      <c r="H398" s="93"/>
    </row>
    <row r="399" spans="2:8" ht="13" x14ac:dyDescent="0.15">
      <c r="B399" s="82"/>
      <c r="C399" s="80"/>
      <c r="D399" s="80"/>
      <c r="E399" s="80"/>
      <c r="F399" s="91"/>
      <c r="G399" s="92"/>
      <c r="H399" s="93"/>
    </row>
    <row r="400" spans="2:8" ht="13" x14ac:dyDescent="0.15">
      <c r="B400" s="82"/>
      <c r="C400" s="80"/>
      <c r="D400" s="80"/>
      <c r="E400" s="80"/>
      <c r="F400" s="91"/>
      <c r="G400" s="92"/>
      <c r="H400" s="93"/>
    </row>
    <row r="401" spans="2:8" ht="13" x14ac:dyDescent="0.15">
      <c r="B401" s="82"/>
      <c r="C401" s="80"/>
      <c r="D401" s="80"/>
      <c r="E401" s="80"/>
      <c r="F401" s="91"/>
      <c r="G401" s="92"/>
      <c r="H401" s="93"/>
    </row>
    <row r="402" spans="2:8" ht="13" x14ac:dyDescent="0.15">
      <c r="B402" s="82"/>
      <c r="C402" s="80"/>
      <c r="D402" s="80"/>
      <c r="E402" s="80"/>
      <c r="F402" s="91"/>
      <c r="G402" s="92"/>
      <c r="H402" s="93"/>
    </row>
    <row r="403" spans="2:8" ht="13" x14ac:dyDescent="0.15">
      <c r="B403" s="82"/>
      <c r="C403" s="80"/>
      <c r="D403" s="80"/>
      <c r="E403" s="80"/>
      <c r="F403" s="91"/>
      <c r="G403" s="92"/>
      <c r="H403" s="93"/>
    </row>
    <row r="404" spans="2:8" ht="13" x14ac:dyDescent="0.15">
      <c r="B404" s="82"/>
      <c r="C404" s="80"/>
      <c r="D404" s="80"/>
      <c r="E404" s="80"/>
      <c r="F404" s="91"/>
      <c r="G404" s="92"/>
      <c r="H404" s="93"/>
    </row>
    <row r="405" spans="2:8" ht="13" x14ac:dyDescent="0.15">
      <c r="B405" s="82"/>
      <c r="C405" s="80"/>
      <c r="D405" s="80"/>
      <c r="E405" s="80"/>
      <c r="F405" s="91"/>
      <c r="G405" s="92"/>
      <c r="H405" s="93"/>
    </row>
    <row r="406" spans="2:8" ht="13" x14ac:dyDescent="0.15">
      <c r="B406" s="82"/>
      <c r="C406" s="80"/>
      <c r="D406" s="80"/>
      <c r="E406" s="80"/>
      <c r="F406" s="91"/>
      <c r="G406" s="92"/>
      <c r="H406" s="93"/>
    </row>
    <row r="407" spans="2:8" ht="13" x14ac:dyDescent="0.15">
      <c r="B407" s="82"/>
      <c r="C407" s="80"/>
      <c r="D407" s="80"/>
      <c r="E407" s="80"/>
      <c r="F407" s="91"/>
      <c r="G407" s="92"/>
      <c r="H407" s="93"/>
    </row>
    <row r="408" spans="2:8" ht="13" x14ac:dyDescent="0.15">
      <c r="B408" s="82"/>
      <c r="C408" s="80"/>
      <c r="D408" s="80"/>
      <c r="E408" s="80"/>
      <c r="F408" s="91"/>
      <c r="G408" s="92"/>
      <c r="H408" s="93"/>
    </row>
    <row r="409" spans="2:8" ht="13" x14ac:dyDescent="0.15">
      <c r="B409" s="82"/>
      <c r="C409" s="80"/>
      <c r="D409" s="80"/>
      <c r="E409" s="80"/>
      <c r="F409" s="91"/>
      <c r="G409" s="92"/>
      <c r="H409" s="93"/>
    </row>
    <row r="410" spans="2:8" ht="13" x14ac:dyDescent="0.15">
      <c r="B410" s="82"/>
      <c r="C410" s="80"/>
      <c r="D410" s="80"/>
      <c r="E410" s="80"/>
      <c r="F410" s="91"/>
      <c r="G410" s="92"/>
      <c r="H410" s="93"/>
    </row>
    <row r="411" spans="2:8" ht="13" x14ac:dyDescent="0.15">
      <c r="B411" s="82"/>
      <c r="C411" s="80"/>
      <c r="D411" s="80"/>
      <c r="E411" s="80"/>
      <c r="F411" s="91"/>
      <c r="G411" s="92"/>
      <c r="H411" s="93"/>
    </row>
    <row r="412" spans="2:8" ht="13" x14ac:dyDescent="0.15">
      <c r="B412" s="82"/>
      <c r="C412" s="80"/>
      <c r="D412" s="80"/>
      <c r="E412" s="80"/>
      <c r="F412" s="91"/>
      <c r="G412" s="92"/>
      <c r="H412" s="93"/>
    </row>
    <row r="413" spans="2:8" ht="13" x14ac:dyDescent="0.15">
      <c r="B413" s="82"/>
      <c r="C413" s="80"/>
      <c r="D413" s="80"/>
      <c r="E413" s="80"/>
      <c r="F413" s="91"/>
      <c r="G413" s="92"/>
      <c r="H413" s="93"/>
    </row>
    <row r="414" spans="2:8" ht="13" x14ac:dyDescent="0.15">
      <c r="B414" s="82"/>
      <c r="C414" s="80"/>
      <c r="D414" s="80"/>
      <c r="E414" s="80"/>
      <c r="F414" s="91"/>
      <c r="G414" s="92"/>
      <c r="H414" s="93"/>
    </row>
    <row r="415" spans="2:8" ht="13" x14ac:dyDescent="0.15">
      <c r="B415" s="82"/>
      <c r="C415" s="80"/>
      <c r="D415" s="80"/>
      <c r="E415" s="80"/>
      <c r="F415" s="91"/>
      <c r="G415" s="92"/>
      <c r="H415" s="93"/>
    </row>
    <row r="416" spans="2:8" ht="13" x14ac:dyDescent="0.15">
      <c r="B416" s="82"/>
      <c r="C416" s="80"/>
      <c r="D416" s="80"/>
      <c r="E416" s="80"/>
      <c r="F416" s="91"/>
      <c r="G416" s="92"/>
      <c r="H416" s="93"/>
    </row>
    <row r="417" spans="2:8" ht="13" x14ac:dyDescent="0.15">
      <c r="B417" s="82"/>
      <c r="C417" s="80"/>
      <c r="D417" s="80"/>
      <c r="E417" s="80"/>
      <c r="F417" s="91"/>
      <c r="G417" s="92"/>
      <c r="H417" s="93"/>
    </row>
    <row r="418" spans="2:8" ht="13" x14ac:dyDescent="0.15">
      <c r="B418" s="82"/>
      <c r="C418" s="80"/>
      <c r="D418" s="80"/>
      <c r="E418" s="80"/>
      <c r="F418" s="91"/>
      <c r="G418" s="92"/>
      <c r="H418" s="93"/>
    </row>
    <row r="419" spans="2:8" ht="13" x14ac:dyDescent="0.15">
      <c r="B419" s="82"/>
      <c r="C419" s="80"/>
      <c r="D419" s="80"/>
      <c r="E419" s="80"/>
      <c r="F419" s="91"/>
      <c r="G419" s="92"/>
      <c r="H419" s="93"/>
    </row>
    <row r="420" spans="2:8" ht="13" x14ac:dyDescent="0.15">
      <c r="B420" s="82"/>
      <c r="C420" s="80"/>
      <c r="D420" s="80"/>
      <c r="E420" s="80"/>
      <c r="F420" s="91"/>
      <c r="G420" s="92"/>
      <c r="H420" s="93"/>
    </row>
    <row r="421" spans="2:8" ht="13" x14ac:dyDescent="0.15">
      <c r="B421" s="82"/>
      <c r="C421" s="80"/>
      <c r="D421" s="80"/>
      <c r="E421" s="80"/>
      <c r="F421" s="91"/>
      <c r="G421" s="92"/>
      <c r="H421" s="93"/>
    </row>
    <row r="422" spans="2:8" ht="13" x14ac:dyDescent="0.15">
      <c r="B422" s="82"/>
      <c r="C422" s="80"/>
      <c r="D422" s="80"/>
      <c r="E422" s="80"/>
      <c r="F422" s="91"/>
      <c r="G422" s="92"/>
      <c r="H422" s="93"/>
    </row>
    <row r="423" spans="2:8" ht="13" x14ac:dyDescent="0.15">
      <c r="B423" s="82"/>
      <c r="C423" s="80"/>
      <c r="D423" s="80"/>
      <c r="E423" s="80"/>
      <c r="F423" s="91"/>
      <c r="G423" s="92"/>
      <c r="H423" s="93"/>
    </row>
    <row r="424" spans="2:8" ht="13" x14ac:dyDescent="0.15">
      <c r="B424" s="82"/>
      <c r="C424" s="80"/>
      <c r="D424" s="80"/>
      <c r="E424" s="80"/>
      <c r="F424" s="91"/>
      <c r="G424" s="92"/>
      <c r="H424" s="93"/>
    </row>
    <row r="425" spans="2:8" ht="13" x14ac:dyDescent="0.15">
      <c r="B425" s="82"/>
      <c r="C425" s="80"/>
      <c r="D425" s="80"/>
      <c r="E425" s="80"/>
      <c r="F425" s="91"/>
      <c r="G425" s="92"/>
      <c r="H425" s="93"/>
    </row>
    <row r="426" spans="2:8" ht="13" x14ac:dyDescent="0.15">
      <c r="B426" s="82"/>
      <c r="C426" s="80"/>
      <c r="D426" s="80"/>
      <c r="E426" s="80"/>
      <c r="F426" s="91"/>
      <c r="G426" s="92"/>
      <c r="H426" s="93"/>
    </row>
    <row r="427" spans="2:8" ht="13" x14ac:dyDescent="0.15">
      <c r="B427" s="82"/>
      <c r="C427" s="80"/>
      <c r="D427" s="80"/>
      <c r="E427" s="80"/>
      <c r="F427" s="91"/>
      <c r="G427" s="92"/>
      <c r="H427" s="93"/>
    </row>
    <row r="428" spans="2:8" ht="13" x14ac:dyDescent="0.15">
      <c r="B428" s="82"/>
      <c r="C428" s="80"/>
      <c r="D428" s="80"/>
      <c r="E428" s="80"/>
      <c r="F428" s="91"/>
      <c r="G428" s="92"/>
      <c r="H428" s="93"/>
    </row>
    <row r="429" spans="2:8" ht="13" x14ac:dyDescent="0.15">
      <c r="B429" s="82"/>
      <c r="C429" s="80"/>
      <c r="D429" s="80"/>
      <c r="E429" s="80"/>
      <c r="F429" s="91"/>
      <c r="G429" s="92"/>
      <c r="H429" s="93"/>
    </row>
    <row r="430" spans="2:8" ht="13" x14ac:dyDescent="0.15">
      <c r="B430" s="82"/>
      <c r="C430" s="80"/>
      <c r="D430" s="80"/>
      <c r="E430" s="80"/>
      <c r="F430" s="91"/>
      <c r="G430" s="92"/>
      <c r="H430" s="93"/>
    </row>
    <row r="431" spans="2:8" ht="13" x14ac:dyDescent="0.15">
      <c r="B431" s="82"/>
      <c r="C431" s="80"/>
      <c r="D431" s="80"/>
      <c r="E431" s="80"/>
      <c r="F431" s="91"/>
      <c r="G431" s="92"/>
      <c r="H431" s="93"/>
    </row>
    <row r="432" spans="2:8" ht="13" x14ac:dyDescent="0.15">
      <c r="B432" s="82"/>
      <c r="C432" s="80"/>
      <c r="D432" s="80"/>
      <c r="E432" s="80"/>
      <c r="F432" s="91"/>
      <c r="G432" s="92"/>
      <c r="H432" s="93"/>
    </row>
    <row r="433" spans="2:8" ht="13" x14ac:dyDescent="0.15">
      <c r="B433" s="82"/>
      <c r="C433" s="80"/>
      <c r="D433" s="80"/>
      <c r="E433" s="80"/>
      <c r="F433" s="91"/>
      <c r="G433" s="92"/>
      <c r="H433" s="93"/>
    </row>
    <row r="434" spans="2:8" ht="13" x14ac:dyDescent="0.15">
      <c r="B434" s="82"/>
      <c r="C434" s="80"/>
      <c r="D434" s="80"/>
      <c r="E434" s="80"/>
      <c r="F434" s="91"/>
      <c r="G434" s="92"/>
      <c r="H434" s="93"/>
    </row>
    <row r="435" spans="2:8" ht="13" x14ac:dyDescent="0.15">
      <c r="B435" s="82"/>
      <c r="C435" s="80"/>
      <c r="D435" s="80"/>
      <c r="E435" s="80"/>
      <c r="F435" s="91"/>
      <c r="G435" s="92"/>
      <c r="H435" s="93"/>
    </row>
    <row r="436" spans="2:8" ht="13" x14ac:dyDescent="0.15">
      <c r="B436" s="82"/>
      <c r="C436" s="80"/>
      <c r="D436" s="80"/>
      <c r="E436" s="80"/>
      <c r="F436" s="91"/>
      <c r="G436" s="92"/>
      <c r="H436" s="93"/>
    </row>
    <row r="437" spans="2:8" ht="13" x14ac:dyDescent="0.15">
      <c r="B437" s="82"/>
      <c r="C437" s="80"/>
      <c r="D437" s="80"/>
      <c r="E437" s="80"/>
      <c r="F437" s="91"/>
      <c r="G437" s="92"/>
      <c r="H437" s="93"/>
    </row>
    <row r="438" spans="2:8" ht="13" x14ac:dyDescent="0.15">
      <c r="B438" s="82"/>
      <c r="C438" s="80"/>
      <c r="D438" s="80"/>
      <c r="E438" s="80"/>
      <c r="F438" s="91"/>
      <c r="G438" s="92"/>
      <c r="H438" s="93"/>
    </row>
    <row r="439" spans="2:8" ht="13" x14ac:dyDescent="0.15">
      <c r="B439" s="82"/>
      <c r="C439" s="80"/>
      <c r="D439" s="80"/>
      <c r="E439" s="80"/>
      <c r="F439" s="91"/>
      <c r="G439" s="92"/>
      <c r="H439" s="93"/>
    </row>
    <row r="440" spans="2:8" ht="13" x14ac:dyDescent="0.15">
      <c r="B440" s="82"/>
      <c r="C440" s="80"/>
      <c r="D440" s="80"/>
      <c r="E440" s="80"/>
      <c r="F440" s="91"/>
      <c r="G440" s="92"/>
      <c r="H440" s="93"/>
    </row>
    <row r="441" spans="2:8" ht="13" x14ac:dyDescent="0.15">
      <c r="B441" s="82"/>
      <c r="C441" s="80"/>
      <c r="D441" s="80"/>
      <c r="E441" s="80"/>
      <c r="F441" s="91"/>
      <c r="G441" s="92"/>
      <c r="H441" s="93"/>
    </row>
    <row r="442" spans="2:8" ht="13" x14ac:dyDescent="0.15">
      <c r="B442" s="82"/>
      <c r="C442" s="80"/>
      <c r="D442" s="80"/>
      <c r="E442" s="80"/>
      <c r="F442" s="91"/>
      <c r="G442" s="92"/>
      <c r="H442" s="93"/>
    </row>
    <row r="443" spans="2:8" ht="13" x14ac:dyDescent="0.15">
      <c r="B443" s="82"/>
      <c r="C443" s="80"/>
      <c r="D443" s="80"/>
      <c r="E443" s="80"/>
      <c r="F443" s="91"/>
      <c r="G443" s="92"/>
      <c r="H443" s="93"/>
    </row>
    <row r="444" spans="2:8" ht="13" x14ac:dyDescent="0.15">
      <c r="B444" s="82"/>
      <c r="C444" s="80"/>
      <c r="D444" s="80"/>
      <c r="E444" s="80"/>
      <c r="F444" s="91"/>
      <c r="G444" s="92"/>
      <c r="H444" s="93"/>
    </row>
    <row r="445" spans="2:8" ht="13" x14ac:dyDescent="0.15">
      <c r="B445" s="82"/>
      <c r="C445" s="80"/>
      <c r="D445" s="80"/>
      <c r="E445" s="80"/>
      <c r="F445" s="91"/>
      <c r="G445" s="92"/>
      <c r="H445" s="93"/>
    </row>
    <row r="446" spans="2:8" ht="13" x14ac:dyDescent="0.15">
      <c r="B446" s="82"/>
      <c r="C446" s="80"/>
      <c r="D446" s="80"/>
      <c r="E446" s="80"/>
      <c r="F446" s="91"/>
      <c r="G446" s="92"/>
      <c r="H446" s="93"/>
    </row>
    <row r="447" spans="2:8" ht="13" x14ac:dyDescent="0.15">
      <c r="B447" s="82"/>
      <c r="C447" s="80"/>
      <c r="D447" s="80"/>
      <c r="E447" s="80"/>
      <c r="F447" s="91"/>
      <c r="G447" s="92"/>
      <c r="H447" s="93"/>
    </row>
    <row r="448" spans="2:8" ht="13" x14ac:dyDescent="0.15">
      <c r="B448" s="82"/>
      <c r="C448" s="80"/>
      <c r="D448" s="80"/>
      <c r="E448" s="80"/>
      <c r="F448" s="91"/>
      <c r="G448" s="92"/>
      <c r="H448" s="93"/>
    </row>
    <row r="449" spans="2:8" ht="13" x14ac:dyDescent="0.15">
      <c r="B449" s="82"/>
      <c r="C449" s="80"/>
      <c r="D449" s="80"/>
      <c r="E449" s="80"/>
      <c r="F449" s="91"/>
      <c r="G449" s="92"/>
      <c r="H449" s="93"/>
    </row>
    <row r="450" spans="2:8" ht="13" x14ac:dyDescent="0.15">
      <c r="B450" s="82"/>
      <c r="C450" s="80"/>
      <c r="D450" s="80"/>
      <c r="E450" s="80"/>
      <c r="F450" s="91"/>
      <c r="G450" s="92"/>
      <c r="H450" s="93"/>
    </row>
    <row r="451" spans="2:8" ht="13" x14ac:dyDescent="0.15">
      <c r="B451" s="82"/>
      <c r="C451" s="80"/>
      <c r="D451" s="80"/>
      <c r="E451" s="80"/>
      <c r="F451" s="91"/>
      <c r="G451" s="92"/>
      <c r="H451" s="93"/>
    </row>
    <row r="452" spans="2:8" ht="13" x14ac:dyDescent="0.15">
      <c r="B452" s="82"/>
      <c r="C452" s="80"/>
      <c r="D452" s="80"/>
      <c r="E452" s="80"/>
      <c r="F452" s="91"/>
      <c r="G452" s="92"/>
      <c r="H452" s="93"/>
    </row>
    <row r="453" spans="2:8" ht="13" x14ac:dyDescent="0.15">
      <c r="B453" s="82"/>
      <c r="C453" s="80"/>
      <c r="D453" s="80"/>
      <c r="E453" s="80"/>
      <c r="F453" s="91"/>
      <c r="G453" s="92"/>
      <c r="H453" s="93"/>
    </row>
    <row r="454" spans="2:8" ht="13" x14ac:dyDescent="0.15">
      <c r="B454" s="82"/>
      <c r="C454" s="80"/>
      <c r="D454" s="80"/>
      <c r="E454" s="80"/>
      <c r="F454" s="91"/>
      <c r="G454" s="92"/>
      <c r="H454" s="93"/>
    </row>
    <row r="455" spans="2:8" ht="13" x14ac:dyDescent="0.15">
      <c r="B455" s="82"/>
      <c r="C455" s="80"/>
      <c r="D455" s="80"/>
      <c r="E455" s="80"/>
      <c r="F455" s="91"/>
      <c r="G455" s="92"/>
      <c r="H455" s="93"/>
    </row>
    <row r="456" spans="2:8" ht="13" x14ac:dyDescent="0.15">
      <c r="B456" s="82"/>
      <c r="C456" s="80"/>
      <c r="D456" s="80"/>
      <c r="E456" s="80"/>
      <c r="F456" s="91"/>
      <c r="G456" s="92"/>
      <c r="H456" s="93"/>
    </row>
    <row r="457" spans="2:8" ht="13" x14ac:dyDescent="0.15">
      <c r="B457" s="82"/>
      <c r="C457" s="80"/>
      <c r="D457" s="80"/>
      <c r="E457" s="80"/>
      <c r="F457" s="91"/>
      <c r="G457" s="92"/>
      <c r="H457" s="93"/>
    </row>
    <row r="458" spans="2:8" ht="13" x14ac:dyDescent="0.15">
      <c r="B458" s="82"/>
      <c r="C458" s="80"/>
      <c r="D458" s="80"/>
      <c r="E458" s="80"/>
      <c r="F458" s="91"/>
      <c r="G458" s="92"/>
      <c r="H458" s="93"/>
    </row>
    <row r="459" spans="2:8" ht="13" x14ac:dyDescent="0.15">
      <c r="B459" s="82"/>
      <c r="C459" s="80"/>
      <c r="D459" s="80"/>
      <c r="E459" s="80"/>
      <c r="F459" s="91"/>
      <c r="G459" s="92"/>
      <c r="H459" s="93"/>
    </row>
    <row r="460" spans="2:8" ht="13" x14ac:dyDescent="0.15">
      <c r="B460" s="82"/>
      <c r="C460" s="80"/>
      <c r="D460" s="80"/>
      <c r="E460" s="80"/>
      <c r="F460" s="91"/>
      <c r="G460" s="92"/>
      <c r="H460" s="93"/>
    </row>
    <row r="461" spans="2:8" ht="13" x14ac:dyDescent="0.15">
      <c r="B461" s="82"/>
      <c r="C461" s="80"/>
      <c r="D461" s="80"/>
      <c r="E461" s="80"/>
      <c r="F461" s="91"/>
      <c r="G461" s="92"/>
      <c r="H461" s="93"/>
    </row>
    <row r="462" spans="2:8" ht="13" x14ac:dyDescent="0.15">
      <c r="B462" s="82"/>
      <c r="C462" s="80"/>
      <c r="D462" s="80"/>
      <c r="E462" s="80"/>
      <c r="F462" s="91"/>
      <c r="G462" s="92"/>
      <c r="H462" s="93"/>
    </row>
    <row r="463" spans="2:8" ht="13" x14ac:dyDescent="0.15">
      <c r="B463" s="82"/>
      <c r="C463" s="80"/>
      <c r="D463" s="80"/>
      <c r="E463" s="80"/>
      <c r="F463" s="91"/>
      <c r="G463" s="92"/>
      <c r="H463" s="93"/>
    </row>
    <row r="464" spans="2:8" ht="13" x14ac:dyDescent="0.15">
      <c r="B464" s="82"/>
      <c r="C464" s="80"/>
      <c r="D464" s="80"/>
      <c r="E464" s="80"/>
      <c r="F464" s="91"/>
      <c r="G464" s="92"/>
      <c r="H464" s="93"/>
    </row>
    <row r="465" spans="2:8" ht="13" x14ac:dyDescent="0.15">
      <c r="B465" s="82"/>
      <c r="C465" s="80"/>
      <c r="D465" s="80"/>
      <c r="E465" s="80"/>
      <c r="F465" s="91"/>
      <c r="G465" s="92"/>
      <c r="H465" s="93"/>
    </row>
    <row r="466" spans="2:8" ht="13" x14ac:dyDescent="0.15">
      <c r="B466" s="82"/>
      <c r="C466" s="80"/>
      <c r="D466" s="80"/>
      <c r="E466" s="80"/>
      <c r="F466" s="91"/>
      <c r="G466" s="92"/>
      <c r="H466" s="93"/>
    </row>
    <row r="467" spans="2:8" ht="13" x14ac:dyDescent="0.15">
      <c r="B467" s="82"/>
      <c r="C467" s="80"/>
      <c r="D467" s="80"/>
      <c r="E467" s="80"/>
      <c r="F467" s="91"/>
      <c r="G467" s="92"/>
      <c r="H467" s="93"/>
    </row>
    <row r="468" spans="2:8" ht="13" x14ac:dyDescent="0.15">
      <c r="B468" s="82"/>
      <c r="C468" s="80"/>
      <c r="D468" s="80"/>
      <c r="E468" s="80"/>
      <c r="F468" s="91"/>
      <c r="G468" s="92"/>
      <c r="H468" s="93"/>
    </row>
    <row r="469" spans="2:8" ht="13" x14ac:dyDescent="0.15">
      <c r="B469" s="82"/>
      <c r="C469" s="80"/>
      <c r="D469" s="80"/>
      <c r="E469" s="80"/>
      <c r="F469" s="91"/>
      <c r="G469" s="92"/>
      <c r="H469" s="93"/>
    </row>
    <row r="470" spans="2:8" ht="13" x14ac:dyDescent="0.15">
      <c r="B470" s="82"/>
      <c r="C470" s="80"/>
      <c r="D470" s="80"/>
      <c r="E470" s="80"/>
      <c r="F470" s="91"/>
      <c r="G470" s="92"/>
      <c r="H470" s="93"/>
    </row>
    <row r="471" spans="2:8" ht="13" x14ac:dyDescent="0.15">
      <c r="B471" s="82"/>
      <c r="C471" s="80"/>
      <c r="D471" s="80"/>
      <c r="E471" s="80"/>
      <c r="F471" s="91"/>
      <c r="G471" s="92"/>
      <c r="H471" s="93"/>
    </row>
    <row r="472" spans="2:8" ht="13" x14ac:dyDescent="0.15">
      <c r="B472" s="82"/>
      <c r="C472" s="80"/>
      <c r="D472" s="80"/>
      <c r="E472" s="80"/>
      <c r="F472" s="91"/>
      <c r="G472" s="92"/>
      <c r="H472" s="93"/>
    </row>
    <row r="473" spans="2:8" ht="13" x14ac:dyDescent="0.15">
      <c r="B473" s="82"/>
      <c r="C473" s="80"/>
      <c r="D473" s="80"/>
      <c r="E473" s="80"/>
      <c r="F473" s="91"/>
      <c r="G473" s="92"/>
      <c r="H473" s="93"/>
    </row>
    <row r="474" spans="2:8" ht="13" x14ac:dyDescent="0.15">
      <c r="B474" s="82"/>
      <c r="C474" s="80"/>
      <c r="D474" s="80"/>
      <c r="E474" s="80"/>
      <c r="F474" s="91"/>
      <c r="G474" s="92"/>
      <c r="H474" s="93"/>
    </row>
    <row r="475" spans="2:8" ht="13" x14ac:dyDescent="0.15">
      <c r="B475" s="82"/>
      <c r="C475" s="80"/>
      <c r="D475" s="80"/>
      <c r="E475" s="80"/>
      <c r="F475" s="91"/>
      <c r="G475" s="92"/>
      <c r="H475" s="93"/>
    </row>
    <row r="476" spans="2:8" ht="13" x14ac:dyDescent="0.15">
      <c r="B476" s="82"/>
      <c r="C476" s="80"/>
      <c r="D476" s="80"/>
      <c r="E476" s="80"/>
      <c r="F476" s="91"/>
      <c r="G476" s="92"/>
      <c r="H476" s="93"/>
    </row>
    <row r="477" spans="2:8" ht="13" x14ac:dyDescent="0.15">
      <c r="B477" s="82"/>
      <c r="C477" s="80"/>
      <c r="D477" s="80"/>
      <c r="E477" s="80"/>
      <c r="F477" s="91"/>
      <c r="G477" s="92"/>
      <c r="H477" s="93"/>
    </row>
    <row r="478" spans="2:8" ht="13" x14ac:dyDescent="0.15">
      <c r="B478" s="82"/>
      <c r="C478" s="80"/>
      <c r="D478" s="80"/>
      <c r="E478" s="80"/>
      <c r="F478" s="91"/>
      <c r="G478" s="92"/>
      <c r="H478" s="93"/>
    </row>
    <row r="479" spans="2:8" ht="13" x14ac:dyDescent="0.15">
      <c r="B479" s="82"/>
      <c r="C479" s="80"/>
      <c r="D479" s="80"/>
      <c r="E479" s="80"/>
      <c r="F479" s="91"/>
      <c r="G479" s="92"/>
      <c r="H479" s="93"/>
    </row>
    <row r="480" spans="2:8" ht="13" x14ac:dyDescent="0.15">
      <c r="B480" s="82"/>
      <c r="C480" s="80"/>
      <c r="D480" s="80"/>
      <c r="E480" s="80"/>
      <c r="F480" s="91"/>
      <c r="G480" s="92"/>
      <c r="H480" s="93"/>
    </row>
    <row r="481" spans="2:8" ht="13" x14ac:dyDescent="0.15">
      <c r="B481" s="82"/>
      <c r="C481" s="80"/>
      <c r="D481" s="80"/>
      <c r="E481" s="80"/>
      <c r="F481" s="91"/>
      <c r="G481" s="92"/>
      <c r="H481" s="93"/>
    </row>
    <row r="482" spans="2:8" ht="13" x14ac:dyDescent="0.15">
      <c r="B482" s="82"/>
      <c r="C482" s="80"/>
      <c r="D482" s="80"/>
      <c r="E482" s="80"/>
      <c r="F482" s="91"/>
      <c r="G482" s="92"/>
      <c r="H482" s="93"/>
    </row>
    <row r="483" spans="2:8" ht="13" x14ac:dyDescent="0.15">
      <c r="B483" s="82"/>
      <c r="C483" s="80"/>
      <c r="D483" s="80"/>
      <c r="E483" s="80"/>
      <c r="F483" s="91"/>
      <c r="G483" s="92"/>
      <c r="H483" s="93"/>
    </row>
    <row r="484" spans="2:8" ht="13" x14ac:dyDescent="0.15">
      <c r="B484" s="82"/>
      <c r="C484" s="80"/>
      <c r="D484" s="80"/>
      <c r="E484" s="80"/>
      <c r="F484" s="91"/>
      <c r="G484" s="92"/>
      <c r="H484" s="93"/>
    </row>
    <row r="485" spans="2:8" ht="13" x14ac:dyDescent="0.15">
      <c r="B485" s="82"/>
      <c r="C485" s="80"/>
      <c r="D485" s="80"/>
      <c r="E485" s="80"/>
      <c r="F485" s="91"/>
      <c r="G485" s="92"/>
      <c r="H485" s="93"/>
    </row>
    <row r="486" spans="2:8" ht="13" x14ac:dyDescent="0.15">
      <c r="B486" s="82"/>
      <c r="C486" s="80"/>
      <c r="D486" s="80"/>
      <c r="E486" s="80"/>
      <c r="F486" s="91"/>
      <c r="G486" s="92"/>
      <c r="H486" s="93"/>
    </row>
    <row r="487" spans="2:8" ht="13" x14ac:dyDescent="0.15">
      <c r="B487" s="82"/>
      <c r="C487" s="80"/>
      <c r="D487" s="80"/>
      <c r="E487" s="80"/>
      <c r="F487" s="91"/>
      <c r="G487" s="92"/>
      <c r="H487" s="93"/>
    </row>
    <row r="488" spans="2:8" ht="13" x14ac:dyDescent="0.15">
      <c r="B488" s="82"/>
      <c r="C488" s="80"/>
      <c r="D488" s="80"/>
      <c r="E488" s="80"/>
      <c r="F488" s="91"/>
      <c r="G488" s="92"/>
      <c r="H488" s="93"/>
    </row>
    <row r="489" spans="2:8" ht="13" x14ac:dyDescent="0.15">
      <c r="B489" s="82"/>
      <c r="C489" s="80"/>
      <c r="D489" s="80"/>
      <c r="E489" s="80"/>
      <c r="F489" s="91"/>
      <c r="G489" s="92"/>
      <c r="H489" s="93"/>
    </row>
    <row r="490" spans="2:8" ht="13" x14ac:dyDescent="0.15">
      <c r="B490" s="82"/>
      <c r="C490" s="80"/>
      <c r="D490" s="80"/>
      <c r="E490" s="80"/>
      <c r="F490" s="91"/>
      <c r="G490" s="92"/>
      <c r="H490" s="93"/>
    </row>
    <row r="491" spans="2:8" ht="13" x14ac:dyDescent="0.15">
      <c r="B491" s="82"/>
      <c r="C491" s="80"/>
      <c r="D491" s="80"/>
      <c r="E491" s="80"/>
      <c r="F491" s="91"/>
      <c r="G491" s="92"/>
      <c r="H491" s="93"/>
    </row>
    <row r="492" spans="2:8" ht="13" x14ac:dyDescent="0.15">
      <c r="B492" s="82"/>
      <c r="C492" s="80"/>
      <c r="D492" s="80"/>
      <c r="E492" s="80"/>
      <c r="F492" s="91"/>
      <c r="G492" s="92"/>
      <c r="H492" s="93"/>
    </row>
    <row r="493" spans="2:8" ht="13" x14ac:dyDescent="0.15">
      <c r="B493" s="82"/>
      <c r="C493" s="80"/>
      <c r="D493" s="80"/>
      <c r="E493" s="80"/>
      <c r="F493" s="91"/>
      <c r="G493" s="92"/>
      <c r="H493" s="93"/>
    </row>
    <row r="494" spans="2:8" ht="13" x14ac:dyDescent="0.15">
      <c r="B494" s="82"/>
      <c r="C494" s="80"/>
      <c r="D494" s="80"/>
      <c r="E494" s="80"/>
      <c r="F494" s="91"/>
      <c r="G494" s="92"/>
      <c r="H494" s="93"/>
    </row>
    <row r="495" spans="2:8" ht="13" x14ac:dyDescent="0.15">
      <c r="B495" s="82"/>
      <c r="C495" s="80"/>
      <c r="D495" s="80"/>
      <c r="E495" s="80"/>
      <c r="F495" s="91"/>
      <c r="G495" s="92"/>
      <c r="H495" s="93"/>
    </row>
    <row r="496" spans="2:8" ht="13" x14ac:dyDescent="0.15">
      <c r="B496" s="82"/>
      <c r="C496" s="80"/>
      <c r="D496" s="80"/>
      <c r="E496" s="80"/>
      <c r="F496" s="91"/>
      <c r="G496" s="92"/>
      <c r="H496" s="93"/>
    </row>
    <row r="497" spans="2:8" ht="13" x14ac:dyDescent="0.15">
      <c r="B497" s="82"/>
      <c r="C497" s="80"/>
      <c r="D497" s="80"/>
      <c r="E497" s="80"/>
      <c r="F497" s="91"/>
      <c r="G497" s="92"/>
      <c r="H497" s="93"/>
    </row>
    <row r="498" spans="2:8" ht="13" x14ac:dyDescent="0.15">
      <c r="B498" s="82"/>
      <c r="C498" s="80"/>
      <c r="D498" s="80"/>
      <c r="E498" s="80"/>
      <c r="F498" s="91"/>
      <c r="G498" s="92"/>
      <c r="H498" s="93"/>
    </row>
    <row r="499" spans="2:8" ht="13" x14ac:dyDescent="0.15">
      <c r="B499" s="82"/>
      <c r="C499" s="80"/>
      <c r="D499" s="80"/>
      <c r="E499" s="80"/>
      <c r="F499" s="91"/>
      <c r="G499" s="92"/>
      <c r="H499" s="93"/>
    </row>
    <row r="500" spans="2:8" ht="13" x14ac:dyDescent="0.15">
      <c r="B500" s="82"/>
      <c r="C500" s="80"/>
      <c r="D500" s="80"/>
      <c r="E500" s="80"/>
      <c r="F500" s="91"/>
      <c r="G500" s="92"/>
      <c r="H500" s="93"/>
    </row>
    <row r="501" spans="2:8" ht="13" x14ac:dyDescent="0.15">
      <c r="B501" s="82"/>
      <c r="C501" s="80"/>
      <c r="D501" s="80"/>
      <c r="E501" s="80"/>
      <c r="F501" s="91"/>
      <c r="G501" s="92"/>
      <c r="H501" s="93"/>
    </row>
    <row r="502" spans="2:8" ht="13" x14ac:dyDescent="0.15">
      <c r="B502" s="82"/>
      <c r="C502" s="80"/>
      <c r="D502" s="80"/>
      <c r="E502" s="80"/>
      <c r="F502" s="91"/>
      <c r="G502" s="92"/>
      <c r="H502" s="93"/>
    </row>
    <row r="503" spans="2:8" ht="13" x14ac:dyDescent="0.15">
      <c r="B503" s="82"/>
      <c r="C503" s="80"/>
      <c r="D503" s="80"/>
      <c r="E503" s="80"/>
      <c r="F503" s="91"/>
      <c r="G503" s="92"/>
      <c r="H503" s="93"/>
    </row>
    <row r="504" spans="2:8" ht="13" x14ac:dyDescent="0.15">
      <c r="B504" s="82"/>
      <c r="C504" s="80"/>
      <c r="D504" s="80"/>
      <c r="E504" s="80"/>
      <c r="F504" s="91"/>
      <c r="G504" s="92"/>
      <c r="H504" s="93"/>
    </row>
    <row r="505" spans="2:8" ht="13" x14ac:dyDescent="0.15">
      <c r="B505" s="82"/>
      <c r="C505" s="80"/>
      <c r="D505" s="80"/>
      <c r="E505" s="80"/>
      <c r="F505" s="91"/>
      <c r="G505" s="92"/>
      <c r="H505" s="93"/>
    </row>
    <row r="506" spans="2:8" ht="13" x14ac:dyDescent="0.15">
      <c r="B506" s="82"/>
      <c r="C506" s="80"/>
      <c r="D506" s="80"/>
      <c r="E506" s="80"/>
      <c r="F506" s="91"/>
      <c r="G506" s="92"/>
      <c r="H506" s="93"/>
    </row>
    <row r="507" spans="2:8" ht="13" x14ac:dyDescent="0.15">
      <c r="B507" s="82"/>
      <c r="C507" s="80"/>
      <c r="D507" s="80"/>
      <c r="E507" s="80"/>
      <c r="F507" s="91"/>
      <c r="G507" s="92"/>
      <c r="H507" s="93"/>
    </row>
    <row r="508" spans="2:8" ht="13" x14ac:dyDescent="0.15">
      <c r="B508" s="82"/>
      <c r="C508" s="80"/>
      <c r="D508" s="80"/>
      <c r="E508" s="80"/>
      <c r="F508" s="91"/>
      <c r="G508" s="92"/>
      <c r="H508" s="93"/>
    </row>
    <row r="509" spans="2:8" ht="13" x14ac:dyDescent="0.15">
      <c r="B509" s="82"/>
      <c r="C509" s="80"/>
      <c r="D509" s="80"/>
      <c r="E509" s="80"/>
      <c r="F509" s="91"/>
      <c r="G509" s="92"/>
      <c r="H509" s="93"/>
    </row>
    <row r="510" spans="2:8" ht="13" x14ac:dyDescent="0.15">
      <c r="B510" s="82"/>
      <c r="C510" s="80"/>
      <c r="D510" s="80"/>
      <c r="E510" s="80"/>
      <c r="F510" s="91"/>
      <c r="G510" s="92"/>
      <c r="H510" s="93"/>
    </row>
    <row r="511" spans="2:8" ht="13" x14ac:dyDescent="0.15">
      <c r="B511" s="82"/>
      <c r="C511" s="80"/>
      <c r="D511" s="80"/>
      <c r="E511" s="80"/>
      <c r="F511" s="91"/>
      <c r="G511" s="92"/>
      <c r="H511" s="93"/>
    </row>
    <row r="512" spans="2:8" ht="13" x14ac:dyDescent="0.15">
      <c r="B512" s="82"/>
      <c r="C512" s="80"/>
      <c r="D512" s="80"/>
      <c r="E512" s="80"/>
      <c r="F512" s="91"/>
      <c r="G512" s="92"/>
      <c r="H512" s="93"/>
    </row>
    <row r="513" spans="2:8" ht="13" x14ac:dyDescent="0.15">
      <c r="B513" s="82"/>
      <c r="C513" s="80"/>
      <c r="D513" s="80"/>
      <c r="E513" s="80"/>
      <c r="F513" s="91"/>
      <c r="G513" s="92"/>
      <c r="H513" s="93"/>
    </row>
    <row r="514" spans="2:8" ht="13" x14ac:dyDescent="0.15">
      <c r="B514" s="82"/>
      <c r="C514" s="80"/>
      <c r="D514" s="80"/>
      <c r="E514" s="80"/>
      <c r="F514" s="91"/>
      <c r="G514" s="92"/>
      <c r="H514" s="93"/>
    </row>
    <row r="515" spans="2:8" ht="13" x14ac:dyDescent="0.15">
      <c r="B515" s="82"/>
      <c r="C515" s="80"/>
      <c r="D515" s="80"/>
      <c r="E515" s="80"/>
      <c r="F515" s="91"/>
      <c r="G515" s="92"/>
      <c r="H515" s="93"/>
    </row>
    <row r="516" spans="2:8" ht="13" x14ac:dyDescent="0.15">
      <c r="B516" s="82"/>
      <c r="C516" s="80"/>
      <c r="D516" s="80"/>
      <c r="E516" s="80"/>
      <c r="F516" s="91"/>
      <c r="G516" s="92"/>
      <c r="H516" s="93"/>
    </row>
    <row r="517" spans="2:8" ht="13" x14ac:dyDescent="0.15">
      <c r="B517" s="82"/>
      <c r="C517" s="80"/>
      <c r="D517" s="80"/>
      <c r="E517" s="80"/>
      <c r="F517" s="91"/>
      <c r="G517" s="92"/>
      <c r="H517" s="93"/>
    </row>
    <row r="518" spans="2:8" ht="13" x14ac:dyDescent="0.15">
      <c r="B518" s="82"/>
      <c r="C518" s="80"/>
      <c r="D518" s="80"/>
      <c r="E518" s="80"/>
      <c r="F518" s="91"/>
      <c r="G518" s="92"/>
      <c r="H518" s="93"/>
    </row>
    <row r="519" spans="2:8" ht="13" x14ac:dyDescent="0.15">
      <c r="B519" s="82"/>
      <c r="C519" s="80"/>
      <c r="D519" s="80"/>
      <c r="E519" s="80"/>
      <c r="F519" s="91"/>
      <c r="G519" s="92"/>
      <c r="H519" s="93"/>
    </row>
    <row r="520" spans="2:8" ht="13" x14ac:dyDescent="0.15">
      <c r="B520" s="82"/>
      <c r="C520" s="80"/>
      <c r="D520" s="80"/>
      <c r="E520" s="80"/>
      <c r="F520" s="91"/>
      <c r="G520" s="92"/>
      <c r="H520" s="93"/>
    </row>
    <row r="521" spans="2:8" ht="13" x14ac:dyDescent="0.15">
      <c r="B521" s="82"/>
      <c r="C521" s="80"/>
      <c r="D521" s="80"/>
      <c r="E521" s="80"/>
      <c r="F521" s="91"/>
      <c r="G521" s="92"/>
      <c r="H521" s="93"/>
    </row>
    <row r="522" spans="2:8" ht="13" x14ac:dyDescent="0.15">
      <c r="B522" s="82"/>
      <c r="C522" s="80"/>
      <c r="D522" s="80"/>
      <c r="E522" s="80"/>
      <c r="F522" s="91"/>
      <c r="G522" s="92"/>
      <c r="H522" s="93"/>
    </row>
    <row r="523" spans="2:8" ht="13" x14ac:dyDescent="0.15">
      <c r="B523" s="82"/>
      <c r="C523" s="80"/>
      <c r="D523" s="80"/>
      <c r="E523" s="80"/>
      <c r="F523" s="91"/>
      <c r="G523" s="92"/>
      <c r="H523" s="93"/>
    </row>
    <row r="524" spans="2:8" ht="13" x14ac:dyDescent="0.15">
      <c r="B524" s="82"/>
      <c r="C524" s="80"/>
      <c r="D524" s="80"/>
      <c r="E524" s="80"/>
      <c r="F524" s="91"/>
      <c r="G524" s="92"/>
      <c r="H524" s="93"/>
    </row>
    <row r="525" spans="2:8" ht="13" x14ac:dyDescent="0.15">
      <c r="B525" s="82"/>
      <c r="C525" s="80"/>
      <c r="D525" s="80"/>
      <c r="E525" s="80"/>
      <c r="F525" s="91"/>
      <c r="G525" s="92"/>
      <c r="H525" s="93"/>
    </row>
    <row r="526" spans="2:8" ht="13" x14ac:dyDescent="0.15">
      <c r="B526" s="82"/>
      <c r="C526" s="80"/>
      <c r="D526" s="80"/>
      <c r="E526" s="80"/>
      <c r="F526" s="91"/>
      <c r="G526" s="92"/>
      <c r="H526" s="93"/>
    </row>
    <row r="527" spans="2:8" ht="13" x14ac:dyDescent="0.15">
      <c r="B527" s="82"/>
      <c r="C527" s="80"/>
      <c r="D527" s="80"/>
      <c r="E527" s="80"/>
      <c r="F527" s="91"/>
      <c r="G527" s="92"/>
      <c r="H527" s="93"/>
    </row>
    <row r="528" spans="2:8" ht="13" x14ac:dyDescent="0.15">
      <c r="B528" s="82"/>
      <c r="C528" s="80"/>
      <c r="D528" s="80"/>
      <c r="E528" s="80"/>
      <c r="F528" s="91"/>
      <c r="G528" s="92"/>
      <c r="H528" s="93"/>
    </row>
    <row r="529" spans="2:8" ht="13" x14ac:dyDescent="0.15">
      <c r="B529" s="82"/>
      <c r="C529" s="80"/>
      <c r="D529" s="80"/>
      <c r="E529" s="80"/>
      <c r="F529" s="91"/>
      <c r="G529" s="92"/>
      <c r="H529" s="93"/>
    </row>
    <row r="530" spans="2:8" ht="13" x14ac:dyDescent="0.15">
      <c r="B530" s="82"/>
      <c r="C530" s="80"/>
      <c r="D530" s="80"/>
      <c r="E530" s="80"/>
      <c r="F530" s="91"/>
      <c r="G530" s="92"/>
      <c r="H530" s="93"/>
    </row>
    <row r="531" spans="2:8" ht="13" x14ac:dyDescent="0.15">
      <c r="B531" s="82"/>
      <c r="C531" s="80"/>
      <c r="D531" s="80"/>
      <c r="E531" s="80"/>
      <c r="F531" s="91"/>
      <c r="G531" s="92"/>
      <c r="H531" s="93"/>
    </row>
    <row r="532" spans="2:8" ht="13" x14ac:dyDescent="0.15">
      <c r="B532" s="82"/>
      <c r="C532" s="80"/>
      <c r="D532" s="80"/>
      <c r="E532" s="80"/>
      <c r="F532" s="91"/>
      <c r="G532" s="92"/>
      <c r="H532" s="93"/>
    </row>
    <row r="533" spans="2:8" ht="13" x14ac:dyDescent="0.15">
      <c r="B533" s="82"/>
      <c r="C533" s="80"/>
      <c r="D533" s="80"/>
      <c r="E533" s="80"/>
      <c r="F533" s="91"/>
      <c r="G533" s="92"/>
      <c r="H533" s="93"/>
    </row>
    <row r="534" spans="2:8" ht="13" x14ac:dyDescent="0.15">
      <c r="B534" s="82"/>
      <c r="C534" s="80"/>
      <c r="D534" s="80"/>
      <c r="E534" s="80"/>
      <c r="F534" s="91"/>
      <c r="G534" s="92"/>
      <c r="H534" s="93"/>
    </row>
    <row r="535" spans="2:8" ht="13" x14ac:dyDescent="0.15">
      <c r="B535" s="82"/>
      <c r="C535" s="80"/>
      <c r="D535" s="80"/>
      <c r="E535" s="80"/>
      <c r="F535" s="91"/>
      <c r="G535" s="92"/>
      <c r="H535" s="93"/>
    </row>
    <row r="536" spans="2:8" ht="13" x14ac:dyDescent="0.15">
      <c r="B536" s="82"/>
      <c r="C536" s="80"/>
      <c r="D536" s="80"/>
      <c r="E536" s="80"/>
      <c r="F536" s="91"/>
      <c r="G536" s="92"/>
      <c r="H536" s="93"/>
    </row>
    <row r="537" spans="2:8" ht="13" x14ac:dyDescent="0.15">
      <c r="B537" s="82"/>
      <c r="C537" s="80"/>
      <c r="D537" s="80"/>
      <c r="E537" s="80"/>
      <c r="F537" s="91"/>
      <c r="G537" s="92"/>
      <c r="H537" s="93"/>
    </row>
    <row r="538" spans="2:8" ht="13" x14ac:dyDescent="0.15">
      <c r="B538" s="82"/>
      <c r="C538" s="80"/>
      <c r="D538" s="80"/>
      <c r="E538" s="80"/>
      <c r="F538" s="91"/>
      <c r="G538" s="92"/>
      <c r="H538" s="93"/>
    </row>
    <row r="539" spans="2:8" ht="13" x14ac:dyDescent="0.15">
      <c r="B539" s="82"/>
      <c r="C539" s="80"/>
      <c r="D539" s="80"/>
      <c r="E539" s="80"/>
      <c r="F539" s="91"/>
      <c r="G539" s="92"/>
      <c r="H539" s="93"/>
    </row>
    <row r="540" spans="2:8" ht="13" x14ac:dyDescent="0.15">
      <c r="B540" s="82"/>
      <c r="C540" s="80"/>
      <c r="D540" s="80"/>
      <c r="E540" s="80"/>
      <c r="F540" s="91"/>
      <c r="G540" s="92"/>
      <c r="H540" s="93"/>
    </row>
    <row r="541" spans="2:8" ht="13" x14ac:dyDescent="0.15">
      <c r="B541" s="82"/>
      <c r="C541" s="80"/>
      <c r="D541" s="80"/>
      <c r="E541" s="80"/>
      <c r="F541" s="91"/>
      <c r="G541" s="92"/>
      <c r="H541" s="93"/>
    </row>
    <row r="542" spans="2:8" ht="13" x14ac:dyDescent="0.15">
      <c r="B542" s="82"/>
      <c r="C542" s="80"/>
      <c r="D542" s="80"/>
      <c r="E542" s="80"/>
      <c r="F542" s="91"/>
      <c r="G542" s="92"/>
      <c r="H542" s="93"/>
    </row>
    <row r="543" spans="2:8" ht="13" x14ac:dyDescent="0.15">
      <c r="B543" s="82"/>
      <c r="C543" s="80"/>
      <c r="D543" s="80"/>
      <c r="E543" s="80"/>
      <c r="F543" s="91"/>
      <c r="G543" s="92"/>
      <c r="H543" s="93"/>
    </row>
    <row r="544" spans="2:8" ht="13" x14ac:dyDescent="0.15">
      <c r="B544" s="82"/>
      <c r="C544" s="80"/>
      <c r="D544" s="80"/>
      <c r="E544" s="80"/>
      <c r="F544" s="91"/>
      <c r="G544" s="92"/>
      <c r="H544" s="93"/>
    </row>
    <row r="545" spans="2:8" ht="13" x14ac:dyDescent="0.15">
      <c r="B545" s="82"/>
      <c r="C545" s="80"/>
      <c r="D545" s="80"/>
      <c r="E545" s="80"/>
      <c r="F545" s="91"/>
      <c r="G545" s="92"/>
      <c r="H545" s="93"/>
    </row>
    <row r="546" spans="2:8" ht="13" x14ac:dyDescent="0.15">
      <c r="B546" s="82"/>
      <c r="C546" s="80"/>
      <c r="D546" s="80"/>
      <c r="E546" s="80"/>
      <c r="F546" s="91"/>
      <c r="G546" s="92"/>
      <c r="H546" s="93"/>
    </row>
    <row r="547" spans="2:8" ht="13" x14ac:dyDescent="0.15">
      <c r="B547" s="82"/>
      <c r="C547" s="80"/>
      <c r="D547" s="80"/>
      <c r="E547" s="80"/>
      <c r="F547" s="91"/>
      <c r="G547" s="92"/>
      <c r="H547" s="93"/>
    </row>
    <row r="548" spans="2:8" ht="13" x14ac:dyDescent="0.15">
      <c r="B548" s="82"/>
      <c r="C548" s="80"/>
      <c r="D548" s="80"/>
      <c r="E548" s="80"/>
      <c r="F548" s="91"/>
      <c r="G548" s="92"/>
      <c r="H548" s="93"/>
    </row>
    <row r="549" spans="2:8" ht="13" x14ac:dyDescent="0.15">
      <c r="B549" s="82"/>
      <c r="C549" s="80"/>
      <c r="D549" s="80"/>
      <c r="E549" s="80"/>
      <c r="F549" s="91"/>
      <c r="G549" s="92"/>
      <c r="H549" s="93"/>
    </row>
    <row r="550" spans="2:8" ht="13" x14ac:dyDescent="0.15">
      <c r="B550" s="82"/>
      <c r="C550" s="80"/>
      <c r="D550" s="80"/>
      <c r="E550" s="80"/>
      <c r="F550" s="91"/>
      <c r="G550" s="92"/>
      <c r="H550" s="93"/>
    </row>
    <row r="551" spans="2:8" ht="13" x14ac:dyDescent="0.15">
      <c r="B551" s="82"/>
      <c r="C551" s="80"/>
      <c r="D551" s="80"/>
      <c r="E551" s="80"/>
      <c r="F551" s="91"/>
      <c r="G551" s="92"/>
      <c r="H551" s="93"/>
    </row>
    <row r="552" spans="2:8" ht="13" x14ac:dyDescent="0.15">
      <c r="B552" s="82"/>
      <c r="C552" s="80"/>
      <c r="D552" s="80"/>
      <c r="E552" s="80"/>
      <c r="F552" s="91"/>
      <c r="G552" s="92"/>
      <c r="H552" s="93"/>
    </row>
    <row r="553" spans="2:8" ht="13" x14ac:dyDescent="0.15">
      <c r="B553" s="82"/>
      <c r="C553" s="80"/>
      <c r="D553" s="80"/>
      <c r="E553" s="80"/>
      <c r="F553" s="91"/>
      <c r="G553" s="92"/>
      <c r="H553" s="93"/>
    </row>
    <row r="554" spans="2:8" ht="13" x14ac:dyDescent="0.15">
      <c r="B554" s="82"/>
      <c r="C554" s="80"/>
      <c r="D554" s="80"/>
      <c r="E554" s="80"/>
      <c r="F554" s="91"/>
      <c r="G554" s="92"/>
      <c r="H554" s="93"/>
    </row>
    <row r="555" spans="2:8" ht="13" x14ac:dyDescent="0.15">
      <c r="B555" s="82"/>
      <c r="C555" s="80"/>
      <c r="D555" s="80"/>
      <c r="E555" s="80"/>
      <c r="F555" s="91"/>
      <c r="G555" s="92"/>
      <c r="H555" s="93"/>
    </row>
    <row r="556" spans="2:8" ht="13" x14ac:dyDescent="0.15">
      <c r="B556" s="82"/>
      <c r="C556" s="80"/>
      <c r="D556" s="80"/>
      <c r="E556" s="80"/>
      <c r="F556" s="91"/>
      <c r="G556" s="92"/>
      <c r="H556" s="93"/>
    </row>
    <row r="557" spans="2:8" ht="13" x14ac:dyDescent="0.15">
      <c r="B557" s="82"/>
      <c r="C557" s="80"/>
      <c r="D557" s="80"/>
      <c r="E557" s="80"/>
      <c r="F557" s="91"/>
      <c r="G557" s="92"/>
      <c r="H557" s="93"/>
    </row>
    <row r="558" spans="2:8" ht="13" x14ac:dyDescent="0.15">
      <c r="B558" s="82"/>
      <c r="C558" s="80"/>
      <c r="D558" s="80"/>
      <c r="E558" s="80"/>
      <c r="F558" s="91"/>
      <c r="G558" s="92"/>
      <c r="H558" s="93"/>
    </row>
    <row r="559" spans="2:8" ht="13" x14ac:dyDescent="0.15">
      <c r="B559" s="82"/>
      <c r="C559" s="80"/>
      <c r="D559" s="80"/>
      <c r="E559" s="80"/>
      <c r="F559" s="91"/>
      <c r="G559" s="92"/>
      <c r="H559" s="93"/>
    </row>
    <row r="560" spans="2:8" ht="13" x14ac:dyDescent="0.15">
      <c r="B560" s="82"/>
      <c r="C560" s="80"/>
      <c r="D560" s="80"/>
      <c r="E560" s="80"/>
      <c r="F560" s="91"/>
      <c r="G560" s="92"/>
      <c r="H560" s="93"/>
    </row>
    <row r="561" spans="2:8" ht="13" x14ac:dyDescent="0.15">
      <c r="B561" s="82"/>
      <c r="C561" s="80"/>
      <c r="D561" s="80"/>
      <c r="E561" s="80"/>
      <c r="F561" s="91"/>
      <c r="G561" s="92"/>
      <c r="H561" s="93"/>
    </row>
    <row r="562" spans="2:8" ht="13" x14ac:dyDescent="0.15">
      <c r="B562" s="82"/>
      <c r="C562" s="80"/>
      <c r="D562" s="80"/>
      <c r="E562" s="80"/>
      <c r="F562" s="91"/>
      <c r="G562" s="92"/>
      <c r="H562" s="93"/>
    </row>
    <row r="563" spans="2:8" ht="13" x14ac:dyDescent="0.15">
      <c r="B563" s="82"/>
      <c r="C563" s="80"/>
      <c r="D563" s="80"/>
      <c r="E563" s="80"/>
      <c r="F563" s="91"/>
      <c r="G563" s="92"/>
      <c r="H563" s="93"/>
    </row>
    <row r="564" spans="2:8" ht="13" x14ac:dyDescent="0.15">
      <c r="B564" s="82"/>
      <c r="C564" s="80"/>
      <c r="D564" s="80"/>
      <c r="E564" s="80"/>
      <c r="F564" s="91"/>
      <c r="G564" s="92"/>
      <c r="H564" s="93"/>
    </row>
    <row r="565" spans="2:8" ht="13" x14ac:dyDescent="0.15">
      <c r="B565" s="82"/>
      <c r="C565" s="80"/>
      <c r="D565" s="80"/>
      <c r="E565" s="80"/>
      <c r="F565" s="91"/>
      <c r="G565" s="92"/>
      <c r="H565" s="93"/>
    </row>
    <row r="566" spans="2:8" ht="13" x14ac:dyDescent="0.15">
      <c r="B566" s="82"/>
      <c r="C566" s="80"/>
      <c r="D566" s="80"/>
      <c r="E566" s="80"/>
      <c r="F566" s="91"/>
      <c r="G566" s="92"/>
      <c r="H566" s="93"/>
    </row>
    <row r="567" spans="2:8" ht="13" x14ac:dyDescent="0.15">
      <c r="B567" s="82"/>
      <c r="C567" s="80"/>
      <c r="D567" s="80"/>
      <c r="E567" s="80"/>
      <c r="F567" s="91"/>
      <c r="G567" s="92"/>
      <c r="H567" s="93"/>
    </row>
    <row r="568" spans="2:8" ht="13" x14ac:dyDescent="0.15">
      <c r="B568" s="82"/>
      <c r="C568" s="80"/>
      <c r="D568" s="80"/>
      <c r="E568" s="80"/>
      <c r="F568" s="91"/>
      <c r="G568" s="92"/>
      <c r="H568" s="93"/>
    </row>
    <row r="569" spans="2:8" ht="13" x14ac:dyDescent="0.15">
      <c r="B569" s="82"/>
      <c r="C569" s="80"/>
      <c r="D569" s="80"/>
      <c r="E569" s="80"/>
      <c r="F569" s="91"/>
      <c r="G569" s="92"/>
      <c r="H569" s="93"/>
    </row>
    <row r="570" spans="2:8" ht="13" x14ac:dyDescent="0.15">
      <c r="B570" s="82"/>
      <c r="C570" s="80"/>
      <c r="D570" s="80"/>
      <c r="E570" s="80"/>
      <c r="F570" s="91"/>
      <c r="G570" s="92"/>
      <c r="H570" s="93"/>
    </row>
    <row r="571" spans="2:8" ht="13" x14ac:dyDescent="0.15">
      <c r="B571" s="82"/>
      <c r="C571" s="80"/>
      <c r="D571" s="80"/>
      <c r="E571" s="80"/>
      <c r="F571" s="91"/>
      <c r="G571" s="92"/>
      <c r="H571" s="93"/>
    </row>
    <row r="572" spans="2:8" ht="13" x14ac:dyDescent="0.15">
      <c r="B572" s="82"/>
      <c r="C572" s="80"/>
      <c r="D572" s="80"/>
      <c r="E572" s="80"/>
      <c r="F572" s="91"/>
      <c r="G572" s="92"/>
      <c r="H572" s="93"/>
    </row>
    <row r="573" spans="2:8" ht="13" x14ac:dyDescent="0.15">
      <c r="B573" s="82"/>
      <c r="C573" s="80"/>
      <c r="D573" s="80"/>
      <c r="E573" s="80"/>
      <c r="F573" s="91"/>
      <c r="G573" s="92"/>
      <c r="H573" s="93"/>
    </row>
    <row r="574" spans="2:8" ht="13" x14ac:dyDescent="0.15">
      <c r="B574" s="82"/>
      <c r="C574" s="80"/>
      <c r="D574" s="80"/>
      <c r="E574" s="80"/>
      <c r="F574" s="91"/>
      <c r="G574" s="92"/>
      <c r="H574" s="93"/>
    </row>
    <row r="575" spans="2:8" ht="13" x14ac:dyDescent="0.15">
      <c r="B575" s="82"/>
      <c r="C575" s="80"/>
      <c r="D575" s="80"/>
      <c r="E575" s="80"/>
      <c r="F575" s="91"/>
      <c r="G575" s="92"/>
      <c r="H575" s="93"/>
    </row>
    <row r="576" spans="2:8" ht="13" x14ac:dyDescent="0.15">
      <c r="B576" s="82"/>
      <c r="C576" s="80"/>
      <c r="D576" s="80"/>
      <c r="E576" s="80"/>
      <c r="F576" s="91"/>
      <c r="G576" s="92"/>
      <c r="H576" s="93"/>
    </row>
    <row r="577" spans="2:8" ht="13" x14ac:dyDescent="0.15">
      <c r="B577" s="82"/>
      <c r="C577" s="80"/>
      <c r="D577" s="80"/>
      <c r="E577" s="80"/>
      <c r="F577" s="91"/>
      <c r="G577" s="92"/>
      <c r="H577" s="93"/>
    </row>
    <row r="578" spans="2:8" ht="13" x14ac:dyDescent="0.15">
      <c r="B578" s="82"/>
      <c r="C578" s="80"/>
      <c r="D578" s="80"/>
      <c r="E578" s="80"/>
      <c r="F578" s="91"/>
      <c r="G578" s="92"/>
      <c r="H578" s="93"/>
    </row>
    <row r="579" spans="2:8" ht="13" x14ac:dyDescent="0.15">
      <c r="B579" s="82"/>
      <c r="C579" s="80"/>
      <c r="D579" s="80"/>
      <c r="E579" s="80"/>
      <c r="F579" s="91"/>
      <c r="G579" s="92"/>
      <c r="H579" s="93"/>
    </row>
    <row r="580" spans="2:8" ht="13" x14ac:dyDescent="0.15">
      <c r="B580" s="82"/>
      <c r="C580" s="80"/>
      <c r="D580" s="80"/>
      <c r="E580" s="80"/>
      <c r="F580" s="91"/>
      <c r="G580" s="92"/>
      <c r="H580" s="93"/>
    </row>
    <row r="581" spans="2:8" ht="13" x14ac:dyDescent="0.15">
      <c r="B581" s="82"/>
      <c r="C581" s="80"/>
      <c r="D581" s="80"/>
      <c r="E581" s="80"/>
      <c r="F581" s="91"/>
      <c r="G581" s="92"/>
      <c r="H581" s="93"/>
    </row>
    <row r="582" spans="2:8" ht="13" x14ac:dyDescent="0.15">
      <c r="B582" s="82"/>
      <c r="C582" s="80"/>
      <c r="D582" s="80"/>
      <c r="E582" s="80"/>
      <c r="F582" s="91"/>
      <c r="G582" s="92"/>
      <c r="H582" s="93"/>
    </row>
    <row r="583" spans="2:8" ht="13" x14ac:dyDescent="0.15">
      <c r="B583" s="82"/>
      <c r="C583" s="80"/>
      <c r="D583" s="80"/>
      <c r="E583" s="80"/>
      <c r="F583" s="91"/>
      <c r="G583" s="92"/>
      <c r="H583" s="93"/>
    </row>
    <row r="584" spans="2:8" ht="13" x14ac:dyDescent="0.15">
      <c r="B584" s="82"/>
      <c r="C584" s="80"/>
      <c r="D584" s="80"/>
      <c r="E584" s="80"/>
      <c r="F584" s="91"/>
      <c r="G584" s="92"/>
      <c r="H584" s="93"/>
    </row>
    <row r="585" spans="2:8" ht="13" x14ac:dyDescent="0.15">
      <c r="B585" s="82"/>
      <c r="C585" s="80"/>
      <c r="D585" s="80"/>
      <c r="E585" s="80"/>
      <c r="F585" s="91"/>
      <c r="G585" s="92"/>
      <c r="H585" s="93"/>
    </row>
    <row r="586" spans="2:8" ht="13" x14ac:dyDescent="0.15">
      <c r="B586" s="82"/>
      <c r="C586" s="80"/>
      <c r="D586" s="80"/>
      <c r="E586" s="80"/>
      <c r="F586" s="91"/>
      <c r="G586" s="92"/>
      <c r="H586" s="93"/>
    </row>
    <row r="587" spans="2:8" ht="13" x14ac:dyDescent="0.15">
      <c r="B587" s="82"/>
      <c r="C587" s="80"/>
      <c r="D587" s="80"/>
      <c r="E587" s="80"/>
      <c r="F587" s="91"/>
      <c r="G587" s="92"/>
      <c r="H587" s="93"/>
    </row>
    <row r="588" spans="2:8" ht="13" x14ac:dyDescent="0.15">
      <c r="B588" s="82"/>
      <c r="C588" s="80"/>
      <c r="D588" s="80"/>
      <c r="E588" s="80"/>
      <c r="F588" s="91"/>
      <c r="G588" s="92"/>
      <c r="H588" s="93"/>
    </row>
    <row r="589" spans="2:8" ht="13" x14ac:dyDescent="0.15">
      <c r="B589" s="82"/>
      <c r="C589" s="80"/>
      <c r="D589" s="80"/>
      <c r="E589" s="80"/>
      <c r="F589" s="91"/>
      <c r="G589" s="92"/>
      <c r="H589" s="93"/>
    </row>
    <row r="590" spans="2:8" ht="13" x14ac:dyDescent="0.15">
      <c r="B590" s="82"/>
      <c r="C590" s="80"/>
      <c r="D590" s="80"/>
      <c r="E590" s="80"/>
      <c r="F590" s="91"/>
      <c r="G590" s="92"/>
      <c r="H590" s="93"/>
    </row>
    <row r="591" spans="2:8" ht="13" x14ac:dyDescent="0.15">
      <c r="B591" s="82"/>
      <c r="C591" s="80"/>
      <c r="D591" s="80"/>
      <c r="E591" s="80"/>
      <c r="F591" s="91"/>
      <c r="G591" s="92"/>
      <c r="H591" s="93"/>
    </row>
    <row r="592" spans="2:8" ht="13" x14ac:dyDescent="0.15">
      <c r="B592" s="82"/>
      <c r="C592" s="80"/>
      <c r="D592" s="80"/>
      <c r="E592" s="80"/>
      <c r="F592" s="91"/>
      <c r="G592" s="92"/>
      <c r="H592" s="93"/>
    </row>
    <row r="593" spans="2:8" ht="13" x14ac:dyDescent="0.15">
      <c r="B593" s="82"/>
      <c r="C593" s="80"/>
      <c r="D593" s="80"/>
      <c r="E593" s="80"/>
      <c r="F593" s="91"/>
      <c r="G593" s="92"/>
      <c r="H593" s="93"/>
    </row>
    <row r="594" spans="2:8" ht="13" x14ac:dyDescent="0.15">
      <c r="B594" s="82"/>
      <c r="C594" s="80"/>
      <c r="D594" s="80"/>
      <c r="E594" s="80"/>
      <c r="F594" s="91"/>
      <c r="G594" s="92"/>
      <c r="H594" s="93"/>
    </row>
    <row r="595" spans="2:8" ht="13" x14ac:dyDescent="0.15">
      <c r="B595" s="82"/>
      <c r="C595" s="80"/>
      <c r="D595" s="80"/>
      <c r="E595" s="80"/>
      <c r="F595" s="91"/>
      <c r="G595" s="92"/>
      <c r="H595" s="93"/>
    </row>
    <row r="596" spans="2:8" ht="13" x14ac:dyDescent="0.15">
      <c r="B596" s="82"/>
      <c r="C596" s="80"/>
      <c r="D596" s="80"/>
      <c r="E596" s="80"/>
      <c r="F596" s="91"/>
      <c r="G596" s="92"/>
      <c r="H596" s="93"/>
    </row>
    <row r="597" spans="2:8" ht="13" x14ac:dyDescent="0.15">
      <c r="B597" s="82"/>
      <c r="C597" s="80"/>
      <c r="D597" s="80"/>
      <c r="E597" s="80"/>
      <c r="F597" s="91"/>
      <c r="G597" s="92"/>
      <c r="H597" s="93"/>
    </row>
    <row r="598" spans="2:8" ht="13" x14ac:dyDescent="0.15">
      <c r="B598" s="82"/>
      <c r="C598" s="80"/>
      <c r="D598" s="80"/>
      <c r="E598" s="80"/>
      <c r="F598" s="91"/>
      <c r="G598" s="92"/>
      <c r="H598" s="93"/>
    </row>
    <row r="599" spans="2:8" ht="13" x14ac:dyDescent="0.15">
      <c r="B599" s="82"/>
      <c r="C599" s="80"/>
      <c r="D599" s="80"/>
      <c r="E599" s="80"/>
      <c r="F599" s="91"/>
      <c r="G599" s="92"/>
      <c r="H599" s="93"/>
    </row>
    <row r="600" spans="2:8" ht="13" x14ac:dyDescent="0.15">
      <c r="B600" s="82"/>
      <c r="C600" s="80"/>
      <c r="D600" s="80"/>
      <c r="E600" s="80"/>
      <c r="F600" s="91"/>
      <c r="G600" s="92"/>
      <c r="H600" s="93"/>
    </row>
    <row r="601" spans="2:8" ht="13" x14ac:dyDescent="0.15">
      <c r="B601" s="82"/>
      <c r="C601" s="80"/>
      <c r="D601" s="80"/>
      <c r="E601" s="80"/>
      <c r="F601" s="91"/>
      <c r="G601" s="92"/>
      <c r="H601" s="93"/>
    </row>
    <row r="602" spans="2:8" ht="13" x14ac:dyDescent="0.15">
      <c r="B602" s="82"/>
      <c r="C602" s="80"/>
      <c r="D602" s="80"/>
      <c r="E602" s="80"/>
      <c r="F602" s="91"/>
      <c r="G602" s="92"/>
      <c r="H602" s="93"/>
    </row>
    <row r="603" spans="2:8" ht="13" x14ac:dyDescent="0.15">
      <c r="B603" s="82"/>
      <c r="C603" s="80"/>
      <c r="D603" s="80"/>
      <c r="E603" s="80"/>
      <c r="F603" s="91"/>
      <c r="G603" s="92"/>
      <c r="H603" s="93"/>
    </row>
    <row r="604" spans="2:8" ht="13" x14ac:dyDescent="0.15">
      <c r="B604" s="82"/>
      <c r="C604" s="80"/>
      <c r="D604" s="80"/>
      <c r="E604" s="80"/>
      <c r="F604" s="91"/>
      <c r="G604" s="92"/>
      <c r="H604" s="93"/>
    </row>
    <row r="605" spans="2:8" ht="13" x14ac:dyDescent="0.15">
      <c r="B605" s="82"/>
      <c r="C605" s="80"/>
      <c r="D605" s="80"/>
      <c r="E605" s="80"/>
      <c r="F605" s="91"/>
      <c r="G605" s="92"/>
      <c r="H605" s="93"/>
    </row>
    <row r="606" spans="2:8" ht="13" x14ac:dyDescent="0.15">
      <c r="B606" s="82"/>
      <c r="C606" s="80"/>
      <c r="D606" s="80"/>
      <c r="E606" s="80"/>
      <c r="F606" s="91"/>
      <c r="G606" s="92"/>
      <c r="H606" s="93"/>
    </row>
    <row r="607" spans="2:8" ht="13" x14ac:dyDescent="0.15">
      <c r="B607" s="82"/>
      <c r="C607" s="80"/>
      <c r="D607" s="80"/>
      <c r="E607" s="80"/>
      <c r="F607" s="91"/>
      <c r="G607" s="92"/>
      <c r="H607" s="93"/>
    </row>
    <row r="608" spans="2:8" ht="13" x14ac:dyDescent="0.15">
      <c r="B608" s="82"/>
      <c r="C608" s="80"/>
      <c r="D608" s="80"/>
      <c r="E608" s="80"/>
      <c r="F608" s="91"/>
      <c r="G608" s="92"/>
      <c r="H608" s="93"/>
    </row>
    <row r="609" spans="2:8" ht="13" x14ac:dyDescent="0.15">
      <c r="B609" s="82"/>
      <c r="C609" s="80"/>
      <c r="D609" s="80"/>
      <c r="E609" s="80"/>
      <c r="F609" s="91"/>
      <c r="G609" s="92"/>
      <c r="H609" s="93"/>
    </row>
    <row r="610" spans="2:8" ht="13" x14ac:dyDescent="0.15">
      <c r="B610" s="82"/>
      <c r="C610" s="80"/>
      <c r="D610" s="80"/>
      <c r="E610" s="80"/>
      <c r="F610" s="91"/>
      <c r="G610" s="92"/>
      <c r="H610" s="93"/>
    </row>
    <row r="611" spans="2:8" ht="13" x14ac:dyDescent="0.15">
      <c r="B611" s="82"/>
      <c r="C611" s="80"/>
      <c r="D611" s="80"/>
      <c r="E611" s="80"/>
      <c r="F611" s="91"/>
      <c r="G611" s="92"/>
      <c r="H611" s="93"/>
    </row>
    <row r="612" spans="2:8" ht="13" x14ac:dyDescent="0.15">
      <c r="B612" s="82"/>
      <c r="C612" s="80"/>
      <c r="D612" s="80"/>
      <c r="E612" s="80"/>
      <c r="F612" s="91"/>
      <c r="G612" s="92"/>
      <c r="H612" s="93"/>
    </row>
    <row r="613" spans="2:8" ht="13" x14ac:dyDescent="0.15">
      <c r="B613" s="82"/>
      <c r="C613" s="80"/>
      <c r="D613" s="80"/>
      <c r="E613" s="80"/>
      <c r="F613" s="91"/>
      <c r="G613" s="92"/>
      <c r="H613" s="93"/>
    </row>
    <row r="614" spans="2:8" ht="13" x14ac:dyDescent="0.15">
      <c r="B614" s="82"/>
      <c r="C614" s="80"/>
      <c r="D614" s="80"/>
      <c r="E614" s="80"/>
      <c r="F614" s="91"/>
      <c r="G614" s="92"/>
      <c r="H614" s="93"/>
    </row>
    <row r="615" spans="2:8" ht="13" x14ac:dyDescent="0.15">
      <c r="B615" s="82"/>
      <c r="C615" s="80"/>
      <c r="D615" s="80"/>
      <c r="E615" s="80"/>
      <c r="F615" s="91"/>
      <c r="G615" s="92"/>
      <c r="H615" s="93"/>
    </row>
    <row r="616" spans="2:8" ht="13" x14ac:dyDescent="0.15">
      <c r="B616" s="82"/>
      <c r="C616" s="80"/>
      <c r="D616" s="80"/>
      <c r="E616" s="80"/>
      <c r="F616" s="91"/>
      <c r="G616" s="92"/>
      <c r="H616" s="93"/>
    </row>
    <row r="617" spans="2:8" ht="13" x14ac:dyDescent="0.15">
      <c r="B617" s="82"/>
      <c r="C617" s="80"/>
      <c r="D617" s="80"/>
      <c r="E617" s="80"/>
      <c r="F617" s="91"/>
      <c r="G617" s="92"/>
      <c r="H617" s="93"/>
    </row>
    <row r="618" spans="2:8" ht="13" x14ac:dyDescent="0.15">
      <c r="B618" s="82"/>
      <c r="C618" s="80"/>
      <c r="D618" s="80"/>
      <c r="E618" s="80"/>
      <c r="F618" s="91"/>
      <c r="G618" s="92"/>
      <c r="H618" s="93"/>
    </row>
    <row r="619" spans="2:8" ht="13" x14ac:dyDescent="0.15">
      <c r="B619" s="82"/>
      <c r="C619" s="80"/>
      <c r="D619" s="80"/>
      <c r="E619" s="80"/>
      <c r="F619" s="91"/>
      <c r="G619" s="92"/>
      <c r="H619" s="93"/>
    </row>
    <row r="620" spans="2:8" ht="13" x14ac:dyDescent="0.15">
      <c r="B620" s="82"/>
      <c r="C620" s="80"/>
      <c r="D620" s="80"/>
      <c r="E620" s="80"/>
      <c r="F620" s="91"/>
      <c r="G620" s="92"/>
      <c r="H620" s="93"/>
    </row>
    <row r="621" spans="2:8" ht="13" x14ac:dyDescent="0.15">
      <c r="B621" s="82"/>
      <c r="C621" s="80"/>
      <c r="D621" s="80"/>
      <c r="E621" s="80"/>
      <c r="F621" s="91"/>
      <c r="G621" s="92"/>
      <c r="H621" s="93"/>
    </row>
    <row r="622" spans="2:8" ht="13" x14ac:dyDescent="0.15">
      <c r="B622" s="82"/>
      <c r="C622" s="80"/>
      <c r="D622" s="80"/>
      <c r="E622" s="80"/>
      <c r="F622" s="91"/>
      <c r="G622" s="92"/>
      <c r="H622" s="93"/>
    </row>
    <row r="623" spans="2:8" ht="13" x14ac:dyDescent="0.15">
      <c r="B623" s="82"/>
      <c r="C623" s="80"/>
      <c r="D623" s="80"/>
      <c r="E623" s="80"/>
      <c r="F623" s="91"/>
      <c r="G623" s="92"/>
      <c r="H623" s="93"/>
    </row>
    <row r="624" spans="2:8" ht="13" x14ac:dyDescent="0.15">
      <c r="B624" s="82"/>
      <c r="C624" s="80"/>
      <c r="D624" s="80"/>
      <c r="E624" s="80"/>
      <c r="F624" s="91"/>
      <c r="G624" s="92"/>
      <c r="H624" s="93"/>
    </row>
    <row r="625" spans="2:8" ht="13" x14ac:dyDescent="0.15">
      <c r="B625" s="82"/>
      <c r="C625" s="80"/>
      <c r="D625" s="80"/>
      <c r="E625" s="80"/>
      <c r="F625" s="91"/>
      <c r="G625" s="92"/>
      <c r="H625" s="93"/>
    </row>
    <row r="626" spans="2:8" ht="13" x14ac:dyDescent="0.15">
      <c r="B626" s="82"/>
      <c r="C626" s="80"/>
      <c r="D626" s="80"/>
      <c r="E626" s="80"/>
      <c r="F626" s="91"/>
      <c r="G626" s="92"/>
      <c r="H626" s="93"/>
    </row>
    <row r="627" spans="2:8" ht="13" x14ac:dyDescent="0.15">
      <c r="B627" s="82"/>
      <c r="C627" s="80"/>
      <c r="D627" s="80"/>
      <c r="E627" s="80"/>
      <c r="F627" s="91"/>
      <c r="G627" s="92"/>
      <c r="H627" s="93"/>
    </row>
    <row r="628" spans="2:8" ht="13" x14ac:dyDescent="0.15">
      <c r="B628" s="82"/>
      <c r="C628" s="80"/>
      <c r="D628" s="80"/>
      <c r="E628" s="80"/>
      <c r="F628" s="91"/>
      <c r="G628" s="92"/>
      <c r="H628" s="93"/>
    </row>
    <row r="629" spans="2:8" ht="13" x14ac:dyDescent="0.15">
      <c r="B629" s="82"/>
      <c r="C629" s="80"/>
      <c r="D629" s="80"/>
      <c r="E629" s="80"/>
      <c r="F629" s="91"/>
      <c r="G629" s="92"/>
      <c r="H629" s="93"/>
    </row>
    <row r="630" spans="2:8" ht="13" x14ac:dyDescent="0.15">
      <c r="B630" s="82"/>
      <c r="C630" s="80"/>
      <c r="D630" s="80"/>
      <c r="E630" s="80"/>
      <c r="F630" s="91"/>
      <c r="G630" s="92"/>
      <c r="H630" s="93"/>
    </row>
    <row r="631" spans="2:8" ht="13" x14ac:dyDescent="0.15">
      <c r="B631" s="82"/>
      <c r="C631" s="80"/>
      <c r="D631" s="80"/>
      <c r="E631" s="80"/>
      <c r="F631" s="91"/>
      <c r="G631" s="92"/>
      <c r="H631" s="93"/>
    </row>
    <row r="632" spans="2:8" ht="13" x14ac:dyDescent="0.15">
      <c r="B632" s="82"/>
      <c r="C632" s="80"/>
      <c r="D632" s="80"/>
      <c r="E632" s="80"/>
      <c r="F632" s="91"/>
      <c r="G632" s="92"/>
      <c r="H632" s="93"/>
    </row>
    <row r="633" spans="2:8" ht="13" x14ac:dyDescent="0.15">
      <c r="B633" s="82"/>
      <c r="C633" s="80"/>
      <c r="D633" s="80"/>
      <c r="E633" s="80"/>
      <c r="F633" s="91"/>
      <c r="G633" s="92"/>
      <c r="H633" s="93"/>
    </row>
    <row r="634" spans="2:8" ht="13" x14ac:dyDescent="0.15">
      <c r="B634" s="82"/>
      <c r="C634" s="80"/>
      <c r="D634" s="80"/>
      <c r="E634" s="80"/>
      <c r="F634" s="91"/>
      <c r="G634" s="92"/>
      <c r="H634" s="93"/>
    </row>
    <row r="635" spans="2:8" ht="13" x14ac:dyDescent="0.15">
      <c r="B635" s="82"/>
      <c r="C635" s="80"/>
      <c r="D635" s="80"/>
      <c r="E635" s="80"/>
      <c r="F635" s="91"/>
      <c r="G635" s="92"/>
      <c r="H635" s="93"/>
    </row>
    <row r="636" spans="2:8" ht="13" x14ac:dyDescent="0.15">
      <c r="B636" s="82"/>
      <c r="C636" s="80"/>
      <c r="D636" s="80"/>
      <c r="E636" s="80"/>
      <c r="F636" s="91"/>
      <c r="G636" s="92"/>
      <c r="H636" s="93"/>
    </row>
    <row r="637" spans="2:8" ht="13" x14ac:dyDescent="0.15">
      <c r="B637" s="82"/>
      <c r="C637" s="80"/>
      <c r="D637" s="80"/>
      <c r="E637" s="80"/>
      <c r="F637" s="91"/>
      <c r="G637" s="92"/>
      <c r="H637" s="93"/>
    </row>
    <row r="638" spans="2:8" ht="13" x14ac:dyDescent="0.15">
      <c r="B638" s="82"/>
      <c r="C638" s="80"/>
      <c r="D638" s="80"/>
      <c r="E638" s="80"/>
      <c r="F638" s="91"/>
      <c r="G638" s="92"/>
      <c r="H638" s="93"/>
    </row>
    <row r="639" spans="2:8" ht="13" x14ac:dyDescent="0.15">
      <c r="B639" s="82"/>
      <c r="C639" s="80"/>
      <c r="D639" s="80"/>
      <c r="E639" s="80"/>
      <c r="F639" s="91"/>
      <c r="G639" s="92"/>
      <c r="H639" s="93"/>
    </row>
    <row r="640" spans="2:8" ht="13" x14ac:dyDescent="0.15">
      <c r="B640" s="82"/>
      <c r="C640" s="80"/>
      <c r="D640" s="80"/>
      <c r="E640" s="80"/>
      <c r="F640" s="91"/>
      <c r="G640" s="92"/>
      <c r="H640" s="93"/>
    </row>
    <row r="641" spans="2:8" ht="13" x14ac:dyDescent="0.15">
      <c r="B641" s="82"/>
      <c r="C641" s="80"/>
      <c r="D641" s="80"/>
      <c r="E641" s="80"/>
      <c r="F641" s="91"/>
      <c r="G641" s="92"/>
      <c r="H641" s="93"/>
    </row>
    <row r="642" spans="2:8" ht="13" x14ac:dyDescent="0.15">
      <c r="B642" s="82"/>
      <c r="C642" s="80"/>
      <c r="D642" s="80"/>
      <c r="E642" s="80"/>
      <c r="F642" s="91"/>
      <c r="G642" s="92"/>
      <c r="H642" s="93"/>
    </row>
    <row r="643" spans="2:8" ht="13" x14ac:dyDescent="0.15">
      <c r="B643" s="82"/>
      <c r="C643" s="80"/>
      <c r="D643" s="80"/>
      <c r="E643" s="80"/>
      <c r="F643" s="91"/>
      <c r="G643" s="92"/>
      <c r="H643" s="93"/>
    </row>
    <row r="644" spans="2:8" ht="13" x14ac:dyDescent="0.15">
      <c r="B644" s="82"/>
      <c r="C644" s="80"/>
      <c r="D644" s="80"/>
      <c r="E644" s="80"/>
      <c r="F644" s="91"/>
      <c r="G644" s="92"/>
      <c r="H644" s="93"/>
    </row>
    <row r="645" spans="2:8" ht="13" x14ac:dyDescent="0.15">
      <c r="B645" s="82"/>
      <c r="C645" s="80"/>
      <c r="D645" s="80"/>
      <c r="E645" s="80"/>
      <c r="F645" s="91"/>
      <c r="G645" s="92"/>
      <c r="H645" s="93"/>
    </row>
    <row r="646" spans="2:8" ht="13" x14ac:dyDescent="0.15">
      <c r="B646" s="82"/>
      <c r="C646" s="80"/>
      <c r="D646" s="80"/>
      <c r="E646" s="80"/>
      <c r="F646" s="91"/>
      <c r="G646" s="92"/>
      <c r="H646" s="93"/>
    </row>
    <row r="647" spans="2:8" ht="13" x14ac:dyDescent="0.15">
      <c r="B647" s="82"/>
      <c r="C647" s="80"/>
      <c r="D647" s="80"/>
      <c r="E647" s="80"/>
      <c r="F647" s="91"/>
      <c r="G647" s="92"/>
      <c r="H647" s="93"/>
    </row>
    <row r="648" spans="2:8" ht="13" x14ac:dyDescent="0.15">
      <c r="B648" s="82"/>
      <c r="C648" s="80"/>
      <c r="D648" s="80"/>
      <c r="E648" s="80"/>
      <c r="F648" s="91"/>
      <c r="G648" s="92"/>
      <c r="H648" s="93"/>
    </row>
    <row r="649" spans="2:8" ht="13" x14ac:dyDescent="0.15">
      <c r="B649" s="82"/>
      <c r="C649" s="80"/>
      <c r="D649" s="80"/>
      <c r="E649" s="80"/>
      <c r="F649" s="91"/>
      <c r="G649" s="92"/>
      <c r="H649" s="93"/>
    </row>
    <row r="650" spans="2:8" ht="13" x14ac:dyDescent="0.15">
      <c r="B650" s="82"/>
      <c r="C650" s="80"/>
      <c r="D650" s="80"/>
      <c r="E650" s="80"/>
      <c r="F650" s="91"/>
      <c r="G650" s="92"/>
      <c r="H650" s="93"/>
    </row>
    <row r="651" spans="2:8" ht="13" x14ac:dyDescent="0.15">
      <c r="B651" s="82"/>
      <c r="C651" s="80"/>
      <c r="D651" s="80"/>
      <c r="E651" s="80"/>
      <c r="F651" s="91"/>
      <c r="G651" s="92"/>
      <c r="H651" s="93"/>
    </row>
    <row r="652" spans="2:8" ht="13" x14ac:dyDescent="0.15">
      <c r="B652" s="82"/>
      <c r="C652" s="80"/>
      <c r="D652" s="80"/>
      <c r="E652" s="80"/>
      <c r="F652" s="91"/>
      <c r="G652" s="92"/>
      <c r="H652" s="93"/>
    </row>
    <row r="653" spans="2:8" ht="13" x14ac:dyDescent="0.15">
      <c r="B653" s="82"/>
      <c r="C653" s="80"/>
      <c r="D653" s="80"/>
      <c r="E653" s="80"/>
      <c r="F653" s="91"/>
      <c r="G653" s="92"/>
      <c r="H653" s="93"/>
    </row>
    <row r="654" spans="2:8" ht="13" x14ac:dyDescent="0.15">
      <c r="B654" s="82"/>
      <c r="C654" s="80"/>
      <c r="D654" s="80"/>
      <c r="E654" s="80"/>
      <c r="F654" s="91"/>
      <c r="G654" s="92"/>
      <c r="H654" s="93"/>
    </row>
    <row r="655" spans="2:8" ht="13" x14ac:dyDescent="0.15">
      <c r="B655" s="82"/>
      <c r="C655" s="80"/>
      <c r="D655" s="80"/>
      <c r="E655" s="80"/>
      <c r="F655" s="91"/>
      <c r="G655" s="92"/>
      <c r="H655" s="93"/>
    </row>
    <row r="656" spans="2:8" ht="13" x14ac:dyDescent="0.15">
      <c r="B656" s="82"/>
      <c r="C656" s="80"/>
      <c r="D656" s="80"/>
      <c r="E656" s="80"/>
      <c r="F656" s="91"/>
      <c r="G656" s="92"/>
      <c r="H656" s="93"/>
    </row>
    <row r="657" spans="2:8" ht="13" x14ac:dyDescent="0.15">
      <c r="B657" s="82"/>
      <c r="C657" s="80"/>
      <c r="D657" s="80"/>
      <c r="E657" s="80"/>
      <c r="F657" s="91"/>
      <c r="G657" s="92"/>
      <c r="H657" s="93"/>
    </row>
    <row r="658" spans="2:8" ht="13" x14ac:dyDescent="0.15">
      <c r="B658" s="82"/>
      <c r="C658" s="80"/>
      <c r="D658" s="80"/>
      <c r="E658" s="80"/>
      <c r="F658" s="91"/>
      <c r="G658" s="92"/>
      <c r="H658" s="93"/>
    </row>
    <row r="659" spans="2:8" ht="13" x14ac:dyDescent="0.15">
      <c r="B659" s="82"/>
      <c r="C659" s="80"/>
      <c r="D659" s="80"/>
      <c r="E659" s="80"/>
      <c r="F659" s="91"/>
      <c r="G659" s="92"/>
      <c r="H659" s="93"/>
    </row>
    <row r="660" spans="2:8" ht="13" x14ac:dyDescent="0.15">
      <c r="B660" s="82"/>
      <c r="C660" s="80"/>
      <c r="D660" s="80"/>
      <c r="E660" s="80"/>
      <c r="F660" s="91"/>
      <c r="G660" s="92"/>
      <c r="H660" s="93"/>
    </row>
    <row r="661" spans="2:8" ht="13" x14ac:dyDescent="0.15">
      <c r="B661" s="82"/>
      <c r="C661" s="80"/>
      <c r="D661" s="80"/>
      <c r="E661" s="80"/>
      <c r="F661" s="91"/>
      <c r="G661" s="92"/>
      <c r="H661" s="93"/>
    </row>
    <row r="662" spans="2:8" ht="13" x14ac:dyDescent="0.15">
      <c r="B662" s="82"/>
      <c r="C662" s="80"/>
      <c r="D662" s="80"/>
      <c r="E662" s="80"/>
      <c r="F662" s="91"/>
      <c r="G662" s="92"/>
      <c r="H662" s="93"/>
    </row>
    <row r="663" spans="2:8" ht="13" x14ac:dyDescent="0.15">
      <c r="B663" s="82"/>
      <c r="C663" s="80"/>
      <c r="D663" s="80"/>
      <c r="E663" s="80"/>
      <c r="F663" s="91"/>
      <c r="G663" s="92"/>
      <c r="H663" s="93"/>
    </row>
    <row r="664" spans="2:8" ht="13" x14ac:dyDescent="0.15">
      <c r="B664" s="82"/>
      <c r="C664" s="80"/>
      <c r="D664" s="80"/>
      <c r="E664" s="80"/>
      <c r="F664" s="91"/>
      <c r="G664" s="92"/>
      <c r="H664" s="93"/>
    </row>
    <row r="665" spans="2:8" ht="13" x14ac:dyDescent="0.15">
      <c r="B665" s="82"/>
      <c r="C665" s="80"/>
      <c r="D665" s="80"/>
      <c r="E665" s="80"/>
      <c r="F665" s="91"/>
      <c r="G665" s="92"/>
      <c r="H665" s="93"/>
    </row>
    <row r="666" spans="2:8" ht="13" x14ac:dyDescent="0.15">
      <c r="B666" s="82"/>
      <c r="C666" s="80"/>
      <c r="D666" s="80"/>
      <c r="E666" s="80"/>
      <c r="F666" s="91"/>
      <c r="G666" s="92"/>
      <c r="H666" s="93"/>
    </row>
    <row r="667" spans="2:8" ht="13" x14ac:dyDescent="0.15">
      <c r="B667" s="82"/>
      <c r="C667" s="80"/>
      <c r="D667" s="80"/>
      <c r="E667" s="80"/>
      <c r="F667" s="91"/>
      <c r="G667" s="92"/>
      <c r="H667" s="93"/>
    </row>
    <row r="668" spans="2:8" ht="13" x14ac:dyDescent="0.15">
      <c r="B668" s="82"/>
      <c r="C668" s="80"/>
      <c r="D668" s="80"/>
      <c r="E668" s="80"/>
      <c r="F668" s="91"/>
      <c r="G668" s="92"/>
      <c r="H668" s="93"/>
    </row>
    <row r="669" spans="2:8" ht="13" x14ac:dyDescent="0.15">
      <c r="B669" s="82"/>
      <c r="C669" s="80"/>
      <c r="D669" s="80"/>
      <c r="E669" s="80"/>
      <c r="F669" s="91"/>
      <c r="G669" s="92"/>
      <c r="H669" s="93"/>
    </row>
    <row r="670" spans="2:8" ht="13" x14ac:dyDescent="0.15">
      <c r="B670" s="82"/>
      <c r="C670" s="80"/>
      <c r="D670" s="80"/>
      <c r="E670" s="80"/>
      <c r="F670" s="91"/>
      <c r="G670" s="92"/>
      <c r="H670" s="93"/>
    </row>
    <row r="671" spans="2:8" ht="13" x14ac:dyDescent="0.15">
      <c r="B671" s="82"/>
      <c r="C671" s="80"/>
      <c r="D671" s="80"/>
      <c r="E671" s="80"/>
      <c r="F671" s="91"/>
      <c r="G671" s="92"/>
      <c r="H671" s="93"/>
    </row>
    <row r="672" spans="2:8" ht="13" x14ac:dyDescent="0.15">
      <c r="B672" s="82"/>
      <c r="C672" s="80"/>
      <c r="D672" s="80"/>
      <c r="E672" s="80"/>
      <c r="F672" s="91"/>
      <c r="G672" s="92"/>
      <c r="H672" s="93"/>
    </row>
    <row r="673" spans="2:8" ht="13" x14ac:dyDescent="0.15">
      <c r="B673" s="82"/>
      <c r="C673" s="80"/>
      <c r="D673" s="80"/>
      <c r="E673" s="80"/>
      <c r="F673" s="91"/>
      <c r="G673" s="92"/>
      <c r="H673" s="93"/>
    </row>
    <row r="674" spans="2:8" ht="13" x14ac:dyDescent="0.15">
      <c r="B674" s="82"/>
      <c r="C674" s="80"/>
      <c r="D674" s="80"/>
      <c r="E674" s="80"/>
      <c r="F674" s="91"/>
      <c r="G674" s="92"/>
      <c r="H674" s="93"/>
    </row>
    <row r="675" spans="2:8" ht="13" x14ac:dyDescent="0.15">
      <c r="B675" s="82"/>
      <c r="C675" s="80"/>
      <c r="D675" s="80"/>
      <c r="E675" s="80"/>
      <c r="F675" s="91"/>
      <c r="G675" s="92"/>
      <c r="H675" s="93"/>
    </row>
    <row r="676" spans="2:8" ht="13" x14ac:dyDescent="0.15">
      <c r="B676" s="82"/>
      <c r="C676" s="80"/>
      <c r="D676" s="80"/>
      <c r="E676" s="80"/>
      <c r="F676" s="91"/>
      <c r="G676" s="92"/>
      <c r="H676" s="93"/>
    </row>
    <row r="677" spans="2:8" ht="13" x14ac:dyDescent="0.15">
      <c r="B677" s="82"/>
      <c r="C677" s="80"/>
      <c r="D677" s="80"/>
      <c r="E677" s="80"/>
      <c r="F677" s="91"/>
      <c r="G677" s="92"/>
      <c r="H677" s="93"/>
    </row>
    <row r="678" spans="2:8" ht="13" x14ac:dyDescent="0.15">
      <c r="B678" s="82"/>
      <c r="C678" s="80"/>
      <c r="D678" s="80"/>
      <c r="E678" s="80"/>
      <c r="F678" s="91"/>
      <c r="G678" s="92"/>
      <c r="H678" s="93"/>
    </row>
    <row r="679" spans="2:8" ht="13" x14ac:dyDescent="0.15">
      <c r="B679" s="82"/>
      <c r="C679" s="80"/>
      <c r="D679" s="80"/>
      <c r="E679" s="80"/>
      <c r="F679" s="91"/>
      <c r="G679" s="92"/>
      <c r="H679" s="93"/>
    </row>
    <row r="680" spans="2:8" ht="13" x14ac:dyDescent="0.15">
      <c r="B680" s="82"/>
      <c r="C680" s="80"/>
      <c r="D680" s="80"/>
      <c r="E680" s="80"/>
      <c r="F680" s="91"/>
      <c r="G680" s="92"/>
      <c r="H680" s="93"/>
    </row>
    <row r="681" spans="2:8" ht="13" x14ac:dyDescent="0.15">
      <c r="B681" s="82"/>
      <c r="C681" s="80"/>
      <c r="D681" s="80"/>
      <c r="E681" s="80"/>
      <c r="F681" s="91"/>
      <c r="G681" s="92"/>
      <c r="H681" s="93"/>
    </row>
    <row r="682" spans="2:8" ht="13" x14ac:dyDescent="0.15">
      <c r="B682" s="82"/>
      <c r="C682" s="80"/>
      <c r="D682" s="80"/>
      <c r="E682" s="80"/>
      <c r="F682" s="91"/>
      <c r="G682" s="92"/>
      <c r="H682" s="93"/>
    </row>
    <row r="683" spans="2:8" ht="13" x14ac:dyDescent="0.15">
      <c r="B683" s="82"/>
      <c r="C683" s="80"/>
      <c r="D683" s="80"/>
      <c r="E683" s="80"/>
      <c r="F683" s="91"/>
      <c r="G683" s="92"/>
      <c r="H683" s="93"/>
    </row>
    <row r="684" spans="2:8" ht="13" x14ac:dyDescent="0.15">
      <c r="B684" s="82"/>
      <c r="C684" s="80"/>
      <c r="D684" s="80"/>
      <c r="E684" s="80"/>
      <c r="F684" s="91"/>
      <c r="G684" s="92"/>
      <c r="H684" s="93"/>
    </row>
    <row r="685" spans="2:8" ht="13" x14ac:dyDescent="0.15">
      <c r="B685" s="82"/>
      <c r="C685" s="80"/>
      <c r="D685" s="80"/>
      <c r="E685" s="80"/>
      <c r="F685" s="91"/>
      <c r="G685" s="92"/>
      <c r="H685" s="93"/>
    </row>
    <row r="686" spans="2:8" ht="13" x14ac:dyDescent="0.15">
      <c r="B686" s="82"/>
      <c r="C686" s="80"/>
      <c r="D686" s="80"/>
      <c r="E686" s="80"/>
      <c r="F686" s="91"/>
      <c r="G686" s="92"/>
      <c r="H686" s="93"/>
    </row>
    <row r="687" spans="2:8" ht="13" x14ac:dyDescent="0.15">
      <c r="B687" s="82"/>
      <c r="C687" s="80"/>
      <c r="D687" s="80"/>
      <c r="E687" s="80"/>
      <c r="F687" s="91"/>
      <c r="G687" s="92"/>
      <c r="H687" s="93"/>
    </row>
    <row r="688" spans="2:8" ht="13" x14ac:dyDescent="0.15">
      <c r="B688" s="82"/>
      <c r="C688" s="80"/>
      <c r="D688" s="80"/>
      <c r="E688" s="80"/>
      <c r="F688" s="91"/>
      <c r="G688" s="92"/>
      <c r="H688" s="93"/>
    </row>
    <row r="689" spans="2:8" ht="13" x14ac:dyDescent="0.15">
      <c r="B689" s="82"/>
      <c r="C689" s="80"/>
      <c r="D689" s="80"/>
      <c r="E689" s="80"/>
      <c r="F689" s="91"/>
      <c r="G689" s="92"/>
      <c r="H689" s="93"/>
    </row>
    <row r="690" spans="2:8" ht="13" x14ac:dyDescent="0.15">
      <c r="B690" s="82"/>
      <c r="C690" s="80"/>
      <c r="D690" s="80"/>
      <c r="E690" s="80"/>
      <c r="F690" s="91"/>
      <c r="G690" s="92"/>
      <c r="H690" s="93"/>
    </row>
    <row r="691" spans="2:8" ht="13" x14ac:dyDescent="0.15">
      <c r="B691" s="82"/>
      <c r="C691" s="80"/>
      <c r="D691" s="80"/>
      <c r="E691" s="80"/>
      <c r="F691" s="91"/>
      <c r="G691" s="92"/>
      <c r="H691" s="93"/>
    </row>
    <row r="692" spans="2:8" ht="13" x14ac:dyDescent="0.15">
      <c r="B692" s="82"/>
      <c r="C692" s="80"/>
      <c r="D692" s="80"/>
      <c r="E692" s="80"/>
      <c r="F692" s="91"/>
      <c r="G692" s="92"/>
      <c r="H692" s="93"/>
    </row>
    <row r="693" spans="2:8" ht="13" x14ac:dyDescent="0.15">
      <c r="B693" s="82"/>
      <c r="C693" s="80"/>
      <c r="D693" s="80"/>
      <c r="E693" s="80"/>
      <c r="F693" s="91"/>
      <c r="G693" s="92"/>
      <c r="H693" s="93"/>
    </row>
    <row r="694" spans="2:8" ht="13" x14ac:dyDescent="0.15">
      <c r="B694" s="82"/>
      <c r="C694" s="80"/>
      <c r="D694" s="80"/>
      <c r="E694" s="80"/>
      <c r="F694" s="91"/>
      <c r="G694" s="92"/>
      <c r="H694" s="93"/>
    </row>
    <row r="695" spans="2:8" ht="13" x14ac:dyDescent="0.15">
      <c r="B695" s="82"/>
      <c r="C695" s="80"/>
      <c r="D695" s="80"/>
      <c r="E695" s="80"/>
      <c r="F695" s="91"/>
      <c r="G695" s="92"/>
      <c r="H695" s="93"/>
    </row>
    <row r="696" spans="2:8" ht="13" x14ac:dyDescent="0.15">
      <c r="B696" s="82"/>
      <c r="C696" s="80"/>
      <c r="D696" s="80"/>
      <c r="E696" s="80"/>
      <c r="F696" s="91"/>
      <c r="G696" s="92"/>
      <c r="H696" s="93"/>
    </row>
    <row r="697" spans="2:8" ht="13" x14ac:dyDescent="0.15">
      <c r="B697" s="82"/>
      <c r="C697" s="80"/>
      <c r="D697" s="80"/>
      <c r="E697" s="80"/>
      <c r="F697" s="91"/>
      <c r="G697" s="92"/>
      <c r="H697" s="93"/>
    </row>
    <row r="698" spans="2:8" ht="13" x14ac:dyDescent="0.15">
      <c r="B698" s="82"/>
      <c r="C698" s="80"/>
      <c r="D698" s="80"/>
      <c r="E698" s="80"/>
      <c r="F698" s="91"/>
      <c r="G698" s="92"/>
      <c r="H698" s="93"/>
    </row>
    <row r="699" spans="2:8" ht="13" x14ac:dyDescent="0.15">
      <c r="B699" s="82"/>
      <c r="C699" s="80"/>
      <c r="D699" s="80"/>
      <c r="E699" s="80"/>
      <c r="F699" s="91"/>
      <c r="G699" s="92"/>
      <c r="H699" s="93"/>
    </row>
    <row r="700" spans="2:8" ht="13" x14ac:dyDescent="0.15">
      <c r="B700" s="82"/>
      <c r="C700" s="80"/>
      <c r="D700" s="80"/>
      <c r="E700" s="80"/>
      <c r="F700" s="91"/>
      <c r="G700" s="92"/>
      <c r="H700" s="93"/>
    </row>
    <row r="701" spans="2:8" ht="13" x14ac:dyDescent="0.15">
      <c r="B701" s="82"/>
      <c r="C701" s="80"/>
      <c r="D701" s="80"/>
      <c r="E701" s="80"/>
      <c r="F701" s="91"/>
      <c r="G701" s="92"/>
      <c r="H701" s="93"/>
    </row>
    <row r="702" spans="2:8" ht="13" x14ac:dyDescent="0.15">
      <c r="B702" s="82"/>
      <c r="C702" s="80"/>
      <c r="D702" s="80"/>
      <c r="E702" s="80"/>
      <c r="F702" s="91"/>
      <c r="G702" s="92"/>
      <c r="H702" s="93"/>
    </row>
    <row r="703" spans="2:8" ht="13" x14ac:dyDescent="0.15">
      <c r="B703" s="82"/>
      <c r="C703" s="80"/>
      <c r="D703" s="80"/>
      <c r="E703" s="80"/>
      <c r="F703" s="91"/>
      <c r="G703" s="92"/>
      <c r="H703" s="93"/>
    </row>
    <row r="704" spans="2:8" ht="13" x14ac:dyDescent="0.15">
      <c r="B704" s="82"/>
      <c r="C704" s="80"/>
      <c r="D704" s="80"/>
      <c r="E704" s="80"/>
      <c r="F704" s="91"/>
      <c r="G704" s="92"/>
      <c r="H704" s="93"/>
    </row>
    <row r="705" spans="2:8" ht="13" x14ac:dyDescent="0.15">
      <c r="B705" s="82"/>
      <c r="C705" s="80"/>
      <c r="D705" s="80"/>
      <c r="E705" s="80"/>
      <c r="F705" s="91"/>
      <c r="G705" s="92"/>
      <c r="H705" s="93"/>
    </row>
    <row r="706" spans="2:8" ht="13" x14ac:dyDescent="0.15">
      <c r="B706" s="82"/>
      <c r="C706" s="80"/>
      <c r="D706" s="80"/>
      <c r="E706" s="80"/>
      <c r="F706" s="91"/>
      <c r="G706" s="92"/>
      <c r="H706" s="93"/>
    </row>
    <row r="707" spans="2:8" ht="13" x14ac:dyDescent="0.15">
      <c r="B707" s="82"/>
      <c r="C707" s="80"/>
      <c r="D707" s="80"/>
      <c r="E707" s="80"/>
      <c r="F707" s="91"/>
      <c r="G707" s="92"/>
      <c r="H707" s="93"/>
    </row>
    <row r="708" spans="2:8" ht="13" x14ac:dyDescent="0.15">
      <c r="B708" s="82"/>
      <c r="C708" s="80"/>
      <c r="D708" s="80"/>
      <c r="E708" s="80"/>
      <c r="F708" s="91"/>
      <c r="G708" s="92"/>
      <c r="H708" s="93"/>
    </row>
    <row r="709" spans="2:8" ht="13" x14ac:dyDescent="0.15">
      <c r="B709" s="82"/>
      <c r="C709" s="80"/>
      <c r="D709" s="80"/>
      <c r="E709" s="80"/>
      <c r="F709" s="91"/>
      <c r="G709" s="92"/>
      <c r="H709" s="93"/>
    </row>
    <row r="710" spans="2:8" ht="13" x14ac:dyDescent="0.15">
      <c r="B710" s="82"/>
      <c r="C710" s="80"/>
      <c r="D710" s="80"/>
      <c r="E710" s="80"/>
      <c r="F710" s="91"/>
      <c r="G710" s="92"/>
      <c r="H710" s="93"/>
    </row>
    <row r="711" spans="2:8" ht="13" x14ac:dyDescent="0.15">
      <c r="B711" s="82"/>
      <c r="C711" s="80"/>
      <c r="D711" s="80"/>
      <c r="E711" s="80"/>
      <c r="F711" s="91"/>
      <c r="G711" s="92"/>
      <c r="H711" s="93"/>
    </row>
    <row r="712" spans="2:8" ht="13" x14ac:dyDescent="0.15">
      <c r="B712" s="82"/>
      <c r="C712" s="80"/>
      <c r="D712" s="80"/>
      <c r="E712" s="80"/>
      <c r="F712" s="91"/>
      <c r="G712" s="92"/>
      <c r="H712" s="93"/>
    </row>
    <row r="713" spans="2:8" ht="13" x14ac:dyDescent="0.15">
      <c r="B713" s="82"/>
      <c r="C713" s="80"/>
      <c r="D713" s="80"/>
      <c r="E713" s="80"/>
      <c r="F713" s="91"/>
      <c r="G713" s="92"/>
      <c r="H713" s="93"/>
    </row>
    <row r="714" spans="2:8" ht="13" x14ac:dyDescent="0.15">
      <c r="B714" s="82"/>
      <c r="C714" s="80"/>
      <c r="D714" s="80"/>
      <c r="E714" s="80"/>
      <c r="F714" s="91"/>
      <c r="G714" s="92"/>
      <c r="H714" s="93"/>
    </row>
    <row r="715" spans="2:8" ht="13" x14ac:dyDescent="0.15">
      <c r="B715" s="82"/>
      <c r="C715" s="80"/>
      <c r="D715" s="80"/>
      <c r="E715" s="80"/>
      <c r="F715" s="91"/>
      <c r="G715" s="92"/>
      <c r="H715" s="93"/>
    </row>
    <row r="716" spans="2:8" ht="13" x14ac:dyDescent="0.15">
      <c r="B716" s="82"/>
      <c r="C716" s="80"/>
      <c r="D716" s="80"/>
      <c r="E716" s="80"/>
      <c r="F716" s="91"/>
      <c r="G716" s="92"/>
      <c r="H716" s="93"/>
    </row>
    <row r="717" spans="2:8" ht="13" x14ac:dyDescent="0.15">
      <c r="B717" s="82"/>
      <c r="C717" s="80"/>
      <c r="D717" s="80"/>
      <c r="E717" s="80"/>
      <c r="F717" s="91"/>
      <c r="G717" s="92"/>
      <c r="H717" s="93"/>
    </row>
    <row r="718" spans="2:8" ht="13" x14ac:dyDescent="0.15">
      <c r="B718" s="82"/>
      <c r="C718" s="80"/>
      <c r="D718" s="80"/>
      <c r="E718" s="80"/>
      <c r="F718" s="91"/>
      <c r="G718" s="92"/>
      <c r="H718" s="93"/>
    </row>
    <row r="719" spans="2:8" ht="13" x14ac:dyDescent="0.15">
      <c r="B719" s="82"/>
      <c r="C719" s="80"/>
      <c r="D719" s="80"/>
      <c r="E719" s="80"/>
      <c r="F719" s="91"/>
      <c r="G719" s="92"/>
      <c r="H719" s="93"/>
    </row>
    <row r="720" spans="2:8" ht="13" x14ac:dyDescent="0.15">
      <c r="B720" s="82"/>
      <c r="C720" s="80"/>
      <c r="D720" s="80"/>
      <c r="E720" s="80"/>
      <c r="F720" s="91"/>
      <c r="G720" s="92"/>
      <c r="H720" s="93"/>
    </row>
    <row r="721" spans="2:8" ht="13" x14ac:dyDescent="0.15">
      <c r="B721" s="82"/>
      <c r="C721" s="80"/>
      <c r="D721" s="80"/>
      <c r="E721" s="80"/>
      <c r="F721" s="91"/>
      <c r="G721" s="92"/>
      <c r="H721" s="93"/>
    </row>
    <row r="722" spans="2:8" ht="13" x14ac:dyDescent="0.15">
      <c r="B722" s="82"/>
      <c r="C722" s="80"/>
      <c r="D722" s="80"/>
      <c r="E722" s="80"/>
      <c r="F722" s="91"/>
      <c r="G722" s="92"/>
      <c r="H722" s="93"/>
    </row>
    <row r="723" spans="2:8" ht="13" x14ac:dyDescent="0.15">
      <c r="B723" s="82"/>
      <c r="C723" s="80"/>
      <c r="D723" s="80"/>
      <c r="E723" s="80"/>
      <c r="F723" s="91"/>
      <c r="G723" s="92"/>
      <c r="H723" s="93"/>
    </row>
    <row r="724" spans="2:8" ht="13" x14ac:dyDescent="0.15">
      <c r="B724" s="82"/>
      <c r="C724" s="80"/>
      <c r="D724" s="80"/>
      <c r="E724" s="80"/>
      <c r="F724" s="91"/>
      <c r="G724" s="92"/>
      <c r="H724" s="93"/>
    </row>
    <row r="725" spans="2:8" ht="13" x14ac:dyDescent="0.15">
      <c r="B725" s="82"/>
      <c r="C725" s="80"/>
      <c r="D725" s="80"/>
      <c r="E725" s="80"/>
      <c r="F725" s="91"/>
      <c r="G725" s="92"/>
      <c r="H725" s="93"/>
    </row>
    <row r="726" spans="2:8" ht="13" x14ac:dyDescent="0.15">
      <c r="B726" s="82"/>
      <c r="C726" s="80"/>
      <c r="D726" s="80"/>
      <c r="E726" s="80"/>
      <c r="F726" s="91"/>
      <c r="G726" s="92"/>
      <c r="H726" s="93"/>
    </row>
    <row r="727" spans="2:8" ht="13" x14ac:dyDescent="0.15">
      <c r="B727" s="82"/>
      <c r="C727" s="80"/>
      <c r="D727" s="80"/>
      <c r="E727" s="80"/>
      <c r="F727" s="91"/>
      <c r="G727" s="92"/>
      <c r="H727" s="93"/>
    </row>
    <row r="728" spans="2:8" ht="13" x14ac:dyDescent="0.15">
      <c r="B728" s="82"/>
      <c r="C728" s="80"/>
      <c r="D728" s="80"/>
      <c r="E728" s="80"/>
      <c r="F728" s="91"/>
      <c r="G728" s="92"/>
      <c r="H728" s="93"/>
    </row>
    <row r="729" spans="2:8" ht="13" x14ac:dyDescent="0.15">
      <c r="B729" s="82"/>
      <c r="C729" s="80"/>
      <c r="D729" s="80"/>
      <c r="E729" s="80"/>
      <c r="F729" s="91"/>
      <c r="G729" s="92"/>
      <c r="H729" s="93"/>
    </row>
    <row r="730" spans="2:8" ht="13" x14ac:dyDescent="0.15">
      <c r="B730" s="82"/>
      <c r="C730" s="80"/>
      <c r="D730" s="80"/>
      <c r="E730" s="80"/>
      <c r="F730" s="91"/>
      <c r="G730" s="92"/>
      <c r="H730" s="93"/>
    </row>
    <row r="731" spans="2:8" ht="13" x14ac:dyDescent="0.15">
      <c r="B731" s="82"/>
      <c r="C731" s="80"/>
      <c r="D731" s="80"/>
      <c r="E731" s="80"/>
      <c r="F731" s="91"/>
      <c r="G731" s="92"/>
      <c r="H731" s="93"/>
    </row>
    <row r="732" spans="2:8" ht="13" x14ac:dyDescent="0.15">
      <c r="B732" s="82"/>
      <c r="C732" s="80"/>
      <c r="D732" s="80"/>
      <c r="E732" s="80"/>
      <c r="F732" s="91"/>
      <c r="G732" s="92"/>
      <c r="H732" s="93"/>
    </row>
    <row r="733" spans="2:8" ht="13" x14ac:dyDescent="0.15">
      <c r="B733" s="82"/>
      <c r="C733" s="80"/>
      <c r="D733" s="80"/>
      <c r="E733" s="80"/>
      <c r="F733" s="91"/>
      <c r="G733" s="92"/>
      <c r="H733" s="93"/>
    </row>
    <row r="734" spans="2:8" ht="13" x14ac:dyDescent="0.15">
      <c r="B734" s="82"/>
      <c r="C734" s="80"/>
      <c r="D734" s="80"/>
      <c r="E734" s="80"/>
      <c r="F734" s="91"/>
      <c r="G734" s="92"/>
      <c r="H734" s="93"/>
    </row>
    <row r="735" spans="2:8" ht="13" x14ac:dyDescent="0.15">
      <c r="B735" s="82"/>
      <c r="C735" s="80"/>
      <c r="D735" s="80"/>
      <c r="E735" s="80"/>
      <c r="F735" s="91"/>
      <c r="G735" s="92"/>
      <c r="H735" s="93"/>
    </row>
    <row r="736" spans="2:8" ht="13" x14ac:dyDescent="0.15">
      <c r="B736" s="82"/>
      <c r="C736" s="80"/>
      <c r="D736" s="80"/>
      <c r="E736" s="80"/>
      <c r="F736" s="91"/>
      <c r="G736" s="92"/>
      <c r="H736" s="93"/>
    </row>
    <row r="737" spans="2:8" ht="13" x14ac:dyDescent="0.15">
      <c r="B737" s="82"/>
      <c r="C737" s="80"/>
      <c r="D737" s="80"/>
      <c r="E737" s="80"/>
      <c r="F737" s="91"/>
      <c r="G737" s="92"/>
      <c r="H737" s="93"/>
    </row>
    <row r="738" spans="2:8" ht="13" x14ac:dyDescent="0.15">
      <c r="B738" s="82"/>
      <c r="C738" s="80"/>
      <c r="D738" s="80"/>
      <c r="E738" s="80"/>
      <c r="F738" s="91"/>
      <c r="G738" s="92"/>
      <c r="H738" s="93"/>
    </row>
    <row r="739" spans="2:8" ht="13" x14ac:dyDescent="0.15">
      <c r="B739" s="82"/>
      <c r="C739" s="80"/>
      <c r="D739" s="80"/>
      <c r="E739" s="80"/>
      <c r="F739" s="91"/>
      <c r="G739" s="92"/>
      <c r="H739" s="93"/>
    </row>
    <row r="740" spans="2:8" ht="13" x14ac:dyDescent="0.15">
      <c r="B740" s="82"/>
      <c r="C740" s="80"/>
      <c r="D740" s="80"/>
      <c r="E740" s="80"/>
      <c r="F740" s="91"/>
      <c r="G740" s="92"/>
      <c r="H740" s="93"/>
    </row>
    <row r="741" spans="2:8" ht="13" x14ac:dyDescent="0.15">
      <c r="B741" s="82"/>
      <c r="C741" s="80"/>
      <c r="D741" s="80"/>
      <c r="E741" s="80"/>
      <c r="F741" s="91"/>
      <c r="G741" s="92"/>
      <c r="H741" s="93"/>
    </row>
    <row r="742" spans="2:8" ht="13" x14ac:dyDescent="0.15">
      <c r="B742" s="82"/>
      <c r="C742" s="80"/>
      <c r="D742" s="80"/>
      <c r="E742" s="80"/>
      <c r="F742" s="91"/>
      <c r="G742" s="92"/>
      <c r="H742" s="93"/>
    </row>
    <row r="743" spans="2:8" ht="13" x14ac:dyDescent="0.15">
      <c r="B743" s="82"/>
      <c r="C743" s="80"/>
      <c r="D743" s="80"/>
      <c r="E743" s="80"/>
      <c r="F743" s="91"/>
      <c r="G743" s="92"/>
      <c r="H743" s="93"/>
    </row>
    <row r="744" spans="2:8" ht="13" x14ac:dyDescent="0.15">
      <c r="B744" s="82"/>
      <c r="C744" s="80"/>
      <c r="D744" s="80"/>
      <c r="E744" s="80"/>
      <c r="F744" s="91"/>
      <c r="G744" s="92"/>
      <c r="H744" s="93"/>
    </row>
    <row r="745" spans="2:8" ht="13" x14ac:dyDescent="0.15">
      <c r="B745" s="82"/>
      <c r="C745" s="80"/>
      <c r="D745" s="80"/>
      <c r="E745" s="80"/>
      <c r="F745" s="91"/>
      <c r="G745" s="92"/>
      <c r="H745" s="93"/>
    </row>
    <row r="746" spans="2:8" ht="13" x14ac:dyDescent="0.15">
      <c r="B746" s="82"/>
      <c r="C746" s="80"/>
      <c r="D746" s="80"/>
      <c r="E746" s="80"/>
      <c r="F746" s="91"/>
      <c r="G746" s="92"/>
      <c r="H746" s="93"/>
    </row>
    <row r="747" spans="2:8" ht="13" x14ac:dyDescent="0.15">
      <c r="B747" s="82"/>
      <c r="C747" s="80"/>
      <c r="D747" s="80"/>
      <c r="E747" s="80"/>
      <c r="F747" s="91"/>
      <c r="G747" s="92"/>
      <c r="H747" s="93"/>
    </row>
    <row r="748" spans="2:8" ht="13" x14ac:dyDescent="0.15">
      <c r="B748" s="82"/>
      <c r="C748" s="80"/>
      <c r="D748" s="80"/>
      <c r="E748" s="80"/>
      <c r="F748" s="91"/>
      <c r="G748" s="92"/>
      <c r="H748" s="93"/>
    </row>
    <row r="749" spans="2:8" ht="13" x14ac:dyDescent="0.15">
      <c r="B749" s="82"/>
      <c r="C749" s="80"/>
      <c r="D749" s="80"/>
      <c r="E749" s="80"/>
      <c r="F749" s="91"/>
      <c r="G749" s="92"/>
      <c r="H749" s="93"/>
    </row>
    <row r="750" spans="2:8" ht="13" x14ac:dyDescent="0.15">
      <c r="B750" s="82"/>
      <c r="C750" s="80"/>
      <c r="D750" s="80"/>
      <c r="E750" s="80"/>
      <c r="F750" s="91"/>
      <c r="G750" s="92"/>
      <c r="H750" s="93"/>
    </row>
    <row r="751" spans="2:8" ht="13" x14ac:dyDescent="0.15">
      <c r="B751" s="82"/>
      <c r="C751" s="80"/>
      <c r="D751" s="80"/>
      <c r="E751" s="80"/>
      <c r="F751" s="91"/>
      <c r="G751" s="92"/>
      <c r="H751" s="93"/>
    </row>
    <row r="752" spans="2:8" ht="13" x14ac:dyDescent="0.15">
      <c r="B752" s="82"/>
      <c r="C752" s="80"/>
      <c r="D752" s="80"/>
      <c r="E752" s="80"/>
      <c r="F752" s="91"/>
      <c r="G752" s="92"/>
      <c r="H752" s="93"/>
    </row>
    <row r="753" spans="2:8" ht="13" x14ac:dyDescent="0.15">
      <c r="B753" s="82"/>
      <c r="C753" s="80"/>
      <c r="D753" s="80"/>
      <c r="E753" s="80"/>
      <c r="F753" s="91"/>
      <c r="G753" s="92"/>
      <c r="H753" s="93"/>
    </row>
    <row r="754" spans="2:8" ht="13" x14ac:dyDescent="0.15">
      <c r="B754" s="82"/>
      <c r="C754" s="80"/>
      <c r="D754" s="80"/>
      <c r="E754" s="80"/>
      <c r="F754" s="91"/>
      <c r="G754" s="92"/>
      <c r="H754" s="93"/>
    </row>
    <row r="755" spans="2:8" ht="13" x14ac:dyDescent="0.15">
      <c r="B755" s="82"/>
      <c r="C755" s="80"/>
      <c r="D755" s="80"/>
      <c r="E755" s="80"/>
      <c r="F755" s="91"/>
      <c r="G755" s="92"/>
      <c r="H755" s="93"/>
    </row>
    <row r="756" spans="2:8" ht="13" x14ac:dyDescent="0.15">
      <c r="B756" s="82"/>
      <c r="C756" s="80"/>
      <c r="D756" s="80"/>
      <c r="E756" s="80"/>
      <c r="F756" s="91"/>
      <c r="G756" s="92"/>
      <c r="H756" s="93"/>
    </row>
    <row r="757" spans="2:8" ht="13" x14ac:dyDescent="0.15">
      <c r="B757" s="82"/>
      <c r="C757" s="80"/>
      <c r="D757" s="80"/>
      <c r="E757" s="80"/>
      <c r="F757" s="91"/>
      <c r="G757" s="92"/>
      <c r="H757" s="93"/>
    </row>
    <row r="758" spans="2:8" ht="13" x14ac:dyDescent="0.15">
      <c r="B758" s="82"/>
      <c r="C758" s="80"/>
      <c r="D758" s="80"/>
      <c r="E758" s="80"/>
      <c r="F758" s="91"/>
      <c r="G758" s="92"/>
      <c r="H758" s="93"/>
    </row>
    <row r="759" spans="2:8" ht="13" x14ac:dyDescent="0.15">
      <c r="B759" s="82"/>
      <c r="C759" s="80"/>
      <c r="D759" s="80"/>
      <c r="E759" s="80"/>
      <c r="F759" s="91"/>
      <c r="G759" s="92"/>
      <c r="H759" s="93"/>
    </row>
    <row r="760" spans="2:8" ht="13" x14ac:dyDescent="0.15">
      <c r="B760" s="82"/>
      <c r="C760" s="80"/>
      <c r="D760" s="80"/>
      <c r="E760" s="80"/>
      <c r="F760" s="91"/>
      <c r="G760" s="92"/>
      <c r="H760" s="93"/>
    </row>
    <row r="761" spans="2:8" ht="13" x14ac:dyDescent="0.15">
      <c r="B761" s="82"/>
      <c r="C761" s="80"/>
      <c r="D761" s="80"/>
      <c r="E761" s="80"/>
      <c r="F761" s="91"/>
      <c r="G761" s="92"/>
      <c r="H761" s="93"/>
    </row>
    <row r="762" spans="2:8" ht="13" x14ac:dyDescent="0.15">
      <c r="B762" s="82"/>
      <c r="C762" s="80"/>
      <c r="D762" s="80"/>
      <c r="E762" s="80"/>
      <c r="F762" s="91"/>
      <c r="G762" s="92"/>
      <c r="H762" s="93"/>
    </row>
    <row r="763" spans="2:8" ht="13" x14ac:dyDescent="0.15">
      <c r="B763" s="82"/>
      <c r="C763" s="80"/>
      <c r="D763" s="80"/>
      <c r="E763" s="80"/>
      <c r="F763" s="91"/>
      <c r="G763" s="92"/>
      <c r="H763" s="93"/>
    </row>
    <row r="764" spans="2:8" ht="13" x14ac:dyDescent="0.15">
      <c r="B764" s="82"/>
      <c r="C764" s="80"/>
      <c r="D764" s="80"/>
      <c r="E764" s="80"/>
      <c r="F764" s="91"/>
      <c r="G764" s="92"/>
      <c r="H764" s="93"/>
    </row>
    <row r="765" spans="2:8" ht="13" x14ac:dyDescent="0.15">
      <c r="B765" s="82"/>
      <c r="C765" s="80"/>
      <c r="D765" s="80"/>
      <c r="E765" s="80"/>
      <c r="F765" s="91"/>
      <c r="G765" s="92"/>
      <c r="H765" s="93"/>
    </row>
    <row r="766" spans="2:8" ht="13" x14ac:dyDescent="0.15">
      <c r="B766" s="82"/>
      <c r="C766" s="80"/>
      <c r="D766" s="80"/>
      <c r="E766" s="80"/>
      <c r="F766" s="91"/>
      <c r="G766" s="92"/>
      <c r="H766" s="93"/>
    </row>
    <row r="767" spans="2:8" ht="13" x14ac:dyDescent="0.15">
      <c r="B767" s="82"/>
      <c r="C767" s="80"/>
      <c r="D767" s="80"/>
      <c r="E767" s="80"/>
      <c r="F767" s="91"/>
      <c r="G767" s="92"/>
      <c r="H767" s="93"/>
    </row>
    <row r="768" spans="2:8" ht="13" x14ac:dyDescent="0.15">
      <c r="B768" s="82"/>
      <c r="C768" s="80"/>
      <c r="D768" s="80"/>
      <c r="E768" s="80"/>
      <c r="F768" s="91"/>
      <c r="G768" s="92"/>
      <c r="H768" s="93"/>
    </row>
    <row r="769" spans="2:8" ht="13" x14ac:dyDescent="0.15">
      <c r="B769" s="82"/>
      <c r="C769" s="80"/>
      <c r="D769" s="80"/>
      <c r="E769" s="80"/>
      <c r="F769" s="91"/>
      <c r="G769" s="92"/>
      <c r="H769" s="93"/>
    </row>
    <row r="770" spans="2:8" ht="13" x14ac:dyDescent="0.15">
      <c r="F770" s="25"/>
    </row>
    <row r="771" spans="2:8" ht="13" x14ac:dyDescent="0.15">
      <c r="F771" s="25"/>
    </row>
    <row r="772" spans="2:8" ht="13" x14ac:dyDescent="0.15">
      <c r="F772" s="25"/>
    </row>
    <row r="773" spans="2:8" ht="13" x14ac:dyDescent="0.15">
      <c r="F773" s="25"/>
    </row>
    <row r="774" spans="2:8" ht="13" x14ac:dyDescent="0.15">
      <c r="F774" s="25"/>
    </row>
    <row r="775" spans="2:8" ht="13" x14ac:dyDescent="0.15">
      <c r="F775" s="25"/>
    </row>
    <row r="776" spans="2:8" ht="13" x14ac:dyDescent="0.15">
      <c r="F776" s="25"/>
    </row>
    <row r="777" spans="2:8" ht="13" x14ac:dyDescent="0.15">
      <c r="F777" s="25"/>
    </row>
    <row r="778" spans="2:8" ht="13" x14ac:dyDescent="0.15">
      <c r="F778" s="25"/>
    </row>
    <row r="779" spans="2:8" ht="13" x14ac:dyDescent="0.15">
      <c r="F779" s="25"/>
    </row>
    <row r="780" spans="2:8" ht="13" x14ac:dyDescent="0.15">
      <c r="F780" s="25"/>
    </row>
    <row r="781" spans="2:8" ht="13" x14ac:dyDescent="0.15">
      <c r="F781" s="25"/>
    </row>
    <row r="782" spans="2:8" ht="13" x14ac:dyDescent="0.15">
      <c r="F782" s="25"/>
    </row>
    <row r="783" spans="2:8" ht="13" x14ac:dyDescent="0.15">
      <c r="F783" s="25"/>
    </row>
    <row r="784" spans="2:8" ht="13" x14ac:dyDescent="0.15">
      <c r="F784" s="25"/>
    </row>
    <row r="785" spans="6:6" ht="13" x14ac:dyDescent="0.15">
      <c r="F785" s="25"/>
    </row>
    <row r="786" spans="6:6" ht="13" x14ac:dyDescent="0.15">
      <c r="F786" s="25"/>
    </row>
    <row r="787" spans="6:6" ht="13" x14ac:dyDescent="0.15">
      <c r="F787" s="25"/>
    </row>
    <row r="788" spans="6:6" ht="13" x14ac:dyDescent="0.15">
      <c r="F788" s="25"/>
    </row>
    <row r="789" spans="6:6" ht="13" x14ac:dyDescent="0.15">
      <c r="F789" s="25"/>
    </row>
    <row r="790" spans="6:6" ht="13" x14ac:dyDescent="0.15">
      <c r="F790" s="25"/>
    </row>
    <row r="791" spans="6:6" ht="13" x14ac:dyDescent="0.15">
      <c r="F791" s="25"/>
    </row>
    <row r="792" spans="6:6" ht="13" x14ac:dyDescent="0.15">
      <c r="F792" s="25"/>
    </row>
    <row r="793" spans="6:6" ht="13" x14ac:dyDescent="0.15">
      <c r="F793" s="25"/>
    </row>
    <row r="794" spans="6:6" ht="13" x14ac:dyDescent="0.15">
      <c r="F794" s="25"/>
    </row>
    <row r="795" spans="6:6" ht="13" x14ac:dyDescent="0.15">
      <c r="F795" s="25"/>
    </row>
    <row r="796" spans="6:6" ht="13" x14ac:dyDescent="0.15">
      <c r="F796" s="25"/>
    </row>
    <row r="797" spans="6:6" ht="13" x14ac:dyDescent="0.15">
      <c r="F797" s="25"/>
    </row>
    <row r="798" spans="6:6" ht="13" x14ac:dyDescent="0.15">
      <c r="F798" s="25"/>
    </row>
    <row r="799" spans="6:6" ht="13" x14ac:dyDescent="0.15">
      <c r="F799" s="25"/>
    </row>
    <row r="800" spans="6:6" ht="13" x14ac:dyDescent="0.15">
      <c r="F800" s="25"/>
    </row>
    <row r="801" spans="6:6" ht="13" x14ac:dyDescent="0.15">
      <c r="F801" s="25"/>
    </row>
    <row r="802" spans="6:6" ht="13" x14ac:dyDescent="0.15">
      <c r="F802" s="25"/>
    </row>
    <row r="803" spans="6:6" ht="13" x14ac:dyDescent="0.15">
      <c r="F803" s="25"/>
    </row>
    <row r="804" spans="6:6" ht="13" x14ac:dyDescent="0.15">
      <c r="F804" s="25"/>
    </row>
    <row r="805" spans="6:6" ht="13" x14ac:dyDescent="0.15">
      <c r="F805" s="25"/>
    </row>
    <row r="806" spans="6:6" ht="13" x14ac:dyDescent="0.15">
      <c r="F806" s="25"/>
    </row>
    <row r="807" spans="6:6" ht="13" x14ac:dyDescent="0.15">
      <c r="F807" s="25"/>
    </row>
    <row r="808" spans="6:6" ht="13" x14ac:dyDescent="0.15">
      <c r="F808" s="25"/>
    </row>
    <row r="809" spans="6:6" ht="13" x14ac:dyDescent="0.15">
      <c r="F809" s="25"/>
    </row>
    <row r="810" spans="6:6" ht="13" x14ac:dyDescent="0.15">
      <c r="F810" s="25"/>
    </row>
    <row r="811" spans="6:6" ht="13" x14ac:dyDescent="0.15">
      <c r="F811" s="25"/>
    </row>
    <row r="812" spans="6:6" ht="13" x14ac:dyDescent="0.15">
      <c r="F812" s="25"/>
    </row>
    <row r="813" spans="6:6" ht="13" x14ac:dyDescent="0.15">
      <c r="F813" s="25"/>
    </row>
    <row r="814" spans="6:6" ht="13" x14ac:dyDescent="0.15">
      <c r="F814" s="25"/>
    </row>
    <row r="815" spans="6:6" ht="13" x14ac:dyDescent="0.15">
      <c r="F815" s="25"/>
    </row>
    <row r="816" spans="6:6" ht="13" x14ac:dyDescent="0.15">
      <c r="F816" s="25"/>
    </row>
    <row r="817" spans="6:6" ht="13" x14ac:dyDescent="0.15">
      <c r="F817" s="25"/>
    </row>
    <row r="818" spans="6:6" ht="13" x14ac:dyDescent="0.15">
      <c r="F818" s="25"/>
    </row>
    <row r="819" spans="6:6" ht="13" x14ac:dyDescent="0.15">
      <c r="F819" s="25"/>
    </row>
    <row r="820" spans="6:6" ht="13" x14ac:dyDescent="0.15">
      <c r="F820" s="25"/>
    </row>
    <row r="821" spans="6:6" ht="13" x14ac:dyDescent="0.15">
      <c r="F821" s="25"/>
    </row>
    <row r="822" spans="6:6" ht="13" x14ac:dyDescent="0.15">
      <c r="F822" s="25"/>
    </row>
    <row r="823" spans="6:6" ht="13" x14ac:dyDescent="0.15">
      <c r="F823" s="25"/>
    </row>
    <row r="824" spans="6:6" ht="13" x14ac:dyDescent="0.15">
      <c r="F824" s="25"/>
    </row>
    <row r="825" spans="6:6" ht="13" x14ac:dyDescent="0.15">
      <c r="F825" s="25"/>
    </row>
    <row r="826" spans="6:6" ht="13" x14ac:dyDescent="0.15">
      <c r="F826" s="25"/>
    </row>
    <row r="827" spans="6:6" ht="13" x14ac:dyDescent="0.15">
      <c r="F827" s="25"/>
    </row>
    <row r="828" spans="6:6" ht="13" x14ac:dyDescent="0.15">
      <c r="F828" s="25"/>
    </row>
    <row r="829" spans="6:6" ht="13" x14ac:dyDescent="0.15">
      <c r="F829" s="25"/>
    </row>
    <row r="830" spans="6:6" ht="13" x14ac:dyDescent="0.15">
      <c r="F830" s="25"/>
    </row>
    <row r="831" spans="6:6" ht="13" x14ac:dyDescent="0.15">
      <c r="F831" s="25"/>
    </row>
    <row r="832" spans="6:6" ht="13" x14ac:dyDescent="0.15">
      <c r="F832" s="25"/>
    </row>
    <row r="833" spans="6:6" ht="13" x14ac:dyDescent="0.15">
      <c r="F833" s="25"/>
    </row>
    <row r="834" spans="6:6" ht="13" x14ac:dyDescent="0.15">
      <c r="F834" s="25"/>
    </row>
    <row r="835" spans="6:6" ht="13" x14ac:dyDescent="0.15">
      <c r="F835" s="25"/>
    </row>
    <row r="836" spans="6:6" ht="13" x14ac:dyDescent="0.15">
      <c r="F836" s="25"/>
    </row>
    <row r="837" spans="6:6" ht="13" x14ac:dyDescent="0.15">
      <c r="F837" s="25"/>
    </row>
    <row r="838" spans="6:6" ht="13" x14ac:dyDescent="0.15">
      <c r="F838" s="25"/>
    </row>
    <row r="839" spans="6:6" ht="13" x14ac:dyDescent="0.15">
      <c r="F839" s="25"/>
    </row>
    <row r="840" spans="6:6" ht="13" x14ac:dyDescent="0.15">
      <c r="F840" s="25"/>
    </row>
    <row r="841" spans="6:6" ht="13" x14ac:dyDescent="0.15">
      <c r="F841" s="25"/>
    </row>
    <row r="842" spans="6:6" ht="13" x14ac:dyDescent="0.15">
      <c r="F842" s="25"/>
    </row>
    <row r="843" spans="6:6" ht="13" x14ac:dyDescent="0.15">
      <c r="F843" s="25"/>
    </row>
    <row r="844" spans="6:6" ht="13" x14ac:dyDescent="0.15">
      <c r="F844" s="25"/>
    </row>
    <row r="845" spans="6:6" ht="13" x14ac:dyDescent="0.15">
      <c r="F845" s="25"/>
    </row>
    <row r="846" spans="6:6" ht="13" x14ac:dyDescent="0.15">
      <c r="F846" s="25"/>
    </row>
    <row r="847" spans="6:6" ht="13" x14ac:dyDescent="0.15">
      <c r="F847" s="25"/>
    </row>
    <row r="848" spans="6:6" ht="13" x14ac:dyDescent="0.15">
      <c r="F848" s="25"/>
    </row>
    <row r="849" spans="6:6" ht="13" x14ac:dyDescent="0.15">
      <c r="F849" s="25"/>
    </row>
    <row r="850" spans="6:6" ht="13" x14ac:dyDescent="0.15">
      <c r="F850" s="25"/>
    </row>
    <row r="851" spans="6:6" ht="13" x14ac:dyDescent="0.15">
      <c r="F851" s="25"/>
    </row>
    <row r="852" spans="6:6" ht="13" x14ac:dyDescent="0.15">
      <c r="F852" s="25"/>
    </row>
    <row r="853" spans="6:6" ht="13" x14ac:dyDescent="0.15">
      <c r="F853" s="25"/>
    </row>
    <row r="854" spans="6:6" ht="13" x14ac:dyDescent="0.15">
      <c r="F854" s="25"/>
    </row>
    <row r="855" spans="6:6" ht="13" x14ac:dyDescent="0.15">
      <c r="F855" s="25"/>
    </row>
    <row r="856" spans="6:6" ht="13" x14ac:dyDescent="0.15">
      <c r="F856" s="25"/>
    </row>
    <row r="857" spans="6:6" ht="13" x14ac:dyDescent="0.15">
      <c r="F857" s="25"/>
    </row>
    <row r="858" spans="6:6" ht="13" x14ac:dyDescent="0.15">
      <c r="F858" s="25"/>
    </row>
    <row r="859" spans="6:6" ht="13" x14ac:dyDescent="0.15">
      <c r="F859" s="25"/>
    </row>
    <row r="860" spans="6:6" ht="13" x14ac:dyDescent="0.15">
      <c r="F860" s="25"/>
    </row>
    <row r="861" spans="6:6" ht="13" x14ac:dyDescent="0.15">
      <c r="F861" s="25"/>
    </row>
    <row r="862" spans="6:6" ht="13" x14ac:dyDescent="0.15">
      <c r="F862" s="25"/>
    </row>
    <row r="863" spans="6:6" ht="13" x14ac:dyDescent="0.15">
      <c r="F863" s="25"/>
    </row>
    <row r="864" spans="6:6" ht="13" x14ac:dyDescent="0.15">
      <c r="F864" s="25"/>
    </row>
    <row r="865" spans="6:6" ht="13" x14ac:dyDescent="0.15">
      <c r="F865" s="25"/>
    </row>
    <row r="866" spans="6:6" ht="13" x14ac:dyDescent="0.15">
      <c r="F866" s="25"/>
    </row>
    <row r="867" spans="6:6" ht="13" x14ac:dyDescent="0.15">
      <c r="F867" s="25"/>
    </row>
    <row r="868" spans="6:6" ht="13" x14ac:dyDescent="0.15">
      <c r="F868" s="25"/>
    </row>
    <row r="869" spans="6:6" ht="13" x14ac:dyDescent="0.15">
      <c r="F869" s="25"/>
    </row>
    <row r="870" spans="6:6" ht="13" x14ac:dyDescent="0.15">
      <c r="F870" s="25"/>
    </row>
    <row r="871" spans="6:6" ht="13" x14ac:dyDescent="0.15">
      <c r="F871" s="25"/>
    </row>
    <row r="872" spans="6:6" ht="13" x14ac:dyDescent="0.15">
      <c r="F872" s="25"/>
    </row>
    <row r="873" spans="6:6" ht="13" x14ac:dyDescent="0.15">
      <c r="F873" s="25"/>
    </row>
    <row r="874" spans="6:6" ht="13" x14ac:dyDescent="0.15">
      <c r="F874" s="25"/>
    </row>
    <row r="875" spans="6:6" ht="13" x14ac:dyDescent="0.15">
      <c r="F875" s="25"/>
    </row>
    <row r="876" spans="6:6" ht="13" x14ac:dyDescent="0.15">
      <c r="F876" s="25"/>
    </row>
    <row r="877" spans="6:6" ht="13" x14ac:dyDescent="0.15">
      <c r="F877" s="25"/>
    </row>
    <row r="878" spans="6:6" ht="13" x14ac:dyDescent="0.15">
      <c r="F878" s="25"/>
    </row>
    <row r="879" spans="6:6" ht="13" x14ac:dyDescent="0.15">
      <c r="F879" s="25"/>
    </row>
    <row r="880" spans="6:6" ht="13" x14ac:dyDescent="0.15">
      <c r="F880" s="25"/>
    </row>
    <row r="881" spans="6:6" ht="13" x14ac:dyDescent="0.15">
      <c r="F881" s="25"/>
    </row>
    <row r="882" spans="6:6" ht="13" x14ac:dyDescent="0.15">
      <c r="F882" s="25"/>
    </row>
    <row r="883" spans="6:6" ht="13" x14ac:dyDescent="0.15">
      <c r="F883" s="25"/>
    </row>
    <row r="884" spans="6:6" ht="13" x14ac:dyDescent="0.15">
      <c r="F884" s="25"/>
    </row>
    <row r="885" spans="6:6" ht="13" x14ac:dyDescent="0.15">
      <c r="F885" s="25"/>
    </row>
    <row r="886" spans="6:6" ht="13" x14ac:dyDescent="0.15">
      <c r="F886" s="25"/>
    </row>
    <row r="887" spans="6:6" ht="13" x14ac:dyDescent="0.15">
      <c r="F887" s="25"/>
    </row>
    <row r="888" spans="6:6" ht="13" x14ac:dyDescent="0.15">
      <c r="F888" s="25"/>
    </row>
    <row r="889" spans="6:6" ht="13" x14ac:dyDescent="0.15">
      <c r="F889" s="25"/>
    </row>
    <row r="890" spans="6:6" ht="13" x14ac:dyDescent="0.15">
      <c r="F890" s="25"/>
    </row>
    <row r="891" spans="6:6" ht="13" x14ac:dyDescent="0.15">
      <c r="F891" s="25"/>
    </row>
    <row r="892" spans="6:6" ht="13" x14ac:dyDescent="0.15">
      <c r="F892" s="25"/>
    </row>
    <row r="893" spans="6:6" ht="13" x14ac:dyDescent="0.15">
      <c r="F893" s="25"/>
    </row>
    <row r="894" spans="6:6" ht="13" x14ac:dyDescent="0.15">
      <c r="F894" s="25"/>
    </row>
    <row r="895" spans="6:6" ht="13" x14ac:dyDescent="0.15">
      <c r="F895" s="25"/>
    </row>
    <row r="896" spans="6:6" ht="13" x14ac:dyDescent="0.15">
      <c r="F896" s="25"/>
    </row>
    <row r="897" spans="6:6" ht="13" x14ac:dyDescent="0.15">
      <c r="F897" s="25"/>
    </row>
    <row r="898" spans="6:6" ht="13" x14ac:dyDescent="0.15">
      <c r="F898" s="25"/>
    </row>
    <row r="899" spans="6:6" ht="13" x14ac:dyDescent="0.15">
      <c r="F899" s="25"/>
    </row>
    <row r="900" spans="6:6" ht="13" x14ac:dyDescent="0.15">
      <c r="F900" s="25"/>
    </row>
    <row r="901" spans="6:6" ht="13" x14ac:dyDescent="0.15">
      <c r="F901" s="25"/>
    </row>
    <row r="902" spans="6:6" ht="13" x14ac:dyDescent="0.15">
      <c r="F902" s="25"/>
    </row>
    <row r="903" spans="6:6" ht="13" x14ac:dyDescent="0.15">
      <c r="F903" s="25"/>
    </row>
    <row r="904" spans="6:6" ht="13" x14ac:dyDescent="0.15">
      <c r="F904" s="25"/>
    </row>
    <row r="905" spans="6:6" ht="13" x14ac:dyDescent="0.15">
      <c r="F905" s="25"/>
    </row>
    <row r="906" spans="6:6" ht="13" x14ac:dyDescent="0.15">
      <c r="F906" s="25"/>
    </row>
    <row r="907" spans="6:6" ht="13" x14ac:dyDescent="0.15">
      <c r="F907" s="25"/>
    </row>
    <row r="908" spans="6:6" ht="13" x14ac:dyDescent="0.15">
      <c r="F908" s="25"/>
    </row>
    <row r="909" spans="6:6" ht="13" x14ac:dyDescent="0.15">
      <c r="F909" s="25"/>
    </row>
    <row r="910" spans="6:6" ht="13" x14ac:dyDescent="0.15">
      <c r="F910" s="25"/>
    </row>
    <row r="911" spans="6:6" ht="13" x14ac:dyDescent="0.15">
      <c r="F911" s="25"/>
    </row>
    <row r="912" spans="6:6" ht="13" x14ac:dyDescent="0.15">
      <c r="F912" s="25"/>
    </row>
    <row r="913" spans="6:6" ht="13" x14ac:dyDescent="0.15">
      <c r="F913" s="25"/>
    </row>
    <row r="914" spans="6:6" ht="13" x14ac:dyDescent="0.15">
      <c r="F914" s="25"/>
    </row>
    <row r="915" spans="6:6" ht="13" x14ac:dyDescent="0.15">
      <c r="F915" s="25"/>
    </row>
    <row r="916" spans="6:6" ht="13" x14ac:dyDescent="0.15">
      <c r="F916" s="25"/>
    </row>
    <row r="917" spans="6:6" ht="13" x14ac:dyDescent="0.15">
      <c r="F917" s="25"/>
    </row>
    <row r="918" spans="6:6" ht="13" x14ac:dyDescent="0.15">
      <c r="F918" s="25"/>
    </row>
    <row r="919" spans="6:6" ht="13" x14ac:dyDescent="0.15">
      <c r="F919" s="25"/>
    </row>
    <row r="920" spans="6:6" ht="13" x14ac:dyDescent="0.15">
      <c r="F920" s="25"/>
    </row>
    <row r="921" spans="6:6" ht="13" x14ac:dyDescent="0.15">
      <c r="F921" s="25"/>
    </row>
    <row r="922" spans="6:6" ht="13" x14ac:dyDescent="0.15">
      <c r="F922" s="25"/>
    </row>
    <row r="923" spans="6:6" ht="13" x14ac:dyDescent="0.15">
      <c r="F923" s="25"/>
    </row>
    <row r="924" spans="6:6" ht="13" x14ac:dyDescent="0.15">
      <c r="F924" s="25"/>
    </row>
    <row r="925" spans="6:6" ht="13" x14ac:dyDescent="0.15">
      <c r="F925" s="25"/>
    </row>
    <row r="926" spans="6:6" ht="13" x14ac:dyDescent="0.15">
      <c r="F926" s="25"/>
    </row>
    <row r="927" spans="6:6" ht="13" x14ac:dyDescent="0.15">
      <c r="F927" s="25"/>
    </row>
    <row r="928" spans="6:6" ht="13" x14ac:dyDescent="0.15">
      <c r="F928" s="25"/>
    </row>
    <row r="929" spans="6:6" ht="13" x14ac:dyDescent="0.15">
      <c r="F929" s="25"/>
    </row>
    <row r="930" spans="6:6" ht="13" x14ac:dyDescent="0.15">
      <c r="F930" s="25"/>
    </row>
    <row r="931" spans="6:6" ht="13" x14ac:dyDescent="0.15">
      <c r="F931" s="25"/>
    </row>
    <row r="932" spans="6:6" ht="13" x14ac:dyDescent="0.15">
      <c r="F932" s="25"/>
    </row>
    <row r="933" spans="6:6" ht="13" x14ac:dyDescent="0.15">
      <c r="F933" s="25"/>
    </row>
    <row r="934" spans="6:6" ht="13" x14ac:dyDescent="0.15">
      <c r="F934" s="25"/>
    </row>
    <row r="935" spans="6:6" ht="13" x14ac:dyDescent="0.15">
      <c r="F935" s="25"/>
    </row>
    <row r="936" spans="6:6" ht="13" x14ac:dyDescent="0.15">
      <c r="F936" s="25"/>
    </row>
    <row r="937" spans="6:6" ht="13" x14ac:dyDescent="0.15">
      <c r="F937" s="25"/>
    </row>
    <row r="938" spans="6:6" ht="13" x14ac:dyDescent="0.15">
      <c r="F938" s="25"/>
    </row>
    <row r="939" spans="6:6" ht="13" x14ac:dyDescent="0.15">
      <c r="F939" s="25"/>
    </row>
    <row r="940" spans="6:6" ht="13" x14ac:dyDescent="0.15">
      <c r="F940" s="25"/>
    </row>
    <row r="941" spans="6:6" ht="13" x14ac:dyDescent="0.15">
      <c r="F941" s="25"/>
    </row>
    <row r="942" spans="6:6" ht="13" x14ac:dyDescent="0.15">
      <c r="F942" s="25"/>
    </row>
    <row r="943" spans="6:6" ht="13" x14ac:dyDescent="0.15">
      <c r="F943" s="25"/>
    </row>
    <row r="944" spans="6:6" ht="13" x14ac:dyDescent="0.15">
      <c r="F944" s="25"/>
    </row>
    <row r="945" spans="6:6" ht="13" x14ac:dyDescent="0.15">
      <c r="F945" s="25"/>
    </row>
    <row r="946" spans="6:6" ht="13" x14ac:dyDescent="0.15">
      <c r="F946" s="25"/>
    </row>
    <row r="947" spans="6:6" ht="13" x14ac:dyDescent="0.15">
      <c r="F947" s="25"/>
    </row>
    <row r="948" spans="6:6" ht="13" x14ac:dyDescent="0.15">
      <c r="F948" s="25"/>
    </row>
    <row r="949" spans="6:6" ht="13" x14ac:dyDescent="0.15">
      <c r="F949" s="25"/>
    </row>
    <row r="950" spans="6:6" ht="13" x14ac:dyDescent="0.15">
      <c r="F950" s="25"/>
    </row>
    <row r="951" spans="6:6" ht="13" x14ac:dyDescent="0.15">
      <c r="F951" s="25"/>
    </row>
    <row r="952" spans="6:6" ht="13" x14ac:dyDescent="0.15">
      <c r="F952" s="25"/>
    </row>
    <row r="953" spans="6:6" ht="13" x14ac:dyDescent="0.15">
      <c r="F953" s="25"/>
    </row>
    <row r="954" spans="6:6" ht="13" x14ac:dyDescent="0.15">
      <c r="F954" s="25"/>
    </row>
    <row r="955" spans="6:6" ht="13" x14ac:dyDescent="0.15">
      <c r="F955" s="25"/>
    </row>
    <row r="956" spans="6:6" ht="13" x14ac:dyDescent="0.15">
      <c r="F956" s="25"/>
    </row>
    <row r="957" spans="6:6" ht="13" x14ac:dyDescent="0.15">
      <c r="F957" s="25"/>
    </row>
    <row r="958" spans="6:6" ht="13" x14ac:dyDescent="0.15">
      <c r="F958" s="25"/>
    </row>
    <row r="959" spans="6:6" ht="13" x14ac:dyDescent="0.15">
      <c r="F959" s="25"/>
    </row>
    <row r="960" spans="6:6" ht="13" x14ac:dyDescent="0.15">
      <c r="F960" s="25"/>
    </row>
    <row r="961" spans="6:6" ht="13" x14ac:dyDescent="0.15">
      <c r="F961" s="25"/>
    </row>
    <row r="962" spans="6:6" ht="13" x14ac:dyDescent="0.15">
      <c r="F962" s="25"/>
    </row>
    <row r="963" spans="6:6" ht="13" x14ac:dyDescent="0.15">
      <c r="F963" s="25"/>
    </row>
    <row r="964" spans="6:6" ht="13" x14ac:dyDescent="0.15">
      <c r="F964" s="25"/>
    </row>
    <row r="965" spans="6:6" ht="13" x14ac:dyDescent="0.15">
      <c r="F965" s="25"/>
    </row>
    <row r="966" spans="6:6" ht="13" x14ac:dyDescent="0.15">
      <c r="F966" s="25"/>
    </row>
    <row r="967" spans="6:6" ht="13" x14ac:dyDescent="0.15">
      <c r="F967" s="25"/>
    </row>
    <row r="968" spans="6:6" ht="13" x14ac:dyDescent="0.15">
      <c r="F968" s="25"/>
    </row>
    <row r="969" spans="6:6" ht="13" x14ac:dyDescent="0.15">
      <c r="F969" s="25"/>
    </row>
    <row r="970" spans="6:6" ht="13" x14ac:dyDescent="0.15">
      <c r="F970" s="25"/>
    </row>
    <row r="971" spans="6:6" ht="13" x14ac:dyDescent="0.15">
      <c r="F971" s="25"/>
    </row>
    <row r="972" spans="6:6" ht="13" x14ac:dyDescent="0.15">
      <c r="F972" s="25"/>
    </row>
    <row r="973" spans="6:6" ht="13" x14ac:dyDescent="0.15">
      <c r="F973" s="25"/>
    </row>
    <row r="974" spans="6:6" ht="13" x14ac:dyDescent="0.15">
      <c r="F974" s="25"/>
    </row>
    <row r="975" spans="6:6" ht="13" x14ac:dyDescent="0.15">
      <c r="F975" s="25"/>
    </row>
    <row r="976" spans="6:6" ht="13" x14ac:dyDescent="0.15">
      <c r="F976" s="25"/>
    </row>
    <row r="977" spans="6:6" ht="13" x14ac:dyDescent="0.15">
      <c r="F977" s="25"/>
    </row>
    <row r="978" spans="6:6" ht="13" x14ac:dyDescent="0.15">
      <c r="F978" s="25"/>
    </row>
    <row r="979" spans="6:6" ht="13" x14ac:dyDescent="0.15">
      <c r="F979" s="25"/>
    </row>
    <row r="980" spans="6:6" ht="13" x14ac:dyDescent="0.15">
      <c r="F980" s="25"/>
    </row>
    <row r="981" spans="6:6" ht="13" x14ac:dyDescent="0.15">
      <c r="F981" s="25"/>
    </row>
    <row r="982" spans="6:6" ht="13" x14ac:dyDescent="0.15">
      <c r="F982" s="25"/>
    </row>
    <row r="983" spans="6:6" ht="13" x14ac:dyDescent="0.15">
      <c r="F983" s="25"/>
    </row>
    <row r="984" spans="6:6" ht="13" x14ac:dyDescent="0.15">
      <c r="F984" s="25"/>
    </row>
    <row r="985" spans="6:6" ht="13" x14ac:dyDescent="0.15">
      <c r="F985" s="25"/>
    </row>
    <row r="986" spans="6:6" ht="13" x14ac:dyDescent="0.15">
      <c r="F986" s="25"/>
    </row>
    <row r="987" spans="6:6" ht="13" x14ac:dyDescent="0.15">
      <c r="F987" s="25"/>
    </row>
    <row r="988" spans="6:6" ht="13" x14ac:dyDescent="0.15">
      <c r="F988" s="25"/>
    </row>
    <row r="989" spans="6:6" ht="13" x14ac:dyDescent="0.15">
      <c r="F989" s="25"/>
    </row>
    <row r="990" spans="6:6" ht="13" x14ac:dyDescent="0.15">
      <c r="F990" s="25"/>
    </row>
    <row r="991" spans="6:6" ht="13" x14ac:dyDescent="0.15">
      <c r="F991" s="25"/>
    </row>
    <row r="992" spans="6:6" ht="13" x14ac:dyDescent="0.15">
      <c r="F992" s="25"/>
    </row>
    <row r="993" spans="6:6" ht="13" x14ac:dyDescent="0.15">
      <c r="F993" s="25"/>
    </row>
    <row r="994" spans="6:6" ht="13" x14ac:dyDescent="0.15">
      <c r="F994" s="25"/>
    </row>
    <row r="995" spans="6:6" ht="13" x14ac:dyDescent="0.15">
      <c r="F995" s="25"/>
    </row>
    <row r="996" spans="6:6" ht="13" x14ac:dyDescent="0.15">
      <c r="F996" s="25"/>
    </row>
    <row r="997" spans="6:6" ht="13" x14ac:dyDescent="0.15">
      <c r="F997" s="25"/>
    </row>
    <row r="998" spans="6:6" ht="13" x14ac:dyDescent="0.15">
      <c r="F998" s="25"/>
    </row>
    <row r="999" spans="6:6" ht="13" x14ac:dyDescent="0.15">
      <c r="F999" s="25"/>
    </row>
    <row r="1000" spans="6:6" ht="13" x14ac:dyDescent="0.15">
      <c r="F1000" s="25"/>
    </row>
  </sheetData>
  <hyperlinks>
    <hyperlink ref="F37" r:id="rId1" display="http://0941.hk/" xr:uid="{00000000-0004-0000-0400-000000000000}"/>
    <hyperlink ref="F39" r:id="rId2" display="http://3047.hk/" xr:uid="{00000000-0004-0000-0400-000001000000}"/>
    <hyperlink ref="F40" r:id="rId3" display="http://9988.hk/" xr:uid="{00000000-0004-0000-0400-000002000000}"/>
    <hyperlink ref="F41" r:id="rId4" display="http://0941.hk/" xr:uid="{00000000-0004-0000-0400-000003000000}"/>
    <hyperlink ref="F42" r:id="rId5" display="http://3047.hk/" xr:uid="{00000000-0004-0000-0400-000004000000}"/>
    <hyperlink ref="F46" r:id="rId6" display="http://00700.hk/" xr:uid="{00000000-0004-0000-0400-000005000000}"/>
    <hyperlink ref="F47" r:id="rId7" display="http://00700.hk/" xr:uid="{00000000-0004-0000-0400-000006000000}"/>
    <hyperlink ref="F55" r:id="rId8" display="http://00700.hk/" xr:uid="{00000000-0004-0000-0400-000007000000}"/>
    <hyperlink ref="F57" r:id="rId9" display="http://600519.ss/" xr:uid="{00000000-0004-0000-0400-000008000000}"/>
    <hyperlink ref="F64" r:id="rId10" display="http://0001.hk/" xr:uid="{00000000-0004-0000-0400-000009000000}"/>
    <hyperlink ref="F65" r:id="rId11" display="http://0151.hk/" xr:uid="{00000000-0004-0000-0400-00000A000000}"/>
    <hyperlink ref="F67" r:id="rId12" display="http://0151.hk/" xr:uid="{00000000-0004-0000-0400-00000B000000}"/>
    <hyperlink ref="F68" r:id="rId13" display="http://0001.hk/" xr:uid="{00000000-0004-0000-0400-00000C000000}"/>
    <hyperlink ref="F70" r:id="rId14" display="http://00700.hk/" xr:uid="{00000000-0004-0000-0400-00000D000000}"/>
    <hyperlink ref="F71" r:id="rId15" display="http://09988.hk/" xr:uid="{00000000-0004-0000-0400-00000E000000}"/>
    <hyperlink ref="F72" r:id="rId16" display="http://0700.hk/" xr:uid="{00000000-0004-0000-0400-00000F000000}"/>
    <hyperlink ref="F73" r:id="rId17" display="http://1772.hk/" xr:uid="{00000000-0004-0000-0400-000010000000}"/>
    <hyperlink ref="F78" r:id="rId18" display="http://1024.hk/" xr:uid="{00000000-0004-0000-0400-000011000000}"/>
    <hyperlink ref="F79" r:id="rId19" display="http://9988.hk/" xr:uid="{00000000-0004-0000-0400-000012000000}"/>
    <hyperlink ref="F80" r:id="rId20" display="http://1024.hk/" xr:uid="{00000000-0004-0000-0400-000013000000}"/>
    <hyperlink ref="F81" r:id="rId21" display="http://9988.hk/" xr:uid="{00000000-0004-0000-0400-000014000000}"/>
    <hyperlink ref="F86" r:id="rId22" display="http://1024.hk/" xr:uid="{00000000-0004-0000-0400-000015000000}"/>
    <hyperlink ref="F106" r:id="rId23" display="http://6862.hk/" xr:uid="{00000000-0004-0000-0400-000016000000}"/>
    <hyperlink ref="F107" r:id="rId24" display="http://01024.hk/" xr:uid="{00000000-0004-0000-0400-000017000000}"/>
    <hyperlink ref="F110" r:id="rId25" display="http://0189.hk/" xr:uid="{00000000-0004-0000-0400-000018000000}"/>
    <hyperlink ref="F118" r:id="rId26" display="http://600519.ss/" xr:uid="{00000000-0004-0000-0400-000019000000}"/>
    <hyperlink ref="F121" r:id="rId27" display="http://02607.hk/" xr:uid="{00000000-0004-0000-0400-00001A000000}"/>
    <hyperlink ref="F122" r:id="rId28" display="http://00386.hk/" xr:uid="{00000000-0004-0000-0400-00001B000000}"/>
    <hyperlink ref="F123" r:id="rId29" display="http://02607.hk/" xr:uid="{00000000-0004-0000-0400-00001C000000}"/>
    <hyperlink ref="F129" r:id="rId30" display="http://9988.hk/" xr:uid="{00000000-0004-0000-0400-00001D000000}"/>
    <hyperlink ref="F134" r:id="rId31" display="http://1810.hk/" xr:uid="{00000000-0004-0000-0400-00001E000000}"/>
    <hyperlink ref="F144" r:id="rId32" display="http://1024.hk/" xr:uid="{00000000-0004-0000-0400-00001F000000}"/>
    <hyperlink ref="F145" r:id="rId33" display="http://1024.hk/" xr:uid="{00000000-0004-0000-0400-000020000000}"/>
    <hyperlink ref="F146" r:id="rId34" display="http://9988.hk/" xr:uid="{00000000-0004-0000-0400-000021000000}"/>
    <hyperlink ref="F147" r:id="rId35" display="http://600519.sh/" xr:uid="{00000000-0004-0000-0400-000022000000}"/>
    <hyperlink ref="F148" r:id="rId36" display="http://arow.us/" xr:uid="{00000000-0004-0000-0400-000023000000}"/>
    <hyperlink ref="F149" r:id="rId37" display="http://atax.us/" xr:uid="{00000000-0004-0000-0400-000024000000}"/>
    <hyperlink ref="F150" r:id="rId38" display="http://bksc.us/" xr:uid="{00000000-0004-0000-0400-000025000000}"/>
    <hyperlink ref="F151" r:id="rId39" display="http://01211.hk/" xr:uid="{00000000-0004-0000-0400-000026000000}"/>
    <hyperlink ref="F158" r:id="rId40" display="http://0059.sz/" xr:uid="{00000000-0004-0000-0400-000027000000}"/>
    <hyperlink ref="F159" r:id="rId41" display="http://3261.sh/" xr:uid="{00000000-0004-0000-0400-000028000000}"/>
    <hyperlink ref="F160" r:id="rId42" display="http://603261.sh/" xr:uid="{00000000-0004-0000-0400-000029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129"/>
  <sheetViews>
    <sheetView workbookViewId="0">
      <pane ySplit="4" topLeftCell="A5" activePane="bottomLeft" state="frozen"/>
      <selection pane="bottomLeft" activeCell="B6" sqref="B6"/>
    </sheetView>
  </sheetViews>
  <sheetFormatPr baseColWidth="10" defaultColWidth="12.6640625" defaultRowHeight="15.75" customHeight="1" x14ac:dyDescent="0.15"/>
  <cols>
    <col min="1" max="1" width="10.1640625" customWidth="1"/>
    <col min="2" max="2" width="6.83203125" customWidth="1"/>
    <col min="5" max="5" width="8.5" customWidth="1"/>
    <col min="6" max="6" width="9.5" customWidth="1"/>
    <col min="7" max="7" width="8.6640625" customWidth="1"/>
    <col min="8" max="8" width="9.83203125" customWidth="1"/>
    <col min="9" max="9" width="12" customWidth="1"/>
    <col min="10" max="10" width="11.6640625" customWidth="1"/>
    <col min="11" max="11" width="1.1640625" customWidth="1"/>
    <col min="12" max="12" width="27.6640625" customWidth="1"/>
  </cols>
  <sheetData>
    <row r="1" spans="1:14" ht="15.75" customHeight="1" x14ac:dyDescent="0.25">
      <c r="A1" s="95" t="str">
        <f ca="1">IFERROR(__xludf.DUMMYFUNCTION("importrange(""https://docs.google.com/spreadsheets/d/1mvA960mm3QaFyRdwkfIRxhE1UQJl45QEUTnDVxtxiIE/edit?usp=sharing"",""UnfillOrd!A1:L"" &amp; right(N1,3)*1)"),"Unfilled Order")</f>
        <v>Unfilled Order</v>
      </c>
      <c r="B1" s="43"/>
      <c r="C1" s="43"/>
      <c r="D1" s="43"/>
      <c r="E1" s="43"/>
      <c r="F1" s="43"/>
      <c r="G1" s="43"/>
      <c r="H1" s="43"/>
      <c r="I1" s="5"/>
      <c r="J1" s="5"/>
      <c r="K1" s="5"/>
      <c r="L1" s="5"/>
      <c r="N1" s="5" t="str">
        <f ca="1">IFERROR(__xludf.DUMMYFUNCTION("importrange(""https://docs.google.com/spreadsheets/d/1mvA960mm3QaFyRdwkfIRxhE1UQJl45QEUTnDVxtxiIE/edit?usp=sharing"",""UnfillOrd!n1"")"),"Last row: 129")</f>
        <v>Last row: 129</v>
      </c>
    </row>
    <row r="2" spans="1:14" ht="15.75" customHeight="1" x14ac:dyDescent="0.15">
      <c r="A2" s="43"/>
      <c r="B2" s="43"/>
      <c r="C2" s="43"/>
      <c r="D2" s="43"/>
      <c r="E2" s="43"/>
      <c r="F2" s="43"/>
      <c r="G2" s="43"/>
      <c r="H2" s="43"/>
      <c r="I2" s="5"/>
      <c r="J2" s="5"/>
      <c r="K2" s="5"/>
      <c r="L2" s="5"/>
    </row>
    <row r="3" spans="1:14" ht="15.75" customHeight="1" x14ac:dyDescent="0.15">
      <c r="A3" s="43"/>
      <c r="B3" s="43"/>
      <c r="C3" s="43"/>
      <c r="D3" s="43"/>
      <c r="E3" s="43"/>
      <c r="F3" s="43"/>
      <c r="G3" s="43"/>
      <c r="H3" s="43"/>
      <c r="I3" s="5"/>
      <c r="J3" s="5"/>
      <c r="K3" s="5"/>
      <c r="L3" s="5"/>
    </row>
    <row r="4" spans="1:14" ht="15.75" customHeight="1" x14ac:dyDescent="0.15">
      <c r="A4" s="96" t="str">
        <f ca="1">IFERROR(__xludf.DUMMYFUNCTION("""COMPUTED_VALUE"""),"Date/ Time")</f>
        <v>Date/ Time</v>
      </c>
      <c r="B4" s="97" t="str">
        <f ca="1">IFERROR(__xludf.DUMMYFUNCTION("""COMPUTED_VALUE"""),"Acct#")</f>
        <v>Acct#</v>
      </c>
      <c r="C4" s="97" t="str">
        <f ca="1">IFERROR(__xludf.DUMMYFUNCTION("""COMPUTED_VALUE"""),"Order Side")</f>
        <v>Order Side</v>
      </c>
      <c r="D4" s="97" t="str">
        <f ca="1">IFERROR(__xludf.DUMMYFUNCTION("""COMPUTED_VALUE"""),"Ticker Code")</f>
        <v>Ticker Code</v>
      </c>
      <c r="E4" s="98" t="str">
        <f ca="1">IFERROR(__xludf.DUMMYFUNCTION("""COMPUTED_VALUE"""),"Limit Price/ Mkt Price (stk &amp; opt only)")</f>
        <v>Limit Price/ Mkt Price (stk &amp; opt only)</v>
      </c>
      <c r="F4" s="99" t="str">
        <f ca="1">IFERROR(__xludf.DUMMYFUNCTION("""COMPUTED_VALUE"""),"Stock (Close)")</f>
        <v>Stock (Close)</v>
      </c>
      <c r="G4" s="98" t="str">
        <f ca="1">IFERROR(__xludf.DUMMYFUNCTION("""COMPUTED_VALUE"""),"Qty")</f>
        <v>Qty</v>
      </c>
      <c r="H4" s="99" t="str">
        <f ca="1">IFERROR(__xludf.DUMMYFUNCTION("""COMPUTED_VALUE"""),"Qty Executed")</f>
        <v>Qty Executed</v>
      </c>
      <c r="I4" s="98" t="str">
        <f ca="1">IFERROR(__xludf.DUMMYFUNCTION("""COMPUTED_VALUE"""),"Proposed Total Traded Notional")</f>
        <v>Proposed Total Traded Notional</v>
      </c>
      <c r="J4" s="98" t="str">
        <f ca="1">IFERROR(__xludf.DUMMYFUNCTION("""COMPUTED_VALUE"""),"Proforma Ava Margin Balance")</f>
        <v>Proforma Ava Margin Balance</v>
      </c>
      <c r="K4" s="100"/>
      <c r="L4" s="100" t="str">
        <f ca="1">IFERROR(__xludf.DUMMYFUNCTION("""COMPUTED_VALUE"""),"Unfilled Reason")</f>
        <v>Unfilled Reason</v>
      </c>
    </row>
    <row r="5" spans="1:14" ht="15.75" customHeight="1" x14ac:dyDescent="0.15">
      <c r="A5" s="101">
        <f ca="1">IFERROR(__xludf.DUMMYFUNCTION("""COMPUTED_VALUE"""),44599)</f>
        <v>44599</v>
      </c>
      <c r="B5" s="5" t="str">
        <f ca="1">IFERROR(__xludf.DUMMYFUNCTION("""COMPUTED_VALUE"""),"76796")</f>
        <v>76796</v>
      </c>
      <c r="C5" s="5" t="str">
        <f ca="1">IFERROR(__xludf.DUMMYFUNCTION("""COMPUTED_VALUE"""),"BUY (LONG)")</f>
        <v>BUY (LONG)</v>
      </c>
      <c r="D5" s="5" t="str">
        <f ca="1">IFERROR(__xludf.DUMMYFUNCTION("""COMPUTED_VALUE"""),"TSLA")</f>
        <v>TSLA</v>
      </c>
      <c r="E5" s="5"/>
      <c r="F5" s="5">
        <f ca="1">IFERROR(__xludf.DUMMYFUNCTION("""COMPUTED_VALUE"""),907.34)</f>
        <v>907.34</v>
      </c>
      <c r="G5" s="5">
        <f ca="1">IFERROR(__xludf.DUMMYFUNCTION("""COMPUTED_VALUE"""),1000)</f>
        <v>1000</v>
      </c>
      <c r="H5" s="102" t="str">
        <f ca="1">IFERROR(__xludf.DUMMYFUNCTION("""COMPUTED_VALUE"""),"")</f>
        <v/>
      </c>
      <c r="I5" s="19">
        <f ca="1">IFERROR(__xludf.DUMMYFUNCTION("""COMPUTED_VALUE"""),-7070038.647)</f>
        <v>-7070038.6469999999</v>
      </c>
      <c r="J5" s="19">
        <f ca="1">IFERROR(__xludf.DUMMYFUNCTION("""COMPUTED_VALUE"""),-6570038.647)</f>
        <v>-6570038.6469999999</v>
      </c>
      <c r="K5" s="5"/>
      <c r="L5" s="5" t="str">
        <f ca="1">IFERROR(__xludf.DUMMYFUNCTION("""COMPUTED_VALUE"""),"Insufficient Cash or Margin Balance")</f>
        <v>Insufficient Cash or Margin Balance</v>
      </c>
    </row>
    <row r="6" spans="1:14" ht="15.75" customHeight="1" x14ac:dyDescent="0.15">
      <c r="A6" s="101">
        <f ca="1">IFERROR(__xludf.DUMMYFUNCTION("""COMPUTED_VALUE"""),44601)</f>
        <v>44601</v>
      </c>
      <c r="B6" s="5" t="str">
        <f ca="1">IFERROR(__xludf.DUMMYFUNCTION("""COMPUTED_VALUE"""),"46220")</f>
        <v>46220</v>
      </c>
      <c r="C6" s="5" t="str">
        <f ca="1">IFERROR(__xludf.DUMMYFUNCTION("""COMPUTED_VALUE"""),"BUY (LONG)")</f>
        <v>BUY (LONG)</v>
      </c>
      <c r="D6" s="5" t="str">
        <f ca="1">IFERROR(__xludf.DUMMYFUNCTION("""COMPUTED_VALUE"""),"BTC-USD")</f>
        <v>BTC-USD</v>
      </c>
      <c r="E6" s="5"/>
      <c r="F6" s="103">
        <f ca="1">IFERROR(__xludf.DUMMYFUNCTION("""COMPUTED_VALUE"""),44162.117)</f>
        <v>44162.116999999998</v>
      </c>
      <c r="G6" s="5">
        <f ca="1">IFERROR(__xludf.DUMMYFUNCTION("""COMPUTED_VALUE"""),5)</f>
        <v>5</v>
      </c>
      <c r="H6" s="102" t="str">
        <f ca="1">IFERROR(__xludf.DUMMYFUNCTION("""COMPUTED_VALUE"""),"")</f>
        <v/>
      </c>
      <c r="I6" s="19">
        <f ca="1">IFERROR(__xludf.DUMMYFUNCTION("""COMPUTED_VALUE"""),-1720412.55143975)</f>
        <v>-1720412.55143975</v>
      </c>
      <c r="J6" s="19">
        <f ca="1">IFERROR(__xludf.DUMMYFUNCTION("""COMPUTED_VALUE"""),-1298740.75533925)</f>
        <v>-1298740.75533925</v>
      </c>
      <c r="K6" s="5"/>
      <c r="L6" s="5" t="str">
        <f ca="1">IFERROR(__xludf.DUMMYFUNCTION("""COMPUTED_VALUE"""),"Insufficient Cash or Margin Balance")</f>
        <v>Insufficient Cash or Margin Balance</v>
      </c>
    </row>
    <row r="7" spans="1:14" ht="15.75" customHeight="1" x14ac:dyDescent="0.15">
      <c r="A7" s="101">
        <f ca="1">IFERROR(__xludf.DUMMYFUNCTION("""COMPUTED_VALUE"""),44601)</f>
        <v>44601</v>
      </c>
      <c r="B7" s="5" t="str">
        <f ca="1">IFERROR(__xludf.DUMMYFUNCTION("""COMPUTED_VALUE"""),"76975")</f>
        <v>76975</v>
      </c>
      <c r="C7" s="5" t="str">
        <f ca="1">IFERROR(__xludf.DUMMYFUNCTION("""COMPUTED_VALUE"""),"BUY (LONG)")</f>
        <v>BUY (LONG)</v>
      </c>
      <c r="D7" s="5" t="str">
        <f ca="1">IFERROR(__xludf.DUMMYFUNCTION("""COMPUTED_VALUE"""),"JD")</f>
        <v>JD</v>
      </c>
      <c r="E7" s="5">
        <f ca="1">IFERROR(__xludf.DUMMYFUNCTION("""COMPUTED_VALUE"""),78)</f>
        <v>78</v>
      </c>
      <c r="F7" s="5">
        <f ca="1">IFERROR(__xludf.DUMMYFUNCTION("""COMPUTED_VALUE"""),78.29)</f>
        <v>78.290000000000006</v>
      </c>
      <c r="G7" s="5">
        <f ca="1">IFERROR(__xludf.DUMMYFUNCTION("""COMPUTED_VALUE"""),1298)</f>
        <v>1298</v>
      </c>
      <c r="H7" s="102">
        <f ca="1">IFERROR(__xludf.DUMMYFUNCTION("""COMPUTED_VALUE"""),0)</f>
        <v>0</v>
      </c>
      <c r="I7" s="19">
        <f ca="1">IFERROR(__xludf.DUMMYFUNCTION("""COMPUTED_VALUE"""),0)</f>
        <v>0</v>
      </c>
      <c r="J7" s="19">
        <f ca="1">IFERROR(__xludf.DUMMYFUNCTION("""COMPUTED_VALUE"""),500000)</f>
        <v>500000</v>
      </c>
      <c r="K7" s="5"/>
      <c r="L7" s="5" t="str">
        <f ca="1">IFERROR(__xludf.DUMMYFUNCTION("""COMPUTED_VALUE"""),"Limit Condition not met")</f>
        <v>Limit Condition not met</v>
      </c>
    </row>
    <row r="8" spans="1:14" ht="15.75" customHeight="1" x14ac:dyDescent="0.15">
      <c r="A8" s="101">
        <f ca="1">IFERROR(__xludf.DUMMYFUNCTION("""COMPUTED_VALUE"""),44601)</f>
        <v>44601</v>
      </c>
      <c r="B8" s="5" t="str">
        <f ca="1">IFERROR(__xludf.DUMMYFUNCTION("""COMPUTED_VALUE"""),"89750")</f>
        <v>89750</v>
      </c>
      <c r="C8" s="5" t="str">
        <f ca="1">IFERROR(__xludf.DUMMYFUNCTION("""COMPUTED_VALUE"""),"BUY (LONG)")</f>
        <v>BUY (LONG)</v>
      </c>
      <c r="D8" s="71" t="str">
        <f ca="1">IFERROR(__xludf.DUMMYFUNCTION("""COMPUTED_VALUE"""),"9698.HK")</f>
        <v>9698.HK</v>
      </c>
      <c r="E8" s="5">
        <f ca="1">IFERROR(__xludf.DUMMYFUNCTION("""COMPUTED_VALUE"""),37.6)</f>
        <v>37.6</v>
      </c>
      <c r="F8" s="5">
        <f ca="1">IFERROR(__xludf.DUMMYFUNCTION("""COMPUTED_VALUE"""),38.75)</f>
        <v>38.75</v>
      </c>
      <c r="G8" s="5">
        <f ca="1">IFERROR(__xludf.DUMMYFUNCTION("""COMPUTED_VALUE"""),10000)</f>
        <v>10000</v>
      </c>
      <c r="H8" s="102">
        <f ca="1">IFERROR(__xludf.DUMMYFUNCTION("""COMPUTED_VALUE"""),0)</f>
        <v>0</v>
      </c>
      <c r="I8" s="19">
        <f ca="1">IFERROR(__xludf.DUMMYFUNCTION("""COMPUTED_VALUE"""),0)</f>
        <v>0</v>
      </c>
      <c r="J8" s="19">
        <f ca="1">IFERROR(__xludf.DUMMYFUNCTION("""COMPUTED_VALUE"""),500000)</f>
        <v>500000</v>
      </c>
      <c r="K8" s="5"/>
      <c r="L8" s="5" t="str">
        <f ca="1">IFERROR(__xludf.DUMMYFUNCTION("""COMPUTED_VALUE"""),"Limit Condition not met")</f>
        <v>Limit Condition not met</v>
      </c>
    </row>
    <row r="9" spans="1:14" ht="15.75" customHeight="1" x14ac:dyDescent="0.15">
      <c r="A9" s="101">
        <f ca="1">IFERROR(__xludf.DUMMYFUNCTION("""COMPUTED_VALUE"""),44602)</f>
        <v>44602</v>
      </c>
      <c r="B9" s="5" t="str">
        <f ca="1">IFERROR(__xludf.DUMMYFUNCTION("""COMPUTED_VALUE"""),"74641")</f>
        <v>74641</v>
      </c>
      <c r="C9" s="5" t="str">
        <f ca="1">IFERROR(__xludf.DUMMYFUNCTION("""COMPUTED_VALUE"""),"BUY (LONG)")</f>
        <v>BUY (LONG)</v>
      </c>
      <c r="D9" s="71" t="str">
        <f ca="1">IFERROR(__xludf.DUMMYFUNCTION("""COMPUTED_VALUE"""),"601168.ss")</f>
        <v>601168.ss</v>
      </c>
      <c r="E9" s="5">
        <f ca="1">IFERROR(__xludf.DUMMYFUNCTION("""COMPUTED_VALUE"""),14.61)</f>
        <v>14.61</v>
      </c>
      <c r="F9" s="5">
        <f ca="1">IFERROR(__xludf.DUMMYFUNCTION("""COMPUTED_VALUE"""),14.66)</f>
        <v>14.66</v>
      </c>
      <c r="G9" s="5">
        <f ca="1">IFERROR(__xludf.DUMMYFUNCTION("""COMPUTED_VALUE"""),100)</f>
        <v>100</v>
      </c>
      <c r="H9" s="102">
        <f ca="1">IFERROR(__xludf.DUMMYFUNCTION("""COMPUTED_VALUE"""),0)</f>
        <v>0</v>
      </c>
      <c r="I9" s="19">
        <f ca="1">IFERROR(__xludf.DUMMYFUNCTION("""COMPUTED_VALUE"""),0)</f>
        <v>0</v>
      </c>
      <c r="J9" s="19">
        <f ca="1">IFERROR(__xludf.DUMMYFUNCTION("""COMPUTED_VALUE"""),500000)</f>
        <v>500000</v>
      </c>
      <c r="K9" s="5"/>
      <c r="L9" s="5" t="str">
        <f ca="1">IFERROR(__xludf.DUMMYFUNCTION("""COMPUTED_VALUE"""),"Limit Condition not met")</f>
        <v>Limit Condition not met</v>
      </c>
    </row>
    <row r="10" spans="1:14" ht="15.75" customHeight="1" x14ac:dyDescent="0.15">
      <c r="A10" s="101">
        <f ca="1">IFERROR(__xludf.DUMMYFUNCTION("""COMPUTED_VALUE"""),44603)</f>
        <v>44603</v>
      </c>
      <c r="B10" s="5" t="str">
        <f ca="1">IFERROR(__xludf.DUMMYFUNCTION("""COMPUTED_VALUE"""),"89750")</f>
        <v>89750</v>
      </c>
      <c r="C10" s="5" t="str">
        <f ca="1">IFERROR(__xludf.DUMMYFUNCTION("""COMPUTED_VALUE"""),"BUY (LONG)")</f>
        <v>BUY (LONG)</v>
      </c>
      <c r="D10" s="71" t="str">
        <f ca="1">IFERROR(__xludf.DUMMYFUNCTION("""COMPUTED_VALUE"""),"2269.HK")</f>
        <v>2269.HK</v>
      </c>
      <c r="E10" s="5">
        <f ca="1">IFERROR(__xludf.DUMMYFUNCTION("""COMPUTED_VALUE"""),56.6)</f>
        <v>56.6</v>
      </c>
      <c r="F10" s="5">
        <f ca="1">IFERROR(__xludf.DUMMYFUNCTION("""COMPUTED_VALUE"""),56.7)</f>
        <v>56.7</v>
      </c>
      <c r="G10" s="5">
        <f ca="1">IFERROR(__xludf.DUMMYFUNCTION("""COMPUTED_VALUE"""),2000)</f>
        <v>2000</v>
      </c>
      <c r="H10" s="102">
        <f ca="1">IFERROR(__xludf.DUMMYFUNCTION("""COMPUTED_VALUE"""),0)</f>
        <v>0</v>
      </c>
      <c r="I10" s="19">
        <f ca="1">IFERROR(__xludf.DUMMYFUNCTION("""COMPUTED_VALUE"""),0)</f>
        <v>0</v>
      </c>
      <c r="J10" s="19">
        <f ca="1">IFERROR(__xludf.DUMMYFUNCTION("""COMPUTED_VALUE"""),114400)</f>
        <v>114400</v>
      </c>
      <c r="K10" s="5"/>
      <c r="L10" s="5" t="str">
        <f ca="1">IFERROR(__xludf.DUMMYFUNCTION("""COMPUTED_VALUE"""),"Limit Condition not met")</f>
        <v>Limit Condition not met</v>
      </c>
    </row>
    <row r="11" spans="1:14" ht="15.75" customHeight="1" x14ac:dyDescent="0.15">
      <c r="A11" s="101">
        <f ca="1">IFERROR(__xludf.DUMMYFUNCTION("""COMPUTED_VALUE"""),44607)</f>
        <v>44607</v>
      </c>
      <c r="B11" s="5" t="str">
        <f ca="1">IFERROR(__xludf.DUMMYFUNCTION("""COMPUTED_VALUE"""),"36221")</f>
        <v>36221</v>
      </c>
      <c r="C11" s="5" t="str">
        <f ca="1">IFERROR(__xludf.DUMMYFUNCTION("""COMPUTED_VALUE"""),"BUY (LONG)")</f>
        <v>BUY (LONG)</v>
      </c>
      <c r="D11" s="5" t="str">
        <f ca="1">IFERROR(__xludf.DUMMYFUNCTION("""COMPUTED_VALUE"""),"tcehy")</f>
        <v>tcehy</v>
      </c>
      <c r="E11" s="5"/>
      <c r="F11" s="5">
        <f ca="1">IFERROR(__xludf.DUMMYFUNCTION("""COMPUTED_VALUE"""),61.07)</f>
        <v>61.07</v>
      </c>
      <c r="G11" s="5">
        <f ca="1">IFERROR(__xludf.DUMMYFUNCTION("""COMPUTED_VALUE"""),200)</f>
        <v>200</v>
      </c>
      <c r="H11" s="102" t="str">
        <f ca="1">IFERROR(__xludf.DUMMYFUNCTION("""COMPUTED_VALUE"""),"")</f>
        <v/>
      </c>
      <c r="I11" s="19">
        <f ca="1">IFERROR(__xludf.DUMMYFUNCTION("""COMPUTED_VALUE"""),-95285.74997)</f>
        <v>-95285.749970000004</v>
      </c>
      <c r="J11" s="19">
        <f ca="1">IFERROR(__xludf.DUMMYFUNCTION("""COMPUTED_VALUE"""),-267629.927935)</f>
        <v>-267629.92793499999</v>
      </c>
      <c r="K11" s="5"/>
      <c r="L11" s="5" t="str">
        <f ca="1">IFERROR(__xludf.DUMMYFUNCTION("""COMPUTED_VALUE"""),"Insufficient Cash or Margin Balance")</f>
        <v>Insufficient Cash or Margin Balance</v>
      </c>
    </row>
    <row r="12" spans="1:14" ht="15.75" customHeight="1" x14ac:dyDescent="0.15">
      <c r="A12" s="101">
        <f ca="1">IFERROR(__xludf.DUMMYFUNCTION("""COMPUTED_VALUE"""),44607)</f>
        <v>44607</v>
      </c>
      <c r="B12" s="5" t="str">
        <f ca="1">IFERROR(__xludf.DUMMYFUNCTION("""COMPUTED_VALUE"""),"40433")</f>
        <v>40433</v>
      </c>
      <c r="C12" s="5" t="str">
        <f ca="1">IFERROR(__xludf.DUMMYFUNCTION("""COMPUTED_VALUE"""),"BUY (LONG)")</f>
        <v>BUY (LONG)</v>
      </c>
      <c r="D12" s="5" t="str">
        <f ca="1">IFERROR(__xludf.DUMMYFUNCTION("""COMPUTED_VALUE"""),"TSLA")</f>
        <v>TSLA</v>
      </c>
      <c r="E12" s="5">
        <f ca="1">IFERROR(__xludf.DUMMYFUNCTION("""COMPUTED_VALUE"""),865)</f>
        <v>865</v>
      </c>
      <c r="F12" s="5">
        <f ca="1">IFERROR(__xludf.DUMMYFUNCTION("""COMPUTED_VALUE"""),922.43)</f>
        <v>922.43</v>
      </c>
      <c r="G12" s="5">
        <f ca="1">IFERROR(__xludf.DUMMYFUNCTION("""COMPUTED_VALUE"""),400)</f>
        <v>400</v>
      </c>
      <c r="H12" s="102">
        <f ca="1">IFERROR(__xludf.DUMMYFUNCTION("""COMPUTED_VALUE"""),0)</f>
        <v>0</v>
      </c>
      <c r="I12" s="19">
        <f ca="1">IFERROR(__xludf.DUMMYFUNCTION("""COMPUTED_VALUE"""),0)</f>
        <v>0</v>
      </c>
      <c r="J12" s="19">
        <f ca="1">IFERROR(__xludf.DUMMYFUNCTION("""COMPUTED_VALUE"""),500000)</f>
        <v>500000</v>
      </c>
      <c r="K12" s="5"/>
      <c r="L12" s="5" t="str">
        <f ca="1">IFERROR(__xludf.DUMMYFUNCTION("""COMPUTED_VALUE"""),"Limit Condition not met")</f>
        <v>Limit Condition not met</v>
      </c>
    </row>
    <row r="13" spans="1:14" ht="15.75" customHeight="1" x14ac:dyDescent="0.15">
      <c r="A13" s="101">
        <f ca="1">IFERROR(__xludf.DUMMYFUNCTION("""COMPUTED_VALUE"""),44607)</f>
        <v>44607</v>
      </c>
      <c r="B13" s="5" t="str">
        <f ca="1">IFERROR(__xludf.DUMMYFUNCTION("""COMPUTED_VALUE"""),"70628")</f>
        <v>70628</v>
      </c>
      <c r="C13" s="5" t="str">
        <f ca="1">IFERROR(__xludf.DUMMYFUNCTION("""COMPUTED_VALUE"""),"BUY (LONG)")</f>
        <v>BUY (LONG)</v>
      </c>
      <c r="D13" s="71" t="str">
        <f ca="1">IFERROR(__xludf.DUMMYFUNCTION("""COMPUTED_VALUE"""),"1610.HK")</f>
        <v>1610.HK</v>
      </c>
      <c r="E13" s="5">
        <f ca="1">IFERROR(__xludf.DUMMYFUNCTION("""COMPUTED_VALUE"""),3.46)</f>
        <v>3.46</v>
      </c>
      <c r="F13" s="5">
        <f ca="1">IFERROR(__xludf.DUMMYFUNCTION("""COMPUTED_VALUE"""),3.49)</f>
        <v>3.49</v>
      </c>
      <c r="G13" s="5">
        <f ca="1">IFERROR(__xludf.DUMMYFUNCTION("""COMPUTED_VALUE"""),20000)</f>
        <v>20000</v>
      </c>
      <c r="H13" s="102">
        <f ca="1">IFERROR(__xludf.DUMMYFUNCTION("""COMPUTED_VALUE"""),0)</f>
        <v>0</v>
      </c>
      <c r="I13" s="19">
        <f ca="1">IFERROR(__xludf.DUMMYFUNCTION("""COMPUTED_VALUE"""),0)</f>
        <v>0</v>
      </c>
      <c r="J13" s="19">
        <f ca="1">IFERROR(__xludf.DUMMYFUNCTION("""COMPUTED_VALUE"""),500000)</f>
        <v>500000</v>
      </c>
      <c r="K13" s="5"/>
      <c r="L13" s="5" t="str">
        <f ca="1">IFERROR(__xludf.DUMMYFUNCTION("""COMPUTED_VALUE"""),"Limit Condition not met")</f>
        <v>Limit Condition not met</v>
      </c>
    </row>
    <row r="14" spans="1:14" ht="15.75" customHeight="1" x14ac:dyDescent="0.15">
      <c r="A14" s="101">
        <f ca="1">IFERROR(__xludf.DUMMYFUNCTION("""COMPUTED_VALUE"""),44607)</f>
        <v>44607</v>
      </c>
      <c r="B14" s="5" t="str">
        <f ca="1">IFERROR(__xludf.DUMMYFUNCTION("""COMPUTED_VALUE"""),"70628")</f>
        <v>70628</v>
      </c>
      <c r="C14" s="5" t="str">
        <f ca="1">IFERROR(__xludf.DUMMYFUNCTION("""COMPUTED_VALUE"""),"BUY (LONG)")</f>
        <v>BUY (LONG)</v>
      </c>
      <c r="D14" s="71" t="str">
        <f ca="1">IFERROR(__xludf.DUMMYFUNCTION("""COMPUTED_VALUE"""),"1810.HK")</f>
        <v>1810.HK</v>
      </c>
      <c r="E14" s="5">
        <f ca="1">IFERROR(__xludf.DUMMYFUNCTION("""COMPUTED_VALUE"""),16.26)</f>
        <v>16.260000000000002</v>
      </c>
      <c r="F14" s="5">
        <f ca="1">IFERROR(__xludf.DUMMYFUNCTION("""COMPUTED_VALUE"""),16.28)</f>
        <v>16.28</v>
      </c>
      <c r="G14" s="5">
        <f ca="1">IFERROR(__xludf.DUMMYFUNCTION("""COMPUTED_VALUE"""),10000)</f>
        <v>10000</v>
      </c>
      <c r="H14" s="102">
        <f ca="1">IFERROR(__xludf.DUMMYFUNCTION("""COMPUTED_VALUE"""),0)</f>
        <v>0</v>
      </c>
      <c r="I14" s="19">
        <f ca="1">IFERROR(__xludf.DUMMYFUNCTION("""COMPUTED_VALUE"""),0)</f>
        <v>0</v>
      </c>
      <c r="J14" s="19">
        <f ca="1">IFERROR(__xludf.DUMMYFUNCTION("""COMPUTED_VALUE"""),500000)</f>
        <v>500000</v>
      </c>
      <c r="K14" s="5"/>
      <c r="L14" s="5" t="str">
        <f ca="1">IFERROR(__xludf.DUMMYFUNCTION("""COMPUTED_VALUE"""),"Limit Condition not met")</f>
        <v>Limit Condition not met</v>
      </c>
    </row>
    <row r="15" spans="1:14" ht="15.75" customHeight="1" x14ac:dyDescent="0.15">
      <c r="A15" s="101">
        <f ca="1">IFERROR(__xludf.DUMMYFUNCTION("""COMPUTED_VALUE"""),44607)</f>
        <v>44607</v>
      </c>
      <c r="B15" s="5" t="str">
        <f ca="1">IFERROR(__xludf.DUMMYFUNCTION("""COMPUTED_VALUE"""),"70628")</f>
        <v>70628</v>
      </c>
      <c r="C15" s="5" t="str">
        <f ca="1">IFERROR(__xludf.DUMMYFUNCTION("""COMPUTED_VALUE"""),"BUY (LONG)")</f>
        <v>BUY (LONG)</v>
      </c>
      <c r="D15" s="71" t="str">
        <f ca="1">IFERROR(__xludf.DUMMYFUNCTION("""COMPUTED_VALUE"""),"2333.HK")</f>
        <v>2333.HK</v>
      </c>
      <c r="E15" s="5">
        <f ca="1">IFERROR(__xludf.DUMMYFUNCTION("""COMPUTED_VALUE"""),18.8)</f>
        <v>18.8</v>
      </c>
      <c r="F15" s="5">
        <f ca="1">IFERROR(__xludf.DUMMYFUNCTION("""COMPUTED_VALUE"""),18.88)</f>
        <v>18.88</v>
      </c>
      <c r="G15" s="5">
        <f ca="1">IFERROR(__xludf.DUMMYFUNCTION("""COMPUTED_VALUE"""),5000)</f>
        <v>5000</v>
      </c>
      <c r="H15" s="102">
        <f ca="1">IFERROR(__xludf.DUMMYFUNCTION("""COMPUTED_VALUE"""),0)</f>
        <v>0</v>
      </c>
      <c r="I15" s="19">
        <f ca="1">IFERROR(__xludf.DUMMYFUNCTION("""COMPUTED_VALUE"""),0)</f>
        <v>0</v>
      </c>
      <c r="J15" s="19">
        <f ca="1">IFERROR(__xludf.DUMMYFUNCTION("""COMPUTED_VALUE"""),500000)</f>
        <v>500000</v>
      </c>
      <c r="K15" s="5"/>
      <c r="L15" s="5" t="str">
        <f ca="1">IFERROR(__xludf.DUMMYFUNCTION("""COMPUTED_VALUE"""),"Limit Condition not met")</f>
        <v>Limit Condition not met</v>
      </c>
    </row>
    <row r="16" spans="1:14" ht="15.75" customHeight="1" x14ac:dyDescent="0.15">
      <c r="A16" s="101">
        <f ca="1">IFERROR(__xludf.DUMMYFUNCTION("""COMPUTED_VALUE"""),44607)</f>
        <v>44607</v>
      </c>
      <c r="B16" s="5" t="str">
        <f ca="1">IFERROR(__xludf.DUMMYFUNCTION("""COMPUTED_VALUE"""),"70628")</f>
        <v>70628</v>
      </c>
      <c r="C16" s="5" t="str">
        <f ca="1">IFERROR(__xludf.DUMMYFUNCTION("""COMPUTED_VALUE"""),"BUY (LONG)")</f>
        <v>BUY (LONG)</v>
      </c>
      <c r="D16" s="71" t="str">
        <f ca="1">IFERROR(__xludf.DUMMYFUNCTION("""COMPUTED_VALUE"""),"3339.HK")</f>
        <v>3339.HK</v>
      </c>
      <c r="E16" s="5">
        <f ca="1">IFERROR(__xludf.DUMMYFUNCTION("""COMPUTED_VALUE"""),2.08)</f>
        <v>2.08</v>
      </c>
      <c r="F16" s="5">
        <f ca="1">IFERROR(__xludf.DUMMYFUNCTION("""COMPUTED_VALUE"""),2.09)</f>
        <v>2.09</v>
      </c>
      <c r="G16" s="5">
        <f ca="1">IFERROR(__xludf.DUMMYFUNCTION("""COMPUTED_VALUE"""),50000)</f>
        <v>50000</v>
      </c>
      <c r="H16" s="102">
        <f ca="1">IFERROR(__xludf.DUMMYFUNCTION("""COMPUTED_VALUE"""),0)</f>
        <v>0</v>
      </c>
      <c r="I16" s="19">
        <f ca="1">IFERROR(__xludf.DUMMYFUNCTION("""COMPUTED_VALUE"""),0)</f>
        <v>0</v>
      </c>
      <c r="J16" s="19">
        <f ca="1">IFERROR(__xludf.DUMMYFUNCTION("""COMPUTED_VALUE"""),500000)</f>
        <v>500000</v>
      </c>
      <c r="K16" s="5"/>
      <c r="L16" s="5" t="str">
        <f ca="1">IFERROR(__xludf.DUMMYFUNCTION("""COMPUTED_VALUE"""),"Limit Condition not met")</f>
        <v>Limit Condition not met</v>
      </c>
    </row>
    <row r="17" spans="1:12" ht="15.75" customHeight="1" x14ac:dyDescent="0.15">
      <c r="A17" s="101">
        <f ca="1">IFERROR(__xludf.DUMMYFUNCTION("""COMPUTED_VALUE"""),44607)</f>
        <v>44607</v>
      </c>
      <c r="B17" s="5" t="str">
        <f ca="1">IFERROR(__xludf.DUMMYFUNCTION("""COMPUTED_VALUE"""),"76796")</f>
        <v>76796</v>
      </c>
      <c r="C17" s="5" t="str">
        <f ca="1">IFERROR(__xludf.DUMMYFUNCTION("""COMPUTED_VALUE"""),"BUY (LONG)")</f>
        <v>BUY (LONG)</v>
      </c>
      <c r="D17" s="5" t="str">
        <f ca="1">IFERROR(__xludf.DUMMYFUNCTION("""COMPUTED_VALUE"""),"NVDA")</f>
        <v>NVDA</v>
      </c>
      <c r="E17" s="5"/>
      <c r="F17" s="5">
        <f ca="1">IFERROR(__xludf.DUMMYFUNCTION("""COMPUTED_VALUE"""),264.95)</f>
        <v>264.95</v>
      </c>
      <c r="G17" s="5">
        <f ca="1">IFERROR(__xludf.DUMMYFUNCTION("""COMPUTED_VALUE"""),500)</f>
        <v>500</v>
      </c>
      <c r="H17" s="102" t="str">
        <f ca="1">IFERROR(__xludf.DUMMYFUNCTION("""COMPUTED_VALUE"""),"")</f>
        <v/>
      </c>
      <c r="I17" s="19">
        <f ca="1">IFERROR(__xludf.DUMMYFUNCTION("""COMPUTED_VALUE"""),-1033484.50362499)</f>
        <v>-1033484.50362499</v>
      </c>
      <c r="J17" s="19">
        <f ca="1">IFERROR(__xludf.DUMMYFUNCTION("""COMPUTED_VALUE"""),-775959.106975)</f>
        <v>-775959.106975</v>
      </c>
      <c r="K17" s="5"/>
      <c r="L17" s="5" t="str">
        <f ca="1">IFERROR(__xludf.DUMMYFUNCTION("""COMPUTED_VALUE"""),"Insufficient Cash or Margin Balance")</f>
        <v>Insufficient Cash or Margin Balance</v>
      </c>
    </row>
    <row r="18" spans="1:12" ht="15.75" customHeight="1" x14ac:dyDescent="0.15">
      <c r="A18" s="101">
        <f ca="1">IFERROR(__xludf.DUMMYFUNCTION("""COMPUTED_VALUE"""),44608)</f>
        <v>44608</v>
      </c>
      <c r="B18" s="5" t="str">
        <f ca="1">IFERROR(__xludf.DUMMYFUNCTION("""COMPUTED_VALUE"""),"32312")</f>
        <v>32312</v>
      </c>
      <c r="C18" s="5" t="str">
        <f ca="1">IFERROR(__xludf.DUMMYFUNCTION("""COMPUTED_VALUE"""),"BUY (LONG)")</f>
        <v>BUY (LONG)</v>
      </c>
      <c r="D18" s="5" t="str">
        <f ca="1">IFERROR(__xludf.DUMMYFUNCTION("""COMPUTED_VALUE"""),"TSLA")</f>
        <v>TSLA</v>
      </c>
      <c r="E18" s="5">
        <f ca="1">IFERROR(__xludf.DUMMYFUNCTION("""COMPUTED_VALUE"""),886)</f>
        <v>886</v>
      </c>
      <c r="F18" s="5">
        <f ca="1">IFERROR(__xludf.DUMMYFUNCTION("""COMPUTED_VALUE"""),923.39)</f>
        <v>923.39</v>
      </c>
      <c r="G18" s="5">
        <f ca="1">IFERROR(__xludf.DUMMYFUNCTION("""COMPUTED_VALUE"""),36)</f>
        <v>36</v>
      </c>
      <c r="H18" s="102">
        <f ca="1">IFERROR(__xludf.DUMMYFUNCTION("""COMPUTED_VALUE"""),0)</f>
        <v>0</v>
      </c>
      <c r="I18" s="19">
        <f ca="1">IFERROR(__xludf.DUMMYFUNCTION("""COMPUTED_VALUE"""),0)</f>
        <v>0</v>
      </c>
      <c r="J18" s="19">
        <f ca="1">IFERROR(__xludf.DUMMYFUNCTION("""COMPUTED_VALUE"""),500000)</f>
        <v>500000</v>
      </c>
      <c r="K18" s="5"/>
      <c r="L18" s="5" t="str">
        <f ca="1">IFERROR(__xludf.DUMMYFUNCTION("""COMPUTED_VALUE"""),"Limit Condition not met")</f>
        <v>Limit Condition not met</v>
      </c>
    </row>
    <row r="19" spans="1:12" ht="15.75" customHeight="1" x14ac:dyDescent="0.15">
      <c r="A19" s="101">
        <f ca="1">IFERROR(__xludf.DUMMYFUNCTION("""COMPUTED_VALUE"""),44608)</f>
        <v>44608</v>
      </c>
      <c r="B19" s="5" t="str">
        <f ca="1">IFERROR(__xludf.DUMMYFUNCTION("""COMPUTED_VALUE"""),"37400")</f>
        <v>37400</v>
      </c>
      <c r="C19" s="5" t="str">
        <f ca="1">IFERROR(__xludf.DUMMYFUNCTION("""COMPUTED_VALUE"""),"BUY (LONG)")</f>
        <v>BUY (LONG)</v>
      </c>
      <c r="D19" s="5" t="str">
        <f ca="1">IFERROR(__xludf.DUMMYFUNCTION("""COMPUTED_VALUE"""),"TSLA")</f>
        <v>TSLA</v>
      </c>
      <c r="E19" s="5">
        <f ca="1">IFERROR(__xludf.DUMMYFUNCTION("""COMPUTED_VALUE"""),886)</f>
        <v>886</v>
      </c>
      <c r="F19" s="5">
        <f ca="1">IFERROR(__xludf.DUMMYFUNCTION("""COMPUTED_VALUE"""),923.39)</f>
        <v>923.39</v>
      </c>
      <c r="G19" s="5">
        <f ca="1">IFERROR(__xludf.DUMMYFUNCTION("""COMPUTED_VALUE"""),36)</f>
        <v>36</v>
      </c>
      <c r="H19" s="102">
        <f ca="1">IFERROR(__xludf.DUMMYFUNCTION("""COMPUTED_VALUE"""),0)</f>
        <v>0</v>
      </c>
      <c r="I19" s="19">
        <f ca="1">IFERROR(__xludf.DUMMYFUNCTION("""COMPUTED_VALUE"""),0)</f>
        <v>0</v>
      </c>
      <c r="J19" s="19">
        <f ca="1">IFERROR(__xludf.DUMMYFUNCTION("""COMPUTED_VALUE"""),500000)</f>
        <v>500000</v>
      </c>
      <c r="K19" s="5"/>
      <c r="L19" s="5" t="str">
        <f ca="1">IFERROR(__xludf.DUMMYFUNCTION("""COMPUTED_VALUE"""),"Limit Condition not met")</f>
        <v>Limit Condition not met</v>
      </c>
    </row>
    <row r="20" spans="1:12" ht="15.75" customHeight="1" x14ac:dyDescent="0.15">
      <c r="A20" s="101">
        <f ca="1">IFERROR(__xludf.DUMMYFUNCTION("""COMPUTED_VALUE"""),44608)</f>
        <v>44608</v>
      </c>
      <c r="B20" s="5" t="str">
        <f ca="1">IFERROR(__xludf.DUMMYFUNCTION("""COMPUTED_VALUE"""),"39608")</f>
        <v>39608</v>
      </c>
      <c r="C20" s="5" t="str">
        <f ca="1">IFERROR(__xludf.DUMMYFUNCTION("""COMPUTED_VALUE"""),"BUY (LONG)")</f>
        <v>BUY (LONG)</v>
      </c>
      <c r="D20" s="5" t="str">
        <f ca="1">IFERROR(__xludf.DUMMYFUNCTION("""COMPUTED_VALUE"""),"TSLA")</f>
        <v>TSLA</v>
      </c>
      <c r="E20" s="5">
        <f ca="1">IFERROR(__xludf.DUMMYFUNCTION("""COMPUTED_VALUE"""),886)</f>
        <v>886</v>
      </c>
      <c r="F20" s="5">
        <f ca="1">IFERROR(__xludf.DUMMYFUNCTION("""COMPUTED_VALUE"""),923.39)</f>
        <v>923.39</v>
      </c>
      <c r="G20" s="5">
        <f ca="1">IFERROR(__xludf.DUMMYFUNCTION("""COMPUTED_VALUE"""),36)</f>
        <v>36</v>
      </c>
      <c r="H20" s="102">
        <f ca="1">IFERROR(__xludf.DUMMYFUNCTION("""COMPUTED_VALUE"""),0)</f>
        <v>0</v>
      </c>
      <c r="I20" s="19">
        <f ca="1">IFERROR(__xludf.DUMMYFUNCTION("""COMPUTED_VALUE"""),0)</f>
        <v>0</v>
      </c>
      <c r="J20" s="19">
        <f ca="1">IFERROR(__xludf.DUMMYFUNCTION("""COMPUTED_VALUE"""),500000)</f>
        <v>500000</v>
      </c>
      <c r="K20" s="5"/>
      <c r="L20" s="5" t="str">
        <f ca="1">IFERROR(__xludf.DUMMYFUNCTION("""COMPUTED_VALUE"""),"Limit Condition not met")</f>
        <v>Limit Condition not met</v>
      </c>
    </row>
    <row r="21" spans="1:12" ht="15.75" customHeight="1" x14ac:dyDescent="0.15">
      <c r="A21" s="101">
        <f ca="1">IFERROR(__xludf.DUMMYFUNCTION("""COMPUTED_VALUE"""),44608)</f>
        <v>44608</v>
      </c>
      <c r="B21" s="5" t="str">
        <f ca="1">IFERROR(__xludf.DUMMYFUNCTION("""COMPUTED_VALUE"""),"40105")</f>
        <v>40105</v>
      </c>
      <c r="C21" s="5" t="str">
        <f ca="1">IFERROR(__xludf.DUMMYFUNCTION("""COMPUTED_VALUE"""),"BUY (LONG)")</f>
        <v>BUY (LONG)</v>
      </c>
      <c r="D21" s="5" t="str">
        <f ca="1">IFERROR(__xludf.DUMMYFUNCTION("""COMPUTED_VALUE"""),"DIS")</f>
        <v>DIS</v>
      </c>
      <c r="E21" s="5">
        <f ca="1">IFERROR(__xludf.DUMMYFUNCTION("""COMPUTED_VALUE"""),150)</f>
        <v>150</v>
      </c>
      <c r="F21" s="5">
        <f ca="1">IFERROR(__xludf.DUMMYFUNCTION("""COMPUTED_VALUE"""),156.35)</f>
        <v>156.35</v>
      </c>
      <c r="G21" s="5">
        <f ca="1">IFERROR(__xludf.DUMMYFUNCTION("""COMPUTED_VALUE"""),300)</f>
        <v>300</v>
      </c>
      <c r="H21" s="102">
        <f ca="1">IFERROR(__xludf.DUMMYFUNCTION("""COMPUTED_VALUE"""),0)</f>
        <v>0</v>
      </c>
      <c r="I21" s="19">
        <f ca="1">IFERROR(__xludf.DUMMYFUNCTION("""COMPUTED_VALUE"""),0)</f>
        <v>0</v>
      </c>
      <c r="J21" s="19">
        <f ca="1">IFERROR(__xludf.DUMMYFUNCTION("""COMPUTED_VALUE"""),400000)</f>
        <v>400000</v>
      </c>
      <c r="K21" s="5"/>
      <c r="L21" s="5" t="str">
        <f ca="1">IFERROR(__xludf.DUMMYFUNCTION("""COMPUTED_VALUE"""),"Limit Condition not met")</f>
        <v>Limit Condition not met</v>
      </c>
    </row>
    <row r="22" spans="1:12" ht="15.75" customHeight="1" x14ac:dyDescent="0.15">
      <c r="A22" s="101">
        <f ca="1">IFERROR(__xludf.DUMMYFUNCTION("""COMPUTED_VALUE"""),44608)</f>
        <v>44608</v>
      </c>
      <c r="B22" s="5" t="str">
        <f ca="1">IFERROR(__xludf.DUMMYFUNCTION("""COMPUTED_VALUE"""),"40105")</f>
        <v>40105</v>
      </c>
      <c r="C22" s="5" t="str">
        <f ca="1">IFERROR(__xludf.DUMMYFUNCTION("""COMPUTED_VALUE"""),"BUY (LONG)")</f>
        <v>BUY (LONG)</v>
      </c>
      <c r="D22" s="5" t="str">
        <f ca="1">IFERROR(__xludf.DUMMYFUNCTION("""COMPUTED_VALUE"""),"DIS")</f>
        <v>DIS</v>
      </c>
      <c r="E22" s="5">
        <f ca="1">IFERROR(__xludf.DUMMYFUNCTION("""COMPUTED_VALUE"""),155.5)</f>
        <v>155.5</v>
      </c>
      <c r="F22" s="5">
        <f ca="1">IFERROR(__xludf.DUMMYFUNCTION("""COMPUTED_VALUE"""),156.35)</f>
        <v>156.35</v>
      </c>
      <c r="G22" s="5">
        <f ca="1">IFERROR(__xludf.DUMMYFUNCTION("""COMPUTED_VALUE"""),300)</f>
        <v>300</v>
      </c>
      <c r="H22" s="102">
        <f ca="1">IFERROR(__xludf.DUMMYFUNCTION("""COMPUTED_VALUE"""),0)</f>
        <v>0</v>
      </c>
      <c r="I22" s="19">
        <f ca="1">IFERROR(__xludf.DUMMYFUNCTION("""COMPUTED_VALUE"""),0)</f>
        <v>0</v>
      </c>
      <c r="J22" s="19">
        <f ca="1">IFERROR(__xludf.DUMMYFUNCTION("""COMPUTED_VALUE"""),400000)</f>
        <v>400000</v>
      </c>
      <c r="K22" s="5"/>
      <c r="L22" s="5" t="str">
        <f ca="1">IFERROR(__xludf.DUMMYFUNCTION("""COMPUTED_VALUE"""),"Limit Condition not met")</f>
        <v>Limit Condition not met</v>
      </c>
    </row>
    <row r="23" spans="1:12" ht="15.75" customHeight="1" x14ac:dyDescent="0.15">
      <c r="A23" s="101">
        <f ca="1">IFERROR(__xludf.DUMMYFUNCTION("""COMPUTED_VALUE"""),44608)</f>
        <v>44608</v>
      </c>
      <c r="B23" s="5" t="str">
        <f ca="1">IFERROR(__xludf.DUMMYFUNCTION("""COMPUTED_VALUE"""),"40433")</f>
        <v>40433</v>
      </c>
      <c r="C23" s="5" t="str">
        <f ca="1">IFERROR(__xludf.DUMMYFUNCTION("""COMPUTED_VALUE"""),"SELL (SHORT)")</f>
        <v>SELL (SHORT)</v>
      </c>
      <c r="D23" s="5" t="str">
        <f ca="1">IFERROR(__xludf.DUMMYFUNCTION("""COMPUTED_VALUE"""),"TSLA")</f>
        <v>TSLA</v>
      </c>
      <c r="E23" s="5"/>
      <c r="F23" s="5">
        <f ca="1">IFERROR(__xludf.DUMMYFUNCTION("""COMPUTED_VALUE"""),923.39)</f>
        <v>923.39</v>
      </c>
      <c r="G23" s="5">
        <f ca="1">IFERROR(__xludf.DUMMYFUNCTION("""COMPUTED_VALUE"""),365)</f>
        <v>365</v>
      </c>
      <c r="H23" s="102" t="str">
        <f ca="1">IFERROR(__xludf.DUMMYFUNCTION("""COMPUTED_VALUE"""),"")</f>
        <v/>
      </c>
      <c r="I23" s="19">
        <f ca="1">IFERROR(__xludf.DUMMYFUNCTION("""COMPUTED_VALUE"""),2629059.848675)</f>
        <v>2629059.848675</v>
      </c>
      <c r="J23" s="19">
        <f ca="1">IFERROR(__xludf.DUMMYFUNCTION("""COMPUTED_VALUE"""),-2129059.848675)</f>
        <v>-2129059.848675</v>
      </c>
      <c r="K23" s="5"/>
      <c r="L23" s="5" t="str">
        <f ca="1">IFERROR(__xludf.DUMMYFUNCTION("""COMPUTED_VALUE"""),"Insufficient Cash or Margin Balance")</f>
        <v>Insufficient Cash or Margin Balance</v>
      </c>
    </row>
    <row r="24" spans="1:12" ht="15.75" customHeight="1" x14ac:dyDescent="0.15">
      <c r="A24" s="101">
        <f ca="1">IFERROR(__xludf.DUMMYFUNCTION("""COMPUTED_VALUE"""),44608)</f>
        <v>44608</v>
      </c>
      <c r="B24" s="5" t="str">
        <f ca="1">IFERROR(__xludf.DUMMYFUNCTION("""COMPUTED_VALUE"""),"46220")</f>
        <v>46220</v>
      </c>
      <c r="C24" s="5" t="str">
        <f ca="1">IFERROR(__xludf.DUMMYFUNCTION("""COMPUTED_VALUE"""),"BUY (LONG)")</f>
        <v>BUY (LONG)</v>
      </c>
      <c r="D24" s="5" t="str">
        <f ca="1">IFERROR(__xludf.DUMMYFUNCTION("""COMPUTED_VALUE"""),"BTC-USD")</f>
        <v>BTC-USD</v>
      </c>
      <c r="E24" s="5"/>
      <c r="F24" s="5">
        <f ca="1">IFERROR(__xludf.DUMMYFUNCTION("""COMPUTED_VALUE"""),43926.6)</f>
        <v>43926.6</v>
      </c>
      <c r="G24" s="5">
        <f ca="1">IFERROR(__xludf.DUMMYFUNCTION("""COMPUTED_VALUE"""),10)</f>
        <v>10</v>
      </c>
      <c r="H24" s="102" t="str">
        <f ca="1">IFERROR(__xludf.DUMMYFUNCTION("""COMPUTED_VALUE"""),"")</f>
        <v/>
      </c>
      <c r="I24" s="19">
        <f ca="1">IFERROR(__xludf.DUMMYFUNCTION("""COMPUTED_VALUE"""),-3426494.43299999)</f>
        <v>-3426494.4329999899</v>
      </c>
      <c r="J24" s="19">
        <f ca="1">IFERROR(__xludf.DUMMYFUNCTION("""COMPUTED_VALUE"""),-3173731.0268645)</f>
        <v>-3173731.0268644998</v>
      </c>
      <c r="K24" s="5"/>
      <c r="L24" s="5" t="str">
        <f ca="1">IFERROR(__xludf.DUMMYFUNCTION("""COMPUTED_VALUE"""),"Insufficient Cash or Margin Balance")</f>
        <v>Insufficient Cash or Margin Balance</v>
      </c>
    </row>
    <row r="25" spans="1:12" ht="15.75" customHeight="1" x14ac:dyDescent="0.15">
      <c r="A25" s="101">
        <f ca="1">IFERROR(__xludf.DUMMYFUNCTION("""COMPUTED_VALUE"""),44608)</f>
        <v>44608</v>
      </c>
      <c r="B25" s="5" t="str">
        <f ca="1">IFERROR(__xludf.DUMMYFUNCTION("""COMPUTED_VALUE"""),"70628")</f>
        <v>70628</v>
      </c>
      <c r="C25" s="5" t="str">
        <f ca="1">IFERROR(__xludf.DUMMYFUNCTION("""COMPUTED_VALUE"""),"BUY (LONG)")</f>
        <v>BUY (LONG)</v>
      </c>
      <c r="D25" s="71" t="str">
        <f ca="1">IFERROR(__xludf.DUMMYFUNCTION("""COMPUTED_VALUE"""),"2333.HK")</f>
        <v>2333.HK</v>
      </c>
      <c r="E25" s="5">
        <f ca="1">IFERROR(__xludf.DUMMYFUNCTION("""COMPUTED_VALUE"""),19.2)</f>
        <v>19.2</v>
      </c>
      <c r="F25" s="5">
        <f ca="1">IFERROR(__xludf.DUMMYFUNCTION("""COMPUTED_VALUE"""),20.2)</f>
        <v>20.2</v>
      </c>
      <c r="G25" s="5">
        <f ca="1">IFERROR(__xludf.DUMMYFUNCTION("""COMPUTED_VALUE"""),7000)</f>
        <v>7000</v>
      </c>
      <c r="H25" s="102">
        <f ca="1">IFERROR(__xludf.DUMMYFUNCTION("""COMPUTED_VALUE"""),0)</f>
        <v>0</v>
      </c>
      <c r="I25" s="19">
        <f ca="1">IFERROR(__xludf.DUMMYFUNCTION("""COMPUTED_VALUE"""),0)</f>
        <v>0</v>
      </c>
      <c r="J25" s="19">
        <f ca="1">IFERROR(__xludf.DUMMYFUNCTION("""COMPUTED_VALUE"""),332000)</f>
        <v>332000</v>
      </c>
      <c r="K25" s="5"/>
      <c r="L25" s="5" t="str">
        <f ca="1">IFERROR(__xludf.DUMMYFUNCTION("""COMPUTED_VALUE"""),"Limit Condition not met")</f>
        <v>Limit Condition not met</v>
      </c>
    </row>
    <row r="26" spans="1:12" ht="15.75" customHeight="1" x14ac:dyDescent="0.15">
      <c r="A26" s="101">
        <f ca="1">IFERROR(__xludf.DUMMYFUNCTION("""COMPUTED_VALUE"""),44610)</f>
        <v>44610</v>
      </c>
      <c r="B26" s="5" t="str">
        <f ca="1">IFERROR(__xludf.DUMMYFUNCTION("""COMPUTED_VALUE"""),"39857")</f>
        <v>39857</v>
      </c>
      <c r="C26" s="5" t="str">
        <f ca="1">IFERROR(__xludf.DUMMYFUNCTION("""COMPUTED_VALUE"""),"BUY (LONG)")</f>
        <v>BUY (LONG)</v>
      </c>
      <c r="D26" s="5" t="str">
        <f ca="1">IFERROR(__xludf.DUMMYFUNCTION("""COMPUTED_VALUE"""),"RIVN")</f>
        <v>RIVN</v>
      </c>
      <c r="E26" s="5">
        <f ca="1">IFERROR(__xludf.DUMMYFUNCTION("""COMPUTED_VALUE"""),65)</f>
        <v>65</v>
      </c>
      <c r="F26" s="5">
        <f ca="1">IFERROR(__xludf.DUMMYFUNCTION("""COMPUTED_VALUE"""),66.37)</f>
        <v>66.37</v>
      </c>
      <c r="G26" s="5">
        <f ca="1">IFERROR(__xludf.DUMMYFUNCTION("""COMPUTED_VALUE"""),800)</f>
        <v>800</v>
      </c>
      <c r="H26" s="102">
        <f ca="1">IFERROR(__xludf.DUMMYFUNCTION("""COMPUTED_VALUE"""),0)</f>
        <v>0</v>
      </c>
      <c r="I26" s="19">
        <f ca="1">IFERROR(__xludf.DUMMYFUNCTION("""COMPUTED_VALUE"""),0)</f>
        <v>0</v>
      </c>
      <c r="J26" s="19">
        <f ca="1">IFERROR(__xludf.DUMMYFUNCTION("""COMPUTED_VALUE"""),-102806.672440699)</f>
        <v>-102806.672440699</v>
      </c>
      <c r="K26" s="5"/>
      <c r="L26" s="5" t="str">
        <f ca="1">IFERROR(__xludf.DUMMYFUNCTION("""COMPUTED_VALUE"""),"Limit Condition not met")</f>
        <v>Limit Condition not met</v>
      </c>
    </row>
    <row r="27" spans="1:12" ht="15.75" customHeight="1" x14ac:dyDescent="0.15">
      <c r="A27" s="101">
        <f ca="1">IFERROR(__xludf.DUMMYFUNCTION("""COMPUTED_VALUE"""),44610)</f>
        <v>44610</v>
      </c>
      <c r="B27" s="5" t="str">
        <f ca="1">IFERROR(__xludf.DUMMYFUNCTION("""COMPUTED_VALUE"""),"39857")</f>
        <v>39857</v>
      </c>
      <c r="C27" s="5" t="str">
        <f ca="1">IFERROR(__xludf.DUMMYFUNCTION("""COMPUTED_VALUE"""),"BUY (LONG)")</f>
        <v>BUY (LONG)</v>
      </c>
      <c r="D27" s="5" t="str">
        <f ca="1">IFERROR(__xludf.DUMMYFUNCTION("""COMPUTED_VALUE"""),"RIVN")</f>
        <v>RIVN</v>
      </c>
      <c r="E27" s="5">
        <f ca="1">IFERROR(__xludf.DUMMYFUNCTION("""COMPUTED_VALUE"""),65.5)</f>
        <v>65.5</v>
      </c>
      <c r="F27" s="5">
        <f ca="1">IFERROR(__xludf.DUMMYFUNCTION("""COMPUTED_VALUE"""),66.37)</f>
        <v>66.37</v>
      </c>
      <c r="G27" s="5">
        <f ca="1">IFERROR(__xludf.DUMMYFUNCTION("""COMPUTED_VALUE"""),800)</f>
        <v>800</v>
      </c>
      <c r="H27" s="102">
        <f ca="1">IFERROR(__xludf.DUMMYFUNCTION("""COMPUTED_VALUE"""),0)</f>
        <v>0</v>
      </c>
      <c r="I27" s="19">
        <f ca="1">IFERROR(__xludf.DUMMYFUNCTION("""COMPUTED_VALUE"""),0)</f>
        <v>0</v>
      </c>
      <c r="J27" s="19">
        <f ca="1">IFERROR(__xludf.DUMMYFUNCTION("""COMPUTED_VALUE"""),-102806.672440699)</f>
        <v>-102806.672440699</v>
      </c>
      <c r="K27" s="5"/>
      <c r="L27" s="5" t="str">
        <f ca="1">IFERROR(__xludf.DUMMYFUNCTION("""COMPUTED_VALUE"""),"Limit Condition not met")</f>
        <v>Limit Condition not met</v>
      </c>
    </row>
    <row r="28" spans="1:12" ht="15.75" customHeight="1" x14ac:dyDescent="0.15">
      <c r="A28" s="101">
        <f ca="1">IFERROR(__xludf.DUMMYFUNCTION("""COMPUTED_VALUE"""),44610)</f>
        <v>44610</v>
      </c>
      <c r="B28" s="5" t="str">
        <f ca="1">IFERROR(__xludf.DUMMYFUNCTION("""COMPUTED_VALUE"""),"46220")</f>
        <v>46220</v>
      </c>
      <c r="C28" s="5" t="str">
        <f ca="1">IFERROR(__xludf.DUMMYFUNCTION("""COMPUTED_VALUE"""),"BUY (LONG)")</f>
        <v>BUY (LONG)</v>
      </c>
      <c r="D28" s="5" t="str">
        <f ca="1">IFERROR(__xludf.DUMMYFUNCTION("""COMPUTED_VALUE"""),"BTC-USD")</f>
        <v>BTC-USD</v>
      </c>
      <c r="E28" s="5"/>
      <c r="F28" s="5">
        <f ca="1">IFERROR(__xludf.DUMMYFUNCTION("""COMPUTED_VALUE"""),40132.258)</f>
        <v>40132.258000000002</v>
      </c>
      <c r="G28" s="5">
        <f ca="1">IFERROR(__xludf.DUMMYFUNCTION("""COMPUTED_VALUE"""),20)</f>
        <v>20</v>
      </c>
      <c r="H28" s="102" t="str">
        <f ca="1">IFERROR(__xludf.DUMMYFUNCTION("""COMPUTED_VALUE"""),"")</f>
        <v/>
      </c>
      <c r="I28" s="19">
        <f ca="1">IFERROR(__xludf.DUMMYFUNCTION("""COMPUTED_VALUE"""),-6261041.5970316)</f>
        <v>-6261041.5970315998</v>
      </c>
      <c r="J28" s="19">
        <f ca="1">IFERROR(__xludf.DUMMYFUNCTION("""COMPUTED_VALUE"""),-6458318.9772136)</f>
        <v>-6458318.9772135997</v>
      </c>
      <c r="K28" s="5"/>
      <c r="L28" s="5" t="str">
        <f ca="1">IFERROR(__xludf.DUMMYFUNCTION("""COMPUTED_VALUE"""),"Insufficient Cash or Margin Balance")</f>
        <v>Insufficient Cash or Margin Balance</v>
      </c>
    </row>
    <row r="29" spans="1:12" ht="15.75" customHeight="1" x14ac:dyDescent="0.15">
      <c r="A29" s="101">
        <f ca="1">IFERROR(__xludf.DUMMYFUNCTION("""COMPUTED_VALUE"""),44610)</f>
        <v>44610</v>
      </c>
      <c r="B29" s="5" t="str">
        <f ca="1">IFERROR(__xludf.DUMMYFUNCTION("""COMPUTED_VALUE"""),"76796")</f>
        <v>76796</v>
      </c>
      <c r="C29" s="5" t="str">
        <f ca="1">IFERROR(__xludf.DUMMYFUNCTION("""COMPUTED_VALUE"""),"BUY (LONG)")</f>
        <v>BUY (LONG)</v>
      </c>
      <c r="D29" s="5" t="str">
        <f ca="1">IFERROR(__xludf.DUMMYFUNCTION("""COMPUTED_VALUE"""),"ISPO")</f>
        <v>ISPO</v>
      </c>
      <c r="E29" s="5"/>
      <c r="F29" s="5">
        <f ca="1">IFERROR(__xludf.DUMMYFUNCTION("""COMPUTED_VALUE"""),46)</f>
        <v>46</v>
      </c>
      <c r="G29" s="5">
        <f ca="1">IFERROR(__xludf.DUMMYFUNCTION("""COMPUTED_VALUE"""),2000)</f>
        <v>2000</v>
      </c>
      <c r="H29" s="102" t="str">
        <f ca="1">IFERROR(__xludf.DUMMYFUNCTION("""COMPUTED_VALUE"""),"")</f>
        <v/>
      </c>
      <c r="I29" s="19">
        <f ca="1">IFERROR(__xludf.DUMMYFUNCTION("""COMPUTED_VALUE"""),-717646.92)</f>
        <v>-717646.92</v>
      </c>
      <c r="J29" s="19">
        <f ca="1">IFERROR(__xludf.DUMMYFUNCTION("""COMPUTED_VALUE"""),-460121.52335)</f>
        <v>-460121.52334999997</v>
      </c>
      <c r="K29" s="5"/>
      <c r="L29" s="5" t="str">
        <f ca="1">IFERROR(__xludf.DUMMYFUNCTION("""COMPUTED_VALUE"""),"Insufficient Cash or Margin Balance")</f>
        <v>Insufficient Cash or Margin Balance</v>
      </c>
    </row>
    <row r="30" spans="1:12" ht="15.75" customHeight="1" x14ac:dyDescent="0.15">
      <c r="A30" s="101">
        <f ca="1">IFERROR(__xludf.DUMMYFUNCTION("""COMPUTED_VALUE"""),44613)</f>
        <v>44613</v>
      </c>
      <c r="B30" s="5" t="str">
        <f ca="1">IFERROR(__xludf.DUMMYFUNCTION("""COMPUTED_VALUE"""),"46220")</f>
        <v>46220</v>
      </c>
      <c r="C30" s="5" t="str">
        <f ca="1">IFERROR(__xludf.DUMMYFUNCTION("""COMPUTED_VALUE"""),"BUY (LONG)")</f>
        <v>BUY (LONG)</v>
      </c>
      <c r="D30" s="71" t="str">
        <f ca="1">IFERROR(__xludf.DUMMYFUNCTION("""COMPUTED_VALUE"""),"6969.HK")</f>
        <v>6969.HK</v>
      </c>
      <c r="E30" s="5"/>
      <c r="F30" s="5">
        <f ca="1">IFERROR(__xludf.DUMMYFUNCTION("""COMPUTED_VALUE"""),35.5)</f>
        <v>35.5</v>
      </c>
      <c r="G30" s="5">
        <f ca="1">IFERROR(__xludf.DUMMYFUNCTION("""COMPUTED_VALUE"""),2000)</f>
        <v>2000</v>
      </c>
      <c r="H30" s="102" t="str">
        <f ca="1">IFERROR(__xludf.DUMMYFUNCTION("""COMPUTED_VALUE"""),"")</f>
        <v/>
      </c>
      <c r="I30" s="19">
        <f ca="1">IFERROR(__xludf.DUMMYFUNCTION("""COMPUTED_VALUE"""),-71000)</f>
        <v>-71000</v>
      </c>
      <c r="J30" s="19">
        <f ca="1">IFERROR(__xludf.DUMMYFUNCTION("""COMPUTED_VALUE"""),-268277.380182)</f>
        <v>-268277.38018199999</v>
      </c>
      <c r="K30" s="5"/>
      <c r="L30" s="5" t="str">
        <f ca="1">IFERROR(__xludf.DUMMYFUNCTION("""COMPUTED_VALUE"""),"Insufficient Cash or Margin Balance")</f>
        <v>Insufficient Cash or Margin Balance</v>
      </c>
    </row>
    <row r="31" spans="1:12" ht="15.75" customHeight="1" x14ac:dyDescent="0.15">
      <c r="A31" s="101">
        <f ca="1">IFERROR(__xludf.DUMMYFUNCTION("""COMPUTED_VALUE"""),44613)</f>
        <v>44613</v>
      </c>
      <c r="B31" s="5" t="str">
        <f ca="1">IFERROR(__xludf.DUMMYFUNCTION("""COMPUTED_VALUE"""),"74641")</f>
        <v>74641</v>
      </c>
      <c r="C31" s="5" t="str">
        <f ca="1">IFERROR(__xludf.DUMMYFUNCTION("""COMPUTED_VALUE"""),"BUY (LONG)")</f>
        <v>BUY (LONG)</v>
      </c>
      <c r="D31" s="71" t="str">
        <f ca="1">IFERROR(__xludf.DUMMYFUNCTION("""COMPUTED_VALUE"""),"002230.SZ")</f>
        <v>002230.SZ</v>
      </c>
      <c r="E31" s="5">
        <f ca="1">IFERROR(__xludf.DUMMYFUNCTION("""COMPUTED_VALUE"""),50.73)</f>
        <v>50.73</v>
      </c>
      <c r="F31" s="5">
        <f ca="1">IFERROR(__xludf.DUMMYFUNCTION("""COMPUTED_VALUE"""),50.77)</f>
        <v>50.77</v>
      </c>
      <c r="G31" s="5">
        <f ca="1">IFERROR(__xludf.DUMMYFUNCTION("""COMPUTED_VALUE"""),1000)</f>
        <v>1000</v>
      </c>
      <c r="H31" s="102">
        <f ca="1">IFERROR(__xludf.DUMMYFUNCTION("""COMPUTED_VALUE"""),0)</f>
        <v>0</v>
      </c>
      <c r="I31" s="19">
        <f ca="1">IFERROR(__xludf.DUMMYFUNCTION("""COMPUTED_VALUE"""),0)</f>
        <v>0</v>
      </c>
      <c r="J31" s="19">
        <f ca="1">IFERROR(__xludf.DUMMYFUNCTION("""COMPUTED_VALUE"""),491862.29159)</f>
        <v>491862.29158999998</v>
      </c>
      <c r="K31" s="5"/>
      <c r="L31" s="5" t="str">
        <f ca="1">IFERROR(__xludf.DUMMYFUNCTION("""COMPUTED_VALUE"""),"Limit Condition not met")</f>
        <v>Limit Condition not met</v>
      </c>
    </row>
    <row r="32" spans="1:12" ht="15.75" customHeight="1" x14ac:dyDescent="0.15">
      <c r="A32" s="101">
        <f ca="1">IFERROR(__xludf.DUMMYFUNCTION("""COMPUTED_VALUE"""),44615)</f>
        <v>44615</v>
      </c>
      <c r="B32" s="5" t="str">
        <f ca="1">IFERROR(__xludf.DUMMYFUNCTION("""COMPUTED_VALUE"""),"39857")</f>
        <v>39857</v>
      </c>
      <c r="C32" s="5" t="str">
        <f ca="1">IFERROR(__xludf.DUMMYFUNCTION("""COMPUTED_VALUE"""),"BUY (LONG)")</f>
        <v>BUY (LONG)</v>
      </c>
      <c r="D32" s="5" t="str">
        <f ca="1">IFERROR(__xludf.DUMMYFUNCTION("""COMPUTED_VALUE"""),"TSLA")</f>
        <v>TSLA</v>
      </c>
      <c r="E32" s="5"/>
      <c r="F32" s="5">
        <f ca="1">IFERROR(__xludf.DUMMYFUNCTION("""COMPUTED_VALUE"""),764.04)</f>
        <v>764.04</v>
      </c>
      <c r="G32" s="5">
        <f ca="1">IFERROR(__xludf.DUMMYFUNCTION("""COMPUTED_VALUE"""),50)</f>
        <v>50</v>
      </c>
      <c r="H32" s="102" t="str">
        <f ca="1">IFERROR(__xludf.DUMMYFUNCTION("""COMPUTED_VALUE"""),"")</f>
        <v/>
      </c>
      <c r="I32" s="19">
        <f ca="1">IFERROR(__xludf.DUMMYFUNCTION("""COMPUTED_VALUE"""),-298183.8009)</f>
        <v>-298183.80089999997</v>
      </c>
      <c r="J32" s="19">
        <f ca="1">IFERROR(__xludf.DUMMYFUNCTION("""COMPUTED_VALUE"""),-400990.4733407)</f>
        <v>-400990.47334069997</v>
      </c>
      <c r="K32" s="5"/>
      <c r="L32" s="5" t="str">
        <f ca="1">IFERROR(__xludf.DUMMYFUNCTION("""COMPUTED_VALUE"""),"Insufficient Cash or Margin Balance")</f>
        <v>Insufficient Cash or Margin Balance</v>
      </c>
    </row>
    <row r="33" spans="1:12" ht="15.75" customHeight="1" x14ac:dyDescent="0.15">
      <c r="A33" s="101">
        <f ca="1">IFERROR(__xludf.DUMMYFUNCTION("""COMPUTED_VALUE"""),44615)</f>
        <v>44615</v>
      </c>
      <c r="B33" s="5" t="str">
        <f ca="1">IFERROR(__xludf.DUMMYFUNCTION("""COMPUTED_VALUE"""),"46220")</f>
        <v>46220</v>
      </c>
      <c r="C33" s="5" t="str">
        <f ca="1">IFERROR(__xludf.DUMMYFUNCTION("""COMPUTED_VALUE"""),"BUY (LONG)")</f>
        <v>BUY (LONG)</v>
      </c>
      <c r="D33" s="5" t="str">
        <f ca="1">IFERROR(__xludf.DUMMYFUNCTION("""COMPUTED_VALUE"""),"TSLA")</f>
        <v>TSLA</v>
      </c>
      <c r="E33" s="5"/>
      <c r="F33" s="5">
        <f ca="1">IFERROR(__xludf.DUMMYFUNCTION("""COMPUTED_VALUE"""),764.04)</f>
        <v>764.04</v>
      </c>
      <c r="G33" s="5">
        <f ca="1">IFERROR(__xludf.DUMMYFUNCTION("""COMPUTED_VALUE"""),20)</f>
        <v>20</v>
      </c>
      <c r="H33" s="102" t="str">
        <f ca="1">IFERROR(__xludf.DUMMYFUNCTION("""COMPUTED_VALUE"""),"")</f>
        <v/>
      </c>
      <c r="I33" s="19">
        <f ca="1">IFERROR(__xludf.DUMMYFUNCTION("""COMPUTED_VALUE"""),-119273.52036)</f>
        <v>-119273.52035999999</v>
      </c>
      <c r="J33" s="19">
        <f ca="1">IFERROR(__xludf.DUMMYFUNCTION("""COMPUTED_VALUE"""),-316550.900542)</f>
        <v>-316550.90054200002</v>
      </c>
      <c r="K33" s="5"/>
      <c r="L33" s="5" t="str">
        <f ca="1">IFERROR(__xludf.DUMMYFUNCTION("""COMPUTED_VALUE"""),"Insufficient Cash or Margin Balance")</f>
        <v>Insufficient Cash or Margin Balance</v>
      </c>
    </row>
    <row r="34" spans="1:12" ht="15.75" customHeight="1" x14ac:dyDescent="0.15">
      <c r="A34" s="101">
        <f ca="1">IFERROR(__xludf.DUMMYFUNCTION("""COMPUTED_VALUE"""),44616)</f>
        <v>44616</v>
      </c>
      <c r="B34" s="5" t="str">
        <f ca="1">IFERROR(__xludf.DUMMYFUNCTION("""COMPUTED_VALUE"""),"36460")</f>
        <v>36460</v>
      </c>
      <c r="C34" s="5" t="str">
        <f ca="1">IFERROR(__xludf.DUMMYFUNCTION("""COMPUTED_VALUE"""),"BUY (LONG)")</f>
        <v>BUY (LONG)</v>
      </c>
      <c r="D34" s="5" t="str">
        <f ca="1">IFERROR(__xludf.DUMMYFUNCTION("""COMPUTED_VALUE"""),"CL=F")</f>
        <v>CL=F</v>
      </c>
      <c r="E34" s="5">
        <f ca="1">IFERROR(__xludf.DUMMYFUNCTION("""COMPUTED_VALUE"""),120)</f>
        <v>120</v>
      </c>
      <c r="F34" s="5">
        <f ca="1">IFERROR(__xludf.DUMMYFUNCTION("""COMPUTED_VALUE"""),92.81)</f>
        <v>92.81</v>
      </c>
      <c r="G34" s="5">
        <f ca="1">IFERROR(__xludf.DUMMYFUNCTION("""COMPUTED_VALUE"""),200)</f>
        <v>200</v>
      </c>
      <c r="H34" s="102" t="str">
        <f ca="1">IFERROR(__xludf.DUMMYFUNCTION("""COMPUTED_VALUE"""),"")</f>
        <v/>
      </c>
      <c r="I34" s="19">
        <f ca="1">IFERROR(__xludf.DUMMYFUNCTION("""COMPUTED_VALUE"""),-144927.4555)</f>
        <v>-144927.45550000001</v>
      </c>
      <c r="J34" s="19">
        <f ca="1">IFERROR(__xludf.DUMMYFUNCTION("""COMPUTED_VALUE"""),-364148.65225)</f>
        <v>-364148.65224999998</v>
      </c>
      <c r="K34" s="5"/>
      <c r="L34" s="5" t="str">
        <f ca="1">IFERROR(__xludf.DUMMYFUNCTION("""COMPUTED_VALUE"""),"Limit Condition not met")</f>
        <v>Limit Condition not met</v>
      </c>
    </row>
    <row r="35" spans="1:12" ht="15.75" customHeight="1" x14ac:dyDescent="0.15">
      <c r="A35" s="101">
        <f ca="1">IFERROR(__xludf.DUMMYFUNCTION("""COMPUTED_VALUE"""),44616)</f>
        <v>44616</v>
      </c>
      <c r="B35" s="5" t="str">
        <f ca="1">IFERROR(__xludf.DUMMYFUNCTION("""COMPUTED_VALUE"""),"46220")</f>
        <v>46220</v>
      </c>
      <c r="C35" s="5" t="str">
        <f ca="1">IFERROR(__xludf.DUMMYFUNCTION("""COMPUTED_VALUE"""),"BUY (LONG)")</f>
        <v>BUY (LONG)</v>
      </c>
      <c r="D35" s="5" t="str">
        <f ca="1">IFERROR(__xludf.DUMMYFUNCTION("""COMPUTED_VALUE"""),"AMZN")</f>
        <v>AMZN</v>
      </c>
      <c r="E35" s="5"/>
      <c r="F35" s="104">
        <f ca="1">IFERROR(__xludf.DUMMYFUNCTION("""COMPUTED_VALUE"""),3027.16)</f>
        <v>3027.16</v>
      </c>
      <c r="G35" s="5">
        <f ca="1">IFERROR(__xludf.DUMMYFUNCTION("""COMPUTED_VALUE"""),20)</f>
        <v>20</v>
      </c>
      <c r="H35" s="102" t="str">
        <f ca="1">IFERROR(__xludf.DUMMYFUNCTION("""COMPUTED_VALUE"""),"")</f>
        <v/>
      </c>
      <c r="I35" s="19">
        <f ca="1">IFERROR(__xludf.DUMMYFUNCTION("""COMPUTED_VALUE"""),-472706.1698)</f>
        <v>-472706.16979999997</v>
      </c>
      <c r="J35" s="19">
        <f ca="1">IFERROR(__xludf.DUMMYFUNCTION("""COMPUTED_VALUE"""),-672809.122882)</f>
        <v>-672809.12288200005</v>
      </c>
      <c r="K35" s="5"/>
      <c r="L35" s="5" t="str">
        <f ca="1">IFERROR(__xludf.DUMMYFUNCTION("""COMPUTED_VALUE"""),"Insufficient Cash or Margin Balance")</f>
        <v>Insufficient Cash or Margin Balance</v>
      </c>
    </row>
    <row r="36" spans="1:12" ht="15.75" customHeight="1" x14ac:dyDescent="0.15">
      <c r="A36" s="101">
        <f ca="1">IFERROR(__xludf.DUMMYFUNCTION("""COMPUTED_VALUE"""),44617)</f>
        <v>44617</v>
      </c>
      <c r="B36" s="5" t="str">
        <f ca="1">IFERROR(__xludf.DUMMYFUNCTION("""COMPUTED_VALUE"""),"14626")</f>
        <v>14626</v>
      </c>
      <c r="C36" s="5" t="str">
        <f ca="1">IFERROR(__xludf.DUMMYFUNCTION("""COMPUTED_VALUE"""),"BUY (LONG)")</f>
        <v>BUY (LONG)</v>
      </c>
      <c r="D36" s="5" t="str">
        <f ca="1">IFERROR(__xludf.DUMMYFUNCTION("""COMPUTED_VALUE"""),"AAPL")</f>
        <v>AAPL</v>
      </c>
      <c r="E36" s="5">
        <f ca="1">IFERROR(__xludf.DUMMYFUNCTION("""COMPUTED_VALUE"""),150)</f>
        <v>150</v>
      </c>
      <c r="F36" s="5">
        <f ca="1">IFERROR(__xludf.DUMMYFUNCTION("""COMPUTED_VALUE"""),164.85)</f>
        <v>164.85</v>
      </c>
      <c r="G36" s="5">
        <f ca="1">IFERROR(__xludf.DUMMYFUNCTION("""COMPUTED_VALUE"""),50)</f>
        <v>50</v>
      </c>
      <c r="H36" s="102">
        <f ca="1">IFERROR(__xludf.DUMMYFUNCTION("""COMPUTED_VALUE"""),0)</f>
        <v>0</v>
      </c>
      <c r="I36" s="19">
        <f ca="1">IFERROR(__xludf.DUMMYFUNCTION("""COMPUTED_VALUE"""),0)</f>
        <v>0</v>
      </c>
      <c r="J36" s="19">
        <f ca="1">IFERROR(__xludf.DUMMYFUNCTION("""COMPUTED_VALUE"""),500000)</f>
        <v>500000</v>
      </c>
      <c r="K36" s="5"/>
      <c r="L36" s="5" t="str">
        <f ca="1">IFERROR(__xludf.DUMMYFUNCTION("""COMPUTED_VALUE"""),"Limit Condition not met")</f>
        <v>Limit Condition not met</v>
      </c>
    </row>
    <row r="37" spans="1:12" ht="15.75" customHeight="1" x14ac:dyDescent="0.15">
      <c r="A37" s="101">
        <f ca="1">IFERROR(__xludf.DUMMYFUNCTION("""COMPUTED_VALUE"""),44617)</f>
        <v>44617</v>
      </c>
      <c r="B37" s="5" t="str">
        <f ca="1">IFERROR(__xludf.DUMMYFUNCTION("""COMPUTED_VALUE"""),"14626")</f>
        <v>14626</v>
      </c>
      <c r="C37" s="5" t="str">
        <f ca="1">IFERROR(__xludf.DUMMYFUNCTION("""COMPUTED_VALUE"""),"BUY (LONG)")</f>
        <v>BUY (LONG)</v>
      </c>
      <c r="D37" s="5" t="str">
        <f ca="1">IFERROR(__xludf.DUMMYFUNCTION("""COMPUTED_VALUE"""),"TSLA")</f>
        <v>TSLA</v>
      </c>
      <c r="E37" s="5">
        <f ca="1">IFERROR(__xludf.DUMMYFUNCTION("""COMPUTED_VALUE"""),100)</f>
        <v>100</v>
      </c>
      <c r="F37" s="5">
        <f ca="1">IFERROR(__xludf.DUMMYFUNCTION("""COMPUTED_VALUE"""),809.87)</f>
        <v>809.87</v>
      </c>
      <c r="G37" s="5">
        <f ca="1">IFERROR(__xludf.DUMMYFUNCTION("""COMPUTED_VALUE"""),50)</f>
        <v>50</v>
      </c>
      <c r="H37" s="102">
        <f ca="1">IFERROR(__xludf.DUMMYFUNCTION("""COMPUTED_VALUE"""),0)</f>
        <v>0</v>
      </c>
      <c r="I37" s="19">
        <f ca="1">IFERROR(__xludf.DUMMYFUNCTION("""COMPUTED_VALUE"""),0)</f>
        <v>0</v>
      </c>
      <c r="J37" s="19">
        <f ca="1">IFERROR(__xludf.DUMMYFUNCTION("""COMPUTED_VALUE"""),500000)</f>
        <v>500000</v>
      </c>
      <c r="K37" s="5"/>
      <c r="L37" s="5" t="str">
        <f ca="1">IFERROR(__xludf.DUMMYFUNCTION("""COMPUTED_VALUE"""),"Limit Condition not met")</f>
        <v>Limit Condition not met</v>
      </c>
    </row>
    <row r="38" spans="1:12" ht="15.75" customHeight="1" x14ac:dyDescent="0.15">
      <c r="A38" s="101">
        <f ca="1">IFERROR(__xludf.DUMMYFUNCTION("""COMPUTED_VALUE"""),44617)</f>
        <v>44617</v>
      </c>
      <c r="B38" s="5" t="str">
        <f ca="1">IFERROR(__xludf.DUMMYFUNCTION("""COMPUTED_VALUE"""),"46220")</f>
        <v>46220</v>
      </c>
      <c r="C38" s="5" t="str">
        <f ca="1">IFERROR(__xludf.DUMMYFUNCTION("""COMPUTED_VALUE"""),"BUY (LONG)")</f>
        <v>BUY (LONG)</v>
      </c>
      <c r="D38" s="5" t="str">
        <f ca="1">IFERROR(__xludf.DUMMYFUNCTION("""COMPUTED_VALUE"""),"NFLX")</f>
        <v>NFLX</v>
      </c>
      <c r="E38" s="5"/>
      <c r="F38" s="5">
        <f ca="1">IFERROR(__xludf.DUMMYFUNCTION("""COMPUTED_VALUE"""),390.8)</f>
        <v>390.8</v>
      </c>
      <c r="G38" s="5">
        <f ca="1">IFERROR(__xludf.DUMMYFUNCTION("""COMPUTED_VALUE"""),20)</f>
        <v>20</v>
      </c>
      <c r="H38" s="102" t="str">
        <f ca="1">IFERROR(__xludf.DUMMYFUNCTION("""COMPUTED_VALUE"""),"")</f>
        <v/>
      </c>
      <c r="I38" s="19">
        <f ca="1">IFERROR(__xludf.DUMMYFUNCTION("""COMPUTED_VALUE"""),-61030.41532)</f>
        <v>-61030.41532</v>
      </c>
      <c r="J38" s="19">
        <f ca="1">IFERROR(__xludf.DUMMYFUNCTION("""COMPUTED_VALUE"""),-261133.368402)</f>
        <v>-261133.36840199999</v>
      </c>
      <c r="K38" s="5"/>
      <c r="L38" s="5" t="str">
        <f ca="1">IFERROR(__xludf.DUMMYFUNCTION("""COMPUTED_VALUE"""),"Insufficient Cash or Margin Balance")</f>
        <v>Insufficient Cash or Margin Balance</v>
      </c>
    </row>
    <row r="39" spans="1:12" ht="15.75" customHeight="1" x14ac:dyDescent="0.15">
      <c r="A39" s="101">
        <f ca="1">IFERROR(__xludf.DUMMYFUNCTION("""COMPUTED_VALUE"""),44617)</f>
        <v>44617</v>
      </c>
      <c r="B39" s="5" t="str">
        <f ca="1">IFERROR(__xludf.DUMMYFUNCTION("""COMPUTED_VALUE"""),"74356")</f>
        <v>74356</v>
      </c>
      <c r="C39" s="5" t="str">
        <f ca="1">IFERROR(__xludf.DUMMYFUNCTION("""COMPUTED_VALUE"""),"BUY (LONG)")</f>
        <v>BUY (LONG)</v>
      </c>
      <c r="D39" s="71" t="str">
        <f ca="1">IFERROR(__xludf.DUMMYFUNCTION("""COMPUTED_VALUE"""),"300157.SZ")</f>
        <v>300157.SZ</v>
      </c>
      <c r="E39" s="5">
        <f ca="1">IFERROR(__xludf.DUMMYFUNCTION("""COMPUTED_VALUE"""),4.5)</f>
        <v>4.5</v>
      </c>
      <c r="F39" s="5">
        <f ca="1">IFERROR(__xludf.DUMMYFUNCTION("""COMPUTED_VALUE"""),6.01)</f>
        <v>6.01</v>
      </c>
      <c r="G39" s="5">
        <f ca="1">IFERROR(__xludf.DUMMYFUNCTION("""COMPUTED_VALUE"""),500)</f>
        <v>500</v>
      </c>
      <c r="H39" s="102">
        <f ca="1">IFERROR(__xludf.DUMMYFUNCTION("""COMPUTED_VALUE"""),0)</f>
        <v>0</v>
      </c>
      <c r="I39" s="19">
        <f ca="1">IFERROR(__xludf.DUMMYFUNCTION("""COMPUTED_VALUE"""),0)</f>
        <v>0</v>
      </c>
      <c r="J39" s="19">
        <f ca="1">IFERROR(__xludf.DUMMYFUNCTION("""COMPUTED_VALUE"""),367551.781635499)</f>
        <v>367551.78163549898</v>
      </c>
      <c r="K39" s="5"/>
      <c r="L39" s="5" t="str">
        <f ca="1">IFERROR(__xludf.DUMMYFUNCTION("""COMPUTED_VALUE"""),"Limit Condition not met")</f>
        <v>Limit Condition not met</v>
      </c>
    </row>
    <row r="40" spans="1:12" ht="15.75" customHeight="1" x14ac:dyDescent="0.15">
      <c r="A40" s="101">
        <f ca="1">IFERROR(__xludf.DUMMYFUNCTION("""COMPUTED_VALUE"""),44617)</f>
        <v>44617</v>
      </c>
      <c r="B40" s="5" t="str">
        <f ca="1">IFERROR(__xludf.DUMMYFUNCTION("""COMPUTED_VALUE"""),"76796")</f>
        <v>76796</v>
      </c>
      <c r="C40" s="5" t="str">
        <f ca="1">IFERROR(__xludf.DUMMYFUNCTION("""COMPUTED_VALUE"""),"BUY (LONG)")</f>
        <v>BUY (LONG)</v>
      </c>
      <c r="D40" s="5" t="str">
        <f ca="1">IFERROR(__xludf.DUMMYFUNCTION("""COMPUTED_VALUE"""),"GOOGL")</f>
        <v>GOOGL</v>
      </c>
      <c r="E40" s="5"/>
      <c r="F40" s="5">
        <f ca="1">IFERROR(__xludf.DUMMYFUNCTION("""COMPUTED_VALUE"""),2689.19)</f>
        <v>2689.19</v>
      </c>
      <c r="G40" s="5">
        <f ca="1">IFERROR(__xludf.DUMMYFUNCTION("""COMPUTED_VALUE"""),100)</f>
        <v>100</v>
      </c>
      <c r="H40" s="102" t="str">
        <f ca="1">IFERROR(__xludf.DUMMYFUNCTION("""COMPUTED_VALUE"""),"")</f>
        <v/>
      </c>
      <c r="I40" s="19">
        <f ca="1">IFERROR(__xludf.DUMMYFUNCTION("""COMPUTED_VALUE"""),-2099825.775005)</f>
        <v>-2099825.7750050002</v>
      </c>
      <c r="J40" s="19">
        <f ca="1">IFERROR(__xludf.DUMMYFUNCTION("""COMPUTED_VALUE"""),-1842300.378355)</f>
        <v>-1842300.3783549999</v>
      </c>
      <c r="K40" s="5"/>
      <c r="L40" s="5" t="str">
        <f ca="1">IFERROR(__xludf.DUMMYFUNCTION("""COMPUTED_VALUE"""),"Insufficient Cash or Margin Balance")</f>
        <v>Insufficient Cash or Margin Balance</v>
      </c>
    </row>
    <row r="41" spans="1:12" ht="15.75" customHeight="1" x14ac:dyDescent="0.15">
      <c r="A41" s="101">
        <f ca="1">IFERROR(__xludf.DUMMYFUNCTION("""COMPUTED_VALUE"""),44617)</f>
        <v>44617</v>
      </c>
      <c r="B41" s="5" t="str">
        <f ca="1">IFERROR(__xludf.DUMMYFUNCTION("""COMPUTED_VALUE"""),"76848")</f>
        <v>76848</v>
      </c>
      <c r="C41" s="5" t="str">
        <f ca="1">IFERROR(__xludf.DUMMYFUNCTION("""COMPUTED_VALUE"""),"BUY (LONG)")</f>
        <v>BUY (LONG)</v>
      </c>
      <c r="D41" s="71" t="str">
        <f ca="1">IFERROR(__xludf.DUMMYFUNCTION("""COMPUTED_VALUE"""),"300157.SZ")</f>
        <v>300157.SZ</v>
      </c>
      <c r="E41" s="5">
        <f ca="1">IFERROR(__xludf.DUMMYFUNCTION("""COMPUTED_VALUE"""),4.5)</f>
        <v>4.5</v>
      </c>
      <c r="F41" s="5">
        <f ca="1">IFERROR(__xludf.DUMMYFUNCTION("""COMPUTED_VALUE"""),6.01)</f>
        <v>6.01</v>
      </c>
      <c r="G41" s="5">
        <f ca="1">IFERROR(__xludf.DUMMYFUNCTION("""COMPUTED_VALUE"""),500)</f>
        <v>500</v>
      </c>
      <c r="H41" s="102">
        <f ca="1">IFERROR(__xludf.DUMMYFUNCTION("""COMPUTED_VALUE"""),0)</f>
        <v>0</v>
      </c>
      <c r="I41" s="19">
        <f ca="1">IFERROR(__xludf.DUMMYFUNCTION("""COMPUTED_VALUE"""),0)</f>
        <v>0</v>
      </c>
      <c r="J41" s="19">
        <f ca="1">IFERROR(__xludf.DUMMYFUNCTION("""COMPUTED_VALUE"""),367551.781635499)</f>
        <v>367551.78163549898</v>
      </c>
      <c r="K41" s="5"/>
      <c r="L41" s="5" t="str">
        <f ca="1">IFERROR(__xludf.DUMMYFUNCTION("""COMPUTED_VALUE"""),"Limit Condition not met")</f>
        <v>Limit Condition not met</v>
      </c>
    </row>
    <row r="42" spans="1:12" ht="15.75" customHeight="1" x14ac:dyDescent="0.15">
      <c r="A42" s="101">
        <f ca="1">IFERROR(__xludf.DUMMYFUNCTION("""COMPUTED_VALUE"""),44619)</f>
        <v>44619</v>
      </c>
      <c r="B42" s="5" t="str">
        <f ca="1">IFERROR(__xludf.DUMMYFUNCTION("""COMPUTED_VALUE"""),"37934")</f>
        <v>37934</v>
      </c>
      <c r="C42" s="5" t="str">
        <f ca="1">IFERROR(__xludf.DUMMYFUNCTION("""COMPUTED_VALUE"""),"BUY (LONG)")</f>
        <v>BUY (LONG)</v>
      </c>
      <c r="D42" s="71" t="str">
        <f ca="1">IFERROR(__xludf.DUMMYFUNCTION("""COMPUTED_VALUE"""),"9888.HK")</f>
        <v>9888.HK</v>
      </c>
      <c r="E42" s="5">
        <f ca="1">IFERROR(__xludf.DUMMYFUNCTION("""COMPUTED_VALUE"""),147)</f>
        <v>147</v>
      </c>
      <c r="F42" s="5">
        <f ca="1">IFERROR(__xludf.DUMMYFUNCTION("""COMPUTED_VALUE"""),147.4)</f>
        <v>147.4</v>
      </c>
      <c r="G42" s="5">
        <f ca="1">IFERROR(__xludf.DUMMYFUNCTION("""COMPUTED_VALUE"""),600)</f>
        <v>600</v>
      </c>
      <c r="H42" s="102">
        <f ca="1">IFERROR(__xludf.DUMMYFUNCTION("""COMPUTED_VALUE"""),0)</f>
        <v>0</v>
      </c>
      <c r="I42" s="19">
        <f ca="1">IFERROR(__xludf.DUMMYFUNCTION("""COMPUTED_VALUE"""),0)</f>
        <v>0</v>
      </c>
      <c r="J42" s="19">
        <f ca="1">IFERROR(__xludf.DUMMYFUNCTION("""COMPUTED_VALUE"""),472140.809)</f>
        <v>472140.80900000001</v>
      </c>
      <c r="K42" s="5"/>
      <c r="L42" s="5" t="str">
        <f ca="1">IFERROR(__xludf.DUMMYFUNCTION("""COMPUTED_VALUE"""),"Limit Condition not met")</f>
        <v>Limit Condition not met</v>
      </c>
    </row>
    <row r="43" spans="1:12" ht="15.75" customHeight="1" x14ac:dyDescent="0.15">
      <c r="A43" s="101">
        <f ca="1">IFERROR(__xludf.DUMMYFUNCTION("""COMPUTED_VALUE"""),44620)</f>
        <v>44620</v>
      </c>
      <c r="B43" s="5" t="str">
        <f ca="1">IFERROR(__xludf.DUMMYFUNCTION("""COMPUTED_VALUE"""),"14626")</f>
        <v>14626</v>
      </c>
      <c r="C43" s="5" t="str">
        <f ca="1">IFERROR(__xludf.DUMMYFUNCTION("""COMPUTED_VALUE"""),"BUY (LONG)")</f>
        <v>BUY (LONG)</v>
      </c>
      <c r="D43" s="5" t="str">
        <f ca="1">IFERROR(__xludf.DUMMYFUNCTION("""COMPUTED_VALUE"""),"TSLA")</f>
        <v>TSLA</v>
      </c>
      <c r="E43" s="5">
        <f ca="1">IFERROR(__xludf.DUMMYFUNCTION("""COMPUTED_VALUE"""),800)</f>
        <v>800</v>
      </c>
      <c r="F43" s="5">
        <f ca="1">IFERROR(__xludf.DUMMYFUNCTION("""COMPUTED_VALUE"""),870.43)</f>
        <v>870.43</v>
      </c>
      <c r="G43" s="5">
        <f ca="1">IFERROR(__xludf.DUMMYFUNCTION("""COMPUTED_VALUE"""),18)</f>
        <v>18</v>
      </c>
      <c r="H43" s="102">
        <f ca="1">IFERROR(__xludf.DUMMYFUNCTION("""COMPUTED_VALUE"""),0)</f>
        <v>0</v>
      </c>
      <c r="I43" s="19">
        <f ca="1">IFERROR(__xludf.DUMMYFUNCTION("""COMPUTED_VALUE"""),0)</f>
        <v>0</v>
      </c>
      <c r="J43" s="19">
        <f ca="1">IFERROR(__xludf.DUMMYFUNCTION("""COMPUTED_VALUE"""),500000)</f>
        <v>500000</v>
      </c>
      <c r="K43" s="5"/>
      <c r="L43" s="5" t="str">
        <f ca="1">IFERROR(__xludf.DUMMYFUNCTION("""COMPUTED_VALUE"""),"Limit Condition not met")</f>
        <v>Limit Condition not met</v>
      </c>
    </row>
    <row r="44" spans="1:12" ht="15.75" customHeight="1" x14ac:dyDescent="0.15">
      <c r="A44" s="101">
        <f ca="1">IFERROR(__xludf.DUMMYFUNCTION("""COMPUTED_VALUE"""),44621)</f>
        <v>44621</v>
      </c>
      <c r="B44" s="5" t="str">
        <f ca="1">IFERROR(__xludf.DUMMYFUNCTION("""COMPUTED_VALUE"""),"82124")</f>
        <v>82124</v>
      </c>
      <c r="C44" s="5" t="str">
        <f ca="1">IFERROR(__xludf.DUMMYFUNCTION("""COMPUTED_VALUE"""),"BUY (LONG)")</f>
        <v>BUY (LONG)</v>
      </c>
      <c r="D44" s="71" t="str">
        <f ca="1">IFERROR(__xludf.DUMMYFUNCTION("""COMPUTED_VALUE"""),"2800.HK")</f>
        <v>2800.HK</v>
      </c>
      <c r="E44" s="5">
        <f ca="1">IFERROR(__xludf.DUMMYFUNCTION("""COMPUTED_VALUE"""),22.84)</f>
        <v>22.84</v>
      </c>
      <c r="F44" s="5">
        <f ca="1">IFERROR(__xludf.DUMMYFUNCTION("""COMPUTED_VALUE"""),22.88)</f>
        <v>22.88</v>
      </c>
      <c r="G44" s="5">
        <f ca="1">IFERROR(__xludf.DUMMYFUNCTION("""COMPUTED_VALUE"""),2000)</f>
        <v>2000</v>
      </c>
      <c r="H44" s="102">
        <f ca="1">IFERROR(__xludf.DUMMYFUNCTION("""COMPUTED_VALUE"""),0)</f>
        <v>0</v>
      </c>
      <c r="I44" s="19">
        <f ca="1">IFERROR(__xludf.DUMMYFUNCTION("""COMPUTED_VALUE"""),0)</f>
        <v>0</v>
      </c>
      <c r="J44" s="19">
        <f ca="1">IFERROR(__xludf.DUMMYFUNCTION("""COMPUTED_VALUE"""),419600)</f>
        <v>419600</v>
      </c>
      <c r="K44" s="5"/>
      <c r="L44" s="5" t="str">
        <f ca="1">IFERROR(__xludf.DUMMYFUNCTION("""COMPUTED_VALUE"""),"Limit Condition not met")</f>
        <v>Limit Condition not met</v>
      </c>
    </row>
    <row r="45" spans="1:12" ht="15.75" customHeight="1" x14ac:dyDescent="0.15">
      <c r="A45" s="101">
        <f ca="1">IFERROR(__xludf.DUMMYFUNCTION("""COMPUTED_VALUE"""),44621)</f>
        <v>44621</v>
      </c>
      <c r="B45" s="5" t="str">
        <f ca="1">IFERROR(__xludf.DUMMYFUNCTION("""COMPUTED_VALUE"""),"82124")</f>
        <v>82124</v>
      </c>
      <c r="C45" s="5" t="str">
        <f ca="1">IFERROR(__xludf.DUMMYFUNCTION("""COMPUTED_VALUE"""),"BUY (LONG)")</f>
        <v>BUY (LONG)</v>
      </c>
      <c r="D45" s="71" t="str">
        <f ca="1">IFERROR(__xludf.DUMMYFUNCTION("""COMPUTED_VALUE"""),"9988.HK")</f>
        <v>9988.HK</v>
      </c>
      <c r="E45" s="5">
        <f ca="1">IFERROR(__xludf.DUMMYFUNCTION("""COMPUTED_VALUE"""),102)</f>
        <v>102</v>
      </c>
      <c r="F45" s="5">
        <f ca="1">IFERROR(__xludf.DUMMYFUNCTION("""COMPUTED_VALUE"""),103.8)</f>
        <v>103.8</v>
      </c>
      <c r="G45" s="5">
        <f ca="1">IFERROR(__xludf.DUMMYFUNCTION("""COMPUTED_VALUE"""),300)</f>
        <v>300</v>
      </c>
      <c r="H45" s="102">
        <f ca="1">IFERROR(__xludf.DUMMYFUNCTION("""COMPUTED_VALUE"""),0)</f>
        <v>0</v>
      </c>
      <c r="I45" s="19">
        <f ca="1">IFERROR(__xludf.DUMMYFUNCTION("""COMPUTED_VALUE"""),0)</f>
        <v>0</v>
      </c>
      <c r="J45" s="19">
        <f ca="1">IFERROR(__xludf.DUMMYFUNCTION("""COMPUTED_VALUE"""),419600)</f>
        <v>419600</v>
      </c>
      <c r="K45" s="5"/>
      <c r="L45" s="5" t="str">
        <f ca="1">IFERROR(__xludf.DUMMYFUNCTION("""COMPUTED_VALUE"""),"Limit Condition not met")</f>
        <v>Limit Condition not met</v>
      </c>
    </row>
    <row r="46" spans="1:12" ht="15.75" customHeight="1" x14ac:dyDescent="0.15">
      <c r="A46" s="101">
        <f ca="1">IFERROR(__xludf.DUMMYFUNCTION("""COMPUTED_VALUE"""),44622)</f>
        <v>44622</v>
      </c>
      <c r="B46" s="5" t="str">
        <f ca="1">IFERROR(__xludf.DUMMYFUNCTION("""COMPUTED_VALUE"""),"79521")</f>
        <v>79521</v>
      </c>
      <c r="C46" s="5" t="str">
        <f ca="1">IFERROR(__xludf.DUMMYFUNCTION("""COMPUTED_VALUE"""),"BUY (LONG)")</f>
        <v>BUY (LONG)</v>
      </c>
      <c r="D46" s="5" t="str">
        <f ca="1">IFERROR(__xludf.DUMMYFUNCTION("""COMPUTED_VALUE"""),"AAPL")</f>
        <v>AAPL</v>
      </c>
      <c r="E46" s="5">
        <f ca="1">IFERROR(__xludf.DUMMYFUNCTION("""COMPUTED_VALUE"""),165)</f>
        <v>165</v>
      </c>
      <c r="F46" s="5">
        <f ca="1">IFERROR(__xludf.DUMMYFUNCTION("""COMPUTED_VALUE"""),166.56)</f>
        <v>166.56</v>
      </c>
      <c r="G46" s="5">
        <f ca="1">IFERROR(__xludf.DUMMYFUNCTION("""COMPUTED_VALUE"""),10)</f>
        <v>10</v>
      </c>
      <c r="H46" s="102">
        <f ca="1">IFERROR(__xludf.DUMMYFUNCTION("""COMPUTED_VALUE"""),0)</f>
        <v>0</v>
      </c>
      <c r="I46" s="19">
        <f ca="1">IFERROR(__xludf.DUMMYFUNCTION("""COMPUTED_VALUE"""),0)</f>
        <v>0</v>
      </c>
      <c r="J46" s="19">
        <f ca="1">IFERROR(__xludf.DUMMYFUNCTION("""COMPUTED_VALUE"""),500000)</f>
        <v>500000</v>
      </c>
      <c r="K46" s="5"/>
      <c r="L46" s="5" t="str">
        <f ca="1">IFERROR(__xludf.DUMMYFUNCTION("""COMPUTED_VALUE"""),"Limit Condition not met")</f>
        <v>Limit Condition not met</v>
      </c>
    </row>
    <row r="47" spans="1:12" ht="15.75" customHeight="1" x14ac:dyDescent="0.15">
      <c r="A47" s="101">
        <f ca="1">IFERROR(__xludf.DUMMYFUNCTION("""COMPUTED_VALUE"""),44623)</f>
        <v>44623</v>
      </c>
      <c r="B47" s="5" t="str">
        <f ca="1">IFERROR(__xludf.DUMMYFUNCTION("""COMPUTED_VALUE"""),"38209")</f>
        <v>38209</v>
      </c>
      <c r="C47" s="5" t="str">
        <f ca="1">IFERROR(__xludf.DUMMYFUNCTION("""COMPUTED_VALUE"""),"SELL (SHORT)")</f>
        <v>SELL (SHORT)</v>
      </c>
      <c r="D47" s="71" t="str">
        <f ca="1">IFERROR(__xludf.DUMMYFUNCTION("""COMPUTED_VALUE"""),"1810.HK")</f>
        <v>1810.HK</v>
      </c>
      <c r="E47" s="5">
        <f ca="1">IFERROR(__xludf.DUMMYFUNCTION("""COMPUTED_VALUE"""),14.75)</f>
        <v>14.75</v>
      </c>
      <c r="F47" s="5">
        <f ca="1">IFERROR(__xludf.DUMMYFUNCTION("""COMPUTED_VALUE"""),14.72)</f>
        <v>14.72</v>
      </c>
      <c r="G47" s="5">
        <f ca="1">IFERROR(__xludf.DUMMYFUNCTION("""COMPUTED_VALUE"""),1000)</f>
        <v>1000</v>
      </c>
      <c r="H47" s="102">
        <f ca="1">IFERROR(__xludf.DUMMYFUNCTION("""COMPUTED_VALUE"""),0)</f>
        <v>0</v>
      </c>
      <c r="I47" s="19">
        <f ca="1">IFERROR(__xludf.DUMMYFUNCTION("""COMPUTED_VALUE"""),0)</f>
        <v>0</v>
      </c>
      <c r="J47" s="19">
        <f ca="1">IFERROR(__xludf.DUMMYFUNCTION("""COMPUTED_VALUE"""),500000)</f>
        <v>500000</v>
      </c>
      <c r="K47" s="5"/>
      <c r="L47" s="5" t="str">
        <f ca="1">IFERROR(__xludf.DUMMYFUNCTION("""COMPUTED_VALUE"""),"Limit Condition not met")</f>
        <v>Limit Condition not met</v>
      </c>
    </row>
    <row r="48" spans="1:12" ht="15.75" customHeight="1" x14ac:dyDescent="0.15">
      <c r="A48" s="101">
        <f ca="1">IFERROR(__xludf.DUMMYFUNCTION("""COMPUTED_VALUE"""),44623)</f>
        <v>44623</v>
      </c>
      <c r="B48" s="5" t="str">
        <f ca="1">IFERROR(__xludf.DUMMYFUNCTION("""COMPUTED_VALUE"""),"39776")</f>
        <v>39776</v>
      </c>
      <c r="C48" s="5" t="str">
        <f ca="1">IFERROR(__xludf.DUMMYFUNCTION("""COMPUTED_VALUE"""),"BUY (LONG)")</f>
        <v>BUY (LONG)</v>
      </c>
      <c r="D48" s="71" t="str">
        <f ca="1">IFERROR(__xludf.DUMMYFUNCTION("""COMPUTED_VALUE"""),"1208.HK")</f>
        <v>1208.HK</v>
      </c>
      <c r="E48" s="5">
        <f ca="1">IFERROR(__xludf.DUMMYFUNCTION("""COMPUTED_VALUE"""),3.16)</f>
        <v>3.16</v>
      </c>
      <c r="F48" s="5">
        <f ca="1">IFERROR(__xludf.DUMMYFUNCTION("""COMPUTED_VALUE"""),3.25)</f>
        <v>3.25</v>
      </c>
      <c r="G48" s="5">
        <f ca="1">IFERROR(__xludf.DUMMYFUNCTION("""COMPUTED_VALUE"""),10000)</f>
        <v>10000</v>
      </c>
      <c r="H48" s="102">
        <f ca="1">IFERROR(__xludf.DUMMYFUNCTION("""COMPUTED_VALUE"""),0)</f>
        <v>0</v>
      </c>
      <c r="I48" s="19">
        <f ca="1">IFERROR(__xludf.DUMMYFUNCTION("""COMPUTED_VALUE"""),0)</f>
        <v>0</v>
      </c>
      <c r="J48" s="19">
        <f ca="1">IFERROR(__xludf.DUMMYFUNCTION("""COMPUTED_VALUE"""),500000)</f>
        <v>500000</v>
      </c>
      <c r="K48" s="5"/>
      <c r="L48" s="5" t="str">
        <f ca="1">IFERROR(__xludf.DUMMYFUNCTION("""COMPUTED_VALUE"""),"Limit Condition not met")</f>
        <v>Limit Condition not met</v>
      </c>
    </row>
    <row r="49" spans="1:12" ht="15.75" customHeight="1" x14ac:dyDescent="0.15">
      <c r="A49" s="101">
        <f ca="1">IFERROR(__xludf.DUMMYFUNCTION("""COMPUTED_VALUE"""),44623)</f>
        <v>44623</v>
      </c>
      <c r="B49" s="5" t="str">
        <f ca="1">IFERROR(__xludf.DUMMYFUNCTION("""COMPUTED_VALUE"""),"39776")</f>
        <v>39776</v>
      </c>
      <c r="C49" s="5" t="str">
        <f ca="1">IFERROR(__xludf.DUMMYFUNCTION("""COMPUTED_VALUE"""),"BUY (LONG)")</f>
        <v>BUY (LONG)</v>
      </c>
      <c r="D49" s="71" t="str">
        <f ca="1">IFERROR(__xludf.DUMMYFUNCTION("""COMPUTED_VALUE"""),"3800.hk")</f>
        <v>3800.hk</v>
      </c>
      <c r="E49" s="5">
        <f ca="1">IFERROR(__xludf.DUMMYFUNCTION("""COMPUTED_VALUE"""),2.93)</f>
        <v>2.93</v>
      </c>
      <c r="F49" s="5">
        <f ca="1">IFERROR(__xludf.DUMMYFUNCTION("""COMPUTED_VALUE"""),2.97)</f>
        <v>2.97</v>
      </c>
      <c r="G49" s="5">
        <f ca="1">IFERROR(__xludf.DUMMYFUNCTION("""COMPUTED_VALUE"""),12000)</f>
        <v>12000</v>
      </c>
      <c r="H49" s="102">
        <f ca="1">IFERROR(__xludf.DUMMYFUNCTION("""COMPUTED_VALUE"""),0)</f>
        <v>0</v>
      </c>
      <c r="I49" s="19">
        <f ca="1">IFERROR(__xludf.DUMMYFUNCTION("""COMPUTED_VALUE"""),0)</f>
        <v>0</v>
      </c>
      <c r="J49" s="19">
        <f ca="1">IFERROR(__xludf.DUMMYFUNCTION("""COMPUTED_VALUE"""),500000)</f>
        <v>500000</v>
      </c>
      <c r="K49" s="5"/>
      <c r="L49" s="5" t="str">
        <f ca="1">IFERROR(__xludf.DUMMYFUNCTION("""COMPUTED_VALUE"""),"Limit Condition not met")</f>
        <v>Limit Condition not met</v>
      </c>
    </row>
    <row r="50" spans="1:12" ht="15.75" customHeight="1" x14ac:dyDescent="0.15">
      <c r="A50" s="101">
        <f ca="1">IFERROR(__xludf.DUMMYFUNCTION("""COMPUTED_VALUE"""),44623)</f>
        <v>44623</v>
      </c>
      <c r="B50" s="5" t="str">
        <f ca="1">IFERROR(__xludf.DUMMYFUNCTION("""COMPUTED_VALUE"""),"39776")</f>
        <v>39776</v>
      </c>
      <c r="C50" s="5" t="str">
        <f ca="1">IFERROR(__xludf.DUMMYFUNCTION("""COMPUTED_VALUE"""),"BUY (LONG)")</f>
        <v>BUY (LONG)</v>
      </c>
      <c r="D50" s="71" t="str">
        <f ca="1">IFERROR(__xludf.DUMMYFUNCTION("""COMPUTED_VALUE"""),"3800.hk")</f>
        <v>3800.hk</v>
      </c>
      <c r="E50" s="5"/>
      <c r="F50" s="5"/>
      <c r="G50" s="5">
        <f ca="1">IFERROR(__xludf.DUMMYFUNCTION("""COMPUTED_VALUE"""),15000)</f>
        <v>15000</v>
      </c>
      <c r="H50" s="102">
        <f ca="1">IFERROR(__xludf.DUMMYFUNCTION("""COMPUTED_VALUE"""),0)</f>
        <v>0</v>
      </c>
      <c r="I50" s="19">
        <f ca="1">IFERROR(__xludf.DUMMYFUNCTION("""COMPUTED_VALUE"""),0)</f>
        <v>0</v>
      </c>
      <c r="J50" s="19">
        <f ca="1">IFERROR(__xludf.DUMMYFUNCTION("""COMPUTED_VALUE"""),500000)</f>
        <v>500000</v>
      </c>
      <c r="K50" s="5"/>
      <c r="L50" s="5" t="str">
        <f ca="1">IFERROR(__xludf.DUMMYFUNCTION("""COMPUTED_VALUE"""),"Insufficient Cash or Margin Balance")</f>
        <v>Insufficient Cash or Margin Balance</v>
      </c>
    </row>
    <row r="51" spans="1:12" ht="15.75" customHeight="1" x14ac:dyDescent="0.15">
      <c r="A51" s="101">
        <f ca="1">IFERROR(__xludf.DUMMYFUNCTION("""COMPUTED_VALUE"""),44624)</f>
        <v>44624</v>
      </c>
      <c r="B51" s="5" t="str">
        <f ca="1">IFERROR(__xludf.DUMMYFUNCTION("""COMPUTED_VALUE"""),"46220")</f>
        <v>46220</v>
      </c>
      <c r="C51" s="5" t="str">
        <f ca="1">IFERROR(__xludf.DUMMYFUNCTION("""COMPUTED_VALUE"""),"BUY (LONG)")</f>
        <v>BUY (LONG)</v>
      </c>
      <c r="D51" s="71" t="str">
        <f ca="1">IFERROR(__xludf.DUMMYFUNCTION("""COMPUTED_VALUE"""),"9988.HK")</f>
        <v>9988.HK</v>
      </c>
      <c r="E51" s="5"/>
      <c r="F51" s="5">
        <f ca="1">IFERROR(__xludf.DUMMYFUNCTION("""COMPUTED_VALUE"""),99)</f>
        <v>99</v>
      </c>
      <c r="G51" s="5">
        <f ca="1">IFERROR(__xludf.DUMMYFUNCTION("""COMPUTED_VALUE"""),2000)</f>
        <v>2000</v>
      </c>
      <c r="H51" s="102" t="str">
        <f ca="1">IFERROR(__xludf.DUMMYFUNCTION("""COMPUTED_VALUE"""),"")</f>
        <v/>
      </c>
      <c r="I51" s="19">
        <f ca="1">IFERROR(__xludf.DUMMYFUNCTION("""COMPUTED_VALUE"""),-198000)</f>
        <v>-198000</v>
      </c>
      <c r="J51" s="19">
        <f ca="1">IFERROR(__xludf.DUMMYFUNCTION("""COMPUTED_VALUE"""),-398102.953082)</f>
        <v>-398102.95308200002</v>
      </c>
      <c r="K51" s="5"/>
      <c r="L51" s="5" t="str">
        <f ca="1">IFERROR(__xludf.DUMMYFUNCTION("""COMPUTED_VALUE"""),"Insufficient Cash or Margin Balance")</f>
        <v>Insufficient Cash or Margin Balance</v>
      </c>
    </row>
    <row r="52" spans="1:12" ht="15.75" customHeight="1" x14ac:dyDescent="0.15">
      <c r="A52" s="101">
        <f ca="1">IFERROR(__xludf.DUMMYFUNCTION("""COMPUTED_VALUE"""),44624)</f>
        <v>44624</v>
      </c>
      <c r="B52" s="5" t="str">
        <f ca="1">IFERROR(__xludf.DUMMYFUNCTION("""COMPUTED_VALUE"""),"74356")</f>
        <v>74356</v>
      </c>
      <c r="C52" s="5" t="str">
        <f ca="1">IFERROR(__xludf.DUMMYFUNCTION("""COMPUTED_VALUE"""),"BUY (LONG)")</f>
        <v>BUY (LONG)</v>
      </c>
      <c r="D52" s="5" t="str">
        <f ca="1">IFERROR(__xludf.DUMMYFUNCTION("""COMPUTED_VALUE"""),"BRK-B")</f>
        <v>BRK-B</v>
      </c>
      <c r="E52" s="5">
        <f ca="1">IFERROR(__xludf.DUMMYFUNCTION("""COMPUTED_VALUE"""),324)</f>
        <v>324</v>
      </c>
      <c r="F52" s="5">
        <f ca="1">IFERROR(__xludf.DUMMYFUNCTION("""COMPUTED_VALUE"""),325.34)</f>
        <v>325.33999999999997</v>
      </c>
      <c r="G52" s="5">
        <f ca="1">IFERROR(__xludf.DUMMYFUNCTION("""COMPUTED_VALUE"""),40)</f>
        <v>40</v>
      </c>
      <c r="H52" s="102">
        <f ca="1">IFERROR(__xludf.DUMMYFUNCTION("""COMPUTED_VALUE"""),0)</f>
        <v>0</v>
      </c>
      <c r="I52" s="19">
        <f ca="1">IFERROR(__xludf.DUMMYFUNCTION("""COMPUTED_VALUE"""),0)</f>
        <v>0</v>
      </c>
      <c r="J52" s="19">
        <f ca="1">IFERROR(__xludf.DUMMYFUNCTION("""COMPUTED_VALUE"""),359666.391687499)</f>
        <v>359666.39168749901</v>
      </c>
      <c r="K52" s="5"/>
      <c r="L52" s="5" t="str">
        <f ca="1">IFERROR(__xludf.DUMMYFUNCTION("""COMPUTED_VALUE"""),"Limit Condition not met")</f>
        <v>Limit Condition not met</v>
      </c>
    </row>
    <row r="53" spans="1:12" ht="15.75" customHeight="1" x14ac:dyDescent="0.15">
      <c r="A53" s="101">
        <f ca="1">IFERROR(__xludf.DUMMYFUNCTION("""COMPUTED_VALUE"""),44624)</f>
        <v>44624</v>
      </c>
      <c r="B53" s="5" t="str">
        <f ca="1">IFERROR(__xludf.DUMMYFUNCTION("""COMPUTED_VALUE"""),"74356")</f>
        <v>74356</v>
      </c>
      <c r="C53" s="5" t="str">
        <f ca="1">IFERROR(__xludf.DUMMYFUNCTION("""COMPUTED_VALUE"""),"SELL (SHORT)")</f>
        <v>SELL (SHORT)</v>
      </c>
      <c r="D53" s="5" t="str">
        <f ca="1">IFERROR(__xludf.DUMMYFUNCTION("""COMPUTED_VALUE"""),"AMAT")</f>
        <v>AMAT</v>
      </c>
      <c r="E53" s="5">
        <f ca="1">IFERROR(__xludf.DUMMYFUNCTION("""COMPUTED_VALUE"""),136)</f>
        <v>136</v>
      </c>
      <c r="F53" s="5">
        <f ca="1">IFERROR(__xludf.DUMMYFUNCTION("""COMPUTED_VALUE"""),125.74)</f>
        <v>125.74</v>
      </c>
      <c r="G53" s="5">
        <f ca="1">IFERROR(__xludf.DUMMYFUNCTION("""COMPUTED_VALUE"""),50)</f>
        <v>50</v>
      </c>
      <c r="H53" s="102">
        <f ca="1">IFERROR(__xludf.DUMMYFUNCTION("""COMPUTED_VALUE"""),0)</f>
        <v>0</v>
      </c>
      <c r="I53" s="19">
        <f ca="1">IFERROR(__xludf.DUMMYFUNCTION("""COMPUTED_VALUE"""),0)</f>
        <v>0</v>
      </c>
      <c r="J53" s="19">
        <f ca="1">IFERROR(__xludf.DUMMYFUNCTION("""COMPUTED_VALUE"""),359666.391687499)</f>
        <v>359666.39168749901</v>
      </c>
      <c r="K53" s="5"/>
      <c r="L53" s="5" t="str">
        <f ca="1">IFERROR(__xludf.DUMMYFUNCTION("""COMPUTED_VALUE"""),"Limit Condition not met")</f>
        <v>Limit Condition not met</v>
      </c>
    </row>
    <row r="54" spans="1:12" ht="15.75" customHeight="1" x14ac:dyDescent="0.15">
      <c r="A54" s="101">
        <f ca="1">IFERROR(__xludf.DUMMYFUNCTION("""COMPUTED_VALUE"""),44624)</f>
        <v>44624</v>
      </c>
      <c r="B54" s="5" t="str">
        <f ca="1">IFERROR(__xludf.DUMMYFUNCTION("""COMPUTED_VALUE"""),"76848")</f>
        <v>76848</v>
      </c>
      <c r="C54" s="5" t="str">
        <f ca="1">IFERROR(__xludf.DUMMYFUNCTION("""COMPUTED_VALUE"""),"SELL (SHORT)")</f>
        <v>SELL (SHORT)</v>
      </c>
      <c r="D54" s="5" t="str">
        <f ca="1">IFERROR(__xludf.DUMMYFUNCTION("""COMPUTED_VALUE"""),"AMAT")</f>
        <v>AMAT</v>
      </c>
      <c r="E54" s="5">
        <f ca="1">IFERROR(__xludf.DUMMYFUNCTION("""COMPUTED_VALUE"""),136)</f>
        <v>136</v>
      </c>
      <c r="F54" s="5">
        <f ca="1">IFERROR(__xludf.DUMMYFUNCTION("""COMPUTED_VALUE"""),125.74)</f>
        <v>125.74</v>
      </c>
      <c r="G54" s="5">
        <f ca="1">IFERROR(__xludf.DUMMYFUNCTION("""COMPUTED_VALUE"""),50)</f>
        <v>50</v>
      </c>
      <c r="H54" s="102">
        <f ca="1">IFERROR(__xludf.DUMMYFUNCTION("""COMPUTED_VALUE"""),0)</f>
        <v>0</v>
      </c>
      <c r="I54" s="19">
        <f ca="1">IFERROR(__xludf.DUMMYFUNCTION("""COMPUTED_VALUE"""),0)</f>
        <v>0</v>
      </c>
      <c r="J54" s="19">
        <f ca="1">IFERROR(__xludf.DUMMYFUNCTION("""COMPUTED_VALUE"""),367551.781635499)</f>
        <v>367551.78163549898</v>
      </c>
      <c r="K54" s="5"/>
      <c r="L54" s="5" t="str">
        <f ca="1">IFERROR(__xludf.DUMMYFUNCTION("""COMPUTED_VALUE"""),"Limit Condition not met")</f>
        <v>Limit Condition not met</v>
      </c>
    </row>
    <row r="55" spans="1:12" ht="15.75" customHeight="1" x14ac:dyDescent="0.15">
      <c r="A55" s="101">
        <f ca="1">IFERROR(__xludf.DUMMYFUNCTION("""COMPUTED_VALUE"""),44627)</f>
        <v>44627</v>
      </c>
      <c r="B55" s="5" t="str">
        <f ca="1">IFERROR(__xludf.DUMMYFUNCTION("""COMPUTED_VALUE"""),"35577")</f>
        <v>35577</v>
      </c>
      <c r="C55" s="5" t="str">
        <f ca="1">IFERROR(__xludf.DUMMYFUNCTION("""COMPUTED_VALUE"""),"BUY (LONG)")</f>
        <v>BUY (LONG)</v>
      </c>
      <c r="D55" s="5" t="str">
        <f ca="1">IFERROR(__xludf.DUMMYFUNCTION("""COMPUTED_VALUE"""),"WMT")</f>
        <v>WMT</v>
      </c>
      <c r="E55" s="5">
        <f ca="1">IFERROR(__xludf.DUMMYFUNCTION("""COMPUTED_VALUE"""),140.99)</f>
        <v>140.99</v>
      </c>
      <c r="F55" s="5">
        <f ca="1">IFERROR(__xludf.DUMMYFUNCTION("""COMPUTED_VALUE"""),141.67)</f>
        <v>141.66999999999999</v>
      </c>
      <c r="G55" s="5">
        <f ca="1">IFERROR(__xludf.DUMMYFUNCTION("""COMPUTED_VALUE"""),13)</f>
        <v>13</v>
      </c>
      <c r="H55" s="102">
        <f ca="1">IFERROR(__xludf.DUMMYFUNCTION("""COMPUTED_VALUE"""),0)</f>
        <v>0</v>
      </c>
      <c r="I55" s="19">
        <f ca="1">IFERROR(__xludf.DUMMYFUNCTION("""COMPUTED_VALUE"""),0)</f>
        <v>0</v>
      </c>
      <c r="J55" s="19">
        <f ca="1">IFERROR(__xludf.DUMMYFUNCTION("""COMPUTED_VALUE"""),382989.30095295)</f>
        <v>382989.30095295003</v>
      </c>
      <c r="K55" s="5"/>
      <c r="L55" s="5" t="str">
        <f ca="1">IFERROR(__xludf.DUMMYFUNCTION("""COMPUTED_VALUE"""),"Limit Condition not met")</f>
        <v>Limit Condition not met</v>
      </c>
    </row>
    <row r="56" spans="1:12" ht="15.75" customHeight="1" x14ac:dyDescent="0.15">
      <c r="A56" s="101">
        <f ca="1">IFERROR(__xludf.DUMMYFUNCTION("""COMPUTED_VALUE"""),44627)</f>
        <v>44627</v>
      </c>
      <c r="B56" s="5" t="str">
        <f ca="1">IFERROR(__xludf.DUMMYFUNCTION("""COMPUTED_VALUE"""),"38209")</f>
        <v>38209</v>
      </c>
      <c r="C56" s="5" t="str">
        <f ca="1">IFERROR(__xludf.DUMMYFUNCTION("""COMPUTED_VALUE"""),"BUY (LONG)")</f>
        <v>BUY (LONG)</v>
      </c>
      <c r="D56" s="71" t="str">
        <f ca="1">IFERROR(__xludf.DUMMYFUNCTION("""COMPUTED_VALUE"""),"1024.HK")</f>
        <v>1024.HK</v>
      </c>
      <c r="E56" s="5">
        <f ca="1">IFERROR(__xludf.DUMMYFUNCTION("""COMPUTED_VALUE"""),75.3)</f>
        <v>75.3</v>
      </c>
      <c r="F56" s="5">
        <f ca="1">IFERROR(__xludf.DUMMYFUNCTION("""COMPUTED_VALUE"""),75.45)</f>
        <v>75.45</v>
      </c>
      <c r="G56" s="5">
        <f ca="1">IFERROR(__xludf.DUMMYFUNCTION("""COMPUTED_VALUE"""),200)</f>
        <v>200</v>
      </c>
      <c r="H56" s="102">
        <f ca="1">IFERROR(__xludf.DUMMYFUNCTION("""COMPUTED_VALUE"""),0)</f>
        <v>0</v>
      </c>
      <c r="I56" s="19">
        <f ca="1">IFERROR(__xludf.DUMMYFUNCTION("""COMPUTED_VALUE"""),0)</f>
        <v>0</v>
      </c>
      <c r="J56" s="19">
        <f ca="1">IFERROR(__xludf.DUMMYFUNCTION("""COMPUTED_VALUE"""),441310)</f>
        <v>441310</v>
      </c>
      <c r="K56" s="5"/>
      <c r="L56" s="5" t="str">
        <f ca="1">IFERROR(__xludf.DUMMYFUNCTION("""COMPUTED_VALUE"""),"Limit Condition not met")</f>
        <v>Limit Condition not met</v>
      </c>
    </row>
    <row r="57" spans="1:12" ht="15.75" customHeight="1" x14ac:dyDescent="0.15">
      <c r="A57" s="101">
        <f ca="1">IFERROR(__xludf.DUMMYFUNCTION("""COMPUTED_VALUE"""),44628)</f>
        <v>44628</v>
      </c>
      <c r="B57" s="5" t="str">
        <f ca="1">IFERROR(__xludf.DUMMYFUNCTION("""COMPUTED_VALUE"""),"46322")</f>
        <v>46322</v>
      </c>
      <c r="C57" s="5" t="str">
        <f ca="1">IFERROR(__xludf.DUMMYFUNCTION("""COMPUTED_VALUE"""),"BUY (LONG)")</f>
        <v>BUY (LONG)</v>
      </c>
      <c r="D57" s="71" t="str">
        <f ca="1">IFERROR(__xludf.DUMMYFUNCTION("""COMPUTED_VALUE"""),"9988.HK")</f>
        <v>9988.HK</v>
      </c>
      <c r="E57" s="5"/>
      <c r="F57" s="5">
        <f ca="1">IFERROR(__xludf.DUMMYFUNCTION("""COMPUTED_VALUE"""),96)</f>
        <v>96</v>
      </c>
      <c r="G57" s="5">
        <f ca="1">IFERROR(__xludf.DUMMYFUNCTION("""COMPUTED_VALUE"""),10000)</f>
        <v>10000</v>
      </c>
      <c r="H57" s="102" t="str">
        <f ca="1">IFERROR(__xludf.DUMMYFUNCTION("""COMPUTED_VALUE"""),"")</f>
        <v/>
      </c>
      <c r="I57" s="19">
        <f ca="1">IFERROR(__xludf.DUMMYFUNCTION("""COMPUTED_VALUE"""),-960000)</f>
        <v>-960000</v>
      </c>
      <c r="J57" s="19">
        <f ca="1">IFERROR(__xludf.DUMMYFUNCTION("""COMPUTED_VALUE"""),-669480.536649999)</f>
        <v>-669480.53664999898</v>
      </c>
      <c r="K57" s="5"/>
      <c r="L57" s="5" t="str">
        <f ca="1">IFERROR(__xludf.DUMMYFUNCTION("""COMPUTED_VALUE"""),"Insufficient Cash or Margin Balance")</f>
        <v>Insufficient Cash or Margin Balance</v>
      </c>
    </row>
    <row r="58" spans="1:12" ht="15.75" customHeight="1" x14ac:dyDescent="0.15">
      <c r="A58" s="101">
        <f ca="1">IFERROR(__xludf.DUMMYFUNCTION("""COMPUTED_VALUE"""),44628)</f>
        <v>44628</v>
      </c>
      <c r="B58" s="5" t="str">
        <f ca="1">IFERROR(__xludf.DUMMYFUNCTION("""COMPUTED_VALUE"""),"46322")</f>
        <v>46322</v>
      </c>
      <c r="C58" s="5" t="str">
        <f ca="1">IFERROR(__xludf.DUMMYFUNCTION("""COMPUTED_VALUE"""),"BUY (LONG)")</f>
        <v>BUY (LONG)</v>
      </c>
      <c r="D58" s="5" t="str">
        <f ca="1">IFERROR(__xludf.DUMMYFUNCTION("""COMPUTED_VALUE"""),"NET")</f>
        <v>NET</v>
      </c>
      <c r="E58" s="5"/>
      <c r="F58" s="5"/>
      <c r="G58" s="5">
        <f ca="1">IFERROR(__xludf.DUMMYFUNCTION("""COMPUTED_VALUE"""),200)</f>
        <v>200</v>
      </c>
      <c r="H58" s="102">
        <f ca="1">IFERROR(__xludf.DUMMYFUNCTION("""COMPUTED_VALUE"""),0)</f>
        <v>0</v>
      </c>
      <c r="I58" s="19">
        <f ca="1">IFERROR(__xludf.DUMMYFUNCTION("""COMPUTED_VALUE"""),0)</f>
        <v>0</v>
      </c>
      <c r="J58" s="19">
        <f ca="1">IFERROR(__xludf.DUMMYFUNCTION("""COMPUTED_VALUE"""),290519.46335)</f>
        <v>290519.46334999998</v>
      </c>
      <c r="K58" s="5"/>
      <c r="L58" s="5" t="str">
        <f ca="1">IFERROR(__xludf.DUMMYFUNCTION("""COMPUTED_VALUE"""),"Insufficient Cash or Margin Balance")</f>
        <v>Insufficient Cash or Margin Balance</v>
      </c>
    </row>
    <row r="59" spans="1:12" ht="15.75" customHeight="1" x14ac:dyDescent="0.15">
      <c r="A59" s="101">
        <f ca="1">IFERROR(__xludf.DUMMYFUNCTION("""COMPUTED_VALUE"""),44628)</f>
        <v>44628</v>
      </c>
      <c r="B59" s="5" t="str">
        <f ca="1">IFERROR(__xludf.DUMMYFUNCTION("""COMPUTED_VALUE"""),"46876")</f>
        <v>46876</v>
      </c>
      <c r="C59" s="5" t="str">
        <f ca="1">IFERROR(__xludf.DUMMYFUNCTION("""COMPUTED_VALUE"""),"BUY (LONG)")</f>
        <v>BUY (LONG)</v>
      </c>
      <c r="D59" s="5" t="str">
        <f ca="1">IFERROR(__xludf.DUMMYFUNCTION("""COMPUTED_VALUE"""),"FSR")</f>
        <v>FSR</v>
      </c>
      <c r="E59" s="5">
        <f ca="1">IFERROR(__xludf.DUMMYFUNCTION("""COMPUTED_VALUE"""),10.85)</f>
        <v>10.85</v>
      </c>
      <c r="F59" s="5">
        <f ca="1">IFERROR(__xludf.DUMMYFUNCTION("""COMPUTED_VALUE"""),10.89)</f>
        <v>10.89</v>
      </c>
      <c r="G59" s="5">
        <f ca="1">IFERROR(__xludf.DUMMYFUNCTION("""COMPUTED_VALUE"""),40000)</f>
        <v>40000</v>
      </c>
      <c r="H59" s="102">
        <f ca="1">IFERROR(__xludf.DUMMYFUNCTION("""COMPUTED_VALUE"""),0)</f>
        <v>0</v>
      </c>
      <c r="I59" s="19">
        <f ca="1">IFERROR(__xludf.DUMMYFUNCTION("""COMPUTED_VALUE"""),0)</f>
        <v>0</v>
      </c>
      <c r="J59" s="19">
        <f ca="1">IFERROR(__xludf.DUMMYFUNCTION("""COMPUTED_VALUE"""),500000)</f>
        <v>500000</v>
      </c>
      <c r="K59" s="5"/>
      <c r="L59" s="5" t="str">
        <f ca="1">IFERROR(__xludf.DUMMYFUNCTION("""COMPUTED_VALUE"""),"Limit Condition not met")</f>
        <v>Limit Condition not met</v>
      </c>
    </row>
    <row r="60" spans="1:12" ht="15.75" customHeight="1" x14ac:dyDescent="0.15">
      <c r="A60" s="101">
        <f ca="1">IFERROR(__xludf.DUMMYFUNCTION("""COMPUTED_VALUE"""),44628)</f>
        <v>44628</v>
      </c>
      <c r="B60" s="5" t="str">
        <f ca="1">IFERROR(__xludf.DUMMYFUNCTION("""COMPUTED_VALUE"""),"79521")</f>
        <v>79521</v>
      </c>
      <c r="C60" s="5" t="str">
        <f ca="1">IFERROR(__xludf.DUMMYFUNCTION("""COMPUTED_VALUE"""),"BUY (LONG)")</f>
        <v>BUY (LONG)</v>
      </c>
      <c r="D60" s="5" t="str">
        <f ca="1">IFERROR(__xludf.DUMMYFUNCTION("""COMPUTED_VALUE"""),"AAPL")</f>
        <v>AAPL</v>
      </c>
      <c r="E60" s="5">
        <f ca="1">IFERROR(__xludf.DUMMYFUNCTION("""COMPUTED_VALUE"""),158)</f>
        <v>158</v>
      </c>
      <c r="F60" s="5">
        <f ca="1">IFERROR(__xludf.DUMMYFUNCTION("""COMPUTED_VALUE"""),159.3)</f>
        <v>159.30000000000001</v>
      </c>
      <c r="G60" s="5">
        <f ca="1">IFERROR(__xludf.DUMMYFUNCTION("""COMPUTED_VALUE"""),290)</f>
        <v>290</v>
      </c>
      <c r="H60" s="102">
        <f ca="1">IFERROR(__xludf.DUMMYFUNCTION("""COMPUTED_VALUE"""),0)</f>
        <v>0</v>
      </c>
      <c r="I60" s="19">
        <f ca="1">IFERROR(__xludf.DUMMYFUNCTION("""COMPUTED_VALUE"""),0)</f>
        <v>0</v>
      </c>
      <c r="J60" s="19">
        <f ca="1">IFERROR(__xludf.DUMMYFUNCTION("""COMPUTED_VALUE"""),8098.34337500002)</f>
        <v>8098.3433750000204</v>
      </c>
      <c r="K60" s="5"/>
      <c r="L60" s="5" t="str">
        <f ca="1">IFERROR(__xludf.DUMMYFUNCTION("""COMPUTED_VALUE"""),"Limit Condition not met")</f>
        <v>Limit Condition not met</v>
      </c>
    </row>
    <row r="61" spans="1:12" ht="15.75" customHeight="1" x14ac:dyDescent="0.15">
      <c r="A61" s="101">
        <f ca="1">IFERROR(__xludf.DUMMYFUNCTION("""COMPUTED_VALUE"""),44629)</f>
        <v>44629</v>
      </c>
      <c r="B61" s="5" t="str">
        <f ca="1">IFERROR(__xludf.DUMMYFUNCTION("""COMPUTED_VALUE"""),"38209")</f>
        <v>38209</v>
      </c>
      <c r="C61" s="5" t="str">
        <f ca="1">IFERROR(__xludf.DUMMYFUNCTION("""COMPUTED_VALUE"""),"BUY (LONG)")</f>
        <v>BUY (LONG)</v>
      </c>
      <c r="D61" s="71" t="str">
        <f ca="1">IFERROR(__xludf.DUMMYFUNCTION("""COMPUTED_VALUE"""),"1810.HK")</f>
        <v>1810.HK</v>
      </c>
      <c r="E61" s="5">
        <f ca="1">IFERROR(__xludf.DUMMYFUNCTION("""COMPUTED_VALUE"""),13.12)</f>
        <v>13.12</v>
      </c>
      <c r="F61" s="5">
        <f ca="1">IFERROR(__xludf.DUMMYFUNCTION("""COMPUTED_VALUE"""),13.3)</f>
        <v>13.3</v>
      </c>
      <c r="G61" s="5">
        <f ca="1">IFERROR(__xludf.DUMMYFUNCTION("""COMPUTED_VALUE"""),2000)</f>
        <v>2000</v>
      </c>
      <c r="H61" s="102">
        <f ca="1">IFERROR(__xludf.DUMMYFUNCTION("""COMPUTED_VALUE"""),0)</f>
        <v>0</v>
      </c>
      <c r="I61" s="19">
        <f ca="1">IFERROR(__xludf.DUMMYFUNCTION("""COMPUTED_VALUE"""),0)</f>
        <v>0</v>
      </c>
      <c r="J61" s="19">
        <f ca="1">IFERROR(__xludf.DUMMYFUNCTION("""COMPUTED_VALUE"""),343325)</f>
        <v>343325</v>
      </c>
      <c r="K61" s="5"/>
      <c r="L61" s="5" t="str">
        <f ca="1">IFERROR(__xludf.DUMMYFUNCTION("""COMPUTED_VALUE"""),"Limit Condition not met")</f>
        <v>Limit Condition not met</v>
      </c>
    </row>
    <row r="62" spans="1:12" ht="15.75" customHeight="1" x14ac:dyDescent="0.15">
      <c r="A62" s="101">
        <f ca="1">IFERROR(__xludf.DUMMYFUNCTION("""COMPUTED_VALUE"""),44630)</f>
        <v>44630</v>
      </c>
      <c r="B62" s="5" t="str">
        <f ca="1">IFERROR(__xludf.DUMMYFUNCTION("""COMPUTED_VALUE"""),"38209")</f>
        <v>38209</v>
      </c>
      <c r="C62" s="5" t="str">
        <f ca="1">IFERROR(__xludf.DUMMYFUNCTION("""COMPUTED_VALUE"""),"SELL (SHORT)")</f>
        <v>SELL (SHORT)</v>
      </c>
      <c r="D62" s="71" t="str">
        <f ca="1">IFERROR(__xludf.DUMMYFUNCTION("""COMPUTED_VALUE"""),"1024.HK")</f>
        <v>1024.HK</v>
      </c>
      <c r="E62" s="5">
        <f ca="1">IFERROR(__xludf.DUMMYFUNCTION("""COMPUTED_VALUE"""),75.9)</f>
        <v>75.900000000000006</v>
      </c>
      <c r="F62" s="5">
        <f ca="1">IFERROR(__xludf.DUMMYFUNCTION("""COMPUTED_VALUE"""),73.9)</f>
        <v>73.900000000000006</v>
      </c>
      <c r="G62" s="5">
        <f ca="1">IFERROR(__xludf.DUMMYFUNCTION("""COMPUTED_VALUE"""),1600)</f>
        <v>1600</v>
      </c>
      <c r="H62" s="102">
        <f ca="1">IFERROR(__xludf.DUMMYFUNCTION("""COMPUTED_VALUE"""),0)</f>
        <v>0</v>
      </c>
      <c r="I62" s="19">
        <f ca="1">IFERROR(__xludf.DUMMYFUNCTION("""COMPUTED_VALUE"""),0)</f>
        <v>0</v>
      </c>
      <c r="J62" s="19">
        <f ca="1">IFERROR(__xludf.DUMMYFUNCTION("""COMPUTED_VALUE"""),284205)</f>
        <v>284205</v>
      </c>
      <c r="K62" s="5"/>
      <c r="L62" s="5" t="str">
        <f ca="1">IFERROR(__xludf.DUMMYFUNCTION("""COMPUTED_VALUE"""),"Limit Condition not met")</f>
        <v>Limit Condition not met</v>
      </c>
    </row>
    <row r="63" spans="1:12" ht="15.75" customHeight="1" x14ac:dyDescent="0.15">
      <c r="A63" s="101">
        <f ca="1">IFERROR(__xludf.DUMMYFUNCTION("""COMPUTED_VALUE"""),44630)</f>
        <v>44630</v>
      </c>
      <c r="B63" s="5" t="str">
        <f ca="1">IFERROR(__xludf.DUMMYFUNCTION("""COMPUTED_VALUE"""),"38209")</f>
        <v>38209</v>
      </c>
      <c r="C63" s="5" t="str">
        <f ca="1">IFERROR(__xludf.DUMMYFUNCTION("""COMPUTED_VALUE"""),"SELL (SHORT)")</f>
        <v>SELL (SHORT)</v>
      </c>
      <c r="D63" s="71" t="str">
        <f ca="1">IFERROR(__xludf.DUMMYFUNCTION("""COMPUTED_VALUE"""),"1024.HK")</f>
        <v>1024.HK</v>
      </c>
      <c r="E63" s="5">
        <f ca="1">IFERROR(__xludf.DUMMYFUNCTION("""COMPUTED_VALUE"""),76.2)</f>
        <v>76.2</v>
      </c>
      <c r="F63" s="5">
        <f ca="1">IFERROR(__xludf.DUMMYFUNCTION("""COMPUTED_VALUE"""),73.9)</f>
        <v>73.900000000000006</v>
      </c>
      <c r="G63" s="5">
        <f ca="1">IFERROR(__xludf.DUMMYFUNCTION("""COMPUTED_VALUE"""),1600)</f>
        <v>1600</v>
      </c>
      <c r="H63" s="102">
        <f ca="1">IFERROR(__xludf.DUMMYFUNCTION("""COMPUTED_VALUE"""),0)</f>
        <v>0</v>
      </c>
      <c r="I63" s="19">
        <f ca="1">IFERROR(__xludf.DUMMYFUNCTION("""COMPUTED_VALUE"""),0)</f>
        <v>0</v>
      </c>
      <c r="J63" s="19">
        <f ca="1">IFERROR(__xludf.DUMMYFUNCTION("""COMPUTED_VALUE"""),284205)</f>
        <v>284205</v>
      </c>
      <c r="K63" s="5"/>
      <c r="L63" s="5" t="str">
        <f ca="1">IFERROR(__xludf.DUMMYFUNCTION("""COMPUTED_VALUE"""),"Limit Condition not met")</f>
        <v>Limit Condition not met</v>
      </c>
    </row>
    <row r="64" spans="1:12" ht="15.75" customHeight="1" x14ac:dyDescent="0.15">
      <c r="A64" s="101">
        <f ca="1">IFERROR(__xludf.DUMMYFUNCTION("""COMPUTED_VALUE"""),44630)</f>
        <v>44630</v>
      </c>
      <c r="B64" s="5" t="str">
        <f ca="1">IFERROR(__xludf.DUMMYFUNCTION("""COMPUTED_VALUE"""),"38209")</f>
        <v>38209</v>
      </c>
      <c r="C64" s="5" t="str">
        <f ca="1">IFERROR(__xludf.DUMMYFUNCTION("""COMPUTED_VALUE"""),"SELL (SHORT)")</f>
        <v>SELL (SHORT)</v>
      </c>
      <c r="D64" s="71" t="str">
        <f ca="1">IFERROR(__xludf.DUMMYFUNCTION("""COMPUTED_VALUE"""),"1024.HK")</f>
        <v>1024.HK</v>
      </c>
      <c r="E64" s="5">
        <f ca="1">IFERROR(__xludf.DUMMYFUNCTION("""COMPUTED_VALUE"""),77)</f>
        <v>77</v>
      </c>
      <c r="F64" s="5">
        <f ca="1">IFERROR(__xludf.DUMMYFUNCTION("""COMPUTED_VALUE"""),73.9)</f>
        <v>73.900000000000006</v>
      </c>
      <c r="G64" s="5">
        <f ca="1">IFERROR(__xludf.DUMMYFUNCTION("""COMPUTED_VALUE"""),1600)</f>
        <v>1600</v>
      </c>
      <c r="H64" s="102">
        <f ca="1">IFERROR(__xludf.DUMMYFUNCTION("""COMPUTED_VALUE"""),0)</f>
        <v>0</v>
      </c>
      <c r="I64" s="19">
        <f ca="1">IFERROR(__xludf.DUMMYFUNCTION("""COMPUTED_VALUE"""),0)</f>
        <v>0</v>
      </c>
      <c r="J64" s="19">
        <f ca="1">IFERROR(__xludf.DUMMYFUNCTION("""COMPUTED_VALUE"""),284205)</f>
        <v>284205</v>
      </c>
      <c r="K64" s="5"/>
      <c r="L64" s="5" t="str">
        <f ca="1">IFERROR(__xludf.DUMMYFUNCTION("""COMPUTED_VALUE"""),"Limit Condition not met")</f>
        <v>Limit Condition not met</v>
      </c>
    </row>
    <row r="65" spans="1:12" ht="15.75" customHeight="1" x14ac:dyDescent="0.15">
      <c r="A65" s="101">
        <f ca="1">IFERROR(__xludf.DUMMYFUNCTION("""COMPUTED_VALUE"""),44630)</f>
        <v>44630</v>
      </c>
      <c r="B65" s="5" t="str">
        <f ca="1">IFERROR(__xludf.DUMMYFUNCTION("""COMPUTED_VALUE"""),"38209")</f>
        <v>38209</v>
      </c>
      <c r="C65" s="5" t="str">
        <f ca="1">IFERROR(__xludf.DUMMYFUNCTION("""COMPUTED_VALUE"""),"SELL (SHORT)")</f>
        <v>SELL (SHORT)</v>
      </c>
      <c r="D65" s="71" t="str">
        <f ca="1">IFERROR(__xludf.DUMMYFUNCTION("""COMPUTED_VALUE"""),"6680.HK")</f>
        <v>6680.HK</v>
      </c>
      <c r="E65" s="5">
        <f ca="1">IFERROR(__xludf.DUMMYFUNCTION("""COMPUTED_VALUE"""),27.2)</f>
        <v>27.2</v>
      </c>
      <c r="F65" s="5">
        <f ca="1">IFERROR(__xludf.DUMMYFUNCTION("""COMPUTED_VALUE"""),26.95)</f>
        <v>26.95</v>
      </c>
      <c r="G65" s="5">
        <f ca="1">IFERROR(__xludf.DUMMYFUNCTION("""COMPUTED_VALUE"""),1000)</f>
        <v>1000</v>
      </c>
      <c r="H65" s="102">
        <f ca="1">IFERROR(__xludf.DUMMYFUNCTION("""COMPUTED_VALUE"""),0)</f>
        <v>0</v>
      </c>
      <c r="I65" s="19">
        <f ca="1">IFERROR(__xludf.DUMMYFUNCTION("""COMPUTED_VALUE"""),0)</f>
        <v>0</v>
      </c>
      <c r="J65" s="19">
        <f ca="1">IFERROR(__xludf.DUMMYFUNCTION("""COMPUTED_VALUE"""),284205)</f>
        <v>284205</v>
      </c>
      <c r="K65" s="5"/>
      <c r="L65" s="5" t="str">
        <f ca="1">IFERROR(__xludf.DUMMYFUNCTION("""COMPUTED_VALUE"""),"Limit Condition not met")</f>
        <v>Limit Condition not met</v>
      </c>
    </row>
    <row r="66" spans="1:12" ht="15.75" customHeight="1" x14ac:dyDescent="0.15">
      <c r="A66" s="101">
        <f ca="1">IFERROR(__xludf.DUMMYFUNCTION("""COMPUTED_VALUE"""),44630)</f>
        <v>44630</v>
      </c>
      <c r="B66" s="5" t="str">
        <f ca="1">IFERROR(__xludf.DUMMYFUNCTION("""COMPUTED_VALUE"""),"38209")</f>
        <v>38209</v>
      </c>
      <c r="C66" s="5" t="str">
        <f ca="1">IFERROR(__xludf.DUMMYFUNCTION("""COMPUTED_VALUE"""),"SELL (SHORT)")</f>
        <v>SELL (SHORT)</v>
      </c>
      <c r="D66" s="71" t="str">
        <f ca="1">IFERROR(__xludf.DUMMYFUNCTION("""COMPUTED_VALUE"""),"9988.HK")</f>
        <v>9988.HK</v>
      </c>
      <c r="E66" s="5">
        <f ca="1">IFERROR(__xludf.DUMMYFUNCTION("""COMPUTED_VALUE"""),98)</f>
        <v>98</v>
      </c>
      <c r="F66" s="5">
        <f ca="1">IFERROR(__xludf.DUMMYFUNCTION("""COMPUTED_VALUE"""),96.1)</f>
        <v>96.1</v>
      </c>
      <c r="G66" s="5">
        <f ca="1">IFERROR(__xludf.DUMMYFUNCTION("""COMPUTED_VALUE"""),600)</f>
        <v>600</v>
      </c>
      <c r="H66" s="102">
        <f ca="1">IFERROR(__xludf.DUMMYFUNCTION("""COMPUTED_VALUE"""),0)</f>
        <v>0</v>
      </c>
      <c r="I66" s="19">
        <f ca="1">IFERROR(__xludf.DUMMYFUNCTION("""COMPUTED_VALUE"""),0)</f>
        <v>0</v>
      </c>
      <c r="J66" s="19">
        <f ca="1">IFERROR(__xludf.DUMMYFUNCTION("""COMPUTED_VALUE"""),284205)</f>
        <v>284205</v>
      </c>
      <c r="K66" s="5"/>
      <c r="L66" s="5" t="str">
        <f ca="1">IFERROR(__xludf.DUMMYFUNCTION("""COMPUTED_VALUE"""),"Limit Condition not met")</f>
        <v>Limit Condition not met</v>
      </c>
    </row>
    <row r="67" spans="1:12" ht="15.75" customHeight="1" x14ac:dyDescent="0.15">
      <c r="A67" s="101">
        <f ca="1">IFERROR(__xludf.DUMMYFUNCTION("""COMPUTED_VALUE"""),44634)</f>
        <v>44634</v>
      </c>
      <c r="B67" s="5" t="str">
        <f ca="1">IFERROR(__xludf.DUMMYFUNCTION("""COMPUTED_VALUE"""),"46220")</f>
        <v>46220</v>
      </c>
      <c r="C67" s="5" t="str">
        <f ca="1">IFERROR(__xludf.DUMMYFUNCTION("""COMPUTED_VALUE"""),"SELL (SHORT)")</f>
        <v>SELL (SHORT)</v>
      </c>
      <c r="D67" s="5" t="str">
        <f ca="1">IFERROR(__xludf.DUMMYFUNCTION("""COMPUTED_VALUE"""),"GC=F")</f>
        <v>GC=F</v>
      </c>
      <c r="E67" s="5"/>
      <c r="F67" s="5">
        <f ca="1">IFERROR(__xludf.DUMMYFUNCTION("""COMPUTED_VALUE"""),1954.6)</f>
        <v>1954.6</v>
      </c>
      <c r="G67" s="5">
        <f ca="1">IFERROR(__xludf.DUMMYFUNCTION("""COMPUTED_VALUE"""),10)</f>
        <v>10</v>
      </c>
      <c r="H67" s="102" t="str">
        <f ca="1">IFERROR(__xludf.DUMMYFUNCTION("""COMPUTED_VALUE"""),"")</f>
        <v/>
      </c>
      <c r="I67" s="19">
        <f ca="1">IFERROR(__xludf.DUMMYFUNCTION("""COMPUTED_VALUE"""),153030.5205)</f>
        <v>153030.52050000001</v>
      </c>
      <c r="J67" s="19">
        <f ca="1">IFERROR(__xludf.DUMMYFUNCTION("""COMPUTED_VALUE"""),-353133.473582)</f>
        <v>-353133.47358200001</v>
      </c>
      <c r="K67" s="5"/>
      <c r="L67" s="5" t="str">
        <f ca="1">IFERROR(__xludf.DUMMYFUNCTION("""COMPUTED_VALUE"""),"Insufficient Cash or Margin Balance")</f>
        <v>Insufficient Cash or Margin Balance</v>
      </c>
    </row>
    <row r="68" spans="1:12" ht="13" x14ac:dyDescent="0.15">
      <c r="A68" s="101">
        <f ca="1">IFERROR(__xludf.DUMMYFUNCTION("""COMPUTED_VALUE"""),44635)</f>
        <v>44635</v>
      </c>
      <c r="B68" s="5" t="str">
        <f ca="1">IFERROR(__xludf.DUMMYFUNCTION("""COMPUTED_VALUE"""),"38307")</f>
        <v>38307</v>
      </c>
      <c r="C68" s="5" t="str">
        <f ca="1">IFERROR(__xludf.DUMMYFUNCTION("""COMPUTED_VALUE"""),"BUY (LONG)")</f>
        <v>BUY (LONG)</v>
      </c>
      <c r="D68" s="71" t="str">
        <f ca="1">IFERROR(__xludf.DUMMYFUNCTION("""COMPUTED_VALUE"""),"603392.SS")</f>
        <v>603392.SS</v>
      </c>
      <c r="E68" s="5"/>
      <c r="F68" s="5">
        <f ca="1">IFERROR(__xludf.DUMMYFUNCTION("""COMPUTED_VALUE"""),246)</f>
        <v>246</v>
      </c>
      <c r="G68" s="5">
        <f ca="1">IFERROR(__xludf.DUMMYFUNCTION("""COMPUTED_VALUE"""),1000)</f>
        <v>1000</v>
      </c>
      <c r="H68" s="102" t="str">
        <f ca="1">IFERROR(__xludf.DUMMYFUNCTION("""COMPUTED_VALUE"""),"")</f>
        <v/>
      </c>
      <c r="I68" s="19">
        <f ca="1">IFERROR(__xludf.DUMMYFUNCTION("""COMPUTED_VALUE"""),-302288.736)</f>
        <v>-302288.73599999998</v>
      </c>
      <c r="J68" s="19">
        <f ca="1">IFERROR(__xludf.DUMMYFUNCTION("""COMPUTED_VALUE"""),-416837.303402)</f>
        <v>-416837.30340199999</v>
      </c>
      <c r="K68" s="5"/>
      <c r="L68" s="5" t="str">
        <f ca="1">IFERROR(__xludf.DUMMYFUNCTION("""COMPUTED_VALUE"""),"Insufficient Cash or Margin Balance")</f>
        <v>Insufficient Cash or Margin Balance</v>
      </c>
    </row>
    <row r="69" spans="1:12" ht="13" x14ac:dyDescent="0.15">
      <c r="A69" s="101">
        <f ca="1">IFERROR(__xludf.DUMMYFUNCTION("""COMPUTED_VALUE"""),44635)</f>
        <v>44635</v>
      </c>
      <c r="B69" s="5" t="str">
        <f ca="1">IFERROR(__xludf.DUMMYFUNCTION("""COMPUTED_VALUE"""),"74356")</f>
        <v>74356</v>
      </c>
      <c r="C69" s="5" t="str">
        <f ca="1">IFERROR(__xludf.DUMMYFUNCTION("""COMPUTED_VALUE"""),"BUY (LONG)")</f>
        <v>BUY (LONG)</v>
      </c>
      <c r="D69" s="5" t="str">
        <f ca="1">IFERROR(__xludf.DUMMYFUNCTION("""COMPUTED_VALUE"""),"IXHL")</f>
        <v>IXHL</v>
      </c>
      <c r="E69" s="5">
        <f ca="1">IFERROR(__xludf.DUMMYFUNCTION("""COMPUTED_VALUE"""),30)</f>
        <v>30</v>
      </c>
      <c r="F69" s="5">
        <f ca="1">IFERROR(__xludf.DUMMYFUNCTION("""COMPUTED_VALUE"""),35.5)</f>
        <v>35.5</v>
      </c>
      <c r="G69" s="5">
        <f ca="1">IFERROR(__xludf.DUMMYFUNCTION("""COMPUTED_VALUE"""),1000)</f>
        <v>1000</v>
      </c>
      <c r="H69" s="102">
        <f ca="1">IFERROR(__xludf.DUMMYFUNCTION("""COMPUTED_VALUE"""),0)</f>
        <v>0</v>
      </c>
      <c r="I69" s="19">
        <f ca="1">IFERROR(__xludf.DUMMYFUNCTION("""COMPUTED_VALUE"""),0)</f>
        <v>0</v>
      </c>
      <c r="J69" s="19">
        <f ca="1">IFERROR(__xludf.DUMMYFUNCTION("""COMPUTED_VALUE"""),119280.693902499)</f>
        <v>119280.693902499</v>
      </c>
      <c r="K69" s="5"/>
      <c r="L69" s="5" t="str">
        <f ca="1">IFERROR(__xludf.DUMMYFUNCTION("""COMPUTED_VALUE"""),"Limit Condition not met")</f>
        <v>Limit Condition not met</v>
      </c>
    </row>
    <row r="70" spans="1:12" ht="13" x14ac:dyDescent="0.15">
      <c r="A70" s="101">
        <f ca="1">IFERROR(__xludf.DUMMYFUNCTION("""COMPUTED_VALUE"""),44635)</f>
        <v>44635</v>
      </c>
      <c r="B70" s="5" t="str">
        <f ca="1">IFERROR(__xludf.DUMMYFUNCTION("""COMPUTED_VALUE"""),"76848")</f>
        <v>76848</v>
      </c>
      <c r="C70" s="5" t="str">
        <f ca="1">IFERROR(__xludf.DUMMYFUNCTION("""COMPUTED_VALUE"""),"BUY (LONG)")</f>
        <v>BUY (LONG)</v>
      </c>
      <c r="D70" s="5" t="str">
        <f ca="1">IFERROR(__xludf.DUMMYFUNCTION("""COMPUTED_VALUE"""),"IXHL")</f>
        <v>IXHL</v>
      </c>
      <c r="E70" s="5">
        <f ca="1">IFERROR(__xludf.DUMMYFUNCTION("""COMPUTED_VALUE"""),30)</f>
        <v>30</v>
      </c>
      <c r="F70" s="5">
        <f ca="1">IFERROR(__xludf.DUMMYFUNCTION("""COMPUTED_VALUE"""),35.5)</f>
        <v>35.5</v>
      </c>
      <c r="G70" s="5">
        <f ca="1">IFERROR(__xludf.DUMMYFUNCTION("""COMPUTED_VALUE"""),1000)</f>
        <v>1000</v>
      </c>
      <c r="H70" s="102">
        <f ca="1">IFERROR(__xludf.DUMMYFUNCTION("""COMPUTED_VALUE"""),0)</f>
        <v>0</v>
      </c>
      <c r="I70" s="19">
        <f ca="1">IFERROR(__xludf.DUMMYFUNCTION("""COMPUTED_VALUE"""),0)</f>
        <v>0</v>
      </c>
      <c r="J70" s="19">
        <f ca="1">IFERROR(__xludf.DUMMYFUNCTION("""COMPUTED_VALUE"""),409714.769477499)</f>
        <v>409714.76947749901</v>
      </c>
      <c r="K70" s="5"/>
      <c r="L70" s="5" t="str">
        <f ca="1">IFERROR(__xludf.DUMMYFUNCTION("""COMPUTED_VALUE"""),"Limit Condition not met")</f>
        <v>Limit Condition not met</v>
      </c>
    </row>
    <row r="71" spans="1:12" ht="13" x14ac:dyDescent="0.15">
      <c r="A71" s="101">
        <f ca="1">IFERROR(__xludf.DUMMYFUNCTION("""COMPUTED_VALUE"""),44636)</f>
        <v>44636</v>
      </c>
      <c r="B71" s="5" t="str">
        <f ca="1">IFERROR(__xludf.DUMMYFUNCTION("""COMPUTED_VALUE"""),"75965")</f>
        <v>75965</v>
      </c>
      <c r="C71" s="5" t="str">
        <f ca="1">IFERROR(__xludf.DUMMYFUNCTION("""COMPUTED_VALUE"""),"BUY (LONG)")</f>
        <v>BUY (LONG)</v>
      </c>
      <c r="D71" s="5" t="str">
        <f ca="1">IFERROR(__xludf.DUMMYFUNCTION("""COMPUTED_VALUE"""),"ES=F")</f>
        <v>ES=F</v>
      </c>
      <c r="E71" s="5"/>
      <c r="F71" s="5">
        <f ca="1">IFERROR(__xludf.DUMMYFUNCTION("""COMPUTED_VALUE"""),4362.75)</f>
        <v>4362.75</v>
      </c>
      <c r="G71" s="5">
        <f ca="1">IFERROR(__xludf.DUMMYFUNCTION("""COMPUTED_VALUE"""),100)</f>
        <v>100</v>
      </c>
      <c r="H71" s="102" t="str">
        <f ca="1">IFERROR(__xludf.DUMMYFUNCTION("""COMPUTED_VALUE"""),"")</f>
        <v/>
      </c>
      <c r="I71" s="19">
        <f ca="1">IFERROR(__xludf.DUMMYFUNCTION("""COMPUTED_VALUE"""),-3411910.45125)</f>
        <v>-3411910.4512499999</v>
      </c>
      <c r="J71" s="19">
        <f ca="1">IFERROR(__xludf.DUMMYFUNCTION("""COMPUTED_VALUE"""),-3365271.645025)</f>
        <v>-3365271.645025</v>
      </c>
      <c r="K71" s="5"/>
      <c r="L71" s="5" t="str">
        <f ca="1">IFERROR(__xludf.DUMMYFUNCTION("""COMPUTED_VALUE"""),"Insufficient Cash or Margin Balance")</f>
        <v>Insufficient Cash or Margin Balance</v>
      </c>
    </row>
    <row r="72" spans="1:12" ht="13" x14ac:dyDescent="0.15">
      <c r="A72" s="101">
        <f ca="1">IFERROR(__xludf.DUMMYFUNCTION("""COMPUTED_VALUE"""),44636)</f>
        <v>44636</v>
      </c>
      <c r="B72" s="5" t="str">
        <f ca="1">IFERROR(__xludf.DUMMYFUNCTION("""COMPUTED_VALUE"""),"76848")</f>
        <v>76848</v>
      </c>
      <c r="C72" s="5" t="str">
        <f ca="1">IFERROR(__xludf.DUMMYFUNCTION("""COMPUTED_VALUE"""),"SELL (SHORT)")</f>
        <v>SELL (SHORT)</v>
      </c>
      <c r="D72" s="71" t="str">
        <f ca="1">IFERROR(__xludf.DUMMYFUNCTION("""COMPUTED_VALUE"""),"1398.HK")</f>
        <v>1398.HK</v>
      </c>
      <c r="E72" s="5">
        <f ca="1">IFERROR(__xludf.DUMMYFUNCTION("""COMPUTED_VALUE"""),4.65)</f>
        <v>4.6500000000000004</v>
      </c>
      <c r="F72" s="5">
        <f ca="1">IFERROR(__xludf.DUMMYFUNCTION("""COMPUTED_VALUE"""),4.43)</f>
        <v>4.43</v>
      </c>
      <c r="G72" s="5">
        <f ca="1">IFERROR(__xludf.DUMMYFUNCTION("""COMPUTED_VALUE"""),750)</f>
        <v>750</v>
      </c>
      <c r="H72" s="102">
        <f ca="1">IFERROR(__xludf.DUMMYFUNCTION("""COMPUTED_VALUE"""),0)</f>
        <v>0</v>
      </c>
      <c r="I72" s="19">
        <f ca="1">IFERROR(__xludf.DUMMYFUNCTION("""COMPUTED_VALUE"""),0)</f>
        <v>0</v>
      </c>
      <c r="J72" s="19">
        <f ca="1">IFERROR(__xludf.DUMMYFUNCTION("""COMPUTED_VALUE"""),409714.769477499)</f>
        <v>409714.76947749901</v>
      </c>
      <c r="K72" s="5"/>
      <c r="L72" s="5" t="str">
        <f ca="1">IFERROR(__xludf.DUMMYFUNCTION("""COMPUTED_VALUE"""),"Limit Condition not met")</f>
        <v>Limit Condition not met</v>
      </c>
    </row>
    <row r="73" spans="1:12" ht="13" x14ac:dyDescent="0.15">
      <c r="A73" s="101">
        <f ca="1">IFERROR(__xludf.DUMMYFUNCTION("""COMPUTED_VALUE"""),44637)</f>
        <v>44637</v>
      </c>
      <c r="B73" s="5" t="str">
        <f ca="1">IFERROR(__xludf.DUMMYFUNCTION("""COMPUTED_VALUE"""),"37198")</f>
        <v>37198</v>
      </c>
      <c r="C73" s="5" t="str">
        <f ca="1">IFERROR(__xludf.DUMMYFUNCTION("""COMPUTED_VALUE"""),"BUY (LONG)")</f>
        <v>BUY (LONG)</v>
      </c>
      <c r="D73" s="5" t="str">
        <f ca="1">IFERROR(__xludf.DUMMYFUNCTION("""COMPUTED_VALUE"""),"BNTX")</f>
        <v>BNTX</v>
      </c>
      <c r="E73" s="5">
        <f ca="1">IFERROR(__xludf.DUMMYFUNCTION("""COMPUTED_VALUE"""),147.4)</f>
        <v>147.4</v>
      </c>
      <c r="F73" s="5">
        <f ca="1">IFERROR(__xludf.DUMMYFUNCTION("""COMPUTED_VALUE"""),165)</f>
        <v>165</v>
      </c>
      <c r="G73" s="5">
        <f ca="1">IFERROR(__xludf.DUMMYFUNCTION("""COMPUTED_VALUE"""),20)</f>
        <v>20</v>
      </c>
      <c r="H73" s="102">
        <f ca="1">IFERROR(__xludf.DUMMYFUNCTION("""COMPUTED_VALUE"""),0)</f>
        <v>0</v>
      </c>
      <c r="I73" s="19">
        <f ca="1">IFERROR(__xludf.DUMMYFUNCTION("""COMPUTED_VALUE"""),0)</f>
        <v>0</v>
      </c>
      <c r="J73" s="19">
        <f ca="1">IFERROR(__xludf.DUMMYFUNCTION("""COMPUTED_VALUE"""),493448.06348)</f>
        <v>493448.06348000001</v>
      </c>
      <c r="K73" s="5"/>
      <c r="L73" s="5" t="str">
        <f ca="1">IFERROR(__xludf.DUMMYFUNCTION("""COMPUTED_VALUE"""),"Limit Condition not met")</f>
        <v>Limit Condition not met</v>
      </c>
    </row>
    <row r="74" spans="1:12" ht="13" x14ac:dyDescent="0.15">
      <c r="A74" s="101">
        <f ca="1">IFERROR(__xludf.DUMMYFUNCTION("""COMPUTED_VALUE"""),44637)</f>
        <v>44637</v>
      </c>
      <c r="B74" s="5" t="str">
        <f ca="1">IFERROR(__xludf.DUMMYFUNCTION("""COMPUTED_VALUE"""),"38381")</f>
        <v>38381</v>
      </c>
      <c r="C74" s="5" t="str">
        <f ca="1">IFERROR(__xludf.DUMMYFUNCTION("""COMPUTED_VALUE"""),"BUY (LONG)")</f>
        <v>BUY (LONG)</v>
      </c>
      <c r="D74" s="5" t="str">
        <f ca="1">IFERROR(__xludf.DUMMYFUNCTION("""COMPUTED_VALUE"""),"JPM")</f>
        <v>JPM</v>
      </c>
      <c r="E74" s="5"/>
      <c r="F74" s="5">
        <f ca="1">IFERROR(__xludf.DUMMYFUNCTION("""COMPUTED_VALUE"""),140.15)</f>
        <v>140.15</v>
      </c>
      <c r="G74" s="5">
        <f ca="1">IFERROR(__xludf.DUMMYFUNCTION("""COMPUTED_VALUE"""),300)</f>
        <v>300</v>
      </c>
      <c r="H74" s="102" t="str">
        <f ca="1">IFERROR(__xludf.DUMMYFUNCTION("""COMPUTED_VALUE"""),"")</f>
        <v/>
      </c>
      <c r="I74" s="19">
        <f ca="1">IFERROR(__xludf.DUMMYFUNCTION("""COMPUTED_VALUE"""),-328730.5143)</f>
        <v>-328730.51429999998</v>
      </c>
      <c r="J74" s="19">
        <f ca="1">IFERROR(__xludf.DUMMYFUNCTION("""COMPUTED_VALUE"""),-358129.462749999)</f>
        <v>-358129.46274999902</v>
      </c>
      <c r="K74" s="5"/>
      <c r="L74" s="5" t="str">
        <f ca="1">IFERROR(__xludf.DUMMYFUNCTION("""COMPUTED_VALUE"""),"Insufficient Cash or Margin Balance")</f>
        <v>Insufficient Cash or Margin Balance</v>
      </c>
    </row>
    <row r="75" spans="1:12" ht="13" x14ac:dyDescent="0.15">
      <c r="A75" s="101">
        <f ca="1">IFERROR(__xludf.DUMMYFUNCTION("""COMPUTED_VALUE"""),44637)</f>
        <v>44637</v>
      </c>
      <c r="B75" s="5" t="str">
        <f ca="1">IFERROR(__xludf.DUMMYFUNCTION("""COMPUTED_VALUE"""),"39441")</f>
        <v>39441</v>
      </c>
      <c r="C75" s="5" t="str">
        <f ca="1">IFERROR(__xludf.DUMMYFUNCTION("""COMPUTED_VALUE"""),"SELL (SHORT)")</f>
        <v>SELL (SHORT)</v>
      </c>
      <c r="D75" s="5" t="str">
        <f ca="1">IFERROR(__xludf.DUMMYFUNCTION("""COMPUTED_VALUE"""),"BABA")</f>
        <v>BABA</v>
      </c>
      <c r="E75" s="5">
        <f ca="1">IFERROR(__xludf.DUMMYFUNCTION("""COMPUTED_VALUE"""),104.98)</f>
        <v>104.98</v>
      </c>
      <c r="F75" s="5">
        <f ca="1">IFERROR(__xludf.DUMMYFUNCTION("""COMPUTED_VALUE"""),100.37)</f>
        <v>100.37</v>
      </c>
      <c r="G75" s="5">
        <f ca="1">IFERROR(__xludf.DUMMYFUNCTION("""COMPUTED_VALUE"""),100)</f>
        <v>100</v>
      </c>
      <c r="H75" s="102">
        <f ca="1">IFERROR(__xludf.DUMMYFUNCTION("""COMPUTED_VALUE"""),0)</f>
        <v>0</v>
      </c>
      <c r="I75" s="19">
        <f ca="1">IFERROR(__xludf.DUMMYFUNCTION("""COMPUTED_VALUE"""),0)</f>
        <v>0</v>
      </c>
      <c r="J75" s="19">
        <f ca="1">IFERROR(__xludf.DUMMYFUNCTION("""COMPUTED_VALUE"""),-106037.707359249)</f>
        <v>-106037.70735924901</v>
      </c>
      <c r="K75" s="5"/>
      <c r="L75" s="5" t="str">
        <f ca="1">IFERROR(__xludf.DUMMYFUNCTION("""COMPUTED_VALUE"""),"Limit Condition not met")</f>
        <v>Limit Condition not met</v>
      </c>
    </row>
    <row r="76" spans="1:12" ht="13" x14ac:dyDescent="0.15">
      <c r="A76" s="101">
        <f ca="1">IFERROR(__xludf.DUMMYFUNCTION("""COMPUTED_VALUE"""),44637)</f>
        <v>44637</v>
      </c>
      <c r="B76" s="5" t="str">
        <f ca="1">IFERROR(__xludf.DUMMYFUNCTION("""COMPUTED_VALUE"""),"46600")</f>
        <v>46600</v>
      </c>
      <c r="C76" s="5" t="str">
        <f ca="1">IFERROR(__xludf.DUMMYFUNCTION("""COMPUTED_VALUE"""),"BUY (LONG), SELL (SHORT)")</f>
        <v>BUY (LONG), SELL (SHORT)</v>
      </c>
      <c r="D76" s="71" t="str">
        <f ca="1">IFERROR(__xludf.DUMMYFUNCTION("""COMPUTED_VALUE"""),"0700.HK")</f>
        <v>0700.HK</v>
      </c>
      <c r="E76" s="5">
        <f ca="1">IFERROR(__xludf.DUMMYFUNCTION("""COMPUTED_VALUE"""),300)</f>
        <v>300</v>
      </c>
      <c r="F76" s="5">
        <f ca="1">IFERROR(__xludf.DUMMYFUNCTION("""COMPUTED_VALUE"""),390)</f>
        <v>390</v>
      </c>
      <c r="G76" s="5">
        <f ca="1">IFERROR(__xludf.DUMMYFUNCTION("""COMPUTED_VALUE"""),50)</f>
        <v>50</v>
      </c>
      <c r="H76" s="102">
        <f ca="1">IFERROR(__xludf.DUMMYFUNCTION("""COMPUTED_VALUE"""),0)</f>
        <v>0</v>
      </c>
      <c r="I76" s="19">
        <f ca="1">IFERROR(__xludf.DUMMYFUNCTION("""COMPUTED_VALUE"""),0)</f>
        <v>0</v>
      </c>
      <c r="J76" s="19">
        <f ca="1">IFERROR(__xludf.DUMMYFUNCTION("""COMPUTED_VALUE"""),440400)</f>
        <v>440400</v>
      </c>
      <c r="K76" s="5"/>
      <c r="L76" s="5" t="str">
        <f ca="1">IFERROR(__xludf.DUMMYFUNCTION("""COMPUTED_VALUE"""),"Limit Condition not met")</f>
        <v>Limit Condition not met</v>
      </c>
    </row>
    <row r="77" spans="1:12" ht="13" x14ac:dyDescent="0.15">
      <c r="A77" s="101">
        <f ca="1">IFERROR(__xludf.DUMMYFUNCTION("""COMPUTED_VALUE"""),44637)</f>
        <v>44637</v>
      </c>
      <c r="B77" s="5" t="str">
        <f ca="1">IFERROR(__xludf.DUMMYFUNCTION("""COMPUTED_VALUE"""),"76848")</f>
        <v>76848</v>
      </c>
      <c r="C77" s="5" t="str">
        <f ca="1">IFERROR(__xludf.DUMMYFUNCTION("""COMPUTED_VALUE"""),"BUY (LONG)")</f>
        <v>BUY (LONG)</v>
      </c>
      <c r="D77" s="5" t="str">
        <f ca="1">IFERROR(__xludf.DUMMYFUNCTION("""COMPUTED_VALUE"""),"IXHL")</f>
        <v>IXHL</v>
      </c>
      <c r="E77" s="5">
        <f ca="1">IFERROR(__xludf.DUMMYFUNCTION("""COMPUTED_VALUE"""),8)</f>
        <v>8</v>
      </c>
      <c r="F77" s="5">
        <f ca="1">IFERROR(__xludf.DUMMYFUNCTION("""COMPUTED_VALUE"""),11.98)</f>
        <v>11.98</v>
      </c>
      <c r="G77" s="5">
        <f ca="1">IFERROR(__xludf.DUMMYFUNCTION("""COMPUTED_VALUE"""),1000)</f>
        <v>1000</v>
      </c>
      <c r="H77" s="102">
        <f ca="1">IFERROR(__xludf.DUMMYFUNCTION("""COMPUTED_VALUE"""),0)</f>
        <v>0</v>
      </c>
      <c r="I77" s="19">
        <f ca="1">IFERROR(__xludf.DUMMYFUNCTION("""COMPUTED_VALUE"""),0)</f>
        <v>0</v>
      </c>
      <c r="J77" s="19">
        <f ca="1">IFERROR(__xludf.DUMMYFUNCTION("""COMPUTED_VALUE"""),409714.769477499)</f>
        <v>409714.76947749901</v>
      </c>
      <c r="K77" s="5"/>
      <c r="L77" s="5" t="str">
        <f ca="1">IFERROR(__xludf.DUMMYFUNCTION("""COMPUTED_VALUE"""),"Limit Condition not met")</f>
        <v>Limit Condition not met</v>
      </c>
    </row>
    <row r="78" spans="1:12" ht="13" x14ac:dyDescent="0.15">
      <c r="A78" s="101">
        <f ca="1">IFERROR(__xludf.DUMMYFUNCTION("""COMPUTED_VALUE"""),44638)</f>
        <v>44638</v>
      </c>
      <c r="B78" s="5" t="str">
        <f ca="1">IFERROR(__xludf.DUMMYFUNCTION("""COMPUTED_VALUE"""),"14626")</f>
        <v>14626</v>
      </c>
      <c r="C78" s="5" t="str">
        <f ca="1">IFERROR(__xludf.DUMMYFUNCTION("""COMPUTED_VALUE"""),"BUY (LONG)")</f>
        <v>BUY (LONG)</v>
      </c>
      <c r="D78" s="5" t="str">
        <f ca="1">IFERROR(__xludf.DUMMYFUNCTION("""COMPUTED_VALUE"""),"AAPL")</f>
        <v>AAPL</v>
      </c>
      <c r="E78" s="5"/>
      <c r="F78" s="5">
        <f ca="1">IFERROR(__xludf.DUMMYFUNCTION("""COMPUTED_VALUE"""),163.98)</f>
        <v>163.98</v>
      </c>
      <c r="G78" s="5">
        <f ca="1">IFERROR(__xludf.DUMMYFUNCTION("""COMPUTED_VALUE"""),1000)</f>
        <v>1000</v>
      </c>
      <c r="H78" s="102" t="str">
        <f ca="1">IFERROR(__xludf.DUMMYFUNCTION("""COMPUTED_VALUE"""),"")</f>
        <v/>
      </c>
      <c r="I78" s="19">
        <f ca="1">IFERROR(__xludf.DUMMYFUNCTION("""COMPUTED_VALUE"""),-1283135.301)</f>
        <v>-1283135.301</v>
      </c>
      <c r="J78" s="19">
        <f ca="1">IFERROR(__xludf.DUMMYFUNCTION("""COMPUTED_VALUE"""),-1035789.07321)</f>
        <v>-1035789.0732099999</v>
      </c>
      <c r="K78" s="5"/>
      <c r="L78" s="5" t="str">
        <f ca="1">IFERROR(__xludf.DUMMYFUNCTION("""COMPUTED_VALUE"""),"Insufficient Cash or Margin Balance")</f>
        <v>Insufficient Cash or Margin Balance</v>
      </c>
    </row>
    <row r="79" spans="1:12" ht="13" x14ac:dyDescent="0.15">
      <c r="A79" s="101">
        <f ca="1">IFERROR(__xludf.DUMMYFUNCTION("""COMPUTED_VALUE"""),44638)</f>
        <v>44638</v>
      </c>
      <c r="B79" s="5" t="str">
        <f ca="1">IFERROR(__xludf.DUMMYFUNCTION("""COMPUTED_VALUE"""),"14626")</f>
        <v>14626</v>
      </c>
      <c r="C79" s="5" t="str">
        <f ca="1">IFERROR(__xludf.DUMMYFUNCTION("""COMPUTED_VALUE"""),"BUY (LONG)")</f>
        <v>BUY (LONG)</v>
      </c>
      <c r="D79" s="5" t="str">
        <f ca="1">IFERROR(__xludf.DUMMYFUNCTION("""COMPUTED_VALUE"""),"ABBV")</f>
        <v>ABBV</v>
      </c>
      <c r="E79" s="5"/>
      <c r="F79" s="5">
        <f ca="1">IFERROR(__xludf.DUMMYFUNCTION("""COMPUTED_VALUE"""),159.2)</f>
        <v>159.19999999999999</v>
      </c>
      <c r="G79" s="5">
        <f ca="1">IFERROR(__xludf.DUMMYFUNCTION("""COMPUTED_VALUE"""),500)</f>
        <v>500</v>
      </c>
      <c r="H79" s="102" t="str">
        <f ca="1">IFERROR(__xludf.DUMMYFUNCTION("""COMPUTED_VALUE"""),"")</f>
        <v/>
      </c>
      <c r="I79" s="19">
        <f ca="1">IFERROR(__xludf.DUMMYFUNCTION("""COMPUTED_VALUE"""),-622866.019999999)</f>
        <v>-622866.01999999897</v>
      </c>
      <c r="J79" s="19">
        <f ca="1">IFERROR(__xludf.DUMMYFUNCTION("""COMPUTED_VALUE"""),-375519.79221)</f>
        <v>-375519.79220999999</v>
      </c>
      <c r="K79" s="5"/>
      <c r="L79" s="5" t="str">
        <f ca="1">IFERROR(__xludf.DUMMYFUNCTION("""COMPUTED_VALUE"""),"Insufficient Cash or Margin Balance")</f>
        <v>Insufficient Cash or Margin Balance</v>
      </c>
    </row>
    <row r="80" spans="1:12" ht="13" x14ac:dyDescent="0.15">
      <c r="A80" s="101">
        <f ca="1">IFERROR(__xludf.DUMMYFUNCTION("""COMPUTED_VALUE"""),44638)</f>
        <v>44638</v>
      </c>
      <c r="B80" s="5" t="str">
        <f ca="1">IFERROR(__xludf.DUMMYFUNCTION("""COMPUTED_VALUE"""),"14626")</f>
        <v>14626</v>
      </c>
      <c r="C80" s="5" t="str">
        <f ca="1">IFERROR(__xludf.DUMMYFUNCTION("""COMPUTED_VALUE"""),"BUY (LONG)")</f>
        <v>BUY (LONG)</v>
      </c>
      <c r="D80" s="5" t="str">
        <f ca="1">IFERROR(__xludf.DUMMYFUNCTION("""COMPUTED_VALUE"""),"AMZN")</f>
        <v>AMZN</v>
      </c>
      <c r="E80" s="5"/>
      <c r="F80" s="5">
        <f ca="1">IFERROR(__xludf.DUMMYFUNCTION("""COMPUTED_VALUE"""),3225.01)</f>
        <v>3225.01</v>
      </c>
      <c r="G80" s="5">
        <f ca="1">IFERROR(__xludf.DUMMYFUNCTION("""COMPUTED_VALUE"""),500)</f>
        <v>500</v>
      </c>
      <c r="H80" s="102" t="str">
        <f ca="1">IFERROR(__xludf.DUMMYFUNCTION("""COMPUTED_VALUE"""),"")</f>
        <v/>
      </c>
      <c r="I80" s="19">
        <f ca="1">IFERROR(__xludf.DUMMYFUNCTION("""COMPUTED_VALUE"""),-12617770.99975)</f>
        <v>-12617770.999749999</v>
      </c>
      <c r="J80" s="19">
        <f ca="1">IFERROR(__xludf.DUMMYFUNCTION("""COMPUTED_VALUE"""),-12370424.77196)</f>
        <v>-12370424.77196</v>
      </c>
      <c r="K80" s="5"/>
      <c r="L80" s="5" t="str">
        <f ca="1">IFERROR(__xludf.DUMMYFUNCTION("""COMPUTED_VALUE"""),"Insufficient Cash or Margin Balance")</f>
        <v>Insufficient Cash or Margin Balance</v>
      </c>
    </row>
    <row r="81" spans="1:12" ht="13" x14ac:dyDescent="0.15">
      <c r="A81" s="101">
        <f ca="1">IFERROR(__xludf.DUMMYFUNCTION("""COMPUTED_VALUE"""),44638)</f>
        <v>44638</v>
      </c>
      <c r="B81" s="5" t="str">
        <f ca="1">IFERROR(__xludf.DUMMYFUNCTION("""COMPUTED_VALUE"""),"14626")</f>
        <v>14626</v>
      </c>
      <c r="C81" s="5" t="str">
        <f ca="1">IFERROR(__xludf.DUMMYFUNCTION("""COMPUTED_VALUE"""),"BUY (LONG)")</f>
        <v>BUY (LONG)</v>
      </c>
      <c r="D81" s="5" t="str">
        <f ca="1">IFERROR(__xludf.DUMMYFUNCTION("""COMPUTED_VALUE"""),"MSFT")</f>
        <v>MSFT</v>
      </c>
      <c r="E81" s="5"/>
      <c r="F81" s="5">
        <f ca="1">IFERROR(__xludf.DUMMYFUNCTION("""COMPUTED_VALUE"""),300.43)</f>
        <v>300.43</v>
      </c>
      <c r="G81" s="5">
        <f ca="1">IFERROR(__xludf.DUMMYFUNCTION("""COMPUTED_VALUE"""),500)</f>
        <v>500</v>
      </c>
      <c r="H81" s="102" t="str">
        <f ca="1">IFERROR(__xludf.DUMMYFUNCTION("""COMPUTED_VALUE"""),"")</f>
        <v/>
      </c>
      <c r="I81" s="19">
        <f ca="1">IFERROR(__xludf.DUMMYFUNCTION("""COMPUTED_VALUE"""),-1175424.86425)</f>
        <v>-1175424.8642500001</v>
      </c>
      <c r="J81" s="19">
        <f ca="1">IFERROR(__xludf.DUMMYFUNCTION("""COMPUTED_VALUE"""),-928078.63646)</f>
        <v>-928078.63645999995</v>
      </c>
      <c r="K81" s="5"/>
      <c r="L81" s="5" t="str">
        <f ca="1">IFERROR(__xludf.DUMMYFUNCTION("""COMPUTED_VALUE"""),"Insufficient Cash or Margin Balance")</f>
        <v>Insufficient Cash or Margin Balance</v>
      </c>
    </row>
    <row r="82" spans="1:12" ht="13" x14ac:dyDescent="0.15">
      <c r="A82" s="101">
        <f ca="1">IFERROR(__xludf.DUMMYFUNCTION("""COMPUTED_VALUE"""),44638)</f>
        <v>44638</v>
      </c>
      <c r="B82" s="5" t="str">
        <f ca="1">IFERROR(__xludf.DUMMYFUNCTION("""COMPUTED_VALUE"""),"14626")</f>
        <v>14626</v>
      </c>
      <c r="C82" s="5" t="str">
        <f ca="1">IFERROR(__xludf.DUMMYFUNCTION("""COMPUTED_VALUE"""),"BUY (LONG)")</f>
        <v>BUY (LONG)</v>
      </c>
      <c r="D82" s="5" t="str">
        <f ca="1">IFERROR(__xludf.DUMMYFUNCTION("""COMPUTED_VALUE"""),"OXY")</f>
        <v>OXY</v>
      </c>
      <c r="E82" s="5">
        <f ca="1">IFERROR(__xludf.DUMMYFUNCTION("""COMPUTED_VALUE"""),50)</f>
        <v>50</v>
      </c>
      <c r="F82" s="5">
        <f ca="1">IFERROR(__xludf.DUMMYFUNCTION("""COMPUTED_VALUE"""),56.24)</f>
        <v>56.24</v>
      </c>
      <c r="G82" s="5">
        <f ca="1">IFERROR(__xludf.DUMMYFUNCTION("""COMPUTED_VALUE"""),100)</f>
        <v>100</v>
      </c>
      <c r="H82" s="102">
        <f ca="1">IFERROR(__xludf.DUMMYFUNCTION("""COMPUTED_VALUE"""),0)</f>
        <v>0</v>
      </c>
      <c r="I82" s="19">
        <f ca="1">IFERROR(__xludf.DUMMYFUNCTION("""COMPUTED_VALUE"""),0)</f>
        <v>0</v>
      </c>
      <c r="J82" s="19">
        <f ca="1">IFERROR(__xludf.DUMMYFUNCTION("""COMPUTED_VALUE"""),247346.22779)</f>
        <v>247346.22779</v>
      </c>
      <c r="K82" s="5"/>
      <c r="L82" s="5" t="str">
        <f ca="1">IFERROR(__xludf.DUMMYFUNCTION("""COMPUTED_VALUE"""),"Limit Condition not met")</f>
        <v>Limit Condition not met</v>
      </c>
    </row>
    <row r="83" spans="1:12" ht="13" x14ac:dyDescent="0.15">
      <c r="A83" s="101">
        <f ca="1">IFERROR(__xludf.DUMMYFUNCTION("""COMPUTED_VALUE"""),44638)</f>
        <v>44638</v>
      </c>
      <c r="B83" s="5" t="str">
        <f ca="1">IFERROR(__xludf.DUMMYFUNCTION("""COMPUTED_VALUE"""),"37198")</f>
        <v>37198</v>
      </c>
      <c r="C83" s="5" t="str">
        <f ca="1">IFERROR(__xludf.DUMMYFUNCTION("""COMPUTED_VALUE"""),"BUY (LONG)")</f>
        <v>BUY (LONG)</v>
      </c>
      <c r="D83" s="5" t="str">
        <f ca="1">IFERROR(__xludf.DUMMYFUNCTION("""COMPUTED_VALUE"""),"BNTX")</f>
        <v>BNTX</v>
      </c>
      <c r="E83" s="5">
        <f ca="1">IFERROR(__xludf.DUMMYFUNCTION("""COMPUTED_VALUE"""),166.5)</f>
        <v>166.5</v>
      </c>
      <c r="F83" s="5">
        <f ca="1">IFERROR(__xludf.DUMMYFUNCTION("""COMPUTED_VALUE"""),174.46)</f>
        <v>174.46</v>
      </c>
      <c r="G83" s="5">
        <f ca="1">IFERROR(__xludf.DUMMYFUNCTION("""COMPUTED_VALUE"""),20)</f>
        <v>20</v>
      </c>
      <c r="H83" s="102">
        <f ca="1">IFERROR(__xludf.DUMMYFUNCTION("""COMPUTED_VALUE"""),0)</f>
        <v>0</v>
      </c>
      <c r="I83" s="19">
        <f ca="1">IFERROR(__xludf.DUMMYFUNCTION("""COMPUTED_VALUE"""),0)</f>
        <v>0</v>
      </c>
      <c r="J83" s="19">
        <f ca="1">IFERROR(__xludf.DUMMYFUNCTION("""COMPUTED_VALUE"""),493448.06348)</f>
        <v>493448.06348000001</v>
      </c>
      <c r="K83" s="5"/>
      <c r="L83" s="5" t="str">
        <f ca="1">IFERROR(__xludf.DUMMYFUNCTION("""COMPUTED_VALUE"""),"Limit Condition not met")</f>
        <v>Limit Condition not met</v>
      </c>
    </row>
    <row r="84" spans="1:12" ht="13" x14ac:dyDescent="0.15">
      <c r="A84" s="101">
        <f ca="1">IFERROR(__xludf.DUMMYFUNCTION("""COMPUTED_VALUE"""),44638)</f>
        <v>44638</v>
      </c>
      <c r="B84" s="5" t="str">
        <f ca="1">IFERROR(__xludf.DUMMYFUNCTION("""COMPUTED_VALUE"""),"37198")</f>
        <v>37198</v>
      </c>
      <c r="C84" s="5" t="str">
        <f ca="1">IFERROR(__xludf.DUMMYFUNCTION("""COMPUTED_VALUE"""),"BUY (LONG)")</f>
        <v>BUY (LONG)</v>
      </c>
      <c r="D84" s="5" t="str">
        <f ca="1">IFERROR(__xludf.DUMMYFUNCTION("""COMPUTED_VALUE"""),"DVN")</f>
        <v>DVN</v>
      </c>
      <c r="E84" s="5">
        <f ca="1">IFERROR(__xludf.DUMMYFUNCTION("""COMPUTED_VALUE"""),58)</f>
        <v>58</v>
      </c>
      <c r="F84" s="5">
        <f ca="1">IFERROR(__xludf.DUMMYFUNCTION("""COMPUTED_VALUE"""),58.27)</f>
        <v>58.27</v>
      </c>
      <c r="G84" s="5">
        <f ca="1">IFERROR(__xludf.DUMMYFUNCTION("""COMPUTED_VALUE"""),50)</f>
        <v>50</v>
      </c>
      <c r="H84" s="102">
        <f ca="1">IFERROR(__xludf.DUMMYFUNCTION("""COMPUTED_VALUE"""),0)</f>
        <v>0</v>
      </c>
      <c r="I84" s="19">
        <f ca="1">IFERROR(__xludf.DUMMYFUNCTION("""COMPUTED_VALUE"""),0)</f>
        <v>0</v>
      </c>
      <c r="J84" s="19">
        <f ca="1">IFERROR(__xludf.DUMMYFUNCTION("""COMPUTED_VALUE"""),493448.06348)</f>
        <v>493448.06348000001</v>
      </c>
      <c r="K84" s="5"/>
      <c r="L84" s="5" t="str">
        <f ca="1">IFERROR(__xludf.DUMMYFUNCTION("""COMPUTED_VALUE"""),"Limit Condition not met")</f>
        <v>Limit Condition not met</v>
      </c>
    </row>
    <row r="85" spans="1:12" ht="13" x14ac:dyDescent="0.15">
      <c r="A85" s="101">
        <f ca="1">IFERROR(__xludf.DUMMYFUNCTION("""COMPUTED_VALUE"""),44638)</f>
        <v>44638</v>
      </c>
      <c r="B85" s="5" t="str">
        <f ca="1">IFERROR(__xludf.DUMMYFUNCTION("""COMPUTED_VALUE"""),"39441")</f>
        <v>39441</v>
      </c>
      <c r="C85" s="5" t="str">
        <f ca="1">IFERROR(__xludf.DUMMYFUNCTION("""COMPUTED_VALUE"""),"SELL (SHORT)")</f>
        <v>SELL (SHORT)</v>
      </c>
      <c r="D85" s="5" t="str">
        <f ca="1">IFERROR(__xludf.DUMMYFUNCTION("""COMPUTED_VALUE"""),"GC=F")</f>
        <v>GC=F</v>
      </c>
      <c r="E85" s="5">
        <f ca="1">IFERROR(__xludf.DUMMYFUNCTION("""COMPUTED_VALUE"""),1935)</f>
        <v>1935</v>
      </c>
      <c r="F85" s="5">
        <f ca="1">IFERROR(__xludf.DUMMYFUNCTION("""COMPUTED_VALUE"""),1921.5)</f>
        <v>1921.5</v>
      </c>
      <c r="G85" s="5">
        <f ca="1">IFERROR(__xludf.DUMMYFUNCTION("""COMPUTED_VALUE"""),10)</f>
        <v>10</v>
      </c>
      <c r="H85" s="102">
        <f ca="1">IFERROR(__xludf.DUMMYFUNCTION("""COMPUTED_VALUE"""),0)</f>
        <v>0</v>
      </c>
      <c r="I85" s="19">
        <f ca="1">IFERROR(__xludf.DUMMYFUNCTION("""COMPUTED_VALUE"""),0)</f>
        <v>0</v>
      </c>
      <c r="J85" s="19">
        <f ca="1">IFERROR(__xludf.DUMMYFUNCTION("""COMPUTED_VALUE"""),171553.25463525)</f>
        <v>171553.25463524999</v>
      </c>
      <c r="K85" s="5"/>
      <c r="L85" s="5" t="str">
        <f ca="1">IFERROR(__xludf.DUMMYFUNCTION("""COMPUTED_VALUE"""),"Limit Condition not met")</f>
        <v>Limit Condition not met</v>
      </c>
    </row>
    <row r="86" spans="1:12" ht="13" x14ac:dyDescent="0.15">
      <c r="A86" s="101">
        <f ca="1">IFERROR(__xludf.DUMMYFUNCTION("""COMPUTED_VALUE"""),44638)</f>
        <v>44638</v>
      </c>
      <c r="B86" s="5" t="str">
        <f ca="1">IFERROR(__xludf.DUMMYFUNCTION("""COMPUTED_VALUE"""),"39776")</f>
        <v>39776</v>
      </c>
      <c r="C86" s="5" t="str">
        <f ca="1">IFERROR(__xludf.DUMMYFUNCTION("""COMPUTED_VALUE"""),"BUY (LONG)")</f>
        <v>BUY (LONG)</v>
      </c>
      <c r="D86" s="71" t="str">
        <f ca="1">IFERROR(__xludf.DUMMYFUNCTION("""COMPUTED_VALUE"""),"3800.HK")</f>
        <v>3800.HK</v>
      </c>
      <c r="E86" s="5">
        <f ca="1">IFERROR(__xludf.DUMMYFUNCTION("""COMPUTED_VALUE"""),2.58)</f>
        <v>2.58</v>
      </c>
      <c r="F86" s="5">
        <f ca="1">IFERROR(__xludf.DUMMYFUNCTION("""COMPUTED_VALUE"""),2.63)</f>
        <v>2.63</v>
      </c>
      <c r="G86" s="5">
        <f ca="1">IFERROR(__xludf.DUMMYFUNCTION("""COMPUTED_VALUE"""),10000)</f>
        <v>10000</v>
      </c>
      <c r="H86" s="102">
        <f ca="1">IFERROR(__xludf.DUMMYFUNCTION("""COMPUTED_VALUE"""),0)</f>
        <v>0</v>
      </c>
      <c r="I86" s="19">
        <f ca="1">IFERROR(__xludf.DUMMYFUNCTION("""COMPUTED_VALUE"""),0)</f>
        <v>0</v>
      </c>
      <c r="J86" s="19">
        <f ca="1">IFERROR(__xludf.DUMMYFUNCTION("""COMPUTED_VALUE"""),485150)</f>
        <v>485150</v>
      </c>
      <c r="K86" s="5"/>
      <c r="L86" s="5" t="str">
        <f ca="1">IFERROR(__xludf.DUMMYFUNCTION("""COMPUTED_VALUE"""),"Limit Condition not met")</f>
        <v>Limit Condition not met</v>
      </c>
    </row>
    <row r="87" spans="1:12" ht="13" x14ac:dyDescent="0.15">
      <c r="A87" s="101">
        <f ca="1">IFERROR(__xludf.DUMMYFUNCTION("""COMPUTED_VALUE"""),44638)</f>
        <v>44638</v>
      </c>
      <c r="B87" s="5" t="str">
        <f ca="1">IFERROR(__xludf.DUMMYFUNCTION("""COMPUTED_VALUE"""),"89845")</f>
        <v>89845</v>
      </c>
      <c r="C87" s="5" t="str">
        <f ca="1">IFERROR(__xludf.DUMMYFUNCTION("""COMPUTED_VALUE"""),"BUY (LONG)")</f>
        <v>BUY (LONG)</v>
      </c>
      <c r="D87" s="5" t="str">
        <f ca="1">IFERROR(__xludf.DUMMYFUNCTION("""COMPUTED_VALUE"""),"ASML")</f>
        <v>ASML</v>
      </c>
      <c r="E87" s="5">
        <f ca="1">IFERROR(__xludf.DUMMYFUNCTION("""COMPUTED_VALUE"""),600)</f>
        <v>600</v>
      </c>
      <c r="F87" s="5">
        <f ca="1">IFERROR(__xludf.DUMMYFUNCTION("""COMPUTED_VALUE"""),679.86)</f>
        <v>679.86</v>
      </c>
      <c r="G87" s="5">
        <f ca="1">IFERROR(__xludf.DUMMYFUNCTION("""COMPUTED_VALUE"""),200)</f>
        <v>200</v>
      </c>
      <c r="H87" s="102">
        <f ca="1">IFERROR(__xludf.DUMMYFUNCTION("""COMPUTED_VALUE"""),0)</f>
        <v>0</v>
      </c>
      <c r="I87" s="19">
        <f ca="1">IFERROR(__xludf.DUMMYFUNCTION("""COMPUTED_VALUE"""),0)</f>
        <v>0</v>
      </c>
      <c r="J87" s="19">
        <f ca="1">IFERROR(__xludf.DUMMYFUNCTION("""COMPUTED_VALUE"""),500000)</f>
        <v>500000</v>
      </c>
      <c r="K87" s="5"/>
      <c r="L87" s="5" t="str">
        <f ca="1">IFERROR(__xludf.DUMMYFUNCTION("""COMPUTED_VALUE"""),"Limit Condition not met")</f>
        <v>Limit Condition not met</v>
      </c>
    </row>
    <row r="88" spans="1:12" ht="13" x14ac:dyDescent="0.15">
      <c r="A88" s="101">
        <f ca="1">IFERROR(__xludf.DUMMYFUNCTION("""COMPUTED_VALUE"""),44641)</f>
        <v>44641</v>
      </c>
      <c r="B88" s="5" t="str">
        <f ca="1">IFERROR(__xludf.DUMMYFUNCTION("""COMPUTED_VALUE"""),"14626")</f>
        <v>14626</v>
      </c>
      <c r="C88" s="5" t="str">
        <f ca="1">IFERROR(__xludf.DUMMYFUNCTION("""COMPUTED_VALUE"""),"BUY (LONG)")</f>
        <v>BUY (LONG)</v>
      </c>
      <c r="D88" s="5" t="str">
        <f ca="1">IFERROR(__xludf.DUMMYFUNCTION("""COMPUTED_VALUE"""),"^CMC200")</f>
        <v>^CMC200</v>
      </c>
      <c r="E88" s="5"/>
      <c r="F88" s="5">
        <f ca="1">IFERROR(__xludf.DUMMYFUNCTION("""COMPUTED_VALUE"""),941.89)</f>
        <v>941.89</v>
      </c>
      <c r="G88" s="5">
        <f ca="1">IFERROR(__xludf.DUMMYFUNCTION("""COMPUTED_VALUE"""),500)</f>
        <v>500</v>
      </c>
      <c r="H88" s="102" t="str">
        <f ca="1">IFERROR(__xludf.DUMMYFUNCTION("""COMPUTED_VALUE"""),"")</f>
        <v/>
      </c>
      <c r="I88" s="19">
        <f ca="1">IFERROR(__xludf.DUMMYFUNCTION("""COMPUTED_VALUE"""),-3685356.55025)</f>
        <v>-3685356.5502499999</v>
      </c>
      <c r="J88" s="19">
        <f ca="1">IFERROR(__xludf.DUMMYFUNCTION("""COMPUTED_VALUE"""),-3438010.32246)</f>
        <v>-3438010.3224599999</v>
      </c>
      <c r="K88" s="5"/>
      <c r="L88" s="5" t="str">
        <f ca="1">IFERROR(__xludf.DUMMYFUNCTION("""COMPUTED_VALUE"""),"Insufficient Cash or Margin Balance")</f>
        <v>Insufficient Cash or Margin Balance</v>
      </c>
    </row>
    <row r="89" spans="1:12" ht="13" x14ac:dyDescent="0.15">
      <c r="A89" s="101">
        <f ca="1">IFERROR(__xludf.DUMMYFUNCTION("""COMPUTED_VALUE"""),44641)</f>
        <v>44641</v>
      </c>
      <c r="B89" s="5" t="str">
        <f ca="1">IFERROR(__xludf.DUMMYFUNCTION("""COMPUTED_VALUE"""),"14626")</f>
        <v>14626</v>
      </c>
      <c r="C89" s="5" t="str">
        <f ca="1">IFERROR(__xludf.DUMMYFUNCTION("""COMPUTED_VALUE"""),"BUY (LONG)")</f>
        <v>BUY (LONG)</v>
      </c>
      <c r="D89" s="5" t="str">
        <f ca="1">IFERROR(__xludf.DUMMYFUNCTION("""COMPUTED_VALUE"""),"^N225")</f>
        <v>^N225</v>
      </c>
      <c r="E89" s="5"/>
      <c r="F89" s="5">
        <f ca="1">IFERROR(__xludf.DUMMYFUNCTION("""COMPUTED_VALUE"""),27222.93)</f>
        <v>27222.93</v>
      </c>
      <c r="G89" s="5">
        <f ca="1">IFERROR(__xludf.DUMMYFUNCTION("""COMPUTED_VALUE"""),500)</f>
        <v>500</v>
      </c>
      <c r="H89" s="102" t="str">
        <f ca="1">IFERROR(__xludf.DUMMYFUNCTION("""COMPUTED_VALUE"""),"")</f>
        <v/>
      </c>
      <c r="I89" s="19">
        <f ca="1">IFERROR(__xludf.DUMMYFUNCTION("""COMPUTED_VALUE"""),-890436.85908975)</f>
        <v>-890436.85908974998</v>
      </c>
      <c r="J89" s="19">
        <f ca="1">IFERROR(__xludf.DUMMYFUNCTION("""COMPUTED_VALUE"""),-643090.631299749)</f>
        <v>-643090.63129974902</v>
      </c>
      <c r="K89" s="5"/>
      <c r="L89" s="5"/>
    </row>
    <row r="90" spans="1:12" ht="13" x14ac:dyDescent="0.15">
      <c r="A90" s="101">
        <f ca="1">IFERROR(__xludf.DUMMYFUNCTION("""COMPUTED_VALUE"""),44641)</f>
        <v>44641</v>
      </c>
      <c r="B90" s="5" t="str">
        <f ca="1">IFERROR(__xludf.DUMMYFUNCTION("""COMPUTED_VALUE"""),"14626")</f>
        <v>14626</v>
      </c>
      <c r="C90" s="5" t="str">
        <f ca="1">IFERROR(__xludf.DUMMYFUNCTION("""COMPUTED_VALUE"""),"BUY (LONG)")</f>
        <v>BUY (LONG)</v>
      </c>
      <c r="D90" s="71" t="str">
        <f ca="1">IFERROR(__xludf.DUMMYFUNCTION("""COMPUTED_VALUE"""),"0700.HK")</f>
        <v>0700.HK</v>
      </c>
      <c r="E90" s="5"/>
      <c r="F90" s="5">
        <f ca="1">IFERROR(__xludf.DUMMYFUNCTION("""COMPUTED_VALUE"""),372.4)</f>
        <v>372.4</v>
      </c>
      <c r="G90" s="5">
        <f ca="1">IFERROR(__xludf.DUMMYFUNCTION("""COMPUTED_VALUE"""),500)</f>
        <v>500</v>
      </c>
      <c r="H90" s="102" t="str">
        <f ca="1">IFERROR(__xludf.DUMMYFUNCTION("""COMPUTED_VALUE"""),"")</f>
        <v/>
      </c>
      <c r="I90" s="19">
        <f ca="1">IFERROR(__xludf.DUMMYFUNCTION("""COMPUTED_VALUE"""),-186200)</f>
        <v>-186200</v>
      </c>
      <c r="J90" s="19">
        <f ca="1">IFERROR(__xludf.DUMMYFUNCTION("""COMPUTED_VALUE"""),-379191.843709999)</f>
        <v>-379191.843709999</v>
      </c>
      <c r="K90" s="5"/>
      <c r="L90" s="5"/>
    </row>
    <row r="91" spans="1:12" ht="13" x14ac:dyDescent="0.15">
      <c r="A91" s="101">
        <f ca="1">IFERROR(__xludf.DUMMYFUNCTION("""COMPUTED_VALUE"""),44641)</f>
        <v>44641</v>
      </c>
      <c r="B91" s="5" t="str">
        <f ca="1">IFERROR(__xludf.DUMMYFUNCTION("""COMPUTED_VALUE"""),"14626")</f>
        <v>14626</v>
      </c>
      <c r="C91" s="5" t="str">
        <f ca="1">IFERROR(__xludf.DUMMYFUNCTION("""COMPUTED_VALUE"""),"BUY (LONG)")</f>
        <v>BUY (LONG)</v>
      </c>
      <c r="D91" s="5" t="str">
        <f ca="1">IFERROR(__xludf.DUMMYFUNCTION("""COMPUTED_VALUE"""),"AMC")</f>
        <v>AMC</v>
      </c>
      <c r="E91" s="5"/>
      <c r="F91" s="5">
        <f ca="1">IFERROR(__xludf.DUMMYFUNCTION("""COMPUTED_VALUE"""),15.86)</f>
        <v>15.86</v>
      </c>
      <c r="G91" s="5">
        <f ca="1">IFERROR(__xludf.DUMMYFUNCTION("""COMPUTED_VALUE"""),500)</f>
        <v>500</v>
      </c>
      <c r="H91" s="102" t="str">
        <f ca="1">IFERROR(__xludf.DUMMYFUNCTION("""COMPUTED_VALUE"""),"")</f>
        <v/>
      </c>
      <c r="I91" s="19">
        <f ca="1">IFERROR(__xludf.DUMMYFUNCTION("""COMPUTED_VALUE"""),-62055.8185)</f>
        <v>-62055.818500000001</v>
      </c>
      <c r="J91" s="19">
        <f ca="1">IFERROR(__xludf.DUMMYFUNCTION("""COMPUTED_VALUE"""),-255047.662209999)</f>
        <v>-255047.66220999899</v>
      </c>
      <c r="K91" s="5"/>
      <c r="L91" s="5"/>
    </row>
    <row r="92" spans="1:12" ht="13" x14ac:dyDescent="0.15">
      <c r="A92" s="101">
        <f ca="1">IFERROR(__xludf.DUMMYFUNCTION("""COMPUTED_VALUE"""),44641)</f>
        <v>44641</v>
      </c>
      <c r="B92" s="5" t="str">
        <f ca="1">IFERROR(__xludf.DUMMYFUNCTION("""COMPUTED_VALUE"""),"14626")</f>
        <v>14626</v>
      </c>
      <c r="C92" s="5" t="str">
        <f ca="1">IFERROR(__xludf.DUMMYFUNCTION("""COMPUTED_VALUE"""),"BUY (LONG)")</f>
        <v>BUY (LONG)</v>
      </c>
      <c r="D92" s="5" t="str">
        <f ca="1">IFERROR(__xludf.DUMMYFUNCTION("""COMPUTED_VALUE"""),"BA")</f>
        <v>BA</v>
      </c>
      <c r="E92" s="5"/>
      <c r="F92" s="5">
        <f ca="1">IFERROR(__xludf.DUMMYFUNCTION("""COMPUTED_VALUE"""),185.9)</f>
        <v>185.9</v>
      </c>
      <c r="G92" s="5">
        <f ca="1">IFERROR(__xludf.DUMMYFUNCTION("""COMPUTED_VALUE"""),500)</f>
        <v>500</v>
      </c>
      <c r="H92" s="102" t="str">
        <f ca="1">IFERROR(__xludf.DUMMYFUNCTION("""COMPUTED_VALUE"""),"")</f>
        <v/>
      </c>
      <c r="I92" s="19">
        <f ca="1">IFERROR(__xludf.DUMMYFUNCTION("""COMPUTED_VALUE"""),-727375.5775)</f>
        <v>-727375.57750000001</v>
      </c>
      <c r="J92" s="19">
        <f ca="1">IFERROR(__xludf.DUMMYFUNCTION("""COMPUTED_VALUE"""),-920367.42121)</f>
        <v>-920367.42120999994</v>
      </c>
      <c r="K92" s="5"/>
      <c r="L92" s="5"/>
    </row>
    <row r="93" spans="1:12" ht="13" x14ac:dyDescent="0.15">
      <c r="A93" s="101">
        <f ca="1">IFERROR(__xludf.DUMMYFUNCTION("""COMPUTED_VALUE"""),44641)</f>
        <v>44641</v>
      </c>
      <c r="B93" s="5" t="str">
        <f ca="1">IFERROR(__xludf.DUMMYFUNCTION("""COMPUTED_VALUE"""),"14626")</f>
        <v>14626</v>
      </c>
      <c r="C93" s="5" t="str">
        <f ca="1">IFERROR(__xludf.DUMMYFUNCTION("""COMPUTED_VALUE"""),"BUY (LONG)")</f>
        <v>BUY (LONG)</v>
      </c>
      <c r="D93" s="5" t="str">
        <f ca="1">IFERROR(__xludf.DUMMYFUNCTION("""COMPUTED_VALUE"""),"CL=F")</f>
        <v>CL=F</v>
      </c>
      <c r="E93" s="5"/>
      <c r="F93" s="5">
        <f ca="1">IFERROR(__xludf.DUMMYFUNCTION("""COMPUTED_VALUE"""),114.16)</f>
        <v>114.16</v>
      </c>
      <c r="G93" s="5">
        <f ca="1">IFERROR(__xludf.DUMMYFUNCTION("""COMPUTED_VALUE"""),500)</f>
        <v>500</v>
      </c>
      <c r="H93" s="102" t="str">
        <f ca="1">IFERROR(__xludf.DUMMYFUNCTION("""COMPUTED_VALUE"""),"")</f>
        <v/>
      </c>
      <c r="I93" s="19">
        <f ca="1">IFERROR(__xludf.DUMMYFUNCTION("""COMPUTED_VALUE"""),-446676.686)</f>
        <v>-446676.68599999999</v>
      </c>
      <c r="J93" s="19">
        <f ca="1">IFERROR(__xludf.DUMMYFUNCTION("""COMPUTED_VALUE"""),-623391.593709999)</f>
        <v>-623391.593709999</v>
      </c>
      <c r="K93" s="5"/>
      <c r="L93" s="5"/>
    </row>
    <row r="94" spans="1:12" ht="13" x14ac:dyDescent="0.15">
      <c r="A94" s="101">
        <f ca="1">IFERROR(__xludf.DUMMYFUNCTION("""COMPUTED_VALUE"""),44641)</f>
        <v>44641</v>
      </c>
      <c r="B94" s="5" t="str">
        <f ca="1">IFERROR(__xludf.DUMMYFUNCTION("""COMPUTED_VALUE"""),"14626")</f>
        <v>14626</v>
      </c>
      <c r="C94" s="5" t="str">
        <f ca="1">IFERROR(__xludf.DUMMYFUNCTION("""COMPUTED_VALUE"""),"BUY (LONG)")</f>
        <v>BUY (LONG)</v>
      </c>
      <c r="D94" s="5" t="str">
        <f ca="1">IFERROR(__xludf.DUMMYFUNCTION("""COMPUTED_VALUE"""),"F")</f>
        <v>F</v>
      </c>
      <c r="E94" s="5"/>
      <c r="F94" s="5">
        <f ca="1">IFERROR(__xludf.DUMMYFUNCTION("""COMPUTED_VALUE"""),16.48)</f>
        <v>16.48</v>
      </c>
      <c r="G94" s="5">
        <f ca="1">IFERROR(__xludf.DUMMYFUNCTION("""COMPUTED_VALUE"""),500)</f>
        <v>500</v>
      </c>
      <c r="H94" s="102" t="str">
        <f ca="1">IFERROR(__xludf.DUMMYFUNCTION("""COMPUTED_VALUE"""),"")</f>
        <v/>
      </c>
      <c r="I94" s="19">
        <f ca="1">IFERROR(__xludf.DUMMYFUNCTION("""COMPUTED_VALUE"""),-64481.708)</f>
        <v>-64481.707999999999</v>
      </c>
      <c r="J94" s="19">
        <f ca="1">IFERROR(__xludf.DUMMYFUNCTION("""COMPUTED_VALUE"""),-257473.551709999)</f>
        <v>-257473.55170999901</v>
      </c>
      <c r="K94" s="5"/>
      <c r="L94" s="5"/>
    </row>
    <row r="95" spans="1:12" ht="13" x14ac:dyDescent="0.15">
      <c r="A95" s="101">
        <f ca="1">IFERROR(__xludf.DUMMYFUNCTION("""COMPUTED_VALUE"""),44641)</f>
        <v>44641</v>
      </c>
      <c r="B95" s="5" t="str">
        <f ca="1">IFERROR(__xludf.DUMMYFUNCTION("""COMPUTED_VALUE"""),"14626")</f>
        <v>14626</v>
      </c>
      <c r="C95" s="5" t="str">
        <f ca="1">IFERROR(__xludf.DUMMYFUNCTION("""COMPUTED_VALUE"""),"BUY (LONG)")</f>
        <v>BUY (LONG)</v>
      </c>
      <c r="D95" s="5" t="str">
        <f ca="1">IFERROR(__xludf.DUMMYFUNCTION("""COMPUTED_VALUE"""),"FB")</f>
        <v>FB</v>
      </c>
      <c r="E95" s="5"/>
      <c r="F95" s="5">
        <f ca="1">IFERROR(__xludf.DUMMYFUNCTION("""COMPUTED_VALUE"""),211.49)</f>
        <v>211.49</v>
      </c>
      <c r="G95" s="5">
        <f ca="1">IFERROR(__xludf.DUMMYFUNCTION("""COMPUTED_VALUE"""),500)</f>
        <v>500</v>
      </c>
      <c r="H95" s="102" t="str">
        <f ca="1">IFERROR(__xludf.DUMMYFUNCTION("""COMPUTED_VALUE"""),"")</f>
        <v/>
      </c>
      <c r="I95" s="19">
        <f ca="1">IFERROR(__xludf.DUMMYFUNCTION("""COMPUTED_VALUE"""),-827502.21025)</f>
        <v>-827502.21025</v>
      </c>
      <c r="J95" s="19">
        <f ca="1">IFERROR(__xludf.DUMMYFUNCTION("""COMPUTED_VALUE"""),-1020494.05395999)</f>
        <v>-1020494.05395999</v>
      </c>
      <c r="K95" s="5"/>
      <c r="L95" s="5"/>
    </row>
    <row r="96" spans="1:12" ht="13" x14ac:dyDescent="0.15">
      <c r="A96" s="101">
        <f ca="1">IFERROR(__xludf.DUMMYFUNCTION("""COMPUTED_VALUE"""),44641)</f>
        <v>44641</v>
      </c>
      <c r="B96" s="5" t="str">
        <f ca="1">IFERROR(__xludf.DUMMYFUNCTION("""COMPUTED_VALUE"""),"14626")</f>
        <v>14626</v>
      </c>
      <c r="C96" s="5" t="str">
        <f ca="1">IFERROR(__xludf.DUMMYFUNCTION("""COMPUTED_VALUE"""),"BUY (LONG)")</f>
        <v>BUY (LONG)</v>
      </c>
      <c r="D96" s="5" t="str">
        <f ca="1">IFERROR(__xludf.DUMMYFUNCTION("""COMPUTED_VALUE"""),"GOOG")</f>
        <v>GOOG</v>
      </c>
      <c r="E96" s="5"/>
      <c r="F96" s="5">
        <f ca="1">IFERROR(__xludf.DUMMYFUNCTION("""COMPUTED_VALUE"""),2729.57)</f>
        <v>2729.57</v>
      </c>
      <c r="G96" s="5">
        <f ca="1">IFERROR(__xludf.DUMMYFUNCTION("""COMPUTED_VALUE"""),500)</f>
        <v>500</v>
      </c>
      <c r="H96" s="102" t="str">
        <f ca="1">IFERROR(__xludf.DUMMYFUNCTION("""COMPUTED_VALUE"""),"")</f>
        <v/>
      </c>
      <c r="I96" s="19">
        <f ca="1">IFERROR(__xludf.DUMMYFUNCTION("""COMPUTED_VALUE"""),-10680056.77825)</f>
        <v>-10680056.77825</v>
      </c>
      <c r="J96" s="19">
        <f ca="1">IFERROR(__xludf.DUMMYFUNCTION("""COMPUTED_VALUE"""),-10873048.62196)</f>
        <v>-10873048.621959999</v>
      </c>
      <c r="K96" s="5"/>
      <c r="L96" s="5"/>
    </row>
    <row r="97" spans="1:12" ht="13" x14ac:dyDescent="0.15">
      <c r="A97" s="101">
        <f ca="1">IFERROR(__xludf.DUMMYFUNCTION("""COMPUTED_VALUE"""),44641)</f>
        <v>44641</v>
      </c>
      <c r="B97" s="5" t="str">
        <f ca="1">IFERROR(__xludf.DUMMYFUNCTION("""COMPUTED_VALUE"""),"14626")</f>
        <v>14626</v>
      </c>
      <c r="C97" s="5" t="str">
        <f ca="1">IFERROR(__xludf.DUMMYFUNCTION("""COMPUTED_VALUE"""),"BUY (LONG)")</f>
        <v>BUY (LONG)</v>
      </c>
      <c r="D97" s="5" t="str">
        <f ca="1">IFERROR(__xludf.DUMMYFUNCTION("""COMPUTED_VALUE"""),"LUNA1-USD")</f>
        <v>LUNA1-USD</v>
      </c>
      <c r="E97" s="5"/>
      <c r="F97" s="5">
        <f ca="1">IFERROR(__xludf.DUMMYFUNCTION("""COMPUTED_VALUE"""),94.99)</f>
        <v>94.99</v>
      </c>
      <c r="G97" s="5">
        <f ca="1">IFERROR(__xludf.DUMMYFUNCTION("""COMPUTED_VALUE"""),1000)</f>
        <v>1000</v>
      </c>
      <c r="H97" s="102" t="str">
        <f ca="1">IFERROR(__xludf.DUMMYFUNCTION("""COMPUTED_VALUE"""),"")</f>
        <v/>
      </c>
      <c r="I97" s="19">
        <f ca="1">IFERROR(__xludf.DUMMYFUNCTION("""COMPUTED_VALUE"""),-743339.4955)</f>
        <v>-743339.49549999996</v>
      </c>
      <c r="J97" s="19">
        <f ca="1">IFERROR(__xludf.DUMMYFUNCTION("""COMPUTED_VALUE"""),-920054.403209999)</f>
        <v>-920054.40320999897</v>
      </c>
      <c r="K97" s="5"/>
      <c r="L97" s="5"/>
    </row>
    <row r="98" spans="1:12" ht="13" x14ac:dyDescent="0.15">
      <c r="A98" s="101">
        <f ca="1">IFERROR(__xludf.DUMMYFUNCTION("""COMPUTED_VALUE"""),44641)</f>
        <v>44641</v>
      </c>
      <c r="B98" s="5" t="str">
        <f ca="1">IFERROR(__xludf.DUMMYFUNCTION("""COMPUTED_VALUE"""),"14626")</f>
        <v>14626</v>
      </c>
      <c r="C98" s="5" t="str">
        <f ca="1">IFERROR(__xludf.DUMMYFUNCTION("""COMPUTED_VALUE"""),"BUY (LONG)")</f>
        <v>BUY (LONG)</v>
      </c>
      <c r="D98" s="5" t="str">
        <f ca="1">IFERROR(__xludf.DUMMYFUNCTION("""COMPUTED_VALUE"""),"MMM")</f>
        <v>MMM</v>
      </c>
      <c r="E98" s="5"/>
      <c r="F98" s="5">
        <f ca="1">IFERROR(__xludf.DUMMYFUNCTION("""COMPUTED_VALUE"""),148.58)</f>
        <v>148.58000000000001</v>
      </c>
      <c r="G98" s="5">
        <f ca="1">IFERROR(__xludf.DUMMYFUNCTION("""COMPUTED_VALUE"""),500)</f>
        <v>500</v>
      </c>
      <c r="H98" s="102" t="str">
        <f ca="1">IFERROR(__xludf.DUMMYFUNCTION("""COMPUTED_VALUE"""),"")</f>
        <v/>
      </c>
      <c r="I98" s="19">
        <f ca="1">IFERROR(__xludf.DUMMYFUNCTION("""COMPUTED_VALUE"""),-581352.6805)</f>
        <v>-581352.68050000002</v>
      </c>
      <c r="J98" s="19">
        <f ca="1">IFERROR(__xludf.DUMMYFUNCTION("""COMPUTED_VALUE"""),-774344.52421)</f>
        <v>-774344.52420999995</v>
      </c>
      <c r="K98" s="5"/>
      <c r="L98" s="5"/>
    </row>
    <row r="99" spans="1:12" ht="13" x14ac:dyDescent="0.15">
      <c r="A99" s="101">
        <f ca="1">IFERROR(__xludf.DUMMYFUNCTION("""COMPUTED_VALUE"""),44641)</f>
        <v>44641</v>
      </c>
      <c r="B99" s="5" t="str">
        <f ca="1">IFERROR(__xludf.DUMMYFUNCTION("""COMPUTED_VALUE"""),"14626")</f>
        <v>14626</v>
      </c>
      <c r="C99" s="5" t="str">
        <f ca="1">IFERROR(__xludf.DUMMYFUNCTION("""COMPUTED_VALUE"""),"BUY (LONG)")</f>
        <v>BUY (LONG)</v>
      </c>
      <c r="D99" s="5" t="str">
        <f ca="1">IFERROR(__xludf.DUMMYFUNCTION("""COMPUTED_VALUE"""),"MSFT")</f>
        <v>MSFT</v>
      </c>
      <c r="E99" s="5"/>
      <c r="F99" s="5">
        <f ca="1">IFERROR(__xludf.DUMMYFUNCTION("""COMPUTED_VALUE"""),299.16)</f>
        <v>299.16000000000003</v>
      </c>
      <c r="G99" s="5">
        <f ca="1">IFERROR(__xludf.DUMMYFUNCTION("""COMPUTED_VALUE"""),500)</f>
        <v>500</v>
      </c>
      <c r="H99" s="102" t="str">
        <f ca="1">IFERROR(__xludf.DUMMYFUNCTION("""COMPUTED_VALUE"""),"")</f>
        <v/>
      </c>
      <c r="I99" s="19">
        <f ca="1">IFERROR(__xludf.DUMMYFUNCTION("""COMPUTED_VALUE"""),-1170530.811)</f>
        <v>-1170530.811</v>
      </c>
      <c r="J99" s="19">
        <f ca="1">IFERROR(__xludf.DUMMYFUNCTION("""COMPUTED_VALUE"""),-1363522.65471)</f>
        <v>-1363522.6547099999</v>
      </c>
      <c r="K99" s="5"/>
      <c r="L99" s="5"/>
    </row>
    <row r="100" spans="1:12" ht="13" x14ac:dyDescent="0.15">
      <c r="A100" s="101">
        <f ca="1">IFERROR(__xludf.DUMMYFUNCTION("""COMPUTED_VALUE"""),44641)</f>
        <v>44641</v>
      </c>
      <c r="B100" s="5" t="str">
        <f ca="1">IFERROR(__xludf.DUMMYFUNCTION("""COMPUTED_VALUE"""),"14626")</f>
        <v>14626</v>
      </c>
      <c r="C100" s="5" t="str">
        <f ca="1">IFERROR(__xludf.DUMMYFUNCTION("""COMPUTED_VALUE"""),"BUY (LONG)")</f>
        <v>BUY (LONG)</v>
      </c>
      <c r="D100" s="5" t="str">
        <f ca="1">IFERROR(__xludf.DUMMYFUNCTION("""COMPUTED_VALUE"""),"NFLX")</f>
        <v>NFLX</v>
      </c>
      <c r="E100" s="5"/>
      <c r="F100" s="5">
        <f ca="1">IFERROR(__xludf.DUMMYFUNCTION("""COMPUTED_VALUE"""),374.59)</f>
        <v>374.59</v>
      </c>
      <c r="G100" s="5">
        <f ca="1">IFERROR(__xludf.DUMMYFUNCTION("""COMPUTED_VALUE"""),1000)</f>
        <v>1000</v>
      </c>
      <c r="H100" s="102" t="str">
        <f ca="1">IFERROR(__xludf.DUMMYFUNCTION("""COMPUTED_VALUE"""),"")</f>
        <v/>
      </c>
      <c r="I100" s="19">
        <f ca="1">IFERROR(__xludf.DUMMYFUNCTION("""COMPUTED_VALUE"""),-2931335.3155)</f>
        <v>-2931335.3155</v>
      </c>
      <c r="J100" s="19">
        <f ca="1">IFERROR(__xludf.DUMMYFUNCTION("""COMPUTED_VALUE"""),-3108050.22321)</f>
        <v>-3108050.22321</v>
      </c>
      <c r="K100" s="5"/>
      <c r="L100" s="5"/>
    </row>
    <row r="101" spans="1:12" ht="13" x14ac:dyDescent="0.15">
      <c r="A101" s="101">
        <f ca="1">IFERROR(__xludf.DUMMYFUNCTION("""COMPUTED_VALUE"""),44641)</f>
        <v>44641</v>
      </c>
      <c r="B101" s="5" t="str">
        <f ca="1">IFERROR(__xludf.DUMMYFUNCTION("""COMPUTED_VALUE"""),"14626")</f>
        <v>14626</v>
      </c>
      <c r="C101" s="5" t="str">
        <f ca="1">IFERROR(__xludf.DUMMYFUNCTION("""COMPUTED_VALUE"""),"BUY (LONG)")</f>
        <v>BUY (LONG)</v>
      </c>
      <c r="D101" s="5" t="str">
        <f ca="1">IFERROR(__xludf.DUMMYFUNCTION("""COMPUTED_VALUE"""),"NKE")</f>
        <v>NKE</v>
      </c>
      <c r="E101" s="5"/>
      <c r="F101" s="5">
        <f ca="1">IFERROR(__xludf.DUMMYFUNCTION("""COMPUTED_VALUE"""),130.19)</f>
        <v>130.19</v>
      </c>
      <c r="G101" s="5">
        <f ca="1">IFERROR(__xludf.DUMMYFUNCTION("""COMPUTED_VALUE"""),500)</f>
        <v>500</v>
      </c>
      <c r="H101" s="102" t="str">
        <f ca="1">IFERROR(__xludf.DUMMYFUNCTION("""COMPUTED_VALUE"""),"")</f>
        <v/>
      </c>
      <c r="I101" s="19">
        <f ca="1">IFERROR(__xludf.DUMMYFUNCTION("""COMPUTED_VALUE"""),-509397.667749999)</f>
        <v>-509397.66774999897</v>
      </c>
      <c r="J101" s="19">
        <f ca="1">IFERROR(__xludf.DUMMYFUNCTION("""COMPUTED_VALUE"""),-686112.57546)</f>
        <v>-686112.57545999996</v>
      </c>
      <c r="K101" s="5"/>
      <c r="L101" s="5"/>
    </row>
    <row r="102" spans="1:12" ht="13" x14ac:dyDescent="0.15">
      <c r="A102" s="101">
        <f ca="1">IFERROR(__xludf.DUMMYFUNCTION("""COMPUTED_VALUE"""),44641)</f>
        <v>44641</v>
      </c>
      <c r="B102" s="5" t="str">
        <f ca="1">IFERROR(__xludf.DUMMYFUNCTION("""COMPUTED_VALUE"""),"14626")</f>
        <v>14626</v>
      </c>
      <c r="C102" s="5" t="str">
        <f ca="1">IFERROR(__xludf.DUMMYFUNCTION("""COMPUTED_VALUE"""),"BUY (LONG)")</f>
        <v>BUY (LONG)</v>
      </c>
      <c r="D102" s="5" t="str">
        <f ca="1">IFERROR(__xludf.DUMMYFUNCTION("""COMPUTED_VALUE"""),"NVDA")</f>
        <v>NVDA</v>
      </c>
      <c r="E102" s="5"/>
      <c r="F102" s="5">
        <f ca="1">IFERROR(__xludf.DUMMYFUNCTION("""COMPUTED_VALUE"""),267.34)</f>
        <v>267.33999999999997</v>
      </c>
      <c r="G102" s="5">
        <f ca="1">IFERROR(__xludf.DUMMYFUNCTION("""COMPUTED_VALUE"""),1000)</f>
        <v>1000</v>
      </c>
      <c r="H102" s="102" t="str">
        <f ca="1">IFERROR(__xludf.DUMMYFUNCTION("""COMPUTED_VALUE"""),"")</f>
        <v/>
      </c>
      <c r="I102" s="19">
        <f ca="1">IFERROR(__xludf.DUMMYFUNCTION("""COMPUTED_VALUE"""),-2092055.80299999)</f>
        <v>-2092055.8029999901</v>
      </c>
      <c r="J102" s="19">
        <f ca="1">IFERROR(__xludf.DUMMYFUNCTION("""COMPUTED_VALUE"""),-2268770.71071)</f>
        <v>-2268770.7107099998</v>
      </c>
      <c r="K102" s="5"/>
      <c r="L102" s="5"/>
    </row>
    <row r="103" spans="1:12" ht="13" x14ac:dyDescent="0.15">
      <c r="A103" s="101">
        <f ca="1">IFERROR(__xludf.DUMMYFUNCTION("""COMPUTED_VALUE"""),44641)</f>
        <v>44641</v>
      </c>
      <c r="B103" s="5" t="str">
        <f ca="1">IFERROR(__xludf.DUMMYFUNCTION("""COMPUTED_VALUE"""),"14626")</f>
        <v>14626</v>
      </c>
      <c r="C103" s="5" t="str">
        <f ca="1">IFERROR(__xludf.DUMMYFUNCTION("""COMPUTED_VALUE"""),"BUY (LONG)")</f>
        <v>BUY (LONG)</v>
      </c>
      <c r="D103" s="5" t="str">
        <f ca="1">IFERROR(__xludf.DUMMYFUNCTION("""COMPUTED_VALUE"""),"SHOP")</f>
        <v>SHOP</v>
      </c>
      <c r="E103" s="5"/>
      <c r="F103" s="5">
        <f ca="1">IFERROR(__xludf.DUMMYFUNCTION("""COMPUTED_VALUE"""),683.45)</f>
        <v>683.45</v>
      </c>
      <c r="G103" s="5">
        <f ca="1">IFERROR(__xludf.DUMMYFUNCTION("""COMPUTED_VALUE"""),500)</f>
        <v>500</v>
      </c>
      <c r="H103" s="102" t="str">
        <f ca="1">IFERROR(__xludf.DUMMYFUNCTION("""COMPUTED_VALUE"""),"")</f>
        <v/>
      </c>
      <c r="I103" s="19">
        <f ca="1">IFERROR(__xludf.DUMMYFUNCTION("""COMPUTED_VALUE"""),-2674151.90125)</f>
        <v>-2674151.9012500001</v>
      </c>
      <c r="J103" s="19">
        <f ca="1">IFERROR(__xludf.DUMMYFUNCTION("""COMPUTED_VALUE"""),-2426805.67346)</f>
        <v>-2426805.6734600002</v>
      </c>
      <c r="K103" s="5"/>
      <c r="L103" s="5"/>
    </row>
    <row r="104" spans="1:12" ht="13" x14ac:dyDescent="0.15">
      <c r="A104" s="101">
        <f ca="1">IFERROR(__xludf.DUMMYFUNCTION("""COMPUTED_VALUE"""),44641)</f>
        <v>44641</v>
      </c>
      <c r="B104" s="5" t="str">
        <f ca="1">IFERROR(__xludf.DUMMYFUNCTION("""COMPUTED_VALUE"""),"14626")</f>
        <v>14626</v>
      </c>
      <c r="C104" s="5" t="str">
        <f ca="1">IFERROR(__xludf.DUMMYFUNCTION("""COMPUTED_VALUE"""),"BUY (LONG)")</f>
        <v>BUY (LONG)</v>
      </c>
      <c r="D104" s="5" t="str">
        <f ca="1">IFERROR(__xludf.DUMMYFUNCTION("""COMPUTED_VALUE"""),"TSLA")</f>
        <v>TSLA</v>
      </c>
      <c r="E104" s="5"/>
      <c r="F104" s="5">
        <f ca="1">IFERROR(__xludf.DUMMYFUNCTION("""COMPUTED_VALUE"""),921.16)</f>
        <v>921.16</v>
      </c>
      <c r="G104" s="5">
        <f ca="1">IFERROR(__xludf.DUMMYFUNCTION("""COMPUTED_VALUE"""),500)</f>
        <v>500</v>
      </c>
      <c r="H104" s="102" t="str">
        <f ca="1">IFERROR(__xludf.DUMMYFUNCTION("""COMPUTED_VALUE"""),"")</f>
        <v/>
      </c>
      <c r="I104" s="19">
        <f ca="1">IFERROR(__xludf.DUMMYFUNCTION("""COMPUTED_VALUE"""),-3604245.76099999)</f>
        <v>-3604245.7609999902</v>
      </c>
      <c r="J104" s="19">
        <f ca="1">IFERROR(__xludf.DUMMYFUNCTION("""COMPUTED_VALUE"""),-3797237.60470999)</f>
        <v>-3797237.6047099899</v>
      </c>
      <c r="K104" s="5"/>
      <c r="L104" s="5"/>
    </row>
    <row r="105" spans="1:12" ht="13" x14ac:dyDescent="0.15">
      <c r="A105" s="101">
        <f ca="1">IFERROR(__xludf.DUMMYFUNCTION("""COMPUTED_VALUE"""),44641)</f>
        <v>44641</v>
      </c>
      <c r="B105" s="5" t="str">
        <f ca="1">IFERROR(__xludf.DUMMYFUNCTION("""COMPUTED_VALUE"""),"39441")</f>
        <v>39441</v>
      </c>
      <c r="C105" s="5" t="str">
        <f ca="1">IFERROR(__xludf.DUMMYFUNCTION("""COMPUTED_VALUE"""),"BUY (LONG)")</f>
        <v>BUY (LONG)</v>
      </c>
      <c r="D105" s="5" t="str">
        <f ca="1">IFERROR(__xludf.DUMMYFUNCTION("""COMPUTED_VALUE"""),"AMZN")</f>
        <v>AMZN</v>
      </c>
      <c r="E105" s="5"/>
      <c r="F105" s="5">
        <f ca="1">IFERROR(__xludf.DUMMYFUNCTION("""COMPUTED_VALUE"""),3229.83)</f>
        <v>3229.83</v>
      </c>
      <c r="G105" s="5">
        <f ca="1">IFERROR(__xludf.DUMMYFUNCTION("""COMPUTED_VALUE"""),50)</f>
        <v>50</v>
      </c>
      <c r="H105" s="102" t="str">
        <f ca="1">IFERROR(__xludf.DUMMYFUNCTION("""COMPUTED_VALUE"""),"")</f>
        <v/>
      </c>
      <c r="I105" s="19">
        <f ca="1">IFERROR(__xludf.DUMMYFUNCTION("""COMPUTED_VALUE"""),-1263743.658675)</f>
        <v>-1263743.6586750001</v>
      </c>
      <c r="J105" s="19">
        <f ca="1">IFERROR(__xludf.DUMMYFUNCTION("""COMPUTED_VALUE"""),-1088466.40403975)</f>
        <v>-1088466.4040397501</v>
      </c>
      <c r="K105" s="5"/>
      <c r="L105" s="5"/>
    </row>
    <row r="106" spans="1:12" ht="13" x14ac:dyDescent="0.15">
      <c r="A106" s="101">
        <f ca="1">IFERROR(__xludf.DUMMYFUNCTION("""COMPUTED_VALUE"""),44641)</f>
        <v>44641</v>
      </c>
      <c r="B106" s="5" t="str">
        <f ca="1">IFERROR(__xludf.DUMMYFUNCTION("""COMPUTED_VALUE"""),"39441")</f>
        <v>39441</v>
      </c>
      <c r="C106" s="5" t="str">
        <f ca="1">IFERROR(__xludf.DUMMYFUNCTION("""COMPUTED_VALUE"""),"SELL (SHORT)")</f>
        <v>SELL (SHORT)</v>
      </c>
      <c r="D106" s="5" t="str">
        <f ca="1">IFERROR(__xludf.DUMMYFUNCTION("""COMPUTED_VALUE"""),"BABA")</f>
        <v>BABA</v>
      </c>
      <c r="E106" s="5"/>
      <c r="F106" s="5">
        <f ca="1">IFERROR(__xludf.DUMMYFUNCTION("""COMPUTED_VALUE"""),103.59)</f>
        <v>103.59</v>
      </c>
      <c r="G106" s="5">
        <f ca="1">IFERROR(__xludf.DUMMYFUNCTION("""COMPUTED_VALUE"""),500)</f>
        <v>500</v>
      </c>
      <c r="H106" s="102" t="str">
        <f ca="1">IFERROR(__xludf.DUMMYFUNCTION("""COMPUTED_VALUE"""),"")</f>
        <v/>
      </c>
      <c r="I106" s="19">
        <f ca="1">IFERROR(__xludf.DUMMYFUNCTION("""COMPUTED_VALUE"""),405319.18275)</f>
        <v>405319.18274999998</v>
      </c>
      <c r="J106" s="19">
        <f ca="1">IFERROR(__xludf.DUMMYFUNCTION("""COMPUTED_VALUE"""),-359459.22021475)</f>
        <v>-359459.22021474998</v>
      </c>
      <c r="K106" s="5"/>
      <c r="L106" s="5"/>
    </row>
    <row r="107" spans="1:12" ht="13" x14ac:dyDescent="0.15">
      <c r="A107" s="101">
        <f ca="1">IFERROR(__xludf.DUMMYFUNCTION("""COMPUTED_VALUE"""),44641)</f>
        <v>44641</v>
      </c>
      <c r="B107" s="5" t="str">
        <f ca="1">IFERROR(__xludf.DUMMYFUNCTION("""COMPUTED_VALUE"""),"40105")</f>
        <v>40105</v>
      </c>
      <c r="C107" s="5" t="str">
        <f ca="1">IFERROR(__xludf.DUMMYFUNCTION("""COMPUTED_VALUE"""),"BUY (LONG)")</f>
        <v>BUY (LONG)</v>
      </c>
      <c r="D107" s="5" t="str">
        <f ca="1">IFERROR(__xludf.DUMMYFUNCTION("""COMPUTED_VALUE"""),"US88032XAE40")</f>
        <v>US88032XAE40</v>
      </c>
      <c r="E107" s="5"/>
      <c r="F107" s="5"/>
      <c r="G107" s="5">
        <f ca="1">IFERROR(__xludf.DUMMYFUNCTION("""COMPUTED_VALUE"""),100)</f>
        <v>100</v>
      </c>
      <c r="H107" s="102" t="str">
        <f ca="1">IFERROR(__xludf.DUMMYFUNCTION("""COMPUTED_VALUE"""),"")</f>
        <v/>
      </c>
      <c r="I107" s="19">
        <f ca="1">IFERROR(__xludf.DUMMYFUNCTION("""COMPUTED_VALUE"""),-784845.6823)</f>
        <v>-784845.68229999999</v>
      </c>
      <c r="J107" s="19">
        <f ca="1">IFERROR(__xludf.DUMMYFUNCTION("""COMPUTED_VALUE"""),-742708.074074999)</f>
        <v>-742708.07407499896</v>
      </c>
      <c r="K107" s="5"/>
      <c r="L107" s="5"/>
    </row>
    <row r="108" spans="1:12" ht="13" x14ac:dyDescent="0.15">
      <c r="A108" s="101">
        <f ca="1">IFERROR(__xludf.DUMMYFUNCTION("""COMPUTED_VALUE"""),44641)</f>
        <v>44641</v>
      </c>
      <c r="B108" s="5" t="str">
        <f ca="1">IFERROR(__xludf.DUMMYFUNCTION("""COMPUTED_VALUE"""),"40318")</f>
        <v>40318</v>
      </c>
      <c r="C108" s="5" t="str">
        <f ca="1">IFERROR(__xludf.DUMMYFUNCTION("""COMPUTED_VALUE"""),"BUY (LONG)")</f>
        <v>BUY (LONG)</v>
      </c>
      <c r="D108" s="5" t="str">
        <f ca="1">IFERROR(__xludf.DUMMYFUNCTION("""COMPUTED_VALUE"""),"BA")</f>
        <v>BA</v>
      </c>
      <c r="E108" s="5">
        <f ca="1">IFERROR(__xludf.DUMMYFUNCTION("""COMPUTED_VALUE"""),150)</f>
        <v>150</v>
      </c>
      <c r="F108" s="5">
        <f ca="1">IFERROR(__xludf.DUMMYFUNCTION("""COMPUTED_VALUE"""),185.9)</f>
        <v>185.9</v>
      </c>
      <c r="G108" s="5">
        <f ca="1">IFERROR(__xludf.DUMMYFUNCTION("""COMPUTED_VALUE"""),160)</f>
        <v>160</v>
      </c>
      <c r="H108" s="102">
        <f ca="1">IFERROR(__xludf.DUMMYFUNCTION("""COMPUTED_VALUE"""),0)</f>
        <v>0</v>
      </c>
      <c r="I108" s="19">
        <f ca="1">IFERROR(__xludf.DUMMYFUNCTION("""COMPUTED_VALUE"""),0)</f>
        <v>0</v>
      </c>
      <c r="J108" s="19">
        <f ca="1">IFERROR(__xludf.DUMMYFUNCTION("""COMPUTED_VALUE"""),358776.822434)</f>
        <v>358776.82243399997</v>
      </c>
      <c r="K108" s="5"/>
      <c r="L108" s="5"/>
    </row>
    <row r="109" spans="1:12" ht="13" x14ac:dyDescent="0.15">
      <c r="A109" s="101">
        <f ca="1">IFERROR(__xludf.DUMMYFUNCTION("""COMPUTED_VALUE"""),44641)</f>
        <v>44641</v>
      </c>
      <c r="B109" s="5" t="str">
        <f ca="1">IFERROR(__xludf.DUMMYFUNCTION("""COMPUTED_VALUE"""),"56118")</f>
        <v>56118</v>
      </c>
      <c r="C109" s="5" t="str">
        <f ca="1">IFERROR(__xludf.DUMMYFUNCTION("""COMPUTED_VALUE"""),"SELL (SHORT)")</f>
        <v>SELL (SHORT)</v>
      </c>
      <c r="D109" s="5" t="str">
        <f ca="1">IFERROR(__xludf.DUMMYFUNCTION("""COMPUTED_VALUE"""),"SOFI")</f>
        <v>SOFI</v>
      </c>
      <c r="E109" s="5">
        <f ca="1">IFERROR(__xludf.DUMMYFUNCTION("""COMPUTED_VALUE"""),80)</f>
        <v>80</v>
      </c>
      <c r="F109" s="5">
        <f ca="1">IFERROR(__xludf.DUMMYFUNCTION("""COMPUTED_VALUE"""),9.57)</f>
        <v>9.57</v>
      </c>
      <c r="G109" s="5">
        <f ca="1">IFERROR(__xludf.DUMMYFUNCTION("""COMPUTED_VALUE"""),200)</f>
        <v>200</v>
      </c>
      <c r="H109" s="102">
        <f ca="1">IFERROR(__xludf.DUMMYFUNCTION("""COMPUTED_VALUE"""),0)</f>
        <v>0</v>
      </c>
      <c r="I109" s="19">
        <f ca="1">IFERROR(__xludf.DUMMYFUNCTION("""COMPUTED_VALUE"""),0)</f>
        <v>0</v>
      </c>
      <c r="J109" s="19">
        <f ca="1">IFERROR(__xludf.DUMMYFUNCTION("""COMPUTED_VALUE"""),-222734.627315)</f>
        <v>-222734.62731499999</v>
      </c>
      <c r="K109" s="5"/>
      <c r="L109" s="5"/>
    </row>
    <row r="110" spans="1:12" ht="13" x14ac:dyDescent="0.15">
      <c r="A110" s="101">
        <f ca="1">IFERROR(__xludf.DUMMYFUNCTION("""COMPUTED_VALUE"""),44641)</f>
        <v>44641</v>
      </c>
      <c r="B110" s="5" t="str">
        <f ca="1">IFERROR(__xludf.DUMMYFUNCTION("""COMPUTED_VALUE"""),"76796")</f>
        <v>76796</v>
      </c>
      <c r="C110" s="5" t="str">
        <f ca="1">IFERROR(__xludf.DUMMYFUNCTION("""COMPUTED_VALUE"""),"BUY (LONG)")</f>
        <v>BUY (LONG)</v>
      </c>
      <c r="D110" s="5" t="str">
        <f ca="1">IFERROR(__xludf.DUMMYFUNCTION("""COMPUTED_VALUE"""),"MSFT")</f>
        <v>MSFT</v>
      </c>
      <c r="E110" s="5"/>
      <c r="F110" s="5">
        <f ca="1">IFERROR(__xludf.DUMMYFUNCTION("""COMPUTED_VALUE"""),299.16)</f>
        <v>299.16000000000003</v>
      </c>
      <c r="G110" s="5">
        <f ca="1">IFERROR(__xludf.DUMMYFUNCTION("""COMPUTED_VALUE"""),1000)</f>
        <v>1000</v>
      </c>
      <c r="H110" s="102" t="str">
        <f ca="1">IFERROR(__xludf.DUMMYFUNCTION("""COMPUTED_VALUE"""),"")</f>
        <v/>
      </c>
      <c r="I110" s="19">
        <f ca="1">IFERROR(__xludf.DUMMYFUNCTION("""COMPUTED_VALUE"""),-2341061.622)</f>
        <v>-2341061.622</v>
      </c>
      <c r="J110" s="19">
        <f ca="1">IFERROR(__xludf.DUMMYFUNCTION("""COMPUTED_VALUE"""),-2083536.22535)</f>
        <v>-2083536.22535</v>
      </c>
      <c r="K110" s="5"/>
      <c r="L110" s="5"/>
    </row>
    <row r="111" spans="1:12" ht="13" x14ac:dyDescent="0.15">
      <c r="A111" s="101">
        <f ca="1">IFERROR(__xludf.DUMMYFUNCTION("""COMPUTED_VALUE"""),44641)</f>
        <v>44641</v>
      </c>
      <c r="B111" s="5" t="str">
        <f ca="1">IFERROR(__xludf.DUMMYFUNCTION("""COMPUTED_VALUE"""),"77393")</f>
        <v>77393</v>
      </c>
      <c r="C111" s="5" t="str">
        <f ca="1">IFERROR(__xludf.DUMMYFUNCTION("""COMPUTED_VALUE"""),"BUY (LONG)")</f>
        <v>BUY (LONG)</v>
      </c>
      <c r="D111" s="71" t="str">
        <f ca="1">IFERROR(__xludf.DUMMYFUNCTION("""COMPUTED_VALUE"""),"000568.SZ")</f>
        <v>000568.SZ</v>
      </c>
      <c r="E111" s="5">
        <f ca="1">IFERROR(__xludf.DUMMYFUNCTION("""COMPUTED_VALUE"""),203.88)</f>
        <v>203.88</v>
      </c>
      <c r="F111" s="5">
        <f ca="1">IFERROR(__xludf.DUMMYFUNCTION("""COMPUTED_VALUE"""),205.4)</f>
        <v>205.4</v>
      </c>
      <c r="G111" s="5">
        <f ca="1">IFERROR(__xludf.DUMMYFUNCTION("""COMPUTED_VALUE"""),1000)</f>
        <v>1000</v>
      </c>
      <c r="H111" s="102">
        <f ca="1">IFERROR(__xludf.DUMMYFUNCTION("""COMPUTED_VALUE"""),0)</f>
        <v>0</v>
      </c>
      <c r="I111" s="19">
        <f ca="1">IFERROR(__xludf.DUMMYFUNCTION("""COMPUTED_VALUE"""),0)</f>
        <v>0</v>
      </c>
      <c r="J111" s="19">
        <f ca="1">IFERROR(__xludf.DUMMYFUNCTION("""COMPUTED_VALUE"""),500000)</f>
        <v>500000</v>
      </c>
      <c r="K111" s="5"/>
      <c r="L111" s="5"/>
    </row>
    <row r="112" spans="1:12" ht="13" x14ac:dyDescent="0.15">
      <c r="A112" s="101">
        <f ca="1">IFERROR(__xludf.DUMMYFUNCTION("""COMPUTED_VALUE"""),44642)</f>
        <v>44642</v>
      </c>
      <c r="B112" s="5" t="str">
        <f ca="1">IFERROR(__xludf.DUMMYFUNCTION("""COMPUTED_VALUE"""),"14626")</f>
        <v>14626</v>
      </c>
      <c r="C112" s="5" t="str">
        <f ca="1">IFERROR(__xludf.DUMMYFUNCTION("""COMPUTED_VALUE"""),"BUY (LONG)")</f>
        <v>BUY (LONG)</v>
      </c>
      <c r="D112" s="5" t="str">
        <f ca="1">IFERROR(__xludf.DUMMYFUNCTION("""COMPUTED_VALUE"""),"BRK-B")</f>
        <v>BRK-B</v>
      </c>
      <c r="E112" s="5"/>
      <c r="F112" s="5">
        <f ca="1">IFERROR(__xludf.DUMMYFUNCTION("""COMPUTED_VALUE"""),349.93)</f>
        <v>349.93</v>
      </c>
      <c r="G112" s="5">
        <f ca="1">IFERROR(__xludf.DUMMYFUNCTION("""COMPUTED_VALUE"""),500)</f>
        <v>500</v>
      </c>
      <c r="H112" s="102" t="str">
        <f ca="1">IFERROR(__xludf.DUMMYFUNCTION("""COMPUTED_VALUE"""),"")</f>
        <v/>
      </c>
      <c r="I112" s="19">
        <f ca="1">IFERROR(__xludf.DUMMYFUNCTION("""COMPUTED_VALUE"""),-1369442.30675)</f>
        <v>-1369442.30675</v>
      </c>
      <c r="J112" s="19">
        <f ca="1">IFERROR(__xludf.DUMMYFUNCTION("""COMPUTED_VALUE"""),-1575810.40801)</f>
        <v>-1575810.4080099999</v>
      </c>
      <c r="K112" s="5"/>
      <c r="L112" s="5"/>
    </row>
    <row r="113" spans="1:12" ht="13" x14ac:dyDescent="0.15">
      <c r="A113" s="101">
        <f ca="1">IFERROR(__xludf.DUMMYFUNCTION("""COMPUTED_VALUE"""),44642)</f>
        <v>44642</v>
      </c>
      <c r="B113" s="5" t="str">
        <f ca="1">IFERROR(__xludf.DUMMYFUNCTION("""COMPUTED_VALUE"""),"14626")</f>
        <v>14626</v>
      </c>
      <c r="C113" s="5" t="str">
        <f ca="1">IFERROR(__xludf.DUMMYFUNCTION("""COMPUTED_VALUE"""),"BUY (LONG)")</f>
        <v>BUY (LONG)</v>
      </c>
      <c r="D113" s="5" t="str">
        <f ca="1">IFERROR(__xludf.DUMMYFUNCTION("""COMPUTED_VALUE"""),"GOOG")</f>
        <v>GOOG</v>
      </c>
      <c r="E113" s="5"/>
      <c r="F113" s="5">
        <f ca="1">IFERROR(__xludf.DUMMYFUNCTION("""COMPUTED_VALUE"""),2805.55)</f>
        <v>2805.55</v>
      </c>
      <c r="G113" s="5">
        <f ca="1">IFERROR(__xludf.DUMMYFUNCTION("""COMPUTED_VALUE"""),1000)</f>
        <v>1000</v>
      </c>
      <c r="H113" s="102" t="str">
        <f ca="1">IFERROR(__xludf.DUMMYFUNCTION("""COMPUTED_VALUE"""),"")</f>
        <v/>
      </c>
      <c r="I113" s="19">
        <f ca="1">IFERROR(__xludf.DUMMYFUNCTION("""COMPUTED_VALUE"""),-21958899.5725)</f>
        <v>-21958899.572500002</v>
      </c>
      <c r="J113" s="19">
        <f ca="1">IFERROR(__xludf.DUMMYFUNCTION("""COMPUTED_VALUE"""),-22165267.67376)</f>
        <v>-22165267.673760001</v>
      </c>
      <c r="K113" s="5"/>
      <c r="L113" s="5"/>
    </row>
    <row r="114" spans="1:12" ht="13" x14ac:dyDescent="0.15">
      <c r="A114" s="101">
        <f ca="1">IFERROR(__xludf.DUMMYFUNCTION("""COMPUTED_VALUE"""),44642)</f>
        <v>44642</v>
      </c>
      <c r="B114" s="5" t="str">
        <f ca="1">IFERROR(__xludf.DUMMYFUNCTION("""COMPUTED_VALUE"""),"14626")</f>
        <v>14626</v>
      </c>
      <c r="C114" s="5" t="str">
        <f ca="1">IFERROR(__xludf.DUMMYFUNCTION("""COMPUTED_VALUE"""),"BUY (LONG)")</f>
        <v>BUY (LONG)</v>
      </c>
      <c r="D114" s="5" t="str">
        <f ca="1">IFERROR(__xludf.DUMMYFUNCTION("""COMPUTED_VALUE"""),"OXY")</f>
        <v>OXY</v>
      </c>
      <c r="E114" s="5"/>
      <c r="F114" s="5">
        <f ca="1">IFERROR(__xludf.DUMMYFUNCTION("""COMPUTED_VALUE"""),59.64)</f>
        <v>59.64</v>
      </c>
      <c r="G114" s="5">
        <f ca="1">IFERROR(__xludf.DUMMYFUNCTION("""COMPUTED_VALUE"""),500)</f>
        <v>500</v>
      </c>
      <c r="H114" s="102" t="str">
        <f ca="1">IFERROR(__xludf.DUMMYFUNCTION("""COMPUTED_VALUE"""),"")</f>
        <v/>
      </c>
      <c r="I114" s="19">
        <f ca="1">IFERROR(__xludf.DUMMYFUNCTION("""COMPUTED_VALUE"""),-233399.649)</f>
        <v>-233399.649</v>
      </c>
      <c r="J114" s="19">
        <f ca="1">IFERROR(__xludf.DUMMYFUNCTION("""COMPUTED_VALUE"""),-439767.750259999)</f>
        <v>-439767.75025999901</v>
      </c>
      <c r="K114" s="5"/>
      <c r="L114" s="5"/>
    </row>
    <row r="115" spans="1:12" ht="13" x14ac:dyDescent="0.15">
      <c r="A115" s="101">
        <f ca="1">IFERROR(__xludf.DUMMYFUNCTION("""COMPUTED_VALUE"""),44642)</f>
        <v>44642</v>
      </c>
      <c r="B115" s="5" t="str">
        <f ca="1">IFERROR(__xludf.DUMMYFUNCTION("""COMPUTED_VALUE"""),"14626")</f>
        <v>14626</v>
      </c>
      <c r="C115" s="5" t="str">
        <f ca="1">IFERROR(__xludf.DUMMYFUNCTION("""COMPUTED_VALUE"""),"BUY (LONG)")</f>
        <v>BUY (LONG)</v>
      </c>
      <c r="D115" s="5" t="str">
        <f ca="1">IFERROR(__xludf.DUMMYFUNCTION("""COMPUTED_VALUE"""),"PFE")</f>
        <v>PFE</v>
      </c>
      <c r="E115" s="5"/>
      <c r="F115" s="5">
        <f ca="1">IFERROR(__xludf.DUMMYFUNCTION("""COMPUTED_VALUE"""),53.04)</f>
        <v>53.04</v>
      </c>
      <c r="G115" s="5">
        <f ca="1">IFERROR(__xludf.DUMMYFUNCTION("""COMPUTED_VALUE"""),500)</f>
        <v>500</v>
      </c>
      <c r="H115" s="102" t="str">
        <f ca="1">IFERROR(__xludf.DUMMYFUNCTION("""COMPUTED_VALUE"""),"")</f>
        <v/>
      </c>
      <c r="I115" s="19">
        <f ca="1">IFERROR(__xludf.DUMMYFUNCTION("""COMPUTED_VALUE"""),-207570.714)</f>
        <v>-207570.71400000001</v>
      </c>
      <c r="J115" s="19">
        <f ca="1">IFERROR(__xludf.DUMMYFUNCTION("""COMPUTED_VALUE"""),-413938.815259999)</f>
        <v>-413938.81525999901</v>
      </c>
      <c r="K115" s="5"/>
      <c r="L115" s="5"/>
    </row>
    <row r="116" spans="1:12" ht="13" x14ac:dyDescent="0.15">
      <c r="A116" s="101">
        <f ca="1">IFERROR(__xludf.DUMMYFUNCTION("""COMPUTED_VALUE"""),44642)</f>
        <v>44642</v>
      </c>
      <c r="B116" s="5" t="str">
        <f ca="1">IFERROR(__xludf.DUMMYFUNCTION("""COMPUTED_VALUE"""),"14626")</f>
        <v>14626</v>
      </c>
      <c r="C116" s="5" t="str">
        <f ca="1">IFERROR(__xludf.DUMMYFUNCTION("""COMPUTED_VALUE"""),"BUY (LONG)")</f>
        <v>BUY (LONG)</v>
      </c>
      <c r="D116" s="5" t="str">
        <f ca="1">IFERROR(__xludf.DUMMYFUNCTION("""COMPUTED_VALUE"""),"TSLA")</f>
        <v>TSLA</v>
      </c>
      <c r="E116" s="5"/>
      <c r="F116" s="5">
        <f ca="1">IFERROR(__xludf.DUMMYFUNCTION("""COMPUTED_VALUE"""),993.98)</f>
        <v>993.98</v>
      </c>
      <c r="G116" s="5">
        <f ca="1">IFERROR(__xludf.DUMMYFUNCTION("""COMPUTED_VALUE"""),1000)</f>
        <v>1000</v>
      </c>
      <c r="H116" s="102" t="str">
        <f ca="1">IFERROR(__xludf.DUMMYFUNCTION("""COMPUTED_VALUE"""),"")</f>
        <v/>
      </c>
      <c r="I116" s="19">
        <f ca="1">IFERROR(__xludf.DUMMYFUNCTION("""COMPUTED_VALUE"""),-7779831.761)</f>
        <v>-7779831.7609999999</v>
      </c>
      <c r="J116" s="19">
        <f ca="1">IFERROR(__xludf.DUMMYFUNCTION("""COMPUTED_VALUE"""),-7972823.60471)</f>
        <v>-7972823.6047099996</v>
      </c>
      <c r="K116" s="5"/>
      <c r="L116" s="5"/>
    </row>
    <row r="117" spans="1:12" ht="13" x14ac:dyDescent="0.15">
      <c r="A117" s="101">
        <f ca="1">IFERROR(__xludf.DUMMYFUNCTION("""COMPUTED_VALUE"""),44642)</f>
        <v>44642</v>
      </c>
      <c r="B117" s="5" t="str">
        <f ca="1">IFERROR(__xludf.DUMMYFUNCTION("""COMPUTED_VALUE"""),"14626")</f>
        <v>14626</v>
      </c>
      <c r="C117" s="5" t="str">
        <f ca="1">IFERROR(__xludf.DUMMYFUNCTION("""COMPUTED_VALUE"""),"SELL (SHORT)")</f>
        <v>SELL (SHORT)</v>
      </c>
      <c r="D117" s="5" t="str">
        <f ca="1">IFERROR(__xludf.DUMMYFUNCTION("""COMPUTED_VALUE"""),"BA")</f>
        <v>BA</v>
      </c>
      <c r="E117" s="5">
        <f ca="1">IFERROR(__xludf.DUMMYFUNCTION("""COMPUTED_VALUE"""),50)</f>
        <v>50</v>
      </c>
      <c r="F117" s="5">
        <f ca="1">IFERROR(__xludf.DUMMYFUNCTION("""COMPUTED_VALUE"""),191.04)</f>
        <v>191.04</v>
      </c>
      <c r="G117" s="5">
        <f ca="1">IFERROR(__xludf.DUMMYFUNCTION("""COMPUTED_VALUE"""),50)</f>
        <v>50</v>
      </c>
      <c r="H117" s="102" t="str">
        <f ca="1">IFERROR(__xludf.DUMMYFUNCTION("""COMPUTED_VALUE"""),"")</f>
        <v/>
      </c>
      <c r="I117" s="19">
        <f ca="1">IFERROR(__xludf.DUMMYFUNCTION("""COMPUTED_VALUE"""),74763.0264)</f>
        <v>74763.026400000002</v>
      </c>
      <c r="J117" s="19">
        <f ca="1">IFERROR(__xludf.DUMMYFUNCTION("""COMPUTED_VALUE"""),-281131.127659999)</f>
        <v>-281131.12765999901</v>
      </c>
      <c r="K117" s="5"/>
      <c r="L117" s="5"/>
    </row>
    <row r="118" spans="1:12" ht="13" x14ac:dyDescent="0.15">
      <c r="A118" s="101">
        <f ca="1">IFERROR(__xludf.DUMMYFUNCTION("""COMPUTED_VALUE"""),44642)</f>
        <v>44642</v>
      </c>
      <c r="B118" s="5" t="str">
        <f ca="1">IFERROR(__xludf.DUMMYFUNCTION("""COMPUTED_VALUE"""),"14626")</f>
        <v>14626</v>
      </c>
      <c r="C118" s="5" t="str">
        <f ca="1">IFERROR(__xludf.DUMMYFUNCTION("""COMPUTED_VALUE"""),"SELL (SHORT)")</f>
        <v>SELL (SHORT)</v>
      </c>
      <c r="D118" s="5" t="str">
        <f ca="1">IFERROR(__xludf.DUMMYFUNCTION("""COMPUTED_VALUE"""),"FB")</f>
        <v>FB</v>
      </c>
      <c r="E118" s="5">
        <f ca="1">IFERROR(__xludf.DUMMYFUNCTION("""COMPUTED_VALUE"""),80)</f>
        <v>80</v>
      </c>
      <c r="F118" s="5">
        <f ca="1">IFERROR(__xludf.DUMMYFUNCTION("""COMPUTED_VALUE"""),216.65)</f>
        <v>216.65</v>
      </c>
      <c r="G118" s="5">
        <f ca="1">IFERROR(__xludf.DUMMYFUNCTION("""COMPUTED_VALUE"""),50)</f>
        <v>50</v>
      </c>
      <c r="H118" s="102" t="str">
        <f ca="1">IFERROR(__xludf.DUMMYFUNCTION("""COMPUTED_VALUE"""),"")</f>
        <v/>
      </c>
      <c r="I118" s="19">
        <f ca="1">IFERROR(__xludf.DUMMYFUNCTION("""COMPUTED_VALUE"""),84785.435875)</f>
        <v>84785.435874999996</v>
      </c>
      <c r="J118" s="19">
        <f ca="1">IFERROR(__xludf.DUMMYFUNCTION("""COMPUTED_VALUE"""),-277777.279584999)</f>
        <v>-277777.27958499902</v>
      </c>
      <c r="K118" s="5"/>
      <c r="L118" s="5"/>
    </row>
    <row r="119" spans="1:12" ht="13" x14ac:dyDescent="0.15">
      <c r="A119" s="101">
        <f ca="1">IFERROR(__xludf.DUMMYFUNCTION("""COMPUTED_VALUE"""),44642)</f>
        <v>44642</v>
      </c>
      <c r="B119" s="5" t="str">
        <f ca="1">IFERROR(__xludf.DUMMYFUNCTION("""COMPUTED_VALUE"""),"14626")</f>
        <v>14626</v>
      </c>
      <c r="C119" s="5" t="str">
        <f ca="1">IFERROR(__xludf.DUMMYFUNCTION("""COMPUTED_VALUE"""),"SELL (SHORT)")</f>
        <v>SELL (SHORT)</v>
      </c>
      <c r="D119" s="5" t="str">
        <f ca="1">IFERROR(__xludf.DUMMYFUNCTION("""COMPUTED_VALUE"""),"GOOG")</f>
        <v>GOOG</v>
      </c>
      <c r="E119" s="5">
        <f ca="1">IFERROR(__xludf.DUMMYFUNCTION("""COMPUTED_VALUE"""),100)</f>
        <v>100</v>
      </c>
      <c r="F119" s="5">
        <f ca="1">IFERROR(__xludf.DUMMYFUNCTION("""COMPUTED_VALUE"""),2805.55)</f>
        <v>2805.55</v>
      </c>
      <c r="G119" s="5">
        <f ca="1">IFERROR(__xludf.DUMMYFUNCTION("""COMPUTED_VALUE"""),100)</f>
        <v>100</v>
      </c>
      <c r="H119" s="102" t="str">
        <f ca="1">IFERROR(__xludf.DUMMYFUNCTION("""COMPUTED_VALUE"""),"")</f>
        <v/>
      </c>
      <c r="I119" s="19">
        <f ca="1">IFERROR(__xludf.DUMMYFUNCTION("""COMPUTED_VALUE"""),2195889.95725)</f>
        <v>2195889.95725</v>
      </c>
      <c r="J119" s="19">
        <f ca="1">IFERROR(__xludf.DUMMYFUNCTION("""COMPUTED_VALUE"""),-2388881.80095999)</f>
        <v>-2388881.8009599899</v>
      </c>
      <c r="K119" s="5"/>
      <c r="L119" s="5"/>
    </row>
    <row r="120" spans="1:12" ht="13" x14ac:dyDescent="0.15">
      <c r="A120" s="101">
        <f ca="1">IFERROR(__xludf.DUMMYFUNCTION("""COMPUTED_VALUE"""),44642)</f>
        <v>44642</v>
      </c>
      <c r="B120" s="5" t="str">
        <f ca="1">IFERROR(__xludf.DUMMYFUNCTION("""COMPUTED_VALUE"""),"14626")</f>
        <v>14626</v>
      </c>
      <c r="C120" s="5" t="str">
        <f ca="1">IFERROR(__xludf.DUMMYFUNCTION("""COMPUTED_VALUE"""),"SELL (SHORT)")</f>
        <v>SELL (SHORT)</v>
      </c>
      <c r="D120" s="5" t="str">
        <f ca="1">IFERROR(__xludf.DUMMYFUNCTION("""COMPUTED_VALUE"""),"MSFT")</f>
        <v>MSFT</v>
      </c>
      <c r="E120" s="5">
        <f ca="1">IFERROR(__xludf.DUMMYFUNCTION("""COMPUTED_VALUE"""),100)</f>
        <v>100</v>
      </c>
      <c r="F120" s="5">
        <f ca="1">IFERROR(__xludf.DUMMYFUNCTION("""COMPUTED_VALUE"""),304.06)</f>
        <v>304.06</v>
      </c>
      <c r="G120" s="5">
        <f ca="1">IFERROR(__xludf.DUMMYFUNCTION("""COMPUTED_VALUE"""),100)</f>
        <v>100</v>
      </c>
      <c r="H120" s="102" t="str">
        <f ca="1">IFERROR(__xludf.DUMMYFUNCTION("""COMPUTED_VALUE"""),"")</f>
        <v/>
      </c>
      <c r="I120" s="19">
        <f ca="1">IFERROR(__xludf.DUMMYFUNCTION("""COMPUTED_VALUE"""),237986.241699999)</f>
        <v>237986.24169999899</v>
      </c>
      <c r="J120" s="19">
        <f ca="1">IFERROR(__xludf.DUMMYFUNCTION("""COMPUTED_VALUE"""),-430978.085409999)</f>
        <v>-430978.08540999901</v>
      </c>
      <c r="K120" s="5"/>
      <c r="L120" s="5"/>
    </row>
    <row r="121" spans="1:12" ht="13" x14ac:dyDescent="0.15">
      <c r="A121" s="101">
        <f ca="1">IFERROR(__xludf.DUMMYFUNCTION("""COMPUTED_VALUE"""),44642)</f>
        <v>44642</v>
      </c>
      <c r="B121" s="5" t="str">
        <f ca="1">IFERROR(__xludf.DUMMYFUNCTION("""COMPUTED_VALUE"""),"35577")</f>
        <v>35577</v>
      </c>
      <c r="C121" s="5" t="str">
        <f ca="1">IFERROR(__xludf.DUMMYFUNCTION("""COMPUTED_VALUE"""),"BUY (LONG)")</f>
        <v>BUY (LONG)</v>
      </c>
      <c r="D121" s="5" t="str">
        <f ca="1">IFERROR(__xludf.DUMMYFUNCTION("""COMPUTED_VALUE"""),"AAPL")</f>
        <v>AAPL</v>
      </c>
      <c r="E121" s="5">
        <f ca="1">IFERROR(__xludf.DUMMYFUNCTION("""COMPUTED_VALUE"""),166.5)</f>
        <v>166.5</v>
      </c>
      <c r="F121" s="5">
        <f ca="1">IFERROR(__xludf.DUMMYFUNCTION("""COMPUTED_VALUE"""),168.82)</f>
        <v>168.82</v>
      </c>
      <c r="G121" s="5">
        <f ca="1">IFERROR(__xludf.DUMMYFUNCTION("""COMPUTED_VALUE"""),20)</f>
        <v>20</v>
      </c>
      <c r="H121" s="102">
        <f ca="1">IFERROR(__xludf.DUMMYFUNCTION("""COMPUTED_VALUE"""),0)</f>
        <v>0</v>
      </c>
      <c r="I121" s="19">
        <f ca="1">IFERROR(__xludf.DUMMYFUNCTION("""COMPUTED_VALUE"""),0)</f>
        <v>0</v>
      </c>
      <c r="J121" s="19">
        <f ca="1">IFERROR(__xludf.DUMMYFUNCTION("""COMPUTED_VALUE"""),368886.84126345)</f>
        <v>368886.84126344998</v>
      </c>
      <c r="K121" s="5"/>
      <c r="L121" s="5"/>
    </row>
    <row r="122" spans="1:12" ht="13" x14ac:dyDescent="0.15">
      <c r="A122" s="101">
        <f ca="1">IFERROR(__xludf.DUMMYFUNCTION("""COMPUTED_VALUE"""),44642)</f>
        <v>44642</v>
      </c>
      <c r="B122" s="5" t="str">
        <f ca="1">IFERROR(__xludf.DUMMYFUNCTION("""COMPUTED_VALUE"""),"39441")</f>
        <v>39441</v>
      </c>
      <c r="C122" s="5" t="str">
        <f ca="1">IFERROR(__xludf.DUMMYFUNCTION("""COMPUTED_VALUE"""),"BUY (LONG)")</f>
        <v>BUY (LONG)</v>
      </c>
      <c r="D122" s="71" t="str">
        <f ca="1">IFERROR(__xludf.DUMMYFUNCTION("""COMPUTED_VALUE"""),"0700.HK")</f>
        <v>0700.HK</v>
      </c>
      <c r="E122" s="5">
        <f ca="1">IFERROR(__xludf.DUMMYFUNCTION("""COMPUTED_VALUE"""),372.4)</f>
        <v>372.4</v>
      </c>
      <c r="F122" s="5">
        <f ca="1">IFERROR(__xludf.DUMMYFUNCTION("""COMPUTED_VALUE"""),388)</f>
        <v>388</v>
      </c>
      <c r="G122" s="5">
        <f ca="1">IFERROR(__xludf.DUMMYFUNCTION("""COMPUTED_VALUE"""),10)</f>
        <v>10</v>
      </c>
      <c r="H122" s="102">
        <f ca="1">IFERROR(__xludf.DUMMYFUNCTION("""COMPUTED_VALUE"""),0)</f>
        <v>0</v>
      </c>
      <c r="I122" s="19">
        <f ca="1">IFERROR(__xludf.DUMMYFUNCTION("""COMPUTED_VALUE"""),0)</f>
        <v>0</v>
      </c>
      <c r="J122" s="19">
        <f ca="1">IFERROR(__xludf.DUMMYFUNCTION("""COMPUTED_VALUE"""),45859.96253525)</f>
        <v>45859.962535250001</v>
      </c>
      <c r="K122" s="5"/>
      <c r="L122" s="5"/>
    </row>
    <row r="123" spans="1:12" ht="13" x14ac:dyDescent="0.15">
      <c r="A123" s="101">
        <f ca="1">IFERROR(__xludf.DUMMYFUNCTION("""COMPUTED_VALUE"""),44642)</f>
        <v>44642</v>
      </c>
      <c r="B123" s="5" t="str">
        <f ca="1">IFERROR(__xludf.DUMMYFUNCTION("""COMPUTED_VALUE"""),"75369")</f>
        <v>75369</v>
      </c>
      <c r="C123" s="5" t="str">
        <f ca="1">IFERROR(__xludf.DUMMYFUNCTION("""COMPUTED_VALUE"""),"BUY (LONG)")</f>
        <v>BUY (LONG)</v>
      </c>
      <c r="D123" s="71" t="str">
        <f ca="1">IFERROR(__xludf.DUMMYFUNCTION("""COMPUTED_VALUE"""),"1810.hk")</f>
        <v>1810.hk</v>
      </c>
      <c r="E123" s="5"/>
      <c r="F123" s="5">
        <f ca="1">IFERROR(__xludf.DUMMYFUNCTION("""COMPUTED_VALUE"""),14.2)</f>
        <v>14.2</v>
      </c>
      <c r="G123" s="5">
        <f ca="1">IFERROR(__xludf.DUMMYFUNCTION("""COMPUTED_VALUE"""),0)</f>
        <v>0</v>
      </c>
      <c r="H123" s="102">
        <f ca="1">IFERROR(__xludf.DUMMYFUNCTION("""COMPUTED_VALUE"""),0)</f>
        <v>0</v>
      </c>
      <c r="I123" s="19">
        <f ca="1">IFERROR(__xludf.DUMMYFUNCTION("""COMPUTED_VALUE"""),0)</f>
        <v>0</v>
      </c>
      <c r="J123" s="19">
        <f ca="1">IFERROR(__xludf.DUMMYFUNCTION("""COMPUTED_VALUE"""),500000)</f>
        <v>500000</v>
      </c>
      <c r="K123" s="5"/>
      <c r="L123" s="5"/>
    </row>
    <row r="124" spans="1:12" ht="13" x14ac:dyDescent="0.15">
      <c r="A124" s="101">
        <f ca="1">IFERROR(__xludf.DUMMYFUNCTION("""COMPUTED_VALUE"""),44642)</f>
        <v>44642</v>
      </c>
      <c r="B124" s="5" t="str">
        <f ca="1">IFERROR(__xludf.DUMMYFUNCTION("""COMPUTED_VALUE"""),"75415")</f>
        <v>75415</v>
      </c>
      <c r="C124" s="5" t="str">
        <f ca="1">IFERROR(__xludf.DUMMYFUNCTION("""COMPUTED_VALUE"""),"SELL (SHORT)")</f>
        <v>SELL (SHORT)</v>
      </c>
      <c r="D124" s="5" t="str">
        <f ca="1">IFERROR(__xludf.DUMMYFUNCTION("""COMPUTED_VALUE"""),"UVXY")</f>
        <v>UVXY</v>
      </c>
      <c r="E124" s="5"/>
      <c r="F124" s="5">
        <f ca="1">IFERROR(__xludf.DUMMYFUNCTION("""COMPUTED_VALUE"""),14.72)</f>
        <v>14.72</v>
      </c>
      <c r="G124" s="5">
        <f ca="1">IFERROR(__xludf.DUMMYFUNCTION("""COMPUTED_VALUE"""),10000)</f>
        <v>10000</v>
      </c>
      <c r="H124" s="102" t="str">
        <f ca="1">IFERROR(__xludf.DUMMYFUNCTION("""COMPUTED_VALUE"""),"")</f>
        <v/>
      </c>
      <c r="I124" s="19">
        <f ca="1">IFERROR(__xludf.DUMMYFUNCTION("""COMPUTED_VALUE"""),1152127.04)</f>
        <v>1152127.04</v>
      </c>
      <c r="J124" s="19">
        <f ca="1">IFERROR(__xludf.DUMMYFUNCTION("""COMPUTED_VALUE"""),-1057687.63946)</f>
        <v>-1057687.63946</v>
      </c>
      <c r="K124" s="5"/>
      <c r="L124" s="5"/>
    </row>
    <row r="125" spans="1:12" ht="13" x14ac:dyDescent="0.15">
      <c r="A125" s="101">
        <f ca="1">IFERROR(__xludf.DUMMYFUNCTION("""COMPUTED_VALUE"""),44642)</f>
        <v>44642</v>
      </c>
      <c r="B125" s="5" t="str">
        <f ca="1">IFERROR(__xludf.DUMMYFUNCTION("""COMPUTED_VALUE"""),"89845")</f>
        <v>89845</v>
      </c>
      <c r="C125" s="5" t="str">
        <f ca="1">IFERROR(__xludf.DUMMYFUNCTION("""COMPUTED_VALUE"""),"BUY (LONG)")</f>
        <v>BUY (LONG)</v>
      </c>
      <c r="D125" s="5" t="str">
        <f ca="1">IFERROR(__xludf.DUMMYFUNCTION("""COMPUTED_VALUE"""),"ASML")</f>
        <v>ASML</v>
      </c>
      <c r="E125" s="5"/>
      <c r="F125" s="5">
        <f ca="1">IFERROR(__xludf.DUMMYFUNCTION("""COMPUTED_VALUE"""),688.74)</f>
        <v>688.74</v>
      </c>
      <c r="G125" s="5">
        <f ca="1">IFERROR(__xludf.DUMMYFUNCTION("""COMPUTED_VALUE"""),200)</f>
        <v>200</v>
      </c>
      <c r="H125" s="102" t="str">
        <f ca="1">IFERROR(__xludf.DUMMYFUNCTION("""COMPUTED_VALUE"""),"")</f>
        <v/>
      </c>
      <c r="I125" s="19">
        <f ca="1">IFERROR(__xludf.DUMMYFUNCTION("""COMPUTED_VALUE"""),-1078146.7086)</f>
        <v>-1078146.7086</v>
      </c>
      <c r="J125" s="19">
        <f ca="1">IFERROR(__xludf.DUMMYFUNCTION("""COMPUTED_VALUE"""),-578146.7086)</f>
        <v>-578146.70860000001</v>
      </c>
      <c r="K125" s="5"/>
      <c r="L125" s="5"/>
    </row>
    <row r="126" spans="1:12" ht="13" x14ac:dyDescent="0.15">
      <c r="A126" s="101">
        <f ca="1">IFERROR(__xludf.DUMMYFUNCTION("""COMPUTED_VALUE"""),44643)</f>
        <v>44643</v>
      </c>
      <c r="B126" s="5" t="str">
        <f ca="1">IFERROR(__xludf.DUMMYFUNCTION("""COMPUTED_VALUE"""),"36242")</f>
        <v>36242</v>
      </c>
      <c r="C126" s="5" t="str">
        <f ca="1">IFERROR(__xludf.DUMMYFUNCTION("""COMPUTED_VALUE"""),"BUY (LONG)")</f>
        <v>BUY (LONG)</v>
      </c>
      <c r="D126" s="5" t="str">
        <f ca="1">IFERROR(__xludf.DUMMYFUNCTION("""COMPUTED_VALUE"""),"BA")</f>
        <v>BA</v>
      </c>
      <c r="E126" s="5">
        <f ca="1">IFERROR(__xludf.DUMMYFUNCTION("""COMPUTED_VALUE"""),186)</f>
        <v>186</v>
      </c>
      <c r="F126" s="5">
        <f ca="1">IFERROR(__xludf.DUMMYFUNCTION("""COMPUTED_VALUE"""),186.04)</f>
        <v>186.04</v>
      </c>
      <c r="G126" s="5">
        <f ca="1">IFERROR(__xludf.DUMMYFUNCTION("""COMPUTED_VALUE"""),160)</f>
        <v>160</v>
      </c>
      <c r="H126" s="102">
        <f ca="1">IFERROR(__xludf.DUMMYFUNCTION("""COMPUTED_VALUE"""),0)</f>
        <v>0</v>
      </c>
      <c r="I126" s="19">
        <f ca="1">IFERROR(__xludf.DUMMYFUNCTION("""COMPUTED_VALUE"""),0)</f>
        <v>0</v>
      </c>
      <c r="J126" s="19">
        <f ca="1">IFERROR(__xludf.DUMMYFUNCTION("""COMPUTED_VALUE"""),500000)</f>
        <v>500000</v>
      </c>
      <c r="K126" s="5"/>
      <c r="L126" s="5"/>
    </row>
    <row r="127" spans="1:12" ht="13" x14ac:dyDescent="0.15">
      <c r="A127" s="101">
        <f ca="1">IFERROR(__xludf.DUMMYFUNCTION("""COMPUTED_VALUE"""),44643)</f>
        <v>44643</v>
      </c>
      <c r="B127" s="5" t="str">
        <f ca="1">IFERROR(__xludf.DUMMYFUNCTION("""COMPUTED_VALUE"""),"38705")</f>
        <v>38705</v>
      </c>
      <c r="C127" s="5" t="str">
        <f ca="1">IFERROR(__xludf.DUMMYFUNCTION("""COMPUTED_VALUE"""),"BUY (LONG)")</f>
        <v>BUY (LONG)</v>
      </c>
      <c r="D127" s="5" t="str">
        <f ca="1">IFERROR(__xludf.DUMMYFUNCTION("""COMPUTED_VALUE"""),"UNH")</f>
        <v>UNH</v>
      </c>
      <c r="E127" s="5"/>
      <c r="F127" s="5">
        <f ca="1">IFERROR(__xludf.DUMMYFUNCTION("""COMPUTED_VALUE"""),503.23)</f>
        <v>503.23</v>
      </c>
      <c r="G127" s="5">
        <f ca="1">IFERROR(__xludf.DUMMYFUNCTION("""COMPUTED_VALUE"""),50)</f>
        <v>50</v>
      </c>
      <c r="H127" s="102" t="str">
        <f ca="1">IFERROR(__xludf.DUMMYFUNCTION("""COMPUTED_VALUE"""),"")</f>
        <v/>
      </c>
      <c r="I127" s="19">
        <f ca="1">IFERROR(__xludf.DUMMYFUNCTION("""COMPUTED_VALUE"""),-196854.6436675)</f>
        <v>-196854.6436675</v>
      </c>
      <c r="J127" s="19">
        <f ca="1">IFERROR(__xludf.DUMMYFUNCTION("""COMPUTED_VALUE"""),-277624.7210275)</f>
        <v>-277624.7210275</v>
      </c>
      <c r="K127" s="5"/>
      <c r="L127" s="5"/>
    </row>
    <row r="128" spans="1:12" ht="13" x14ac:dyDescent="0.15">
      <c r="A128" s="101">
        <f ca="1">IFERROR(__xludf.DUMMYFUNCTION("""COMPUTED_VALUE"""),44643)</f>
        <v>44643</v>
      </c>
      <c r="B128" s="5" t="str">
        <f ca="1">IFERROR(__xludf.DUMMYFUNCTION("""COMPUTED_VALUE"""),"39441")</f>
        <v>39441</v>
      </c>
      <c r="C128" s="5" t="str">
        <f ca="1">IFERROR(__xludf.DUMMYFUNCTION("""COMPUTED_VALUE"""),"SELL (SHORT)")</f>
        <v>SELL (SHORT)</v>
      </c>
      <c r="D128" s="5" t="str">
        <f ca="1">IFERROR(__xludf.DUMMYFUNCTION("""COMPUTED_VALUE"""),"AMZN")</f>
        <v>AMZN</v>
      </c>
      <c r="E128" s="5">
        <f ca="1">IFERROR(__xludf.DUMMYFUNCTION("""COMPUTED_VALUE"""),3297.78)</f>
        <v>3297.78</v>
      </c>
      <c r="F128" s="5">
        <f ca="1">IFERROR(__xludf.DUMMYFUNCTION("""COMPUTED_VALUE"""),3268.16)</f>
        <v>3268.16</v>
      </c>
      <c r="G128" s="5">
        <f ca="1">IFERROR(__xludf.DUMMYFUNCTION("""COMPUTED_VALUE"""),50)</f>
        <v>50</v>
      </c>
      <c r="H128" s="102">
        <f ca="1">IFERROR(__xludf.DUMMYFUNCTION("""COMPUTED_VALUE"""),0)</f>
        <v>0</v>
      </c>
      <c r="I128" s="19">
        <f ca="1">IFERROR(__xludf.DUMMYFUNCTION("""COMPUTED_VALUE"""),0)</f>
        <v>0</v>
      </c>
      <c r="J128" s="19">
        <f ca="1">IFERROR(__xludf.DUMMYFUNCTION("""COMPUTED_VALUE"""),45859.96253525)</f>
        <v>45859.962535250001</v>
      </c>
      <c r="K128" s="5"/>
      <c r="L128" s="5"/>
    </row>
    <row r="129" spans="1:12" ht="13" x14ac:dyDescent="0.15">
      <c r="A129" s="101">
        <f ca="1">IFERROR(__xludf.DUMMYFUNCTION("""COMPUTED_VALUE"""),44643)</f>
        <v>44643</v>
      </c>
      <c r="B129" s="5" t="str">
        <f ca="1">IFERROR(__xludf.DUMMYFUNCTION("""COMPUTED_VALUE"""),"39776")</f>
        <v>39776</v>
      </c>
      <c r="C129" s="5" t="str">
        <f ca="1">IFERROR(__xludf.DUMMYFUNCTION("""COMPUTED_VALUE"""),"BUY (LONG)")</f>
        <v>BUY (LONG)</v>
      </c>
      <c r="D129" s="71" t="str">
        <f ca="1">IFERROR(__xludf.DUMMYFUNCTION("""COMPUTED_VALUE"""),"3315.HK")</f>
        <v>3315.HK</v>
      </c>
      <c r="E129" s="5">
        <f ca="1">IFERROR(__xludf.DUMMYFUNCTION("""COMPUTED_VALUE"""),2.08)</f>
        <v>2.08</v>
      </c>
      <c r="F129" s="5">
        <f ca="1">IFERROR(__xludf.DUMMYFUNCTION("""COMPUTED_VALUE"""),2.1)</f>
        <v>2.1</v>
      </c>
      <c r="G129" s="5">
        <f ca="1">IFERROR(__xludf.DUMMYFUNCTION("""COMPUTED_VALUE"""),20000)</f>
        <v>20000</v>
      </c>
      <c r="H129" s="102">
        <f ca="1">IFERROR(__xludf.DUMMYFUNCTION("""COMPUTED_VALUE"""),0)</f>
        <v>0</v>
      </c>
      <c r="I129" s="19">
        <f ca="1">IFERROR(__xludf.DUMMYFUNCTION("""COMPUTED_VALUE"""),0)</f>
        <v>0</v>
      </c>
      <c r="J129" s="19">
        <f ca="1">IFERROR(__xludf.DUMMYFUNCTION("""COMPUTED_VALUE"""),485150)</f>
        <v>485150</v>
      </c>
      <c r="K129" s="5"/>
      <c r="L129" s="5"/>
    </row>
  </sheetData>
  <hyperlinks>
    <hyperlink ref="D8" r:id="rId1" display="http://9698.hk/" xr:uid="{00000000-0004-0000-0500-000000000000}"/>
    <hyperlink ref="D9" r:id="rId2" display="http://601168.ss/" xr:uid="{00000000-0004-0000-0500-000001000000}"/>
    <hyperlink ref="D10" r:id="rId3" display="http://2269.hk/" xr:uid="{00000000-0004-0000-0500-000002000000}"/>
    <hyperlink ref="D13" r:id="rId4" display="http://1610.hk/" xr:uid="{00000000-0004-0000-0500-000003000000}"/>
    <hyperlink ref="D14" r:id="rId5" display="http://1810.hk/" xr:uid="{00000000-0004-0000-0500-000004000000}"/>
    <hyperlink ref="D15" r:id="rId6" display="http://2333.hk/" xr:uid="{00000000-0004-0000-0500-000005000000}"/>
    <hyperlink ref="D16" r:id="rId7" display="http://3339.hk/" xr:uid="{00000000-0004-0000-0500-000006000000}"/>
    <hyperlink ref="D25" r:id="rId8" display="http://2333.hk/" xr:uid="{00000000-0004-0000-0500-000007000000}"/>
    <hyperlink ref="D30" r:id="rId9" display="http://6969.hk/" xr:uid="{00000000-0004-0000-0500-000008000000}"/>
    <hyperlink ref="D31" r:id="rId10" display="http://002230.sz/" xr:uid="{00000000-0004-0000-0500-000009000000}"/>
    <hyperlink ref="D39" r:id="rId11" display="http://300157.sz/" xr:uid="{00000000-0004-0000-0500-00000A000000}"/>
    <hyperlink ref="D41" r:id="rId12" display="http://300157.sz/" xr:uid="{00000000-0004-0000-0500-00000B000000}"/>
    <hyperlink ref="D42" r:id="rId13" display="http://9888.hk/" xr:uid="{00000000-0004-0000-0500-00000C000000}"/>
    <hyperlink ref="D44" r:id="rId14" display="http://2800.hk/" xr:uid="{00000000-0004-0000-0500-00000D000000}"/>
    <hyperlink ref="D45" r:id="rId15" display="http://9988.hk/" xr:uid="{00000000-0004-0000-0500-00000E000000}"/>
    <hyperlink ref="D47" r:id="rId16" display="http://1810.hk/" xr:uid="{00000000-0004-0000-0500-00000F000000}"/>
    <hyperlink ref="D48" r:id="rId17" display="http://1208.hk/" xr:uid="{00000000-0004-0000-0500-000010000000}"/>
    <hyperlink ref="D49" r:id="rId18" display="http://3800.hk/" xr:uid="{00000000-0004-0000-0500-000011000000}"/>
    <hyperlink ref="D50" r:id="rId19" display="http://3800.hk/" xr:uid="{00000000-0004-0000-0500-000012000000}"/>
    <hyperlink ref="D51" r:id="rId20" display="http://9988.hk/" xr:uid="{00000000-0004-0000-0500-000013000000}"/>
    <hyperlink ref="D56" r:id="rId21" display="http://1024.hk/" xr:uid="{00000000-0004-0000-0500-000014000000}"/>
    <hyperlink ref="D57" r:id="rId22" display="http://9988.hk/" xr:uid="{00000000-0004-0000-0500-000015000000}"/>
    <hyperlink ref="D61" r:id="rId23" display="http://1810.hk/" xr:uid="{00000000-0004-0000-0500-000016000000}"/>
    <hyperlink ref="D62" r:id="rId24" display="http://1024.hk/" xr:uid="{00000000-0004-0000-0500-000017000000}"/>
    <hyperlink ref="D63" r:id="rId25" display="http://1024.hk/" xr:uid="{00000000-0004-0000-0500-000018000000}"/>
    <hyperlink ref="D64" r:id="rId26" display="http://1024.hk/" xr:uid="{00000000-0004-0000-0500-000019000000}"/>
    <hyperlink ref="D65" r:id="rId27" display="http://6680.hk/" xr:uid="{00000000-0004-0000-0500-00001A000000}"/>
    <hyperlink ref="D66" r:id="rId28" display="http://9988.hk/" xr:uid="{00000000-0004-0000-0500-00001B000000}"/>
    <hyperlink ref="D68" r:id="rId29" display="http://603392.ss/" xr:uid="{00000000-0004-0000-0500-00001C000000}"/>
    <hyperlink ref="D72" r:id="rId30" display="http://1398.hk/" xr:uid="{00000000-0004-0000-0500-00001D000000}"/>
    <hyperlink ref="D76" r:id="rId31" display="http://0700.hk/" xr:uid="{00000000-0004-0000-0500-00001E000000}"/>
    <hyperlink ref="D86" r:id="rId32" display="http://3800.hk/" xr:uid="{00000000-0004-0000-0500-00001F000000}"/>
    <hyperlink ref="D90" r:id="rId33" display="http://0700.hk/" xr:uid="{00000000-0004-0000-0500-000020000000}"/>
    <hyperlink ref="D111" r:id="rId34" display="http://000568.sz/" xr:uid="{00000000-0004-0000-0500-000021000000}"/>
    <hyperlink ref="D122" r:id="rId35" display="http://0700.hk/" xr:uid="{00000000-0004-0000-0500-000022000000}"/>
    <hyperlink ref="D123" r:id="rId36" display="http://1810.hk/" xr:uid="{00000000-0004-0000-0500-000023000000}"/>
    <hyperlink ref="D129" r:id="rId37" display="http://3315.hk/" xr:uid="{00000000-0004-0000-0500-00002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3:C11"/>
  <sheetViews>
    <sheetView workbookViewId="0"/>
  </sheetViews>
  <sheetFormatPr baseColWidth="10" defaultColWidth="12.6640625" defaultRowHeight="15.75" customHeight="1" x14ac:dyDescent="0.15"/>
  <cols>
    <col min="2" max="2" width="33.1640625" customWidth="1"/>
  </cols>
  <sheetData>
    <row r="3" spans="1:3" ht="15.75" customHeight="1" x14ac:dyDescent="0.15">
      <c r="B3" s="167" t="s">
        <v>0</v>
      </c>
      <c r="C3" s="167" t="s">
        <v>1</v>
      </c>
    </row>
    <row r="4" spans="1:3" ht="15.75" customHeight="1" x14ac:dyDescent="0.15">
      <c r="A4" s="167" t="s">
        <v>2</v>
      </c>
      <c r="B4" s="167" t="s">
        <v>3</v>
      </c>
      <c r="C4" s="167" t="s">
        <v>4</v>
      </c>
    </row>
    <row r="5" spans="1:3" ht="15.75" customHeight="1" x14ac:dyDescent="0.15">
      <c r="A5" s="167" t="s">
        <v>5</v>
      </c>
      <c r="B5" s="167" t="s">
        <v>6</v>
      </c>
    </row>
    <row r="6" spans="1:3" ht="15.75" customHeight="1" x14ac:dyDescent="0.15">
      <c r="A6" s="167" t="s">
        <v>7</v>
      </c>
      <c r="B6" s="167" t="s">
        <v>8</v>
      </c>
    </row>
    <row r="7" spans="1:3" ht="15.75" customHeight="1" x14ac:dyDescent="0.15">
      <c r="A7" s="167" t="s">
        <v>9</v>
      </c>
      <c r="B7" s="167" t="s">
        <v>10</v>
      </c>
    </row>
    <row r="8" spans="1:3" ht="15.75" customHeight="1" x14ac:dyDescent="0.15">
      <c r="A8" s="167" t="s">
        <v>11</v>
      </c>
      <c r="B8" s="167" t="s">
        <v>12</v>
      </c>
    </row>
    <row r="9" spans="1:3" ht="15.75" customHeight="1" x14ac:dyDescent="0.15">
      <c r="A9" s="167" t="s">
        <v>13</v>
      </c>
      <c r="B9" s="167" t="s">
        <v>14</v>
      </c>
    </row>
    <row r="10" spans="1:3" ht="15.75" customHeight="1" x14ac:dyDescent="0.15">
      <c r="A10" s="167" t="s">
        <v>15</v>
      </c>
      <c r="B10" s="167" t="s">
        <v>16</v>
      </c>
    </row>
    <row r="11" spans="1:3" ht="15.75" customHeight="1" x14ac:dyDescent="0.15">
      <c r="A11" s="167" t="s">
        <v>17</v>
      </c>
      <c r="B11" s="16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PnL</vt:lpstr>
      <vt:lpstr>PortPerf</vt:lpstr>
      <vt:lpstr>Trade Record by acct</vt:lpstr>
      <vt:lpstr>HistClsP</vt:lpstr>
      <vt:lpstr>PnLDetails</vt:lpstr>
      <vt:lpstr>Received Order Summary</vt:lpstr>
      <vt:lpstr>Rejected Order Summary</vt:lpstr>
      <vt:lpstr>Unfilled Order Summary</vt:lpstr>
      <vt:lpstr>Sheet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2022-03-24T21:13:20Z</dcterms:modified>
</cp:coreProperties>
</file>